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3301F666-080B-4E2D-8328-DAB3867D84A9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</calcChain>
</file>

<file path=xl/sharedStrings.xml><?xml version="1.0" encoding="utf-8"?>
<sst xmlns="http://schemas.openxmlformats.org/spreadsheetml/2006/main" count="13046" uniqueCount="115">
  <si>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</si>
  <si>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</si>
  <si>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</si>
  <si>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</si>
  <si>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</si>
  <si>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</si>
  <si>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</si>
  <si>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</si>
  <si>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</si>
  <si>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</si>
  <si>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</si>
  <si>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</si>
  <si>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</si>
  <si>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</si>
  <si>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</si>
  <si>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</si>
  <si>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</si>
  <si>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</si>
  <si>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</si>
  <si>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</si>
  <si>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</si>
  <si>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</si>
  <si>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</si>
  <si>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</si>
  <si>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</si>
  <si>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</si>
  <si>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</si>
  <si>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</si>
  <si>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</si>
  <si>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</si>
  <si>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</si>
  <si>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</si>
  <si>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</si>
  <si>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</si>
  <si>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</si>
  <si>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</si>
  <si>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</si>
  <si>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</si>
  <si>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</si>
  <si>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</si>
  <si>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</si>
  <si>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mcp_road_part_02</t>
  </si>
  <si>
    <t>Kooper</t>
  </si>
  <si>
    <t>Plane_01</t>
  </si>
  <si>
    <t>Building 15 (22)</t>
  </si>
  <si>
    <t>Building 15 (24)</t>
  </si>
  <si>
    <t>FAR</t>
  </si>
  <si>
    <t>Building 07 (16)</t>
  </si>
  <si>
    <t>Box001</t>
  </si>
  <si>
    <t>mcp_roads_turn_01 (1)</t>
  </si>
  <si>
    <t>Floor 01</t>
  </si>
  <si>
    <t>Plane_01 (1)</t>
  </si>
  <si>
    <t>mcp_roads_T_cross_01</t>
  </si>
  <si>
    <t>Building 24</t>
  </si>
  <si>
    <t>Building 07 (18)</t>
  </si>
  <si>
    <t>Building 24 (1)</t>
  </si>
  <si>
    <t>Canopi 01 (5)</t>
  </si>
  <si>
    <t>Canopi 01 (8)</t>
  </si>
  <si>
    <t>Canopi 01 (7)</t>
  </si>
  <si>
    <t>Building 15 (35)</t>
  </si>
  <si>
    <t>mcp_road_part_01</t>
  </si>
  <si>
    <t>Floor 02</t>
  </si>
  <si>
    <t>Pilar 02 (2)</t>
  </si>
  <si>
    <t>Pilar 02 (1)</t>
  </si>
  <si>
    <t>mcp_roads_cross_01</t>
  </si>
  <si>
    <t>Pilar Small (8)</t>
  </si>
  <si>
    <t>Building 07 (4)</t>
  </si>
  <si>
    <t>Tree 04 (1)</t>
  </si>
  <si>
    <t>Building 15 (33)</t>
  </si>
  <si>
    <t>Building 02 (8)</t>
  </si>
  <si>
    <t>Building 15 (32)</t>
  </si>
  <si>
    <t>mcp_roads_turn_01</t>
  </si>
  <si>
    <t>Building 15 (30)</t>
  </si>
  <si>
    <t>Building 07 (15)</t>
  </si>
  <si>
    <t>Building 02 (11)</t>
  </si>
  <si>
    <t>Tree 02 (3)</t>
  </si>
  <si>
    <t>Building 15 (9)</t>
  </si>
  <si>
    <t>Building 04 (2)</t>
  </si>
  <si>
    <t>Tree 02 (2)</t>
  </si>
  <si>
    <t>Tong (3)</t>
  </si>
  <si>
    <t>mcp_bus_stop_night_LOD_0</t>
  </si>
  <si>
    <t>Stand 03 (2)</t>
  </si>
  <si>
    <t>Bannar Stand</t>
  </si>
  <si>
    <t>Building 18 (5)</t>
  </si>
  <si>
    <t>mcp_roads_cross_02</t>
  </si>
  <si>
    <t>Building 18 (11)</t>
  </si>
  <si>
    <t>Building 07 (17)</t>
  </si>
  <si>
    <t>Building 18 (2)</t>
  </si>
  <si>
    <t>Building 23 (4)</t>
  </si>
  <si>
    <t>Building 01 (1)</t>
  </si>
  <si>
    <t>Canopi 01 (4)</t>
  </si>
  <si>
    <t>Building 09 (4)</t>
  </si>
  <si>
    <t>Building 13 (1)</t>
  </si>
  <si>
    <t>Building 30 (5)</t>
  </si>
  <si>
    <t>Building 18 (7)</t>
  </si>
  <si>
    <t>Building 18 (6)</t>
  </si>
  <si>
    <t>mcp_road_part_02 (3)</t>
  </si>
  <si>
    <t>mcp_road_part_02 (2)</t>
  </si>
  <si>
    <t>mcp_road_part_02 (1)</t>
  </si>
  <si>
    <t>Shurbs (3)</t>
  </si>
  <si>
    <t>Shurbs (2)</t>
  </si>
  <si>
    <t>Shurbs (1)</t>
  </si>
  <si>
    <t>Shurbs</t>
  </si>
  <si>
    <t>Building 01</t>
  </si>
  <si>
    <t>Building 04 (3)</t>
  </si>
  <si>
    <t>Building 07 (14)</t>
  </si>
  <si>
    <t>mcp_road_part_02 (12)</t>
  </si>
  <si>
    <t>mcp_road_part_02 (10)</t>
  </si>
  <si>
    <t>mcp_road_part_02 (8)</t>
  </si>
  <si>
    <t>mcp_road_part_02 (9)</t>
  </si>
  <si>
    <t>mcp_road_part_02 (6)</t>
  </si>
  <si>
    <t>mcp_road_part_02 (11)</t>
  </si>
  <si>
    <t>mcp_building_24_fountain_marble</t>
  </si>
  <si>
    <t>Building 14 (9)</t>
  </si>
  <si>
    <t>Building 23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</si>
</sst>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50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"20190303170456235"</f>
        <v>20190303170456235</v>
      </c>
      <c r="B2" t="str">
        <f>"1551603896223937"</f>
        <v>1551603896223937</v>
      </c>
      <c r="C2" t="s">
        <v>40</v>
      </c>
      <c r="D2">
        <v>4.941376</v>
      </c>
      <c r="E2">
        <v>0.48421579999999897</v>
      </c>
      <c r="F2" t="s">
        <v>41</v>
      </c>
      <c r="G2">
        <v>-452.66219999999998</v>
      </c>
      <c r="H2" s="1">
        <v>-3.6006860000000001E-6</v>
      </c>
      <c r="I2">
        <v>366.96390000000002</v>
      </c>
      <c r="J2">
        <v>-475.66300000000001</v>
      </c>
      <c r="K2">
        <v>1.1205149999999999</v>
      </c>
      <c r="L2">
        <v>367.0677</v>
      </c>
      <c r="M2">
        <v>0.99996450000000003</v>
      </c>
      <c r="N2">
        <v>-8.4142539999999995E-3</v>
      </c>
      <c r="O2">
        <v>-1.8824830000000001E-4</v>
      </c>
      <c r="P2">
        <v>0.98940530000000004</v>
      </c>
      <c r="Q2">
        <v>0.1343355</v>
      </c>
      <c r="R2">
        <v>-5.5056099999999997E-2</v>
      </c>
      <c r="S2">
        <v>3.0513309999999998</v>
      </c>
      <c r="T2">
        <v>-0.1486179</v>
      </c>
      <c r="U2">
        <v>-1.376343E-2</v>
      </c>
      <c r="V2">
        <v>5.4884809999999999E-2</v>
      </c>
      <c r="W2">
        <v>0.14265039999999901</v>
      </c>
      <c r="X2">
        <v>0.98825030000000003</v>
      </c>
      <c r="Y2">
        <v>4.3164830000000003E-3</v>
      </c>
      <c r="Z2">
        <v>-1.156493E-4</v>
      </c>
      <c r="AA2">
        <v>0.99999070000000001</v>
      </c>
      <c r="AB2">
        <v>1</v>
      </c>
      <c r="AC2">
        <v>23.000800000000002</v>
      </c>
      <c r="AD2">
        <v>-1.120518600686</v>
      </c>
      <c r="AE2">
        <v>-0.10379999999997799</v>
      </c>
      <c r="AF2">
        <v>9.9234474847603796E-2</v>
      </c>
      <c r="AG2">
        <v>-1.120518600686</v>
      </c>
      <c r="AH2">
        <v>22.946361690087901</v>
      </c>
      <c r="AI2">
        <v>92.795625332270106</v>
      </c>
      <c r="AJ2">
        <v>89.752218620859097</v>
      </c>
      <c r="AK2">
        <v>22.9739183472871</v>
      </c>
      <c r="AL2">
        <v>81.798757920674205</v>
      </c>
      <c r="AM2">
        <v>86.821209356912505</v>
      </c>
      <c r="AN2">
        <v>1.00000006721949</v>
      </c>
    </row>
    <row r="3" spans="1:40" x14ac:dyDescent="0.25">
      <c r="A3" t="str">
        <f>"20190303170456256"</f>
        <v>20190303170456256</v>
      </c>
      <c r="B3" t="str">
        <f>"1551603896244434"</f>
        <v>1551603896244434</v>
      </c>
      <c r="C3" t="s">
        <v>40</v>
      </c>
      <c r="D3">
        <v>4.9390910000000003</v>
      </c>
      <c r="E3">
        <v>0.4841357</v>
      </c>
      <c r="F3" t="s">
        <v>41</v>
      </c>
      <c r="G3">
        <v>-452.73090000000002</v>
      </c>
      <c r="H3" s="1">
        <v>-3.5761010000000002E-6</v>
      </c>
      <c r="I3">
        <v>366.93639999999999</v>
      </c>
      <c r="J3">
        <v>-475.65179999999998</v>
      </c>
      <c r="K3">
        <v>1.1203449999999999</v>
      </c>
      <c r="L3">
        <v>367.06760000000003</v>
      </c>
      <c r="M3">
        <v>0.99997290000000005</v>
      </c>
      <c r="N3">
        <v>-7.3769409999999997E-3</v>
      </c>
      <c r="O3">
        <v>-2.5186760000000001E-4</v>
      </c>
      <c r="P3">
        <v>0.98935899999999999</v>
      </c>
      <c r="Q3">
        <v>0.13432849999999999</v>
      </c>
      <c r="R3">
        <v>-5.590208E-2</v>
      </c>
      <c r="S3">
        <v>3.0513919999999999</v>
      </c>
      <c r="T3">
        <v>-0.14909790000000001</v>
      </c>
      <c r="U3">
        <v>-1.7456050000000001E-2</v>
      </c>
      <c r="V3">
        <v>5.5669839999999998E-2</v>
      </c>
      <c r="W3">
        <v>0.14161670000000001</v>
      </c>
      <c r="X3">
        <v>0.98835499999999998</v>
      </c>
      <c r="Y3">
        <v>5.4614379999999999E-3</v>
      </c>
      <c r="Z3">
        <v>-1.4306480000000001E-4</v>
      </c>
      <c r="AA3">
        <v>0.99998509999999996</v>
      </c>
      <c r="AB3">
        <v>1</v>
      </c>
      <c r="AC3">
        <v>22.9208999999999</v>
      </c>
      <c r="AD3">
        <v>-1.1203485761009999</v>
      </c>
      <c r="AE3">
        <v>-0.13120000000003501</v>
      </c>
      <c r="AF3">
        <v>0.12512786833025899</v>
      </c>
      <c r="AG3">
        <v>-1.1203485761009999</v>
      </c>
      <c r="AH3">
        <v>22.866303133094899</v>
      </c>
      <c r="AI3">
        <v>92.804956906133199</v>
      </c>
      <c r="AJ3">
        <v>89.686471960327793</v>
      </c>
      <c r="AK3">
        <v>22.894074711374302</v>
      </c>
      <c r="AL3">
        <v>81.858591592143</v>
      </c>
      <c r="AM3">
        <v>86.776178461349105</v>
      </c>
      <c r="AN3">
        <v>1.00000001341475</v>
      </c>
    </row>
    <row r="4" spans="1:40" x14ac:dyDescent="0.25">
      <c r="A4" t="str">
        <f>"20190303170456279"</f>
        <v>20190303170456279</v>
      </c>
      <c r="B4" t="str">
        <f>"1551603896274689"</f>
        <v>1551603896274689</v>
      </c>
      <c r="C4" t="s">
        <v>40</v>
      </c>
      <c r="D4">
        <v>4.8812110000000004</v>
      </c>
      <c r="E4">
        <v>0.48400959999999899</v>
      </c>
      <c r="F4" t="s">
        <v>41</v>
      </c>
      <c r="G4">
        <v>-452.78289999999998</v>
      </c>
      <c r="H4" s="1">
        <v>-3.556671E-6</v>
      </c>
      <c r="I4">
        <v>366.92020000000002</v>
      </c>
      <c r="J4">
        <v>-475.63639999999998</v>
      </c>
      <c r="K4">
        <v>1.1201760000000001</v>
      </c>
      <c r="L4">
        <v>367.0675</v>
      </c>
      <c r="M4">
        <v>0.99998069999999895</v>
      </c>
      <c r="N4">
        <v>-6.2182139999999997E-3</v>
      </c>
      <c r="O4">
        <v>-3.3850249999999997E-4</v>
      </c>
      <c r="P4">
        <v>0.98914530000000001</v>
      </c>
      <c r="Q4">
        <v>0.13568740000000001</v>
      </c>
      <c r="R4">
        <v>-5.6394720000000002E-2</v>
      </c>
      <c r="S4">
        <v>3.051453</v>
      </c>
      <c r="T4">
        <v>-0.14949019999999999</v>
      </c>
      <c r="U4">
        <v>-1.9653319999999998E-2</v>
      </c>
      <c r="V4">
        <v>5.607877E-2</v>
      </c>
      <c r="W4">
        <v>0.14182819999999999</v>
      </c>
      <c r="X4">
        <v>0.98830150000000005</v>
      </c>
      <c r="Y4">
        <v>6.09408E-3</v>
      </c>
      <c r="Z4">
        <v>-1.536741E-4</v>
      </c>
      <c r="AA4">
        <v>0.99998140000000002</v>
      </c>
      <c r="AB4">
        <v>1</v>
      </c>
      <c r="AC4">
        <v>22.8535</v>
      </c>
      <c r="AD4">
        <v>-1.120179556671</v>
      </c>
      <c r="AE4">
        <v>-0.14729999999997201</v>
      </c>
      <c r="AF4">
        <v>0.139229386143883</v>
      </c>
      <c r="AG4">
        <v>-1.120179556671</v>
      </c>
      <c r="AH4">
        <v>22.798775956237598</v>
      </c>
      <c r="AI4">
        <v>92.812817463402297</v>
      </c>
      <c r="AJ4">
        <v>89.650105906567504</v>
      </c>
      <c r="AK4">
        <v>22.826703050678798</v>
      </c>
      <c r="AL4">
        <v>81.846349541657602</v>
      </c>
      <c r="AM4">
        <v>86.752372544627605</v>
      </c>
      <c r="AN4">
        <v>0.99999996083109999</v>
      </c>
    </row>
    <row r="5" spans="1:40" x14ac:dyDescent="0.25">
      <c r="A5" t="str">
        <f>"20190303170456302"</f>
        <v>20190303170456302</v>
      </c>
      <c r="B5" t="str">
        <f>"1551603896294209"</f>
        <v>1551603896294209</v>
      </c>
      <c r="C5" t="s">
        <v>40</v>
      </c>
      <c r="D5">
        <v>4.8824779999999999</v>
      </c>
      <c r="E5">
        <v>0.48389870000000001</v>
      </c>
      <c r="F5" t="s">
        <v>41</v>
      </c>
      <c r="G5">
        <v>-452.11070000000001</v>
      </c>
      <c r="H5" s="1">
        <v>-3.8465030000000002E-6</v>
      </c>
      <c r="I5">
        <v>366.9119</v>
      </c>
      <c r="J5">
        <v>-475.61799999999999</v>
      </c>
      <c r="K5">
        <v>1.120044</v>
      </c>
      <c r="L5">
        <v>367.06740000000002</v>
      </c>
      <c r="M5">
        <v>0.99998699999999996</v>
      </c>
      <c r="N5">
        <v>-5.1027820000000002E-3</v>
      </c>
      <c r="O5">
        <v>-4.391261E-4</v>
      </c>
      <c r="P5">
        <v>0.98890250000000002</v>
      </c>
      <c r="Q5">
        <v>0.137245799999999</v>
      </c>
      <c r="R5">
        <v>-5.688348E-2</v>
      </c>
      <c r="S5">
        <v>3.051666</v>
      </c>
      <c r="T5">
        <v>-0.145305399999999</v>
      </c>
      <c r="U5">
        <v>-2.0172120000000002E-2</v>
      </c>
      <c r="V5">
        <v>5.6469369999999998E-2</v>
      </c>
      <c r="W5">
        <v>0.142282299999999</v>
      </c>
      <c r="X5">
        <v>0.98821400000000004</v>
      </c>
      <c r="Y5">
        <v>6.1635960000000004E-3</v>
      </c>
      <c r="Z5">
        <v>-1.4373399999999999E-4</v>
      </c>
      <c r="AA5">
        <v>0.99998100000000001</v>
      </c>
      <c r="AB5">
        <v>1</v>
      </c>
      <c r="AC5">
        <v>23.507300000000001</v>
      </c>
      <c r="AD5">
        <v>-1.1200478465029999</v>
      </c>
      <c r="AE5">
        <v>-0.15550000000001701</v>
      </c>
      <c r="AF5">
        <v>0.14484835980328001</v>
      </c>
      <c r="AG5">
        <v>-1.1200478465029999</v>
      </c>
      <c r="AH5">
        <v>23.4541223666766</v>
      </c>
      <c r="AI5">
        <v>92.734021577143096</v>
      </c>
      <c r="AJ5">
        <v>89.646156268551493</v>
      </c>
      <c r="AK5">
        <v>23.481297754102801</v>
      </c>
      <c r="AL5">
        <v>81.820065094679507</v>
      </c>
      <c r="AM5">
        <v>86.729512159374096</v>
      </c>
      <c r="AN5">
        <v>0.99999997621874304</v>
      </c>
    </row>
    <row r="6" spans="1:40" x14ac:dyDescent="0.25">
      <c r="A6" t="str">
        <f>"20190303170456326"</f>
        <v>20190303170456326</v>
      </c>
      <c r="B6" t="str">
        <f>"1551603896314705"</f>
        <v>1551603896314705</v>
      </c>
      <c r="C6" t="s">
        <v>40</v>
      </c>
      <c r="D6">
        <v>4.9957690000000001</v>
      </c>
      <c r="E6">
        <v>0.48378290000000002</v>
      </c>
      <c r="F6" t="s">
        <v>41</v>
      </c>
      <c r="G6">
        <v>-451.26850000000002</v>
      </c>
      <c r="H6" s="1">
        <v>-4.2084420000000001E-6</v>
      </c>
      <c r="I6">
        <v>366.9083</v>
      </c>
      <c r="J6">
        <v>-475.59539999999998</v>
      </c>
      <c r="K6">
        <v>1.1199429999999999</v>
      </c>
      <c r="L6">
        <v>367.06720000000001</v>
      </c>
      <c r="M6">
        <v>0.99999170000000004</v>
      </c>
      <c r="N6">
        <v>-4.0302360000000004E-3</v>
      </c>
      <c r="O6">
        <v>-5.5892589999999905E-4</v>
      </c>
      <c r="P6">
        <v>0.98870049999999998</v>
      </c>
      <c r="Q6">
        <v>0.13849159999999999</v>
      </c>
      <c r="R6">
        <v>-5.7372390000000002E-2</v>
      </c>
      <c r="S6">
        <v>3.0520019999999999</v>
      </c>
      <c r="T6">
        <v>-0.14038829999999999</v>
      </c>
      <c r="U6">
        <v>-1.9927980000000001E-2</v>
      </c>
      <c r="V6">
        <v>5.6840889999999998E-2</v>
      </c>
      <c r="W6">
        <v>0.14246689999999901</v>
      </c>
      <c r="X6">
        <v>0.98816619999999999</v>
      </c>
      <c r="Y6">
        <v>5.9640509999999997E-3</v>
      </c>
      <c r="Z6">
        <v>-1.2567629999999999E-4</v>
      </c>
      <c r="AA6">
        <v>0.99998220000000004</v>
      </c>
      <c r="AB6">
        <v>2</v>
      </c>
      <c r="AC6">
        <v>24.326899999999899</v>
      </c>
      <c r="AD6">
        <v>-1.1199472084419999</v>
      </c>
      <c r="AE6">
        <v>-0.158900000000016</v>
      </c>
      <c r="AF6">
        <v>0.14499563322811501</v>
      </c>
      <c r="AG6">
        <v>-1.1199472084419999</v>
      </c>
      <c r="AH6">
        <v>24.275536614126999</v>
      </c>
      <c r="AI6">
        <v>92.6414097269531</v>
      </c>
      <c r="AJ6">
        <v>89.657781445887494</v>
      </c>
      <c r="AK6">
        <v>24.301789715721998</v>
      </c>
      <c r="AL6">
        <v>81.809380223658593</v>
      </c>
      <c r="AM6">
        <v>86.707883434252807</v>
      </c>
      <c r="AN6">
        <v>1.0000000715970101</v>
      </c>
    </row>
    <row r="7" spans="1:40" x14ac:dyDescent="0.25">
      <c r="A7" t="str">
        <f>"20190303170456348"</f>
        <v>20190303170456348</v>
      </c>
      <c r="B7" t="str">
        <f>"1551603896334225"</f>
        <v>1551603896334225</v>
      </c>
      <c r="C7" t="s">
        <v>40</v>
      </c>
      <c r="D7">
        <v>4.9371119999999999</v>
      </c>
      <c r="E7">
        <v>0.48370570000000002</v>
      </c>
      <c r="F7" t="s">
        <v>41</v>
      </c>
      <c r="G7">
        <v>-450.5498</v>
      </c>
      <c r="H7" s="1">
        <v>-4.5180429999999999E-6</v>
      </c>
      <c r="I7">
        <v>366.90109999999999</v>
      </c>
      <c r="J7">
        <v>-475.572</v>
      </c>
      <c r="K7">
        <v>1.1198760000000001</v>
      </c>
      <c r="L7">
        <v>367.06709999999998</v>
      </c>
      <c r="M7">
        <v>0.99999479999999996</v>
      </c>
      <c r="N7">
        <v>-3.1784949999999999E-3</v>
      </c>
      <c r="O7">
        <v>-6.8095429999999902E-4</v>
      </c>
      <c r="P7">
        <v>0.98865510000000001</v>
      </c>
      <c r="Q7">
        <v>0.1386512</v>
      </c>
      <c r="R7">
        <v>-5.7772450000000003E-2</v>
      </c>
      <c r="S7">
        <v>3.0523069999999999</v>
      </c>
      <c r="T7">
        <v>-0.13648769999999999</v>
      </c>
      <c r="U7">
        <v>-2.0233149999999998E-2</v>
      </c>
      <c r="V7">
        <v>5.7120669999999998E-2</v>
      </c>
      <c r="W7">
        <v>0.14178379999999999</v>
      </c>
      <c r="X7">
        <v>0.98824820000000002</v>
      </c>
      <c r="Y7">
        <v>5.9419449999999997E-3</v>
      </c>
      <c r="Z7">
        <v>-1.1396049999999999E-4</v>
      </c>
      <c r="AA7">
        <v>0.99998240000000005</v>
      </c>
      <c r="AB7">
        <v>2</v>
      </c>
      <c r="AC7">
        <v>25.022199999999899</v>
      </c>
      <c r="AD7">
        <v>-1.119880518043</v>
      </c>
      <c r="AE7">
        <v>-0.16599999999999601</v>
      </c>
      <c r="AF7">
        <v>0.14866313517080301</v>
      </c>
      <c r="AG7">
        <v>-1.119880518043</v>
      </c>
      <c r="AH7">
        <v>24.972288626313102</v>
      </c>
      <c r="AI7">
        <v>92.567659390594997</v>
      </c>
      <c r="AJ7">
        <v>89.658915139028807</v>
      </c>
      <c r="AK7">
        <v>24.997828552463101</v>
      </c>
      <c r="AL7">
        <v>81.848919444707093</v>
      </c>
      <c r="AM7">
        <v>86.691988907392201</v>
      </c>
      <c r="AN7">
        <v>0.99999996084346299</v>
      </c>
    </row>
    <row r="8" spans="1:40" x14ac:dyDescent="0.25">
      <c r="A8" t="str">
        <f>"20190303170456367"</f>
        <v>20190303170456367</v>
      </c>
      <c r="B8" t="str">
        <f>"1551603896354722"</f>
        <v>1551603896354722</v>
      </c>
      <c r="C8" t="s">
        <v>40</v>
      </c>
      <c r="D8">
        <v>5.0616690000000002</v>
      </c>
      <c r="E8">
        <v>0.4835991</v>
      </c>
      <c r="F8" t="s">
        <v>41</v>
      </c>
      <c r="G8">
        <v>-450.41660000000002</v>
      </c>
      <c r="H8" s="1">
        <v>-4.5760489999999998E-6</v>
      </c>
      <c r="I8">
        <v>366.89620000000002</v>
      </c>
      <c r="J8">
        <v>-475.54939999999999</v>
      </c>
      <c r="K8">
        <v>1.1198380000000001</v>
      </c>
      <c r="L8">
        <v>367.06700000000001</v>
      </c>
      <c r="M8">
        <v>0.99999640000000001</v>
      </c>
      <c r="N8">
        <v>-2.52309E-3</v>
      </c>
      <c r="O8">
        <v>-7.9477249999999997E-4</v>
      </c>
      <c r="P8">
        <v>0.98858310000000005</v>
      </c>
      <c r="Q8">
        <v>0.13908019999999999</v>
      </c>
      <c r="R8">
        <v>-5.796279E-2</v>
      </c>
      <c r="S8">
        <v>3.0522459999999998</v>
      </c>
      <c r="T8">
        <v>-0.13588129999999901</v>
      </c>
      <c r="U8">
        <v>-2.0721440000000001E-2</v>
      </c>
      <c r="V8">
        <v>5.7199170000000001E-2</v>
      </c>
      <c r="W8">
        <v>0.14156529999999901</v>
      </c>
      <c r="X8">
        <v>0.98827509999999996</v>
      </c>
      <c r="Y8">
        <v>5.9884309999999998E-3</v>
      </c>
      <c r="Z8">
        <v>-1.074293E-4</v>
      </c>
      <c r="AA8">
        <v>0.99998209999999998</v>
      </c>
      <c r="AB8">
        <v>2</v>
      </c>
      <c r="AC8">
        <v>25.1327999999999</v>
      </c>
      <c r="AD8">
        <v>-1.1198425760489901</v>
      </c>
      <c r="AE8">
        <v>-0.17079999999992801</v>
      </c>
      <c r="AF8">
        <v>0.150526192150399</v>
      </c>
      <c r="AG8">
        <v>-1.1198425760489901</v>
      </c>
      <c r="AH8">
        <v>25.083131873325801</v>
      </c>
      <c r="AI8">
        <v>92.556240671643593</v>
      </c>
      <c r="AJ8">
        <v>89.656166860250494</v>
      </c>
      <c r="AK8">
        <v>25.108568459876601</v>
      </c>
      <c r="AL8">
        <v>81.861567082137</v>
      </c>
      <c r="AM8">
        <v>86.687542842719395</v>
      </c>
      <c r="AN8">
        <v>1.0000000762463901</v>
      </c>
    </row>
    <row r="9" spans="1:40" x14ac:dyDescent="0.25">
      <c r="A9" t="str">
        <f>"20190303170456390"</f>
        <v>20190303170456390</v>
      </c>
      <c r="B9" t="str">
        <f>"1551603896384002"</f>
        <v>1551603896384002</v>
      </c>
      <c r="C9" t="s">
        <v>40</v>
      </c>
      <c r="D9">
        <v>5.0047050000000004</v>
      </c>
      <c r="E9">
        <v>0.47947030000000002</v>
      </c>
      <c r="F9" t="s">
        <v>41</v>
      </c>
      <c r="G9">
        <v>-450.17910000000001</v>
      </c>
      <c r="H9" s="1">
        <v>-4.6785470000000004E-6</v>
      </c>
      <c r="I9">
        <v>366.8929</v>
      </c>
      <c r="J9">
        <v>-475.51900000000001</v>
      </c>
      <c r="K9">
        <v>1.1198030000000001</v>
      </c>
      <c r="L9">
        <v>367.0668</v>
      </c>
      <c r="M9">
        <v>0.99999800000000005</v>
      </c>
      <c r="N9">
        <v>-1.8196779999999999E-3</v>
      </c>
      <c r="O9">
        <v>-9.4559030000000005E-4</v>
      </c>
      <c r="P9">
        <v>0.98844019999999999</v>
      </c>
      <c r="Q9">
        <v>0.14006550000000001</v>
      </c>
      <c r="R9">
        <v>-5.8033729999999999E-2</v>
      </c>
      <c r="S9">
        <v>3.052368</v>
      </c>
      <c r="T9">
        <v>-0.1347303</v>
      </c>
      <c r="U9">
        <v>-2.0935059999999998E-2</v>
      </c>
      <c r="V9">
        <v>5.7121289999999998E-2</v>
      </c>
      <c r="W9">
        <v>0.14185510000000001</v>
      </c>
      <c r="X9">
        <v>0.98823799999999995</v>
      </c>
      <c r="Y9">
        <v>5.9077499999999998E-3</v>
      </c>
      <c r="Z9" s="1">
        <v>-9.569852E-5</v>
      </c>
      <c r="AA9">
        <v>0.9999825</v>
      </c>
      <c r="AB9">
        <v>3</v>
      </c>
      <c r="AC9">
        <v>25.3399</v>
      </c>
      <c r="AD9">
        <v>-1.1198076785469999</v>
      </c>
      <c r="AE9">
        <v>-0.173900000000003</v>
      </c>
      <c r="AF9">
        <v>0.14964649249152701</v>
      </c>
      <c r="AG9">
        <v>-1.1198076785469999</v>
      </c>
      <c r="AH9">
        <v>25.290665626405801</v>
      </c>
      <c r="AI9">
        <v>92.535214154331499</v>
      </c>
      <c r="AJ9">
        <v>89.660981150007899</v>
      </c>
      <c r="AK9">
        <v>25.315886931654401</v>
      </c>
      <c r="AL9">
        <v>81.844793093604807</v>
      </c>
      <c r="AM9">
        <v>86.691919013423501</v>
      </c>
      <c r="AN9">
        <v>1.00000002790563</v>
      </c>
    </row>
    <row r="10" spans="1:40" x14ac:dyDescent="0.25">
      <c r="A10" t="str">
        <f>"20190303170456413"</f>
        <v>20190303170456413</v>
      </c>
      <c r="B10" t="str">
        <f>"1551603896404497"</f>
        <v>1551603896404497</v>
      </c>
      <c r="C10" t="s">
        <v>40</v>
      </c>
      <c r="D10">
        <v>5.0028220000000001</v>
      </c>
      <c r="E10">
        <v>0.47942420000000002</v>
      </c>
      <c r="F10" t="s">
        <v>41</v>
      </c>
      <c r="G10">
        <v>-451.02789999999999</v>
      </c>
      <c r="H10" s="1">
        <v>-4.265928E-6</v>
      </c>
      <c r="I10">
        <v>367.16629999999998</v>
      </c>
      <c r="J10">
        <v>-475.48630000000003</v>
      </c>
      <c r="K10">
        <v>1.1197709999999901</v>
      </c>
      <c r="L10">
        <v>367.06659999999999</v>
      </c>
      <c r="M10">
        <v>0.99999859999999896</v>
      </c>
      <c r="N10">
        <v>-1.2037040000000001E-3</v>
      </c>
      <c r="O10">
        <v>-1.103983E-3</v>
      </c>
      <c r="P10">
        <v>0.98831049999999998</v>
      </c>
      <c r="Q10">
        <v>0.14120360000000001</v>
      </c>
      <c r="R10">
        <v>-5.7477529999999999E-2</v>
      </c>
      <c r="S10">
        <v>3.0555729999999999</v>
      </c>
      <c r="T10">
        <v>-0.1397091</v>
      </c>
      <c r="U10">
        <v>1.242065E-2</v>
      </c>
      <c r="V10">
        <v>5.6408840000000002E-2</v>
      </c>
      <c r="W10">
        <v>0.1423847</v>
      </c>
      <c r="X10">
        <v>0.98820280000000005</v>
      </c>
      <c r="Y10">
        <v>-5.1622300000000003E-3</v>
      </c>
      <c r="Z10">
        <v>1.7018449999999999E-4</v>
      </c>
      <c r="AA10">
        <v>0.99998659999999995</v>
      </c>
      <c r="AB10">
        <v>3</v>
      </c>
      <c r="AC10">
        <v>24.458400000000001</v>
      </c>
      <c r="AD10">
        <v>-1.11977526592799</v>
      </c>
      <c r="AE10">
        <v>9.9699999999984301E-2</v>
      </c>
      <c r="AF10">
        <v>-0.12643660291019501</v>
      </c>
      <c r="AG10">
        <v>-1.11977526592799</v>
      </c>
      <c r="AH10">
        <v>24.4071168677801</v>
      </c>
      <c r="AI10">
        <v>92.626798544922096</v>
      </c>
      <c r="AJ10">
        <v>90.296807646771299</v>
      </c>
      <c r="AK10">
        <v>24.433117620520999</v>
      </c>
      <c r="AL10">
        <v>81.814138406071805</v>
      </c>
      <c r="AM10">
        <v>86.732973278681499</v>
      </c>
      <c r="AN10">
        <v>1.0000000669760301</v>
      </c>
    </row>
    <row r="11" spans="1:40" x14ac:dyDescent="0.25">
      <c r="A11" t="str">
        <f>"20190303170456435"</f>
        <v>20190303170456435</v>
      </c>
      <c r="B11" t="str">
        <f>"1551603896424018"</f>
        <v>1551603896424018</v>
      </c>
      <c r="C11" t="s">
        <v>40</v>
      </c>
      <c r="D11">
        <v>5.0610350000000004</v>
      </c>
      <c r="E11">
        <v>0.47942620000000002</v>
      </c>
      <c r="F11" t="s">
        <v>41</v>
      </c>
      <c r="G11">
        <v>-450.24430000000001</v>
      </c>
      <c r="H11" s="1">
        <v>-4.5984870000000004E-6</v>
      </c>
      <c r="I11">
        <v>367.18650000000002</v>
      </c>
      <c r="J11">
        <v>-475.45190000000002</v>
      </c>
      <c r="K11">
        <v>1.1197469999999901</v>
      </c>
      <c r="L11">
        <v>367.06630000000001</v>
      </c>
      <c r="M11">
        <v>0.99999899999999997</v>
      </c>
      <c r="N11">
        <v>-6.6930769999999998E-4</v>
      </c>
      <c r="O11">
        <v>-1.2674839999999999E-3</v>
      </c>
      <c r="P11">
        <v>0.98821340000000002</v>
      </c>
      <c r="Q11">
        <v>0.1421338</v>
      </c>
      <c r="R11">
        <v>-5.6856049999999998E-2</v>
      </c>
      <c r="S11">
        <v>3.0557249999999998</v>
      </c>
      <c r="T11">
        <v>-0.13555619999999999</v>
      </c>
      <c r="U11">
        <v>1.452637E-2</v>
      </c>
      <c r="V11">
        <v>5.5625679999999997E-2</v>
      </c>
      <c r="W11">
        <v>0.14278679999999999</v>
      </c>
      <c r="X11">
        <v>0.98818910000000004</v>
      </c>
      <c r="Y11">
        <v>-6.0140200000000001E-3</v>
      </c>
      <c r="Z11">
        <v>1.9069399999999999E-4</v>
      </c>
      <c r="AA11">
        <v>0.99998189999999998</v>
      </c>
      <c r="AB11">
        <v>3</v>
      </c>
      <c r="AC11">
        <v>25.207599999999999</v>
      </c>
      <c r="AD11">
        <v>-1.1197515984869999</v>
      </c>
      <c r="AE11">
        <v>0.12020000000001101</v>
      </c>
      <c r="AF11">
        <v>-0.15185050840126599</v>
      </c>
      <c r="AG11">
        <v>-1.1197515984869999</v>
      </c>
      <c r="AH11">
        <v>25.157786124811199</v>
      </c>
      <c r="AI11">
        <v>92.548457877262805</v>
      </c>
      <c r="AJ11">
        <v>90.345828824076506</v>
      </c>
      <c r="AK11">
        <v>25.1831512110967</v>
      </c>
      <c r="AL11">
        <v>81.790861326013498</v>
      </c>
      <c r="AM11">
        <v>86.778190707608303</v>
      </c>
      <c r="AN11">
        <v>0.99999999194425604</v>
      </c>
    </row>
    <row r="12" spans="1:40" x14ac:dyDescent="0.25">
      <c r="A12" t="str">
        <f>"20190303170456457"</f>
        <v>20190303170456457</v>
      </c>
      <c r="B12" t="str">
        <f>"1551603896444514"</f>
        <v>1551603896444514</v>
      </c>
      <c r="C12" t="s">
        <v>40</v>
      </c>
      <c r="D12">
        <v>4.9979849999999999</v>
      </c>
      <c r="E12">
        <v>0.47944540000000002</v>
      </c>
      <c r="F12" t="s">
        <v>41</v>
      </c>
      <c r="G12">
        <v>-450.04689999999999</v>
      </c>
      <c r="H12" s="1">
        <v>-4.6794079999999998E-6</v>
      </c>
      <c r="I12">
        <v>367.20760000000001</v>
      </c>
      <c r="J12">
        <v>-475.41640000000001</v>
      </c>
      <c r="K12">
        <v>1.119723</v>
      </c>
      <c r="L12">
        <v>367.06610000000001</v>
      </c>
      <c r="M12">
        <v>0.99999899999999997</v>
      </c>
      <c r="N12">
        <v>-2.1533070000000001E-4</v>
      </c>
      <c r="O12">
        <v>-1.4312610000000001E-3</v>
      </c>
      <c r="P12">
        <v>0.98815189999999997</v>
      </c>
      <c r="Q12">
        <v>0.14251910000000001</v>
      </c>
      <c r="R12">
        <v>-5.6958370000000001E-2</v>
      </c>
      <c r="S12">
        <v>3.0560909999999999</v>
      </c>
      <c r="T12">
        <v>-0.1347003</v>
      </c>
      <c r="U12">
        <v>1.6998289999999999E-2</v>
      </c>
      <c r="V12">
        <v>5.556622E-2</v>
      </c>
      <c r="W12">
        <v>0.14272309999999999</v>
      </c>
      <c r="X12">
        <v>0.98820169999999996</v>
      </c>
      <c r="Y12">
        <v>-6.9850590000000001E-3</v>
      </c>
      <c r="Z12">
        <v>2.173585E-4</v>
      </c>
      <c r="AA12">
        <v>0.99997559999999996</v>
      </c>
      <c r="AB12">
        <v>3</v>
      </c>
      <c r="AC12">
        <v>25.369499999999999</v>
      </c>
      <c r="AD12">
        <v>-1.119727679408</v>
      </c>
      <c r="AE12">
        <v>0.14150000000000701</v>
      </c>
      <c r="AF12">
        <v>-0.17746453037642801</v>
      </c>
      <c r="AG12">
        <v>-1.119727679408</v>
      </c>
      <c r="AH12">
        <v>25.319948397033301</v>
      </c>
      <c r="AI12">
        <v>92.532087458289993</v>
      </c>
      <c r="AJ12">
        <v>90.401572781696302</v>
      </c>
      <c r="AK12">
        <v>25.345316541010199</v>
      </c>
      <c r="AL12">
        <v>81.794549264352696</v>
      </c>
      <c r="AM12">
        <v>86.781668304617099</v>
      </c>
      <c r="AN12">
        <v>1.0000000439807899</v>
      </c>
    </row>
    <row r="13" spans="1:40" x14ac:dyDescent="0.25">
      <c r="A13" t="str">
        <f>"20190303170456479"</f>
        <v>20190303170456479</v>
      </c>
      <c r="B13" t="str">
        <f>"1551603896474769"</f>
        <v>1551603896474769</v>
      </c>
      <c r="C13" t="s">
        <v>40</v>
      </c>
      <c r="D13">
        <v>5.05227</v>
      </c>
      <c r="E13">
        <v>0.47927930000000002</v>
      </c>
      <c r="F13" t="s">
        <v>41</v>
      </c>
      <c r="G13">
        <v>-450.05470000000003</v>
      </c>
      <c r="H13" s="1">
        <v>-4.6771760000000001E-6</v>
      </c>
      <c r="I13">
        <v>367.2013</v>
      </c>
      <c r="J13">
        <v>-475.37599999999998</v>
      </c>
      <c r="K13">
        <v>1.1196980000000001</v>
      </c>
      <c r="L13">
        <v>367.0659</v>
      </c>
      <c r="M13">
        <v>0.99999870000000002</v>
      </c>
      <c r="N13">
        <v>2.132863E-4</v>
      </c>
      <c r="O13">
        <v>-1.6146909999999999E-3</v>
      </c>
      <c r="P13">
        <v>0.98818349999999999</v>
      </c>
      <c r="Q13">
        <v>0.14213229999999999</v>
      </c>
      <c r="R13">
        <v>-5.7376950000000003E-2</v>
      </c>
      <c r="S13">
        <v>3.0563660000000001</v>
      </c>
      <c r="T13">
        <v>-0.13493920000000001</v>
      </c>
      <c r="U13">
        <v>1.6296390000000001E-2</v>
      </c>
      <c r="V13">
        <v>5.5803190000000003E-2</v>
      </c>
      <c r="W13">
        <v>0.1419127</v>
      </c>
      <c r="X13">
        <v>0.98830499999999999</v>
      </c>
      <c r="Y13">
        <v>-6.9382200000000002E-3</v>
      </c>
      <c r="Z13">
        <v>2.2394400000000001E-4</v>
      </c>
      <c r="AA13">
        <v>0.99997590000000003</v>
      </c>
      <c r="AB13">
        <v>4</v>
      </c>
      <c r="AC13">
        <v>25.321299999999901</v>
      </c>
      <c r="AD13">
        <v>-1.1197026771759999</v>
      </c>
      <c r="AE13">
        <v>0.13540000000000399</v>
      </c>
      <c r="AF13">
        <v>-0.17594187338174899</v>
      </c>
      <c r="AG13">
        <v>-1.1197026771759999</v>
      </c>
      <c r="AH13">
        <v>25.271633869170198</v>
      </c>
      <c r="AI13">
        <v>92.536866263017004</v>
      </c>
      <c r="AJ13">
        <v>90.398888491770805</v>
      </c>
      <c r="AK13">
        <v>25.297038720875602</v>
      </c>
      <c r="AL13">
        <v>81.841458830938905</v>
      </c>
      <c r="AM13">
        <v>86.768309412933903</v>
      </c>
      <c r="AN13">
        <v>0.99999999173023302</v>
      </c>
    </row>
    <row r="14" spans="1:40" x14ac:dyDescent="0.25">
      <c r="A14" t="str">
        <f>"20190303170456502"</f>
        <v>20190303170456502</v>
      </c>
      <c r="B14" t="str">
        <f>"1551603896494290"</f>
        <v>1551603896494290</v>
      </c>
      <c r="C14" t="s">
        <v>40</v>
      </c>
      <c r="D14">
        <v>4.9947049999999997</v>
      </c>
      <c r="E14">
        <v>0.47913860000000003</v>
      </c>
      <c r="F14" t="s">
        <v>41</v>
      </c>
      <c r="G14">
        <v>-450.8107</v>
      </c>
      <c r="H14" s="1">
        <v>-4.3533740000000002E-6</v>
      </c>
      <c r="I14">
        <v>367.19850000000002</v>
      </c>
      <c r="J14">
        <v>-475.33210000000003</v>
      </c>
      <c r="K14">
        <v>1.1196729999999999</v>
      </c>
      <c r="L14">
        <v>367.06560000000002</v>
      </c>
      <c r="M14">
        <v>0.99999830000000001</v>
      </c>
      <c r="N14">
        <v>5.963295E-4</v>
      </c>
      <c r="O14">
        <v>-1.808573E-3</v>
      </c>
      <c r="P14">
        <v>0.98819889999999999</v>
      </c>
      <c r="Q14">
        <v>0.14191300000000001</v>
      </c>
      <c r="R14">
        <v>-5.7648110000000002E-2</v>
      </c>
      <c r="S14">
        <v>3.0568849999999999</v>
      </c>
      <c r="T14">
        <v>-0.1393344</v>
      </c>
      <c r="U14">
        <v>1.6510009999999999E-2</v>
      </c>
      <c r="V14">
        <v>5.5882979999999999E-2</v>
      </c>
      <c r="W14">
        <v>0.14131469999999999</v>
      </c>
      <c r="X14">
        <v>0.98838619999999999</v>
      </c>
      <c r="Y14">
        <v>-7.2000809999999997E-3</v>
      </c>
      <c r="Z14">
        <v>2.4532790000000003E-4</v>
      </c>
      <c r="AA14">
        <v>0.99997409999999998</v>
      </c>
      <c r="AB14">
        <v>4</v>
      </c>
      <c r="AC14">
        <v>24.5214</v>
      </c>
      <c r="AD14">
        <v>-1.1196773533740001</v>
      </c>
      <c r="AE14">
        <v>0.13290000000000601</v>
      </c>
      <c r="AF14">
        <v>-0.17687975318318899</v>
      </c>
      <c r="AG14">
        <v>-1.1196773533740001</v>
      </c>
      <c r="AH14">
        <v>24.4701021403121</v>
      </c>
      <c r="AI14">
        <v>92.619784663437599</v>
      </c>
      <c r="AJ14">
        <v>90.414149756229904</v>
      </c>
      <c r="AK14">
        <v>24.496343861483801</v>
      </c>
      <c r="AL14">
        <v>81.876070724166397</v>
      </c>
      <c r="AM14">
        <v>86.763963716750794</v>
      </c>
      <c r="AN14">
        <v>1.0000000161200999</v>
      </c>
    </row>
    <row r="15" spans="1:40" x14ac:dyDescent="0.25">
      <c r="A15" t="str">
        <f>"20190303170456526"</f>
        <v>20190303170456526</v>
      </c>
      <c r="B15" t="str">
        <f>"1551603896514786"</f>
        <v>1551603896514786</v>
      </c>
      <c r="C15" t="s">
        <v>40</v>
      </c>
      <c r="D15">
        <v>5.052257</v>
      </c>
      <c r="E15">
        <v>0.47901120000000003</v>
      </c>
      <c r="F15" t="s">
        <v>41</v>
      </c>
      <c r="G15">
        <v>-451.19159999999999</v>
      </c>
      <c r="H15" s="1">
        <v>-4.1905449999999997E-6</v>
      </c>
      <c r="I15">
        <v>367.1952</v>
      </c>
      <c r="J15">
        <v>-475.28410000000002</v>
      </c>
      <c r="K15">
        <v>1.1196489999999999</v>
      </c>
      <c r="L15">
        <v>367.06529999999998</v>
      </c>
      <c r="M15">
        <v>0.99999740000000004</v>
      </c>
      <c r="N15">
        <v>9.359635E-4</v>
      </c>
      <c r="O15">
        <v>-2.015027E-3</v>
      </c>
      <c r="P15">
        <v>0.98812900000000004</v>
      </c>
      <c r="Q15">
        <v>0.1423402</v>
      </c>
      <c r="R15">
        <v>-5.7794720000000001E-2</v>
      </c>
      <c r="S15">
        <v>3.0571290000000002</v>
      </c>
      <c r="T15">
        <v>-0.1417947</v>
      </c>
      <c r="U15">
        <v>1.6418459999999999E-2</v>
      </c>
      <c r="V15">
        <v>5.5825479999999997E-2</v>
      </c>
      <c r="W15">
        <v>0.1414067</v>
      </c>
      <c r="X15">
        <v>0.98837629999999999</v>
      </c>
      <c r="Y15">
        <v>-7.375436E-3</v>
      </c>
      <c r="Z15">
        <v>2.6279040000000002E-4</v>
      </c>
      <c r="AA15">
        <v>0.9999728</v>
      </c>
      <c r="AB15">
        <v>4</v>
      </c>
      <c r="AC15">
        <v>24.092500000000001</v>
      </c>
      <c r="AD15">
        <v>-1.11965319054499</v>
      </c>
      <c r="AE15">
        <v>0.12990000000002</v>
      </c>
      <c r="AF15">
        <v>-0.178062243345216</v>
      </c>
      <c r="AG15">
        <v>-1.11965319054499</v>
      </c>
      <c r="AH15">
        <v>24.040269893173601</v>
      </c>
      <c r="AI15">
        <v>92.666497611148898</v>
      </c>
      <c r="AJ15">
        <v>90.424372459932002</v>
      </c>
      <c r="AK15">
        <v>24.066987887274799</v>
      </c>
      <c r="AL15">
        <v>81.870746113239903</v>
      </c>
      <c r="AM15">
        <v>86.767254013289204</v>
      </c>
      <c r="AN15">
        <v>1.0000000247119001</v>
      </c>
    </row>
    <row r="16" spans="1:40" x14ac:dyDescent="0.25">
      <c r="A16" t="str">
        <f>"20190303170456548"</f>
        <v>20190303170456548</v>
      </c>
      <c r="B16" t="str">
        <f>"1551603896534305"</f>
        <v>1551603896534305</v>
      </c>
      <c r="C16" t="s">
        <v>40</v>
      </c>
      <c r="D16">
        <v>5.052454</v>
      </c>
      <c r="E16">
        <v>0.47901339999999998</v>
      </c>
      <c r="F16" t="s">
        <v>41</v>
      </c>
      <c r="G16">
        <v>-451.27429999999998</v>
      </c>
      <c r="H16" s="1">
        <v>-4.1544109999999997E-6</v>
      </c>
      <c r="I16">
        <v>367.19889999999998</v>
      </c>
      <c r="J16">
        <v>-475.23489999999998</v>
      </c>
      <c r="K16">
        <v>1.119631</v>
      </c>
      <c r="L16">
        <v>367.06490000000002</v>
      </c>
      <c r="M16">
        <v>0.99999680000000002</v>
      </c>
      <c r="N16">
        <v>1.2258289999999999E-3</v>
      </c>
      <c r="O16">
        <v>-2.2217500000000002E-3</v>
      </c>
      <c r="P16">
        <v>0.9880871</v>
      </c>
      <c r="Q16">
        <v>0.14275550000000001</v>
      </c>
      <c r="R16">
        <v>-5.7487690000000001E-2</v>
      </c>
      <c r="S16">
        <v>3.0575869999999998</v>
      </c>
      <c r="T16">
        <v>-0.1425844</v>
      </c>
      <c r="U16">
        <v>1.7028809999999998E-2</v>
      </c>
      <c r="V16">
        <v>5.5314429999999998E-2</v>
      </c>
      <c r="W16">
        <v>0.1415351</v>
      </c>
      <c r="X16">
        <v>0.9883866</v>
      </c>
      <c r="Y16">
        <v>-7.7802050000000001E-3</v>
      </c>
      <c r="Z16">
        <v>2.8280790000000003E-4</v>
      </c>
      <c r="AA16">
        <v>0.99996969999999996</v>
      </c>
      <c r="AB16">
        <v>5</v>
      </c>
      <c r="AC16">
        <v>23.960599999999999</v>
      </c>
      <c r="AD16">
        <v>-1.1196351544109999</v>
      </c>
      <c r="AE16">
        <v>0.13399999999995699</v>
      </c>
      <c r="AF16">
        <v>-0.18682624473536899</v>
      </c>
      <c r="AG16">
        <v>-1.1196351544109999</v>
      </c>
      <c r="AH16">
        <v>23.908041035144802</v>
      </c>
      <c r="AI16">
        <v>92.681172389360398</v>
      </c>
      <c r="AJ16">
        <v>90.447721226218604</v>
      </c>
      <c r="AK16">
        <v>23.9349725937358</v>
      </c>
      <c r="AL16">
        <v>81.863314151182706</v>
      </c>
      <c r="AM16">
        <v>86.796819335326404</v>
      </c>
      <c r="AN16">
        <v>0.99999997087889703</v>
      </c>
    </row>
    <row r="17" spans="1:40" x14ac:dyDescent="0.25">
      <c r="A17" t="str">
        <f>"20190303170456569"</f>
        <v>20190303170456569</v>
      </c>
      <c r="B17" t="str">
        <f>"1551603896564561"</f>
        <v>1551603896564561</v>
      </c>
      <c r="C17" t="s">
        <v>40</v>
      </c>
      <c r="D17">
        <v>5.1133379999999997</v>
      </c>
      <c r="E17">
        <v>0.47886859999999998</v>
      </c>
      <c r="F17" t="s">
        <v>41</v>
      </c>
      <c r="G17">
        <v>-451.2595</v>
      </c>
      <c r="H17" s="1">
        <v>-4.1594649999999998E-6</v>
      </c>
      <c r="I17">
        <v>367.2063</v>
      </c>
      <c r="J17">
        <v>-475.18770000000001</v>
      </c>
      <c r="K17">
        <v>1.1195999999999999</v>
      </c>
      <c r="L17">
        <v>367.06459999999998</v>
      </c>
      <c r="M17">
        <v>0.99999610000000005</v>
      </c>
      <c r="N17">
        <v>1.4624799999999999E-3</v>
      </c>
      <c r="O17">
        <v>-2.4153669999999999E-3</v>
      </c>
      <c r="P17">
        <v>0.98799950000000003</v>
      </c>
      <c r="Q17">
        <v>0.14333309999999999</v>
      </c>
      <c r="R17">
        <v>-5.7558039999999998E-2</v>
      </c>
      <c r="S17">
        <v>3.0578310000000002</v>
      </c>
      <c r="T17">
        <v>-0.14279790000000001</v>
      </c>
      <c r="U17">
        <v>1.8035889999999999E-2</v>
      </c>
      <c r="V17">
        <v>5.519371E-2</v>
      </c>
      <c r="W17">
        <v>0.14187920000000001</v>
      </c>
      <c r="X17">
        <v>0.98834409999999895</v>
      </c>
      <c r="Y17">
        <v>-8.3019080000000002E-3</v>
      </c>
      <c r="Z17">
        <v>3.0392819999999998E-4</v>
      </c>
      <c r="AA17">
        <v>0.99996549999999995</v>
      </c>
      <c r="AB17">
        <v>5</v>
      </c>
      <c r="AC17">
        <v>23.9282</v>
      </c>
      <c r="AD17">
        <v>-1.1196041594649999</v>
      </c>
      <c r="AE17">
        <v>0.14170000000001401</v>
      </c>
      <c r="AF17">
        <v>-0.19905923932956601</v>
      </c>
      <c r="AG17">
        <v>-1.1196041594649999</v>
      </c>
      <c r="AH17">
        <v>23.875518661754398</v>
      </c>
      <c r="AI17">
        <v>92.684733708081197</v>
      </c>
      <c r="AJ17">
        <v>90.4776855402542</v>
      </c>
      <c r="AK17">
        <v>23.902584157836099</v>
      </c>
      <c r="AL17">
        <v>81.8433983914625</v>
      </c>
      <c r="AM17">
        <v>86.803658394965396</v>
      </c>
      <c r="AN17">
        <v>1.0000000565105001</v>
      </c>
    </row>
    <row r="18" spans="1:40" x14ac:dyDescent="0.25">
      <c r="A18" t="str">
        <f>"20190303170456592"</f>
        <v>20190303170456592</v>
      </c>
      <c r="B18" t="str">
        <f>"1551603896584082"</f>
        <v>1551603896584082</v>
      </c>
      <c r="C18" t="s">
        <v>40</v>
      </c>
      <c r="D18">
        <v>5.0574320000000004</v>
      </c>
      <c r="E18">
        <v>0.47876099999999999</v>
      </c>
      <c r="F18" t="s">
        <v>41</v>
      </c>
      <c r="G18">
        <v>-451.13130000000001</v>
      </c>
      <c r="H18" s="1">
        <v>-4.2125279999999998E-6</v>
      </c>
      <c r="I18">
        <v>367.21730000000002</v>
      </c>
      <c r="J18">
        <v>-475.13080000000002</v>
      </c>
      <c r="K18">
        <v>1.119569</v>
      </c>
      <c r="L18">
        <v>367.06420000000003</v>
      </c>
      <c r="M18">
        <v>0.99999519999999997</v>
      </c>
      <c r="N18">
        <v>1.7035259999999999E-3</v>
      </c>
      <c r="O18">
        <v>-2.643346E-3</v>
      </c>
      <c r="P18">
        <v>0.98809559999999996</v>
      </c>
      <c r="Q18">
        <v>0.1425138</v>
      </c>
      <c r="R18">
        <v>-5.7940499999999999E-2</v>
      </c>
      <c r="S18">
        <v>3.0582579999999999</v>
      </c>
      <c r="T18">
        <v>-0.14233299999999999</v>
      </c>
      <c r="U18">
        <v>1.9409180000000002E-2</v>
      </c>
      <c r="V18">
        <v>5.535052E-2</v>
      </c>
      <c r="W18">
        <v>0.14082130000000001</v>
      </c>
      <c r="X18">
        <v>0.98848650000000005</v>
      </c>
      <c r="Y18">
        <v>-8.9771929999999996E-3</v>
      </c>
      <c r="Z18">
        <v>3.2859170000000001E-4</v>
      </c>
      <c r="AA18">
        <v>0.99995959999999995</v>
      </c>
      <c r="AB18">
        <v>5</v>
      </c>
      <c r="AC18">
        <v>23.999500000000001</v>
      </c>
      <c r="AD18">
        <v>-1.119573212528</v>
      </c>
      <c r="AE18">
        <v>0.15309999999999399</v>
      </c>
      <c r="AF18">
        <v>-0.216068339583073</v>
      </c>
      <c r="AG18">
        <v>-1.119573212528</v>
      </c>
      <c r="AH18">
        <v>23.946900117437501</v>
      </c>
      <c r="AI18">
        <v>92.676652869492301</v>
      </c>
      <c r="AJ18">
        <v>90.516954927319404</v>
      </c>
      <c r="AK18">
        <v>23.974030844647402</v>
      </c>
      <c r="AL18">
        <v>81.9046253938711</v>
      </c>
      <c r="AM18">
        <v>86.795057030915302</v>
      </c>
      <c r="AN18">
        <v>0.99999993964010303</v>
      </c>
    </row>
    <row r="19" spans="1:40" x14ac:dyDescent="0.25">
      <c r="A19" t="str">
        <f>"20190303170456626"</f>
        <v>20190303170456626</v>
      </c>
      <c r="B19" t="str">
        <f>"1551603896614337"</f>
        <v>1551603896614337</v>
      </c>
      <c r="C19" t="s">
        <v>40</v>
      </c>
      <c r="D19">
        <v>5.115685</v>
      </c>
      <c r="E19">
        <v>0.4785258</v>
      </c>
      <c r="F19" t="s">
        <v>41</v>
      </c>
      <c r="G19">
        <v>-451.7002</v>
      </c>
      <c r="H19" s="1">
        <v>-3.9700439999999996E-6</v>
      </c>
      <c r="I19">
        <v>367.20819999999998</v>
      </c>
      <c r="J19">
        <v>-475.0446</v>
      </c>
      <c r="K19">
        <v>1.1195269999999999</v>
      </c>
      <c r="L19">
        <v>367.06360000000001</v>
      </c>
      <c r="M19">
        <v>0.99999360000000004</v>
      </c>
      <c r="N19">
        <v>2.0000909999999998E-3</v>
      </c>
      <c r="O19">
        <v>-2.9778560000000001E-3</v>
      </c>
      <c r="P19">
        <v>0.98817540000000004</v>
      </c>
      <c r="Q19">
        <v>0.14152290000000001</v>
      </c>
      <c r="R19">
        <v>-5.8998340000000003E-2</v>
      </c>
      <c r="S19">
        <v>3.058319</v>
      </c>
      <c r="T19">
        <v>-0.14613399999999999</v>
      </c>
      <c r="U19">
        <v>1.8798829999999999E-2</v>
      </c>
      <c r="V19">
        <v>5.6077809999999999E-2</v>
      </c>
      <c r="W19">
        <v>0.1395372</v>
      </c>
      <c r="X19">
        <v>0.9886277</v>
      </c>
      <c r="Y19">
        <v>-9.110801E-3</v>
      </c>
      <c r="Z19">
        <v>3.5658530000000002E-4</v>
      </c>
      <c r="AA19">
        <v>0.99995849999999997</v>
      </c>
      <c r="AB19">
        <v>5</v>
      </c>
      <c r="AC19">
        <v>23.3444</v>
      </c>
      <c r="AD19">
        <v>-1.1195309700439999</v>
      </c>
      <c r="AE19">
        <v>0.144599999999968</v>
      </c>
      <c r="AF19">
        <v>-0.21362446354526399</v>
      </c>
      <c r="AG19">
        <v>-1.1195309700439999</v>
      </c>
      <c r="AH19">
        <v>23.290302849982702</v>
      </c>
      <c r="AI19">
        <v>92.751890899095798</v>
      </c>
      <c r="AJ19">
        <v>90.525516435452801</v>
      </c>
      <c r="AK19">
        <v>23.318172995503399</v>
      </c>
      <c r="AL19">
        <v>81.978933424204499</v>
      </c>
      <c r="AM19">
        <v>86.753497272501406</v>
      </c>
      <c r="AN19">
        <v>1.00000004008276</v>
      </c>
    </row>
    <row r="20" spans="1:40" x14ac:dyDescent="0.25">
      <c r="A20" t="str">
        <f>"20190303170456646"</f>
        <v>20190303170456646</v>
      </c>
      <c r="B20" t="str">
        <f>"1551603896634834"</f>
        <v>1551603896634834</v>
      </c>
      <c r="C20" t="s">
        <v>40</v>
      </c>
      <c r="D20">
        <v>5.1088399999999998</v>
      </c>
      <c r="E20">
        <v>0.47840519999999997</v>
      </c>
      <c r="F20" t="s">
        <v>41</v>
      </c>
      <c r="G20">
        <v>-452.43990000000002</v>
      </c>
      <c r="H20" s="1">
        <v>-3.6559259999999999E-6</v>
      </c>
      <c r="I20">
        <v>367.19009999999997</v>
      </c>
      <c r="J20">
        <v>-474.98820000000001</v>
      </c>
      <c r="K20">
        <v>1.1194999999999999</v>
      </c>
      <c r="L20">
        <v>367.06319999999999</v>
      </c>
      <c r="M20">
        <v>0.99999269999999996</v>
      </c>
      <c r="N20">
        <v>2.1571479999999998E-3</v>
      </c>
      <c r="O20">
        <v>-3.1900769999999999E-3</v>
      </c>
      <c r="P20">
        <v>0.98812339999999999</v>
      </c>
      <c r="Q20">
        <v>0.14154620000000001</v>
      </c>
      <c r="R20">
        <v>-5.9810839999999997E-2</v>
      </c>
      <c r="S20">
        <v>3.058624</v>
      </c>
      <c r="T20">
        <v>-0.15148229999999999</v>
      </c>
      <c r="U20">
        <v>1.7120360000000001E-2</v>
      </c>
      <c r="V20">
        <v>5.6680880000000003E-2</v>
      </c>
      <c r="W20">
        <v>0.13940449999999999</v>
      </c>
      <c r="X20">
        <v>0.98861200000000005</v>
      </c>
      <c r="Y20">
        <v>-8.7727819999999998E-3</v>
      </c>
      <c r="Z20">
        <v>3.7241109999999999E-4</v>
      </c>
      <c r="AA20">
        <v>0.9999614</v>
      </c>
      <c r="AB20">
        <v>6</v>
      </c>
      <c r="AC20">
        <v>22.548299999999902</v>
      </c>
      <c r="AD20">
        <v>-1.1195036559260001</v>
      </c>
      <c r="AE20">
        <v>0.126899999999977</v>
      </c>
      <c r="AF20">
        <v>-0.19834142315786199</v>
      </c>
      <c r="AG20">
        <v>-1.1195036559260001</v>
      </c>
      <c r="AH20">
        <v>22.492337758785499</v>
      </c>
      <c r="AI20">
        <v>92.849301790204606</v>
      </c>
      <c r="AJ20">
        <v>90.505231249239799</v>
      </c>
      <c r="AK20">
        <v>22.521054273969</v>
      </c>
      <c r="AL20">
        <v>81.986611389906003</v>
      </c>
      <c r="AM20">
        <v>86.718607737732995</v>
      </c>
      <c r="AN20">
        <v>1.00000001166091</v>
      </c>
    </row>
    <row r="21" spans="1:40" x14ac:dyDescent="0.25">
      <c r="A21" t="str">
        <f>"20190303170456669"</f>
        <v>20190303170456669</v>
      </c>
      <c r="B21" t="str">
        <f>"1551603896664114"</f>
        <v>1551603896664114</v>
      </c>
      <c r="C21" t="s">
        <v>40</v>
      </c>
      <c r="D21">
        <v>5.4172250000000002</v>
      </c>
      <c r="E21">
        <v>0.50135240000000003</v>
      </c>
      <c r="F21" t="s">
        <v>41</v>
      </c>
      <c r="G21">
        <v>-452.34690000000001</v>
      </c>
      <c r="H21" s="1">
        <v>-3.6978870000000001E-6</v>
      </c>
      <c r="I21">
        <v>367.17860000000002</v>
      </c>
      <c r="J21">
        <v>-474.92380000000003</v>
      </c>
      <c r="K21">
        <v>1.1194770000000001</v>
      </c>
      <c r="L21">
        <v>367.06279999999998</v>
      </c>
      <c r="M21">
        <v>0.99999159999999998</v>
      </c>
      <c r="N21">
        <v>2.310365E-3</v>
      </c>
      <c r="O21">
        <v>-3.4272209999999998E-3</v>
      </c>
      <c r="P21">
        <v>0.98805980000000004</v>
      </c>
      <c r="Q21">
        <v>0.14183689999999999</v>
      </c>
      <c r="R21">
        <v>-6.01714E-2</v>
      </c>
      <c r="S21">
        <v>3.058716</v>
      </c>
      <c r="T21">
        <v>-0.1512384</v>
      </c>
      <c r="U21">
        <v>1.5594480000000001E-2</v>
      </c>
      <c r="V21">
        <v>5.6807709999999997E-2</v>
      </c>
      <c r="W21">
        <v>0.1395438</v>
      </c>
      <c r="X21">
        <v>0.98858509999999999</v>
      </c>
      <c r="Y21">
        <v>-8.5109669999999995E-3</v>
      </c>
      <c r="Z21">
        <v>3.7771309999999999E-4</v>
      </c>
      <c r="AA21">
        <v>0.99996370000000001</v>
      </c>
      <c r="AB21">
        <v>6</v>
      </c>
      <c r="AC21">
        <v>22.576899999999998</v>
      </c>
      <c r="AD21">
        <v>-1.119480697887</v>
      </c>
      <c r="AE21">
        <v>0.115800000000035</v>
      </c>
      <c r="AF21">
        <v>-0.192701758913806</v>
      </c>
      <c r="AG21">
        <v>-1.119480697887</v>
      </c>
      <c r="AH21">
        <v>22.520999727920302</v>
      </c>
      <c r="AI21">
        <v>92.845629707683202</v>
      </c>
      <c r="AJ21">
        <v>90.490241471635002</v>
      </c>
      <c r="AK21">
        <v>22.549629703075301</v>
      </c>
      <c r="AL21">
        <v>81.978551567349996</v>
      </c>
      <c r="AM21">
        <v>86.711192051559095</v>
      </c>
      <c r="AN21">
        <v>1.00000004398794</v>
      </c>
    </row>
    <row r="22" spans="1:40" x14ac:dyDescent="0.25">
      <c r="A22" t="str">
        <f>"20190303170456692"</f>
        <v>20190303170456692</v>
      </c>
      <c r="B22" t="str">
        <f>"1551603896684610"</f>
        <v>1551603896684610</v>
      </c>
      <c r="C22" t="s">
        <v>40</v>
      </c>
      <c r="D22">
        <v>5.0543120000000004</v>
      </c>
      <c r="E22">
        <v>0.51381849999999996</v>
      </c>
      <c r="F22" t="s">
        <v>41</v>
      </c>
      <c r="G22">
        <v>-447.23140000000001</v>
      </c>
      <c r="H22" s="1">
        <v>-2.1370379999999998E-6</v>
      </c>
      <c r="I22">
        <v>365.52120000000002</v>
      </c>
      <c r="J22">
        <v>-474.85309999999998</v>
      </c>
      <c r="K22">
        <v>1.1194470000000001</v>
      </c>
      <c r="L22">
        <v>367.06229999999999</v>
      </c>
      <c r="M22">
        <v>0.9999903</v>
      </c>
      <c r="N22">
        <v>2.4537000000000001E-3</v>
      </c>
      <c r="O22">
        <v>-3.6806949999999999E-3</v>
      </c>
      <c r="P22">
        <v>0.98807469999999997</v>
      </c>
      <c r="Q22">
        <v>0.1416559</v>
      </c>
      <c r="R22">
        <v>-6.0352839999999998E-2</v>
      </c>
      <c r="S22">
        <v>3.0436399999999999</v>
      </c>
      <c r="T22">
        <v>-0.12304039999999999</v>
      </c>
      <c r="U22">
        <v>-0.16943359999999999</v>
      </c>
      <c r="V22">
        <v>5.6738919999999998E-2</v>
      </c>
      <c r="W22">
        <v>0.13922129999999999</v>
      </c>
      <c r="X22">
        <v>0.98863449999999997</v>
      </c>
      <c r="Y22">
        <v>5.1870350000000003E-2</v>
      </c>
      <c r="Z22">
        <v>-8.2585739999999996E-4</v>
      </c>
      <c r="AA22">
        <v>0.99865349999999997</v>
      </c>
      <c r="AB22">
        <v>6</v>
      </c>
      <c r="AC22">
        <v>27.621699999999901</v>
      </c>
      <c r="AD22">
        <v>-1.11944913703799</v>
      </c>
      <c r="AE22">
        <v>-1.5410999999999699</v>
      </c>
      <c r="AF22">
        <v>1.43706913521029</v>
      </c>
      <c r="AG22">
        <v>-1.11944913703799</v>
      </c>
      <c r="AH22">
        <v>27.582022081399501</v>
      </c>
      <c r="AI22">
        <v>92.320997022831406</v>
      </c>
      <c r="AJ22">
        <v>87.017491583947802</v>
      </c>
      <c r="AK22">
        <v>27.6421105592283</v>
      </c>
      <c r="AL22">
        <v>81.997211450464107</v>
      </c>
      <c r="AM22">
        <v>86.715329609218998</v>
      </c>
      <c r="AN22">
        <v>1.0000000250033501</v>
      </c>
    </row>
    <row r="23" spans="1:40" x14ac:dyDescent="0.25">
      <c r="A23" t="str">
        <f>"20190303170456714"</f>
        <v>20190303170456714</v>
      </c>
      <c r="B23" t="str">
        <f>"1551603896704130"</f>
        <v>1551603896704130</v>
      </c>
      <c r="C23" t="s">
        <v>40</v>
      </c>
      <c r="D23">
        <v>5.1902879999999998</v>
      </c>
      <c r="E23">
        <v>0.52023019999999998</v>
      </c>
      <c r="F23" t="s">
        <v>41</v>
      </c>
      <c r="G23">
        <v>-449.85950000000003</v>
      </c>
      <c r="H23" s="1">
        <v>-1.30655E-6</v>
      </c>
      <c r="I23">
        <v>364.84930000000003</v>
      </c>
      <c r="J23">
        <v>-474.78489999999999</v>
      </c>
      <c r="K23">
        <v>1.1194170000000001</v>
      </c>
      <c r="L23">
        <v>367.06180000000001</v>
      </c>
      <c r="M23">
        <v>0.99998900000000002</v>
      </c>
      <c r="N23">
        <v>2.571636E-3</v>
      </c>
      <c r="O23">
        <v>-3.9193659999999996E-3</v>
      </c>
      <c r="P23">
        <v>0.98823989999999995</v>
      </c>
      <c r="Q23">
        <v>0.1406936</v>
      </c>
      <c r="R23">
        <v>-5.9895080000000003E-2</v>
      </c>
      <c r="S23">
        <v>3.039307</v>
      </c>
      <c r="T23">
        <v>-0.136128799999999</v>
      </c>
      <c r="U23">
        <v>-0.26910400000000001</v>
      </c>
      <c r="V23">
        <v>5.6045200000000003E-2</v>
      </c>
      <c r="W23">
        <v>0.138141299999999</v>
      </c>
      <c r="X23">
        <v>0.98882550000000002</v>
      </c>
      <c r="Y23">
        <v>8.4216860000000004E-2</v>
      </c>
      <c r="Z23">
        <v>-1.58768E-3</v>
      </c>
      <c r="AA23">
        <v>0.99644619999999995</v>
      </c>
      <c r="AB23">
        <v>7</v>
      </c>
      <c r="AC23">
        <v>24.9253999999999</v>
      </c>
      <c r="AD23">
        <v>-1.1194183065500001</v>
      </c>
      <c r="AE23">
        <v>-2.2124999999999702</v>
      </c>
      <c r="AF23">
        <v>2.11056723437303</v>
      </c>
      <c r="AG23">
        <v>-1.1194183065500001</v>
      </c>
      <c r="AH23">
        <v>24.884081975585399</v>
      </c>
      <c r="AI23">
        <v>92.566529683191902</v>
      </c>
      <c r="AJ23">
        <v>85.152006473041098</v>
      </c>
      <c r="AK23">
        <v>24.998502498419899</v>
      </c>
      <c r="AL23">
        <v>82.059694276439998</v>
      </c>
      <c r="AM23">
        <v>86.756028774742703</v>
      </c>
      <c r="AN23">
        <v>0.999999976329489</v>
      </c>
    </row>
    <row r="24" spans="1:40" x14ac:dyDescent="0.25">
      <c r="A24" t="str">
        <f>"20190303170456737"</f>
        <v>20190303170456737</v>
      </c>
      <c r="B24" t="str">
        <f>"1551603896724625"</f>
        <v>1551603896724625</v>
      </c>
      <c r="C24" t="s">
        <v>40</v>
      </c>
      <c r="D24">
        <v>5.1826410000000003</v>
      </c>
      <c r="E24">
        <v>0.52319099999999996</v>
      </c>
      <c r="F24" t="s">
        <v>41</v>
      </c>
      <c r="G24">
        <v>-451.73149999999998</v>
      </c>
      <c r="H24" s="1">
        <v>-4.4132819999999997E-6</v>
      </c>
      <c r="I24">
        <v>364.63380000000001</v>
      </c>
      <c r="J24">
        <v>-474.7106</v>
      </c>
      <c r="K24">
        <v>1.119391</v>
      </c>
      <c r="L24">
        <v>367.06119999999999</v>
      </c>
      <c r="M24">
        <v>0.99998779999999998</v>
      </c>
      <c r="N24">
        <v>2.681924E-3</v>
      </c>
      <c r="O24">
        <v>-4.1738879999999997E-3</v>
      </c>
      <c r="P24">
        <v>0.98826519999999995</v>
      </c>
      <c r="Q24">
        <v>0.14064779999999999</v>
      </c>
      <c r="R24">
        <v>-5.9586149999999997E-2</v>
      </c>
      <c r="S24">
        <v>3.0373230000000002</v>
      </c>
      <c r="T24">
        <v>-0.14748510000000001</v>
      </c>
      <c r="U24">
        <v>-0.31988529999999998</v>
      </c>
      <c r="V24">
        <v>5.548492E-2</v>
      </c>
      <c r="W24">
        <v>0.13798640000000001</v>
      </c>
      <c r="X24">
        <v>0.9888787</v>
      </c>
      <c r="Y24">
        <v>0.1004819</v>
      </c>
      <c r="Z24">
        <v>-2.083101E-3</v>
      </c>
      <c r="AA24">
        <v>0.99493670000000001</v>
      </c>
      <c r="AB24">
        <v>7</v>
      </c>
      <c r="AC24">
        <v>22.979099999999999</v>
      </c>
      <c r="AD24">
        <v>-1.1193954132819901</v>
      </c>
      <c r="AE24">
        <v>-2.4273999999999698</v>
      </c>
      <c r="AF24">
        <v>2.3260075863385201</v>
      </c>
      <c r="AG24">
        <v>-1.1193954132819901</v>
      </c>
      <c r="AH24">
        <v>22.9352065312343</v>
      </c>
      <c r="AI24">
        <v>92.779972479517795</v>
      </c>
      <c r="AJ24">
        <v>84.209064216376504</v>
      </c>
      <c r="AK24">
        <v>23.080014211723402</v>
      </c>
      <c r="AL24">
        <v>82.068655023556005</v>
      </c>
      <c r="AM24">
        <v>86.788562721392694</v>
      </c>
      <c r="AN24">
        <v>0.99999995312302703</v>
      </c>
    </row>
    <row r="25" spans="1:40" x14ac:dyDescent="0.25">
      <c r="A25" t="str">
        <f>"20190303170456760"</f>
        <v>20190303170456760</v>
      </c>
      <c r="B25" t="str">
        <f>"1551603896744146"</f>
        <v>1551603896744146</v>
      </c>
      <c r="C25" t="s">
        <v>40</v>
      </c>
      <c r="D25">
        <v>5.1856460000000002</v>
      </c>
      <c r="E25">
        <v>0.52488109999999999</v>
      </c>
      <c r="F25" t="s">
        <v>41</v>
      </c>
      <c r="G25">
        <v>-452.32560000000001</v>
      </c>
      <c r="H25" s="1">
        <v>-4.1751299999999996E-6</v>
      </c>
      <c r="I25">
        <v>364.53969999999998</v>
      </c>
      <c r="J25">
        <v>-474.63459999999998</v>
      </c>
      <c r="K25">
        <v>1.1193679999999999</v>
      </c>
      <c r="L25">
        <v>367.06060000000002</v>
      </c>
      <c r="M25">
        <v>0.9999865</v>
      </c>
      <c r="N25">
        <v>2.778258E-3</v>
      </c>
      <c r="O25">
        <v>-4.428637E-3</v>
      </c>
      <c r="P25">
        <v>0.98826720000000001</v>
      </c>
      <c r="Q25">
        <v>0.14046149999999999</v>
      </c>
      <c r="R25">
        <v>-5.9991599999999902E-2</v>
      </c>
      <c r="S25">
        <v>3.0366209999999998</v>
      </c>
      <c r="T25">
        <v>-0.15184990000000001</v>
      </c>
      <c r="U25">
        <v>-0.34204099999999998</v>
      </c>
      <c r="V25">
        <v>5.5639000000000001E-2</v>
      </c>
      <c r="W25">
        <v>0.13770439999999901</v>
      </c>
      <c r="X25">
        <v>0.98890940000000005</v>
      </c>
      <c r="Y25">
        <v>0.10741000000000001</v>
      </c>
      <c r="Z25">
        <v>-2.2928290000000001E-3</v>
      </c>
      <c r="AA25">
        <v>0.99421219999999999</v>
      </c>
      <c r="AB25">
        <v>7</v>
      </c>
      <c r="AC25">
        <v>22.308999999999902</v>
      </c>
      <c r="AD25">
        <v>-1.1193721751300001</v>
      </c>
      <c r="AE25">
        <v>-2.5209000000000401</v>
      </c>
      <c r="AF25">
        <v>2.41607041305743</v>
      </c>
      <c r="AG25">
        <v>-1.1193721751300001</v>
      </c>
      <c r="AH25">
        <v>22.264598512054501</v>
      </c>
      <c r="AI25">
        <v>92.861401934167603</v>
      </c>
      <c r="AJ25">
        <v>83.806712083050698</v>
      </c>
      <c r="AK25">
        <v>22.423263304217901</v>
      </c>
      <c r="AL25">
        <v>82.084968542817904</v>
      </c>
      <c r="AM25">
        <v>86.7797631607054</v>
      </c>
      <c r="AN25">
        <v>1.0000000007543599</v>
      </c>
    </row>
    <row r="26" spans="1:40" x14ac:dyDescent="0.25">
      <c r="A26" t="str">
        <f>"20190303170456782"</f>
        <v>20190303170456782</v>
      </c>
      <c r="B26" t="str">
        <f>"1551603896774402"</f>
        <v>1551603896774402</v>
      </c>
      <c r="C26" t="s">
        <v>40</v>
      </c>
      <c r="D26">
        <v>5.1824820000000003</v>
      </c>
      <c r="E26">
        <v>0.52647129999999998</v>
      </c>
      <c r="F26" t="s">
        <v>41</v>
      </c>
      <c r="G26">
        <v>-452.3263</v>
      </c>
      <c r="H26" s="1">
        <v>-4.1922509999999998E-6</v>
      </c>
      <c r="I26">
        <v>364.44130000000001</v>
      </c>
      <c r="J26">
        <v>-474.55770000000001</v>
      </c>
      <c r="K26">
        <v>1.1193420000000001</v>
      </c>
      <c r="L26">
        <v>367.06</v>
      </c>
      <c r="M26">
        <v>0.99998500000000001</v>
      </c>
      <c r="N26">
        <v>2.8618900000000002E-3</v>
      </c>
      <c r="O26">
        <v>-4.6801539999999997E-3</v>
      </c>
      <c r="P26">
        <v>0.98834929999999999</v>
      </c>
      <c r="Q26">
        <v>0.1401955</v>
      </c>
      <c r="R26">
        <v>-5.925482E-2</v>
      </c>
      <c r="S26">
        <v>3.0356450000000001</v>
      </c>
      <c r="T26">
        <v>-0.15232039999999999</v>
      </c>
      <c r="U26">
        <v>-0.35641479999999998</v>
      </c>
      <c r="V26">
        <v>5.4653519999999997E-2</v>
      </c>
      <c r="W26">
        <v>0.1373558</v>
      </c>
      <c r="X26">
        <v>0.98901280000000003</v>
      </c>
      <c r="Y26">
        <v>0.111835199999999</v>
      </c>
      <c r="Z26">
        <v>-2.3865650000000002E-3</v>
      </c>
      <c r="AA26">
        <v>0.99372389999999999</v>
      </c>
      <c r="AB26">
        <v>7</v>
      </c>
      <c r="AC26">
        <v>22.231400000000001</v>
      </c>
      <c r="AD26">
        <v>-1.119346192251</v>
      </c>
      <c r="AE26">
        <v>-2.6186999999999898</v>
      </c>
      <c r="AF26">
        <v>2.5083526199801698</v>
      </c>
      <c r="AG26">
        <v>-1.119346192251</v>
      </c>
      <c r="AH26">
        <v>22.187933619460601</v>
      </c>
      <c r="AI26">
        <v>92.869783769470502</v>
      </c>
      <c r="AJ26">
        <v>83.550079198085697</v>
      </c>
      <c r="AK26">
        <v>22.357306793660499</v>
      </c>
      <c r="AL26">
        <v>82.105133229100005</v>
      </c>
      <c r="AM26">
        <v>86.837013286269197</v>
      </c>
      <c r="AN26">
        <v>0.99999997080293401</v>
      </c>
    </row>
    <row r="27" spans="1:40" x14ac:dyDescent="0.25">
      <c r="A27" t="str">
        <f>"20190303170456804"</f>
        <v>20190303170456804</v>
      </c>
      <c r="B27" t="str">
        <f>"1551603896793928"</f>
        <v>1551603896793928</v>
      </c>
      <c r="C27" t="s">
        <v>40</v>
      </c>
      <c r="D27">
        <v>5.182925</v>
      </c>
      <c r="E27">
        <v>0.52706339999999996</v>
      </c>
      <c r="F27" t="s">
        <v>41</v>
      </c>
      <c r="G27">
        <v>-452.47829999999999</v>
      </c>
      <c r="H27" s="1">
        <v>-4.1364370000000003E-6</v>
      </c>
      <c r="I27">
        <v>364.38839999999999</v>
      </c>
      <c r="J27">
        <v>-474.47789999999998</v>
      </c>
      <c r="K27">
        <v>1.1193109999999999</v>
      </c>
      <c r="L27">
        <v>367.05930000000001</v>
      </c>
      <c r="M27">
        <v>0.99998350000000003</v>
      </c>
      <c r="N27">
        <v>2.9363470000000002E-3</v>
      </c>
      <c r="O27">
        <v>-4.9353560000000001E-3</v>
      </c>
      <c r="P27">
        <v>0.98855409999999999</v>
      </c>
      <c r="Q27">
        <v>0.13914379999999901</v>
      </c>
      <c r="R27">
        <v>-5.8307860000000003E-2</v>
      </c>
      <c r="S27">
        <v>3.0351870000000001</v>
      </c>
      <c r="T27">
        <v>-0.15387229999999999</v>
      </c>
      <c r="U27">
        <v>-0.36724849999999998</v>
      </c>
      <c r="V27">
        <v>5.3453559999999997E-2</v>
      </c>
      <c r="W27">
        <v>0.13622979999999901</v>
      </c>
      <c r="X27">
        <v>0.98923410000000001</v>
      </c>
      <c r="Y27">
        <v>0.1150897</v>
      </c>
      <c r="Z27">
        <v>-2.471623E-3</v>
      </c>
      <c r="AA27">
        <v>0.99335209999999996</v>
      </c>
      <c r="AB27">
        <v>8</v>
      </c>
      <c r="AC27">
        <v>21.999599999999901</v>
      </c>
      <c r="AD27">
        <v>-1.119315136437</v>
      </c>
      <c r="AE27">
        <v>-2.6709000000000098</v>
      </c>
      <c r="AF27">
        <v>2.55577121969774</v>
      </c>
      <c r="AG27">
        <v>-1.119315136437</v>
      </c>
      <c r="AH27">
        <v>21.956501624633301</v>
      </c>
      <c r="AI27">
        <v>92.8988025987843</v>
      </c>
      <c r="AJ27">
        <v>83.360560474989001</v>
      </c>
      <c r="AK27">
        <v>22.133070200372501</v>
      </c>
      <c r="AL27">
        <v>82.170260517133997</v>
      </c>
      <c r="AM27">
        <v>86.907013418614696</v>
      </c>
      <c r="AN27">
        <v>0.99999997304376098</v>
      </c>
    </row>
    <row r="28" spans="1:40" x14ac:dyDescent="0.25">
      <c r="A28" t="str">
        <f>"20190303170456827"</f>
        <v>20190303170456827</v>
      </c>
      <c r="B28" t="str">
        <f>"1551603896814417"</f>
        <v>1551603896814417</v>
      </c>
      <c r="C28" t="s">
        <v>40</v>
      </c>
      <c r="D28">
        <v>5.1810280000000004</v>
      </c>
      <c r="E28">
        <v>0.52757330000000002</v>
      </c>
      <c r="F28" t="s">
        <v>41</v>
      </c>
      <c r="G28">
        <v>-452.90350000000001</v>
      </c>
      <c r="H28" s="1">
        <v>-3.9458350000000003E-6</v>
      </c>
      <c r="I28">
        <v>364.43459999999999</v>
      </c>
      <c r="J28">
        <v>-474.39330000000001</v>
      </c>
      <c r="K28">
        <v>1.1192839999999999</v>
      </c>
      <c r="L28">
        <v>367.05860000000001</v>
      </c>
      <c r="M28">
        <v>0.99998200000000004</v>
      </c>
      <c r="N28">
        <v>3.0032729999999999E-3</v>
      </c>
      <c r="O28">
        <v>-5.2003240000000001E-3</v>
      </c>
      <c r="P28">
        <v>0.98883069999999895</v>
      </c>
      <c r="Q28">
        <v>0.1373857</v>
      </c>
      <c r="R28">
        <v>-5.7788480000000003E-2</v>
      </c>
      <c r="S28">
        <v>3.035126</v>
      </c>
      <c r="T28">
        <v>-0.1574662</v>
      </c>
      <c r="U28">
        <v>-0.36923220000000001</v>
      </c>
      <c r="V28">
        <v>5.2671049999999997E-2</v>
      </c>
      <c r="W28">
        <v>0.13440469999999999</v>
      </c>
      <c r="X28">
        <v>0.98952569999999995</v>
      </c>
      <c r="Y28">
        <v>0.1154625</v>
      </c>
      <c r="Z28">
        <v>-2.523899E-3</v>
      </c>
      <c r="AA28">
        <v>0.99330870000000004</v>
      </c>
      <c r="AB28">
        <v>8</v>
      </c>
      <c r="AC28">
        <v>21.489799999999999</v>
      </c>
      <c r="AD28">
        <v>-1.119287945835</v>
      </c>
      <c r="AE28">
        <v>-2.6240000000000201</v>
      </c>
      <c r="AF28">
        <v>2.50551297283618</v>
      </c>
      <c r="AG28">
        <v>-1.119287945835</v>
      </c>
      <c r="AH28">
        <v>21.4458313936324</v>
      </c>
      <c r="AI28">
        <v>92.967489285968199</v>
      </c>
      <c r="AJ28">
        <v>83.336351731808094</v>
      </c>
      <c r="AK28">
        <v>21.620686504522801</v>
      </c>
      <c r="AL28">
        <v>82.275801905366507</v>
      </c>
      <c r="AM28">
        <v>86.953102296555898</v>
      </c>
      <c r="AN28">
        <v>0.99999998692534098</v>
      </c>
    </row>
    <row r="29" spans="1:40" x14ac:dyDescent="0.25">
      <c r="A29" t="str">
        <f>"20190303170456848"</f>
        <v>20190303170456848</v>
      </c>
      <c r="B29" t="str">
        <f>"1551603896833938"</f>
        <v>1551603896833938</v>
      </c>
      <c r="C29" t="s">
        <v>40</v>
      </c>
      <c r="D29">
        <v>5.1820919999999999</v>
      </c>
      <c r="E29">
        <v>0.52792779999999995</v>
      </c>
      <c r="F29" t="s">
        <v>41</v>
      </c>
      <c r="G29">
        <v>-453.63119999999998</v>
      </c>
      <c r="H29" s="1">
        <v>-3.6199420000000002E-6</v>
      </c>
      <c r="I29">
        <v>364.51190000000003</v>
      </c>
      <c r="J29">
        <v>-474.30950000000001</v>
      </c>
      <c r="K29">
        <v>1.119265</v>
      </c>
      <c r="L29">
        <v>367.05790000000002</v>
      </c>
      <c r="M29">
        <v>0.99998050000000005</v>
      </c>
      <c r="N29">
        <v>3.0607910000000002E-3</v>
      </c>
      <c r="O29">
        <v>-5.4575329999999997E-3</v>
      </c>
      <c r="P29">
        <v>0.98881949999999996</v>
      </c>
      <c r="Q29">
        <v>0.137486</v>
      </c>
      <c r="R29">
        <v>-5.774079E-2</v>
      </c>
      <c r="S29">
        <v>3.0348820000000001</v>
      </c>
      <c r="T29">
        <v>-0.16361010000000001</v>
      </c>
      <c r="U29">
        <v>-0.37225340000000001</v>
      </c>
      <c r="V29">
        <v>5.2369640000000002E-2</v>
      </c>
      <c r="W29">
        <v>0.1344477</v>
      </c>
      <c r="X29">
        <v>0.98953590000000002</v>
      </c>
      <c r="Y29">
        <v>0.1161792</v>
      </c>
      <c r="Z29">
        <v>-2.6295789999999999E-3</v>
      </c>
      <c r="AA29">
        <v>0.99322480000000002</v>
      </c>
      <c r="AB29">
        <v>8</v>
      </c>
      <c r="AC29">
        <v>20.6783</v>
      </c>
      <c r="AD29">
        <v>-1.1192686199420001</v>
      </c>
      <c r="AE29">
        <v>-2.54599999999999</v>
      </c>
      <c r="AF29">
        <v>2.4261071789658102</v>
      </c>
      <c r="AG29">
        <v>-1.1192686199420001</v>
      </c>
      <c r="AH29">
        <v>20.6323409092244</v>
      </c>
      <c r="AI29">
        <v>93.083946789812202</v>
      </c>
      <c r="AJ29">
        <v>83.293524188788993</v>
      </c>
      <c r="AK29">
        <v>20.804620873302898</v>
      </c>
      <c r="AL29">
        <v>82.273315957574695</v>
      </c>
      <c r="AM29">
        <v>86.970536760944498</v>
      </c>
      <c r="AN29">
        <v>1.00000003030891</v>
      </c>
    </row>
    <row r="30" spans="1:40" x14ac:dyDescent="0.25">
      <c r="A30" t="str">
        <f>"20190303170456871"</f>
        <v>20190303170456871</v>
      </c>
      <c r="B30" t="str">
        <f>"1551603896864194"</f>
        <v>1551603896864194</v>
      </c>
      <c r="C30" t="s">
        <v>40</v>
      </c>
      <c r="D30">
        <v>5.239357</v>
      </c>
      <c r="E30">
        <v>0.52838240000000003</v>
      </c>
      <c r="F30" t="s">
        <v>41</v>
      </c>
      <c r="G30">
        <v>-453.34960000000001</v>
      </c>
      <c r="H30" s="1">
        <v>-3.7487230000000002E-6</v>
      </c>
      <c r="I30">
        <v>364.46679999999998</v>
      </c>
      <c r="J30">
        <v>-474.22030000000001</v>
      </c>
      <c r="K30">
        <v>1.1192420000000001</v>
      </c>
      <c r="L30">
        <v>367.05720000000002</v>
      </c>
      <c r="M30">
        <v>0.99997879999999995</v>
      </c>
      <c r="N30">
        <v>3.1135799999999999E-3</v>
      </c>
      <c r="O30">
        <v>-5.7258219999999898E-3</v>
      </c>
      <c r="P30">
        <v>0.98871770000000003</v>
      </c>
      <c r="Q30">
        <v>0.13819709999999999</v>
      </c>
      <c r="R30">
        <v>-5.7785879999999998E-2</v>
      </c>
      <c r="S30">
        <v>3.0345460000000002</v>
      </c>
      <c r="T30">
        <v>-0.16204579999999999</v>
      </c>
      <c r="U30">
        <v>-0.37512210000000001</v>
      </c>
      <c r="V30">
        <v>5.2150759999999997E-2</v>
      </c>
      <c r="W30">
        <v>0.13510629999999901</v>
      </c>
      <c r="X30">
        <v>0.9894577</v>
      </c>
      <c r="Y30">
        <v>0.1168535</v>
      </c>
      <c r="Z30">
        <v>-2.6011570000000002E-3</v>
      </c>
      <c r="AA30">
        <v>0.99314579999999997</v>
      </c>
      <c r="AB30">
        <v>9</v>
      </c>
      <c r="AC30">
        <v>20.870699999999999</v>
      </c>
      <c r="AD30">
        <v>-1.1192457487230001</v>
      </c>
      <c r="AE30">
        <v>-2.5904000000000398</v>
      </c>
      <c r="AF30">
        <v>2.4638766369618801</v>
      </c>
      <c r="AG30">
        <v>-1.1192457487230001</v>
      </c>
      <c r="AH30">
        <v>20.8262042759</v>
      </c>
      <c r="AI30">
        <v>93.054976772653006</v>
      </c>
      <c r="AJ30">
        <v>83.252895135094093</v>
      </c>
      <c r="AK30">
        <v>21.001290047749801</v>
      </c>
      <c r="AL30">
        <v>82.235233075656396</v>
      </c>
      <c r="AM30">
        <v>86.982937038644394</v>
      </c>
      <c r="AN30">
        <v>0.99999997707877797</v>
      </c>
    </row>
    <row r="31" spans="1:40" x14ac:dyDescent="0.25">
      <c r="A31" t="str">
        <f>"20190303170456893"</f>
        <v>20190303170456893</v>
      </c>
      <c r="B31" t="str">
        <f>"1551603896884690"</f>
        <v>1551603896884690</v>
      </c>
      <c r="C31" t="s">
        <v>40</v>
      </c>
      <c r="D31">
        <v>5.2302900000000001</v>
      </c>
      <c r="E31">
        <v>0.52878879999999995</v>
      </c>
      <c r="F31" t="s">
        <v>41</v>
      </c>
      <c r="G31">
        <v>-452.79509999999999</v>
      </c>
      <c r="H31" s="1">
        <v>-4.0024869999999996E-6</v>
      </c>
      <c r="I31">
        <v>364.37729999999999</v>
      </c>
      <c r="J31">
        <v>-474.12650000000002</v>
      </c>
      <c r="K31">
        <v>1.119216</v>
      </c>
      <c r="L31">
        <v>367.05630000000002</v>
      </c>
      <c r="M31">
        <v>0.99997709999999995</v>
      </c>
      <c r="N31">
        <v>3.161479E-3</v>
      </c>
      <c r="O31">
        <v>-6.0026869999999996E-3</v>
      </c>
      <c r="P31">
        <v>0.98870990000000003</v>
      </c>
      <c r="Q31">
        <v>0.13825689999999999</v>
      </c>
      <c r="R31">
        <v>-5.7775930000000003E-2</v>
      </c>
      <c r="S31">
        <v>3.0342410000000002</v>
      </c>
      <c r="T31">
        <v>-0.15850719999999999</v>
      </c>
      <c r="U31">
        <v>-0.37951659999999998</v>
      </c>
      <c r="V31">
        <v>5.1867749999999997E-2</v>
      </c>
      <c r="W31">
        <v>0.13511860000000001</v>
      </c>
      <c r="X31">
        <v>0.98947090000000004</v>
      </c>
      <c r="Y31">
        <v>0.1180127</v>
      </c>
      <c r="Z31">
        <v>-2.5500319999999998E-3</v>
      </c>
      <c r="AA31">
        <v>0.99300880000000002</v>
      </c>
      <c r="AB31">
        <v>9</v>
      </c>
      <c r="AC31">
        <v>21.331399999999999</v>
      </c>
      <c r="AD31">
        <v>-1.1192200024869901</v>
      </c>
      <c r="AE31">
        <v>-2.67900000000003</v>
      </c>
      <c r="AF31">
        <v>2.54401070346485</v>
      </c>
      <c r="AG31">
        <v>-1.1192200024869901</v>
      </c>
      <c r="AH31">
        <v>21.289399185620798</v>
      </c>
      <c r="AI31">
        <v>92.988146453557505</v>
      </c>
      <c r="AJ31">
        <v>83.185661840691395</v>
      </c>
      <c r="AK31">
        <v>21.470052667798001</v>
      </c>
      <c r="AL31">
        <v>82.234521844184599</v>
      </c>
      <c r="AM31">
        <v>86.999319888684397</v>
      </c>
      <c r="AN31">
        <v>0.99999998075141605</v>
      </c>
    </row>
    <row r="32" spans="1:40" x14ac:dyDescent="0.25">
      <c r="A32" t="str">
        <f>"20190303170456915"</f>
        <v>20190303170456915</v>
      </c>
      <c r="B32" t="str">
        <f>"1551603896904210"</f>
        <v>1551603896904210</v>
      </c>
      <c r="C32" t="s">
        <v>40</v>
      </c>
      <c r="D32">
        <v>4.9979870000000002</v>
      </c>
      <c r="E32">
        <v>0.53850220000000004</v>
      </c>
      <c r="F32" t="s">
        <v>41</v>
      </c>
      <c r="G32">
        <v>-452.75139999999999</v>
      </c>
      <c r="H32" s="1">
        <v>-4.0239200000000003E-6</v>
      </c>
      <c r="I32">
        <v>364.36219999999997</v>
      </c>
      <c r="J32">
        <v>-474.03219999999999</v>
      </c>
      <c r="K32">
        <v>1.1191990000000001</v>
      </c>
      <c r="L32">
        <v>367.05549999999999</v>
      </c>
      <c r="M32">
        <v>0.99997530000000001</v>
      </c>
      <c r="N32">
        <v>3.203057E-3</v>
      </c>
      <c r="O32">
        <v>-6.2754899999999999E-3</v>
      </c>
      <c r="P32">
        <v>0.98891600000000002</v>
      </c>
      <c r="Q32">
        <v>0.1367015</v>
      </c>
      <c r="R32">
        <v>-5.7948109999999997E-2</v>
      </c>
      <c r="S32">
        <v>3.034119</v>
      </c>
      <c r="T32">
        <v>-0.15886889999999901</v>
      </c>
      <c r="U32">
        <v>-0.38241579999999997</v>
      </c>
      <c r="V32">
        <v>5.1769309999999999E-2</v>
      </c>
      <c r="W32">
        <v>0.133521</v>
      </c>
      <c r="X32">
        <v>0.98969289999999999</v>
      </c>
      <c r="Y32">
        <v>0.1186799</v>
      </c>
      <c r="Z32">
        <v>-2.5547640000000002E-3</v>
      </c>
      <c r="AA32">
        <v>0.99292930000000001</v>
      </c>
      <c r="AB32">
        <v>9</v>
      </c>
      <c r="AC32">
        <v>21.280799999999999</v>
      </c>
      <c r="AD32">
        <v>-1.1192030239199999</v>
      </c>
      <c r="AE32">
        <v>-2.6933000000000198</v>
      </c>
      <c r="AF32">
        <v>2.5527494240628901</v>
      </c>
      <c r="AG32">
        <v>-1.1192030239199999</v>
      </c>
      <c r="AH32">
        <v>21.239462003046999</v>
      </c>
      <c r="AI32">
        <v>92.994869351636893</v>
      </c>
      <c r="AJ32">
        <v>83.146552376695695</v>
      </c>
      <c r="AK32">
        <v>21.421575367131201</v>
      </c>
      <c r="AL32">
        <v>82.326894648741103</v>
      </c>
      <c r="AM32">
        <v>87.005675103378806</v>
      </c>
      <c r="AN32">
        <v>0.99999997760464199</v>
      </c>
    </row>
    <row r="33" spans="1:40" x14ac:dyDescent="0.25">
      <c r="A33" t="str">
        <f>"20190303170456938"</f>
        <v>20190303170456938</v>
      </c>
      <c r="B33" t="str">
        <f>"1551603896924706"</f>
        <v>1551603896924706</v>
      </c>
      <c r="C33" t="s">
        <v>40</v>
      </c>
      <c r="D33">
        <v>5.0413160000000001</v>
      </c>
      <c r="E33">
        <v>0.53958809999999902</v>
      </c>
      <c r="F33" t="s">
        <v>42</v>
      </c>
      <c r="G33">
        <v>-473.28460000000001</v>
      </c>
      <c r="H33">
        <v>1.0231859999999999</v>
      </c>
      <c r="I33">
        <v>366.94479999999999</v>
      </c>
      <c r="J33">
        <v>-473.93400000000003</v>
      </c>
      <c r="K33">
        <v>1.119184</v>
      </c>
      <c r="L33">
        <v>367.05450000000002</v>
      </c>
      <c r="M33">
        <v>0.99997349999999996</v>
      </c>
      <c r="N33">
        <v>3.2402640000000001E-3</v>
      </c>
      <c r="O33">
        <v>-6.5542469999999896E-3</v>
      </c>
      <c r="P33">
        <v>0.98906709999999998</v>
      </c>
      <c r="Q33">
        <v>0.13578189999999901</v>
      </c>
      <c r="R33">
        <v>-5.7532010000000001E-2</v>
      </c>
      <c r="S33">
        <v>3.0614620000000001</v>
      </c>
      <c r="T33">
        <v>-0.39319229999999999</v>
      </c>
      <c r="U33">
        <v>-0.4523315</v>
      </c>
      <c r="V33">
        <v>5.1076990000000003E-2</v>
      </c>
      <c r="W33">
        <v>0.1325645</v>
      </c>
      <c r="X33">
        <v>0.9898574</v>
      </c>
      <c r="Y33">
        <v>0.1386463</v>
      </c>
      <c r="Z33">
        <v>-7.7381459999999996E-3</v>
      </c>
      <c r="AA33">
        <v>0.99031170000000002</v>
      </c>
      <c r="AB33">
        <v>9</v>
      </c>
      <c r="AC33">
        <v>0.64940000000001397</v>
      </c>
      <c r="AD33">
        <v>-9.5997999999999806E-2</v>
      </c>
      <c r="AE33">
        <v>-0.10970000000003199</v>
      </c>
      <c r="AF33">
        <v>0.103247677749155</v>
      </c>
      <c r="AG33">
        <v>-9.5997999999999806E-2</v>
      </c>
      <c r="AH33">
        <v>0.63658017216061802</v>
      </c>
      <c r="AI33">
        <v>98.466733555514196</v>
      </c>
      <c r="AJ33">
        <v>80.787354479272693</v>
      </c>
      <c r="AK33">
        <v>0.65200461237067597</v>
      </c>
      <c r="AL33">
        <v>82.382189324852803</v>
      </c>
      <c r="AM33">
        <v>87.0461374136448</v>
      </c>
      <c r="AN33">
        <v>0.99999993895123296</v>
      </c>
    </row>
    <row r="34" spans="1:40" x14ac:dyDescent="0.25">
      <c r="A34" t="str">
        <f>"20190303170456962"</f>
        <v>20190303170456962</v>
      </c>
      <c r="B34" t="str">
        <f>"1551603896954493"</f>
        <v>1551603896954493</v>
      </c>
      <c r="C34" t="s">
        <v>40</v>
      </c>
      <c r="D34">
        <v>5.0403279999999997</v>
      </c>
      <c r="E34">
        <v>0.5396495</v>
      </c>
      <c r="F34" t="s">
        <v>42</v>
      </c>
      <c r="G34">
        <v>-473.20839999999998</v>
      </c>
      <c r="H34">
        <v>0.99773750000000005</v>
      </c>
      <c r="I34">
        <v>366.94650000000001</v>
      </c>
      <c r="J34">
        <v>-473.82670000000002</v>
      </c>
      <c r="K34">
        <v>1.1191770000000001</v>
      </c>
      <c r="L34">
        <v>367.05349999999999</v>
      </c>
      <c r="M34">
        <v>0.99997119999999995</v>
      </c>
      <c r="N34">
        <v>3.2751540000000002E-3</v>
      </c>
      <c r="O34">
        <v>-6.8530269999999898E-3</v>
      </c>
      <c r="P34">
        <v>0.98888819999999999</v>
      </c>
      <c r="Q34">
        <v>0.13719609999999999</v>
      </c>
      <c r="R34">
        <v>-5.7249580000000001E-2</v>
      </c>
      <c r="S34">
        <v>3.0773619999999999</v>
      </c>
      <c r="T34">
        <v>-0.51521989999999995</v>
      </c>
      <c r="U34">
        <v>-0.45626830000000002</v>
      </c>
      <c r="V34">
        <v>5.0501409999999997E-2</v>
      </c>
      <c r="W34">
        <v>0.13394439999999999</v>
      </c>
      <c r="X34">
        <v>0.98970119999999895</v>
      </c>
      <c r="Y34">
        <v>0.13813429999999999</v>
      </c>
      <c r="Z34">
        <v>-1.003801E-2</v>
      </c>
      <c r="AA34">
        <v>0.99036259999999998</v>
      </c>
      <c r="AB34">
        <v>10</v>
      </c>
      <c r="AC34">
        <v>0.61830000000003305</v>
      </c>
      <c r="AD34">
        <v>-0.12143950000000001</v>
      </c>
      <c r="AE34">
        <v>-0.10699999999996999</v>
      </c>
      <c r="AF34">
        <v>9.9050339291891207E-2</v>
      </c>
      <c r="AG34">
        <v>-0.12143950000000001</v>
      </c>
      <c r="AH34">
        <v>0.59667064917006996</v>
      </c>
      <c r="AI34">
        <v>101.35294220342</v>
      </c>
      <c r="AJ34">
        <v>80.574565205708694</v>
      </c>
      <c r="AK34">
        <v>0.61690711250164798</v>
      </c>
      <c r="AL34">
        <v>82.302415750079106</v>
      </c>
      <c r="AM34">
        <v>87.078905998078397</v>
      </c>
      <c r="AN34">
        <v>0.99999997999239298</v>
      </c>
    </row>
    <row r="35" spans="1:40" x14ac:dyDescent="0.25">
      <c r="A35" t="str">
        <f>"20190303170456982"</f>
        <v>20190303170456982</v>
      </c>
      <c r="B35" t="str">
        <f>"1551603896974012"</f>
        <v>1551603896974012</v>
      </c>
      <c r="C35" t="s">
        <v>40</v>
      </c>
      <c r="D35">
        <v>5.0224679999999999</v>
      </c>
      <c r="E35">
        <v>0.53943450000000004</v>
      </c>
      <c r="F35" t="s">
        <v>42</v>
      </c>
      <c r="G35">
        <v>-473.1241</v>
      </c>
      <c r="H35">
        <v>0.98474309999999998</v>
      </c>
      <c r="I35">
        <v>366.9504</v>
      </c>
      <c r="J35">
        <v>-473.72859999999997</v>
      </c>
      <c r="K35">
        <v>1.1191719999999901</v>
      </c>
      <c r="L35">
        <v>367.05259999999998</v>
      </c>
      <c r="M35">
        <v>0.9999692</v>
      </c>
      <c r="N35">
        <v>3.3024119999999998E-3</v>
      </c>
      <c r="O35">
        <v>-7.1212790000000003E-3</v>
      </c>
      <c r="P35">
        <v>0.98862079999999997</v>
      </c>
      <c r="Q35">
        <v>0.13882849999999999</v>
      </c>
      <c r="R35">
        <v>-5.7926459999999999E-2</v>
      </c>
      <c r="S35">
        <v>3.0895079999999999</v>
      </c>
      <c r="T35">
        <v>-0.59118599999999999</v>
      </c>
      <c r="U35">
        <v>-0.45272829999999997</v>
      </c>
      <c r="V35">
        <v>5.091619E-2</v>
      </c>
      <c r="W35">
        <v>0.13554949999999999</v>
      </c>
      <c r="X35">
        <v>0.98946140000000005</v>
      </c>
      <c r="Y35">
        <v>0.13570289999999999</v>
      </c>
      <c r="Z35">
        <v>-1.120665E-2</v>
      </c>
      <c r="AA35">
        <v>0.99068619999999996</v>
      </c>
      <c r="AB35">
        <v>10</v>
      </c>
      <c r="AC35">
        <v>0.60449999999997295</v>
      </c>
      <c r="AD35">
        <v>-0.13442889999999899</v>
      </c>
      <c r="AE35">
        <v>-0.102199999999982</v>
      </c>
      <c r="AF35">
        <v>9.3401922880254007E-2</v>
      </c>
      <c r="AG35">
        <v>-0.13442889999999899</v>
      </c>
      <c r="AH35">
        <v>0.57744941593275501</v>
      </c>
      <c r="AI35">
        <v>102.942472305606</v>
      </c>
      <c r="AJ35">
        <v>80.812035317428794</v>
      </c>
      <c r="AK35">
        <v>0.60020236280276196</v>
      </c>
      <c r="AL35">
        <v>82.209603948895904</v>
      </c>
      <c r="AM35">
        <v>87.054243941141394</v>
      </c>
      <c r="AN35">
        <v>0.99999999372216297</v>
      </c>
    </row>
    <row r="36" spans="1:40" x14ac:dyDescent="0.25">
      <c r="A36" t="str">
        <f>"20190303170457005"</f>
        <v>20190303170457005</v>
      </c>
      <c r="B36" t="str">
        <f>"1551603896994509"</f>
        <v>1551603896994509</v>
      </c>
      <c r="C36" t="s">
        <v>40</v>
      </c>
      <c r="D36">
        <v>5.0018510000000003</v>
      </c>
      <c r="E36">
        <v>0.53982529999999995</v>
      </c>
      <c r="F36" t="s">
        <v>42</v>
      </c>
      <c r="G36">
        <v>-473.03250000000003</v>
      </c>
      <c r="H36">
        <v>0.98206389999999999</v>
      </c>
      <c r="I36">
        <v>366.95069999999998</v>
      </c>
      <c r="J36">
        <v>-473.625</v>
      </c>
      <c r="K36">
        <v>1.1191549999999999</v>
      </c>
      <c r="L36">
        <v>367.05149999999998</v>
      </c>
      <c r="M36">
        <v>0.9999671</v>
      </c>
      <c r="N36">
        <v>3.3271960000000001E-3</v>
      </c>
      <c r="O36">
        <v>-7.3997799999999999E-3</v>
      </c>
      <c r="P36">
        <v>0.98855420000000005</v>
      </c>
      <c r="Q36">
        <v>0.1388093</v>
      </c>
      <c r="R36">
        <v>-5.9097770000000001E-2</v>
      </c>
      <c r="S36">
        <v>3.0936889999999999</v>
      </c>
      <c r="T36">
        <v>-0.60934049999999995</v>
      </c>
      <c r="U36">
        <v>-0.45123289999999999</v>
      </c>
      <c r="V36">
        <v>5.1813129999999999E-2</v>
      </c>
      <c r="W36">
        <v>0.13550599999999999</v>
      </c>
      <c r="X36">
        <v>0.98942079999999999</v>
      </c>
      <c r="Y36">
        <v>0.13465769999999999</v>
      </c>
      <c r="Z36">
        <v>-1.1380339999999999E-2</v>
      </c>
      <c r="AA36">
        <v>0.99082680000000001</v>
      </c>
      <c r="AB36">
        <v>10</v>
      </c>
      <c r="AC36">
        <v>0.59249999999997205</v>
      </c>
      <c r="AD36">
        <v>-0.13709109999999899</v>
      </c>
      <c r="AE36">
        <v>-0.10079999999999199</v>
      </c>
      <c r="AF36">
        <v>9.1644613884974996E-2</v>
      </c>
      <c r="AG36">
        <v>-0.13709109999999899</v>
      </c>
      <c r="AH36">
        <v>0.56389067455264197</v>
      </c>
      <c r="AI36">
        <v>103.493995568025</v>
      </c>
      <c r="AJ36">
        <v>80.768888288304296</v>
      </c>
      <c r="AK36">
        <v>0.58750778531077297</v>
      </c>
      <c r="AL36">
        <v>82.212119558479699</v>
      </c>
      <c r="AM36">
        <v>87.002322522717193</v>
      </c>
      <c r="AN36">
        <v>0.999999997974518</v>
      </c>
    </row>
    <row r="37" spans="1:40" x14ac:dyDescent="0.25">
      <c r="A37" t="str">
        <f>"20190303170457026"</f>
        <v>20190303170457026</v>
      </c>
      <c r="B37" t="str">
        <f>"1551603897014029"</f>
        <v>1551603897014029</v>
      </c>
      <c r="C37" t="s">
        <v>40</v>
      </c>
      <c r="D37">
        <v>5.0055899999999998</v>
      </c>
      <c r="E37">
        <v>0.54015519999999995</v>
      </c>
      <c r="F37" t="s">
        <v>42</v>
      </c>
      <c r="G37">
        <v>-472.8492</v>
      </c>
      <c r="H37">
        <v>0.96193859999999998</v>
      </c>
      <c r="I37">
        <v>366.93669999999997</v>
      </c>
      <c r="J37">
        <v>-473.51850000000002</v>
      </c>
      <c r="K37">
        <v>1.1191409999999999</v>
      </c>
      <c r="L37">
        <v>367.05040000000002</v>
      </c>
      <c r="M37">
        <v>0.99996490000000005</v>
      </c>
      <c r="N37">
        <v>3.3492370000000001E-3</v>
      </c>
      <c r="O37">
        <v>-7.680302E-3</v>
      </c>
      <c r="P37">
        <v>0.98853049999999998</v>
      </c>
      <c r="Q37">
        <v>0.13860720000000001</v>
      </c>
      <c r="R37">
        <v>-5.9960880000000001E-2</v>
      </c>
      <c r="S37">
        <v>3.09552</v>
      </c>
      <c r="T37">
        <v>-0.62732840000000001</v>
      </c>
      <c r="U37">
        <v>-0.45654299999999998</v>
      </c>
      <c r="V37">
        <v>5.2399979999999999E-2</v>
      </c>
      <c r="W37">
        <v>0.1352816</v>
      </c>
      <c r="X37">
        <v>0.98942059999999998</v>
      </c>
      <c r="Y37">
        <v>0.1358067</v>
      </c>
      <c r="Z37">
        <v>-1.1762770000000001E-2</v>
      </c>
      <c r="AA37">
        <v>0.99066549999999998</v>
      </c>
      <c r="AB37">
        <v>11</v>
      </c>
      <c r="AC37">
        <v>0.66930000000002099</v>
      </c>
      <c r="AD37">
        <v>-0.15720239999999899</v>
      </c>
      <c r="AE37">
        <v>-0.113700000000051</v>
      </c>
      <c r="AF37">
        <v>0.103031706749191</v>
      </c>
      <c r="AG37">
        <v>-0.15720239999999899</v>
      </c>
      <c r="AH37">
        <v>0.63604903060431195</v>
      </c>
      <c r="AI37">
        <v>103.710849174701</v>
      </c>
      <c r="AJ37">
        <v>80.798749784332003</v>
      </c>
      <c r="AK37">
        <v>0.66323939606607796</v>
      </c>
      <c r="AL37">
        <v>82.225096210436803</v>
      </c>
      <c r="AM37">
        <v>86.968432356583804</v>
      </c>
      <c r="AN37">
        <v>0.99999999645346005</v>
      </c>
    </row>
    <row r="38" spans="1:40" x14ac:dyDescent="0.25">
      <c r="A38" t="str">
        <f>"20190303170457049"</f>
        <v>20190303170457049</v>
      </c>
      <c r="B38" t="str">
        <f>"1551603897044791"</f>
        <v>1551603897044791</v>
      </c>
      <c r="C38" t="s">
        <v>40</v>
      </c>
      <c r="D38">
        <v>5.0111549999999996</v>
      </c>
      <c r="E38">
        <v>0.54067810000000005</v>
      </c>
      <c r="F38" t="s">
        <v>42</v>
      </c>
      <c r="G38">
        <v>-472.75040000000001</v>
      </c>
      <c r="H38">
        <v>0.96033060000000003</v>
      </c>
      <c r="I38">
        <v>366.93579999999997</v>
      </c>
      <c r="J38">
        <v>-473.40550000000002</v>
      </c>
      <c r="K38">
        <v>1.119127</v>
      </c>
      <c r="L38">
        <v>367.04919999999998</v>
      </c>
      <c r="M38">
        <v>0.99996260000000003</v>
      </c>
      <c r="N38">
        <v>3.36966E-3</v>
      </c>
      <c r="O38">
        <v>-7.9734599999999999E-3</v>
      </c>
      <c r="P38">
        <v>0.98850910000000003</v>
      </c>
      <c r="Q38">
        <v>0.13832</v>
      </c>
      <c r="R38">
        <v>-6.0974229999999997E-2</v>
      </c>
      <c r="S38">
        <v>3.0965880000000001</v>
      </c>
      <c r="T38">
        <v>-0.64027789999999996</v>
      </c>
      <c r="U38">
        <v>-0.46163939999999998</v>
      </c>
      <c r="V38">
        <v>5.3124039999999997E-2</v>
      </c>
      <c r="W38">
        <v>0.1349736</v>
      </c>
      <c r="X38">
        <v>0.98942399999999997</v>
      </c>
      <c r="Y38">
        <v>0.13694419999999999</v>
      </c>
      <c r="Z38">
        <v>-1.2051859999999999E-2</v>
      </c>
      <c r="AA38">
        <v>0.99050550000000004</v>
      </c>
      <c r="AB38">
        <v>11</v>
      </c>
      <c r="AC38">
        <v>0.65510000000000401</v>
      </c>
      <c r="AD38">
        <v>-0.15879639999999901</v>
      </c>
      <c r="AE38">
        <v>-0.11340000000001201</v>
      </c>
      <c r="AF38">
        <v>0.102334905922306</v>
      </c>
      <c r="AG38">
        <v>-0.15879639999999901</v>
      </c>
      <c r="AH38">
        <v>0.62058023891611203</v>
      </c>
      <c r="AI38">
        <v>104.169580144113</v>
      </c>
      <c r="AJ38">
        <v>80.636082654685595</v>
      </c>
      <c r="AK38">
        <v>0.648697589448478</v>
      </c>
      <c r="AL38">
        <v>82.2429062554952</v>
      </c>
      <c r="AM38">
        <v>86.926632626854797</v>
      </c>
      <c r="AN38">
        <v>0.99999994404943904</v>
      </c>
    </row>
    <row r="39" spans="1:40" x14ac:dyDescent="0.25">
      <c r="A39" t="str">
        <f>"20190303170457072"</f>
        <v>20190303170457072</v>
      </c>
      <c r="B39" t="str">
        <f>"1551603897064311"</f>
        <v>1551603897064311</v>
      </c>
      <c r="C39" t="s">
        <v>40</v>
      </c>
      <c r="D39">
        <v>5.1503730000000001</v>
      </c>
      <c r="E39">
        <v>0.54100470000000001</v>
      </c>
      <c r="F39" t="s">
        <v>42</v>
      </c>
      <c r="G39">
        <v>-472.64890000000003</v>
      </c>
      <c r="H39">
        <v>0.95942459999999996</v>
      </c>
      <c r="I39">
        <v>366.93419999999998</v>
      </c>
      <c r="J39">
        <v>-473.28539999999998</v>
      </c>
      <c r="K39">
        <v>1.1191199999999999</v>
      </c>
      <c r="L39">
        <v>367.048</v>
      </c>
      <c r="M39">
        <v>0.99996010000000002</v>
      </c>
      <c r="N39">
        <v>3.388407E-3</v>
      </c>
      <c r="O39">
        <v>-8.2781790000000001E-3</v>
      </c>
      <c r="P39">
        <v>0.98838159999999997</v>
      </c>
      <c r="Q39">
        <v>0.139058399999999</v>
      </c>
      <c r="R39">
        <v>-6.1358919999999997E-2</v>
      </c>
      <c r="S39">
        <v>3.0974729999999999</v>
      </c>
      <c r="T39">
        <v>-0.65399430000000003</v>
      </c>
      <c r="U39">
        <v>-0.46868900000000002</v>
      </c>
      <c r="V39">
        <v>5.3209140000000002E-2</v>
      </c>
      <c r="W39">
        <v>0.13569310000000001</v>
      </c>
      <c r="X39">
        <v>0.98932109999999995</v>
      </c>
      <c r="Y39">
        <v>0.1386657</v>
      </c>
      <c r="Z39">
        <v>-1.241451E-2</v>
      </c>
      <c r="AA39">
        <v>0.99026139999999996</v>
      </c>
      <c r="AB39">
        <v>11</v>
      </c>
      <c r="AC39">
        <v>0.63649999999995499</v>
      </c>
      <c r="AD39">
        <v>-0.15969539999999999</v>
      </c>
      <c r="AE39">
        <v>-0.11380000000002601</v>
      </c>
      <c r="AF39">
        <v>0.102287571699199</v>
      </c>
      <c r="AG39">
        <v>-0.15969539999999999</v>
      </c>
      <c r="AH39">
        <v>0.60077366694442003</v>
      </c>
      <c r="AI39">
        <v>104.683925259213</v>
      </c>
      <c r="AJ39">
        <v>80.337490996625803</v>
      </c>
      <c r="AK39">
        <v>0.62999552934852199</v>
      </c>
      <c r="AL39">
        <v>82.201299867954603</v>
      </c>
      <c r="AM39">
        <v>86.921399267524905</v>
      </c>
      <c r="AN39">
        <v>1.0000000344361699</v>
      </c>
    </row>
    <row r="40" spans="1:40" x14ac:dyDescent="0.25">
      <c r="A40" t="str">
        <f>"20190303170457095"</f>
        <v>20190303170457095</v>
      </c>
      <c r="B40" t="str">
        <f>"1551603897084807"</f>
        <v>1551603897084807</v>
      </c>
      <c r="C40" t="s">
        <v>40</v>
      </c>
      <c r="D40">
        <v>5.012975</v>
      </c>
      <c r="E40">
        <v>0.54129490000000002</v>
      </c>
      <c r="F40" t="s">
        <v>42</v>
      </c>
      <c r="G40">
        <v>-472.54379999999998</v>
      </c>
      <c r="H40">
        <v>0.96171899999999999</v>
      </c>
      <c r="I40">
        <v>366.93470000000002</v>
      </c>
      <c r="J40">
        <v>-473.16539999999998</v>
      </c>
      <c r="K40">
        <v>1.1191089999999999</v>
      </c>
      <c r="L40">
        <v>367.04660000000001</v>
      </c>
      <c r="M40">
        <v>0.9999576</v>
      </c>
      <c r="N40">
        <v>3.4047750000000001E-3</v>
      </c>
      <c r="O40">
        <v>-8.5746720000000002E-3</v>
      </c>
      <c r="P40">
        <v>0.98827710000000002</v>
      </c>
      <c r="Q40">
        <v>0.13992019999999999</v>
      </c>
      <c r="R40">
        <v>-6.1083650000000003E-2</v>
      </c>
      <c r="S40">
        <v>3.0984799999999999</v>
      </c>
      <c r="T40">
        <v>-0.65764299999999998</v>
      </c>
      <c r="U40">
        <v>-0.47171020000000002</v>
      </c>
      <c r="V40">
        <v>5.2642330000000001E-2</v>
      </c>
      <c r="W40">
        <v>0.1365392</v>
      </c>
      <c r="X40">
        <v>0.98923499999999998</v>
      </c>
      <c r="Y40">
        <v>0.13923459999999999</v>
      </c>
      <c r="Z40">
        <v>-1.2473049999999999E-2</v>
      </c>
      <c r="AA40">
        <v>0.99018090000000003</v>
      </c>
      <c r="AB40">
        <v>11</v>
      </c>
      <c r="AC40">
        <v>0.62160000000000004</v>
      </c>
      <c r="AD40">
        <v>-0.157389999999999</v>
      </c>
      <c r="AE40">
        <v>-0.11189999999999101</v>
      </c>
      <c r="AF40">
        <v>0.100335172961198</v>
      </c>
      <c r="AG40">
        <v>-0.157389999999999</v>
      </c>
      <c r="AH40">
        <v>0.58613832869668403</v>
      </c>
      <c r="AI40">
        <v>104.824583512779</v>
      </c>
      <c r="AJ40">
        <v>80.286256204798704</v>
      </c>
      <c r="AK40">
        <v>0.61513973973439195</v>
      </c>
      <c r="AL40">
        <v>82.152366418811596</v>
      </c>
      <c r="AM40">
        <v>86.953867354398596</v>
      </c>
      <c r="AN40">
        <v>1.00000002663473</v>
      </c>
    </row>
    <row r="41" spans="1:40" x14ac:dyDescent="0.25">
      <c r="A41" t="str">
        <f>"20190303170457117"</f>
        <v>20190303170457117</v>
      </c>
      <c r="B41" t="str">
        <f>"1551603897104326"</f>
        <v>1551603897104326</v>
      </c>
      <c r="C41" t="s">
        <v>40</v>
      </c>
      <c r="D41">
        <v>5.015466</v>
      </c>
      <c r="E41">
        <v>0.54155469999999895</v>
      </c>
      <c r="F41" t="s">
        <v>42</v>
      </c>
      <c r="G41">
        <v>-472.43639999999999</v>
      </c>
      <c r="H41">
        <v>0.96376229999999996</v>
      </c>
      <c r="I41">
        <v>366.93549999999999</v>
      </c>
      <c r="J41">
        <v>-473.05090000000001</v>
      </c>
      <c r="K41">
        <v>1.1191009999999999</v>
      </c>
      <c r="L41">
        <v>367.0453</v>
      </c>
      <c r="M41">
        <v>0.99995489999999998</v>
      </c>
      <c r="N41">
        <v>3.4186049999999999E-3</v>
      </c>
      <c r="O41">
        <v>-8.8491100000000003E-3</v>
      </c>
      <c r="P41">
        <v>0.9882455</v>
      </c>
      <c r="Q41">
        <v>0.1399736</v>
      </c>
      <c r="R41">
        <v>-6.1468929999999998E-2</v>
      </c>
      <c r="S41">
        <v>3.0999759999999998</v>
      </c>
      <c r="T41">
        <v>-0.66061579999999998</v>
      </c>
      <c r="U41">
        <v>-0.47189330000000002</v>
      </c>
      <c r="V41">
        <v>5.2756560000000001E-2</v>
      </c>
      <c r="W41">
        <v>0.13657929999999999</v>
      </c>
      <c r="X41">
        <v>0.98922339999999997</v>
      </c>
      <c r="Y41">
        <v>0.13893939999999999</v>
      </c>
      <c r="Z41">
        <v>-1.2433430000000001E-2</v>
      </c>
      <c r="AA41">
        <v>0.99022279999999996</v>
      </c>
      <c r="AB41">
        <v>12</v>
      </c>
      <c r="AC41">
        <v>0.61450000000002003</v>
      </c>
      <c r="AD41">
        <v>-0.1553387</v>
      </c>
      <c r="AE41">
        <v>-0.109800000000006</v>
      </c>
      <c r="AF41">
        <v>9.8272367316010495E-2</v>
      </c>
      <c r="AG41">
        <v>-0.1553387</v>
      </c>
      <c r="AH41">
        <v>0.57955838484275202</v>
      </c>
      <c r="AI41">
        <v>104.802462580328</v>
      </c>
      <c r="AJ41">
        <v>80.376223289893105</v>
      </c>
      <c r="AK41">
        <v>0.60800945003932505</v>
      </c>
      <c r="AL41">
        <v>82.150047295309307</v>
      </c>
      <c r="AM41">
        <v>86.947234228695194</v>
      </c>
      <c r="AN41">
        <v>1.0000000474595401</v>
      </c>
    </row>
    <row r="42" spans="1:40" x14ac:dyDescent="0.25">
      <c r="A42" t="str">
        <f>"20190303170457141"</f>
        <v>20190303170457141</v>
      </c>
      <c r="B42" t="str">
        <f>"1551603897134582"</f>
        <v>1551603897134582</v>
      </c>
      <c r="C42" t="s">
        <v>40</v>
      </c>
      <c r="D42">
        <v>5.0165089999999903</v>
      </c>
      <c r="E42">
        <v>0.54174049999999996</v>
      </c>
      <c r="F42" t="s">
        <v>42</v>
      </c>
      <c r="G42">
        <v>-472.32760000000002</v>
      </c>
      <c r="H42">
        <v>0.96402069999999995</v>
      </c>
      <c r="I42">
        <v>366.93459999999999</v>
      </c>
      <c r="J42">
        <v>-472.91489999999999</v>
      </c>
      <c r="K42">
        <v>1.1190979999999999</v>
      </c>
      <c r="L42">
        <v>367.04379999999998</v>
      </c>
      <c r="M42">
        <v>0.99995219999999996</v>
      </c>
      <c r="N42">
        <v>3.433073E-3</v>
      </c>
      <c r="O42">
        <v>-9.1639670000000003E-3</v>
      </c>
      <c r="P42">
        <v>0.98824820000000002</v>
      </c>
      <c r="Q42">
        <v>0.1398211</v>
      </c>
      <c r="R42">
        <v>-6.1774250000000003E-2</v>
      </c>
      <c r="S42">
        <v>3.100403</v>
      </c>
      <c r="T42">
        <v>-0.66480419999999996</v>
      </c>
      <c r="U42">
        <v>-0.47360229999999998</v>
      </c>
      <c r="V42">
        <v>5.2750209999999999E-2</v>
      </c>
      <c r="W42">
        <v>0.13641210000000001</v>
      </c>
      <c r="X42">
        <v>0.98924679999999998</v>
      </c>
      <c r="Y42">
        <v>0.13911009999999999</v>
      </c>
      <c r="Z42">
        <v>-1.2459100000000001E-2</v>
      </c>
      <c r="AA42">
        <v>0.99019860000000004</v>
      </c>
      <c r="AB42">
        <v>12</v>
      </c>
      <c r="AC42">
        <v>0.58729999999996996</v>
      </c>
      <c r="AD42">
        <v>-0.155077299999999</v>
      </c>
      <c r="AE42">
        <v>-0.109199999999987</v>
      </c>
      <c r="AF42">
        <v>9.7258808695439403E-2</v>
      </c>
      <c r="AG42">
        <v>-0.155077299999999</v>
      </c>
      <c r="AH42">
        <v>0.55113343527793901</v>
      </c>
      <c r="AI42">
        <v>105.48790805986501</v>
      </c>
      <c r="AJ42">
        <v>79.992023507900001</v>
      </c>
      <c r="AK42">
        <v>0.580737727658026</v>
      </c>
      <c r="AL42">
        <v>82.159717586646806</v>
      </c>
      <c r="AM42">
        <v>86.947673043461506</v>
      </c>
      <c r="AN42">
        <v>1.0000000384958401</v>
      </c>
    </row>
    <row r="43" spans="1:40" x14ac:dyDescent="0.25">
      <c r="A43" t="str">
        <f>"20190303170457165"</f>
        <v>20190303170457165</v>
      </c>
      <c r="B43" t="str">
        <f>"1551603897154609"</f>
        <v>1551603897154609</v>
      </c>
      <c r="C43" t="s">
        <v>40</v>
      </c>
      <c r="D43">
        <v>5.0148010000000003</v>
      </c>
      <c r="E43">
        <v>0.54179600000000006</v>
      </c>
      <c r="F43" t="s">
        <v>42</v>
      </c>
      <c r="G43">
        <v>-472.21480000000003</v>
      </c>
      <c r="H43">
        <v>0.96798459999999997</v>
      </c>
      <c r="I43">
        <v>366.93610000000001</v>
      </c>
      <c r="J43">
        <v>-472.7833</v>
      </c>
      <c r="K43">
        <v>1.119095</v>
      </c>
      <c r="L43">
        <v>367.04219999999998</v>
      </c>
      <c r="M43">
        <v>0.99994950000000005</v>
      </c>
      <c r="N43">
        <v>3.4456740000000001E-3</v>
      </c>
      <c r="O43">
        <v>-9.4522449999999997E-3</v>
      </c>
      <c r="P43">
        <v>0.98823229999999995</v>
      </c>
      <c r="Q43">
        <v>0.13984820000000001</v>
      </c>
      <c r="R43">
        <v>-6.1966599999999997E-2</v>
      </c>
      <c r="S43">
        <v>3.1006469999999999</v>
      </c>
      <c r="T43">
        <v>-0.66928219999999905</v>
      </c>
      <c r="U43">
        <v>-0.47555540000000002</v>
      </c>
      <c r="V43">
        <v>5.2656700000000001E-2</v>
      </c>
      <c r="W43">
        <v>0.1364272</v>
      </c>
      <c r="X43">
        <v>0.98924959999999995</v>
      </c>
      <c r="Y43">
        <v>0.13938599999999901</v>
      </c>
      <c r="Z43">
        <v>-1.2507040000000001E-2</v>
      </c>
      <c r="AA43">
        <v>0.99015920000000002</v>
      </c>
      <c r="AB43">
        <v>12</v>
      </c>
      <c r="AC43">
        <v>0.56849999999997103</v>
      </c>
      <c r="AD43">
        <v>-0.15111040000000001</v>
      </c>
      <c r="AE43">
        <v>-0.106099999999969</v>
      </c>
      <c r="AF43">
        <v>9.4284411168021304E-2</v>
      </c>
      <c r="AG43">
        <v>-0.15111040000000001</v>
      </c>
      <c r="AH43">
        <v>0.53308163626918403</v>
      </c>
      <c r="AI43">
        <v>105.596198173601</v>
      </c>
      <c r="AJ43">
        <v>79.970009371766096</v>
      </c>
      <c r="AK43">
        <v>0.56204976123550798</v>
      </c>
      <c r="AL43">
        <v>82.158843478798204</v>
      </c>
      <c r="AM43">
        <v>86.953082289631098</v>
      </c>
      <c r="AN43">
        <v>0.99999994002744297</v>
      </c>
    </row>
    <row r="44" spans="1:40" x14ac:dyDescent="0.25">
      <c r="A44" t="str">
        <f>"20190303170457187"</f>
        <v>20190303170457187</v>
      </c>
      <c r="B44" t="str">
        <f>"1551603897174129"</f>
        <v>1551603897174129</v>
      </c>
      <c r="C44" t="s">
        <v>40</v>
      </c>
      <c r="D44">
        <v>4.987412</v>
      </c>
      <c r="E44">
        <v>0.54177379999999997</v>
      </c>
      <c r="F44" t="s">
        <v>42</v>
      </c>
      <c r="G44">
        <v>-471.9948</v>
      </c>
      <c r="H44">
        <v>0.94822450000000003</v>
      </c>
      <c r="I44">
        <v>366.92070000000001</v>
      </c>
      <c r="J44">
        <v>-472.65030000000002</v>
      </c>
      <c r="K44">
        <v>1.119089</v>
      </c>
      <c r="L44">
        <v>367.04070000000002</v>
      </c>
      <c r="M44">
        <v>0.99994680000000002</v>
      </c>
      <c r="N44">
        <v>3.4572869999999999E-3</v>
      </c>
      <c r="O44">
        <v>-9.7249109999999993E-3</v>
      </c>
      <c r="P44">
        <v>0.98812060000000002</v>
      </c>
      <c r="Q44">
        <v>0.14035699999999901</v>
      </c>
      <c r="R44">
        <v>-6.2594549999999999E-2</v>
      </c>
      <c r="S44">
        <v>3.1009829999999998</v>
      </c>
      <c r="T44">
        <v>-0.67209390000000002</v>
      </c>
      <c r="U44">
        <v>-0.4760742</v>
      </c>
      <c r="V44">
        <v>5.3015020000000003E-2</v>
      </c>
      <c r="W44">
        <v>0.13692560000000001</v>
      </c>
      <c r="X44">
        <v>0.98916170000000003</v>
      </c>
      <c r="Y44">
        <v>0.13924819999999999</v>
      </c>
      <c r="Z44">
        <v>-1.2483660000000001E-2</v>
      </c>
      <c r="AA44">
        <v>0.99017880000000003</v>
      </c>
      <c r="AB44">
        <v>13</v>
      </c>
      <c r="AC44">
        <v>0.65550000000001696</v>
      </c>
      <c r="AD44">
        <v>-0.170864499999999</v>
      </c>
      <c r="AE44">
        <v>-0.12000000000000401</v>
      </c>
      <c r="AF44">
        <v>0.10661081168541101</v>
      </c>
      <c r="AG44">
        <v>-0.170864499999999</v>
      </c>
      <c r="AH44">
        <v>0.61613041707226002</v>
      </c>
      <c r="AI44">
        <v>105.283426976203</v>
      </c>
      <c r="AJ44">
        <v>80.183150265692902</v>
      </c>
      <c r="AK44">
        <v>0.64821079393212</v>
      </c>
      <c r="AL44">
        <v>82.130017538731195</v>
      </c>
      <c r="AM44">
        <v>86.932115915876196</v>
      </c>
      <c r="AN44">
        <v>1.00000004051392</v>
      </c>
    </row>
    <row r="45" spans="1:40" x14ac:dyDescent="0.25">
      <c r="A45" t="str">
        <f>"20190303170457206"</f>
        <v>20190303170457206</v>
      </c>
      <c r="B45" t="str">
        <f>"1551603897194625"</f>
        <v>1551603897194625</v>
      </c>
      <c r="C45" t="s">
        <v>40</v>
      </c>
      <c r="D45">
        <v>5.0248790000000003</v>
      </c>
      <c r="E45">
        <v>0.54160489999999994</v>
      </c>
      <c r="F45" t="s">
        <v>42</v>
      </c>
      <c r="G45">
        <v>-471.8759</v>
      </c>
      <c r="H45">
        <v>0.95104230000000001</v>
      </c>
      <c r="I45">
        <v>366.92140000000001</v>
      </c>
      <c r="J45">
        <v>-472.53800000000001</v>
      </c>
      <c r="K45">
        <v>1.1190899999999999</v>
      </c>
      <c r="L45">
        <v>367.03930000000003</v>
      </c>
      <c r="M45">
        <v>0.99994470000000002</v>
      </c>
      <c r="N45">
        <v>3.4678069999999998E-3</v>
      </c>
      <c r="O45">
        <v>-9.9419039999999997E-3</v>
      </c>
      <c r="P45">
        <v>0.9879637</v>
      </c>
      <c r="Q45">
        <v>0.1410922</v>
      </c>
      <c r="R45">
        <v>-6.3412070000000001E-2</v>
      </c>
      <c r="S45">
        <v>3.1015009999999998</v>
      </c>
      <c r="T45">
        <v>-0.67311350000000003</v>
      </c>
      <c r="U45">
        <v>-0.47677609999999898</v>
      </c>
      <c r="V45">
        <v>5.361817E-2</v>
      </c>
      <c r="W45">
        <v>0.13765060000000001</v>
      </c>
      <c r="X45">
        <v>0.98902849999999998</v>
      </c>
      <c r="Y45">
        <v>0.1392256</v>
      </c>
      <c r="Z45">
        <v>-1.2450070000000001E-2</v>
      </c>
      <c r="AA45">
        <v>0.99018240000000002</v>
      </c>
      <c r="AB45">
        <v>13</v>
      </c>
      <c r="AC45">
        <v>0.66210000000000901</v>
      </c>
      <c r="AD45">
        <v>-0.168047699999999</v>
      </c>
      <c r="AE45">
        <v>-0.11790000000002</v>
      </c>
      <c r="AF45">
        <v>0.104769804474244</v>
      </c>
      <c r="AG45">
        <v>-0.168047699999999</v>
      </c>
      <c r="AH45">
        <v>0.62426077828222204</v>
      </c>
      <c r="AI45">
        <v>104.86801593122</v>
      </c>
      <c r="AJ45">
        <v>80.472826884960398</v>
      </c>
      <c r="AK45">
        <v>0.65491851455458705</v>
      </c>
      <c r="AL45">
        <v>82.088080565559196</v>
      </c>
      <c r="AM45">
        <v>86.896863471000998</v>
      </c>
      <c r="AN45">
        <v>0.99999998482337904</v>
      </c>
    </row>
    <row r="46" spans="1:40" x14ac:dyDescent="0.25">
      <c r="A46" t="str">
        <f>"20190303170457228"</f>
        <v>20190303170457228</v>
      </c>
      <c r="B46" t="str">
        <f>"1551603897214145"</f>
        <v>1551603897214145</v>
      </c>
      <c r="C46" t="s">
        <v>40</v>
      </c>
      <c r="D46">
        <v>5.0346060000000001</v>
      </c>
      <c r="E46">
        <v>0.54142570000000001</v>
      </c>
      <c r="F46" t="s">
        <v>42</v>
      </c>
      <c r="G46">
        <v>-471.75630000000001</v>
      </c>
      <c r="H46">
        <v>0.94964769999999998</v>
      </c>
      <c r="I46">
        <v>366.91860000000003</v>
      </c>
      <c r="J46">
        <v>-472.40570000000002</v>
      </c>
      <c r="K46">
        <v>1.1190869999999999</v>
      </c>
      <c r="L46">
        <v>367.03769999999997</v>
      </c>
      <c r="M46">
        <v>0.9999422</v>
      </c>
      <c r="N46">
        <v>3.491461E-3</v>
      </c>
      <c r="O46">
        <v>-1.0178710000000001E-2</v>
      </c>
      <c r="P46">
        <v>0.98790040000000001</v>
      </c>
      <c r="Q46">
        <v>0.14116979999999901</v>
      </c>
      <c r="R46">
        <v>-6.4217689999999994E-2</v>
      </c>
      <c r="S46">
        <v>3.1019290000000002</v>
      </c>
      <c r="T46">
        <v>-0.67240390000000005</v>
      </c>
      <c r="U46">
        <v>-0.47695920000000003</v>
      </c>
      <c r="V46">
        <v>5.4188380000000001E-2</v>
      </c>
      <c r="W46">
        <v>0.137706299999999</v>
      </c>
      <c r="X46">
        <v>0.98898969999999997</v>
      </c>
      <c r="Y46">
        <v>0.13904459999999999</v>
      </c>
      <c r="Z46">
        <v>-1.236311E-2</v>
      </c>
      <c r="AA46">
        <v>0.99020889999999995</v>
      </c>
      <c r="AB46">
        <v>13</v>
      </c>
      <c r="AC46">
        <v>0.64940000000001397</v>
      </c>
      <c r="AD46">
        <v>-0.16943929999999999</v>
      </c>
      <c r="AE46">
        <v>-0.119099999999946</v>
      </c>
      <c r="AF46">
        <v>0.10553309369257199</v>
      </c>
      <c r="AG46">
        <v>-0.16943929999999999</v>
      </c>
      <c r="AH46">
        <v>0.61037781937013902</v>
      </c>
      <c r="AI46">
        <v>105.298396720659</v>
      </c>
      <c r="AJ46">
        <v>80.190653996896501</v>
      </c>
      <c r="AK46">
        <v>0.64218999729664195</v>
      </c>
      <c r="AL46">
        <v>82.084858756370707</v>
      </c>
      <c r="AM46">
        <v>86.863805465010003</v>
      </c>
      <c r="AN46">
        <v>1.0000000161464</v>
      </c>
    </row>
    <row r="47" spans="1:40" x14ac:dyDescent="0.25">
      <c r="A47" t="str">
        <f>"20190303170457250"</f>
        <v>20190303170457250</v>
      </c>
      <c r="B47" t="str">
        <f>"1551603897244401"</f>
        <v>1551603897244401</v>
      </c>
      <c r="C47" t="s">
        <v>40</v>
      </c>
      <c r="D47">
        <v>5.0025529999999998</v>
      </c>
      <c r="E47">
        <v>0.54116309999999901</v>
      </c>
      <c r="F47" t="s">
        <v>42</v>
      </c>
      <c r="G47">
        <v>-471.63310000000001</v>
      </c>
      <c r="H47">
        <v>0.95141010000000004</v>
      </c>
      <c r="I47">
        <v>366.91879999999998</v>
      </c>
      <c r="J47">
        <v>-472.26780000000002</v>
      </c>
      <c r="K47">
        <v>1.1190819999999999</v>
      </c>
      <c r="L47">
        <v>367.03609999999998</v>
      </c>
      <c r="M47">
        <v>0.99993960000000004</v>
      </c>
      <c r="N47">
        <v>3.5382489999999998E-3</v>
      </c>
      <c r="O47">
        <v>-1.040174E-2</v>
      </c>
      <c r="P47">
        <v>0.98786130000000005</v>
      </c>
      <c r="Q47">
        <v>0.14142660000000001</v>
      </c>
      <c r="R47">
        <v>-6.4253999999999895E-2</v>
      </c>
      <c r="S47">
        <v>3.1019589999999999</v>
      </c>
      <c r="T47">
        <v>-0.67323409999999995</v>
      </c>
      <c r="U47">
        <v>-0.47659299999999999</v>
      </c>
      <c r="V47">
        <v>5.4002010000000003E-2</v>
      </c>
      <c r="W47">
        <v>0.13791789999999901</v>
      </c>
      <c r="X47">
        <v>0.98897040000000003</v>
      </c>
      <c r="Y47">
        <v>0.13871459999999999</v>
      </c>
      <c r="Z47">
        <v>-1.229164E-2</v>
      </c>
      <c r="AA47">
        <v>0.99025609999999997</v>
      </c>
      <c r="AB47">
        <v>13</v>
      </c>
      <c r="AC47">
        <v>0.63470000000000903</v>
      </c>
      <c r="AD47">
        <v>-0.16767189999999901</v>
      </c>
      <c r="AE47">
        <v>-0.1173</v>
      </c>
      <c r="AF47">
        <v>0.103693991634801</v>
      </c>
      <c r="AG47">
        <v>-0.16767189999999901</v>
      </c>
      <c r="AH47">
        <v>0.59568675058058895</v>
      </c>
      <c r="AI47">
        <v>105.499040798615</v>
      </c>
      <c r="AJ47">
        <v>80.125203056314902</v>
      </c>
      <c r="AK47">
        <v>0.62746236123613797</v>
      </c>
      <c r="AL47">
        <v>82.072618110966403</v>
      </c>
      <c r="AM47">
        <v>86.874509479561993</v>
      </c>
      <c r="AN47">
        <v>1.0000000081503</v>
      </c>
    </row>
    <row r="48" spans="1:40" x14ac:dyDescent="0.25">
      <c r="A48" t="str">
        <f>"20190303170457272"</f>
        <v>20190303170457272</v>
      </c>
      <c r="B48" t="str">
        <f>"1551603897263924"</f>
        <v>1551603897263924</v>
      </c>
      <c r="C48" t="s">
        <v>40</v>
      </c>
      <c r="D48">
        <v>4.9727959999999998</v>
      </c>
      <c r="E48">
        <v>0.54098930000000001</v>
      </c>
      <c r="F48" t="s">
        <v>42</v>
      </c>
      <c r="G48">
        <v>-471.50709999999998</v>
      </c>
      <c r="H48">
        <v>0.95385220000000004</v>
      </c>
      <c r="I48">
        <v>366.9196</v>
      </c>
      <c r="J48">
        <v>-472.12490000000003</v>
      </c>
      <c r="K48">
        <v>1.119075</v>
      </c>
      <c r="L48">
        <v>367.03440000000001</v>
      </c>
      <c r="M48">
        <v>0.99993730000000003</v>
      </c>
      <c r="N48">
        <v>3.6150449999999999E-3</v>
      </c>
      <c r="O48">
        <v>-1.060445E-2</v>
      </c>
      <c r="P48">
        <v>0.98779620000000001</v>
      </c>
      <c r="Q48">
        <v>0.14193449999999999</v>
      </c>
      <c r="R48">
        <v>-6.4135629999999999E-2</v>
      </c>
      <c r="S48">
        <v>3.1024780000000001</v>
      </c>
      <c r="T48">
        <v>-0.67404560000000002</v>
      </c>
      <c r="U48">
        <v>-0.47415160000000001</v>
      </c>
      <c r="V48">
        <v>5.3680430000000001E-2</v>
      </c>
      <c r="W48">
        <v>0.13835140000000001</v>
      </c>
      <c r="X48">
        <v>0.98892740000000001</v>
      </c>
      <c r="Y48">
        <v>0.13774900000000001</v>
      </c>
      <c r="Z48">
        <v>-1.215362E-2</v>
      </c>
      <c r="AA48">
        <v>0.99039259999999996</v>
      </c>
      <c r="AB48">
        <v>14</v>
      </c>
      <c r="AC48">
        <v>0.61780000000004498</v>
      </c>
      <c r="AD48">
        <v>-0.1652228</v>
      </c>
      <c r="AE48">
        <v>-0.114800000000002</v>
      </c>
      <c r="AF48">
        <v>0.101242610892837</v>
      </c>
      <c r="AG48">
        <v>-0.1652228</v>
      </c>
      <c r="AH48">
        <v>0.57895621110898199</v>
      </c>
      <c r="AI48">
        <v>105.701449667782</v>
      </c>
      <c r="AJ48">
        <v>80.080930086243598</v>
      </c>
      <c r="AK48">
        <v>0.61052349199838896</v>
      </c>
      <c r="AL48">
        <v>82.047540316611901</v>
      </c>
      <c r="AM48">
        <v>86.892950260271704</v>
      </c>
      <c r="AN48">
        <v>1.00000005045885</v>
      </c>
    </row>
    <row r="49" spans="1:40" x14ac:dyDescent="0.25">
      <c r="A49" t="str">
        <f>"20190303170457295"</f>
        <v>20190303170457295</v>
      </c>
      <c r="B49" t="str">
        <f>"1551603897284417"</f>
        <v>1551603897284417</v>
      </c>
      <c r="C49" t="s">
        <v>40</v>
      </c>
      <c r="D49">
        <v>4.9905540000000004</v>
      </c>
      <c r="E49">
        <v>0.54086190000000001</v>
      </c>
      <c r="F49" t="s">
        <v>42</v>
      </c>
      <c r="G49">
        <v>-471.3784</v>
      </c>
      <c r="H49">
        <v>0.95712390000000003</v>
      </c>
      <c r="I49">
        <v>366.9203</v>
      </c>
      <c r="J49">
        <v>-471.9846</v>
      </c>
      <c r="K49">
        <v>1.119067</v>
      </c>
      <c r="L49">
        <v>367.03269999999998</v>
      </c>
      <c r="M49">
        <v>0.99993520000000002</v>
      </c>
      <c r="N49">
        <v>3.7150270000000001E-3</v>
      </c>
      <c r="O49">
        <v>-1.077062E-2</v>
      </c>
      <c r="P49">
        <v>0.98766140000000002</v>
      </c>
      <c r="Q49">
        <v>0.14313219999999999</v>
      </c>
      <c r="R49">
        <v>-6.3550700000000002E-2</v>
      </c>
      <c r="S49">
        <v>3.1030579999999999</v>
      </c>
      <c r="T49">
        <v>-0.67321629999999999</v>
      </c>
      <c r="U49">
        <v>-0.473053</v>
      </c>
      <c r="V49">
        <v>5.2928379999999997E-2</v>
      </c>
      <c r="W49">
        <v>0.1394522</v>
      </c>
      <c r="X49">
        <v>0.98881330000000001</v>
      </c>
      <c r="Y49">
        <v>0.137239</v>
      </c>
      <c r="Z49">
        <v>-1.203925E-2</v>
      </c>
      <c r="AA49">
        <v>0.99046480000000003</v>
      </c>
      <c r="AB49">
        <v>14</v>
      </c>
      <c r="AC49">
        <v>0.60620000000000096</v>
      </c>
      <c r="AD49">
        <v>-0.16194310000000001</v>
      </c>
      <c r="AE49">
        <v>-0.112399999999979</v>
      </c>
      <c r="AF49">
        <v>9.9031667355150593E-2</v>
      </c>
      <c r="AG49">
        <v>-0.16194310000000001</v>
      </c>
      <c r="AH49">
        <v>0.56817466114194204</v>
      </c>
      <c r="AI49">
        <v>105.68422073899301</v>
      </c>
      <c r="AJ49">
        <v>80.112789480492694</v>
      </c>
      <c r="AK49">
        <v>0.59904531075746903</v>
      </c>
      <c r="AL49">
        <v>81.983851617725094</v>
      </c>
      <c r="AM49">
        <v>86.936042939212399</v>
      </c>
      <c r="AN49">
        <v>1.0000000358755701</v>
      </c>
    </row>
    <row r="50" spans="1:40" x14ac:dyDescent="0.25">
      <c r="A50" t="str">
        <f>"20190303170457318"</f>
        <v>20190303170457318</v>
      </c>
      <c r="B50" t="str">
        <f>"1551603897314673"</f>
        <v>1551603897314673</v>
      </c>
      <c r="C50" t="s">
        <v>40</v>
      </c>
      <c r="D50">
        <v>5.0007510000000002</v>
      </c>
      <c r="E50">
        <v>0.54071499999999995</v>
      </c>
      <c r="F50" t="s">
        <v>42</v>
      </c>
      <c r="G50">
        <v>-471.2473</v>
      </c>
      <c r="H50">
        <v>0.95993189999999995</v>
      </c>
      <c r="I50">
        <v>366.9203</v>
      </c>
      <c r="J50">
        <v>-471.83530000000002</v>
      </c>
      <c r="K50">
        <v>1.119051</v>
      </c>
      <c r="L50">
        <v>367.0308</v>
      </c>
      <c r="M50">
        <v>0.99993319999999997</v>
      </c>
      <c r="N50">
        <v>3.8320540000000001E-3</v>
      </c>
      <c r="O50">
        <v>-1.0905130000000001E-2</v>
      </c>
      <c r="P50">
        <v>0.98753570000000002</v>
      </c>
      <c r="Q50">
        <v>0.14411940000000001</v>
      </c>
      <c r="R50">
        <v>-6.3267160000000003E-2</v>
      </c>
      <c r="S50">
        <v>3.1043090000000002</v>
      </c>
      <c r="T50">
        <v>-0.67017230000000005</v>
      </c>
      <c r="U50">
        <v>-0.47055049999999998</v>
      </c>
      <c r="V50">
        <v>5.2508230000000003E-2</v>
      </c>
      <c r="W50">
        <v>0.1403266</v>
      </c>
      <c r="X50">
        <v>0.98871200000000004</v>
      </c>
      <c r="Y50">
        <v>0.13631849999999901</v>
      </c>
      <c r="Z50">
        <v>-1.184632E-2</v>
      </c>
      <c r="AA50">
        <v>0.99059419999999998</v>
      </c>
      <c r="AB50">
        <v>14</v>
      </c>
      <c r="AC50">
        <v>0.58800000000002195</v>
      </c>
      <c r="AD50">
        <v>-0.15911910000000001</v>
      </c>
      <c r="AE50">
        <v>-0.110500000000001</v>
      </c>
      <c r="AF50">
        <v>9.7205600776524195E-2</v>
      </c>
      <c r="AG50">
        <v>-0.15911910000000001</v>
      </c>
      <c r="AH50">
        <v>0.55024969519618305</v>
      </c>
      <c r="AI50">
        <v>105.895195502674</v>
      </c>
      <c r="AJ50">
        <v>79.981648316240495</v>
      </c>
      <c r="AK50">
        <v>0.58098411671114303</v>
      </c>
      <c r="AL50">
        <v>81.9332547406174</v>
      </c>
      <c r="AM50">
        <v>86.960008247632999</v>
      </c>
      <c r="AN50">
        <v>1.0000000439146399</v>
      </c>
    </row>
    <row r="51" spans="1:40" x14ac:dyDescent="0.25">
      <c r="A51" t="str">
        <f>"20190303170457340"</f>
        <v>20190303170457340</v>
      </c>
      <c r="B51" t="str">
        <f>"1551603897334193"</f>
        <v>1551603897334193</v>
      </c>
      <c r="C51" t="s">
        <v>40</v>
      </c>
      <c r="D51">
        <v>5.0023530000000003</v>
      </c>
      <c r="E51">
        <v>0.54066029999999998</v>
      </c>
      <c r="F51" t="s">
        <v>42</v>
      </c>
      <c r="G51">
        <v>-471.11329999999998</v>
      </c>
      <c r="H51">
        <v>0.96365869999999998</v>
      </c>
      <c r="I51">
        <v>366.92169999999999</v>
      </c>
      <c r="J51">
        <v>-471.68689999999998</v>
      </c>
      <c r="K51">
        <v>1.1190530000000001</v>
      </c>
      <c r="L51">
        <v>367.02910000000003</v>
      </c>
      <c r="M51">
        <v>0.99993189999999998</v>
      </c>
      <c r="N51">
        <v>3.9332849999999999E-3</v>
      </c>
      <c r="O51">
        <v>-1.0990400000000001E-2</v>
      </c>
      <c r="P51">
        <v>0.98741590000000001</v>
      </c>
      <c r="Q51">
        <v>0.1450929</v>
      </c>
      <c r="R51">
        <v>-6.2912800000000005E-2</v>
      </c>
      <c r="S51">
        <v>3.1054080000000002</v>
      </c>
      <c r="T51">
        <v>-0.66847869999999998</v>
      </c>
      <c r="U51">
        <v>-0.46871950000000001</v>
      </c>
      <c r="V51">
        <v>5.206496E-2</v>
      </c>
      <c r="W51">
        <v>0.1412023</v>
      </c>
      <c r="X51">
        <v>0.98861069999999995</v>
      </c>
      <c r="Y51">
        <v>0.13564509999999999</v>
      </c>
      <c r="Z51">
        <v>-1.1716290000000001E-2</v>
      </c>
      <c r="AA51">
        <v>0.99068820000000002</v>
      </c>
      <c r="AB51">
        <v>15</v>
      </c>
      <c r="AC51">
        <v>0.573599999999999</v>
      </c>
      <c r="AD51">
        <v>-0.15539430000000001</v>
      </c>
      <c r="AE51">
        <v>-0.107400000000041</v>
      </c>
      <c r="AF51">
        <v>9.43960609806416E-2</v>
      </c>
      <c r="AG51">
        <v>-0.15539430000000001</v>
      </c>
      <c r="AH51">
        <v>0.53669077824346501</v>
      </c>
      <c r="AI51">
        <v>105.916258556204</v>
      </c>
      <c r="AJ51">
        <v>80.024540815334205</v>
      </c>
      <c r="AK51">
        <v>0.56665244749557597</v>
      </c>
      <c r="AL51">
        <v>81.882575728009897</v>
      </c>
      <c r="AM51">
        <v>86.985315764049403</v>
      </c>
      <c r="AN51">
        <v>0.99999998286978997</v>
      </c>
    </row>
    <row r="52" spans="1:40" x14ac:dyDescent="0.25">
      <c r="A52" t="str">
        <f>"20190303170457366"</f>
        <v>20190303170457366</v>
      </c>
      <c r="B52" t="str">
        <f>"1551603897354689"</f>
        <v>1551603897354689</v>
      </c>
      <c r="C52" t="s">
        <v>40</v>
      </c>
      <c r="D52">
        <v>5.0578529999999997</v>
      </c>
      <c r="E52">
        <v>0.54011469999999995</v>
      </c>
      <c r="F52" t="s">
        <v>42</v>
      </c>
      <c r="G52">
        <v>-470.97719999999998</v>
      </c>
      <c r="H52">
        <v>0.96681870000000003</v>
      </c>
      <c r="I52">
        <v>366.92200000000003</v>
      </c>
      <c r="J52">
        <v>-471.5129</v>
      </c>
      <c r="K52">
        <v>1.119065</v>
      </c>
      <c r="L52">
        <v>367.02699999999999</v>
      </c>
      <c r="M52">
        <v>0.99993129999999997</v>
      </c>
      <c r="N52">
        <v>4.0033789999999996E-3</v>
      </c>
      <c r="O52">
        <v>-1.102676E-2</v>
      </c>
      <c r="P52">
        <v>0.987402</v>
      </c>
      <c r="Q52">
        <v>0.14528720000000001</v>
      </c>
      <c r="R52">
        <v>-6.2680819999999998E-2</v>
      </c>
      <c r="S52">
        <v>3.1064150000000001</v>
      </c>
      <c r="T52">
        <v>-0.66643330000000001</v>
      </c>
      <c r="U52">
        <v>-0.46679690000000001</v>
      </c>
      <c r="V52">
        <v>5.1789799999999997E-2</v>
      </c>
      <c r="W52">
        <v>0.1413307</v>
      </c>
      <c r="X52">
        <v>0.98860680000000001</v>
      </c>
      <c r="Y52">
        <v>0.13499639999999999</v>
      </c>
      <c r="Z52">
        <v>-1.159657E-2</v>
      </c>
      <c r="AA52">
        <v>0.99077820000000005</v>
      </c>
      <c r="AB52">
        <v>15</v>
      </c>
      <c r="AC52">
        <v>0.53570000000001905</v>
      </c>
      <c r="AD52">
        <v>-0.152246299999999</v>
      </c>
      <c r="AE52">
        <v>-0.105000000000018</v>
      </c>
      <c r="AF52">
        <v>9.1935616756503899E-2</v>
      </c>
      <c r="AG52">
        <v>-0.152246299999999</v>
      </c>
      <c r="AH52">
        <v>0.49808342575930797</v>
      </c>
      <c r="AI52">
        <v>106.730081658768</v>
      </c>
      <c r="AJ52">
        <v>79.542120676393594</v>
      </c>
      <c r="AK52">
        <v>0.52888391212837704</v>
      </c>
      <c r="AL52">
        <v>81.875144382442897</v>
      </c>
      <c r="AM52">
        <v>87.001207212762296</v>
      </c>
      <c r="AN52">
        <v>0.99999997757638404</v>
      </c>
    </row>
    <row r="53" spans="1:40" x14ac:dyDescent="0.25">
      <c r="A53" t="str">
        <f>"20190303170457386"</f>
        <v>20190303170457386</v>
      </c>
      <c r="B53" t="str">
        <f>"1551603897374209"</f>
        <v>1551603897374209</v>
      </c>
      <c r="C53" t="s">
        <v>40</v>
      </c>
      <c r="D53">
        <v>4.9230080000000003</v>
      </c>
      <c r="E53">
        <v>0.51273670000000005</v>
      </c>
      <c r="F53" t="s">
        <v>42</v>
      </c>
      <c r="G53">
        <v>-470.70940000000002</v>
      </c>
      <c r="H53">
        <v>0.94747190000000003</v>
      </c>
      <c r="I53">
        <v>366.90699999999998</v>
      </c>
      <c r="J53">
        <v>-471.36680000000001</v>
      </c>
      <c r="K53">
        <v>1.119095</v>
      </c>
      <c r="L53">
        <v>367.02530000000002</v>
      </c>
      <c r="M53">
        <v>0.99993140000000003</v>
      </c>
      <c r="N53">
        <v>4.0166309999999997E-3</v>
      </c>
      <c r="O53">
        <v>-1.100362E-2</v>
      </c>
      <c r="P53">
        <v>0.98735660000000003</v>
      </c>
      <c r="Q53">
        <v>0.1456933</v>
      </c>
      <c r="R53">
        <v>-6.2457869999999999E-2</v>
      </c>
      <c r="S53">
        <v>3.106598</v>
      </c>
      <c r="T53">
        <v>-0.66365560000000001</v>
      </c>
      <c r="U53">
        <v>-0.46105960000000001</v>
      </c>
      <c r="V53">
        <v>5.1584560000000002E-2</v>
      </c>
      <c r="W53">
        <v>0.1417253</v>
      </c>
      <c r="X53">
        <v>0.98856100000000002</v>
      </c>
      <c r="Y53">
        <v>0.13327929999999999</v>
      </c>
      <c r="Z53">
        <v>-1.1375909999999999E-2</v>
      </c>
      <c r="AA53">
        <v>0.99101320000000004</v>
      </c>
      <c r="AB53">
        <v>15</v>
      </c>
      <c r="AC53">
        <v>0.65739999999999499</v>
      </c>
      <c r="AD53">
        <v>-0.1716231</v>
      </c>
      <c r="AE53">
        <v>-0.118300000000033</v>
      </c>
      <c r="AF53">
        <v>0.104181329399295</v>
      </c>
      <c r="AG53">
        <v>-0.1716231</v>
      </c>
      <c r="AH53">
        <v>0.61787227053779703</v>
      </c>
      <c r="AI53">
        <v>105.317558608491</v>
      </c>
      <c r="AJ53">
        <v>80.429206527869098</v>
      </c>
      <c r="AK53">
        <v>0.64967251792618397</v>
      </c>
      <c r="AL53">
        <v>81.852305261961206</v>
      </c>
      <c r="AM53">
        <v>87.012931559733701</v>
      </c>
      <c r="AN53">
        <v>0.99999993910574003</v>
      </c>
    </row>
    <row r="54" spans="1:40" x14ac:dyDescent="0.25">
      <c r="A54" t="str">
        <f>"20190303170457406"</f>
        <v>20190303170457406</v>
      </c>
      <c r="B54" t="str">
        <f>"1551603897394706"</f>
        <v>1551603897394706</v>
      </c>
      <c r="C54" t="s">
        <v>40</v>
      </c>
      <c r="D54">
        <v>5.2103060000000001</v>
      </c>
      <c r="E54">
        <v>0.50595519999999905</v>
      </c>
      <c r="F54" t="s">
        <v>42</v>
      </c>
      <c r="G54">
        <v>-470.53629999999998</v>
      </c>
      <c r="H54">
        <v>1.0146980000000001</v>
      </c>
      <c r="I54">
        <v>366.95679999999999</v>
      </c>
      <c r="J54">
        <v>-471.22390000000001</v>
      </c>
      <c r="K54">
        <v>1.1191169999999999</v>
      </c>
      <c r="L54">
        <v>367.02370000000002</v>
      </c>
      <c r="M54">
        <v>0.9999325</v>
      </c>
      <c r="N54">
        <v>4.0014300000000003E-3</v>
      </c>
      <c r="O54">
        <v>-1.090784E-2</v>
      </c>
      <c r="P54">
        <v>0.98729800000000001</v>
      </c>
      <c r="Q54">
        <v>0.14600779999999999</v>
      </c>
      <c r="R54">
        <v>-6.264633E-2</v>
      </c>
      <c r="S54">
        <v>3.0794679999999999</v>
      </c>
      <c r="T54">
        <v>-0.38714920000000003</v>
      </c>
      <c r="U54">
        <v>-0.25393680000000002</v>
      </c>
      <c r="V54">
        <v>5.1861709999999998E-2</v>
      </c>
      <c r="W54">
        <v>0.14205760000000001</v>
      </c>
      <c r="X54">
        <v>0.98849889999999996</v>
      </c>
      <c r="Y54">
        <v>7.086112E-2</v>
      </c>
      <c r="Z54">
        <v>-2.8799770000000001E-3</v>
      </c>
      <c r="AA54">
        <v>0.99748210000000004</v>
      </c>
      <c r="AB54">
        <v>16</v>
      </c>
      <c r="AC54">
        <v>0.68760000000003096</v>
      </c>
      <c r="AD54">
        <v>-0.104419</v>
      </c>
      <c r="AE54">
        <v>-6.6900000000032295E-2</v>
      </c>
      <c r="AF54">
        <v>5.8069126627647301E-2</v>
      </c>
      <c r="AG54">
        <v>-0.104419</v>
      </c>
      <c r="AH54">
        <v>0.67291591531818895</v>
      </c>
      <c r="AI54">
        <v>98.788314796917106</v>
      </c>
      <c r="AJ54">
        <v>85.067892242709505</v>
      </c>
      <c r="AK54">
        <v>0.68344069246483496</v>
      </c>
      <c r="AL54">
        <v>81.833072072782699</v>
      </c>
      <c r="AM54">
        <v>86.996723824591996</v>
      </c>
      <c r="AN54">
        <v>1.0000000369915401</v>
      </c>
    </row>
    <row r="55" spans="1:40" x14ac:dyDescent="0.25">
      <c r="A55" t="str">
        <f>"20190303170457429"</f>
        <v>20190303170457429</v>
      </c>
      <c r="B55" t="str">
        <f>"1551603897414225"</f>
        <v>1551603897414225</v>
      </c>
      <c r="C55" t="s">
        <v>40</v>
      </c>
      <c r="D55">
        <v>5.2051049999999996</v>
      </c>
      <c r="E55">
        <v>0.50358130000000001</v>
      </c>
      <c r="F55" t="s">
        <v>42</v>
      </c>
      <c r="G55">
        <v>-470.37619999999998</v>
      </c>
      <c r="H55">
        <v>1.0489440000000001</v>
      </c>
      <c r="I55">
        <v>366.9667</v>
      </c>
      <c r="J55">
        <v>-471.05810000000002</v>
      </c>
      <c r="K55">
        <v>1.1191960000000001</v>
      </c>
      <c r="L55">
        <v>367.02170000000001</v>
      </c>
      <c r="M55">
        <v>0.99993339999999997</v>
      </c>
      <c r="N55">
        <v>3.8491459999999999E-3</v>
      </c>
      <c r="O55">
        <v>-1.088631E-2</v>
      </c>
      <c r="P55">
        <v>0.98740890000000003</v>
      </c>
      <c r="Q55">
        <v>0.14472689999999999</v>
      </c>
      <c r="R55">
        <v>-6.3859449999999998E-2</v>
      </c>
      <c r="S55">
        <v>3.06311</v>
      </c>
      <c r="T55">
        <v>-0.25367469999999998</v>
      </c>
      <c r="U55">
        <v>-0.20498659999999999</v>
      </c>
      <c r="V55">
        <v>5.3062390000000001E-2</v>
      </c>
      <c r="W55">
        <v>0.14093939999999999</v>
      </c>
      <c r="X55">
        <v>0.98859520000000001</v>
      </c>
      <c r="Y55">
        <v>5.5765160000000001E-2</v>
      </c>
      <c r="Z55">
        <v>-1.2542880000000001E-3</v>
      </c>
      <c r="AA55">
        <v>0.99844310000000003</v>
      </c>
      <c r="AB55">
        <v>16</v>
      </c>
      <c r="AC55">
        <v>0.68190000000004103</v>
      </c>
      <c r="AD55">
        <v>-7.0251999999999704E-2</v>
      </c>
      <c r="AE55">
        <v>-5.50000000000068E-2</v>
      </c>
      <c r="AF55">
        <v>4.7076870747403299E-2</v>
      </c>
      <c r="AG55">
        <v>-7.0251999999999704E-2</v>
      </c>
      <c r="AH55">
        <v>0.67533670035533</v>
      </c>
      <c r="AI55">
        <v>95.924566963811301</v>
      </c>
      <c r="AJ55">
        <v>86.012433967704297</v>
      </c>
      <c r="AK55">
        <v>0.68061092711636095</v>
      </c>
      <c r="AL55">
        <v>81.897791093014604</v>
      </c>
      <c r="AM55">
        <v>86.9276237386849</v>
      </c>
      <c r="AN55">
        <v>1.00000000058395</v>
      </c>
    </row>
    <row r="56" spans="1:40" x14ac:dyDescent="0.25">
      <c r="A56" t="str">
        <f>"20190303170457453"</f>
        <v>20190303170457453</v>
      </c>
      <c r="B56" t="str">
        <f>"1551603897444482"</f>
        <v>1551603897444482</v>
      </c>
      <c r="C56" t="s">
        <v>40</v>
      </c>
      <c r="D56">
        <v>5.2554259999999999</v>
      </c>
      <c r="E56">
        <v>0.50231709999999996</v>
      </c>
      <c r="F56" t="s">
        <v>41</v>
      </c>
      <c r="G56">
        <v>-454.09120000000001</v>
      </c>
      <c r="H56" s="1">
        <v>-3.1663289999999998E-6</v>
      </c>
      <c r="I56">
        <v>365.95650000000001</v>
      </c>
      <c r="J56">
        <v>-470.87950000000001</v>
      </c>
      <c r="K56">
        <v>1.1192820000000001</v>
      </c>
      <c r="L56">
        <v>367.0197</v>
      </c>
      <c r="M56">
        <v>0.99993299999999996</v>
      </c>
      <c r="N56">
        <v>3.6335669999999999E-3</v>
      </c>
      <c r="O56">
        <v>-1.0987190000000001E-2</v>
      </c>
      <c r="P56">
        <v>0.98735859999999998</v>
      </c>
      <c r="Q56">
        <v>0.14463139999999999</v>
      </c>
      <c r="R56">
        <v>-6.4843129999999999E-2</v>
      </c>
      <c r="S56">
        <v>3.0553889999999999</v>
      </c>
      <c r="T56">
        <v>-0.20154440000000001</v>
      </c>
      <c r="U56">
        <v>-0.191803</v>
      </c>
      <c r="V56">
        <v>5.3906519999999999E-2</v>
      </c>
      <c r="W56">
        <v>0.141073</v>
      </c>
      <c r="X56">
        <v>0.98853049999999998</v>
      </c>
      <c r="Y56">
        <v>5.1603469999999999E-2</v>
      </c>
      <c r="Z56">
        <v>-8.4149300000000002E-4</v>
      </c>
      <c r="AA56">
        <v>0.99866730000000004</v>
      </c>
      <c r="AB56">
        <v>16</v>
      </c>
      <c r="AC56">
        <v>16.7882999999999</v>
      </c>
      <c r="AD56">
        <v>-1.119285166329</v>
      </c>
      <c r="AE56">
        <v>-1.0631999999999899</v>
      </c>
      <c r="AF56">
        <v>0.87480541317528904</v>
      </c>
      <c r="AG56">
        <v>-1.119285166329</v>
      </c>
      <c r="AH56">
        <v>16.724923604423299</v>
      </c>
      <c r="AI56">
        <v>93.823495827079398</v>
      </c>
      <c r="AJ56">
        <v>87.005844419056103</v>
      </c>
      <c r="AK56">
        <v>16.785146808064599</v>
      </c>
      <c r="AL56">
        <v>81.890059338830795</v>
      </c>
      <c r="AM56">
        <v>86.8786395981449</v>
      </c>
      <c r="AN56">
        <v>1.00000002682887</v>
      </c>
    </row>
    <row r="57" spans="1:40" x14ac:dyDescent="0.25">
      <c r="A57" t="str">
        <f>"20190303170457476"</f>
        <v>20190303170457476</v>
      </c>
      <c r="B57" t="str">
        <f>"1551603897464009"</f>
        <v>1551603897464009</v>
      </c>
      <c r="C57" t="s">
        <v>40</v>
      </c>
      <c r="D57">
        <v>5.1970419999999997</v>
      </c>
      <c r="E57">
        <v>0.50190089999999998</v>
      </c>
      <c r="F57" t="s">
        <v>41</v>
      </c>
      <c r="G57">
        <v>-450.63850000000002</v>
      </c>
      <c r="H57" s="1">
        <v>-4.6778859999999998E-6</v>
      </c>
      <c r="I57">
        <v>365.78539999999998</v>
      </c>
      <c r="J57">
        <v>-470.7133</v>
      </c>
      <c r="K57">
        <v>1.1193070000000001</v>
      </c>
      <c r="L57">
        <v>367.0179</v>
      </c>
      <c r="M57">
        <v>0.99993279999999995</v>
      </c>
      <c r="N57">
        <v>3.4313099999999999E-3</v>
      </c>
      <c r="O57">
        <v>-1.1082099999999999E-2</v>
      </c>
      <c r="P57">
        <v>0.98723139999999998</v>
      </c>
      <c r="Q57">
        <v>0.1451973</v>
      </c>
      <c r="R57">
        <v>-6.5516320000000003E-2</v>
      </c>
      <c r="S57">
        <v>3.0509339999999998</v>
      </c>
      <c r="T57">
        <v>-0.16871040000000001</v>
      </c>
      <c r="U57">
        <v>-0.18603520000000001</v>
      </c>
      <c r="V57">
        <v>5.4473349999999997E-2</v>
      </c>
      <c r="W57">
        <v>0.14184469999999999</v>
      </c>
      <c r="X57">
        <v>0.98838899999999996</v>
      </c>
      <c r="Y57">
        <v>4.9746100000000001E-2</v>
      </c>
      <c r="Z57">
        <v>-6.3793330000000003E-4</v>
      </c>
      <c r="AA57">
        <v>0.99876169999999997</v>
      </c>
      <c r="AB57">
        <v>16</v>
      </c>
      <c r="AC57">
        <v>20.0747999999999</v>
      </c>
      <c r="AD57">
        <v>-1.1193116778859999</v>
      </c>
      <c r="AE57">
        <v>-1.2325000000000099</v>
      </c>
      <c r="AF57">
        <v>1.0068337441081501</v>
      </c>
      <c r="AG57">
        <v>-1.1193116778859999</v>
      </c>
      <c r="AH57">
        <v>20.025204441295902</v>
      </c>
      <c r="AI57">
        <v>93.195199188074497</v>
      </c>
      <c r="AJ57">
        <v>87.121687894949105</v>
      </c>
      <c r="AK57">
        <v>20.081717698847999</v>
      </c>
      <c r="AL57">
        <v>81.845395156341297</v>
      </c>
      <c r="AM57">
        <v>86.845433610139807</v>
      </c>
      <c r="AN57">
        <v>1.00000004004965</v>
      </c>
    </row>
    <row r="58" spans="1:40" x14ac:dyDescent="0.25">
      <c r="A58" t="str">
        <f>"20190303170457497"</f>
        <v>20190303170457497</v>
      </c>
      <c r="B58" t="str">
        <f>"1551603897484497"</f>
        <v>1551603897484497</v>
      </c>
      <c r="C58" t="s">
        <v>40</v>
      </c>
      <c r="D58">
        <v>5.3120629999999904</v>
      </c>
      <c r="E58">
        <v>0.50172419999999995</v>
      </c>
      <c r="F58" t="s">
        <v>41</v>
      </c>
      <c r="G58">
        <v>-448.79390000000001</v>
      </c>
      <c r="H58" s="1">
        <v>-1.4932979999999999E-6</v>
      </c>
      <c r="I58">
        <v>365.68549999999999</v>
      </c>
      <c r="J58">
        <v>-470.55169999999998</v>
      </c>
      <c r="K58">
        <v>1.1192820000000001</v>
      </c>
      <c r="L58">
        <v>367.01609999999999</v>
      </c>
      <c r="M58">
        <v>0.99993310000000002</v>
      </c>
      <c r="N58">
        <v>3.2470680000000001E-3</v>
      </c>
      <c r="O58">
        <v>-1.111585E-2</v>
      </c>
      <c r="P58">
        <v>0.98706309999999997</v>
      </c>
      <c r="Q58">
        <v>0.14613709999999999</v>
      </c>
      <c r="R58">
        <v>-6.596117E-2</v>
      </c>
      <c r="S58">
        <v>3.0494690000000002</v>
      </c>
      <c r="T58">
        <v>-0.1557202</v>
      </c>
      <c r="U58">
        <v>-0.1853638</v>
      </c>
      <c r="V58">
        <v>5.489318E-2</v>
      </c>
      <c r="W58">
        <v>0.14296429999999999</v>
      </c>
      <c r="X58">
        <v>0.98820439999999998</v>
      </c>
      <c r="Y58">
        <v>4.9530560000000001E-2</v>
      </c>
      <c r="Z58">
        <v>-5.7938870000000004E-4</v>
      </c>
      <c r="AA58">
        <v>0.9987724</v>
      </c>
      <c r="AB58">
        <v>17</v>
      </c>
      <c r="AC58">
        <v>21.7577999999999</v>
      </c>
      <c r="AD58">
        <v>-1.11928349329799</v>
      </c>
      <c r="AE58">
        <v>-1.3306</v>
      </c>
      <c r="AF58">
        <v>1.08579739898201</v>
      </c>
      <c r="AG58">
        <v>-1.11928349329799</v>
      </c>
      <c r="AH58">
        <v>21.7139974308601</v>
      </c>
      <c r="AI58">
        <v>92.947117237172407</v>
      </c>
      <c r="AJ58">
        <v>87.137338074288294</v>
      </c>
      <c r="AK58">
        <v>21.7699204398501</v>
      </c>
      <c r="AL58">
        <v>81.780585924976506</v>
      </c>
      <c r="AM58">
        <v>86.820578214268707</v>
      </c>
      <c r="AN58">
        <v>0.999999994232181</v>
      </c>
    </row>
    <row r="59" spans="1:40" x14ac:dyDescent="0.25">
      <c r="A59" t="str">
        <f>"20190303170457519"</f>
        <v>20190303170457519</v>
      </c>
      <c r="B59" t="str">
        <f>"1551603897514753"</f>
        <v>1551603897514753</v>
      </c>
      <c r="C59" t="s">
        <v>40</v>
      </c>
      <c r="D59">
        <v>5.2424730000000004</v>
      </c>
      <c r="E59">
        <v>0.50138969999999905</v>
      </c>
      <c r="F59" t="s">
        <v>41</v>
      </c>
      <c r="G59">
        <v>-447.09379999999999</v>
      </c>
      <c r="H59" s="1">
        <v>-2.1706960000000001E-6</v>
      </c>
      <c r="I59">
        <v>365.5933</v>
      </c>
      <c r="J59">
        <v>-470.38560000000001</v>
      </c>
      <c r="K59">
        <v>1.1192279999999999</v>
      </c>
      <c r="L59">
        <v>367.01429999999999</v>
      </c>
      <c r="M59">
        <v>0.99993399999999999</v>
      </c>
      <c r="N59">
        <v>3.0709380000000001E-3</v>
      </c>
      <c r="O59">
        <v>-1.1081570000000001E-2</v>
      </c>
      <c r="P59">
        <v>0.98709259999999999</v>
      </c>
      <c r="Q59">
        <v>0.1457138</v>
      </c>
      <c r="R59">
        <v>-6.6452369999999997E-2</v>
      </c>
      <c r="S59">
        <v>3.048492</v>
      </c>
      <c r="T59">
        <v>-0.145457</v>
      </c>
      <c r="U59">
        <v>-0.18490599999999999</v>
      </c>
      <c r="V59">
        <v>5.5434549999999999E-2</v>
      </c>
      <c r="W59">
        <v>0.142709</v>
      </c>
      <c r="X59">
        <v>0.98821110000000001</v>
      </c>
      <c r="Y59">
        <v>4.9440440000000002E-2</v>
      </c>
      <c r="Z59">
        <v>-5.3983969999999999E-4</v>
      </c>
      <c r="AA59">
        <v>0.99877689999999997</v>
      </c>
      <c r="AB59">
        <v>17</v>
      </c>
      <c r="AC59">
        <v>23.291799999999999</v>
      </c>
      <c r="AD59">
        <v>-1.1192301706959999</v>
      </c>
      <c r="AE59">
        <v>-1.42099999999999</v>
      </c>
      <c r="AF59">
        <v>1.1601329799962099</v>
      </c>
      <c r="AG59">
        <v>-1.1192301706959999</v>
      </c>
      <c r="AH59">
        <v>23.252624501378499</v>
      </c>
      <c r="AI59">
        <v>92.752301255317306</v>
      </c>
      <c r="AJ59">
        <v>87.143735272503804</v>
      </c>
      <c r="AK59">
        <v>23.308434758867399</v>
      </c>
      <c r="AL59">
        <v>81.795365234756503</v>
      </c>
      <c r="AM59">
        <v>86.789308982739499</v>
      </c>
      <c r="AN59">
        <v>1.0000000130889499</v>
      </c>
    </row>
    <row r="60" spans="1:40" x14ac:dyDescent="0.25">
      <c r="A60" t="str">
        <f>"20190303170457542"</f>
        <v>20190303170457542</v>
      </c>
      <c r="B60" t="str">
        <f>"1551603897534274"</f>
        <v>1551603897534274</v>
      </c>
      <c r="C60" t="s">
        <v>40</v>
      </c>
      <c r="D60">
        <v>5.3085259999999996</v>
      </c>
      <c r="E60">
        <v>0.50121090000000001</v>
      </c>
      <c r="F60" t="s">
        <v>41</v>
      </c>
      <c r="G60">
        <v>-445.94009999999997</v>
      </c>
      <c r="H60" s="1">
        <v>-2.628396E-6</v>
      </c>
      <c r="I60">
        <v>365.53809999999999</v>
      </c>
      <c r="J60">
        <v>-470.20850000000002</v>
      </c>
      <c r="K60">
        <v>1.119192</v>
      </c>
      <c r="L60">
        <v>367.01240000000001</v>
      </c>
      <c r="M60">
        <v>0.99993549999999998</v>
      </c>
      <c r="N60">
        <v>2.89843E-3</v>
      </c>
      <c r="O60">
        <v>-1.0989179999999999E-2</v>
      </c>
      <c r="P60">
        <v>0.98722350000000003</v>
      </c>
      <c r="Q60">
        <v>0.144785</v>
      </c>
      <c r="R60">
        <v>-6.6538739999999999E-2</v>
      </c>
      <c r="S60">
        <v>3.0474239999999999</v>
      </c>
      <c r="T60">
        <v>-0.13952579999999901</v>
      </c>
      <c r="U60">
        <v>-0.18402099999999999</v>
      </c>
      <c r="V60">
        <v>5.5626469999999997E-2</v>
      </c>
      <c r="W60">
        <v>0.1419443</v>
      </c>
      <c r="X60">
        <v>0.98831049999999998</v>
      </c>
      <c r="Y60">
        <v>4.9267900000000003E-2</v>
      </c>
      <c r="Z60">
        <v>-5.2057079999999999E-4</v>
      </c>
      <c r="AA60">
        <v>0.99878540000000005</v>
      </c>
      <c r="AB60">
        <v>17</v>
      </c>
      <c r="AC60">
        <v>24.2684</v>
      </c>
      <c r="AD60">
        <v>-1.1191946283959999</v>
      </c>
      <c r="AE60">
        <v>-1.4743000000000199</v>
      </c>
      <c r="AF60">
        <v>1.20496674924528</v>
      </c>
      <c r="AG60">
        <v>-1.1191946283959999</v>
      </c>
      <c r="AH60">
        <v>24.231789063869801</v>
      </c>
      <c r="AI60">
        <v>92.641184316897593</v>
      </c>
      <c r="AJ60">
        <v>87.153215241184796</v>
      </c>
      <c r="AK60">
        <v>24.287530601501999</v>
      </c>
      <c r="AL60">
        <v>81.839630382335798</v>
      </c>
      <c r="AM60">
        <v>86.778539973460994</v>
      </c>
      <c r="AN60">
        <v>1.0000000664386901</v>
      </c>
    </row>
    <row r="61" spans="1:40" x14ac:dyDescent="0.25">
      <c r="A61" t="str">
        <f>"20190303170457566"</f>
        <v>20190303170457566</v>
      </c>
      <c r="B61" t="str">
        <f>"1551603897554769"</f>
        <v>1551603897554769</v>
      </c>
      <c r="C61" t="s">
        <v>40</v>
      </c>
      <c r="D61">
        <v>5.3044880000000001</v>
      </c>
      <c r="E61">
        <v>0.50120710000000002</v>
      </c>
      <c r="F61" t="s">
        <v>41</v>
      </c>
      <c r="G61">
        <v>-445.64600000000002</v>
      </c>
      <c r="H61" s="1">
        <v>-2.7620209999999999E-6</v>
      </c>
      <c r="I61">
        <v>365.53820000000002</v>
      </c>
      <c r="J61">
        <v>-470.02120000000002</v>
      </c>
      <c r="K61">
        <v>1.1191899999999999</v>
      </c>
      <c r="L61">
        <v>367.0104</v>
      </c>
      <c r="M61">
        <v>0.99993750000000003</v>
      </c>
      <c r="N61">
        <v>2.7366880000000001E-3</v>
      </c>
      <c r="O61">
        <v>-1.08495E-2</v>
      </c>
      <c r="P61">
        <v>0.98723660000000002</v>
      </c>
      <c r="Q61">
        <v>0.14478389999999999</v>
      </c>
      <c r="R61">
        <v>-6.6344780000000006E-2</v>
      </c>
      <c r="S61">
        <v>3.0469059999999999</v>
      </c>
      <c r="T61">
        <v>-0.13883280000000001</v>
      </c>
      <c r="U61">
        <v>-0.1828613</v>
      </c>
      <c r="V61">
        <v>5.5576220000000003E-2</v>
      </c>
      <c r="W61">
        <v>0.14210100000000001</v>
      </c>
      <c r="X61">
        <v>0.98829069999999997</v>
      </c>
      <c r="Y61">
        <v>4.9039020000000003E-2</v>
      </c>
      <c r="Z61">
        <v>-5.2519549999999996E-4</v>
      </c>
      <c r="AA61">
        <v>0.99879669999999998</v>
      </c>
      <c r="AB61">
        <v>17</v>
      </c>
      <c r="AC61">
        <v>24.3752</v>
      </c>
      <c r="AD61">
        <v>-1.1191927620209901</v>
      </c>
      <c r="AE61">
        <v>-1.47219999999998</v>
      </c>
      <c r="AF61">
        <v>1.20512223980185</v>
      </c>
      <c r="AG61">
        <v>-1.1191927620209901</v>
      </c>
      <c r="AH61">
        <v>24.3386136565369</v>
      </c>
      <c r="AI61">
        <v>92.629631363772901</v>
      </c>
      <c r="AJ61">
        <v>87.165324496680498</v>
      </c>
      <c r="AK61">
        <v>24.394118692291102</v>
      </c>
      <c r="AL61">
        <v>81.830559310335502</v>
      </c>
      <c r="AM61">
        <v>86.781379601661797</v>
      </c>
      <c r="AN61">
        <v>0.99999995906848804</v>
      </c>
    </row>
    <row r="62" spans="1:40" x14ac:dyDescent="0.25">
      <c r="A62" t="str">
        <f>"20190303170457587"</f>
        <v>20190303170457587</v>
      </c>
      <c r="B62" t="str">
        <f>"1551603897574289"</f>
        <v>1551603897574289</v>
      </c>
      <c r="C62" t="s">
        <v>40</v>
      </c>
      <c r="D62">
        <v>5.2462549999999997</v>
      </c>
      <c r="E62">
        <v>0.50117109999999998</v>
      </c>
      <c r="F62" t="s">
        <v>41</v>
      </c>
      <c r="G62">
        <v>-445.01119999999997</v>
      </c>
      <c r="H62" s="1">
        <v>-3.065673E-6</v>
      </c>
      <c r="I62">
        <v>365.51799999999997</v>
      </c>
      <c r="J62">
        <v>-469.8381</v>
      </c>
      <c r="K62">
        <v>1.119232</v>
      </c>
      <c r="L62">
        <v>367.00850000000003</v>
      </c>
      <c r="M62">
        <v>0.99993960000000004</v>
      </c>
      <c r="N62">
        <v>2.599428E-3</v>
      </c>
      <c r="O62">
        <v>-1.067327E-2</v>
      </c>
      <c r="P62">
        <v>0.98715730000000002</v>
      </c>
      <c r="Q62">
        <v>0.14565939999999999</v>
      </c>
      <c r="R62">
        <v>-6.5602240000000006E-2</v>
      </c>
      <c r="S62">
        <v>3.0465390000000001</v>
      </c>
      <c r="T62">
        <v>-0.13633239999999999</v>
      </c>
      <c r="U62">
        <v>-0.18179319999999999</v>
      </c>
      <c r="V62">
        <v>5.5003400000000001E-2</v>
      </c>
      <c r="W62">
        <v>0.14311389999999999</v>
      </c>
      <c r="X62">
        <v>0.98817659999999996</v>
      </c>
      <c r="Y62">
        <v>4.8874359999999999E-2</v>
      </c>
      <c r="Z62">
        <v>-5.2380769999999996E-4</v>
      </c>
      <c r="AA62">
        <v>0.99880480000000005</v>
      </c>
      <c r="AB62">
        <v>18</v>
      </c>
      <c r="AC62">
        <v>24.826899999999998</v>
      </c>
      <c r="AD62">
        <v>-1.1192350656729999</v>
      </c>
      <c r="AE62">
        <v>-1.4904999999999899</v>
      </c>
      <c r="AF62">
        <v>1.2229534426166999</v>
      </c>
      <c r="AG62">
        <v>-1.1192350656729999</v>
      </c>
      <c r="AH62">
        <v>24.7911910610934</v>
      </c>
      <c r="AI62">
        <v>92.581812415015307</v>
      </c>
      <c r="AJ62">
        <v>87.175879295551795</v>
      </c>
      <c r="AK62">
        <v>24.846558242192799</v>
      </c>
      <c r="AL62">
        <v>81.771925282753898</v>
      </c>
      <c r="AM62">
        <v>86.814117950811195</v>
      </c>
      <c r="AN62">
        <v>0.99999997758616399</v>
      </c>
    </row>
    <row r="63" spans="1:40" x14ac:dyDescent="0.25">
      <c r="A63" t="str">
        <f>"20190303170457607"</f>
        <v>20190303170457607</v>
      </c>
      <c r="B63" t="str">
        <f>"1551603897594785"</f>
        <v>1551603897594785</v>
      </c>
      <c r="C63" t="s">
        <v>40</v>
      </c>
      <c r="D63">
        <v>5.3054810000000003</v>
      </c>
      <c r="E63">
        <v>0.50106099999999998</v>
      </c>
      <c r="F63" t="s">
        <v>41</v>
      </c>
      <c r="G63">
        <v>-443.9633</v>
      </c>
      <c r="H63" s="1">
        <v>-3.5673429999999998E-6</v>
      </c>
      <c r="I63">
        <v>365.48239999999998</v>
      </c>
      <c r="J63">
        <v>-469.68189999999998</v>
      </c>
      <c r="K63">
        <v>1.119281</v>
      </c>
      <c r="L63">
        <v>367.00700000000001</v>
      </c>
      <c r="M63">
        <v>0.99994190000000005</v>
      </c>
      <c r="N63">
        <v>2.4947239999999998E-3</v>
      </c>
      <c r="O63">
        <v>-1.049224E-2</v>
      </c>
      <c r="P63">
        <v>0.98712279999999997</v>
      </c>
      <c r="Q63">
        <v>0.14639469999999999</v>
      </c>
      <c r="R63">
        <v>-6.4474229999999993E-2</v>
      </c>
      <c r="S63">
        <v>3.0465089999999999</v>
      </c>
      <c r="T63">
        <v>-0.13177920000000001</v>
      </c>
      <c r="U63">
        <v>-0.1796875</v>
      </c>
      <c r="V63">
        <v>5.4046379999999998E-2</v>
      </c>
      <c r="W63">
        <v>0.14395529999999901</v>
      </c>
      <c r="X63">
        <v>0.98810719999999996</v>
      </c>
      <c r="Y63">
        <v>4.8370290000000003E-2</v>
      </c>
      <c r="Z63">
        <v>-5.0499279999999995E-4</v>
      </c>
      <c r="AA63">
        <v>0.99882939999999998</v>
      </c>
      <c r="AB63">
        <v>18</v>
      </c>
      <c r="AC63">
        <v>25.718599999999899</v>
      </c>
      <c r="AD63">
        <v>-1.1192845673430001</v>
      </c>
      <c r="AE63">
        <v>-1.52459999999996</v>
      </c>
      <c r="AF63">
        <v>1.25230593333156</v>
      </c>
      <c r="AG63">
        <v>-1.1192845673430001</v>
      </c>
      <c r="AH63">
        <v>25.6847036356282</v>
      </c>
      <c r="AI63">
        <v>92.492292188523805</v>
      </c>
      <c r="AJ63">
        <v>87.208647229727504</v>
      </c>
      <c r="AK63">
        <v>25.739562330066899</v>
      </c>
      <c r="AL63">
        <v>81.723212298159893</v>
      </c>
      <c r="AM63">
        <v>86.869219360831394</v>
      </c>
      <c r="AN63">
        <v>0.99999998914051702</v>
      </c>
    </row>
    <row r="64" spans="1:40" x14ac:dyDescent="0.25">
      <c r="A64" t="str">
        <f>"20190303170457630"</f>
        <v>20190303170457630</v>
      </c>
      <c r="B64" t="str">
        <f>"1551603897624065"</f>
        <v>1551603897624065</v>
      </c>
      <c r="C64" t="s">
        <v>40</v>
      </c>
      <c r="D64">
        <v>5.3024110000000002</v>
      </c>
      <c r="E64">
        <v>0.500915</v>
      </c>
      <c r="F64" t="s">
        <v>41</v>
      </c>
      <c r="G64">
        <v>-442.91230000000002</v>
      </c>
      <c r="H64" s="1">
        <v>-4.0670009999999996E-6</v>
      </c>
      <c r="I64">
        <v>365.4665</v>
      </c>
      <c r="J64">
        <v>-469.48950000000002</v>
      </c>
      <c r="K64">
        <v>1.1193439999999999</v>
      </c>
      <c r="L64">
        <v>367.00529999999998</v>
      </c>
      <c r="M64">
        <v>0.99994499999999997</v>
      </c>
      <c r="N64">
        <v>2.3774479999999999E-3</v>
      </c>
      <c r="O64">
        <v>-1.0213949999999999E-2</v>
      </c>
      <c r="P64">
        <v>0.98708470000000004</v>
      </c>
      <c r="Q64">
        <v>0.14726110000000001</v>
      </c>
      <c r="R64">
        <v>-6.3073210000000005E-2</v>
      </c>
      <c r="S64">
        <v>3.04657</v>
      </c>
      <c r="T64">
        <v>-0.12738239999999901</v>
      </c>
      <c r="U64">
        <v>-0.17532349999999999</v>
      </c>
      <c r="V64">
        <v>5.29081E-2</v>
      </c>
      <c r="W64">
        <v>0.1449414</v>
      </c>
      <c r="X64">
        <v>0.98802469999999998</v>
      </c>
      <c r="Y64">
        <v>4.7223830000000001E-2</v>
      </c>
      <c r="Z64">
        <v>-4.7906229999999998E-4</v>
      </c>
      <c r="AA64">
        <v>0.9988842</v>
      </c>
      <c r="AB64">
        <v>18</v>
      </c>
      <c r="AC64">
        <v>26.577200000000001</v>
      </c>
      <c r="AD64">
        <v>-1.1193480670010001</v>
      </c>
      <c r="AE64">
        <v>-1.53879999999998</v>
      </c>
      <c r="AF64">
        <v>1.2650243280212801</v>
      </c>
      <c r="AG64">
        <v>-1.1193480670010001</v>
      </c>
      <c r="AH64">
        <v>26.5446026178358</v>
      </c>
      <c r="AI64">
        <v>92.411916702622193</v>
      </c>
      <c r="AJ64">
        <v>87.271544828428304</v>
      </c>
      <c r="AK64">
        <v>26.598292328350698</v>
      </c>
      <c r="AL64">
        <v>81.666114545349302</v>
      </c>
      <c r="AM64">
        <v>86.934774759892804</v>
      </c>
      <c r="AN64">
        <v>1.0000000421448201</v>
      </c>
    </row>
    <row r="65" spans="1:40" x14ac:dyDescent="0.25">
      <c r="A65" t="str">
        <f>"20190303170457666"</f>
        <v>20190303170457666</v>
      </c>
      <c r="B65" t="str">
        <f>"1551603897654321"</f>
        <v>1551603897654321</v>
      </c>
      <c r="C65" t="s">
        <v>40</v>
      </c>
      <c r="D65">
        <v>5.3594410000000003</v>
      </c>
      <c r="E65">
        <v>0.50089609999999996</v>
      </c>
      <c r="F65" t="s">
        <v>41</v>
      </c>
      <c r="G65">
        <v>-441.63909999999998</v>
      </c>
      <c r="H65" s="1">
        <v>-4.6726379999999997E-6</v>
      </c>
      <c r="I65">
        <v>365.44499999999999</v>
      </c>
      <c r="J65">
        <v>-469.2045</v>
      </c>
      <c r="K65">
        <v>1.119426</v>
      </c>
      <c r="L65">
        <v>367.00299999999999</v>
      </c>
      <c r="M65">
        <v>0.99995060000000002</v>
      </c>
      <c r="N65">
        <v>2.216951E-3</v>
      </c>
      <c r="O65">
        <v>-9.6990150000000001E-3</v>
      </c>
      <c r="P65">
        <v>0.98698319999999995</v>
      </c>
      <c r="Q65">
        <v>0.14834249999999999</v>
      </c>
      <c r="R65">
        <v>-6.2122610000000002E-2</v>
      </c>
      <c r="S65">
        <v>3.0466310000000001</v>
      </c>
      <c r="T65">
        <v>-0.1224488</v>
      </c>
      <c r="U65">
        <v>-0.1706848</v>
      </c>
      <c r="V65">
        <v>5.2450749999999997E-2</v>
      </c>
      <c r="W65">
        <v>0.14618729999999999</v>
      </c>
      <c r="X65">
        <v>0.9878654</v>
      </c>
      <c r="Y65">
        <v>4.6223479999999997E-2</v>
      </c>
      <c r="Z65">
        <v>-4.6569459999999999E-4</v>
      </c>
      <c r="AA65">
        <v>0.99893100000000001</v>
      </c>
      <c r="AB65">
        <v>18</v>
      </c>
      <c r="AC65">
        <v>27.5654</v>
      </c>
      <c r="AD65">
        <v>-1.1194306726379999</v>
      </c>
      <c r="AE65">
        <v>-1.55800000000004</v>
      </c>
      <c r="AF65">
        <v>1.28845074693906</v>
      </c>
      <c r="AG65">
        <v>-1.1194306726379999</v>
      </c>
      <c r="AH65">
        <v>27.533950903642602</v>
      </c>
      <c r="AI65">
        <v>92.325614486815397</v>
      </c>
      <c r="AJ65">
        <v>87.320799478830693</v>
      </c>
      <c r="AK65">
        <v>27.5868026911843</v>
      </c>
      <c r="AL65">
        <v>81.593960246220703</v>
      </c>
      <c r="AM65">
        <v>86.960732303475595</v>
      </c>
      <c r="AN65">
        <v>0.99999992818700301</v>
      </c>
    </row>
    <row r="66" spans="1:40" x14ac:dyDescent="0.25">
      <c r="A66" t="str">
        <f>"20190303170457686"</f>
        <v>20190303170457686</v>
      </c>
      <c r="B66" t="str">
        <f>"1551603897674818"</f>
        <v>1551603897674818</v>
      </c>
      <c r="C66" t="s">
        <v>40</v>
      </c>
      <c r="D66">
        <v>5.3621530000000002</v>
      </c>
      <c r="E66">
        <v>0.50081999999999904</v>
      </c>
      <c r="F66" t="s">
        <v>41</v>
      </c>
      <c r="G66">
        <v>-440.05579999999998</v>
      </c>
      <c r="H66" s="1">
        <v>-5.4303420000000002E-6</v>
      </c>
      <c r="I66">
        <v>365.39269999999999</v>
      </c>
      <c r="J66">
        <v>-469.02390000000003</v>
      </c>
      <c r="K66">
        <v>1.119478</v>
      </c>
      <c r="L66">
        <v>367.00170000000003</v>
      </c>
      <c r="M66">
        <v>0.99995429999999996</v>
      </c>
      <c r="N66">
        <v>2.1216680000000002E-3</v>
      </c>
      <c r="O66">
        <v>-9.3196119999999997E-3</v>
      </c>
      <c r="P66">
        <v>0.98679260000000002</v>
      </c>
      <c r="Q66">
        <v>0.1499016</v>
      </c>
      <c r="R66">
        <v>-6.140077E-2</v>
      </c>
      <c r="S66">
        <v>3.04657</v>
      </c>
      <c r="T66">
        <v>-0.1170012</v>
      </c>
      <c r="U66">
        <v>-0.16830439999999999</v>
      </c>
      <c r="V66">
        <v>5.2098560000000002E-2</v>
      </c>
      <c r="W66">
        <v>0.1478428</v>
      </c>
      <c r="X66">
        <v>0.98763769999999995</v>
      </c>
      <c r="Y66">
        <v>4.582779E-2</v>
      </c>
      <c r="Z66">
        <v>-4.5309369999999997E-4</v>
      </c>
      <c r="AA66">
        <v>0.99894919999999998</v>
      </c>
      <c r="AB66">
        <v>19</v>
      </c>
      <c r="AC66">
        <v>28.9681</v>
      </c>
      <c r="AD66">
        <v>-1.119483430342</v>
      </c>
      <c r="AE66">
        <v>-1.60900000000003</v>
      </c>
      <c r="AF66">
        <v>1.3369674833809999</v>
      </c>
      <c r="AG66">
        <v>-1.119483430342</v>
      </c>
      <c r="AH66">
        <v>28.938751129290399</v>
      </c>
      <c r="AI66">
        <v>92.213000370347501</v>
      </c>
      <c r="AJ66">
        <v>87.354821481099407</v>
      </c>
      <c r="AK66">
        <v>28.991240782785301</v>
      </c>
      <c r="AL66">
        <v>81.498065621321402</v>
      </c>
      <c r="AM66">
        <v>86.980407417072698</v>
      </c>
      <c r="AN66">
        <v>0.99999998996360095</v>
      </c>
    </row>
    <row r="67" spans="1:40" x14ac:dyDescent="0.25">
      <c r="A67" t="str">
        <f>"20190303170457707"</f>
        <v>20190303170457707</v>
      </c>
      <c r="B67" t="str">
        <f>"1551603897694338"</f>
        <v>1551603897694338</v>
      </c>
      <c r="C67" t="s">
        <v>40</v>
      </c>
      <c r="D67">
        <v>5.3029260000000003</v>
      </c>
      <c r="E67">
        <v>0.50078329999999904</v>
      </c>
      <c r="F67" t="s">
        <v>43</v>
      </c>
      <c r="G67">
        <v>-437.01850000000002</v>
      </c>
      <c r="H67">
        <v>-0.05</v>
      </c>
      <c r="I67">
        <v>365.25349999999997</v>
      </c>
      <c r="J67">
        <v>-468.84570000000002</v>
      </c>
      <c r="K67">
        <v>1.119524</v>
      </c>
      <c r="L67">
        <v>367.00049999999999</v>
      </c>
      <c r="M67">
        <v>0.99995820000000002</v>
      </c>
      <c r="N67">
        <v>2.0320830000000001E-3</v>
      </c>
      <c r="O67">
        <v>-8.9276679999999997E-3</v>
      </c>
      <c r="P67">
        <v>0.98661650000000001</v>
      </c>
      <c r="Q67">
        <v>0.15161920000000001</v>
      </c>
      <c r="R67">
        <v>-5.9996880000000002E-2</v>
      </c>
      <c r="S67">
        <v>3.0467219999999999</v>
      </c>
      <c r="T67">
        <v>-0.11132740000000001</v>
      </c>
      <c r="U67">
        <v>-0.16641239999999999</v>
      </c>
      <c r="V67">
        <v>5.1080010000000002E-2</v>
      </c>
      <c r="W67">
        <v>0.14964930000000001</v>
      </c>
      <c r="X67">
        <v>0.98741880000000004</v>
      </c>
      <c r="Y67">
        <v>4.560024E-2</v>
      </c>
      <c r="Z67">
        <v>-4.418731E-4</v>
      </c>
      <c r="AA67">
        <v>0.99895970000000001</v>
      </c>
      <c r="AB67">
        <v>19</v>
      </c>
      <c r="AC67">
        <v>31.827200000000001</v>
      </c>
      <c r="AD67">
        <v>-1.169524</v>
      </c>
      <c r="AE67">
        <v>-1.7470000000000101</v>
      </c>
      <c r="AF67">
        <v>1.46082056859187</v>
      </c>
      <c r="AG67">
        <v>-1.169524</v>
      </c>
      <c r="AH67">
        <v>31.798720311420698</v>
      </c>
      <c r="AI67">
        <v>92.104112893031001</v>
      </c>
      <c r="AJ67">
        <v>87.369703995410006</v>
      </c>
      <c r="AK67">
        <v>31.853734421008699</v>
      </c>
      <c r="AL67">
        <v>81.393396322672203</v>
      </c>
      <c r="AM67">
        <v>87.038680540526698</v>
      </c>
      <c r="AN67">
        <v>0.99999998350276398</v>
      </c>
    </row>
    <row r="68" spans="1:40" x14ac:dyDescent="0.25">
      <c r="A68" t="str">
        <f>"20190303170457731"</f>
        <v>20190303170457731</v>
      </c>
      <c r="B68" t="str">
        <f>"1551603897724594"</f>
        <v>1551603897724594</v>
      </c>
      <c r="C68" t="s">
        <v>40</v>
      </c>
      <c r="D68">
        <v>5.302994</v>
      </c>
      <c r="E68">
        <v>0.50079830000000003</v>
      </c>
      <c r="F68" t="s">
        <v>43</v>
      </c>
      <c r="G68">
        <v>-435.00229999999999</v>
      </c>
      <c r="H68">
        <v>-0.05</v>
      </c>
      <c r="I68">
        <v>365.18970000000002</v>
      </c>
      <c r="J68">
        <v>-468.63690000000003</v>
      </c>
      <c r="K68">
        <v>1.1195550000000001</v>
      </c>
      <c r="L68">
        <v>366.99919999999997</v>
      </c>
      <c r="M68">
        <v>0.99996240000000003</v>
      </c>
      <c r="N68">
        <v>1.9354870000000001E-3</v>
      </c>
      <c r="O68">
        <v>-8.4595139999999996E-3</v>
      </c>
      <c r="P68">
        <v>0.98635419999999996</v>
      </c>
      <c r="Q68">
        <v>0.153426799999999</v>
      </c>
      <c r="R68">
        <v>-5.9716900000000003E-2</v>
      </c>
      <c r="S68">
        <v>3.046967</v>
      </c>
      <c r="T68">
        <v>-0.10529380000000001</v>
      </c>
      <c r="U68">
        <v>-0.1630249</v>
      </c>
      <c r="V68">
        <v>5.1264079999999997E-2</v>
      </c>
      <c r="W68">
        <v>0.15155279999999999</v>
      </c>
      <c r="X68">
        <v>0.98711890000000002</v>
      </c>
      <c r="Y68">
        <v>4.4958579999999998E-2</v>
      </c>
      <c r="Z68">
        <v>-4.2409959999999998E-4</v>
      </c>
      <c r="AA68">
        <v>0.99898869999999895</v>
      </c>
      <c r="AB68">
        <v>19</v>
      </c>
      <c r="AC68">
        <v>33.634599999999999</v>
      </c>
      <c r="AD68">
        <v>-1.1695549999999999</v>
      </c>
      <c r="AE68">
        <v>-1.8094999999999499</v>
      </c>
      <c r="AF68">
        <v>1.52306611257917</v>
      </c>
      <c r="AG68">
        <v>-1.1695549999999999</v>
      </c>
      <c r="AH68">
        <v>33.608184995321601</v>
      </c>
      <c r="AI68">
        <v>91.991030222811602</v>
      </c>
      <c r="AJ68">
        <v>87.405227525018802</v>
      </c>
      <c r="AK68">
        <v>33.663001766940901</v>
      </c>
      <c r="AL68">
        <v>81.283075592373805</v>
      </c>
      <c r="AM68">
        <v>87.027127032447297</v>
      </c>
      <c r="AN68">
        <v>0.99999998991164796</v>
      </c>
    </row>
    <row r="69" spans="1:40" x14ac:dyDescent="0.25">
      <c r="A69" t="str">
        <f>"20190303170457755"</f>
        <v>20190303170457755</v>
      </c>
      <c r="B69" t="str">
        <f>"1551603897744113"</f>
        <v>1551603897744113</v>
      </c>
      <c r="C69" t="s">
        <v>40</v>
      </c>
      <c r="D69">
        <v>5.3014140000000003</v>
      </c>
      <c r="E69">
        <v>0.50086569999999997</v>
      </c>
      <c r="F69" t="s">
        <v>43</v>
      </c>
      <c r="G69">
        <v>-432.52589999999998</v>
      </c>
      <c r="H69">
        <v>-0.05</v>
      </c>
      <c r="I69">
        <v>365.0729</v>
      </c>
      <c r="J69">
        <v>-468.42360000000002</v>
      </c>
      <c r="K69">
        <v>1.1195729999999999</v>
      </c>
      <c r="L69">
        <v>366.99799999999999</v>
      </c>
      <c r="M69">
        <v>0.99996660000000004</v>
      </c>
      <c r="N69">
        <v>1.848606E-3</v>
      </c>
      <c r="O69">
        <v>-7.982177E-3</v>
      </c>
      <c r="P69">
        <v>0.98609420000000003</v>
      </c>
      <c r="Q69">
        <v>0.155175799999999</v>
      </c>
      <c r="R69">
        <v>-5.9486829999999997E-2</v>
      </c>
      <c r="S69">
        <v>3.0470280000000001</v>
      </c>
      <c r="T69">
        <v>-9.8686460000000004E-2</v>
      </c>
      <c r="U69">
        <v>-0.1625366</v>
      </c>
      <c r="V69">
        <v>5.150979E-2</v>
      </c>
      <c r="W69">
        <v>0.153387</v>
      </c>
      <c r="X69">
        <v>0.9868228</v>
      </c>
      <c r="Y69">
        <v>4.5276749999999998E-2</v>
      </c>
      <c r="Z69">
        <v>-4.1760449999999998E-4</v>
      </c>
      <c r="AA69">
        <v>0.99897440000000004</v>
      </c>
      <c r="AB69">
        <v>19</v>
      </c>
      <c r="AC69">
        <v>35.8977</v>
      </c>
      <c r="AD69">
        <v>-1.169573</v>
      </c>
      <c r="AE69">
        <v>-1.92510000000004</v>
      </c>
      <c r="AF69">
        <v>1.6367639843994399</v>
      </c>
      <c r="AG69">
        <v>-1.169573</v>
      </c>
      <c r="AH69">
        <v>35.873951753828599</v>
      </c>
      <c r="AI69">
        <v>91.865373075485394</v>
      </c>
      <c r="AJ69">
        <v>87.387667878888394</v>
      </c>
      <c r="AK69">
        <v>35.930311879789997</v>
      </c>
      <c r="AL69">
        <v>81.176740793263605</v>
      </c>
      <c r="AM69">
        <v>87.012009057223807</v>
      </c>
      <c r="AN69">
        <v>1.0000000344173401</v>
      </c>
    </row>
    <row r="70" spans="1:40" x14ac:dyDescent="0.25">
      <c r="A70" t="str">
        <f>"20190303170457777"</f>
        <v>20190303170457777</v>
      </c>
      <c r="B70" t="str">
        <f>"1551603897764609"</f>
        <v>1551603897764609</v>
      </c>
      <c r="C70" t="s">
        <v>40</v>
      </c>
      <c r="D70">
        <v>5.2362549999999999</v>
      </c>
      <c r="E70">
        <v>0.50087910000000002</v>
      </c>
      <c r="F70" t="s">
        <v>43</v>
      </c>
      <c r="G70">
        <v>-430.20179999999999</v>
      </c>
      <c r="H70">
        <v>-0.05</v>
      </c>
      <c r="I70">
        <v>364.9615</v>
      </c>
      <c r="J70">
        <v>-468.22879999999998</v>
      </c>
      <c r="K70">
        <v>1.119583</v>
      </c>
      <c r="L70">
        <v>366.99689999999998</v>
      </c>
      <c r="M70">
        <v>0.99996989999999997</v>
      </c>
      <c r="N70">
        <v>1.7793850000000001E-3</v>
      </c>
      <c r="O70">
        <v>-7.5506359999999899E-3</v>
      </c>
      <c r="P70">
        <v>0.98581439999999998</v>
      </c>
      <c r="Q70">
        <v>0.15697829999999999</v>
      </c>
      <c r="R70">
        <v>-5.9396409999999997E-2</v>
      </c>
      <c r="S70">
        <v>3.04718</v>
      </c>
      <c r="T70">
        <v>-9.3242409999999998E-2</v>
      </c>
      <c r="U70">
        <v>-0.16235350000000001</v>
      </c>
      <c r="V70">
        <v>5.1850359999999998E-2</v>
      </c>
      <c r="W70">
        <v>0.1552568</v>
      </c>
      <c r="X70">
        <v>0.98651250000000001</v>
      </c>
      <c r="Y70">
        <v>4.5646869999999999E-2</v>
      </c>
      <c r="Z70">
        <v>-4.1284120000000001E-4</v>
      </c>
      <c r="AA70">
        <v>0.9989576</v>
      </c>
      <c r="AB70">
        <v>20</v>
      </c>
      <c r="AC70">
        <v>38.027000000000001</v>
      </c>
      <c r="AD70">
        <v>-1.169583</v>
      </c>
      <c r="AE70">
        <v>-2.0353999999999801</v>
      </c>
      <c r="AF70">
        <v>1.74656600366378</v>
      </c>
      <c r="AG70">
        <v>-1.169583</v>
      </c>
      <c r="AH70">
        <v>38.005435225319303</v>
      </c>
      <c r="AI70">
        <v>91.7608124495477</v>
      </c>
      <c r="AJ70">
        <v>87.368784180678205</v>
      </c>
      <c r="AK70">
        <v>38.063519593765697</v>
      </c>
      <c r="AL70">
        <v>81.068310099530194</v>
      </c>
      <c r="AM70">
        <v>86.991345039948698</v>
      </c>
      <c r="AN70">
        <v>1.0000000232173001</v>
      </c>
    </row>
    <row r="71" spans="1:40" x14ac:dyDescent="0.25">
      <c r="A71" t="str">
        <f>"20190303170457797"</f>
        <v>20190303170457797</v>
      </c>
      <c r="B71" t="str">
        <f>"1551603897784129"</f>
        <v>1551603897784129</v>
      </c>
      <c r="C71" t="s">
        <v>40</v>
      </c>
      <c r="D71">
        <v>4.8856219999999997</v>
      </c>
      <c r="E71">
        <v>0.50091390000000002</v>
      </c>
      <c r="F71" t="s">
        <v>43</v>
      </c>
      <c r="G71">
        <v>-427.50839999999999</v>
      </c>
      <c r="H71">
        <v>-0.05</v>
      </c>
      <c r="I71">
        <v>364.82580000000002</v>
      </c>
      <c r="J71">
        <v>-468.0401</v>
      </c>
      <c r="K71">
        <v>1.119588</v>
      </c>
      <c r="L71">
        <v>366.99590000000001</v>
      </c>
      <c r="M71">
        <v>0.99997309999999995</v>
      </c>
      <c r="N71">
        <v>1.7201629999999901E-3</v>
      </c>
      <c r="O71">
        <v>-7.1386640000000003E-3</v>
      </c>
      <c r="P71">
        <v>0.98558429999999997</v>
      </c>
      <c r="Q71">
        <v>0.15865750000000001</v>
      </c>
      <c r="R71">
        <v>-5.8752579999999999E-2</v>
      </c>
      <c r="S71">
        <v>3.0473330000000001</v>
      </c>
      <c r="T71">
        <v>-8.7526320000000005E-2</v>
      </c>
      <c r="U71">
        <v>-0.1624756</v>
      </c>
      <c r="V71">
        <v>5.1617540000000003E-2</v>
      </c>
      <c r="W71">
        <v>0.15699340000000001</v>
      </c>
      <c r="X71">
        <v>0.98624979999999995</v>
      </c>
      <c r="Y71">
        <v>4.6097270000000003E-2</v>
      </c>
      <c r="Z71">
        <v>-4.0461110000000001E-4</v>
      </c>
      <c r="AA71">
        <v>0.99893690000000002</v>
      </c>
      <c r="AB71">
        <v>20</v>
      </c>
      <c r="AC71">
        <v>40.531700000000001</v>
      </c>
      <c r="AD71">
        <v>-1.1695879999999901</v>
      </c>
      <c r="AE71">
        <v>-2.1700999999999899</v>
      </c>
      <c r="AF71">
        <v>1.8791418619456299</v>
      </c>
      <c r="AG71">
        <v>-1.1695879999999901</v>
      </c>
      <c r="AH71">
        <v>40.512521474118202</v>
      </c>
      <c r="AI71">
        <v>91.651882751206102</v>
      </c>
      <c r="AJ71">
        <v>87.344283238111998</v>
      </c>
      <c r="AK71">
        <v>40.572940569028901</v>
      </c>
      <c r="AL71">
        <v>80.967574585527601</v>
      </c>
      <c r="AM71">
        <v>87.004033588521807</v>
      </c>
      <c r="AN71">
        <v>0.99999998303962501</v>
      </c>
    </row>
    <row r="72" spans="1:40" x14ac:dyDescent="0.25">
      <c r="A72" t="str">
        <f>"20190303170457824"</f>
        <v>20190303170457824</v>
      </c>
      <c r="B72" t="str">
        <f>"1551603897814385"</f>
        <v>1551603897814385</v>
      </c>
      <c r="C72" t="s">
        <v>40</v>
      </c>
      <c r="D72">
        <v>5.1921439999999999</v>
      </c>
      <c r="E72">
        <v>0.47639870000000001</v>
      </c>
      <c r="F72" t="s">
        <v>43</v>
      </c>
      <c r="G72">
        <v>-424.9495</v>
      </c>
      <c r="H72">
        <v>-0.05</v>
      </c>
      <c r="I72">
        <v>364.71370000000002</v>
      </c>
      <c r="J72">
        <v>-467.8</v>
      </c>
      <c r="K72">
        <v>1.1195889999999999</v>
      </c>
      <c r="L72">
        <v>366.9948</v>
      </c>
      <c r="M72">
        <v>0.9999768</v>
      </c>
      <c r="N72">
        <v>1.654502E-3</v>
      </c>
      <c r="O72">
        <v>-6.6236910000000001E-3</v>
      </c>
      <c r="P72">
        <v>0.98559470000000005</v>
      </c>
      <c r="Q72">
        <v>0.15879079999999901</v>
      </c>
      <c r="R72">
        <v>-5.821138E-2</v>
      </c>
      <c r="S72">
        <v>3.0476070000000002</v>
      </c>
      <c r="T72">
        <v>-8.2719799999999996E-2</v>
      </c>
      <c r="U72">
        <v>-0.16140750000000001</v>
      </c>
      <c r="V72">
        <v>5.1588990000000001E-2</v>
      </c>
      <c r="W72">
        <v>0.15718969999999999</v>
      </c>
      <c r="X72">
        <v>0.98622010000000004</v>
      </c>
      <c r="Y72">
        <v>4.6259109999999999E-2</v>
      </c>
      <c r="Z72">
        <v>-3.9837290000000001E-4</v>
      </c>
      <c r="AA72">
        <v>0.99892939999999997</v>
      </c>
      <c r="AB72">
        <v>20</v>
      </c>
      <c r="AC72">
        <v>42.850499999999997</v>
      </c>
      <c r="AD72">
        <v>-1.169589</v>
      </c>
      <c r="AE72">
        <v>-2.2810999999999799</v>
      </c>
      <c r="AF72">
        <v>1.99573851145327</v>
      </c>
      <c r="AG72">
        <v>-1.169589</v>
      </c>
      <c r="AH72">
        <v>42.832849123905802</v>
      </c>
      <c r="AI72">
        <v>91.562429267605594</v>
      </c>
      <c r="AJ72">
        <v>87.332310235933306</v>
      </c>
      <c r="AK72">
        <v>42.8952663438088</v>
      </c>
      <c r="AL72">
        <v>80.956186686190705</v>
      </c>
      <c r="AM72">
        <v>87.005597651262406</v>
      </c>
      <c r="AN72">
        <v>1.00000005565965</v>
      </c>
    </row>
    <row r="73" spans="1:40" x14ac:dyDescent="0.25">
      <c r="A73" t="str">
        <f>"20190303170457843"</f>
        <v>20190303170457843</v>
      </c>
      <c r="B73" t="str">
        <f>"1551603897834882"</f>
        <v>1551603897834882</v>
      </c>
      <c r="C73" t="s">
        <v>40</v>
      </c>
      <c r="D73">
        <v>5.1271279999999999</v>
      </c>
      <c r="E73">
        <v>0.47071380000000002</v>
      </c>
      <c r="F73" t="s">
        <v>43</v>
      </c>
      <c r="G73">
        <v>-419.92380000000003</v>
      </c>
      <c r="H73">
        <v>-0.05</v>
      </c>
      <c r="I73">
        <v>367.54050000000001</v>
      </c>
      <c r="J73">
        <v>-467.62049999999999</v>
      </c>
      <c r="K73">
        <v>1.119578</v>
      </c>
      <c r="L73">
        <v>366.99400000000003</v>
      </c>
      <c r="M73">
        <v>0.99997919999999996</v>
      </c>
      <c r="N73">
        <v>1.6129320000000001E-3</v>
      </c>
      <c r="O73">
        <v>-6.2440660000000004E-3</v>
      </c>
      <c r="P73">
        <v>0.98568520000000004</v>
      </c>
      <c r="Q73">
        <v>0.1580657</v>
      </c>
      <c r="R73">
        <v>-5.8651019999999998E-2</v>
      </c>
      <c r="S73">
        <v>3.0579529999999999</v>
      </c>
      <c r="T73">
        <v>-7.4703930000000002E-2</v>
      </c>
      <c r="U73">
        <v>3.4851069999999998E-2</v>
      </c>
      <c r="V73">
        <v>5.240496E-2</v>
      </c>
      <c r="W73">
        <v>0.15650549999999999</v>
      </c>
      <c r="X73">
        <v>0.98628590000000005</v>
      </c>
      <c r="Y73">
        <v>-1.7632539999999999E-2</v>
      </c>
      <c r="Z73">
        <v>3.6369540000000001E-4</v>
      </c>
      <c r="AA73">
        <v>0.99984450000000002</v>
      </c>
      <c r="AB73">
        <v>21</v>
      </c>
      <c r="AC73">
        <v>47.6966999999999</v>
      </c>
      <c r="AD73">
        <v>-1.169578</v>
      </c>
      <c r="AE73">
        <v>0.54649999999998</v>
      </c>
      <c r="AF73">
        <v>-0.843803776391295</v>
      </c>
      <c r="AG73">
        <v>-1.169578</v>
      </c>
      <c r="AH73">
        <v>47.663701998002999</v>
      </c>
      <c r="AI73">
        <v>91.405428939721702</v>
      </c>
      <c r="AJ73">
        <v>91.014217179177393</v>
      </c>
      <c r="AK73">
        <v>47.685515679979503</v>
      </c>
      <c r="AL73">
        <v>80.995879820637995</v>
      </c>
      <c r="AM73">
        <v>86.958526735746304</v>
      </c>
      <c r="AN73">
        <v>1.00000006395082</v>
      </c>
    </row>
    <row r="74" spans="1:40" x14ac:dyDescent="0.25">
      <c r="A74" t="str">
        <f>"20190303170457865"</f>
        <v>20190303170457865</v>
      </c>
      <c r="B74" t="str">
        <f>"1551603897854401"</f>
        <v>1551603897854401</v>
      </c>
      <c r="C74" t="s">
        <v>40</v>
      </c>
      <c r="D74">
        <v>5.1538550000000001</v>
      </c>
      <c r="E74">
        <v>0.46799570000000001</v>
      </c>
      <c r="F74" t="s">
        <v>43</v>
      </c>
      <c r="G74">
        <v>-423.48899999999998</v>
      </c>
      <c r="H74">
        <v>-0.05</v>
      </c>
      <c r="I74">
        <v>368.13749999999999</v>
      </c>
      <c r="J74">
        <v>-467.41539999999998</v>
      </c>
      <c r="K74">
        <v>1.1195790000000001</v>
      </c>
      <c r="L74">
        <v>366.99329999999998</v>
      </c>
      <c r="M74">
        <v>0.99998209999999998</v>
      </c>
      <c r="N74">
        <v>1.571151E-3</v>
      </c>
      <c r="O74">
        <v>-5.8146200000000004E-3</v>
      </c>
      <c r="P74">
        <v>0.98572990000000005</v>
      </c>
      <c r="Q74">
        <v>0.15773679999999901</v>
      </c>
      <c r="R74">
        <v>-5.8789279999999999E-2</v>
      </c>
      <c r="S74">
        <v>3.06134</v>
      </c>
      <c r="T74">
        <v>-8.113194E-2</v>
      </c>
      <c r="U74">
        <v>7.9315189999999994E-2</v>
      </c>
      <c r="V74">
        <v>5.2967819999999999E-2</v>
      </c>
      <c r="W74">
        <v>0.15621769999999999</v>
      </c>
      <c r="X74">
        <v>0.98630139999999999</v>
      </c>
      <c r="Y74">
        <v>-3.1699449999999997E-2</v>
      </c>
      <c r="Z74">
        <v>5.5817740000000001E-4</v>
      </c>
      <c r="AA74">
        <v>0.99949730000000003</v>
      </c>
      <c r="AB74">
        <v>21</v>
      </c>
      <c r="AC74">
        <v>43.926399999999902</v>
      </c>
      <c r="AD74">
        <v>-1.1695789999999999</v>
      </c>
      <c r="AE74">
        <v>1.1442000000000101</v>
      </c>
      <c r="AF74">
        <v>-1.39860538390488</v>
      </c>
      <c r="AG74">
        <v>-1.1695789999999999</v>
      </c>
      <c r="AH74">
        <v>43.887911639625798</v>
      </c>
      <c r="AI74">
        <v>91.525752862245497</v>
      </c>
      <c r="AJ74">
        <v>91.8252651474142</v>
      </c>
      <c r="AK74">
        <v>43.925764650654898</v>
      </c>
      <c r="AL74">
        <v>81.012574368520603</v>
      </c>
      <c r="AM74">
        <v>86.925970069781798</v>
      </c>
      <c r="AN74">
        <v>1.0000000056953999</v>
      </c>
    </row>
    <row r="75" spans="1:40" x14ac:dyDescent="0.25">
      <c r="A75" t="str">
        <f>"20190303170457887"</f>
        <v>20190303170457887</v>
      </c>
      <c r="B75" t="str">
        <f>"1551603897873921"</f>
        <v>1551603897873921</v>
      </c>
      <c r="C75" t="s">
        <v>40</v>
      </c>
      <c r="D75">
        <v>5.1312110000000004</v>
      </c>
      <c r="E75">
        <v>0.46670850000000003</v>
      </c>
      <c r="F75" t="s">
        <v>43</v>
      </c>
      <c r="G75">
        <v>-423.9117</v>
      </c>
      <c r="H75">
        <v>-0.05</v>
      </c>
      <c r="I75">
        <v>368.43639999999999</v>
      </c>
      <c r="J75">
        <v>-467.2029</v>
      </c>
      <c r="K75">
        <v>1.1195919999999999</v>
      </c>
      <c r="L75">
        <v>366.99259999999998</v>
      </c>
      <c r="M75">
        <v>0.9999844</v>
      </c>
      <c r="N75">
        <v>1.5314149999999999E-3</v>
      </c>
      <c r="O75">
        <v>-5.3758800000000004E-3</v>
      </c>
      <c r="P75">
        <v>0.98576030000000003</v>
      </c>
      <c r="Q75">
        <v>0.15760869999999999</v>
      </c>
      <c r="R75">
        <v>-5.8618490000000002E-2</v>
      </c>
      <c r="S75">
        <v>3.0626530000000001</v>
      </c>
      <c r="T75">
        <v>-8.2338090000000003E-2</v>
      </c>
      <c r="U75">
        <v>0.101593</v>
      </c>
      <c r="V75">
        <v>5.3230930000000003E-2</v>
      </c>
      <c r="W75">
        <v>0.15612819999999999</v>
      </c>
      <c r="X75">
        <v>0.98630139999999999</v>
      </c>
      <c r="Y75">
        <v>-3.8510519999999999E-2</v>
      </c>
      <c r="Z75">
        <v>6.4062660000000003E-4</v>
      </c>
      <c r="AA75">
        <v>0.99925799999999998</v>
      </c>
      <c r="AB75">
        <v>21</v>
      </c>
      <c r="AC75">
        <v>43.291200000000003</v>
      </c>
      <c r="AD75">
        <v>-1.169592</v>
      </c>
      <c r="AE75">
        <v>1.44380000000001</v>
      </c>
      <c r="AF75">
        <v>-1.67528625048707</v>
      </c>
      <c r="AG75">
        <v>-1.169592</v>
      </c>
      <c r="AH75">
        <v>43.251278248908797</v>
      </c>
      <c r="AI75">
        <v>91.547842839610496</v>
      </c>
      <c r="AJ75">
        <v>92.218174246829903</v>
      </c>
      <c r="AK75">
        <v>43.299510385592903</v>
      </c>
      <c r="AL75">
        <v>81.017765985155293</v>
      </c>
      <c r="AM75">
        <v>86.910729774100005</v>
      </c>
      <c r="AN75">
        <v>0.99999999919293203</v>
      </c>
    </row>
    <row r="76" spans="1:40" x14ac:dyDescent="0.25">
      <c r="A76" t="str">
        <f>"20190303170457910"</f>
        <v>20190303170457910</v>
      </c>
      <c r="B76" t="str">
        <f>"1551603897904177"</f>
        <v>1551603897904177</v>
      </c>
      <c r="C76" t="s">
        <v>40</v>
      </c>
      <c r="D76">
        <v>5.1420979999999998</v>
      </c>
      <c r="E76">
        <v>0.46559319999999998</v>
      </c>
      <c r="F76" t="s">
        <v>43</v>
      </c>
      <c r="G76">
        <v>-424.25040000000001</v>
      </c>
      <c r="H76">
        <v>-0.05</v>
      </c>
      <c r="I76">
        <v>368.57100000000003</v>
      </c>
      <c r="J76">
        <v>-466.9896</v>
      </c>
      <c r="K76">
        <v>1.119594</v>
      </c>
      <c r="L76">
        <v>366.99189999999999</v>
      </c>
      <c r="M76">
        <v>0.99998679999999995</v>
      </c>
      <c r="N76">
        <v>1.4934830000000001E-3</v>
      </c>
      <c r="O76">
        <v>-4.94787E-3</v>
      </c>
      <c r="P76">
        <v>0.98570970000000002</v>
      </c>
      <c r="Q76">
        <v>0.15817989999999901</v>
      </c>
      <c r="R76">
        <v>-5.7929210000000002E-2</v>
      </c>
      <c r="S76">
        <v>3.0633539999999999</v>
      </c>
      <c r="T76">
        <v>-8.3414790000000003E-2</v>
      </c>
      <c r="U76">
        <v>0.11257929999999999</v>
      </c>
      <c r="V76">
        <v>5.2965060000000001E-2</v>
      </c>
      <c r="W76">
        <v>0.1567363</v>
      </c>
      <c r="X76">
        <v>0.98621930000000002</v>
      </c>
      <c r="Y76">
        <v>-4.1653040000000002E-2</v>
      </c>
      <c r="Z76">
        <v>6.7773509999999998E-4</v>
      </c>
      <c r="AA76">
        <v>0.99913189999999996</v>
      </c>
      <c r="AB76">
        <v>21</v>
      </c>
      <c r="AC76">
        <v>42.739199999999897</v>
      </c>
      <c r="AD76">
        <v>-1.169594</v>
      </c>
      <c r="AE76">
        <v>1.57909999999998</v>
      </c>
      <c r="AF76">
        <v>-1.7892107851449499</v>
      </c>
      <c r="AG76">
        <v>-1.169594</v>
      </c>
      <c r="AH76">
        <v>42.698930478971398</v>
      </c>
      <c r="AI76">
        <v>91.567658386907794</v>
      </c>
      <c r="AJ76">
        <v>92.3994579850132</v>
      </c>
      <c r="AK76">
        <v>42.752402147792203</v>
      </c>
      <c r="AL76">
        <v>80.982490468335399</v>
      </c>
      <c r="AM76">
        <v>86.9258745411083</v>
      </c>
      <c r="AN76">
        <v>1.00000003650549</v>
      </c>
    </row>
    <row r="77" spans="1:40" x14ac:dyDescent="0.25">
      <c r="A77" t="str">
        <f>"20190303170457932"</f>
        <v>20190303170457932</v>
      </c>
      <c r="B77" t="str">
        <f>"1551603897924675"</f>
        <v>1551603897924675</v>
      </c>
      <c r="C77" t="s">
        <v>40</v>
      </c>
      <c r="D77">
        <v>5.1052650000000002</v>
      </c>
      <c r="E77">
        <v>0.4651902</v>
      </c>
      <c r="F77" t="s">
        <v>43</v>
      </c>
      <c r="G77">
        <v>-422.98160000000001</v>
      </c>
      <c r="H77">
        <v>-0.05</v>
      </c>
      <c r="I77">
        <v>368.76100000000002</v>
      </c>
      <c r="J77">
        <v>-466.77350000000001</v>
      </c>
      <c r="K77">
        <v>1.1195980000000001</v>
      </c>
      <c r="L77">
        <v>366.99130000000002</v>
      </c>
      <c r="M77">
        <v>0.99998860000000001</v>
      </c>
      <c r="N77">
        <v>1.455753E-3</v>
      </c>
      <c r="O77">
        <v>-4.5346320000000002E-3</v>
      </c>
      <c r="P77">
        <v>0.98554940000000002</v>
      </c>
      <c r="Q77">
        <v>0.15948999999999999</v>
      </c>
      <c r="R77">
        <v>-5.7054939999999998E-2</v>
      </c>
      <c r="S77">
        <v>3.0637819999999998</v>
      </c>
      <c r="T77">
        <v>-8.1425549999999999E-2</v>
      </c>
      <c r="U77">
        <v>0.123168899999999</v>
      </c>
      <c r="V77">
        <v>5.2501329999999999E-2</v>
      </c>
      <c r="W77">
        <v>0.15808249999999999</v>
      </c>
      <c r="X77">
        <v>0.98602909999999999</v>
      </c>
      <c r="Y77">
        <v>-4.4683059999999997E-2</v>
      </c>
      <c r="Z77">
        <v>6.8792600000000005E-4</v>
      </c>
      <c r="AA77">
        <v>0.99900100000000003</v>
      </c>
      <c r="AB77">
        <v>21</v>
      </c>
      <c r="AC77">
        <v>43.791899999999998</v>
      </c>
      <c r="AD77">
        <v>-1.1695979999999999</v>
      </c>
      <c r="AE77">
        <v>1.7696999999999401</v>
      </c>
      <c r="AF77">
        <v>-1.9668614598181999</v>
      </c>
      <c r="AG77">
        <v>-1.1695979999999999</v>
      </c>
      <c r="AH77">
        <v>43.7522662336034</v>
      </c>
      <c r="AI77">
        <v>91.529738137397402</v>
      </c>
      <c r="AJ77">
        <v>92.573970406486495</v>
      </c>
      <c r="AK77">
        <v>43.812068018524698</v>
      </c>
      <c r="AL77">
        <v>80.904384170275407</v>
      </c>
      <c r="AM77">
        <v>86.952152079676495</v>
      </c>
      <c r="AN77">
        <v>0.99999992625241096</v>
      </c>
    </row>
    <row r="78" spans="1:40" x14ac:dyDescent="0.25">
      <c r="A78" t="str">
        <f>"20190303170457955"</f>
        <v>20190303170457955</v>
      </c>
      <c r="B78" t="str">
        <f>"1551603897944193"</f>
        <v>1551603897944193</v>
      </c>
      <c r="C78" t="s">
        <v>40</v>
      </c>
      <c r="D78">
        <v>5.1291979999999997</v>
      </c>
      <c r="E78">
        <v>0.46488030000000002</v>
      </c>
      <c r="F78" t="s">
        <v>43</v>
      </c>
      <c r="G78">
        <v>-419.62299999999999</v>
      </c>
      <c r="H78">
        <v>-0.05</v>
      </c>
      <c r="I78">
        <v>368.96809999999999</v>
      </c>
      <c r="J78">
        <v>-466.5505</v>
      </c>
      <c r="K78">
        <v>1.1195949999999999</v>
      </c>
      <c r="L78">
        <v>366.99079999999998</v>
      </c>
      <c r="M78">
        <v>0.9999905</v>
      </c>
      <c r="N78">
        <v>1.41661E-3</v>
      </c>
      <c r="O78">
        <v>-4.143669E-3</v>
      </c>
      <c r="P78">
        <v>0.98548100000000005</v>
      </c>
      <c r="Q78">
        <v>0.16025780000000001</v>
      </c>
      <c r="R78">
        <v>-5.607856E-2</v>
      </c>
      <c r="S78">
        <v>3.0637509999999999</v>
      </c>
      <c r="T78">
        <v>-7.5998189999999993E-2</v>
      </c>
      <c r="U78">
        <v>0.12844849999999999</v>
      </c>
      <c r="V78">
        <v>5.1916619999999997E-2</v>
      </c>
      <c r="W78">
        <v>0.15888669999999999</v>
      </c>
      <c r="X78">
        <v>0.98593090000000005</v>
      </c>
      <c r="Y78">
        <v>-4.6013369999999998E-2</v>
      </c>
      <c r="Z78">
        <v>6.4633959999999999E-4</v>
      </c>
      <c r="AA78">
        <v>0.99894059999999996</v>
      </c>
      <c r="AB78">
        <v>22</v>
      </c>
      <c r="AC78">
        <v>46.927499999999903</v>
      </c>
      <c r="AD78">
        <v>-1.1695949999999999</v>
      </c>
      <c r="AE78">
        <v>1.97730000000001</v>
      </c>
      <c r="AF78">
        <v>-2.1703894205332102</v>
      </c>
      <c r="AG78">
        <v>-1.1695949999999999</v>
      </c>
      <c r="AH78">
        <v>46.889828523696302</v>
      </c>
      <c r="AI78">
        <v>91.427331666362207</v>
      </c>
      <c r="AJ78">
        <v>92.650158095629493</v>
      </c>
      <c r="AK78">
        <v>46.954601070421504</v>
      </c>
      <c r="AL78">
        <v>80.857718044788797</v>
      </c>
      <c r="AM78">
        <v>86.985733541137705</v>
      </c>
      <c r="AN78">
        <v>1.00000002922196</v>
      </c>
    </row>
    <row r="79" spans="1:40" x14ac:dyDescent="0.25">
      <c r="A79" t="str">
        <f>"20190303170457979"</f>
        <v>20190303170457979</v>
      </c>
      <c r="B79" t="str">
        <f>"1551603897964689"</f>
        <v>1551603897964689</v>
      </c>
      <c r="C79" t="s">
        <v>40</v>
      </c>
      <c r="D79">
        <v>5.1183399999999999</v>
      </c>
      <c r="E79">
        <v>0.46477230000000003</v>
      </c>
      <c r="F79" t="s">
        <v>43</v>
      </c>
      <c r="G79">
        <v>-416.26780000000002</v>
      </c>
      <c r="H79">
        <v>-0.05</v>
      </c>
      <c r="I79">
        <v>369.20319999999998</v>
      </c>
      <c r="J79">
        <v>-466.3186</v>
      </c>
      <c r="K79">
        <v>1.119572</v>
      </c>
      <c r="L79">
        <v>366.99020000000002</v>
      </c>
      <c r="M79">
        <v>0.99999190000000004</v>
      </c>
      <c r="N79">
        <v>1.3749379999999901E-3</v>
      </c>
      <c r="O79">
        <v>-3.7911849999999999E-3</v>
      </c>
      <c r="P79">
        <v>0.98570559999999996</v>
      </c>
      <c r="Q79">
        <v>0.15920979999999901</v>
      </c>
      <c r="R79">
        <v>-5.5106809999999999E-2</v>
      </c>
      <c r="S79">
        <v>3.0634769999999998</v>
      </c>
      <c r="T79">
        <v>-7.1257589999999996E-2</v>
      </c>
      <c r="U79">
        <v>0.1347961</v>
      </c>
      <c r="V79">
        <v>5.1302569999999999E-2</v>
      </c>
      <c r="W79">
        <v>0.15787579999999901</v>
      </c>
      <c r="X79">
        <v>0.98612540000000004</v>
      </c>
      <c r="Y79">
        <v>-4.7732450000000003E-2</v>
      </c>
      <c r="Z79">
        <v>6.1529990000000001E-4</v>
      </c>
      <c r="AA79">
        <v>0.99885990000000002</v>
      </c>
      <c r="AB79">
        <v>22</v>
      </c>
      <c r="AC79">
        <v>50.050799999999903</v>
      </c>
      <c r="AD79">
        <v>-1.1695719999999901</v>
      </c>
      <c r="AE79">
        <v>2.2129999999999601</v>
      </c>
      <c r="AF79">
        <v>-2.4014273723628099</v>
      </c>
      <c r="AG79">
        <v>-1.1695719999999901</v>
      </c>
      <c r="AH79">
        <v>50.014793148758898</v>
      </c>
      <c r="AI79">
        <v>91.338049333469399</v>
      </c>
      <c r="AJ79">
        <v>92.748908014127693</v>
      </c>
      <c r="AK79">
        <v>50.086068779662298</v>
      </c>
      <c r="AL79">
        <v>80.916378616359495</v>
      </c>
      <c r="AM79">
        <v>87.021906997069294</v>
      </c>
      <c r="AN79">
        <v>1.0000000132197</v>
      </c>
    </row>
    <row r="80" spans="1:40" x14ac:dyDescent="0.25">
      <c r="A80" t="str">
        <f>"20190303170458001"</f>
        <v>20190303170458001</v>
      </c>
      <c r="B80" t="str">
        <f>"1551603897994945"</f>
        <v>1551603897994945</v>
      </c>
      <c r="C80" t="s">
        <v>40</v>
      </c>
      <c r="D80">
        <v>5.141724</v>
      </c>
      <c r="E80">
        <v>0.4646787</v>
      </c>
      <c r="F80" t="s">
        <v>43</v>
      </c>
      <c r="G80">
        <v>-418.53730000000002</v>
      </c>
      <c r="H80">
        <v>-0.05</v>
      </c>
      <c r="I80">
        <v>369.13749999999999</v>
      </c>
      <c r="J80">
        <v>-466.0942</v>
      </c>
      <c r="K80">
        <v>1.119529</v>
      </c>
      <c r="L80">
        <v>366.98970000000003</v>
      </c>
      <c r="M80">
        <v>0.99999289999999996</v>
      </c>
      <c r="N80">
        <v>1.3333259999999999E-3</v>
      </c>
      <c r="O80">
        <v>-3.51951E-3</v>
      </c>
      <c r="P80">
        <v>0.98597659999999998</v>
      </c>
      <c r="Q80">
        <v>0.15788070000000001</v>
      </c>
      <c r="R80">
        <v>-5.4073370000000003E-2</v>
      </c>
      <c r="S80">
        <v>3.0633240000000002</v>
      </c>
      <c r="T80">
        <v>-7.4982880000000002E-2</v>
      </c>
      <c r="U80">
        <v>0.1376648</v>
      </c>
      <c r="V80">
        <v>5.0551270000000002E-2</v>
      </c>
      <c r="W80">
        <v>0.1565822</v>
      </c>
      <c r="X80">
        <v>0.98637039999999998</v>
      </c>
      <c r="Y80">
        <v>-4.8395210000000001E-2</v>
      </c>
      <c r="Z80">
        <v>6.5041229999999995E-4</v>
      </c>
      <c r="AA80">
        <v>0.9988281</v>
      </c>
      <c r="AB80">
        <v>22</v>
      </c>
      <c r="AC80">
        <v>47.556899999999899</v>
      </c>
      <c r="AD80">
        <v>-1.169529</v>
      </c>
      <c r="AE80">
        <v>2.1477999999999602</v>
      </c>
      <c r="AF80">
        <v>-2.3137673706055</v>
      </c>
      <c r="AG80">
        <v>-1.169529</v>
      </c>
      <c r="AH80">
        <v>47.520365543991701</v>
      </c>
      <c r="AI80">
        <v>91.408160683806997</v>
      </c>
      <c r="AJ80">
        <v>92.787531010146495</v>
      </c>
      <c r="AK80">
        <v>47.591033388252001</v>
      </c>
      <c r="AL80">
        <v>80.991429715984694</v>
      </c>
      <c r="AM80">
        <v>87.066170483197894</v>
      </c>
      <c r="AN80">
        <v>0.99999999112580595</v>
      </c>
    </row>
    <row r="81" spans="1:40" x14ac:dyDescent="0.25">
      <c r="A81" t="str">
        <f>"20190303170458022"</f>
        <v>20190303170458022</v>
      </c>
      <c r="B81" t="str">
        <f>"1551603898014466"</f>
        <v>1551603898014466</v>
      </c>
      <c r="C81" t="s">
        <v>40</v>
      </c>
      <c r="D81">
        <v>5.1461550000000003</v>
      </c>
      <c r="E81">
        <v>0.46466809999999997</v>
      </c>
      <c r="F81" t="s">
        <v>43</v>
      </c>
      <c r="G81">
        <v>-420.70569999999998</v>
      </c>
      <c r="H81">
        <v>-0.05</v>
      </c>
      <c r="I81">
        <v>369.07220000000001</v>
      </c>
      <c r="J81">
        <v>-465.87270000000001</v>
      </c>
      <c r="K81">
        <v>1.1194789999999999</v>
      </c>
      <c r="L81">
        <v>366.98919999999998</v>
      </c>
      <c r="M81">
        <v>0.99999380000000004</v>
      </c>
      <c r="N81">
        <v>1.2891689999999999E-3</v>
      </c>
      <c r="O81">
        <v>-3.331508E-3</v>
      </c>
      <c r="P81">
        <v>0.98603969999999996</v>
      </c>
      <c r="Q81">
        <v>0.15762599999999999</v>
      </c>
      <c r="R81">
        <v>-5.3667579999999999E-2</v>
      </c>
      <c r="S81">
        <v>3.0629879999999998</v>
      </c>
      <c r="T81">
        <v>-7.8924179999999997E-2</v>
      </c>
      <c r="U81">
        <v>0.140533399999999</v>
      </c>
      <c r="V81">
        <v>5.0349060000000001E-2</v>
      </c>
      <c r="W81">
        <v>0.15636510000000001</v>
      </c>
      <c r="X81">
        <v>0.98641520000000005</v>
      </c>
      <c r="Y81">
        <v>-4.9144019999999997E-2</v>
      </c>
      <c r="Z81">
        <v>6.9108859999999995E-4</v>
      </c>
      <c r="AA81">
        <v>0.99879150000000005</v>
      </c>
      <c r="AB81">
        <v>22</v>
      </c>
      <c r="AC81">
        <v>45.167000000000002</v>
      </c>
      <c r="AD81">
        <v>-1.1694789999999999</v>
      </c>
      <c r="AE81">
        <v>2.0830000000000202</v>
      </c>
      <c r="AF81">
        <v>-2.2319695946398399</v>
      </c>
      <c r="AG81">
        <v>-1.1694789999999999</v>
      </c>
      <c r="AH81">
        <v>45.129618543863401</v>
      </c>
      <c r="AI81">
        <v>91.482606705635106</v>
      </c>
      <c r="AJ81">
        <v>92.831362830249503</v>
      </c>
      <c r="AK81">
        <v>45.199909726872903</v>
      </c>
      <c r="AL81">
        <v>81.004023928893801</v>
      </c>
      <c r="AM81">
        <v>87.078018190325295</v>
      </c>
      <c r="AN81">
        <v>1.00000000956596</v>
      </c>
    </row>
    <row r="82" spans="1:40" x14ac:dyDescent="0.25">
      <c r="A82" t="str">
        <f>"20190303170458044"</f>
        <v>20190303170458044</v>
      </c>
      <c r="B82" t="str">
        <f>"1551603898034962"</f>
        <v>1551603898034962</v>
      </c>
      <c r="C82" t="s">
        <v>40</v>
      </c>
      <c r="D82">
        <v>5.1157329999999996</v>
      </c>
      <c r="E82">
        <v>0.46470339999999999</v>
      </c>
      <c r="F82" t="s">
        <v>43</v>
      </c>
      <c r="G82">
        <v>-422.0052</v>
      </c>
      <c r="H82">
        <v>-0.05</v>
      </c>
      <c r="I82">
        <v>369.0222</v>
      </c>
      <c r="J82">
        <v>-465.65359999999998</v>
      </c>
      <c r="K82">
        <v>1.11944</v>
      </c>
      <c r="L82">
        <v>366.98860000000002</v>
      </c>
      <c r="M82">
        <v>0.99999420000000006</v>
      </c>
      <c r="N82">
        <v>1.2399589999999999E-3</v>
      </c>
      <c r="O82">
        <v>-3.2208810000000001E-3</v>
      </c>
      <c r="P82">
        <v>0.98591099999999998</v>
      </c>
      <c r="Q82">
        <v>0.1583658</v>
      </c>
      <c r="R82">
        <v>-5.3851320000000001E-2</v>
      </c>
      <c r="S82">
        <v>3.0632320000000002</v>
      </c>
      <c r="T82">
        <v>-8.1663849999999996E-2</v>
      </c>
      <c r="U82">
        <v>0.14196779999999901</v>
      </c>
      <c r="V82">
        <v>5.0660980000000001E-2</v>
      </c>
      <c r="W82">
        <v>0.157147799999999</v>
      </c>
      <c r="X82">
        <v>0.98627480000000001</v>
      </c>
      <c r="Y82">
        <v>-4.9495249999999998E-2</v>
      </c>
      <c r="Z82">
        <v>7.1837530000000004E-4</v>
      </c>
      <c r="AA82">
        <v>0.9987741</v>
      </c>
      <c r="AB82">
        <v>22</v>
      </c>
      <c r="AC82">
        <v>43.648399999999903</v>
      </c>
      <c r="AD82">
        <v>-1.16944</v>
      </c>
      <c r="AE82">
        <v>2.0335999999999701</v>
      </c>
      <c r="AF82">
        <v>-2.17261965493595</v>
      </c>
      <c r="AG82">
        <v>-1.16944</v>
      </c>
      <c r="AH82">
        <v>43.610386737793498</v>
      </c>
      <c r="AI82">
        <v>91.5341525901366</v>
      </c>
      <c r="AJ82">
        <v>92.852052330412803</v>
      </c>
      <c r="AK82">
        <v>43.680129320991398</v>
      </c>
      <c r="AL82">
        <v>80.958616842264703</v>
      </c>
      <c r="AM82">
        <v>87.059529942279099</v>
      </c>
      <c r="AN82">
        <v>0.99999997352721903</v>
      </c>
    </row>
    <row r="83" spans="1:40" x14ac:dyDescent="0.25">
      <c r="A83" t="str">
        <f>"20190303170458067"</f>
        <v>20190303170458067</v>
      </c>
      <c r="B83" t="str">
        <f>"1551603898054482"</f>
        <v>1551603898054482</v>
      </c>
      <c r="C83" t="s">
        <v>40</v>
      </c>
      <c r="D83">
        <v>5.1169820000000001</v>
      </c>
      <c r="E83">
        <v>0.46473019999999998</v>
      </c>
      <c r="F83" t="s">
        <v>43</v>
      </c>
      <c r="G83">
        <v>-419.88400000000001</v>
      </c>
      <c r="H83">
        <v>-0.05</v>
      </c>
      <c r="I83">
        <v>369.1035</v>
      </c>
      <c r="J83">
        <v>-465.41829999999999</v>
      </c>
      <c r="K83">
        <v>1.119397</v>
      </c>
      <c r="L83">
        <v>366.98790000000002</v>
      </c>
      <c r="M83">
        <v>0.99999439999999995</v>
      </c>
      <c r="N83">
        <v>1.180197E-3</v>
      </c>
      <c r="O83">
        <v>-3.1784489999999999E-3</v>
      </c>
      <c r="P83">
        <v>0.98576739999999996</v>
      </c>
      <c r="Q83">
        <v>0.1591767</v>
      </c>
      <c r="R83">
        <v>-5.4091640000000003E-2</v>
      </c>
      <c r="S83">
        <v>3.0631710000000001</v>
      </c>
      <c r="T83">
        <v>-7.8265790000000002E-2</v>
      </c>
      <c r="U83">
        <v>0.14154050000000001</v>
      </c>
      <c r="V83">
        <v>5.0962819999999999E-2</v>
      </c>
      <c r="W83">
        <v>0.1580114</v>
      </c>
      <c r="X83">
        <v>0.98612129999999998</v>
      </c>
      <c r="Y83">
        <v>-4.9316310000000002E-2</v>
      </c>
      <c r="Z83">
        <v>6.8537459999999998E-4</v>
      </c>
      <c r="AA83">
        <v>0.99878299999999998</v>
      </c>
      <c r="AB83">
        <v>23</v>
      </c>
      <c r="AC83">
        <v>45.534299999999902</v>
      </c>
      <c r="AD83">
        <v>-1.169397</v>
      </c>
      <c r="AE83">
        <v>2.1155999999999699</v>
      </c>
      <c r="AF83">
        <v>-2.2588312439522902</v>
      </c>
      <c r="AG83">
        <v>-1.169397</v>
      </c>
      <c r="AH83">
        <v>45.497402564920399</v>
      </c>
      <c r="AI83">
        <v>91.470510231664505</v>
      </c>
      <c r="AJ83">
        <v>92.842257157557597</v>
      </c>
      <c r="AK83">
        <v>45.5684479446765</v>
      </c>
      <c r="AL83">
        <v>80.908510565555801</v>
      </c>
      <c r="AM83">
        <v>87.041581914182601</v>
      </c>
      <c r="AN83">
        <v>1.0000000149329999</v>
      </c>
    </row>
    <row r="84" spans="1:40" x14ac:dyDescent="0.25">
      <c r="A84" t="str">
        <f>"20190303170458087"</f>
        <v>20190303170458087</v>
      </c>
      <c r="B84" t="str">
        <f>"1551603898074978"</f>
        <v>1551603898074978</v>
      </c>
      <c r="C84" t="s">
        <v>40</v>
      </c>
      <c r="D84">
        <v>5.133267</v>
      </c>
      <c r="E84">
        <v>0.46480850000000001</v>
      </c>
      <c r="F84" t="s">
        <v>43</v>
      </c>
      <c r="G84">
        <v>-418.18560000000002</v>
      </c>
      <c r="H84">
        <v>-0.05</v>
      </c>
      <c r="I84">
        <v>369.14449999999999</v>
      </c>
      <c r="J84">
        <v>-465.20150000000001</v>
      </c>
      <c r="K84">
        <v>1.11937</v>
      </c>
      <c r="L84">
        <v>366.9873</v>
      </c>
      <c r="M84">
        <v>0.99999439999999995</v>
      </c>
      <c r="N84">
        <v>1.1199910000000001E-3</v>
      </c>
      <c r="O84">
        <v>-3.1924319999999998E-3</v>
      </c>
      <c r="P84">
        <v>0.98595770000000005</v>
      </c>
      <c r="Q84">
        <v>0.1577954</v>
      </c>
      <c r="R84">
        <v>-5.4664610000000002E-2</v>
      </c>
      <c r="S84">
        <v>3.0632630000000001</v>
      </c>
      <c r="T84">
        <v>-7.5841069999999997E-2</v>
      </c>
      <c r="U84">
        <v>0.13986209999999999</v>
      </c>
      <c r="V84">
        <v>5.1536680000000001E-2</v>
      </c>
      <c r="W84">
        <v>0.1566844</v>
      </c>
      <c r="X84">
        <v>0.98630320000000005</v>
      </c>
      <c r="Y84">
        <v>-4.8783930000000003E-2</v>
      </c>
      <c r="Z84">
        <v>6.5871919999999995E-4</v>
      </c>
      <c r="AA84">
        <v>0.99880919999999895</v>
      </c>
      <c r="AB84">
        <v>23</v>
      </c>
      <c r="AC84">
        <v>47.015899999999903</v>
      </c>
      <c r="AD84">
        <v>-1.16937</v>
      </c>
      <c r="AE84">
        <v>2.15719999999998</v>
      </c>
      <c r="AF84">
        <v>-2.3058607230655199</v>
      </c>
      <c r="AG84">
        <v>-1.16937</v>
      </c>
      <c r="AH84">
        <v>46.979772763007901</v>
      </c>
      <c r="AI84">
        <v>91.424136869709997</v>
      </c>
      <c r="AJ84">
        <v>92.809935890293403</v>
      </c>
      <c r="AK84">
        <v>47.050860446275898</v>
      </c>
      <c r="AL84">
        <v>80.985501137224801</v>
      </c>
      <c r="AM84">
        <v>87.008879963593202</v>
      </c>
      <c r="AN84">
        <v>1.00000001645951</v>
      </c>
    </row>
    <row r="85" spans="1:40" x14ac:dyDescent="0.25">
      <c r="A85" t="str">
        <f>"20190303170458112"</f>
        <v>20190303170458112</v>
      </c>
      <c r="B85" t="str">
        <f>"1551603898104258"</f>
        <v>1551603898104258</v>
      </c>
      <c r="C85" t="s">
        <v>40</v>
      </c>
      <c r="D85">
        <v>5.1314129999999896</v>
      </c>
      <c r="E85">
        <v>0.46495760000000003</v>
      </c>
      <c r="F85" t="s">
        <v>43</v>
      </c>
      <c r="G85">
        <v>-420.06619999999998</v>
      </c>
      <c r="H85">
        <v>-0.05</v>
      </c>
      <c r="I85">
        <v>369.00510000000003</v>
      </c>
      <c r="J85">
        <v>-464.9452</v>
      </c>
      <c r="K85">
        <v>1.119337</v>
      </c>
      <c r="L85">
        <v>366.98649999999998</v>
      </c>
      <c r="M85">
        <v>0.99999420000000006</v>
      </c>
      <c r="N85">
        <v>1.041344E-3</v>
      </c>
      <c r="O85">
        <v>-3.269362E-3</v>
      </c>
      <c r="P85">
        <v>0.98611309999999996</v>
      </c>
      <c r="Q85">
        <v>0.1562424</v>
      </c>
      <c r="R85">
        <v>-5.6297350000000003E-2</v>
      </c>
      <c r="S85">
        <v>3.0629879999999998</v>
      </c>
      <c r="T85">
        <v>-7.9356189999999993E-2</v>
      </c>
      <c r="U85">
        <v>0.13693239999999901</v>
      </c>
      <c r="V85">
        <v>5.3107670000000003E-2</v>
      </c>
      <c r="W85">
        <v>0.1552036</v>
      </c>
      <c r="X85">
        <v>0.98645400000000005</v>
      </c>
      <c r="Y85">
        <v>-4.7910170000000002E-2</v>
      </c>
      <c r="Z85">
        <v>6.8330500000000005E-4</v>
      </c>
      <c r="AA85">
        <v>0.99885139999999994</v>
      </c>
      <c r="AB85">
        <v>23</v>
      </c>
      <c r="AC85">
        <v>44.878999999999998</v>
      </c>
      <c r="AD85">
        <v>-1.1693370000000001</v>
      </c>
      <c r="AE85">
        <v>2.0186000000000401</v>
      </c>
      <c r="AF85">
        <v>-2.1638489479138201</v>
      </c>
      <c r="AG85">
        <v>-1.1693370000000001</v>
      </c>
      <c r="AH85">
        <v>44.8417798857094</v>
      </c>
      <c r="AI85">
        <v>91.492025496264205</v>
      </c>
      <c r="AJ85">
        <v>92.762676134276205</v>
      </c>
      <c r="AK85">
        <v>44.909184078619901</v>
      </c>
      <c r="AL85">
        <v>81.071395770694096</v>
      </c>
      <c r="AM85">
        <v>86.918345263482095</v>
      </c>
      <c r="AN85">
        <v>1.00000003809089</v>
      </c>
    </row>
    <row r="86" spans="1:40" x14ac:dyDescent="0.25">
      <c r="A86" t="str">
        <f>"20190303170458134"</f>
        <v>20190303170458134</v>
      </c>
      <c r="B86" t="str">
        <f>"1551603898124755"</f>
        <v>1551603898124755</v>
      </c>
      <c r="C86" t="s">
        <v>40</v>
      </c>
      <c r="D86">
        <v>5.1256009999999996</v>
      </c>
      <c r="E86">
        <v>0.46502349999999998</v>
      </c>
      <c r="F86" t="s">
        <v>43</v>
      </c>
      <c r="G86">
        <v>-422.3175</v>
      </c>
      <c r="H86">
        <v>-0.05</v>
      </c>
      <c r="I86">
        <v>368.81650000000002</v>
      </c>
      <c r="J86">
        <v>-464.70119999999997</v>
      </c>
      <c r="K86">
        <v>1.1193169999999999</v>
      </c>
      <c r="L86">
        <v>366.98559999999998</v>
      </c>
      <c r="M86">
        <v>0.99999380000000004</v>
      </c>
      <c r="N86">
        <v>9.5786039999999997E-4</v>
      </c>
      <c r="O86">
        <v>-3.3937569999999999E-3</v>
      </c>
      <c r="P86">
        <v>0.98610719999999996</v>
      </c>
      <c r="Q86">
        <v>0.1556746</v>
      </c>
      <c r="R86">
        <v>-5.7945650000000001E-2</v>
      </c>
      <c r="S86">
        <v>3.0630799999999998</v>
      </c>
      <c r="T86">
        <v>-8.4024550000000003E-2</v>
      </c>
      <c r="U86">
        <v>0.13150020000000001</v>
      </c>
      <c r="V86">
        <v>5.4645390000000002E-2</v>
      </c>
      <c r="W86">
        <v>0.15471370000000001</v>
      </c>
      <c r="X86">
        <v>0.98644690000000002</v>
      </c>
      <c r="Y86">
        <v>-4.6263480000000003E-2</v>
      </c>
      <c r="Z86">
        <v>7.0823869999999897E-4</v>
      </c>
      <c r="AA86">
        <v>0.99892899999999996</v>
      </c>
      <c r="AB86">
        <v>24</v>
      </c>
      <c r="AC86">
        <v>42.383699999999898</v>
      </c>
      <c r="AD86">
        <v>-1.1693169999999999</v>
      </c>
      <c r="AE86">
        <v>1.8309000000000399</v>
      </c>
      <c r="AF86">
        <v>-1.9732303833368401</v>
      </c>
      <c r="AG86">
        <v>-1.1693169999999999</v>
      </c>
      <c r="AH86">
        <v>42.3450716262669</v>
      </c>
      <c r="AI86">
        <v>91.580050248672904</v>
      </c>
      <c r="AJ86">
        <v>92.667985717906404</v>
      </c>
      <c r="AK86">
        <v>42.407145994818897</v>
      </c>
      <c r="AL86">
        <v>81.099807529599602</v>
      </c>
      <c r="AM86">
        <v>86.829273411941401</v>
      </c>
      <c r="AN86">
        <v>0.99999996706777505</v>
      </c>
    </row>
    <row r="87" spans="1:40" x14ac:dyDescent="0.25">
      <c r="A87" t="str">
        <f>"20190303170458157"</f>
        <v>20190303170458157</v>
      </c>
      <c r="B87" t="str">
        <f>"1551603898144274"</f>
        <v>1551603898144274</v>
      </c>
      <c r="C87" t="s">
        <v>40</v>
      </c>
      <c r="D87">
        <v>5.070843</v>
      </c>
      <c r="E87">
        <v>0.46511799999999998</v>
      </c>
      <c r="F87" t="s">
        <v>43</v>
      </c>
      <c r="G87">
        <v>-422.55630000000002</v>
      </c>
      <c r="H87">
        <v>-0.05</v>
      </c>
      <c r="I87">
        <v>368.71679999999998</v>
      </c>
      <c r="J87">
        <v>-464.46499999999997</v>
      </c>
      <c r="K87">
        <v>1.1193040000000001</v>
      </c>
      <c r="L87">
        <v>366.9846</v>
      </c>
      <c r="M87">
        <v>0.99999340000000003</v>
      </c>
      <c r="N87">
        <v>8.6658699999999896E-4</v>
      </c>
      <c r="O87">
        <v>-3.5541679999999999E-3</v>
      </c>
      <c r="P87">
        <v>0.98601649999999996</v>
      </c>
      <c r="Q87">
        <v>0.15608820000000001</v>
      </c>
      <c r="R87">
        <v>-5.8381740000000001E-2</v>
      </c>
      <c r="S87">
        <v>3.0630799999999998</v>
      </c>
      <c r="T87">
        <v>-8.4985610000000003E-2</v>
      </c>
      <c r="U87">
        <v>0.12582399999999999</v>
      </c>
      <c r="V87">
        <v>5.493369E-2</v>
      </c>
      <c r="W87">
        <v>0.1552135</v>
      </c>
      <c r="X87">
        <v>0.98635240000000002</v>
      </c>
      <c r="Y87">
        <v>-4.4575860000000002E-2</v>
      </c>
      <c r="Z87">
        <v>7.0030669999999995E-4</v>
      </c>
      <c r="AA87">
        <v>0.9990057</v>
      </c>
      <c r="AB87">
        <v>24</v>
      </c>
      <c r="AC87">
        <v>41.908699999999897</v>
      </c>
      <c r="AD87">
        <v>-1.1693039999999999</v>
      </c>
      <c r="AE87">
        <v>1.73219999999997</v>
      </c>
      <c r="AF87">
        <v>-1.8796788685039201</v>
      </c>
      <c r="AG87">
        <v>-1.1693039999999999</v>
      </c>
      <c r="AH87">
        <v>41.869739677013598</v>
      </c>
      <c r="AI87">
        <v>91.598085320841605</v>
      </c>
      <c r="AJ87">
        <v>92.570481736609693</v>
      </c>
      <c r="AK87">
        <v>41.928219197981797</v>
      </c>
      <c r="AL87">
        <v>81.070821231841407</v>
      </c>
      <c r="AM87">
        <v>86.8122748381967</v>
      </c>
      <c r="AN87">
        <v>0.99999999893251301</v>
      </c>
    </row>
    <row r="88" spans="1:40" x14ac:dyDescent="0.25">
      <c r="A88" t="str">
        <f>"20190303170458181"</f>
        <v>20190303170458181</v>
      </c>
      <c r="B88" t="str">
        <f>"1551603898174530"</f>
        <v>1551603898174530</v>
      </c>
      <c r="C88" t="s">
        <v>40</v>
      </c>
      <c r="D88">
        <v>5.0552729999999997</v>
      </c>
      <c r="E88">
        <v>0.53556530000000002</v>
      </c>
      <c r="F88" t="s">
        <v>43</v>
      </c>
      <c r="G88">
        <v>-421.89830000000001</v>
      </c>
      <c r="H88">
        <v>-0.05</v>
      </c>
      <c r="I88">
        <v>368.71140000000003</v>
      </c>
      <c r="J88">
        <v>-464.19810000000001</v>
      </c>
      <c r="K88">
        <v>1.119297</v>
      </c>
      <c r="L88">
        <v>366.98340000000002</v>
      </c>
      <c r="M88">
        <v>0.99999269999999996</v>
      </c>
      <c r="N88">
        <v>7.493771E-4</v>
      </c>
      <c r="O88">
        <v>-3.769424E-3</v>
      </c>
      <c r="P88">
        <v>0.98592440000000003</v>
      </c>
      <c r="Q88">
        <v>0.15641529999999901</v>
      </c>
      <c r="R88">
        <v>-5.9056190000000001E-2</v>
      </c>
      <c r="S88">
        <v>3.063202</v>
      </c>
      <c r="T88">
        <v>-8.4146020000000002E-2</v>
      </c>
      <c r="U88">
        <v>0.12426760000000001</v>
      </c>
      <c r="V88">
        <v>5.5405580000000003E-2</v>
      </c>
      <c r="W88">
        <v>0.1556525</v>
      </c>
      <c r="X88">
        <v>0.98625680000000004</v>
      </c>
      <c r="Y88">
        <v>-4.4282839999999997E-2</v>
      </c>
      <c r="Z88">
        <v>6.9756579999999998E-4</v>
      </c>
      <c r="AA88">
        <v>0.99901879999999998</v>
      </c>
      <c r="AB88">
        <v>24</v>
      </c>
      <c r="AC88">
        <v>42.299799999999998</v>
      </c>
      <c r="AD88">
        <v>-1.169297</v>
      </c>
      <c r="AE88">
        <v>1.728</v>
      </c>
      <c r="AF88">
        <v>-1.88599487283721</v>
      </c>
      <c r="AG88">
        <v>-1.169297</v>
      </c>
      <c r="AH88">
        <v>42.2607465901173</v>
      </c>
      <c r="AI88">
        <v>91.583316324520595</v>
      </c>
      <c r="AJ88">
        <v>92.555276535029904</v>
      </c>
      <c r="AK88">
        <v>42.318966604687901</v>
      </c>
      <c r="AL88">
        <v>81.045358731332698</v>
      </c>
      <c r="AM88">
        <v>86.784637934540399</v>
      </c>
      <c r="AN88">
        <v>0.99999997729881296</v>
      </c>
    </row>
    <row r="89" spans="1:40" x14ac:dyDescent="0.25">
      <c r="A89" t="str">
        <f>"20190303170458202"</f>
        <v>20190303170458202</v>
      </c>
      <c r="B89" t="str">
        <f>"1551603898195026"</f>
        <v>1551603898195026</v>
      </c>
      <c r="C89" t="s">
        <v>40</v>
      </c>
      <c r="D89">
        <v>5.0896089999999896</v>
      </c>
      <c r="E89">
        <v>0.53728819999999999</v>
      </c>
      <c r="F89" t="s">
        <v>42</v>
      </c>
      <c r="G89">
        <v>-463.47149999999999</v>
      </c>
      <c r="H89">
        <v>1.001428</v>
      </c>
      <c r="I89">
        <v>366.88389999999998</v>
      </c>
      <c r="J89">
        <v>-463.9622</v>
      </c>
      <c r="K89">
        <v>1.1193010000000001</v>
      </c>
      <c r="L89">
        <v>366.98239999999998</v>
      </c>
      <c r="M89">
        <v>0.99999190000000004</v>
      </c>
      <c r="N89">
        <v>6.3265179999999997E-4</v>
      </c>
      <c r="O89">
        <v>-3.9811200000000003E-3</v>
      </c>
      <c r="P89">
        <v>0.9860641</v>
      </c>
      <c r="Q89">
        <v>0.155454799999999</v>
      </c>
      <c r="R89">
        <v>-5.926095E-2</v>
      </c>
      <c r="S89">
        <v>3.0971980000000001</v>
      </c>
      <c r="T89">
        <v>-0.50246519999999995</v>
      </c>
      <c r="U89">
        <v>-0.42297360000000001</v>
      </c>
      <c r="V89">
        <v>5.5406129999999998E-2</v>
      </c>
      <c r="W89">
        <v>0.1548051</v>
      </c>
      <c r="X89">
        <v>0.98639019999999999</v>
      </c>
      <c r="Y89">
        <v>0.12975780000000001</v>
      </c>
      <c r="Z89">
        <v>-9.7269939999999992E-3</v>
      </c>
      <c r="AA89">
        <v>0.99149799999999999</v>
      </c>
      <c r="AB89">
        <v>24</v>
      </c>
      <c r="AC89">
        <v>0.49070000000000302</v>
      </c>
      <c r="AD89">
        <v>-0.11787300000000001</v>
      </c>
      <c r="AE89">
        <v>-9.8500000000001295E-2</v>
      </c>
      <c r="AF89">
        <v>9.1471941676737195E-2</v>
      </c>
      <c r="AG89">
        <v>-0.11787300000000001</v>
      </c>
      <c r="AH89">
        <v>0.465280210332008</v>
      </c>
      <c r="AI89">
        <v>103.959613301581</v>
      </c>
      <c r="AJ89">
        <v>78.877757165281906</v>
      </c>
      <c r="AK89">
        <v>0.488617267776846</v>
      </c>
      <c r="AL89">
        <v>81.0945075100894</v>
      </c>
      <c r="AM89">
        <v>86.785040022812098</v>
      </c>
      <c r="AN89">
        <v>1.0000000424418101</v>
      </c>
    </row>
    <row r="90" spans="1:40" x14ac:dyDescent="0.25">
      <c r="A90" t="str">
        <f>"20190303170458222"</f>
        <v>20190303170458222</v>
      </c>
      <c r="B90" t="str">
        <f>"1551603898214546"</f>
        <v>1551603898214546</v>
      </c>
      <c r="C90" t="s">
        <v>40</v>
      </c>
      <c r="D90">
        <v>5.0486870000000001</v>
      </c>
      <c r="E90">
        <v>0.53812969999999904</v>
      </c>
      <c r="F90" t="s">
        <v>42</v>
      </c>
      <c r="G90">
        <v>-463.25810000000001</v>
      </c>
      <c r="H90">
        <v>0.98914500000000005</v>
      </c>
      <c r="I90">
        <v>366.88350000000003</v>
      </c>
      <c r="J90">
        <v>-463.74149999999997</v>
      </c>
      <c r="K90">
        <v>1.1193059999999999</v>
      </c>
      <c r="L90">
        <v>366.9812</v>
      </c>
      <c r="M90">
        <v>0.99999110000000002</v>
      </c>
      <c r="N90">
        <v>5.154259E-4</v>
      </c>
      <c r="O90">
        <v>-4.1903259999999899E-3</v>
      </c>
      <c r="P90">
        <v>0.98607900000000004</v>
      </c>
      <c r="Q90">
        <v>0.15538950000000001</v>
      </c>
      <c r="R90">
        <v>-5.9184059999999997E-2</v>
      </c>
      <c r="S90">
        <v>3.1068120000000001</v>
      </c>
      <c r="T90">
        <v>-0.57441949999999997</v>
      </c>
      <c r="U90">
        <v>-0.43444820000000001</v>
      </c>
      <c r="V90">
        <v>5.5125689999999998E-2</v>
      </c>
      <c r="W90">
        <v>0.15485450000000001</v>
      </c>
      <c r="X90">
        <v>0.98639810000000006</v>
      </c>
      <c r="Y90">
        <v>0.1322171</v>
      </c>
      <c r="Z90">
        <v>-1.126169E-2</v>
      </c>
      <c r="AA90">
        <v>0.99115679999999995</v>
      </c>
      <c r="AB90">
        <v>24</v>
      </c>
      <c r="AC90">
        <v>0.48339999999995997</v>
      </c>
      <c r="AD90">
        <v>-0.130160999999999</v>
      </c>
      <c r="AE90">
        <v>-9.7699999999974793E-2</v>
      </c>
      <c r="AF90">
        <v>8.9443245026238002E-2</v>
      </c>
      <c r="AG90">
        <v>-0.130160999999999</v>
      </c>
      <c r="AH90">
        <v>0.45229959479853898</v>
      </c>
      <c r="AI90">
        <v>105.76485218363</v>
      </c>
      <c r="AJ90">
        <v>78.8139562780147</v>
      </c>
      <c r="AK90">
        <v>0.47907922461399399</v>
      </c>
      <c r="AL90">
        <v>81.091642032724195</v>
      </c>
      <c r="AM90">
        <v>86.801304339739602</v>
      </c>
      <c r="AN90">
        <v>0.99999998477591701</v>
      </c>
    </row>
    <row r="91" spans="1:40" x14ac:dyDescent="0.25">
      <c r="A91" t="str">
        <f>"20190303170458245"</f>
        <v>20190303170458245</v>
      </c>
      <c r="B91" t="str">
        <f>"1551603898234066"</f>
        <v>1551603898234066</v>
      </c>
      <c r="C91" t="s">
        <v>40</v>
      </c>
      <c r="D91">
        <v>5.0066319999999997</v>
      </c>
      <c r="E91">
        <v>0.53846280000000002</v>
      </c>
      <c r="F91" t="s">
        <v>42</v>
      </c>
      <c r="G91">
        <v>-463.03980000000001</v>
      </c>
      <c r="H91">
        <v>0.98389070000000001</v>
      </c>
      <c r="I91">
        <v>366.88159999999999</v>
      </c>
      <c r="J91">
        <v>-463.4939</v>
      </c>
      <c r="K91">
        <v>1.1193219999999999</v>
      </c>
      <c r="L91">
        <v>366.97989999999999</v>
      </c>
      <c r="M91">
        <v>0.99999009999999999</v>
      </c>
      <c r="N91">
        <v>3.7925440000000001E-4</v>
      </c>
      <c r="O91">
        <v>-4.4332770000000002E-3</v>
      </c>
      <c r="P91">
        <v>0.98601780000000006</v>
      </c>
      <c r="Q91">
        <v>0.1559179</v>
      </c>
      <c r="R91">
        <v>-5.8808100000000002E-2</v>
      </c>
      <c r="S91">
        <v>3.110535</v>
      </c>
      <c r="T91">
        <v>-0.60032269999999999</v>
      </c>
      <c r="U91">
        <v>-0.44015500000000002</v>
      </c>
      <c r="V91">
        <v>5.4511999999999998E-2</v>
      </c>
      <c r="W91">
        <v>0.155517299999999</v>
      </c>
      <c r="X91">
        <v>0.98632790000000004</v>
      </c>
      <c r="Y91">
        <v>0.13339010000000001</v>
      </c>
      <c r="Z91">
        <v>-1.182178E-2</v>
      </c>
      <c r="AA91">
        <v>0.99099309999999996</v>
      </c>
      <c r="AB91">
        <v>24</v>
      </c>
      <c r="AC91">
        <v>0.45409999999998202</v>
      </c>
      <c r="AD91">
        <v>-0.1354313</v>
      </c>
      <c r="AE91">
        <v>-9.8299999999994697E-2</v>
      </c>
      <c r="AF91">
        <v>8.8745510326360105E-2</v>
      </c>
      <c r="AG91">
        <v>-0.1354313</v>
      </c>
      <c r="AH91">
        <v>0.418935918379572</v>
      </c>
      <c r="AI91">
        <v>107.549896068257</v>
      </c>
      <c r="AJ91">
        <v>78.039532313090902</v>
      </c>
      <c r="AK91">
        <v>0.449137736481039</v>
      </c>
      <c r="AL91">
        <v>81.0532004369514</v>
      </c>
      <c r="AM91">
        <v>86.836616616153805</v>
      </c>
      <c r="AN91">
        <v>0.99999995753084903</v>
      </c>
    </row>
    <row r="92" spans="1:40" x14ac:dyDescent="0.25">
      <c r="A92" t="str">
        <f>"20190303170458266"</f>
        <v>20190303170458266</v>
      </c>
      <c r="B92" t="str">
        <f>"1551603898254562"</f>
        <v>1551603898254562</v>
      </c>
      <c r="C92" t="s">
        <v>40</v>
      </c>
      <c r="D92">
        <v>5.0311070000000004</v>
      </c>
      <c r="E92">
        <v>0.538977699999999</v>
      </c>
      <c r="F92" t="s">
        <v>42</v>
      </c>
      <c r="G92">
        <v>-462.61040000000003</v>
      </c>
      <c r="H92">
        <v>0.94589769999999895</v>
      </c>
      <c r="I92">
        <v>366.8544</v>
      </c>
      <c r="J92">
        <v>-463.25299999999999</v>
      </c>
      <c r="K92">
        <v>1.1193409999999999</v>
      </c>
      <c r="L92">
        <v>366.97859999999997</v>
      </c>
      <c r="M92">
        <v>0.99998920000000002</v>
      </c>
      <c r="N92">
        <v>2.4467640000000001E-4</v>
      </c>
      <c r="O92">
        <v>-4.6732570000000001E-3</v>
      </c>
      <c r="P92">
        <v>0.98597089999999998</v>
      </c>
      <c r="Q92">
        <v>0.15655569999999999</v>
      </c>
      <c r="R92">
        <v>-5.7894510000000003E-2</v>
      </c>
      <c r="S92">
        <v>3.112854</v>
      </c>
      <c r="T92">
        <v>-0.61105730000000003</v>
      </c>
      <c r="U92">
        <v>-0.44143680000000002</v>
      </c>
      <c r="V92">
        <v>5.3362119999999999E-2</v>
      </c>
      <c r="W92">
        <v>0.15628839999999999</v>
      </c>
      <c r="X92">
        <v>0.9862689</v>
      </c>
      <c r="Y92">
        <v>0.1333733</v>
      </c>
      <c r="Z92">
        <v>-1.198228E-2</v>
      </c>
      <c r="AA92">
        <v>0.99099340000000002</v>
      </c>
      <c r="AB92">
        <v>25</v>
      </c>
      <c r="AC92">
        <v>0.64260000000001505</v>
      </c>
      <c r="AD92">
        <v>-0.17344329999999999</v>
      </c>
      <c r="AE92">
        <v>-0.124199999999973</v>
      </c>
      <c r="AF92">
        <v>0.113242872250274</v>
      </c>
      <c r="AG92">
        <v>-0.17344329999999999</v>
      </c>
      <c r="AH92">
        <v>0.60096899405306803</v>
      </c>
      <c r="AI92">
        <v>105.83412093140601</v>
      </c>
      <c r="AJ92">
        <v>79.328667662051501</v>
      </c>
      <c r="AK92">
        <v>0.63566520924425196</v>
      </c>
      <c r="AL92">
        <v>81.008472781310402</v>
      </c>
      <c r="AM92">
        <v>86.903029080894498</v>
      </c>
      <c r="AN92">
        <v>0.99999996146633097</v>
      </c>
    </row>
    <row r="93" spans="1:40" x14ac:dyDescent="0.25">
      <c r="A93" t="str">
        <f>"20190303170458288"</f>
        <v>20190303170458288</v>
      </c>
      <c r="B93" t="str">
        <f>"1551603898274082"</f>
        <v>1551603898274082</v>
      </c>
      <c r="C93" t="s">
        <v>40</v>
      </c>
      <c r="D93">
        <v>4.9914779999999999</v>
      </c>
      <c r="E93">
        <v>0.5392633</v>
      </c>
      <c r="F93" t="s">
        <v>42</v>
      </c>
      <c r="G93">
        <v>-462.38389999999998</v>
      </c>
      <c r="H93">
        <v>0.94749629999999996</v>
      </c>
      <c r="I93">
        <v>366.85500000000002</v>
      </c>
      <c r="J93">
        <v>-463.00060000000002</v>
      </c>
      <c r="K93">
        <v>1.119359</v>
      </c>
      <c r="L93">
        <v>366.97710000000001</v>
      </c>
      <c r="M93">
        <v>0.99998790000000004</v>
      </c>
      <c r="N93">
        <v>1.033648E-4</v>
      </c>
      <c r="O93">
        <v>-4.92481E-3</v>
      </c>
      <c r="P93">
        <v>0.98595650000000001</v>
      </c>
      <c r="Q93">
        <v>0.1569827</v>
      </c>
      <c r="R93">
        <v>-5.6976869999999999E-2</v>
      </c>
      <c r="S93">
        <v>3.114471</v>
      </c>
      <c r="T93">
        <v>-0.61586619999999903</v>
      </c>
      <c r="U93">
        <v>-0.44271850000000001</v>
      </c>
      <c r="V93">
        <v>5.2195610000000003E-2</v>
      </c>
      <c r="W93">
        <v>0.15685589999999999</v>
      </c>
      <c r="X93">
        <v>0.98624129999999999</v>
      </c>
      <c r="Y93">
        <v>0.13341919999999999</v>
      </c>
      <c r="Z93">
        <v>-1.203416E-2</v>
      </c>
      <c r="AA93">
        <v>0.99098660000000005</v>
      </c>
      <c r="AB93">
        <v>25</v>
      </c>
      <c r="AC93">
        <v>0.616700000000037</v>
      </c>
      <c r="AD93">
        <v>-0.17186270000000001</v>
      </c>
      <c r="AE93">
        <v>-0.122099999999989</v>
      </c>
      <c r="AF93">
        <v>0.110782226412716</v>
      </c>
      <c r="AG93">
        <v>-0.17186270000000001</v>
      </c>
      <c r="AH93">
        <v>0.57436912634025705</v>
      </c>
      <c r="AI93">
        <v>106.373045962913</v>
      </c>
      <c r="AJ93">
        <v>79.083055992409498</v>
      </c>
      <c r="AK93">
        <v>0.60967973775837303</v>
      </c>
      <c r="AL93">
        <v>80.975551998973103</v>
      </c>
      <c r="AM93">
        <v>86.970517553160903</v>
      </c>
      <c r="AN93">
        <v>1.00000002844688</v>
      </c>
    </row>
    <row r="94" spans="1:40" x14ac:dyDescent="0.25">
      <c r="A94" t="str">
        <f>"20190303170458312"</f>
        <v>20190303170458312</v>
      </c>
      <c r="B94" t="str">
        <f>"1551603898304338"</f>
        <v>1551603898304338</v>
      </c>
      <c r="C94" t="s">
        <v>40</v>
      </c>
      <c r="D94">
        <v>5.0176309999999997</v>
      </c>
      <c r="E94">
        <v>0.53981709999999905</v>
      </c>
      <c r="F94" t="s">
        <v>42</v>
      </c>
      <c r="G94">
        <v>-462.15499999999997</v>
      </c>
      <c r="H94">
        <v>0.95131500000000002</v>
      </c>
      <c r="I94">
        <v>366.85680000000002</v>
      </c>
      <c r="J94">
        <v>-462.73779999999999</v>
      </c>
      <c r="K94">
        <v>1.119373</v>
      </c>
      <c r="L94">
        <v>366.97559999999999</v>
      </c>
      <c r="M94">
        <v>0.99998659999999995</v>
      </c>
      <c r="N94" s="1">
        <v>-4.1039079999999997E-5</v>
      </c>
      <c r="O94">
        <v>-5.185551E-3</v>
      </c>
      <c r="P94">
        <v>0.9860468</v>
      </c>
      <c r="Q94">
        <v>0.15677959999999999</v>
      </c>
      <c r="R94">
        <v>-5.5968009999999999E-2</v>
      </c>
      <c r="S94">
        <v>3.1156920000000001</v>
      </c>
      <c r="T94">
        <v>-0.61912849999999997</v>
      </c>
      <c r="U94">
        <v>-0.44268800000000003</v>
      </c>
      <c r="V94">
        <v>5.0927920000000002E-2</v>
      </c>
      <c r="W94">
        <v>0.15679609999999999</v>
      </c>
      <c r="X94">
        <v>0.986317</v>
      </c>
      <c r="Y94">
        <v>0.1330829</v>
      </c>
      <c r="Z94">
        <v>-1.2018630000000001E-2</v>
      </c>
      <c r="AA94">
        <v>0.99103209999999997</v>
      </c>
      <c r="AB94">
        <v>25</v>
      </c>
      <c r="AC94">
        <v>0.58280000000001997</v>
      </c>
      <c r="AD94">
        <v>-0.16805800000000001</v>
      </c>
      <c r="AE94">
        <v>-0.118799999999964</v>
      </c>
      <c r="AF94">
        <v>0.107216534458452</v>
      </c>
      <c r="AG94">
        <v>-0.16805800000000001</v>
      </c>
      <c r="AH94">
        <v>0.54027487308810496</v>
      </c>
      <c r="AI94">
        <v>106.967488597049</v>
      </c>
      <c r="AJ94">
        <v>78.775589142567</v>
      </c>
      <c r="AK94">
        <v>0.57587829887541997</v>
      </c>
      <c r="AL94">
        <v>80.979020475101507</v>
      </c>
      <c r="AM94">
        <v>87.044189834611998</v>
      </c>
      <c r="AN94">
        <v>0.99999994724986596</v>
      </c>
    </row>
    <row r="95" spans="1:40" x14ac:dyDescent="0.25">
      <c r="A95" t="str">
        <f>"20190303170458334"</f>
        <v>20190303170458334</v>
      </c>
      <c r="B95" t="str">
        <f>"1551603898324834"</f>
        <v>1551603898324834</v>
      </c>
      <c r="C95" t="s">
        <v>40</v>
      </c>
      <c r="D95">
        <v>4.9919570000000002</v>
      </c>
      <c r="E95">
        <v>0.54016229999999998</v>
      </c>
      <c r="F95" t="s">
        <v>42</v>
      </c>
      <c r="G95">
        <v>-461.9237</v>
      </c>
      <c r="H95">
        <v>0.95676119999999998</v>
      </c>
      <c r="I95">
        <v>366.85910000000001</v>
      </c>
      <c r="J95">
        <v>-462.47820000000002</v>
      </c>
      <c r="K95">
        <v>1.119386</v>
      </c>
      <c r="L95">
        <v>366.97390000000001</v>
      </c>
      <c r="M95">
        <v>0.99998529999999997</v>
      </c>
      <c r="N95">
        <v>-1.784922E-4</v>
      </c>
      <c r="O95">
        <v>-5.4414119999999996E-3</v>
      </c>
      <c r="P95">
        <v>0.98613260000000003</v>
      </c>
      <c r="Q95">
        <v>0.15649950000000001</v>
      </c>
      <c r="R95">
        <v>-5.5231519999999999E-2</v>
      </c>
      <c r="S95">
        <v>3.1162109999999998</v>
      </c>
      <c r="T95">
        <v>-0.62260990000000005</v>
      </c>
      <c r="U95">
        <v>-0.4446716</v>
      </c>
      <c r="V95">
        <v>4.9937889999999999E-2</v>
      </c>
      <c r="W95">
        <v>0.1566524</v>
      </c>
      <c r="X95">
        <v>0.98639049999999995</v>
      </c>
      <c r="Y95">
        <v>0.13339529999999999</v>
      </c>
      <c r="Z95">
        <v>-1.2072879999999999E-2</v>
      </c>
      <c r="AA95">
        <v>0.99098940000000002</v>
      </c>
      <c r="AB95">
        <v>25</v>
      </c>
      <c r="AC95">
        <v>0.55450000000001798</v>
      </c>
      <c r="AD95">
        <v>-0.16262480000000001</v>
      </c>
      <c r="AE95">
        <v>-0.114800000000002</v>
      </c>
      <c r="AF95">
        <v>0.103263934097854</v>
      </c>
      <c r="AG95">
        <v>-0.16262480000000001</v>
      </c>
      <c r="AH95">
        <v>0.51281962645619295</v>
      </c>
      <c r="AI95">
        <v>107.269361681973</v>
      </c>
      <c r="AJ95">
        <v>78.614885518018497</v>
      </c>
      <c r="AK95">
        <v>0.54780857508720604</v>
      </c>
      <c r="AL95">
        <v>80.987357311980304</v>
      </c>
      <c r="AM95">
        <v>87.101766933147402</v>
      </c>
      <c r="AN95">
        <v>0.99999999288683095</v>
      </c>
    </row>
    <row r="96" spans="1:40" x14ac:dyDescent="0.25">
      <c r="A96" t="str">
        <f>"20190303170458356"</f>
        <v>20190303170458356</v>
      </c>
      <c r="B96" t="str">
        <f>"1551603898344354"</f>
        <v>1551603898344354</v>
      </c>
      <c r="C96" t="s">
        <v>40</v>
      </c>
      <c r="D96">
        <v>4.9828190000000001</v>
      </c>
      <c r="E96">
        <v>0.54031219999999902</v>
      </c>
      <c r="F96" t="s">
        <v>42</v>
      </c>
      <c r="G96">
        <v>-461.69110000000001</v>
      </c>
      <c r="H96">
        <v>0.9614779</v>
      </c>
      <c r="I96">
        <v>366.86090000000002</v>
      </c>
      <c r="J96">
        <v>-462.23480000000001</v>
      </c>
      <c r="K96">
        <v>1.119402</v>
      </c>
      <c r="L96">
        <v>366.97239999999999</v>
      </c>
      <c r="M96">
        <v>0.99998399999999998</v>
      </c>
      <c r="N96">
        <v>-3.017017E-4</v>
      </c>
      <c r="O96">
        <v>-5.6801119999999898E-3</v>
      </c>
      <c r="P96">
        <v>0.98615379999999997</v>
      </c>
      <c r="Q96">
        <v>0.15653599999999901</v>
      </c>
      <c r="R96">
        <v>-5.4748129999999999E-2</v>
      </c>
      <c r="S96">
        <v>3.1164860000000001</v>
      </c>
      <c r="T96">
        <v>-0.62532829999999995</v>
      </c>
      <c r="U96">
        <v>-0.44601439999999998</v>
      </c>
      <c r="V96">
        <v>4.9218459999999999E-2</v>
      </c>
      <c r="W96">
        <v>0.1568107</v>
      </c>
      <c r="X96">
        <v>0.98640150000000004</v>
      </c>
      <c r="Y96">
        <v>0.1335442</v>
      </c>
      <c r="Z96">
        <v>-1.2099759999999999E-2</v>
      </c>
      <c r="AA96">
        <v>0.99096899999999999</v>
      </c>
      <c r="AB96">
        <v>26</v>
      </c>
      <c r="AC96">
        <v>0.54370000000000096</v>
      </c>
      <c r="AD96">
        <v>-0.15792410000000001</v>
      </c>
      <c r="AE96">
        <v>-0.11149999999997801</v>
      </c>
      <c r="AF96">
        <v>0.100290128071716</v>
      </c>
      <c r="AG96">
        <v>-0.15792410000000001</v>
      </c>
      <c r="AH96">
        <v>0.50355518724052895</v>
      </c>
      <c r="AI96">
        <v>107.09671153962999</v>
      </c>
      <c r="AJ96">
        <v>78.736125045228704</v>
      </c>
      <c r="AK96">
        <v>0.537183355797902</v>
      </c>
      <c r="AL96">
        <v>80.978173830082099</v>
      </c>
      <c r="AM96">
        <v>87.143482459049807</v>
      </c>
      <c r="AN96">
        <v>0.999999985820755</v>
      </c>
    </row>
    <row r="97" spans="1:40" x14ac:dyDescent="0.25">
      <c r="A97" t="str">
        <f>"20190303170458380"</f>
        <v>20190303170458380</v>
      </c>
      <c r="B97" t="str">
        <f>"1551603898374610"</f>
        <v>1551603898374610</v>
      </c>
      <c r="C97" t="s">
        <v>40</v>
      </c>
      <c r="D97">
        <v>5.0105490000000001</v>
      </c>
      <c r="E97">
        <v>0.54079309999999903</v>
      </c>
      <c r="F97" t="s">
        <v>42</v>
      </c>
      <c r="G97">
        <v>-461.45819999999998</v>
      </c>
      <c r="H97">
        <v>0.96330760000000004</v>
      </c>
      <c r="I97">
        <v>366.8614</v>
      </c>
      <c r="J97">
        <v>-461.95420000000001</v>
      </c>
      <c r="K97">
        <v>1.119416</v>
      </c>
      <c r="L97">
        <v>366.97050000000002</v>
      </c>
      <c r="M97">
        <v>0.99998220000000004</v>
      </c>
      <c r="N97">
        <v>-4.3672920000000003E-4</v>
      </c>
      <c r="O97">
        <v>-5.9541109999999998E-3</v>
      </c>
      <c r="P97">
        <v>0.98606000000000005</v>
      </c>
      <c r="Q97">
        <v>0.157147799999999</v>
      </c>
      <c r="R97">
        <v>-5.4686890000000002E-2</v>
      </c>
      <c r="S97">
        <v>3.1167910000000001</v>
      </c>
      <c r="T97">
        <v>-0.62636139999999996</v>
      </c>
      <c r="U97">
        <v>-0.4458008</v>
      </c>
      <c r="V97">
        <v>4.8887710000000001E-2</v>
      </c>
      <c r="W97">
        <v>0.1575561</v>
      </c>
      <c r="X97">
        <v>0.98629920000000004</v>
      </c>
      <c r="Y97">
        <v>0.13319510000000001</v>
      </c>
      <c r="Z97">
        <v>-1.2039380000000001E-2</v>
      </c>
      <c r="AA97">
        <v>0.99101669999999997</v>
      </c>
      <c r="AB97">
        <v>26</v>
      </c>
      <c r="AC97">
        <v>0.49600000000003702</v>
      </c>
      <c r="AD97">
        <v>-0.15610840000000001</v>
      </c>
      <c r="AE97">
        <v>-0.10910000000001201</v>
      </c>
      <c r="AF97">
        <v>9.6981398814861397E-2</v>
      </c>
      <c r="AG97">
        <v>-0.15610840000000001</v>
      </c>
      <c r="AH97">
        <v>0.45376605792131702</v>
      </c>
      <c r="AI97">
        <v>108.594500993745</v>
      </c>
      <c r="AJ97">
        <v>77.935932620003797</v>
      </c>
      <c r="AK97">
        <v>0.48957007627928001</v>
      </c>
      <c r="AL97">
        <v>80.934928317986305</v>
      </c>
      <c r="AM97">
        <v>87.162353083962103</v>
      </c>
      <c r="AN97">
        <v>1.00000002237844</v>
      </c>
    </row>
    <row r="98" spans="1:40" x14ac:dyDescent="0.25">
      <c r="A98" t="str">
        <f>"20190303170458401"</f>
        <v>20190303170458401</v>
      </c>
      <c r="B98" t="str">
        <f>"1551603898394130"</f>
        <v>1551603898394130</v>
      </c>
      <c r="C98" t="s">
        <v>40</v>
      </c>
      <c r="D98">
        <v>5.0158480000000001</v>
      </c>
      <c r="E98">
        <v>0.54136070000000003</v>
      </c>
      <c r="F98" t="s">
        <v>42</v>
      </c>
      <c r="G98">
        <v>-461.22059999999999</v>
      </c>
      <c r="H98">
        <v>0.97194349999999996</v>
      </c>
      <c r="I98">
        <v>366.86439999999999</v>
      </c>
      <c r="J98">
        <v>-461.69580000000002</v>
      </c>
      <c r="K98">
        <v>1.1194200000000001</v>
      </c>
      <c r="L98">
        <v>366.96870000000001</v>
      </c>
      <c r="M98">
        <v>0.99998069999999895</v>
      </c>
      <c r="N98">
        <v>-5.5411109999999996E-4</v>
      </c>
      <c r="O98">
        <v>-6.2055799999999996E-3</v>
      </c>
      <c r="P98">
        <v>0.98609009999999997</v>
      </c>
      <c r="Q98">
        <v>0.15694449999999999</v>
      </c>
      <c r="R98">
        <v>-5.4728909999999999E-2</v>
      </c>
      <c r="S98">
        <v>3.1174010000000001</v>
      </c>
      <c r="T98">
        <v>-0.62678159999999905</v>
      </c>
      <c r="U98">
        <v>-0.448822</v>
      </c>
      <c r="V98">
        <v>4.8681870000000002E-2</v>
      </c>
      <c r="W98">
        <v>0.15746849999999901</v>
      </c>
      <c r="X98">
        <v>0.98632339999999996</v>
      </c>
      <c r="Y98">
        <v>0.1338482</v>
      </c>
      <c r="Z98">
        <v>-1.206802E-2</v>
      </c>
      <c r="AA98">
        <v>0.99092840000000004</v>
      </c>
      <c r="AB98">
        <v>26</v>
      </c>
      <c r="AC98">
        <v>0.47520000000002899</v>
      </c>
      <c r="AD98">
        <v>-0.14747650000000001</v>
      </c>
      <c r="AE98">
        <v>-0.104300000000023</v>
      </c>
      <c r="AF98">
        <v>9.28200428692426E-2</v>
      </c>
      <c r="AG98">
        <v>-0.14747650000000001</v>
      </c>
      <c r="AH98">
        <v>0.43579382670714001</v>
      </c>
      <c r="AI98">
        <v>108.31374728327199</v>
      </c>
      <c r="AJ98">
        <v>77.976201715119899</v>
      </c>
      <c r="AK98">
        <v>0.46934117420757998</v>
      </c>
      <c r="AL98">
        <v>80.940011136647797</v>
      </c>
      <c r="AM98">
        <v>87.174350710706506</v>
      </c>
      <c r="AN98">
        <v>1.0000000511732501</v>
      </c>
    </row>
    <row r="99" spans="1:40" x14ac:dyDescent="0.25">
      <c r="A99" t="str">
        <f>"20190303170458424"</f>
        <v>20190303170458424</v>
      </c>
      <c r="B99" t="str">
        <f>"1551603898414626"</f>
        <v>1551603898414626</v>
      </c>
      <c r="C99" t="s">
        <v>40</v>
      </c>
      <c r="D99">
        <v>4.9998250000000004</v>
      </c>
      <c r="E99">
        <v>0.54192019999999996</v>
      </c>
      <c r="F99" t="s">
        <v>42</v>
      </c>
      <c r="G99">
        <v>-460.98379999999997</v>
      </c>
      <c r="H99">
        <v>0.97537960000000001</v>
      </c>
      <c r="I99">
        <v>366.86509999999998</v>
      </c>
      <c r="J99">
        <v>-461.4348</v>
      </c>
      <c r="K99">
        <v>1.1194230000000001</v>
      </c>
      <c r="L99">
        <v>366.96679999999998</v>
      </c>
      <c r="M99">
        <v>0.99997899999999995</v>
      </c>
      <c r="N99">
        <v>-6.6406669999999996E-4</v>
      </c>
      <c r="O99">
        <v>-6.4591989999999997E-3</v>
      </c>
      <c r="P99">
        <v>0.98616420000000005</v>
      </c>
      <c r="Q99">
        <v>0.15630729999999901</v>
      </c>
      <c r="R99">
        <v>-5.5209309999999998E-2</v>
      </c>
      <c r="S99">
        <v>3.1175540000000002</v>
      </c>
      <c r="T99">
        <v>-0.63077810000000001</v>
      </c>
      <c r="U99">
        <v>-0.45343020000000001</v>
      </c>
      <c r="V99">
        <v>4.8912120000000003E-2</v>
      </c>
      <c r="W99">
        <v>0.15693969999999999</v>
      </c>
      <c r="X99">
        <v>0.9863963</v>
      </c>
      <c r="Y99">
        <v>0.13497479999999901</v>
      </c>
      <c r="Z99">
        <v>-1.221183E-2</v>
      </c>
      <c r="AA99">
        <v>0.99077380000000004</v>
      </c>
      <c r="AB99">
        <v>26</v>
      </c>
      <c r="AC99">
        <v>0.451000000000021</v>
      </c>
      <c r="AD99">
        <v>-0.14404339999999999</v>
      </c>
      <c r="AE99">
        <v>-0.101699999999993</v>
      </c>
      <c r="AF99">
        <v>9.0044043229799697E-2</v>
      </c>
      <c r="AG99">
        <v>-0.14404339999999999</v>
      </c>
      <c r="AH99">
        <v>0.411684539039405</v>
      </c>
      <c r="AI99">
        <v>108.870811597767</v>
      </c>
      <c r="AJ99">
        <v>77.662499869582305</v>
      </c>
      <c r="AK99">
        <v>0.44535445488825798</v>
      </c>
      <c r="AL99">
        <v>80.970690713795605</v>
      </c>
      <c r="AM99">
        <v>87.161217560668703</v>
      </c>
      <c r="AN99">
        <v>1.0000000627863299</v>
      </c>
    </row>
    <row r="100" spans="1:40" x14ac:dyDescent="0.25">
      <c r="A100" t="str">
        <f>"20190303170458445"</f>
        <v>20190303170458445</v>
      </c>
      <c r="B100" t="str">
        <f>"1551603898434146"</f>
        <v>1551603898434146</v>
      </c>
      <c r="C100" t="s">
        <v>40</v>
      </c>
      <c r="D100">
        <v>5.0106799999999998</v>
      </c>
      <c r="E100">
        <v>0.54235990000000001</v>
      </c>
      <c r="F100" t="s">
        <v>42</v>
      </c>
      <c r="G100">
        <v>-460.52710000000002</v>
      </c>
      <c r="H100">
        <v>0.93437409999999999</v>
      </c>
      <c r="I100">
        <v>366.83269999999999</v>
      </c>
      <c r="J100">
        <v>-461.17259999999999</v>
      </c>
      <c r="K100">
        <v>1.1194219999999999</v>
      </c>
      <c r="L100">
        <v>366.9649</v>
      </c>
      <c r="M100">
        <v>0.99997729999999996</v>
      </c>
      <c r="N100">
        <v>-7.6236619999999996E-4</v>
      </c>
      <c r="O100">
        <v>-6.7137719999999998E-3</v>
      </c>
      <c r="P100">
        <v>0.98627200000000004</v>
      </c>
      <c r="Q100">
        <v>0.15546889999999999</v>
      </c>
      <c r="R100">
        <v>-5.5654240000000001E-2</v>
      </c>
      <c r="S100">
        <v>3.1170960000000001</v>
      </c>
      <c r="T100">
        <v>-0.6355807</v>
      </c>
      <c r="U100">
        <v>-0.45956419999999998</v>
      </c>
      <c r="V100">
        <v>4.9105290000000003E-2</v>
      </c>
      <c r="W100">
        <v>0.1561979</v>
      </c>
      <c r="X100">
        <v>0.98650439999999995</v>
      </c>
      <c r="Y100">
        <v>0.1365845</v>
      </c>
      <c r="Z100">
        <v>-1.2421339999999999E-2</v>
      </c>
      <c r="AA100">
        <v>0.9905505</v>
      </c>
      <c r="AB100">
        <v>26</v>
      </c>
      <c r="AC100">
        <v>0.64549999999996999</v>
      </c>
      <c r="AD100">
        <v>-0.18504789999999999</v>
      </c>
      <c r="AE100">
        <v>-0.132200000000011</v>
      </c>
      <c r="AF100">
        <v>0.11851553794599801</v>
      </c>
      <c r="AG100">
        <v>-0.18504789999999999</v>
      </c>
      <c r="AH100">
        <v>0.59911841244737596</v>
      </c>
      <c r="AI100">
        <v>106.856575467184</v>
      </c>
      <c r="AJ100">
        <v>78.810408664986895</v>
      </c>
      <c r="AK100">
        <v>0.638146950288492</v>
      </c>
      <c r="AL100">
        <v>81.013723075229805</v>
      </c>
      <c r="AM100">
        <v>87.150336507482507</v>
      </c>
      <c r="AN100">
        <v>1.00000002234487</v>
      </c>
    </row>
    <row r="101" spans="1:40" x14ac:dyDescent="0.25">
      <c r="A101" t="str">
        <f>"20190303170458467"</f>
        <v>20190303170458467</v>
      </c>
      <c r="B101" t="str">
        <f>"1551603898454643"</f>
        <v>1551603898454643</v>
      </c>
      <c r="C101" t="s">
        <v>40</v>
      </c>
      <c r="D101">
        <v>4.9833660000000002</v>
      </c>
      <c r="E101">
        <v>0.54277439999999999</v>
      </c>
      <c r="F101" t="s">
        <v>42</v>
      </c>
      <c r="G101">
        <v>-460.28609999999998</v>
      </c>
      <c r="H101">
        <v>0.93703349999999996</v>
      </c>
      <c r="I101">
        <v>366.83269999999999</v>
      </c>
      <c r="J101">
        <v>-460.91539999999998</v>
      </c>
      <c r="K101">
        <v>1.119424</v>
      </c>
      <c r="L101">
        <v>366.96289999999999</v>
      </c>
      <c r="M101">
        <v>0.99997550000000002</v>
      </c>
      <c r="N101">
        <v>-8.4942449999999897E-4</v>
      </c>
      <c r="O101">
        <v>-6.9628600000000004E-3</v>
      </c>
      <c r="P101">
        <v>0.98616749999999997</v>
      </c>
      <c r="Q101">
        <v>0.15580749999999999</v>
      </c>
      <c r="R101">
        <v>-5.6550929999999999E-2</v>
      </c>
      <c r="S101">
        <v>3.1166689999999999</v>
      </c>
      <c r="T101">
        <v>-0.64132330000000004</v>
      </c>
      <c r="U101">
        <v>-0.46398929999999999</v>
      </c>
      <c r="V101">
        <v>4.9758169999999997E-2</v>
      </c>
      <c r="W101">
        <v>0.15662179999999901</v>
      </c>
      <c r="X101">
        <v>0.98640450000000002</v>
      </c>
      <c r="Y101">
        <v>0.13766779999999901</v>
      </c>
      <c r="Z101">
        <v>-1.2597789999999999E-2</v>
      </c>
      <c r="AA101">
        <v>0.99039829999999995</v>
      </c>
      <c r="AB101">
        <v>27</v>
      </c>
      <c r="AC101">
        <v>0.62929999999999997</v>
      </c>
      <c r="AD101">
        <v>-0.18239050000000001</v>
      </c>
      <c r="AE101">
        <v>-0.13020000000000201</v>
      </c>
      <c r="AF101">
        <v>0.11643578437571001</v>
      </c>
      <c r="AG101">
        <v>-0.18239050000000001</v>
      </c>
      <c r="AH101">
        <v>0.58321148076496898</v>
      </c>
      <c r="AI101">
        <v>107.04986142172</v>
      </c>
      <c r="AJ101">
        <v>78.709576642845803</v>
      </c>
      <c r="AK101">
        <v>0.62206046142598104</v>
      </c>
      <c r="AL101">
        <v>80.989133000059297</v>
      </c>
      <c r="AM101">
        <v>87.112220528618707</v>
      </c>
      <c r="AN101">
        <v>1.00000005066861</v>
      </c>
    </row>
    <row r="102" spans="1:40" x14ac:dyDescent="0.25">
      <c r="A102" t="str">
        <f>"20190303170458490"</f>
        <v>20190303170458490</v>
      </c>
      <c r="B102" t="str">
        <f>"1551603898484898"</f>
        <v>1551603898484898</v>
      </c>
      <c r="C102" t="s">
        <v>40</v>
      </c>
      <c r="D102">
        <v>4.9706130000000002</v>
      </c>
      <c r="E102">
        <v>0.5432804</v>
      </c>
      <c r="F102" t="s">
        <v>42</v>
      </c>
      <c r="G102">
        <v>-460.04349999999999</v>
      </c>
      <c r="H102">
        <v>0.93972109999999998</v>
      </c>
      <c r="I102">
        <v>366.83150000000001</v>
      </c>
      <c r="J102">
        <v>-460.62650000000002</v>
      </c>
      <c r="K102">
        <v>1.119432</v>
      </c>
      <c r="L102">
        <v>366.9606</v>
      </c>
      <c r="M102">
        <v>0.99997340000000001</v>
      </c>
      <c r="N102">
        <v>-9.3660019999999996E-4</v>
      </c>
      <c r="O102">
        <v>-7.2427079999999996E-3</v>
      </c>
      <c r="P102">
        <v>0.98599820000000005</v>
      </c>
      <c r="Q102">
        <v>0.1567103</v>
      </c>
      <c r="R102">
        <v>-5.7006170000000002E-2</v>
      </c>
      <c r="S102">
        <v>3.1166079999999998</v>
      </c>
      <c r="T102">
        <v>-0.64231799999999994</v>
      </c>
      <c r="U102">
        <v>-0.46994019999999997</v>
      </c>
      <c r="V102">
        <v>4.9939869999999997E-2</v>
      </c>
      <c r="W102">
        <v>0.15760979999999999</v>
      </c>
      <c r="X102">
        <v>0.9862379</v>
      </c>
      <c r="Y102">
        <v>0.1392081</v>
      </c>
      <c r="Z102">
        <v>-1.2722519999999999E-2</v>
      </c>
      <c r="AA102">
        <v>0.99018139999999999</v>
      </c>
      <c r="AB102">
        <v>27</v>
      </c>
      <c r="AC102">
        <v>0.58300000000002605</v>
      </c>
      <c r="AD102">
        <v>-0.17971089999999901</v>
      </c>
      <c r="AE102">
        <v>-0.129099999999994</v>
      </c>
      <c r="AF102">
        <v>0.114502719766944</v>
      </c>
      <c r="AG102">
        <v>-0.17971089999999901</v>
      </c>
      <c r="AH102">
        <v>0.53542240868327695</v>
      </c>
      <c r="AI102">
        <v>108.170957781044</v>
      </c>
      <c r="AJ102">
        <v>77.928843721538797</v>
      </c>
      <c r="AK102">
        <v>0.57626733044051703</v>
      </c>
      <c r="AL102">
        <v>80.931812561926407</v>
      </c>
      <c r="AM102">
        <v>87.101204521518</v>
      </c>
      <c r="AN102">
        <v>1.00000001753403</v>
      </c>
    </row>
    <row r="103" spans="1:40" x14ac:dyDescent="0.25">
      <c r="A103" t="str">
        <f>"20190303170458513"</f>
        <v>20190303170458513</v>
      </c>
      <c r="B103" t="str">
        <f>"1551603898504418"</f>
        <v>1551603898504418</v>
      </c>
      <c r="C103" t="s">
        <v>40</v>
      </c>
      <c r="D103">
        <v>4.9615289999999996</v>
      </c>
      <c r="E103">
        <v>0.54354979999999997</v>
      </c>
      <c r="F103" t="s">
        <v>42</v>
      </c>
      <c r="G103">
        <v>-459.79669999999999</v>
      </c>
      <c r="H103">
        <v>0.94840469999999999</v>
      </c>
      <c r="I103">
        <v>366.83370000000002</v>
      </c>
      <c r="J103">
        <v>-460.35890000000001</v>
      </c>
      <c r="K103">
        <v>1.119434</v>
      </c>
      <c r="L103">
        <v>366.95839999999998</v>
      </c>
      <c r="M103">
        <v>0.99997150000000001</v>
      </c>
      <c r="N103">
        <v>-1.0065300000000001E-3</v>
      </c>
      <c r="O103">
        <v>-7.4997759999999997E-3</v>
      </c>
      <c r="P103">
        <v>0.98595730000000004</v>
      </c>
      <c r="Q103">
        <v>0.1568592</v>
      </c>
      <c r="R103">
        <v>-5.7303819999999998E-2</v>
      </c>
      <c r="S103">
        <v>3.1172490000000002</v>
      </c>
      <c r="T103">
        <v>-0.64242089999999996</v>
      </c>
      <c r="U103">
        <v>-0.47555540000000002</v>
      </c>
      <c r="V103">
        <v>4.9984939999999999E-2</v>
      </c>
      <c r="W103">
        <v>0.1578273</v>
      </c>
      <c r="X103">
        <v>0.98620079999999999</v>
      </c>
      <c r="Y103">
        <v>0.14064270000000001</v>
      </c>
      <c r="Z103">
        <v>-1.2820130000000001E-2</v>
      </c>
      <c r="AA103">
        <v>0.98997740000000001</v>
      </c>
      <c r="AB103">
        <v>27</v>
      </c>
      <c r="AC103">
        <v>0.56220000000001802</v>
      </c>
      <c r="AD103">
        <v>-0.1710293</v>
      </c>
      <c r="AE103">
        <v>-0.12469999999996099</v>
      </c>
      <c r="AF103">
        <v>0.110714365186755</v>
      </c>
      <c r="AG103">
        <v>-0.1710293</v>
      </c>
      <c r="AH103">
        <v>0.51747466328984104</v>
      </c>
      <c r="AI103">
        <v>107.910481907422</v>
      </c>
      <c r="AJ103">
        <v>77.923564753988501</v>
      </c>
      <c r="AK103">
        <v>0.55613732051007903</v>
      </c>
      <c r="AL103">
        <v>80.919192478697099</v>
      </c>
      <c r="AM103">
        <v>87.098483907347202</v>
      </c>
      <c r="AN103">
        <v>0.99999998438636595</v>
      </c>
    </row>
    <row r="104" spans="1:40" x14ac:dyDescent="0.25">
      <c r="A104" t="str">
        <f>"20190303170458535"</f>
        <v>20190303170458535</v>
      </c>
      <c r="B104" t="str">
        <f>"1551603898524915"</f>
        <v>1551603898524915</v>
      </c>
      <c r="C104" t="s">
        <v>40</v>
      </c>
      <c r="D104">
        <v>4.9563090000000001</v>
      </c>
      <c r="E104">
        <v>0.54377229999999999</v>
      </c>
      <c r="F104" t="s">
        <v>42</v>
      </c>
      <c r="G104">
        <v>-459.55040000000002</v>
      </c>
      <c r="H104">
        <v>0.95256110000000005</v>
      </c>
      <c r="I104">
        <v>366.834</v>
      </c>
      <c r="J104">
        <v>-460.08629999999999</v>
      </c>
      <c r="K104">
        <v>1.119429</v>
      </c>
      <c r="L104">
        <v>366.95609999999999</v>
      </c>
      <c r="M104">
        <v>0.99996940000000001</v>
      </c>
      <c r="N104">
        <v>-1.06729E-3</v>
      </c>
      <c r="O104">
        <v>-7.7533760000000002E-3</v>
      </c>
      <c r="P104">
        <v>0.98599199999999998</v>
      </c>
      <c r="Q104">
        <v>0.15655839999999999</v>
      </c>
      <c r="R104">
        <v>-5.7524850000000002E-2</v>
      </c>
      <c r="S104">
        <v>3.1172179999999998</v>
      </c>
      <c r="T104">
        <v>-0.64333750000000001</v>
      </c>
      <c r="U104">
        <v>-0.47869869999999998</v>
      </c>
      <c r="V104">
        <v>4.9954760000000001E-2</v>
      </c>
      <c r="W104">
        <v>0.15758720000000001</v>
      </c>
      <c r="X104">
        <v>0.98624069999999997</v>
      </c>
      <c r="Y104">
        <v>0.141350799999999</v>
      </c>
      <c r="Z104">
        <v>-1.2862989999999999E-2</v>
      </c>
      <c r="AA104">
        <v>0.98987599999999998</v>
      </c>
      <c r="AB104">
        <v>27</v>
      </c>
      <c r="AC104">
        <v>0.53589999999996896</v>
      </c>
      <c r="AD104">
        <v>-0.16686790000000001</v>
      </c>
      <c r="AE104">
        <v>-0.122099999999989</v>
      </c>
      <c r="AF104">
        <v>0.107987841351449</v>
      </c>
      <c r="AG104">
        <v>-0.16686790000000001</v>
      </c>
      <c r="AH104">
        <v>0.49152568843671302</v>
      </c>
      <c r="AI104">
        <v>108.34457273904</v>
      </c>
      <c r="AJ104">
        <v>77.609016896841496</v>
      </c>
      <c r="AK104">
        <v>0.53019220318988203</v>
      </c>
      <c r="AL104">
        <v>80.933123316150599</v>
      </c>
      <c r="AM104">
        <v>87.100349913887598</v>
      </c>
      <c r="AN104">
        <v>0.99999996099349298</v>
      </c>
    </row>
    <row r="105" spans="1:40" x14ac:dyDescent="0.25">
      <c r="A105" t="str">
        <f>"20190303170458557"</f>
        <v>20190303170458557</v>
      </c>
      <c r="B105" t="str">
        <f>"1551603898544434"</f>
        <v>1551603898544434</v>
      </c>
      <c r="C105" t="s">
        <v>40</v>
      </c>
      <c r="D105">
        <v>4.9560149999999998</v>
      </c>
      <c r="E105">
        <v>0.54399529999999996</v>
      </c>
      <c r="F105" t="s">
        <v>42</v>
      </c>
      <c r="G105">
        <v>-459.30220000000003</v>
      </c>
      <c r="H105">
        <v>0.95693229999999996</v>
      </c>
      <c r="I105">
        <v>366.83479999999997</v>
      </c>
      <c r="J105">
        <v>-459.82260000000002</v>
      </c>
      <c r="K105">
        <v>1.1194360000000001</v>
      </c>
      <c r="L105">
        <v>366.9538</v>
      </c>
      <c r="M105">
        <v>0.99996759999999996</v>
      </c>
      <c r="N105">
        <v>-1.1176370000000001E-3</v>
      </c>
      <c r="O105">
        <v>-7.9819250000000008E-3</v>
      </c>
      <c r="P105">
        <v>0.98601479999999997</v>
      </c>
      <c r="Q105">
        <v>0.1562364</v>
      </c>
      <c r="R105">
        <v>-5.8009570000000003E-2</v>
      </c>
      <c r="S105">
        <v>3.1172179999999998</v>
      </c>
      <c r="T105">
        <v>-0.64613849999999995</v>
      </c>
      <c r="U105">
        <v>-0.48013309999999998</v>
      </c>
      <c r="V105">
        <v>5.0210869999999998E-2</v>
      </c>
      <c r="W105">
        <v>0.1573155</v>
      </c>
      <c r="X105">
        <v>0.98627109999999996</v>
      </c>
      <c r="Y105">
        <v>0.1415458</v>
      </c>
      <c r="Z105">
        <v>-1.289472E-2</v>
      </c>
      <c r="AA105">
        <v>0.9898477</v>
      </c>
      <c r="AB105">
        <v>27</v>
      </c>
      <c r="AC105">
        <v>0.52039999999999498</v>
      </c>
      <c r="AD105">
        <v>-0.1625037</v>
      </c>
      <c r="AE105">
        <v>-0.119000000000028</v>
      </c>
      <c r="AF105">
        <v>0.105103025056155</v>
      </c>
      <c r="AG105">
        <v>-0.1625037</v>
      </c>
      <c r="AH105">
        <v>0.47712079918123601</v>
      </c>
      <c r="AI105">
        <v>108.398036987464</v>
      </c>
      <c r="AJ105">
        <v>77.576953152161806</v>
      </c>
      <c r="AK105">
        <v>0.51487702939729796</v>
      </c>
      <c r="AL105">
        <v>80.948887475098701</v>
      </c>
      <c r="AM105">
        <v>87.085599119824195</v>
      </c>
      <c r="AN105">
        <v>0.999999990350808</v>
      </c>
    </row>
    <row r="106" spans="1:40" x14ac:dyDescent="0.25">
      <c r="A106" t="str">
        <f>"20190303170458581"</f>
        <v>20190303170458581</v>
      </c>
      <c r="B106" t="str">
        <f>"1551603898574690"</f>
        <v>1551603898574690</v>
      </c>
      <c r="C106" t="s">
        <v>40</v>
      </c>
      <c r="D106">
        <v>4.9475639999999999</v>
      </c>
      <c r="E106">
        <v>0.54426909999999995</v>
      </c>
      <c r="F106" t="s">
        <v>42</v>
      </c>
      <c r="G106">
        <v>-459.05369999999999</v>
      </c>
      <c r="H106">
        <v>0.95921670000000003</v>
      </c>
      <c r="I106">
        <v>366.83510000000001</v>
      </c>
      <c r="J106">
        <v>-459.51429999999999</v>
      </c>
      <c r="K106">
        <v>1.119459</v>
      </c>
      <c r="L106">
        <v>366.9511</v>
      </c>
      <c r="M106">
        <v>0.99996560000000001</v>
      </c>
      <c r="N106">
        <v>-1.1700619999999999E-3</v>
      </c>
      <c r="O106">
        <v>-8.2183269999999992E-3</v>
      </c>
      <c r="P106">
        <v>0.98583069999999895</v>
      </c>
      <c r="Q106">
        <v>0.1570086</v>
      </c>
      <c r="R106">
        <v>-5.9043180000000001E-2</v>
      </c>
      <c r="S106">
        <v>3.1171880000000001</v>
      </c>
      <c r="T106">
        <v>-0.64948339999999904</v>
      </c>
      <c r="U106">
        <v>-0.4808655</v>
      </c>
      <c r="V106">
        <v>5.100681E-2</v>
      </c>
      <c r="W106">
        <v>0.1581409</v>
      </c>
      <c r="X106">
        <v>0.98609820000000004</v>
      </c>
      <c r="Y106">
        <v>0.1415167</v>
      </c>
      <c r="Z106">
        <v>-1.291256E-2</v>
      </c>
      <c r="AA106">
        <v>0.9898517</v>
      </c>
      <c r="AB106">
        <v>28</v>
      </c>
      <c r="AC106">
        <v>0.46059999999999901</v>
      </c>
      <c r="AD106">
        <v>-0.1602423</v>
      </c>
      <c r="AE106">
        <v>-0.115999999999985</v>
      </c>
      <c r="AF106">
        <v>0.100744493511764</v>
      </c>
      <c r="AG106">
        <v>-0.1602423</v>
      </c>
      <c r="AH106">
        <v>0.41437564564551699</v>
      </c>
      <c r="AI106">
        <v>110.59430119598299</v>
      </c>
      <c r="AJ106">
        <v>76.335165841231003</v>
      </c>
      <c r="AK106">
        <v>0.45555924245521701</v>
      </c>
      <c r="AL106">
        <v>80.900995683989606</v>
      </c>
      <c r="AM106">
        <v>87.038963574995805</v>
      </c>
      <c r="AN106">
        <v>0.99999994948121096</v>
      </c>
    </row>
    <row r="107" spans="1:40" x14ac:dyDescent="0.25">
      <c r="A107" t="str">
        <f>"20190303170458602"</f>
        <v>20190303170458602</v>
      </c>
      <c r="B107" t="str">
        <f>"1551603898594210"</f>
        <v>1551603898594210</v>
      </c>
      <c r="C107" t="s">
        <v>40</v>
      </c>
      <c r="D107">
        <v>4.9401580000000003</v>
      </c>
      <c r="E107">
        <v>0.54442469999999998</v>
      </c>
      <c r="F107" t="s">
        <v>42</v>
      </c>
      <c r="G107">
        <v>-458.79919999999998</v>
      </c>
      <c r="H107">
        <v>0.97067049999999999</v>
      </c>
      <c r="I107">
        <v>366.83909999999997</v>
      </c>
      <c r="J107">
        <v>-459.24270000000001</v>
      </c>
      <c r="K107">
        <v>1.119489</v>
      </c>
      <c r="L107">
        <v>366.94869999999997</v>
      </c>
      <c r="M107">
        <v>0.99996410000000002</v>
      </c>
      <c r="N107">
        <v>-1.213008E-3</v>
      </c>
      <c r="O107">
        <v>-8.3895029999999995E-3</v>
      </c>
      <c r="P107">
        <v>0.98556069999999996</v>
      </c>
      <c r="Q107">
        <v>0.15870709999999999</v>
      </c>
      <c r="R107">
        <v>-5.901199E-2</v>
      </c>
      <c r="S107">
        <v>3.1173099999999998</v>
      </c>
      <c r="T107">
        <v>-0.6487581</v>
      </c>
      <c r="U107">
        <v>-0.4866028</v>
      </c>
      <c r="V107">
        <v>5.0801060000000002E-2</v>
      </c>
      <c r="W107">
        <v>0.1598842</v>
      </c>
      <c r="X107">
        <v>0.98582769999999997</v>
      </c>
      <c r="Y107">
        <v>0.14309720000000001</v>
      </c>
      <c r="Z107">
        <v>-1.302769E-2</v>
      </c>
      <c r="AA107">
        <v>0.98962289999999997</v>
      </c>
      <c r="AB107">
        <v>28</v>
      </c>
      <c r="AC107">
        <v>0.44350000000002798</v>
      </c>
      <c r="AD107">
        <v>-0.14881849999999899</v>
      </c>
      <c r="AE107">
        <v>-0.1096</v>
      </c>
      <c r="AF107">
        <v>9.5718138191150298E-2</v>
      </c>
      <c r="AG107">
        <v>-0.14881849999999899</v>
      </c>
      <c r="AH107">
        <v>0.40176957018582299</v>
      </c>
      <c r="AI107">
        <v>109.81525494275201</v>
      </c>
      <c r="AJ107">
        <v>76.599578223092806</v>
      </c>
      <c r="AK107">
        <v>0.43900762572913399</v>
      </c>
      <c r="AL107">
        <v>80.799824968954496</v>
      </c>
      <c r="AM107">
        <v>87.050078828123105</v>
      </c>
      <c r="AN107">
        <v>0.99999997959702602</v>
      </c>
    </row>
    <row r="108" spans="1:40" x14ac:dyDescent="0.25">
      <c r="A108" t="str">
        <f>"20190303170458625"</f>
        <v>20190303170458625</v>
      </c>
      <c r="B108" t="str">
        <f>"1551603898614706"</f>
        <v>1551603898614706</v>
      </c>
      <c r="C108" t="s">
        <v>40</v>
      </c>
      <c r="D108">
        <v>5.1064309999999997</v>
      </c>
      <c r="E108">
        <v>0.54438279999999994</v>
      </c>
      <c r="F108" t="s">
        <v>42</v>
      </c>
      <c r="G108">
        <v>-458.5462</v>
      </c>
      <c r="H108">
        <v>0.97557830000000001</v>
      </c>
      <c r="I108">
        <v>366.83920000000001</v>
      </c>
      <c r="J108">
        <v>-458.96879999999999</v>
      </c>
      <c r="K108">
        <v>1.119526</v>
      </c>
      <c r="L108">
        <v>366.94619999999998</v>
      </c>
      <c r="M108">
        <v>0.99996300000000005</v>
      </c>
      <c r="N108">
        <v>-1.2581179999999999E-3</v>
      </c>
      <c r="O108">
        <v>-8.5133380000000005E-3</v>
      </c>
      <c r="P108">
        <v>0.98551670000000002</v>
      </c>
      <c r="Q108">
        <v>0.15895860000000001</v>
      </c>
      <c r="R108">
        <v>-5.9068750000000003E-2</v>
      </c>
      <c r="S108">
        <v>3.118439</v>
      </c>
      <c r="T108">
        <v>-0.64437659999999997</v>
      </c>
      <c r="U108">
        <v>-0.48846440000000002</v>
      </c>
      <c r="V108">
        <v>5.0724140000000001E-2</v>
      </c>
      <c r="W108">
        <v>0.16018399999999999</v>
      </c>
      <c r="X108">
        <v>0.98578299999999996</v>
      </c>
      <c r="Y108">
        <v>0.1435295</v>
      </c>
      <c r="Z108">
        <v>-1.295993E-2</v>
      </c>
      <c r="AA108">
        <v>0.98956120000000003</v>
      </c>
      <c r="AB108">
        <v>28</v>
      </c>
      <c r="AC108">
        <v>0.42259999999998799</v>
      </c>
      <c r="AD108">
        <v>-0.14394769999999901</v>
      </c>
      <c r="AE108">
        <v>-0.10699999999996999</v>
      </c>
      <c r="AF108">
        <v>9.3232769983077599E-2</v>
      </c>
      <c r="AG108">
        <v>-0.14394769999999901</v>
      </c>
      <c r="AH108">
        <v>0.381859637790885</v>
      </c>
      <c r="AI108">
        <v>110.113127343573</v>
      </c>
      <c r="AJ108">
        <v>76.279405670993199</v>
      </c>
      <c r="AK108">
        <v>0.41860491242673398</v>
      </c>
      <c r="AL108">
        <v>80.782423488631906</v>
      </c>
      <c r="AM108">
        <v>87.054404229492803</v>
      </c>
      <c r="AN108">
        <v>0.99999998766186904</v>
      </c>
    </row>
    <row r="109" spans="1:40" x14ac:dyDescent="0.25">
      <c r="A109" t="str">
        <f>"20190303170458647"</f>
        <v>20190303170458647</v>
      </c>
      <c r="B109" t="str">
        <f>"1551603898634226"</f>
        <v>1551603898634226</v>
      </c>
      <c r="C109" t="s">
        <v>40</v>
      </c>
      <c r="D109">
        <v>5.0570500000000003</v>
      </c>
      <c r="E109">
        <v>0.51197139999999997</v>
      </c>
      <c r="F109" t="s">
        <v>42</v>
      </c>
      <c r="G109">
        <v>-458.05959999999999</v>
      </c>
      <c r="H109">
        <v>0.93180050000000003</v>
      </c>
      <c r="I109">
        <v>366.80369999999999</v>
      </c>
      <c r="J109">
        <v>-458.68770000000001</v>
      </c>
      <c r="K109">
        <v>1.1195600000000001</v>
      </c>
      <c r="L109">
        <v>366.94369999999998</v>
      </c>
      <c r="M109">
        <v>0.99996229999999997</v>
      </c>
      <c r="N109">
        <v>-1.312616E-3</v>
      </c>
      <c r="O109">
        <v>-8.5962869999999993E-3</v>
      </c>
      <c r="P109">
        <v>0.98559949999999996</v>
      </c>
      <c r="Q109">
        <v>0.158438</v>
      </c>
      <c r="R109">
        <v>-5.908832E-2</v>
      </c>
      <c r="S109">
        <v>3.118744</v>
      </c>
      <c r="T109">
        <v>-0.64403829999999995</v>
      </c>
      <c r="U109">
        <v>-0.48800660000000001</v>
      </c>
      <c r="V109">
        <v>5.0648350000000002E-2</v>
      </c>
      <c r="W109">
        <v>0.15972129999999901</v>
      </c>
      <c r="X109">
        <v>0.98586200000000002</v>
      </c>
      <c r="Y109">
        <v>0.14329979999999901</v>
      </c>
      <c r="Z109">
        <v>-1.291644E-2</v>
      </c>
      <c r="AA109">
        <v>0.98959509999999995</v>
      </c>
      <c r="AB109">
        <v>28</v>
      </c>
      <c r="AC109">
        <v>0.62810000000001698</v>
      </c>
      <c r="AD109">
        <v>-0.1877595</v>
      </c>
      <c r="AE109">
        <v>-0.139999999999986</v>
      </c>
      <c r="AF109">
        <v>0.124036154055761</v>
      </c>
      <c r="AG109">
        <v>-0.1877595</v>
      </c>
      <c r="AH109">
        <v>0.57991171851687595</v>
      </c>
      <c r="AI109">
        <v>107.5683788995</v>
      </c>
      <c r="AJ109">
        <v>77.927031966715404</v>
      </c>
      <c r="AK109">
        <v>0.62204195889537095</v>
      </c>
      <c r="AL109">
        <v>80.809280295848495</v>
      </c>
      <c r="AM109">
        <v>87.059032961774193</v>
      </c>
      <c r="AN109">
        <v>1.0000000160377001</v>
      </c>
    </row>
    <row r="110" spans="1:40" x14ac:dyDescent="0.25">
      <c r="A110" t="str">
        <f>"20190303170458669"</f>
        <v>20190303170458669</v>
      </c>
      <c r="B110" t="str">
        <f>"1551603898654499"</f>
        <v>1551603898654499</v>
      </c>
      <c r="C110" t="s">
        <v>40</v>
      </c>
      <c r="D110">
        <v>5.1474900000000003</v>
      </c>
      <c r="E110">
        <v>0.50579019999999997</v>
      </c>
      <c r="F110" t="s">
        <v>42</v>
      </c>
      <c r="G110">
        <v>-457.77659999999997</v>
      </c>
      <c r="H110">
        <v>0.99312270000000002</v>
      </c>
      <c r="I110">
        <v>366.8734</v>
      </c>
      <c r="J110">
        <v>-458.404</v>
      </c>
      <c r="K110">
        <v>1.1195980000000001</v>
      </c>
      <c r="L110">
        <v>366.94119999999998</v>
      </c>
      <c r="M110">
        <v>0.99996169999999995</v>
      </c>
      <c r="N110">
        <v>-1.378301E-3</v>
      </c>
      <c r="O110">
        <v>-8.6450409999999991E-3</v>
      </c>
      <c r="P110">
        <v>0.98548170000000002</v>
      </c>
      <c r="Q110">
        <v>0.15914919999999999</v>
      </c>
      <c r="R110">
        <v>-5.9139709999999998E-2</v>
      </c>
      <c r="S110">
        <v>3.0987239999999998</v>
      </c>
      <c r="T110">
        <v>-0.43017519999999998</v>
      </c>
      <c r="U110">
        <v>-0.23800660000000001</v>
      </c>
      <c r="V110">
        <v>5.064167E-2</v>
      </c>
      <c r="W110">
        <v>0.16050029999999901</v>
      </c>
      <c r="X110">
        <v>0.98573580000000005</v>
      </c>
      <c r="Y110">
        <v>6.739175E-2</v>
      </c>
      <c r="Z110">
        <v>-3.514713E-3</v>
      </c>
      <c r="AA110">
        <v>0.99772039999999995</v>
      </c>
      <c r="AB110">
        <v>28</v>
      </c>
      <c r="AC110">
        <v>0.62740000000002205</v>
      </c>
      <c r="AD110">
        <v>-0.12647529999999901</v>
      </c>
      <c r="AE110">
        <v>-6.7799999999976907E-2</v>
      </c>
      <c r="AF110">
        <v>5.9964893470933901E-2</v>
      </c>
      <c r="AG110">
        <v>-0.12647529999999901</v>
      </c>
      <c r="AH110">
        <v>0.60371276187693401</v>
      </c>
      <c r="AI110">
        <v>101.775792306973</v>
      </c>
      <c r="AJ110">
        <v>84.327595574649095</v>
      </c>
      <c r="AK110">
        <v>0.61972646289483702</v>
      </c>
      <c r="AL110">
        <v>80.764063359346594</v>
      </c>
      <c r="AM110">
        <v>87.059044354101005</v>
      </c>
      <c r="AN110">
        <v>0.99999999622105895</v>
      </c>
    </row>
    <row r="111" spans="1:40" x14ac:dyDescent="0.25">
      <c r="A111" t="str">
        <f>"20190303170458703"</f>
        <v>20190303170458703</v>
      </c>
      <c r="B111" t="str">
        <f>"1551603898694516"</f>
        <v>1551603898694516</v>
      </c>
      <c r="C111" t="s">
        <v>40</v>
      </c>
      <c r="D111">
        <v>5.0808179999999998</v>
      </c>
      <c r="E111">
        <v>0.50316139999999998</v>
      </c>
      <c r="F111" t="s">
        <v>42</v>
      </c>
      <c r="G111">
        <v>-457.50139999999999</v>
      </c>
      <c r="H111">
        <v>1.031229</v>
      </c>
      <c r="I111">
        <v>366.88420000000002</v>
      </c>
      <c r="J111">
        <v>-457.96620000000001</v>
      </c>
      <c r="K111">
        <v>1.1196539999999999</v>
      </c>
      <c r="L111">
        <v>366.93740000000003</v>
      </c>
      <c r="M111">
        <v>0.9999614</v>
      </c>
      <c r="N111">
        <v>-1.5073160000000001E-3</v>
      </c>
      <c r="O111">
        <v>-8.6631920000000001E-3</v>
      </c>
      <c r="P111">
        <v>0.985375</v>
      </c>
      <c r="Q111">
        <v>0.15997249999999999</v>
      </c>
      <c r="R111">
        <v>-5.8696850000000002E-2</v>
      </c>
      <c r="S111">
        <v>3.0812379999999999</v>
      </c>
      <c r="T111">
        <v>-0.30158559999999901</v>
      </c>
      <c r="U111">
        <v>-0.19473270000000001</v>
      </c>
      <c r="V111">
        <v>5.0168049999999999E-2</v>
      </c>
      <c r="W111">
        <v>0.1614556</v>
      </c>
      <c r="X111">
        <v>0.98560400000000004</v>
      </c>
      <c r="Y111">
        <v>5.4203349999999997E-2</v>
      </c>
      <c r="Z111">
        <v>-1.8527109999999999E-3</v>
      </c>
      <c r="AA111">
        <v>0.99852819999999998</v>
      </c>
      <c r="AB111">
        <v>29</v>
      </c>
      <c r="AC111">
        <v>0.46480000000002503</v>
      </c>
      <c r="AD111">
        <v>-8.8424999999999906E-2</v>
      </c>
      <c r="AE111">
        <v>-5.3200000000003897E-2</v>
      </c>
      <c r="AF111">
        <v>4.7475318857276003E-2</v>
      </c>
      <c r="AG111">
        <v>-8.8424999999999906E-2</v>
      </c>
      <c r="AH111">
        <v>0.44919616252850297</v>
      </c>
      <c r="AI111">
        <v>101.076225503305</v>
      </c>
      <c r="AJ111">
        <v>83.966835081859003</v>
      </c>
      <c r="AK111">
        <v>0.460271744685608</v>
      </c>
      <c r="AL111">
        <v>80.708605399391701</v>
      </c>
      <c r="AM111">
        <v>87.086112731944496</v>
      </c>
      <c r="AN111">
        <v>0.99999999441408105</v>
      </c>
    </row>
    <row r="112" spans="1:40" x14ac:dyDescent="0.25">
      <c r="A112" t="str">
        <f>"20190303170458725"</f>
        <v>20190303170458725</v>
      </c>
      <c r="B112" t="str">
        <f>"1551603898714035"</f>
        <v>1551603898714035</v>
      </c>
      <c r="C112" t="s">
        <v>40</v>
      </c>
      <c r="D112">
        <v>5.1372400000000003</v>
      </c>
      <c r="E112">
        <v>0.50266959999999905</v>
      </c>
      <c r="F112" t="s">
        <v>43</v>
      </c>
      <c r="G112">
        <v>-438.87560000000002</v>
      </c>
      <c r="H112">
        <v>-0.05</v>
      </c>
      <c r="I112">
        <v>365.83659999999998</v>
      </c>
      <c r="J112">
        <v>-457.67880000000002</v>
      </c>
      <c r="K112">
        <v>1.1197010000000001</v>
      </c>
      <c r="L112">
        <v>366.935</v>
      </c>
      <c r="M112">
        <v>0.99996160000000001</v>
      </c>
      <c r="N112">
        <v>-1.623694E-3</v>
      </c>
      <c r="O112">
        <v>-8.6223469999999903E-3</v>
      </c>
      <c r="P112">
        <v>0.98558389999999996</v>
      </c>
      <c r="Q112">
        <v>0.1591632</v>
      </c>
      <c r="R112">
        <v>-5.7370209999999998E-2</v>
      </c>
      <c r="S112">
        <v>3.0644840000000002</v>
      </c>
      <c r="T112">
        <v>-0.18775700000000001</v>
      </c>
      <c r="U112">
        <v>-0.17669679999999999</v>
      </c>
      <c r="V112">
        <v>4.8870509999999999E-2</v>
      </c>
      <c r="W112">
        <v>0.160764299999999</v>
      </c>
      <c r="X112">
        <v>0.98578220000000005</v>
      </c>
      <c r="Y112">
        <v>4.8875250000000002E-2</v>
      </c>
      <c r="Z112">
        <v>-1.0210379999999999E-3</v>
      </c>
      <c r="AA112">
        <v>0.99880440000000004</v>
      </c>
      <c r="AB112">
        <v>29</v>
      </c>
      <c r="AC112">
        <v>18.8032</v>
      </c>
      <c r="AD112">
        <v>-1.1697010000000001</v>
      </c>
      <c r="AE112">
        <v>-1.09840000000002</v>
      </c>
      <c r="AF112">
        <v>0.93263443923114298</v>
      </c>
      <c r="AG112">
        <v>-1.1697010000000001</v>
      </c>
      <c r="AH112">
        <v>18.739699939382302</v>
      </c>
      <c r="AI112">
        <v>93.567270276501205</v>
      </c>
      <c r="AJ112">
        <v>87.150863388376195</v>
      </c>
      <c r="AK112">
        <v>18.7993181058443</v>
      </c>
      <c r="AL112">
        <v>80.748738454705105</v>
      </c>
      <c r="AM112">
        <v>87.161864544701501</v>
      </c>
      <c r="AN112">
        <v>1.00000001636949</v>
      </c>
    </row>
    <row r="113" spans="1:40" x14ac:dyDescent="0.25">
      <c r="A113" t="str">
        <f>"20190303170458746"</f>
        <v>20190303170458746</v>
      </c>
      <c r="B113" t="str">
        <f>"1551603898734531"</f>
        <v>1551603898734531</v>
      </c>
      <c r="C113" t="s">
        <v>40</v>
      </c>
      <c r="D113">
        <v>5.1923110000000001</v>
      </c>
      <c r="E113">
        <v>0.50230949999999996</v>
      </c>
      <c r="F113" t="s">
        <v>43</v>
      </c>
      <c r="G113">
        <v>-436.31</v>
      </c>
      <c r="H113">
        <v>-0.05</v>
      </c>
      <c r="I113">
        <v>365.75200000000001</v>
      </c>
      <c r="J113">
        <v>-457.40469999999999</v>
      </c>
      <c r="K113">
        <v>1.1197549999999901</v>
      </c>
      <c r="L113">
        <v>366.93259999999998</v>
      </c>
      <c r="M113">
        <v>0.99996200000000002</v>
      </c>
      <c r="N113">
        <v>-1.767376E-3</v>
      </c>
      <c r="O113">
        <v>-8.5431320000000002E-3</v>
      </c>
      <c r="P113">
        <v>0.98570539999999995</v>
      </c>
      <c r="Q113">
        <v>0.15891520000000001</v>
      </c>
      <c r="R113">
        <v>-5.595518E-2</v>
      </c>
      <c r="S113">
        <v>3.0610050000000002</v>
      </c>
      <c r="T113">
        <v>-0.16755499999999901</v>
      </c>
      <c r="U113">
        <v>-0.16946410000000001</v>
      </c>
      <c r="V113">
        <v>4.7520769999999997E-2</v>
      </c>
      <c r="W113">
        <v>0.16066129999999901</v>
      </c>
      <c r="X113">
        <v>0.98586499999999999</v>
      </c>
      <c r="Y113">
        <v>4.6685520000000001E-2</v>
      </c>
      <c r="Z113">
        <v>-8.6531460000000004E-4</v>
      </c>
      <c r="AA113">
        <v>0.99890919999999905</v>
      </c>
      <c r="AB113">
        <v>29</v>
      </c>
      <c r="AC113">
        <v>21.0946999999999</v>
      </c>
      <c r="AD113">
        <v>-1.1697550000000001</v>
      </c>
      <c r="AE113">
        <v>-1.1806000000000201</v>
      </c>
      <c r="AF113">
        <v>0.99728477685399897</v>
      </c>
      <c r="AG113">
        <v>-1.1697550000000001</v>
      </c>
      <c r="AH113">
        <v>21.0395220029218</v>
      </c>
      <c r="AI113">
        <v>93.178691957911497</v>
      </c>
      <c r="AJ113">
        <v>87.286180177939897</v>
      </c>
      <c r="AK113">
        <v>21.095601195453</v>
      </c>
      <c r="AL113">
        <v>80.754717839726794</v>
      </c>
      <c r="AM113">
        <v>87.240358685137807</v>
      </c>
      <c r="AN113">
        <v>1.0000000375620399</v>
      </c>
    </row>
    <row r="114" spans="1:40" x14ac:dyDescent="0.25">
      <c r="A114" t="str">
        <f>"20190303170458770"</f>
        <v>20190303170458770</v>
      </c>
      <c r="B114" t="str">
        <f>"1551603898764787"</f>
        <v>1551603898764787</v>
      </c>
      <c r="C114" t="s">
        <v>40</v>
      </c>
      <c r="D114">
        <v>4.9917939999999996</v>
      </c>
      <c r="E114">
        <v>0.50190789999999996</v>
      </c>
      <c r="F114" t="s">
        <v>43</v>
      </c>
      <c r="G114">
        <v>-433.94260000000003</v>
      </c>
      <c r="H114">
        <v>-0.05</v>
      </c>
      <c r="I114">
        <v>365.67910000000001</v>
      </c>
      <c r="J114">
        <v>-457.0831</v>
      </c>
      <c r="K114">
        <v>1.119823</v>
      </c>
      <c r="L114">
        <v>366.93</v>
      </c>
      <c r="M114">
        <v>0.99996269999999998</v>
      </c>
      <c r="N114">
        <v>-1.9723269999999998E-3</v>
      </c>
      <c r="O114">
        <v>-8.4078130000000001E-3</v>
      </c>
      <c r="P114">
        <v>0.98560150000000002</v>
      </c>
      <c r="Q114">
        <v>0.16010550000000001</v>
      </c>
      <c r="R114">
        <v>-5.4369580000000001E-2</v>
      </c>
      <c r="S114">
        <v>3.0588069999999998</v>
      </c>
      <c r="T114">
        <v>-0.15250349999999999</v>
      </c>
      <c r="U114">
        <v>-0.1634216</v>
      </c>
      <c r="V114">
        <v>4.6055739999999998E-2</v>
      </c>
      <c r="W114">
        <v>0.16205749999999999</v>
      </c>
      <c r="X114">
        <v>0.98570599999999997</v>
      </c>
      <c r="Y114">
        <v>4.490454E-2</v>
      </c>
      <c r="Z114">
        <v>-7.6021719999999995E-4</v>
      </c>
      <c r="AA114">
        <v>0.99899099999999996</v>
      </c>
      <c r="AB114">
        <v>29</v>
      </c>
      <c r="AC114">
        <v>23.1404999999999</v>
      </c>
      <c r="AD114">
        <v>-1.1698230000000001</v>
      </c>
      <c r="AE114">
        <v>-1.2508999999999999</v>
      </c>
      <c r="AF114">
        <v>1.0536096366758501</v>
      </c>
      <c r="AG114">
        <v>-1.1698230000000001</v>
      </c>
      <c r="AH114">
        <v>23.091358817653099</v>
      </c>
      <c r="AI114">
        <v>92.897152342808297</v>
      </c>
      <c r="AJ114">
        <v>87.387527293155401</v>
      </c>
      <c r="AK114">
        <v>23.144965568421799</v>
      </c>
      <c r="AL114">
        <v>80.673659289810999</v>
      </c>
      <c r="AM114">
        <v>87.324880050179402</v>
      </c>
      <c r="AN114">
        <v>1.00000004146459</v>
      </c>
    </row>
    <row r="115" spans="1:40" x14ac:dyDescent="0.25">
      <c r="A115" t="str">
        <f>"20190303170458793"</f>
        <v>20190303170458793</v>
      </c>
      <c r="B115" t="str">
        <f>"1551603898784307"</f>
        <v>1551603898784307</v>
      </c>
      <c r="C115" t="s">
        <v>40</v>
      </c>
      <c r="D115">
        <v>5.1843890000000004</v>
      </c>
      <c r="E115">
        <v>0.50170400000000004</v>
      </c>
      <c r="F115" t="s">
        <v>43</v>
      </c>
      <c r="G115">
        <v>-429.84140000000002</v>
      </c>
      <c r="H115">
        <v>-0.05</v>
      </c>
      <c r="I115">
        <v>365.53769999999997</v>
      </c>
      <c r="J115">
        <v>-456.78750000000002</v>
      </c>
      <c r="K115">
        <v>1.119899</v>
      </c>
      <c r="L115">
        <v>366.92770000000002</v>
      </c>
      <c r="M115">
        <v>0.99996350000000001</v>
      </c>
      <c r="N115">
        <v>-2.1948950000000001E-3</v>
      </c>
      <c r="O115">
        <v>-8.2536980000000003E-3</v>
      </c>
      <c r="P115">
        <v>0.98547180000000001</v>
      </c>
      <c r="Q115">
        <v>0.161266299999999</v>
      </c>
      <c r="R115">
        <v>-5.328053E-2</v>
      </c>
      <c r="S115">
        <v>3.0565190000000002</v>
      </c>
      <c r="T115">
        <v>-0.13125419999999999</v>
      </c>
      <c r="U115">
        <v>-0.15621949999999901</v>
      </c>
      <c r="V115">
        <v>4.5107609999999999E-2</v>
      </c>
      <c r="W115">
        <v>0.1634398</v>
      </c>
      <c r="X115">
        <v>0.9855216</v>
      </c>
      <c r="Y115">
        <v>4.2764459999999997E-2</v>
      </c>
      <c r="Z115">
        <v>-6.2824790000000005E-4</v>
      </c>
      <c r="AA115">
        <v>0.999085</v>
      </c>
      <c r="AB115">
        <v>29</v>
      </c>
      <c r="AC115">
        <v>26.946100000000001</v>
      </c>
      <c r="AD115">
        <v>-1.169899</v>
      </c>
      <c r="AE115">
        <v>-1.3900000000000401</v>
      </c>
      <c r="AF115">
        <v>1.16535630500281</v>
      </c>
      <c r="AG115">
        <v>-1.169899</v>
      </c>
      <c r="AH115">
        <v>26.906072221455702</v>
      </c>
      <c r="AI115">
        <v>92.487372178298799</v>
      </c>
      <c r="AJ115">
        <v>87.519954145709605</v>
      </c>
      <c r="AK115">
        <v>26.9566956686831</v>
      </c>
      <c r="AL115">
        <v>80.593389160954999</v>
      </c>
      <c r="AM115">
        <v>87.379384494605901</v>
      </c>
      <c r="AN115">
        <v>1.0000000443852499</v>
      </c>
    </row>
    <row r="116" spans="1:40" x14ac:dyDescent="0.25">
      <c r="A116" t="str">
        <f>"20190303170458816"</f>
        <v>20190303170458816</v>
      </c>
      <c r="B116" t="str">
        <f>"1551603898804803"</f>
        <v>1551603898804803</v>
      </c>
      <c r="C116" t="s">
        <v>40</v>
      </c>
      <c r="D116">
        <v>5.2957960000000002</v>
      </c>
      <c r="E116">
        <v>0.50158599999999998</v>
      </c>
      <c r="F116" t="s">
        <v>43</v>
      </c>
      <c r="G116">
        <v>-427.04579999999999</v>
      </c>
      <c r="H116">
        <v>-0.05</v>
      </c>
      <c r="I116">
        <v>365.45229999999998</v>
      </c>
      <c r="J116">
        <v>-456.48239999999998</v>
      </c>
      <c r="K116">
        <v>1.119972</v>
      </c>
      <c r="L116">
        <v>366.92540000000002</v>
      </c>
      <c r="M116">
        <v>0.99996450000000003</v>
      </c>
      <c r="N116">
        <v>-2.4739670000000001E-3</v>
      </c>
      <c r="O116">
        <v>-8.0699859999999995E-3</v>
      </c>
      <c r="P116">
        <v>0.98552839999999997</v>
      </c>
      <c r="Q116">
        <v>0.161226799999999</v>
      </c>
      <c r="R116">
        <v>-5.234581E-2</v>
      </c>
      <c r="S116">
        <v>3.0556640000000002</v>
      </c>
      <c r="T116">
        <v>-0.1201952</v>
      </c>
      <c r="U116">
        <v>-0.15158079999999999</v>
      </c>
      <c r="V116">
        <v>4.4344300000000003E-2</v>
      </c>
      <c r="W116">
        <v>0.16367779999999901</v>
      </c>
      <c r="X116">
        <v>0.98551670000000002</v>
      </c>
      <c r="Y116">
        <v>4.145534E-2</v>
      </c>
      <c r="Z116">
        <v>-5.6869180000000002E-4</v>
      </c>
      <c r="AA116">
        <v>0.99914020000000003</v>
      </c>
      <c r="AB116">
        <v>29</v>
      </c>
      <c r="AC116">
        <v>29.436599999999999</v>
      </c>
      <c r="AD116">
        <v>-1.169972</v>
      </c>
      <c r="AE116">
        <v>-1.47310000000004</v>
      </c>
      <c r="AF116">
        <v>1.23355460081051</v>
      </c>
      <c r="AG116">
        <v>-1.169972</v>
      </c>
      <c r="AH116">
        <v>29.401200222786599</v>
      </c>
      <c r="AI116">
        <v>92.276787276030007</v>
      </c>
      <c r="AJ116">
        <v>87.597511514619399</v>
      </c>
      <c r="AK116">
        <v>29.450315210101799</v>
      </c>
      <c r="AL116">
        <v>80.5795662285243</v>
      </c>
      <c r="AM116">
        <v>87.423657437049798</v>
      </c>
      <c r="AN116">
        <v>1.0000000025671101</v>
      </c>
    </row>
    <row r="117" spans="1:40" x14ac:dyDescent="0.25">
      <c r="A117" t="str">
        <f>"20190303170458836"</f>
        <v>20190303170458836</v>
      </c>
      <c r="B117" t="str">
        <f>"1551603898824324"</f>
        <v>1551603898824324</v>
      </c>
      <c r="C117" t="s">
        <v>40</v>
      </c>
      <c r="D117">
        <v>5.2386109999999997</v>
      </c>
      <c r="E117">
        <v>0.50152079999999999</v>
      </c>
      <c r="F117" t="s">
        <v>43</v>
      </c>
      <c r="G117">
        <v>-425.37349999999998</v>
      </c>
      <c r="H117">
        <v>-0.05</v>
      </c>
      <c r="I117">
        <v>365.41629999999998</v>
      </c>
      <c r="J117">
        <v>-456.22669999999999</v>
      </c>
      <c r="K117">
        <v>1.120045</v>
      </c>
      <c r="L117">
        <v>366.92340000000002</v>
      </c>
      <c r="M117">
        <v>0.99996510000000005</v>
      </c>
      <c r="N117">
        <v>-2.766148E-3</v>
      </c>
      <c r="O117">
        <v>-7.9016019999999902E-3</v>
      </c>
      <c r="P117">
        <v>0.9857051</v>
      </c>
      <c r="Q117">
        <v>0.1605164</v>
      </c>
      <c r="R117">
        <v>-5.1189239999999997E-2</v>
      </c>
      <c r="S117">
        <v>3.0549620000000002</v>
      </c>
      <c r="T117">
        <v>-0.11489389999999899</v>
      </c>
      <c r="U117">
        <v>-0.1481934</v>
      </c>
      <c r="V117">
        <v>4.334698E-2</v>
      </c>
      <c r="W117">
        <v>0.16325719999999999</v>
      </c>
      <c r="X117">
        <v>0.98563080000000003</v>
      </c>
      <c r="Y117">
        <v>4.0532319999999997E-2</v>
      </c>
      <c r="Z117">
        <v>-5.4254930000000002E-4</v>
      </c>
      <c r="AA117">
        <v>0.99917809999999996</v>
      </c>
      <c r="AB117">
        <v>30</v>
      </c>
      <c r="AC117">
        <v>30.853200000000001</v>
      </c>
      <c r="AD117">
        <v>-1.170045</v>
      </c>
      <c r="AE117">
        <v>-1.5071000000000301</v>
      </c>
      <c r="AF117">
        <v>1.26145250472833</v>
      </c>
      <c r="AG117">
        <v>-1.170045</v>
      </c>
      <c r="AH117">
        <v>30.819927138532801</v>
      </c>
      <c r="AI117">
        <v>92.1723107644642</v>
      </c>
      <c r="AJ117">
        <v>87.656205194834598</v>
      </c>
      <c r="AK117">
        <v>30.8679150016353</v>
      </c>
      <c r="AL117">
        <v>80.603993139235996</v>
      </c>
      <c r="AM117">
        <v>87.481816061091493</v>
      </c>
      <c r="AN117">
        <v>0.99999997396779905</v>
      </c>
    </row>
    <row r="118" spans="1:40" x14ac:dyDescent="0.25">
      <c r="A118" t="str">
        <f>"20190303170458858"</f>
        <v>20190303170458858</v>
      </c>
      <c r="B118" t="str">
        <f>"1551603898844820"</f>
        <v>1551603898844820</v>
      </c>
      <c r="C118" t="s">
        <v>40</v>
      </c>
      <c r="D118">
        <v>5.0347540000000004</v>
      </c>
      <c r="E118">
        <v>0.50155190000000005</v>
      </c>
      <c r="F118" t="s">
        <v>43</v>
      </c>
      <c r="G118">
        <v>-424.3664</v>
      </c>
      <c r="H118">
        <v>-0.05</v>
      </c>
      <c r="I118">
        <v>365.4126</v>
      </c>
      <c r="J118">
        <v>-455.9203</v>
      </c>
      <c r="K118">
        <v>1.120133</v>
      </c>
      <c r="L118">
        <v>366.92129999999997</v>
      </c>
      <c r="M118">
        <v>0.99996529999999995</v>
      </c>
      <c r="N118">
        <v>-3.2047920000000001E-3</v>
      </c>
      <c r="O118">
        <v>-7.6892359999999899E-3</v>
      </c>
      <c r="P118">
        <v>0.98573239999999995</v>
      </c>
      <c r="Q118">
        <v>0.16032779999999999</v>
      </c>
      <c r="R118">
        <v>-5.125217E-2</v>
      </c>
      <c r="S118">
        <v>3.05423</v>
      </c>
      <c r="T118">
        <v>-0.11216429999999999</v>
      </c>
      <c r="U118">
        <v>-0.1448364</v>
      </c>
      <c r="V118">
        <v>4.3614699999999999E-2</v>
      </c>
      <c r="W118">
        <v>0.16350229999999999</v>
      </c>
      <c r="X118">
        <v>0.98557839999999997</v>
      </c>
      <c r="Y118">
        <v>3.966161E-2</v>
      </c>
      <c r="Z118">
        <v>-5.3373959999999997E-4</v>
      </c>
      <c r="AA118">
        <v>0.99921300000000002</v>
      </c>
      <c r="AB118">
        <v>30</v>
      </c>
      <c r="AC118">
        <v>31.553899999999999</v>
      </c>
      <c r="AD118">
        <v>-1.1701330000000001</v>
      </c>
      <c r="AE118">
        <v>-1.50869999999997</v>
      </c>
      <c r="AF118">
        <v>1.26429408265992</v>
      </c>
      <c r="AG118">
        <v>-1.1701330000000001</v>
      </c>
      <c r="AH118">
        <v>31.521318889259899</v>
      </c>
      <c r="AI118">
        <v>92.124248756205603</v>
      </c>
      <c r="AJ118">
        <v>87.703144733736906</v>
      </c>
      <c r="AK118">
        <v>31.568357500566201</v>
      </c>
      <c r="AL118">
        <v>80.589759052453601</v>
      </c>
      <c r="AM118">
        <v>87.466148903646797</v>
      </c>
      <c r="AN118">
        <v>1.0000000133539699</v>
      </c>
    </row>
    <row r="119" spans="1:40" x14ac:dyDescent="0.25">
      <c r="A119" t="str">
        <f>"20190303170458882"</f>
        <v>20190303170458882</v>
      </c>
      <c r="B119" t="str">
        <f>"1551603898874606"</f>
        <v>1551603898874606</v>
      </c>
      <c r="C119" t="s">
        <v>40</v>
      </c>
      <c r="D119">
        <v>5.2934830000000002</v>
      </c>
      <c r="E119">
        <v>0.50158689999999995</v>
      </c>
      <c r="F119" t="s">
        <v>43</v>
      </c>
      <c r="G119">
        <v>-423.25290000000001</v>
      </c>
      <c r="H119">
        <v>-0.05</v>
      </c>
      <c r="I119">
        <v>365.36660000000001</v>
      </c>
      <c r="J119">
        <v>-455.59469999999999</v>
      </c>
      <c r="K119">
        <v>1.1202479999999999</v>
      </c>
      <c r="L119">
        <v>366.91899999999998</v>
      </c>
      <c r="M119">
        <v>0.99996510000000005</v>
      </c>
      <c r="N119">
        <v>-3.7830070000000001E-3</v>
      </c>
      <c r="O119">
        <v>-7.4556269999999899E-3</v>
      </c>
      <c r="P119">
        <v>0.98583390000000004</v>
      </c>
      <c r="Q119">
        <v>0.1598232</v>
      </c>
      <c r="R119">
        <v>-5.0874910000000002E-2</v>
      </c>
      <c r="S119">
        <v>3.0536500000000002</v>
      </c>
      <c r="T119">
        <v>-0.1093802</v>
      </c>
      <c r="U119">
        <v>-0.1453247</v>
      </c>
      <c r="V119">
        <v>4.3464509999999998E-2</v>
      </c>
      <c r="W119">
        <v>0.16356860000000001</v>
      </c>
      <c r="X119">
        <v>0.98557399999999995</v>
      </c>
      <c r="Y119">
        <v>4.0063590000000003E-2</v>
      </c>
      <c r="Z119">
        <v>-5.5411950000000001E-4</v>
      </c>
      <c r="AA119">
        <v>0.999197</v>
      </c>
      <c r="AB119">
        <v>30</v>
      </c>
      <c r="AC119">
        <v>32.3417999999999</v>
      </c>
      <c r="AD119">
        <v>-1.170248</v>
      </c>
      <c r="AE119">
        <v>-1.55240000000003</v>
      </c>
      <c r="AF119">
        <v>1.3095161796742201</v>
      </c>
      <c r="AG119">
        <v>-1.170248</v>
      </c>
      <c r="AH119">
        <v>32.310269837196302</v>
      </c>
      <c r="AI119">
        <v>92.072593194273594</v>
      </c>
      <c r="AJ119">
        <v>87.6791060860009</v>
      </c>
      <c r="AK119">
        <v>32.357964243116001</v>
      </c>
      <c r="AL119">
        <v>80.585908187357006</v>
      </c>
      <c r="AM119">
        <v>87.474851809168101</v>
      </c>
      <c r="AN119">
        <v>0.99999998000574897</v>
      </c>
    </row>
    <row r="120" spans="1:40" x14ac:dyDescent="0.25">
      <c r="A120" t="str">
        <f>"20190303170458903"</f>
        <v>20190303170458903</v>
      </c>
      <c r="B120" t="str">
        <f>"1551603898894125"</f>
        <v>1551603898894125</v>
      </c>
      <c r="C120" t="s">
        <v>40</v>
      </c>
      <c r="D120">
        <v>5.2337009999999999</v>
      </c>
      <c r="E120">
        <v>0.50148950000000003</v>
      </c>
      <c r="F120" t="s">
        <v>43</v>
      </c>
      <c r="G120">
        <v>-422.19760000000002</v>
      </c>
      <c r="H120">
        <v>-0.05</v>
      </c>
      <c r="I120">
        <v>365.3383</v>
      </c>
      <c r="J120">
        <v>-455.31709999999998</v>
      </c>
      <c r="K120">
        <v>1.120357</v>
      </c>
      <c r="L120">
        <v>366.9171</v>
      </c>
      <c r="M120">
        <v>0.99996419999999997</v>
      </c>
      <c r="N120">
        <v>-4.3799260000000001E-3</v>
      </c>
      <c r="O120">
        <v>-7.2528649999999998E-3</v>
      </c>
      <c r="P120">
        <v>0.98575480000000004</v>
      </c>
      <c r="Q120">
        <v>0.16023679999999901</v>
      </c>
      <c r="R120">
        <v>-5.1105680000000001E-2</v>
      </c>
      <c r="S120">
        <v>3.0529790000000001</v>
      </c>
      <c r="T120">
        <v>-0.1069778</v>
      </c>
      <c r="U120">
        <v>-0.14450070000000001</v>
      </c>
      <c r="V120">
        <v>4.3893979999999999E-2</v>
      </c>
      <c r="W120">
        <v>0.16457060000000001</v>
      </c>
      <c r="X120">
        <v>0.98538820000000005</v>
      </c>
      <c r="Y120">
        <v>4.0007910000000001E-2</v>
      </c>
      <c r="Z120">
        <v>-5.6586799999999997E-4</v>
      </c>
      <c r="AA120">
        <v>0.99919919999999995</v>
      </c>
      <c r="AB120">
        <v>30</v>
      </c>
      <c r="AC120">
        <v>33.119499999999903</v>
      </c>
      <c r="AD120">
        <v>-1.1703569999999901</v>
      </c>
      <c r="AE120">
        <v>-1.5788</v>
      </c>
      <c r="AF120">
        <v>1.3368793105250001</v>
      </c>
      <c r="AG120">
        <v>-1.1703569999999901</v>
      </c>
      <c r="AH120">
        <v>33.0888543705505</v>
      </c>
      <c r="AI120">
        <v>92.024064586659705</v>
      </c>
      <c r="AJ120">
        <v>87.686353737318697</v>
      </c>
      <c r="AK120">
        <v>33.136524642060103</v>
      </c>
      <c r="AL120">
        <v>80.527709662379195</v>
      </c>
      <c r="AM120">
        <v>87.449453566594599</v>
      </c>
      <c r="AN120">
        <v>1.00000003428191</v>
      </c>
    </row>
    <row r="121" spans="1:40" x14ac:dyDescent="0.25">
      <c r="A121" t="str">
        <f>"20190303170458926"</f>
        <v>20190303170458926</v>
      </c>
      <c r="B121" t="str">
        <f>"1551603898914622"</f>
        <v>1551603898914622</v>
      </c>
      <c r="C121" t="s">
        <v>40</v>
      </c>
      <c r="D121">
        <v>5.2878550000000004</v>
      </c>
      <c r="E121">
        <v>0.50139690000000003</v>
      </c>
      <c r="F121" t="s">
        <v>43</v>
      </c>
      <c r="G121">
        <v>-420.82119999999998</v>
      </c>
      <c r="H121">
        <v>-0.05</v>
      </c>
      <c r="I121">
        <v>365.28660000000002</v>
      </c>
      <c r="J121">
        <v>-455.01639999999998</v>
      </c>
      <c r="K121">
        <v>1.1204970000000001</v>
      </c>
      <c r="L121">
        <v>366.91520000000003</v>
      </c>
      <c r="M121">
        <v>0.99996229999999997</v>
      </c>
      <c r="N121">
        <v>-5.1348080000000003E-3</v>
      </c>
      <c r="O121">
        <v>-7.029408E-3</v>
      </c>
      <c r="P121">
        <v>0.98576090000000005</v>
      </c>
      <c r="Q121">
        <v>0.16023309999999999</v>
      </c>
      <c r="R121">
        <v>-5.1000330000000003E-2</v>
      </c>
      <c r="S121">
        <v>3.052673</v>
      </c>
      <c r="T121">
        <v>-0.10356940000000001</v>
      </c>
      <c r="U121">
        <v>-0.1442871</v>
      </c>
      <c r="V121">
        <v>4.400627E-2</v>
      </c>
      <c r="W121">
        <v>0.16531129999999999</v>
      </c>
      <c r="X121">
        <v>0.9852592</v>
      </c>
      <c r="Y121">
        <v>4.0166640000000003E-2</v>
      </c>
      <c r="Z121">
        <v>-5.8180699999999896E-4</v>
      </c>
      <c r="AA121">
        <v>0.99919279999999999</v>
      </c>
      <c r="AB121">
        <v>30</v>
      </c>
      <c r="AC121">
        <v>34.1952</v>
      </c>
      <c r="AD121">
        <v>-1.1704969999999999</v>
      </c>
      <c r="AE121">
        <v>-1.6286</v>
      </c>
      <c r="AF121">
        <v>1.38656368910081</v>
      </c>
      <c r="AG121">
        <v>-1.1704969999999999</v>
      </c>
      <c r="AH121">
        <v>34.165862394294798</v>
      </c>
      <c r="AI121">
        <v>91.960530743965293</v>
      </c>
      <c r="AJ121">
        <v>87.676023086274299</v>
      </c>
      <c r="AK121">
        <v>34.214014310466901</v>
      </c>
      <c r="AL121">
        <v>80.484681340628796</v>
      </c>
      <c r="AM121">
        <v>87.442603031972794</v>
      </c>
      <c r="AN121">
        <v>1.00000003444582</v>
      </c>
    </row>
    <row r="122" spans="1:40" x14ac:dyDescent="0.25">
      <c r="A122" t="str">
        <f>"20190303170458947"</f>
        <v>20190303170458947</v>
      </c>
      <c r="B122" t="str">
        <f>"1551603898934141"</f>
        <v>1551603898934141</v>
      </c>
      <c r="C122" t="s">
        <v>40</v>
      </c>
      <c r="D122">
        <v>5.3511419999999896</v>
      </c>
      <c r="E122">
        <v>0.50134009999999996</v>
      </c>
      <c r="F122" t="s">
        <v>43</v>
      </c>
      <c r="G122">
        <v>-419.82819999999998</v>
      </c>
      <c r="H122">
        <v>-0.05</v>
      </c>
      <c r="I122">
        <v>365.26769999999999</v>
      </c>
      <c r="J122">
        <v>-454.73020000000002</v>
      </c>
      <c r="K122">
        <v>1.12063</v>
      </c>
      <c r="L122">
        <v>366.91340000000002</v>
      </c>
      <c r="M122">
        <v>0.99995919999999905</v>
      </c>
      <c r="N122">
        <v>-5.9112390000000004E-3</v>
      </c>
      <c r="O122">
        <v>-6.8247730000000001E-3</v>
      </c>
      <c r="P122">
        <v>0.98579190000000005</v>
      </c>
      <c r="Q122">
        <v>0.1599573</v>
      </c>
      <c r="R122">
        <v>-5.1264799999999999E-2</v>
      </c>
      <c r="S122">
        <v>3.05246</v>
      </c>
      <c r="T122">
        <v>-0.101537</v>
      </c>
      <c r="U122">
        <v>-0.14291379999999901</v>
      </c>
      <c r="V122">
        <v>4.4470299999999997E-2</v>
      </c>
      <c r="W122">
        <v>0.16580129999999901</v>
      </c>
      <c r="X122">
        <v>0.98515600000000003</v>
      </c>
      <c r="Y122">
        <v>3.9926080000000003E-2</v>
      </c>
      <c r="Z122">
        <v>-5.9510589999999897E-4</v>
      </c>
      <c r="AA122">
        <v>0.99920240000000005</v>
      </c>
      <c r="AB122">
        <v>30</v>
      </c>
      <c r="AC122">
        <v>34.902000000000001</v>
      </c>
      <c r="AD122">
        <v>-1.1706299999999901</v>
      </c>
      <c r="AE122">
        <v>-1.6457000000000299</v>
      </c>
      <c r="AF122">
        <v>1.40588121618255</v>
      </c>
      <c r="AG122">
        <v>-1.1706299999999901</v>
      </c>
      <c r="AH122">
        <v>34.873274710192703</v>
      </c>
      <c r="AI122">
        <v>91.921029996306999</v>
      </c>
      <c r="AJ122">
        <v>87.691428015828606</v>
      </c>
      <c r="AK122">
        <v>34.9212280082399</v>
      </c>
      <c r="AL122">
        <v>80.456213342680201</v>
      </c>
      <c r="AM122">
        <v>87.4154022336065</v>
      </c>
      <c r="AN122">
        <v>1.0000000114998899</v>
      </c>
    </row>
    <row r="123" spans="1:40" x14ac:dyDescent="0.25">
      <c r="A123" t="str">
        <f>"20190303170458973"</f>
        <v>20190303170458973</v>
      </c>
      <c r="B123" t="str">
        <f>"1551603898964398"</f>
        <v>1551603898964398</v>
      </c>
      <c r="C123" t="s">
        <v>40</v>
      </c>
      <c r="D123">
        <v>5.2346490000000001</v>
      </c>
      <c r="E123">
        <v>0.50125750000000002</v>
      </c>
      <c r="F123" t="s">
        <v>43</v>
      </c>
      <c r="G123">
        <v>-419.47410000000002</v>
      </c>
      <c r="H123">
        <v>-0.05</v>
      </c>
      <c r="I123">
        <v>365.25979999999998</v>
      </c>
      <c r="J123">
        <v>-454.3956</v>
      </c>
      <c r="K123">
        <v>1.1207769999999999</v>
      </c>
      <c r="L123">
        <v>366.91140000000001</v>
      </c>
      <c r="M123">
        <v>0.99995460000000003</v>
      </c>
      <c r="N123">
        <v>-6.8809810000000004E-3</v>
      </c>
      <c r="O123">
        <v>-6.5856760000000004E-3</v>
      </c>
      <c r="P123">
        <v>0.98602160000000005</v>
      </c>
      <c r="Q123">
        <v>0.1585694</v>
      </c>
      <c r="R123">
        <v>-5.1159549999999998E-2</v>
      </c>
      <c r="S123">
        <v>3.0522459999999998</v>
      </c>
      <c r="T123">
        <v>-0.1013457</v>
      </c>
      <c r="U123">
        <v>-0.14315799999999901</v>
      </c>
      <c r="V123">
        <v>4.4599760000000002E-2</v>
      </c>
      <c r="W123">
        <v>0.16537009999999999</v>
      </c>
      <c r="X123">
        <v>0.98522259999999995</v>
      </c>
      <c r="Y123">
        <v>4.024693E-2</v>
      </c>
      <c r="Z123">
        <v>-6.3301929999999996E-4</v>
      </c>
      <c r="AA123">
        <v>0.99918960000000001</v>
      </c>
      <c r="AB123">
        <v>30</v>
      </c>
      <c r="AC123">
        <v>34.921499999999902</v>
      </c>
      <c r="AD123">
        <v>-1.170777</v>
      </c>
      <c r="AE123">
        <v>-1.6516000000000299</v>
      </c>
      <c r="AF123">
        <v>1.41998455686117</v>
      </c>
      <c r="AG123">
        <v>-1.170777</v>
      </c>
      <c r="AH123">
        <v>34.8924885315338</v>
      </c>
      <c r="AI123">
        <v>91.920184235341196</v>
      </c>
      <c r="AJ123">
        <v>87.669577166932996</v>
      </c>
      <c r="AK123">
        <v>34.940990696439499</v>
      </c>
      <c r="AL123">
        <v>80.481264906277701</v>
      </c>
      <c r="AM123">
        <v>87.408063297812802</v>
      </c>
      <c r="AN123">
        <v>0.999999990058413</v>
      </c>
    </row>
    <row r="124" spans="1:40" x14ac:dyDescent="0.25">
      <c r="A124" t="str">
        <f>"20190303170458995"</f>
        <v>20190303170458995</v>
      </c>
      <c r="B124" t="str">
        <f>"1551603898984894"</f>
        <v>1551603898984894</v>
      </c>
      <c r="C124" t="s">
        <v>40</v>
      </c>
      <c r="D124">
        <v>5.4678690000000003</v>
      </c>
      <c r="E124">
        <v>0.5014284</v>
      </c>
      <c r="F124" t="s">
        <v>43</v>
      </c>
      <c r="G124">
        <v>-420.13819999999998</v>
      </c>
      <c r="H124">
        <v>-0.05</v>
      </c>
      <c r="I124">
        <v>365.31569999999999</v>
      </c>
      <c r="J124">
        <v>-454.09829999999999</v>
      </c>
      <c r="K124">
        <v>1.1209</v>
      </c>
      <c r="L124">
        <v>366.90960000000001</v>
      </c>
      <c r="M124">
        <v>0.99994970000000005</v>
      </c>
      <c r="N124">
        <v>-7.7702559999999997E-3</v>
      </c>
      <c r="O124">
        <v>-6.3686990000000002E-3</v>
      </c>
      <c r="P124">
        <v>0.9862495</v>
      </c>
      <c r="Q124">
        <v>0.157086</v>
      </c>
      <c r="R124">
        <v>-5.1345259999999997E-2</v>
      </c>
      <c r="S124">
        <v>3.0519409999999998</v>
      </c>
      <c r="T124">
        <v>-0.1043029</v>
      </c>
      <c r="U124">
        <v>-0.1421509</v>
      </c>
      <c r="V124">
        <v>4.4999129999999998E-2</v>
      </c>
      <c r="W124">
        <v>0.164764299999999</v>
      </c>
      <c r="X124">
        <v>0.98530600000000002</v>
      </c>
      <c r="Y124">
        <v>4.0137340000000001E-2</v>
      </c>
      <c r="Z124">
        <v>-6.7336100000000003E-4</v>
      </c>
      <c r="AA124">
        <v>0.99919400000000003</v>
      </c>
      <c r="AB124">
        <v>30</v>
      </c>
      <c r="AC124">
        <v>33.960099999999997</v>
      </c>
      <c r="AD124">
        <v>-1.1709000000000001</v>
      </c>
      <c r="AE124">
        <v>-1.5939000000000101</v>
      </c>
      <c r="AF124">
        <v>1.3759474212518501</v>
      </c>
      <c r="AG124">
        <v>-1.1709000000000001</v>
      </c>
      <c r="AH124">
        <v>33.929316752934803</v>
      </c>
      <c r="AI124">
        <v>91.974869799619896</v>
      </c>
      <c r="AJ124">
        <v>87.677736748022596</v>
      </c>
      <c r="AK124">
        <v>33.977386206667397</v>
      </c>
      <c r="AL124">
        <v>80.516458071469899</v>
      </c>
      <c r="AM124">
        <v>87.385106839986904</v>
      </c>
      <c r="AN124">
        <v>1.0000000549456201</v>
      </c>
    </row>
    <row r="125" spans="1:40" x14ac:dyDescent="0.25">
      <c r="A125" t="str">
        <f>"20190303170459017"</f>
        <v>20190303170459017</v>
      </c>
      <c r="B125" t="str">
        <f>"1551603899004413"</f>
        <v>1551603899004413</v>
      </c>
      <c r="C125" t="s">
        <v>40</v>
      </c>
      <c r="D125">
        <v>5.1873230000000001</v>
      </c>
      <c r="E125">
        <v>0.53489699999999996</v>
      </c>
      <c r="F125" t="s">
        <v>43</v>
      </c>
      <c r="G125">
        <v>-421.33640000000003</v>
      </c>
      <c r="H125">
        <v>-0.05</v>
      </c>
      <c r="I125">
        <v>365.35860000000002</v>
      </c>
      <c r="J125">
        <v>-453.81259999999997</v>
      </c>
      <c r="K125">
        <v>1.1210070000000001</v>
      </c>
      <c r="L125">
        <v>366.90809999999999</v>
      </c>
      <c r="M125">
        <v>0.9999439</v>
      </c>
      <c r="N125">
        <v>-8.6075760000000005E-3</v>
      </c>
      <c r="O125">
        <v>-6.1554699999999997E-3</v>
      </c>
      <c r="P125">
        <v>0.98629650000000002</v>
      </c>
      <c r="Q125">
        <v>0.1566504</v>
      </c>
      <c r="R125">
        <v>-5.1768740000000001E-2</v>
      </c>
      <c r="S125">
        <v>3.0516359999999998</v>
      </c>
      <c r="T125">
        <v>-0.1090647</v>
      </c>
      <c r="U125">
        <v>-0.14447019999999999</v>
      </c>
      <c r="V125">
        <v>4.5632659999999999E-2</v>
      </c>
      <c r="W125">
        <v>0.1651542</v>
      </c>
      <c r="X125">
        <v>0.98521159999999997</v>
      </c>
      <c r="Y125">
        <v>4.1108970000000002E-2</v>
      </c>
      <c r="Z125">
        <v>-7.442153E-4</v>
      </c>
      <c r="AA125">
        <v>0.9991544</v>
      </c>
      <c r="AB125">
        <v>30</v>
      </c>
      <c r="AC125">
        <v>32.476199999999899</v>
      </c>
      <c r="AD125">
        <v>-1.1710069999999999</v>
      </c>
      <c r="AE125">
        <v>-1.5494999999999599</v>
      </c>
      <c r="AF125">
        <v>1.3478085863571301</v>
      </c>
      <c r="AG125">
        <v>-1.1710069999999999</v>
      </c>
      <c r="AH125">
        <v>32.4430384060243</v>
      </c>
      <c r="AI125">
        <v>92.065370575924007</v>
      </c>
      <c r="AJ125">
        <v>87.621080924012404</v>
      </c>
      <c r="AK125">
        <v>32.492131145775502</v>
      </c>
      <c r="AL125">
        <v>80.493808327169006</v>
      </c>
      <c r="AM125">
        <v>87.348090969982096</v>
      </c>
      <c r="AN125">
        <v>1.0000000731054299</v>
      </c>
    </row>
    <row r="126" spans="1:40" x14ac:dyDescent="0.25">
      <c r="A126" t="str">
        <f>"20190303170459036"</f>
        <v>20190303170459036</v>
      </c>
      <c r="B126" t="str">
        <f>"1551603899024910"</f>
        <v>1551603899024910</v>
      </c>
      <c r="C126" t="s">
        <v>40</v>
      </c>
      <c r="D126">
        <v>5.1616280000000003</v>
      </c>
      <c r="E126">
        <v>0.54016850000000005</v>
      </c>
      <c r="F126" t="s">
        <v>42</v>
      </c>
      <c r="G126">
        <v>-453.00549999999998</v>
      </c>
      <c r="H126">
        <v>1.031463</v>
      </c>
      <c r="I126">
        <v>366.80160000000001</v>
      </c>
      <c r="J126">
        <v>-453.55099999999999</v>
      </c>
      <c r="K126">
        <v>1.1210910000000001</v>
      </c>
      <c r="L126">
        <v>366.90660000000003</v>
      </c>
      <c r="M126">
        <v>0.99993880000000002</v>
      </c>
      <c r="N126">
        <v>-9.330451E-3</v>
      </c>
      <c r="O126">
        <v>-5.9583839999999997E-3</v>
      </c>
      <c r="P126">
        <v>0.98625439999999998</v>
      </c>
      <c r="Q126">
        <v>0.15695039999999999</v>
      </c>
      <c r="R126">
        <v>-5.1663029999999999E-2</v>
      </c>
      <c r="S126">
        <v>3.0747070000000001</v>
      </c>
      <c r="T126">
        <v>-0.34139320000000001</v>
      </c>
      <c r="U126">
        <v>-0.4040222</v>
      </c>
      <c r="V126">
        <v>4.5720579999999997E-2</v>
      </c>
      <c r="W126">
        <v>0.1661667</v>
      </c>
      <c r="X126">
        <v>0.98503719999999995</v>
      </c>
      <c r="Y126">
        <v>0.12359150000000001</v>
      </c>
      <c r="Z126">
        <v>-6.7907979999999998E-3</v>
      </c>
      <c r="AA126">
        <v>0.99230989999999997</v>
      </c>
      <c r="AB126">
        <v>30</v>
      </c>
      <c r="AC126">
        <v>0.54550000000000398</v>
      </c>
      <c r="AD126">
        <v>-8.9627999999999999E-2</v>
      </c>
      <c r="AE126">
        <v>-0.105000000000018</v>
      </c>
      <c r="AF126">
        <v>9.9166255923459207E-2</v>
      </c>
      <c r="AG126">
        <v>-8.9627999999999999E-2</v>
      </c>
      <c r="AH126">
        <v>0.53226046749373102</v>
      </c>
      <c r="AI126">
        <v>99.399646835496895</v>
      </c>
      <c r="AJ126">
        <v>79.446141174888695</v>
      </c>
      <c r="AK126">
        <v>0.54878805558660104</v>
      </c>
      <c r="AL126">
        <v>80.434982995658999</v>
      </c>
      <c r="AM126">
        <v>87.3425191305775</v>
      </c>
      <c r="AN126">
        <v>1.0000000145041299</v>
      </c>
    </row>
    <row r="127" spans="1:40" x14ac:dyDescent="0.25">
      <c r="A127" t="str">
        <f>"20190303170459059"</f>
        <v>20190303170459059</v>
      </c>
      <c r="B127" t="str">
        <f>"1551603899044429"</f>
        <v>1551603899044429</v>
      </c>
      <c r="C127" t="s">
        <v>40</v>
      </c>
      <c r="D127">
        <v>5.1531909999999996</v>
      </c>
      <c r="E127">
        <v>0.54240259999999996</v>
      </c>
      <c r="F127" t="s">
        <v>42</v>
      </c>
      <c r="G127">
        <v>-452.75540000000001</v>
      </c>
      <c r="H127">
        <v>1.001951</v>
      </c>
      <c r="I127">
        <v>366.79320000000001</v>
      </c>
      <c r="J127">
        <v>-453.25069999999999</v>
      </c>
      <c r="K127">
        <v>1.1211770000000001</v>
      </c>
      <c r="L127">
        <v>366.90499999999997</v>
      </c>
      <c r="M127">
        <v>0.99993259999999995</v>
      </c>
      <c r="N127">
        <v>-1.00959E-2</v>
      </c>
      <c r="O127">
        <v>-5.7301419999999997E-3</v>
      </c>
      <c r="P127">
        <v>0.98623939999999999</v>
      </c>
      <c r="Q127">
        <v>0.15718670000000001</v>
      </c>
      <c r="R127">
        <v>-5.1229459999999997E-2</v>
      </c>
      <c r="S127">
        <v>3.0923769999999999</v>
      </c>
      <c r="T127">
        <v>-0.46308100000000002</v>
      </c>
      <c r="U127">
        <v>-0.44073489999999999</v>
      </c>
      <c r="V127">
        <v>4.5510080000000001E-2</v>
      </c>
      <c r="W127">
        <v>0.16715679999999999</v>
      </c>
      <c r="X127">
        <v>0.98487939999999996</v>
      </c>
      <c r="Y127">
        <v>0.13391159999999999</v>
      </c>
      <c r="Z127">
        <v>-9.8132659999999993E-3</v>
      </c>
      <c r="AA127">
        <v>0.99094470000000001</v>
      </c>
      <c r="AB127">
        <v>30</v>
      </c>
      <c r="AC127">
        <v>0.49529999999998597</v>
      </c>
      <c r="AD127">
        <v>-0.119226</v>
      </c>
      <c r="AE127">
        <v>-0.111799999999959</v>
      </c>
      <c r="AF127">
        <v>0.103266346363782</v>
      </c>
      <c r="AG127">
        <v>-0.119226</v>
      </c>
      <c r="AH127">
        <v>0.47001832496488699</v>
      </c>
      <c r="AI127">
        <v>103.915022497371</v>
      </c>
      <c r="AJ127">
        <v>77.608591591224794</v>
      </c>
      <c r="AK127">
        <v>0.49577817940095198</v>
      </c>
      <c r="AL127">
        <v>80.377449628873904</v>
      </c>
      <c r="AM127">
        <v>87.354313666776804</v>
      </c>
      <c r="AN127">
        <v>0.99999999785610305</v>
      </c>
    </row>
    <row r="128" spans="1:40" x14ac:dyDescent="0.25">
      <c r="A128" t="str">
        <f>"20190303170459082"</f>
        <v>20190303170459082</v>
      </c>
      <c r="B128" t="str">
        <f>"1551603899074686"</f>
        <v>1551603899074686</v>
      </c>
      <c r="C128" t="s">
        <v>40</v>
      </c>
      <c r="D128">
        <v>5.163748</v>
      </c>
      <c r="E128">
        <v>0.54385280000000003</v>
      </c>
      <c r="F128" t="s">
        <v>42</v>
      </c>
      <c r="G128">
        <v>-452.4975</v>
      </c>
      <c r="H128">
        <v>0.989846</v>
      </c>
      <c r="I128">
        <v>366.79450000000003</v>
      </c>
      <c r="J128">
        <v>-452.9418</v>
      </c>
      <c r="K128">
        <v>1.1212409999999999</v>
      </c>
      <c r="L128">
        <v>366.90359999999998</v>
      </c>
      <c r="M128">
        <v>0.99992669999999995</v>
      </c>
      <c r="N128">
        <v>-1.0804899999999999E-2</v>
      </c>
      <c r="O128">
        <v>-5.4924609999999997E-3</v>
      </c>
      <c r="P128">
        <v>0.98633400000000004</v>
      </c>
      <c r="Q128">
        <v>0.15671930000000001</v>
      </c>
      <c r="R128">
        <v>-5.0837279999999999E-2</v>
      </c>
      <c r="S128">
        <v>3.104584</v>
      </c>
      <c r="T128">
        <v>-0.54139749999999998</v>
      </c>
      <c r="U128">
        <v>-0.45379639999999999</v>
      </c>
      <c r="V128">
        <v>4.5349609999999999E-2</v>
      </c>
      <c r="W128">
        <v>0.16738910000000001</v>
      </c>
      <c r="X128">
        <v>0.98484740000000004</v>
      </c>
      <c r="Y128">
        <v>0.1371117</v>
      </c>
      <c r="Z128">
        <v>-1.1667810000000001E-2</v>
      </c>
      <c r="AA128">
        <v>0.99048689999999995</v>
      </c>
      <c r="AB128">
        <v>30</v>
      </c>
      <c r="AC128">
        <v>0.44429999999999797</v>
      </c>
      <c r="AD128">
        <v>-0.13139500000000001</v>
      </c>
      <c r="AE128">
        <v>-0.109099999999955</v>
      </c>
      <c r="AF128">
        <v>9.8530571218010302E-2</v>
      </c>
      <c r="AG128">
        <v>-0.13139500000000001</v>
      </c>
      <c r="AH128">
        <v>0.41099171516857802</v>
      </c>
      <c r="AI128">
        <v>107.270098350883</v>
      </c>
      <c r="AJ128">
        <v>76.518429925657898</v>
      </c>
      <c r="AK128">
        <v>0.44259135715325099</v>
      </c>
      <c r="AL128">
        <v>80.363950115857605</v>
      </c>
      <c r="AM128">
        <v>87.363543715453602</v>
      </c>
      <c r="AN128">
        <v>1.0000000496063499</v>
      </c>
    </row>
    <row r="129" spans="1:40" x14ac:dyDescent="0.25">
      <c r="A129" t="str">
        <f>"20190303170459104"</f>
        <v>20190303170459104</v>
      </c>
      <c r="B129" t="str">
        <f>"1551603899094205"</f>
        <v>1551603899094205</v>
      </c>
      <c r="C129" t="s">
        <v>40</v>
      </c>
      <c r="D129">
        <v>5.1914290000000003</v>
      </c>
      <c r="E129">
        <v>0.54430059999999902</v>
      </c>
      <c r="F129" t="s">
        <v>42</v>
      </c>
      <c r="G129">
        <v>-452.23590000000002</v>
      </c>
      <c r="H129">
        <v>0.98623110000000003</v>
      </c>
      <c r="I129">
        <v>366.79860000000002</v>
      </c>
      <c r="J129">
        <v>-452.6533</v>
      </c>
      <c r="K129">
        <v>1.121283</v>
      </c>
      <c r="L129">
        <v>366.90230000000003</v>
      </c>
      <c r="M129">
        <v>0.99992139999999996</v>
      </c>
      <c r="N129">
        <v>-1.1388789999999999E-2</v>
      </c>
      <c r="O129">
        <v>-5.2631809999999996E-3</v>
      </c>
      <c r="P129">
        <v>0.98654059999999999</v>
      </c>
      <c r="Q129">
        <v>0.1555086</v>
      </c>
      <c r="R129">
        <v>-5.054703E-2</v>
      </c>
      <c r="S129">
        <v>3.1122740000000002</v>
      </c>
      <c r="T129">
        <v>-0.59508819999999996</v>
      </c>
      <c r="U129">
        <v>-0.462677</v>
      </c>
      <c r="V129">
        <v>4.5282950000000002E-2</v>
      </c>
      <c r="W129">
        <v>0.1667563</v>
      </c>
      <c r="X129">
        <v>0.98495779999999999</v>
      </c>
      <c r="Y129">
        <v>0.1392989</v>
      </c>
      <c r="Z129">
        <v>-1.299988E-2</v>
      </c>
      <c r="AA129">
        <v>0.99016510000000002</v>
      </c>
      <c r="AB129">
        <v>29</v>
      </c>
      <c r="AC129">
        <v>0.417399999999986</v>
      </c>
      <c r="AD129">
        <v>-0.1350519</v>
      </c>
      <c r="AE129">
        <v>-0.103700000000003</v>
      </c>
      <c r="AF129">
        <v>9.2391590038746599E-2</v>
      </c>
      <c r="AG129">
        <v>-0.1350519</v>
      </c>
      <c r="AH129">
        <v>0.38042904663570998</v>
      </c>
      <c r="AI129">
        <v>109.032957922138</v>
      </c>
      <c r="AJ129">
        <v>76.349342118547497</v>
      </c>
      <c r="AK129">
        <v>0.41412737307216602</v>
      </c>
      <c r="AL129">
        <v>80.400723644953501</v>
      </c>
      <c r="AM129">
        <v>87.367708282955803</v>
      </c>
      <c r="AN129">
        <v>1.00000003846561</v>
      </c>
    </row>
    <row r="130" spans="1:40" x14ac:dyDescent="0.25">
      <c r="A130" t="str">
        <f>"20190303170459127"</f>
        <v>20190303170459127</v>
      </c>
      <c r="B130" t="str">
        <f>"1551603899114701"</f>
        <v>1551603899114701</v>
      </c>
      <c r="C130" t="s">
        <v>40</v>
      </c>
      <c r="D130">
        <v>5.1997739999999997</v>
      </c>
      <c r="E130">
        <v>0.54451579999999999</v>
      </c>
      <c r="F130" t="s">
        <v>42</v>
      </c>
      <c r="G130">
        <v>-451.7328</v>
      </c>
      <c r="H130">
        <v>0.93874619999999998</v>
      </c>
      <c r="I130">
        <v>366.76459999999997</v>
      </c>
      <c r="J130">
        <v>-452.35860000000002</v>
      </c>
      <c r="K130">
        <v>1.121316</v>
      </c>
      <c r="L130">
        <v>366.90100000000001</v>
      </c>
      <c r="M130">
        <v>0.99991660000000004</v>
      </c>
      <c r="N130">
        <v>-1.191474E-2</v>
      </c>
      <c r="O130">
        <v>-5.023741E-3</v>
      </c>
      <c r="P130">
        <v>0.98663440000000002</v>
      </c>
      <c r="Q130">
        <v>0.15491369999999999</v>
      </c>
      <c r="R130">
        <v>-5.0540700000000001E-2</v>
      </c>
      <c r="S130">
        <v>3.114471</v>
      </c>
      <c r="T130">
        <v>-0.6176914</v>
      </c>
      <c r="U130">
        <v>-0.46533200000000002</v>
      </c>
      <c r="V130">
        <v>4.5511639999999999E-2</v>
      </c>
      <c r="W130">
        <v>0.16668060000000001</v>
      </c>
      <c r="X130">
        <v>0.98495999999999995</v>
      </c>
      <c r="Y130">
        <v>0.1400486</v>
      </c>
      <c r="Z130">
        <v>-1.360513E-2</v>
      </c>
      <c r="AA130">
        <v>0.99005120000000002</v>
      </c>
      <c r="AB130">
        <v>29</v>
      </c>
      <c r="AC130">
        <v>0.625800000000026</v>
      </c>
      <c r="AD130">
        <v>-0.18256979999999901</v>
      </c>
      <c r="AE130">
        <v>-0.13640000000003699</v>
      </c>
      <c r="AF130">
        <v>0.12324073985287599</v>
      </c>
      <c r="AG130">
        <v>-0.18256979999999901</v>
      </c>
      <c r="AH130">
        <v>0.57940040568038098</v>
      </c>
      <c r="AI130">
        <v>107.12962796187099</v>
      </c>
      <c r="AJ130">
        <v>77.991921981021306</v>
      </c>
      <c r="AK130">
        <v>0.61985872740013404</v>
      </c>
      <c r="AL130">
        <v>80.405121804137906</v>
      </c>
      <c r="AM130">
        <v>87.354439304741803</v>
      </c>
      <c r="AN130">
        <v>0.99999996669592395</v>
      </c>
    </row>
    <row r="131" spans="1:40" x14ac:dyDescent="0.25">
      <c r="A131" t="str">
        <f>"20190303170459149"</f>
        <v>20190303170459149</v>
      </c>
      <c r="B131" t="str">
        <f>"1551603899144957"</f>
        <v>1551603899144957</v>
      </c>
      <c r="C131" t="s">
        <v>40</v>
      </c>
      <c r="D131">
        <v>5.2340400000000002</v>
      </c>
      <c r="E131">
        <v>0.54494240000000005</v>
      </c>
      <c r="F131" t="s">
        <v>42</v>
      </c>
      <c r="G131">
        <v>-451.47030000000001</v>
      </c>
      <c r="H131">
        <v>0.94078519999999999</v>
      </c>
      <c r="I131">
        <v>366.76749999999998</v>
      </c>
      <c r="J131">
        <v>-452.06060000000002</v>
      </c>
      <c r="K131">
        <v>1.1213409999999999</v>
      </c>
      <c r="L131">
        <v>366.8997</v>
      </c>
      <c r="M131">
        <v>0.99991200000000002</v>
      </c>
      <c r="N131">
        <v>-1.2381029999999999E-2</v>
      </c>
      <c r="O131">
        <v>-4.776593E-3</v>
      </c>
      <c r="P131">
        <v>0.98655029999999999</v>
      </c>
      <c r="Q131">
        <v>0.15544810000000001</v>
      </c>
      <c r="R131">
        <v>-5.0543020000000001E-2</v>
      </c>
      <c r="S131">
        <v>3.1161500000000002</v>
      </c>
      <c r="T131">
        <v>-0.63335699999999995</v>
      </c>
      <c r="U131">
        <v>-0.46722409999999998</v>
      </c>
      <c r="V131">
        <v>4.5757440000000003E-2</v>
      </c>
      <c r="W131">
        <v>0.16767299999999999</v>
      </c>
      <c r="X131">
        <v>0.98478019999999999</v>
      </c>
      <c r="Y131">
        <v>0.14064679999999999</v>
      </c>
      <c r="Z131">
        <v>-1.4059510000000001E-2</v>
      </c>
      <c r="AA131">
        <v>0.98995999999999995</v>
      </c>
      <c r="AB131">
        <v>29</v>
      </c>
      <c r="AC131">
        <v>0.59030000000001304</v>
      </c>
      <c r="AD131">
        <v>-0.18055579999999999</v>
      </c>
      <c r="AE131">
        <v>-0.132200000000011</v>
      </c>
      <c r="AF131">
        <v>0.11879530553299</v>
      </c>
      <c r="AG131">
        <v>-0.18055579999999999</v>
      </c>
      <c r="AH131">
        <v>0.54258633954836</v>
      </c>
      <c r="AI131">
        <v>108.007724637417</v>
      </c>
      <c r="AJ131">
        <v>77.650377719229496</v>
      </c>
      <c r="AK131">
        <v>0.58404850602908398</v>
      </c>
      <c r="AL131">
        <v>80.347450271387501</v>
      </c>
      <c r="AM131">
        <v>87.339686651340401</v>
      </c>
      <c r="AN131">
        <v>1.0000000102781901</v>
      </c>
    </row>
    <row r="132" spans="1:40" x14ac:dyDescent="0.25">
      <c r="A132" t="str">
        <f>"20190303170459173"</f>
        <v>20190303170459173</v>
      </c>
      <c r="B132" t="str">
        <f>"1551603899164478"</f>
        <v>1551603899164478</v>
      </c>
      <c r="C132" t="s">
        <v>40</v>
      </c>
      <c r="D132">
        <v>5.2388859999999999</v>
      </c>
      <c r="E132">
        <v>0.5451783</v>
      </c>
      <c r="F132" t="s">
        <v>42</v>
      </c>
      <c r="G132">
        <v>-451.20760000000001</v>
      </c>
      <c r="H132">
        <v>0.94426869999999996</v>
      </c>
      <c r="I132">
        <v>366.77100000000002</v>
      </c>
      <c r="J132">
        <v>-451.76330000000002</v>
      </c>
      <c r="K132">
        <v>1.1213630000000001</v>
      </c>
      <c r="L132">
        <v>366.89859999999999</v>
      </c>
      <c r="M132">
        <v>0.99990800000000002</v>
      </c>
      <c r="N132">
        <v>-1.2786499999999999E-2</v>
      </c>
      <c r="O132">
        <v>-4.5277629999999998E-3</v>
      </c>
      <c r="P132">
        <v>0.98655400000000004</v>
      </c>
      <c r="Q132">
        <v>0.15546099999999999</v>
      </c>
      <c r="R132">
        <v>-5.0429370000000001E-2</v>
      </c>
      <c r="S132">
        <v>3.1188959999999999</v>
      </c>
      <c r="T132">
        <v>-0.64753340000000004</v>
      </c>
      <c r="U132">
        <v>-0.46972659999999999</v>
      </c>
      <c r="V132">
        <v>4.5889359999999997E-2</v>
      </c>
      <c r="W132">
        <v>0.16808529999999999</v>
      </c>
      <c r="X132">
        <v>0.98470380000000002</v>
      </c>
      <c r="Y132">
        <v>0.14139389999999999</v>
      </c>
      <c r="Z132">
        <v>-1.449509E-2</v>
      </c>
      <c r="AA132">
        <v>0.98984729999999999</v>
      </c>
      <c r="AB132">
        <v>29</v>
      </c>
      <c r="AC132">
        <v>0.55570000000000097</v>
      </c>
      <c r="AD132">
        <v>-0.17709429999999901</v>
      </c>
      <c r="AE132">
        <v>-0.127600000000029</v>
      </c>
      <c r="AF132">
        <v>0.114076880469781</v>
      </c>
      <c r="AG132">
        <v>-0.17709429999999901</v>
      </c>
      <c r="AH132">
        <v>0.50732781632246604</v>
      </c>
      <c r="AI132">
        <v>108.807255375818</v>
      </c>
      <c r="AJ132">
        <v>77.327343253738306</v>
      </c>
      <c r="AK132">
        <v>0.54932452973149604</v>
      </c>
      <c r="AL132">
        <v>80.323487393401706</v>
      </c>
      <c r="AM132">
        <v>87.331821258247203</v>
      </c>
      <c r="AN132">
        <v>1.00000003758586</v>
      </c>
    </row>
    <row r="133" spans="1:40" x14ac:dyDescent="0.25">
      <c r="A133" t="str">
        <f>"20190303170459196"</f>
        <v>20190303170459196</v>
      </c>
      <c r="B133" t="str">
        <f>"1551603899184973"</f>
        <v>1551603899184973</v>
      </c>
      <c r="C133" t="s">
        <v>40</v>
      </c>
      <c r="D133">
        <v>5.2697719999999997</v>
      </c>
      <c r="E133">
        <v>0.54539259999999901</v>
      </c>
      <c r="F133" t="s">
        <v>42</v>
      </c>
      <c r="G133">
        <v>-450.94459999999998</v>
      </c>
      <c r="H133">
        <v>0.94927499999999998</v>
      </c>
      <c r="I133">
        <v>366.77480000000003</v>
      </c>
      <c r="J133">
        <v>-451.46379999999999</v>
      </c>
      <c r="K133">
        <v>1.1213770000000001</v>
      </c>
      <c r="L133">
        <v>366.89749999999998</v>
      </c>
      <c r="M133">
        <v>0.99990460000000003</v>
      </c>
      <c r="N133">
        <v>-1.314124E-2</v>
      </c>
      <c r="O133">
        <v>-4.2769100000000001E-3</v>
      </c>
      <c r="P133">
        <v>0.98668650000000002</v>
      </c>
      <c r="Q133">
        <v>0.15481929999999999</v>
      </c>
      <c r="R133">
        <v>-4.9807289999999997E-2</v>
      </c>
      <c r="S133">
        <v>3.1202390000000002</v>
      </c>
      <c r="T133">
        <v>-0.65602039999999995</v>
      </c>
      <c r="U133">
        <v>-0.47061160000000002</v>
      </c>
      <c r="V133">
        <v>4.5514400000000003E-2</v>
      </c>
      <c r="W133">
        <v>0.16779430000000001</v>
      </c>
      <c r="X133">
        <v>0.98477079999999995</v>
      </c>
      <c r="Y133">
        <v>0.14176069999999999</v>
      </c>
      <c r="Z133">
        <v>-1.4778950000000001E-2</v>
      </c>
      <c r="AA133">
        <v>0.98979059999999996</v>
      </c>
      <c r="AB133">
        <v>29</v>
      </c>
      <c r="AC133">
        <v>0.51920000000001199</v>
      </c>
      <c r="AD133">
        <v>-0.172102</v>
      </c>
      <c r="AE133">
        <v>-0.122699999999952</v>
      </c>
      <c r="AF133">
        <v>0.10912240301725699</v>
      </c>
      <c r="AG133">
        <v>-0.172102</v>
      </c>
      <c r="AH133">
        <v>0.47073365586021498</v>
      </c>
      <c r="AI133">
        <v>109.60383647979501</v>
      </c>
      <c r="AJ133">
        <v>76.9485907642282</v>
      </c>
      <c r="AK133">
        <v>0.512949287945489</v>
      </c>
      <c r="AL133">
        <v>80.340400392497003</v>
      </c>
      <c r="AM133">
        <v>87.353771506676097</v>
      </c>
      <c r="AN133">
        <v>1.0000000081262399</v>
      </c>
    </row>
    <row r="134" spans="1:40" x14ac:dyDescent="0.25">
      <c r="A134" t="str">
        <f>"20190303170459222"</f>
        <v>20190303170459222</v>
      </c>
      <c r="B134" t="str">
        <f>"1551603899214253"</f>
        <v>1551603899214253</v>
      </c>
      <c r="C134" t="s">
        <v>40</v>
      </c>
      <c r="D134">
        <v>5.2954619999999997</v>
      </c>
      <c r="E134">
        <v>0.545738099999999</v>
      </c>
      <c r="F134" t="s">
        <v>42</v>
      </c>
      <c r="G134">
        <v>-450.68200000000002</v>
      </c>
      <c r="H134">
        <v>0.95470480000000002</v>
      </c>
      <c r="I134">
        <v>366.77980000000002</v>
      </c>
      <c r="J134">
        <v>-451.13170000000002</v>
      </c>
      <c r="K134">
        <v>1.1213879999999901</v>
      </c>
      <c r="L134">
        <v>366.89640000000003</v>
      </c>
      <c r="M134">
        <v>0.99990120000000005</v>
      </c>
      <c r="N134">
        <v>-1.3480020000000001E-2</v>
      </c>
      <c r="O134">
        <v>-3.9986040000000002E-3</v>
      </c>
      <c r="P134">
        <v>0.98676030000000003</v>
      </c>
      <c r="Q134">
        <v>0.15439359999999999</v>
      </c>
      <c r="R134">
        <v>-4.9668030000000002E-2</v>
      </c>
      <c r="S134">
        <v>3.121124</v>
      </c>
      <c r="T134">
        <v>-0.66521470000000005</v>
      </c>
      <c r="U134">
        <v>-0.4708252</v>
      </c>
      <c r="V134">
        <v>4.564961E-2</v>
      </c>
      <c r="W134">
        <v>0.16770309999999999</v>
      </c>
      <c r="X134">
        <v>0.98478010000000005</v>
      </c>
      <c r="Y134">
        <v>0.14196199999999901</v>
      </c>
      <c r="Z134">
        <v>-1.5067229999999999E-2</v>
      </c>
      <c r="AA134">
        <v>0.98975740000000001</v>
      </c>
      <c r="AB134">
        <v>29</v>
      </c>
      <c r="AC134">
        <v>0.44970000000006399</v>
      </c>
      <c r="AD134">
        <v>-0.166683199999999</v>
      </c>
      <c r="AE134">
        <v>-0.11660000000000501</v>
      </c>
      <c r="AF134">
        <v>0.10170785491067</v>
      </c>
      <c r="AG134">
        <v>-0.166683199999999</v>
      </c>
      <c r="AH134">
        <v>0.39882220321308798</v>
      </c>
      <c r="AI134">
        <v>112.04682015903001</v>
      </c>
      <c r="AJ134">
        <v>75.693342983188998</v>
      </c>
      <c r="AK134">
        <v>0.44405734617108999</v>
      </c>
      <c r="AL134">
        <v>80.345701099459902</v>
      </c>
      <c r="AM134">
        <v>87.345946586690005</v>
      </c>
      <c r="AN134">
        <v>1.00000003099938</v>
      </c>
    </row>
    <row r="135" spans="1:40" x14ac:dyDescent="0.25">
      <c r="A135" t="str">
        <f>"20190303170459239"</f>
        <v>20190303170459239</v>
      </c>
      <c r="B135" t="str">
        <f>"1551603899224990"</f>
        <v>1551603899224990</v>
      </c>
      <c r="C135" t="s">
        <v>40</v>
      </c>
      <c r="D135">
        <v>5.265422</v>
      </c>
      <c r="E135">
        <v>0.54585530000000004</v>
      </c>
      <c r="F135" t="s">
        <v>42</v>
      </c>
      <c r="G135">
        <v>-450.41660000000002</v>
      </c>
      <c r="H135">
        <v>0.96696150000000003</v>
      </c>
      <c r="I135">
        <v>366.7878</v>
      </c>
      <c r="J135">
        <v>-450.89980000000003</v>
      </c>
      <c r="K135">
        <v>1.1214040000000001</v>
      </c>
      <c r="L135">
        <v>366.89569999999998</v>
      </c>
      <c r="M135">
        <v>0.99989930000000005</v>
      </c>
      <c r="N135">
        <v>-1.36826E-2</v>
      </c>
      <c r="O135">
        <v>-3.804684E-3</v>
      </c>
      <c r="P135">
        <v>0.98680869999999998</v>
      </c>
      <c r="Q135">
        <v>0.1541313</v>
      </c>
      <c r="R135">
        <v>-4.9523110000000002E-2</v>
      </c>
      <c r="S135">
        <v>3.1220089999999998</v>
      </c>
      <c r="T135">
        <v>-0.67433240000000005</v>
      </c>
      <c r="U135">
        <v>-0.47198489999999999</v>
      </c>
      <c r="V135">
        <v>4.5696239999999999E-2</v>
      </c>
      <c r="W135">
        <v>0.16764109999999999</v>
      </c>
      <c r="X135">
        <v>0.98478849999999996</v>
      </c>
      <c r="Y135">
        <v>0.14237130000000001</v>
      </c>
      <c r="Z135">
        <v>-1.5351760000000001E-2</v>
      </c>
      <c r="AA135">
        <v>0.98969430000000003</v>
      </c>
      <c r="AB135">
        <v>29</v>
      </c>
      <c r="AC135">
        <v>0.48320000000001001</v>
      </c>
      <c r="AD135">
        <v>-0.15444250000000001</v>
      </c>
      <c r="AE135">
        <v>-0.107899999999972</v>
      </c>
      <c r="AF135">
        <v>9.6655327956762294E-2</v>
      </c>
      <c r="AG135">
        <v>-0.15444250000000001</v>
      </c>
      <c r="AH135">
        <v>0.44072152224468297</v>
      </c>
      <c r="AI135">
        <v>108.895865506352</v>
      </c>
      <c r="AJ135">
        <v>77.630210201541701</v>
      </c>
      <c r="AK135">
        <v>0.47689642313436398</v>
      </c>
      <c r="AL135">
        <v>80.3493045118298</v>
      </c>
      <c r="AM135">
        <v>87.3432620451415</v>
      </c>
      <c r="AN135">
        <v>1.00000003724579</v>
      </c>
    </row>
    <row r="136" spans="1:40" x14ac:dyDescent="0.25">
      <c r="A136" t="str">
        <f>"20190303170459262"</f>
        <v>20190303170459262</v>
      </c>
      <c r="B136" t="str">
        <f>"1551603899254270"</f>
        <v>1551603899254270</v>
      </c>
      <c r="C136" t="s">
        <v>40</v>
      </c>
      <c r="D136">
        <v>5.3189520000000003</v>
      </c>
      <c r="E136">
        <v>0.54601449999999996</v>
      </c>
      <c r="F136" t="s">
        <v>42</v>
      </c>
      <c r="G136">
        <v>-450.16030000000001</v>
      </c>
      <c r="H136">
        <v>0.960893</v>
      </c>
      <c r="I136">
        <v>366.78390000000002</v>
      </c>
      <c r="J136">
        <v>-450.60590000000002</v>
      </c>
      <c r="K136">
        <v>1.1214189999999999</v>
      </c>
      <c r="L136">
        <v>366.89479999999998</v>
      </c>
      <c r="M136">
        <v>0.99989689999999998</v>
      </c>
      <c r="N136">
        <v>-1.3909589999999999E-2</v>
      </c>
      <c r="O136">
        <v>-3.5594540000000001E-3</v>
      </c>
      <c r="P136">
        <v>0.98679550000000005</v>
      </c>
      <c r="Q136">
        <v>0.15434999999999999</v>
      </c>
      <c r="R136">
        <v>-4.910254E-2</v>
      </c>
      <c r="S136">
        <v>3.1222840000000001</v>
      </c>
      <c r="T136">
        <v>-0.67774400000000001</v>
      </c>
      <c r="U136">
        <v>-0.47143550000000001</v>
      </c>
      <c r="V136">
        <v>4.551769E-2</v>
      </c>
      <c r="W136">
        <v>0.16808290000000001</v>
      </c>
      <c r="X136">
        <v>0.98472139999999997</v>
      </c>
      <c r="Y136">
        <v>0.14238970000000001</v>
      </c>
      <c r="Z136">
        <v>-1.5489960000000001E-2</v>
      </c>
      <c r="AA136">
        <v>0.9896895</v>
      </c>
      <c r="AB136">
        <v>29</v>
      </c>
      <c r="AC136">
        <v>0.44560000000001299</v>
      </c>
      <c r="AD136">
        <v>-0.160525999999999</v>
      </c>
      <c r="AE136">
        <v>-0.110899999999958</v>
      </c>
      <c r="AF136">
        <v>9.7408886756469998E-2</v>
      </c>
      <c r="AG136">
        <v>-0.160525999999999</v>
      </c>
      <c r="AH136">
        <v>0.39742354374834299</v>
      </c>
      <c r="AI136">
        <v>111.42031469915</v>
      </c>
      <c r="AJ136">
        <v>76.228243144469602</v>
      </c>
      <c r="AK136">
        <v>0.43954813276889898</v>
      </c>
      <c r="AL136">
        <v>80.323626310634907</v>
      </c>
      <c r="AM136">
        <v>87.353447923688293</v>
      </c>
      <c r="AN136">
        <v>0.99999997849665201</v>
      </c>
    </row>
    <row r="137" spans="1:40" x14ac:dyDescent="0.25">
      <c r="A137" t="str">
        <f>"20190303170459284"</f>
        <v>20190303170459284</v>
      </c>
      <c r="B137" t="str">
        <f>"1551603899274766"</f>
        <v>1551603899274766</v>
      </c>
      <c r="C137" t="s">
        <v>40</v>
      </c>
      <c r="D137">
        <v>5.3561329999999998</v>
      </c>
      <c r="E137">
        <v>0.54592379999999996</v>
      </c>
      <c r="F137" t="s">
        <v>42</v>
      </c>
      <c r="G137">
        <v>-449.89870000000002</v>
      </c>
      <c r="H137">
        <v>0.9670126</v>
      </c>
      <c r="I137">
        <v>366.78769999999997</v>
      </c>
      <c r="J137">
        <v>-450.31909999999999</v>
      </c>
      <c r="K137">
        <v>1.1214329999999999</v>
      </c>
      <c r="L137">
        <v>366.89409999999998</v>
      </c>
      <c r="M137">
        <v>0.99989499999999998</v>
      </c>
      <c r="N137">
        <v>-1.4098970000000001E-2</v>
      </c>
      <c r="O137">
        <v>-3.3199549999999999E-3</v>
      </c>
      <c r="P137">
        <v>0.98668820000000002</v>
      </c>
      <c r="Q137">
        <v>0.15515409999999999</v>
      </c>
      <c r="R137">
        <v>-4.872232E-2</v>
      </c>
      <c r="S137">
        <v>3.1233520000000001</v>
      </c>
      <c r="T137">
        <v>-0.68199960000000004</v>
      </c>
      <c r="U137">
        <v>-0.4717712</v>
      </c>
      <c r="V137">
        <v>4.5374009999999999E-2</v>
      </c>
      <c r="W137">
        <v>0.16907139999999901</v>
      </c>
      <c r="X137">
        <v>0.98455879999999996</v>
      </c>
      <c r="Y137">
        <v>0.14262830000000001</v>
      </c>
      <c r="Z137">
        <v>-1.5663549999999998E-2</v>
      </c>
      <c r="AA137">
        <v>0.98965239999999999</v>
      </c>
      <c r="AB137">
        <v>29</v>
      </c>
      <c r="AC137">
        <v>0.42039999999997202</v>
      </c>
      <c r="AD137">
        <v>-0.15442039999999899</v>
      </c>
      <c r="AE137">
        <v>-0.106400000000007</v>
      </c>
      <c r="AF137">
        <v>9.3187395340567095E-2</v>
      </c>
      <c r="AG137">
        <v>-0.15442039999999899</v>
      </c>
      <c r="AH137">
        <v>0.37340337864075501</v>
      </c>
      <c r="AI137">
        <v>111.86274149105201</v>
      </c>
      <c r="AJ137">
        <v>75.987363666630102</v>
      </c>
      <c r="AK137">
        <v>0.414680158395419</v>
      </c>
      <c r="AL137">
        <v>80.266167161707799</v>
      </c>
      <c r="AM137">
        <v>87.361355057041493</v>
      </c>
      <c r="AN137">
        <v>0.99999998486943897</v>
      </c>
    </row>
    <row r="138" spans="1:40" x14ac:dyDescent="0.25">
      <c r="A138" t="str">
        <f>"20190303170459305"</f>
        <v>20190303170459305</v>
      </c>
      <c r="B138" t="str">
        <f>"1551603899294285"</f>
        <v>1551603899294285</v>
      </c>
      <c r="C138" t="s">
        <v>40</v>
      </c>
      <c r="D138">
        <v>5.323213</v>
      </c>
      <c r="E138">
        <v>0.54591840000000003</v>
      </c>
      <c r="F138" t="s">
        <v>42</v>
      </c>
      <c r="G138">
        <v>-449.4033</v>
      </c>
      <c r="H138">
        <v>0.92165149999999996</v>
      </c>
      <c r="I138">
        <v>366.75599999999997</v>
      </c>
      <c r="J138">
        <v>-450.04360000000003</v>
      </c>
      <c r="K138">
        <v>1.121445</v>
      </c>
      <c r="L138">
        <v>366.89339999999999</v>
      </c>
      <c r="M138">
        <v>0.9998937</v>
      </c>
      <c r="N138">
        <v>-1.425537E-2</v>
      </c>
      <c r="O138">
        <v>-3.0894350000000002E-3</v>
      </c>
      <c r="P138">
        <v>0.98675230000000003</v>
      </c>
      <c r="Q138">
        <v>0.1548717</v>
      </c>
      <c r="R138">
        <v>-4.8323079999999997E-2</v>
      </c>
      <c r="S138">
        <v>3.1245120000000002</v>
      </c>
      <c r="T138">
        <v>-0.68178419999999995</v>
      </c>
      <c r="U138">
        <v>-0.46978760000000003</v>
      </c>
      <c r="V138">
        <v>4.5202800000000001E-2</v>
      </c>
      <c r="W138">
        <v>0.16894400000000001</v>
      </c>
      <c r="X138">
        <v>0.98458860000000004</v>
      </c>
      <c r="Y138">
        <v>0.1421953</v>
      </c>
      <c r="Z138">
        <v>-1.5662909999999999E-2</v>
      </c>
      <c r="AA138">
        <v>0.98971469999999995</v>
      </c>
      <c r="AB138">
        <v>29</v>
      </c>
      <c r="AC138">
        <v>0.64030000000002396</v>
      </c>
      <c r="AD138">
        <v>-0.19979350000000001</v>
      </c>
      <c r="AE138">
        <v>-0.13740000000001301</v>
      </c>
      <c r="AF138">
        <v>0.123889650467591</v>
      </c>
      <c r="AG138">
        <v>-0.19979350000000001</v>
      </c>
      <c r="AH138">
        <v>0.58616294711181005</v>
      </c>
      <c r="AI138">
        <v>108.442640878322</v>
      </c>
      <c r="AJ138">
        <v>78.065774044319198</v>
      </c>
      <c r="AK138">
        <v>0.63154816815666104</v>
      </c>
      <c r="AL138">
        <v>80.273573720776497</v>
      </c>
      <c r="AM138">
        <v>87.371376928115197</v>
      </c>
      <c r="AN138">
        <v>1.00000003975689</v>
      </c>
    </row>
    <row r="139" spans="1:40" x14ac:dyDescent="0.25">
      <c r="A139" t="str">
        <f>"20190303170459328"</f>
        <v>20190303170459328</v>
      </c>
      <c r="B139" t="str">
        <f>"1551603899324544"</f>
        <v>1551603899324544</v>
      </c>
      <c r="C139" t="s">
        <v>40</v>
      </c>
      <c r="D139">
        <v>5.4015199999999997</v>
      </c>
      <c r="E139">
        <v>0.5070363</v>
      </c>
      <c r="F139" t="s">
        <v>42</v>
      </c>
      <c r="G139">
        <v>-449.14510000000001</v>
      </c>
      <c r="H139">
        <v>0.92427280000000001</v>
      </c>
      <c r="I139">
        <v>366.75869999999998</v>
      </c>
      <c r="J139">
        <v>-449.75799999999998</v>
      </c>
      <c r="K139">
        <v>1.121461</v>
      </c>
      <c r="L139">
        <v>366.89280000000002</v>
      </c>
      <c r="M139">
        <v>0.99989240000000001</v>
      </c>
      <c r="N139">
        <v>-1.4395069999999999E-2</v>
      </c>
      <c r="O139">
        <v>-2.8502279999999998E-3</v>
      </c>
      <c r="P139">
        <v>0.98678509999999997</v>
      </c>
      <c r="Q139">
        <v>0.15489510000000001</v>
      </c>
      <c r="R139">
        <v>-4.7566270000000001E-2</v>
      </c>
      <c r="S139">
        <v>3.1249690000000001</v>
      </c>
      <c r="T139">
        <v>-0.68578839999999996</v>
      </c>
      <c r="U139">
        <v>-0.46844479999999999</v>
      </c>
      <c r="V139">
        <v>4.4682659999999999E-2</v>
      </c>
      <c r="W139">
        <v>0.16910420000000001</v>
      </c>
      <c r="X139">
        <v>0.98458480000000004</v>
      </c>
      <c r="Y139">
        <v>0.14195559999999999</v>
      </c>
      <c r="Z139">
        <v>-1.5776249999999999E-2</v>
      </c>
      <c r="AA139">
        <v>0.9897473</v>
      </c>
      <c r="AB139">
        <v>29</v>
      </c>
      <c r="AC139">
        <v>0.61290000000002398</v>
      </c>
      <c r="AD139">
        <v>-0.19718819999999901</v>
      </c>
      <c r="AE139">
        <v>-0.13410000000004599</v>
      </c>
      <c r="AF139">
        <v>0.12045379333389999</v>
      </c>
      <c r="AG139">
        <v>-0.19718819999999901</v>
      </c>
      <c r="AH139">
        <v>0.55814545919221403</v>
      </c>
      <c r="AI139">
        <v>109.051906697337</v>
      </c>
      <c r="AJ139">
        <v>77.821726766914793</v>
      </c>
      <c r="AK139">
        <v>0.60408497429140995</v>
      </c>
      <c r="AL139">
        <v>80.264260548298495</v>
      </c>
      <c r="AM139">
        <v>87.401572281103398</v>
      </c>
      <c r="AN139">
        <v>0.99999999947667695</v>
      </c>
    </row>
    <row r="140" spans="1:40" x14ac:dyDescent="0.25">
      <c r="A140" t="str">
        <f>"20190303170459350"</f>
        <v>20190303170459350</v>
      </c>
      <c r="B140" t="str">
        <f>"1551603899344062"</f>
        <v>1551603899344062</v>
      </c>
      <c r="C140" t="s">
        <v>40</v>
      </c>
      <c r="D140">
        <v>5.2402629999999997</v>
      </c>
      <c r="E140">
        <v>0.49762430000000002</v>
      </c>
      <c r="F140" t="s">
        <v>42</v>
      </c>
      <c r="G140">
        <v>-448.86329999999998</v>
      </c>
      <c r="H140">
        <v>0.97829469999999996</v>
      </c>
      <c r="I140">
        <v>366.84559999999999</v>
      </c>
      <c r="J140">
        <v>-449.46730000000002</v>
      </c>
      <c r="K140">
        <v>1.12147</v>
      </c>
      <c r="L140">
        <v>366.89229999999998</v>
      </c>
      <c r="M140">
        <v>0.99989130000000004</v>
      </c>
      <c r="N140">
        <v>-1.4516950000000001E-2</v>
      </c>
      <c r="O140">
        <v>-2.6066119999999999E-3</v>
      </c>
      <c r="P140">
        <v>0.98679879999999998</v>
      </c>
      <c r="Q140">
        <v>0.15510119999999999</v>
      </c>
      <c r="R140">
        <v>-4.6604329999999999E-2</v>
      </c>
      <c r="S140">
        <v>3.1104430000000001</v>
      </c>
      <c r="T140">
        <v>-0.49783539999999998</v>
      </c>
      <c r="U140">
        <v>-0.16345209999999999</v>
      </c>
      <c r="V140">
        <v>4.3961060000000003E-2</v>
      </c>
      <c r="W140">
        <v>0.16943039999999901</v>
      </c>
      <c r="X140">
        <v>0.98456120000000003</v>
      </c>
      <c r="Y140">
        <v>4.9218720000000001E-2</v>
      </c>
      <c r="Z140">
        <v>-3.8945540000000002E-3</v>
      </c>
      <c r="AA140">
        <v>0.99878040000000001</v>
      </c>
      <c r="AB140">
        <v>29</v>
      </c>
      <c r="AC140">
        <v>0.60400000000004095</v>
      </c>
      <c r="AD140">
        <v>-0.14317530000000001</v>
      </c>
      <c r="AE140">
        <v>-4.6699999999987002E-2</v>
      </c>
      <c r="AF140">
        <v>4.2738081653227601E-2</v>
      </c>
      <c r="AG140">
        <v>-0.14317530000000001</v>
      </c>
      <c r="AH140">
        <v>0.572160783072311</v>
      </c>
      <c r="AI140">
        <v>104.01148597667201</v>
      </c>
      <c r="AJ140">
        <v>85.728171555758706</v>
      </c>
      <c r="AK140">
        <v>0.59134902708925496</v>
      </c>
      <c r="AL140">
        <v>80.245296989400401</v>
      </c>
      <c r="AM140">
        <v>87.443418108075207</v>
      </c>
      <c r="AN140">
        <v>0.99999999589296096</v>
      </c>
    </row>
    <row r="141" spans="1:40" x14ac:dyDescent="0.25">
      <c r="A141" t="str">
        <f>"20190303170459373"</f>
        <v>20190303170459373</v>
      </c>
      <c r="B141" t="str">
        <f>"1551603899364558"</f>
        <v>1551603899364558</v>
      </c>
      <c r="C141" t="s">
        <v>40</v>
      </c>
      <c r="D141">
        <v>5.2404970000000004</v>
      </c>
      <c r="E141">
        <v>0.49373650000000002</v>
      </c>
      <c r="F141" t="s">
        <v>42</v>
      </c>
      <c r="G141">
        <v>-448.58769999999998</v>
      </c>
      <c r="H141">
        <v>1.016788</v>
      </c>
      <c r="I141">
        <v>366.86669999999998</v>
      </c>
      <c r="J141">
        <v>-449.17250000000001</v>
      </c>
      <c r="K141">
        <v>1.121491</v>
      </c>
      <c r="L141">
        <v>366.89179999999999</v>
      </c>
      <c r="M141">
        <v>0.99989039999999996</v>
      </c>
      <c r="N141">
        <v>-1.4622599999999999E-2</v>
      </c>
      <c r="O141">
        <v>-2.3602559999999998E-3</v>
      </c>
      <c r="P141">
        <v>0.98673809999999995</v>
      </c>
      <c r="Q141">
        <v>0.15550310000000001</v>
      </c>
      <c r="R141">
        <v>-4.6552870000000003E-2</v>
      </c>
      <c r="S141">
        <v>3.0937190000000001</v>
      </c>
      <c r="T141">
        <v>-0.36802289999999999</v>
      </c>
      <c r="U141">
        <v>-9.0271000000000004E-2</v>
      </c>
      <c r="V141">
        <v>4.4152869999999997E-2</v>
      </c>
      <c r="W141">
        <v>0.16993459999999999</v>
      </c>
      <c r="X141">
        <v>0.9844657</v>
      </c>
      <c r="Y141">
        <v>2.6608900000000001E-2</v>
      </c>
      <c r="Z141">
        <v>-1.5268230000000001E-3</v>
      </c>
      <c r="AA141">
        <v>0.9996448</v>
      </c>
      <c r="AB141">
        <v>29</v>
      </c>
      <c r="AC141">
        <v>0.58480000000002896</v>
      </c>
      <c r="AD141">
        <v>-0.104703</v>
      </c>
      <c r="AE141">
        <v>-2.5100000000009001E-2</v>
      </c>
      <c r="AF141">
        <v>2.29840914928592E-2</v>
      </c>
      <c r="AG141">
        <v>-0.104703</v>
      </c>
      <c r="AH141">
        <v>0.56672435137066801</v>
      </c>
      <c r="AI141">
        <v>100.459025725781</v>
      </c>
      <c r="AJ141">
        <v>87.677583215002599</v>
      </c>
      <c r="AK141">
        <v>0.57677333252089302</v>
      </c>
      <c r="AL141">
        <v>80.215983210239102</v>
      </c>
      <c r="AM141">
        <v>87.432029425958206</v>
      </c>
      <c r="AN141">
        <v>0.99999997934144302</v>
      </c>
    </row>
    <row r="142" spans="1:40" x14ac:dyDescent="0.25">
      <c r="A142" t="str">
        <f>"20190303170459396"</f>
        <v>20190303170459396</v>
      </c>
      <c r="B142" t="str">
        <f>"1551603899384077"</f>
        <v>1551603899384077</v>
      </c>
      <c r="C142" t="s">
        <v>40</v>
      </c>
      <c r="D142">
        <v>5.4236810000000002</v>
      </c>
      <c r="E142">
        <v>0.49213069999999998</v>
      </c>
      <c r="F142" t="s">
        <v>42</v>
      </c>
      <c r="G142">
        <v>-448.31869999999998</v>
      </c>
      <c r="H142">
        <v>1.039936</v>
      </c>
      <c r="I142">
        <v>366.87450000000001</v>
      </c>
      <c r="J142">
        <v>-448.88099999999997</v>
      </c>
      <c r="K142">
        <v>1.1215090000000001</v>
      </c>
      <c r="L142">
        <v>366.89139999999998</v>
      </c>
      <c r="M142">
        <v>0.99988960000000005</v>
      </c>
      <c r="N142">
        <v>-1.471166E-2</v>
      </c>
      <c r="O142">
        <v>-2.1165260000000001E-3</v>
      </c>
      <c r="P142">
        <v>0.98676739999999996</v>
      </c>
      <c r="Q142">
        <v>0.15531049999999999</v>
      </c>
      <c r="R142">
        <v>-4.6570189999999997E-2</v>
      </c>
      <c r="S142">
        <v>3.0838619999999999</v>
      </c>
      <c r="T142">
        <v>-0.29479119999999998</v>
      </c>
      <c r="U142">
        <v>-6.14624E-2</v>
      </c>
      <c r="V142">
        <v>4.441084E-2</v>
      </c>
      <c r="W142">
        <v>0.16983029999999999</v>
      </c>
      <c r="X142">
        <v>0.98447209999999996</v>
      </c>
      <c r="Y142">
        <v>1.7723639999999999E-2</v>
      </c>
      <c r="Z142">
        <v>-8.0507569999999995E-4</v>
      </c>
      <c r="AA142">
        <v>0.99984260000000003</v>
      </c>
      <c r="AB142">
        <v>29</v>
      </c>
      <c r="AC142">
        <v>0.56229999999999303</v>
      </c>
      <c r="AD142">
        <v>-8.1573000000000104E-2</v>
      </c>
      <c r="AE142">
        <v>-1.68999999999641E-2</v>
      </c>
      <c r="AF142">
        <v>1.53861948022873E-2</v>
      </c>
      <c r="AG142">
        <v>-8.1573000000000104E-2</v>
      </c>
      <c r="AH142">
        <v>0.55075414567223002</v>
      </c>
      <c r="AI142">
        <v>98.421673444729805</v>
      </c>
      <c r="AJ142">
        <v>88.3997673020625</v>
      </c>
      <c r="AK142">
        <v>0.55697488120618299</v>
      </c>
      <c r="AL142">
        <v>80.222047357695899</v>
      </c>
      <c r="AM142">
        <v>87.417062688939893</v>
      </c>
      <c r="AN142">
        <v>0.99999998459300199</v>
      </c>
    </row>
    <row r="143" spans="1:40" x14ac:dyDescent="0.25">
      <c r="A143" t="str">
        <f>"20190303170459418"</f>
        <v>20190303170459418</v>
      </c>
      <c r="B143" t="str">
        <f>"1551603899404574"</f>
        <v>1551603899404574</v>
      </c>
      <c r="C143" t="s">
        <v>40</v>
      </c>
      <c r="D143">
        <v>5.1894369999999999</v>
      </c>
      <c r="E143">
        <v>0.49121720000000002</v>
      </c>
      <c r="F143" t="s">
        <v>43</v>
      </c>
      <c r="G143">
        <v>-435.00920000000002</v>
      </c>
      <c r="H143">
        <v>-0.05</v>
      </c>
      <c r="I143">
        <v>366.66640000000001</v>
      </c>
      <c r="J143">
        <v>-448.60669999999999</v>
      </c>
      <c r="K143">
        <v>1.121521</v>
      </c>
      <c r="L143">
        <v>366.89109999999999</v>
      </c>
      <c r="M143">
        <v>0.99988900000000003</v>
      </c>
      <c r="N143">
        <v>-1.47832E-2</v>
      </c>
      <c r="O143">
        <v>-1.8871059999999999E-3</v>
      </c>
      <c r="P143">
        <v>0.98681010000000002</v>
      </c>
      <c r="Q143">
        <v>0.15503910000000001</v>
      </c>
      <c r="R143">
        <v>-4.6570470000000003E-2</v>
      </c>
      <c r="S143">
        <v>3.0787659999999999</v>
      </c>
      <c r="T143">
        <v>-0.26001010000000002</v>
      </c>
      <c r="U143">
        <v>-4.9926760000000001E-2</v>
      </c>
      <c r="V143">
        <v>4.4637919999999998E-2</v>
      </c>
      <c r="W143">
        <v>0.16963059999999999</v>
      </c>
      <c r="X143">
        <v>0.98449629999999999</v>
      </c>
      <c r="Y143">
        <v>1.4272109999999999E-2</v>
      </c>
      <c r="Z143">
        <v>-5.7605530000000001E-4</v>
      </c>
      <c r="AA143">
        <v>0.99989799999999995</v>
      </c>
      <c r="AB143">
        <v>29</v>
      </c>
      <c r="AC143">
        <v>13.597499999999901</v>
      </c>
      <c r="AD143">
        <v>-1.17152099999999</v>
      </c>
      <c r="AE143">
        <v>-0.224699999999984</v>
      </c>
      <c r="AF143">
        <v>0.19757069756447901</v>
      </c>
      <c r="AG143">
        <v>-1.17152099999999</v>
      </c>
      <c r="AH143">
        <v>13.497732953301499</v>
      </c>
      <c r="AI143">
        <v>94.959964812264204</v>
      </c>
      <c r="AJ143">
        <v>89.161402968197393</v>
      </c>
      <c r="AK143">
        <v>13.549918468854999</v>
      </c>
      <c r="AL143">
        <v>80.233658180213396</v>
      </c>
      <c r="AM143">
        <v>87.403937453267304</v>
      </c>
      <c r="AN143">
        <v>1.0000000245359799</v>
      </c>
    </row>
    <row r="144" spans="1:40" x14ac:dyDescent="0.25">
      <c r="A144" t="str">
        <f>"20190303170459440"</f>
        <v>20190303170459440</v>
      </c>
      <c r="B144" t="str">
        <f>"1551603899434829"</f>
        <v>1551603899434829</v>
      </c>
      <c r="C144" t="s">
        <v>40</v>
      </c>
      <c r="D144">
        <v>5.3528070000000003</v>
      </c>
      <c r="E144">
        <v>0.49077589999999999</v>
      </c>
      <c r="F144" t="s">
        <v>43</v>
      </c>
      <c r="G144">
        <v>-433.5865</v>
      </c>
      <c r="H144">
        <v>-0.05</v>
      </c>
      <c r="I144">
        <v>366.67720000000003</v>
      </c>
      <c r="J144">
        <v>-448.32389999999998</v>
      </c>
      <c r="K144">
        <v>1.1215349999999999</v>
      </c>
      <c r="L144">
        <v>366.89080000000001</v>
      </c>
      <c r="M144">
        <v>0.99988849999999996</v>
      </c>
      <c r="N144">
        <v>-1.4846430000000001E-2</v>
      </c>
      <c r="O144">
        <v>-1.650122E-3</v>
      </c>
      <c r="P144">
        <v>0.98677179999999998</v>
      </c>
      <c r="Q144">
        <v>0.155120799999999</v>
      </c>
      <c r="R144">
        <v>-4.7106719999999998E-2</v>
      </c>
      <c r="S144">
        <v>3.075745</v>
      </c>
      <c r="T144">
        <v>-0.23989779999999999</v>
      </c>
      <c r="U144">
        <v>-4.379272E-2</v>
      </c>
      <c r="V144">
        <v>4.540835E-2</v>
      </c>
      <c r="W144">
        <v>0.16977390000000001</v>
      </c>
      <c r="X144">
        <v>0.98443630000000004</v>
      </c>
      <c r="Y144">
        <v>1.2544410000000001E-2</v>
      </c>
      <c r="Z144">
        <v>-4.7770890000000001E-4</v>
      </c>
      <c r="AA144">
        <v>0.99992119999999995</v>
      </c>
      <c r="AB144">
        <v>29</v>
      </c>
      <c r="AC144">
        <v>14.7373999999999</v>
      </c>
      <c r="AD144">
        <v>-1.171535</v>
      </c>
      <c r="AE144">
        <v>-0.213599999999985</v>
      </c>
      <c r="AF144">
        <v>0.188090174359128</v>
      </c>
      <c r="AG144">
        <v>-1.171535</v>
      </c>
      <c r="AH144">
        <v>14.645204471184099</v>
      </c>
      <c r="AI144">
        <v>94.573229439812096</v>
      </c>
      <c r="AJ144">
        <v>89.264183664313705</v>
      </c>
      <c r="AK144">
        <v>14.6931918306645</v>
      </c>
      <c r="AL144">
        <v>80.225326235841493</v>
      </c>
      <c r="AM144">
        <v>87.359032773717999</v>
      </c>
      <c r="AN144">
        <v>0.99999996206430997</v>
      </c>
    </row>
    <row r="145" spans="1:40" x14ac:dyDescent="0.25">
      <c r="A145" t="str">
        <f>"20190303170459462"</f>
        <v>20190303170459462</v>
      </c>
      <c r="B145" t="str">
        <f>"1551603899454351"</f>
        <v>1551603899454351</v>
      </c>
      <c r="C145" t="s">
        <v>40</v>
      </c>
      <c r="D145">
        <v>5.4147550000000004</v>
      </c>
      <c r="E145">
        <v>0.49065589999999998</v>
      </c>
      <c r="F145" t="s">
        <v>43</v>
      </c>
      <c r="G145">
        <v>-431.80189999999999</v>
      </c>
      <c r="H145">
        <v>-0.05</v>
      </c>
      <c r="I145">
        <v>366.65940000000001</v>
      </c>
      <c r="J145">
        <v>-448.03769999999997</v>
      </c>
      <c r="K145">
        <v>1.121548</v>
      </c>
      <c r="L145">
        <v>366.89060000000001</v>
      </c>
      <c r="M145">
        <v>0.999888</v>
      </c>
      <c r="N145">
        <v>-1.4900709999999999E-2</v>
      </c>
      <c r="O145">
        <v>-1.409504E-3</v>
      </c>
      <c r="P145">
        <v>0.98659810000000003</v>
      </c>
      <c r="Q145">
        <v>0.15587400000000001</v>
      </c>
      <c r="R145">
        <v>-4.8245629999999998E-2</v>
      </c>
      <c r="S145">
        <v>3.0723880000000001</v>
      </c>
      <c r="T145">
        <v>-0.21785499999999999</v>
      </c>
      <c r="U145">
        <v>-4.3029789999999998E-2</v>
      </c>
      <c r="V145">
        <v>4.6785069999999998E-2</v>
      </c>
      <c r="W145">
        <v>0.1705779</v>
      </c>
      <c r="X145">
        <v>0.98423280000000002</v>
      </c>
      <c r="Y145">
        <v>1.2558450000000001E-2</v>
      </c>
      <c r="Z145">
        <v>-4.5954850000000001E-4</v>
      </c>
      <c r="AA145">
        <v>0.99992099999999995</v>
      </c>
      <c r="AB145">
        <v>29</v>
      </c>
      <c r="AC145">
        <v>16.235799999999902</v>
      </c>
      <c r="AD145">
        <v>-1.171548</v>
      </c>
      <c r="AE145">
        <v>-0.23120000000000099</v>
      </c>
      <c r="AF145">
        <v>0.20723399274882601</v>
      </c>
      <c r="AG145">
        <v>-1.171548</v>
      </c>
      <c r="AH145">
        <v>16.152026096805301</v>
      </c>
      <c r="AI145">
        <v>94.148205095135197</v>
      </c>
      <c r="AJ145">
        <v>89.264923073709497</v>
      </c>
      <c r="AK145">
        <v>16.195783947556698</v>
      </c>
      <c r="AL145">
        <v>80.178578268582996</v>
      </c>
      <c r="AM145">
        <v>87.278519036679597</v>
      </c>
      <c r="AN145">
        <v>0.99999993366957496</v>
      </c>
    </row>
    <row r="146" spans="1:40" x14ac:dyDescent="0.25">
      <c r="A146" t="str">
        <f>"20190303170459484"</f>
        <v>20190303170459484</v>
      </c>
      <c r="B146" t="str">
        <f>"1551603899474846"</f>
        <v>1551603899474846</v>
      </c>
      <c r="C146" t="s">
        <v>40</v>
      </c>
      <c r="D146">
        <v>5.3499280000000002</v>
      </c>
      <c r="E146">
        <v>0.49070900000000001</v>
      </c>
      <c r="F146" t="s">
        <v>43</v>
      </c>
      <c r="G146">
        <v>-430.5385</v>
      </c>
      <c r="H146">
        <v>-0.05</v>
      </c>
      <c r="I146">
        <v>366.6302</v>
      </c>
      <c r="J146">
        <v>-447.76499999999999</v>
      </c>
      <c r="K146">
        <v>1.1215619999999999</v>
      </c>
      <c r="L146">
        <v>366.8904</v>
      </c>
      <c r="M146">
        <v>0.99988770000000005</v>
      </c>
      <c r="N146">
        <v>-1.49441E-2</v>
      </c>
      <c r="O146">
        <v>-1.1807160000000001E-3</v>
      </c>
      <c r="P146">
        <v>0.98647890000000005</v>
      </c>
      <c r="Q146">
        <v>0.1563465</v>
      </c>
      <c r="R146">
        <v>-4.914777E-2</v>
      </c>
      <c r="S146">
        <v>3.0710139999999999</v>
      </c>
      <c r="T146">
        <v>-0.20560110000000001</v>
      </c>
      <c r="U146">
        <v>-4.5684809999999999E-2</v>
      </c>
      <c r="V146">
        <v>4.7912780000000002E-2</v>
      </c>
      <c r="W146">
        <v>0.1710914</v>
      </c>
      <c r="X146">
        <v>0.98408949999999995</v>
      </c>
      <c r="Y146">
        <v>1.365795E-2</v>
      </c>
      <c r="Z146">
        <v>-4.9753449999999995E-4</v>
      </c>
      <c r="AA146">
        <v>0.99990659999999998</v>
      </c>
      <c r="AB146">
        <v>28</v>
      </c>
      <c r="AC146">
        <v>17.226499999999898</v>
      </c>
      <c r="AD146">
        <v>-1.171562</v>
      </c>
      <c r="AE146">
        <v>-0.26019999999999699</v>
      </c>
      <c r="AF146">
        <v>0.23875389646645301</v>
      </c>
      <c r="AG146">
        <v>-1.171562</v>
      </c>
      <c r="AH146">
        <v>17.147501627882399</v>
      </c>
      <c r="AI146">
        <v>93.908145261697996</v>
      </c>
      <c r="AJ146">
        <v>89.202291563406504</v>
      </c>
      <c r="AK146">
        <v>17.1891353191821</v>
      </c>
      <c r="AL146">
        <v>80.148718814880496</v>
      </c>
      <c r="AM146">
        <v>87.212617322831093</v>
      </c>
      <c r="AN146">
        <v>1.0000000228257599</v>
      </c>
    </row>
    <row r="147" spans="1:40" x14ac:dyDescent="0.25">
      <c r="A147" t="str">
        <f>"20190303170459506"</f>
        <v>20190303170459506</v>
      </c>
      <c r="B147" t="str">
        <f>"1551603899494366"</f>
        <v>1551603899494366</v>
      </c>
      <c r="C147" t="s">
        <v>40</v>
      </c>
      <c r="D147">
        <v>5.3546050000000003</v>
      </c>
      <c r="E147">
        <v>0.49077549999999998</v>
      </c>
      <c r="F147" t="s">
        <v>43</v>
      </c>
      <c r="G147">
        <v>-429.47399999999999</v>
      </c>
      <c r="H147">
        <v>-0.05</v>
      </c>
      <c r="I147">
        <v>366.60109999999997</v>
      </c>
      <c r="J147">
        <v>-447.49110000000002</v>
      </c>
      <c r="K147">
        <v>1.1215790000000001</v>
      </c>
      <c r="L147">
        <v>366.8904</v>
      </c>
      <c r="M147">
        <v>0.99988739999999998</v>
      </c>
      <c r="N147">
        <v>-1.498099E-2</v>
      </c>
      <c r="O147">
        <v>-9.5081300000000001E-4</v>
      </c>
      <c r="P147">
        <v>0.98641120000000004</v>
      </c>
      <c r="Q147">
        <v>0.1567809</v>
      </c>
      <c r="R147">
        <v>-4.9125710000000003E-2</v>
      </c>
      <c r="S147">
        <v>3.0698240000000001</v>
      </c>
      <c r="T147">
        <v>-0.19662560000000001</v>
      </c>
      <c r="U147">
        <v>-4.8553470000000001E-2</v>
      </c>
      <c r="V147">
        <v>4.8117670000000001E-2</v>
      </c>
      <c r="W147">
        <v>0.1715612</v>
      </c>
      <c r="X147">
        <v>0.98399769999999998</v>
      </c>
      <c r="Y147">
        <v>1.482723E-2</v>
      </c>
      <c r="Z147">
        <v>-5.3894969999999996E-4</v>
      </c>
      <c r="AA147">
        <v>0.9998899</v>
      </c>
      <c r="AB147">
        <v>28</v>
      </c>
      <c r="AC147">
        <v>18.017099999999999</v>
      </c>
      <c r="AD147">
        <v>-1.1715789999999999</v>
      </c>
      <c r="AE147">
        <v>-0.28930000000002498</v>
      </c>
      <c r="AF147">
        <v>0.271021370597755</v>
      </c>
      <c r="AG147">
        <v>-1.1715789999999999</v>
      </c>
      <c r="AH147">
        <v>17.941523042636099</v>
      </c>
      <c r="AI147">
        <v>93.735677268814399</v>
      </c>
      <c r="AJ147">
        <v>89.134566240577797</v>
      </c>
      <c r="AK147">
        <v>17.981776859532101</v>
      </c>
      <c r="AL147">
        <v>80.121397208817797</v>
      </c>
      <c r="AM147">
        <v>87.200455785530906</v>
      </c>
      <c r="AN147">
        <v>1.00000001455847</v>
      </c>
    </row>
    <row r="148" spans="1:40" x14ac:dyDescent="0.25">
      <c r="A148" t="str">
        <f>"20190303170459528"</f>
        <v>20190303170459528</v>
      </c>
      <c r="B148" t="str">
        <f>"1551603899514862"</f>
        <v>1551603899514862</v>
      </c>
      <c r="C148" t="s">
        <v>40</v>
      </c>
      <c r="D148">
        <v>5.3547830000000003</v>
      </c>
      <c r="E148">
        <v>0.4908053</v>
      </c>
      <c r="F148" t="s">
        <v>43</v>
      </c>
      <c r="G148">
        <v>-428.488</v>
      </c>
      <c r="H148">
        <v>-0.05</v>
      </c>
      <c r="I148">
        <v>366.58479999999997</v>
      </c>
      <c r="J148">
        <v>-447.20620000000002</v>
      </c>
      <c r="K148">
        <v>1.1215930000000001</v>
      </c>
      <c r="L148">
        <v>366.8904</v>
      </c>
      <c r="M148">
        <v>0.99988710000000003</v>
      </c>
      <c r="N148">
        <v>-1.501328E-2</v>
      </c>
      <c r="O148">
        <v>-7.1170049999999996E-4</v>
      </c>
      <c r="P148">
        <v>0.9864347</v>
      </c>
      <c r="Q148">
        <v>0.1567134</v>
      </c>
      <c r="R148">
        <v>-4.8863660000000003E-2</v>
      </c>
      <c r="S148">
        <v>3.0689700000000002</v>
      </c>
      <c r="T148">
        <v>-0.1892086</v>
      </c>
      <c r="U148">
        <v>-4.9346920000000002E-2</v>
      </c>
      <c r="V148">
        <v>4.80919E-2</v>
      </c>
      <c r="W148">
        <v>0.1715255</v>
      </c>
      <c r="X148">
        <v>0.98400520000000002</v>
      </c>
      <c r="Y148">
        <v>1.5330109999999999E-2</v>
      </c>
      <c r="Z148">
        <v>-5.5415970000000005E-4</v>
      </c>
      <c r="AA148">
        <v>0.9998823</v>
      </c>
      <c r="AB148">
        <v>28</v>
      </c>
      <c r="AC148">
        <v>18.7181999999999</v>
      </c>
      <c r="AD148">
        <v>-1.1715930000000001</v>
      </c>
      <c r="AE148">
        <v>-0.30560000000002602</v>
      </c>
      <c r="AF148">
        <v>0.29113640356670301</v>
      </c>
      <c r="AG148">
        <v>-1.1715930000000001</v>
      </c>
      <c r="AH148">
        <v>18.645386190987601</v>
      </c>
      <c r="AI148">
        <v>93.595047393810702</v>
      </c>
      <c r="AJ148">
        <v>89.105433828903699</v>
      </c>
      <c r="AK148">
        <v>18.684427119240301</v>
      </c>
      <c r="AL148">
        <v>80.123473607185005</v>
      </c>
      <c r="AM148">
        <v>87.201974024557998</v>
      </c>
      <c r="AN148">
        <v>1.0000000308114401</v>
      </c>
    </row>
    <row r="149" spans="1:40" x14ac:dyDescent="0.25">
      <c r="A149" t="str">
        <f>"20190303170459550"</f>
        <v>20190303170459550</v>
      </c>
      <c r="B149" t="str">
        <f>"1551603899545118"</f>
        <v>1551603899545118</v>
      </c>
      <c r="C149" t="s">
        <v>40</v>
      </c>
      <c r="D149">
        <v>5.3584829999999997</v>
      </c>
      <c r="E149">
        <v>0.49099300000000001</v>
      </c>
      <c r="F149" t="s">
        <v>43</v>
      </c>
      <c r="G149">
        <v>-427.75209999999998</v>
      </c>
      <c r="H149">
        <v>-0.05</v>
      </c>
      <c r="I149">
        <v>366.57889999999998</v>
      </c>
      <c r="J149">
        <v>-446.9212</v>
      </c>
      <c r="K149">
        <v>1.121604</v>
      </c>
      <c r="L149">
        <v>366.8904</v>
      </c>
      <c r="M149">
        <v>0.99988690000000002</v>
      </c>
      <c r="N149">
        <v>-1.5040309999999999E-2</v>
      </c>
      <c r="O149">
        <v>-4.7219360000000003E-4</v>
      </c>
      <c r="P149">
        <v>0.98644670000000001</v>
      </c>
      <c r="Q149">
        <v>0.15667049999999999</v>
      </c>
      <c r="R149">
        <v>-4.8756069999999999E-2</v>
      </c>
      <c r="S149">
        <v>3.0681759999999998</v>
      </c>
      <c r="T149">
        <v>-0.1847761</v>
      </c>
      <c r="U149">
        <v>-4.9133299999999998E-2</v>
      </c>
      <c r="V149">
        <v>4.8220979999999997E-2</v>
      </c>
      <c r="W149">
        <v>0.17150899999999999</v>
      </c>
      <c r="X149">
        <v>0.98400169999999998</v>
      </c>
      <c r="Y149">
        <v>1.550497E-2</v>
      </c>
      <c r="Z149">
        <v>-5.6186210000000003E-4</v>
      </c>
      <c r="AA149">
        <v>0.99987969999999904</v>
      </c>
      <c r="AB149">
        <v>28</v>
      </c>
      <c r="AC149">
        <v>19.1691</v>
      </c>
      <c r="AD149">
        <v>-1.1716040000000001</v>
      </c>
      <c r="AE149">
        <v>-0.31150000000002298</v>
      </c>
      <c r="AF149">
        <v>0.30132209991258102</v>
      </c>
      <c r="AG149">
        <v>-1.1716040000000001</v>
      </c>
      <c r="AH149">
        <v>19.097921952606001</v>
      </c>
      <c r="AI149">
        <v>93.510100223147404</v>
      </c>
      <c r="AJ149">
        <v>89.096076931031504</v>
      </c>
      <c r="AK149">
        <v>19.136197998780801</v>
      </c>
      <c r="AL149">
        <v>80.124432629068096</v>
      </c>
      <c r="AM149">
        <v>87.194466064160494</v>
      </c>
      <c r="AN149">
        <v>0.99999997279802399</v>
      </c>
    </row>
    <row r="150" spans="1:40" x14ac:dyDescent="0.25">
      <c r="A150" t="str">
        <f>"20190303170459574"</f>
        <v>20190303170459574</v>
      </c>
      <c r="B150" t="str">
        <f>"1551603899564638"</f>
        <v>1551603899564638</v>
      </c>
      <c r="C150" t="s">
        <v>40</v>
      </c>
      <c r="D150">
        <v>5.357901</v>
      </c>
      <c r="E150">
        <v>0.49112529999999999</v>
      </c>
      <c r="F150" t="s">
        <v>43</v>
      </c>
      <c r="G150">
        <v>-426.91640000000001</v>
      </c>
      <c r="H150">
        <v>-0.05</v>
      </c>
      <c r="I150">
        <v>366.56259999999997</v>
      </c>
      <c r="J150">
        <v>-446.63459999999998</v>
      </c>
      <c r="K150">
        <v>1.121615</v>
      </c>
      <c r="L150">
        <v>366.89060000000001</v>
      </c>
      <c r="M150">
        <v>0.99988659999999996</v>
      </c>
      <c r="N150">
        <v>-1.5062910000000001E-2</v>
      </c>
      <c r="O150">
        <v>-2.3169729999999999E-4</v>
      </c>
      <c r="P150">
        <v>0.98651040000000001</v>
      </c>
      <c r="Q150">
        <v>0.1562935</v>
      </c>
      <c r="R150">
        <v>-4.8679140000000003E-2</v>
      </c>
      <c r="S150">
        <v>3.0672609999999998</v>
      </c>
      <c r="T150">
        <v>-0.17963709999999999</v>
      </c>
      <c r="U150">
        <v>-5.026245E-2</v>
      </c>
      <c r="V150">
        <v>4.8381680000000003E-2</v>
      </c>
      <c r="W150">
        <v>0.17115529999999901</v>
      </c>
      <c r="X150">
        <v>0.98405540000000002</v>
      </c>
      <c r="Y150">
        <v>1.611835E-2</v>
      </c>
      <c r="Z150">
        <v>-5.8302889999999996E-4</v>
      </c>
      <c r="AA150">
        <v>0.99986989999999998</v>
      </c>
      <c r="AB150">
        <v>28</v>
      </c>
      <c r="AC150">
        <v>19.7181999999999</v>
      </c>
      <c r="AD150">
        <v>-1.1716150000000001</v>
      </c>
      <c r="AE150">
        <v>-0.32800000000003099</v>
      </c>
      <c r="AF150">
        <v>0.32229328017438302</v>
      </c>
      <c r="AG150">
        <v>-1.1716150000000001</v>
      </c>
      <c r="AH150">
        <v>19.6489242828005</v>
      </c>
      <c r="AI150">
        <v>93.411902325918007</v>
      </c>
      <c r="AJ150">
        <v>89.060284998037702</v>
      </c>
      <c r="AK150">
        <v>19.686461849146401</v>
      </c>
      <c r="AL150">
        <v>80.145002345641501</v>
      </c>
      <c r="AM150">
        <v>87.185284786655004</v>
      </c>
      <c r="AN150">
        <v>0.99999997697343501</v>
      </c>
    </row>
    <row r="151" spans="1:40" x14ac:dyDescent="0.25">
      <c r="A151" t="str">
        <f>"20190303170459596"</f>
        <v>20190303170459596</v>
      </c>
      <c r="B151" t="str">
        <f>"1551603899584158"</f>
        <v>1551603899584158</v>
      </c>
      <c r="C151" t="s">
        <v>40</v>
      </c>
      <c r="D151">
        <v>5.4172690000000001</v>
      </c>
      <c r="E151">
        <v>0.49123679999999997</v>
      </c>
      <c r="F151" t="s">
        <v>43</v>
      </c>
      <c r="G151">
        <v>-426.41759999999999</v>
      </c>
      <c r="H151">
        <v>-0.05</v>
      </c>
      <c r="I151">
        <v>366.55180000000001</v>
      </c>
      <c r="J151">
        <v>-446.35160000000002</v>
      </c>
      <c r="K151">
        <v>1.1216269999999999</v>
      </c>
      <c r="L151">
        <v>366.89080000000001</v>
      </c>
      <c r="M151">
        <v>0.99988650000000001</v>
      </c>
      <c r="N151">
        <v>-1.5081249999999999E-2</v>
      </c>
      <c r="O151" s="1">
        <v>6.0249480000000002E-6</v>
      </c>
      <c r="P151">
        <v>0.9865507</v>
      </c>
      <c r="Q151">
        <v>0.15620529999999999</v>
      </c>
      <c r="R151">
        <v>-4.8144649999999997E-2</v>
      </c>
      <c r="S151">
        <v>3.066681</v>
      </c>
      <c r="T151">
        <v>-0.17771999999999999</v>
      </c>
      <c r="U151">
        <v>-5.1391600000000003E-2</v>
      </c>
      <c r="V151">
        <v>4.8081789999999999E-2</v>
      </c>
      <c r="W151">
        <v>0.1710853</v>
      </c>
      <c r="X151">
        <v>0.98408229999999997</v>
      </c>
      <c r="Y151">
        <v>1.6726350000000001E-2</v>
      </c>
      <c r="Z151">
        <v>-6.1075620000000002E-4</v>
      </c>
      <c r="AA151">
        <v>0.99985990000000002</v>
      </c>
      <c r="AB151">
        <v>28</v>
      </c>
      <c r="AC151">
        <v>19.934000000000001</v>
      </c>
      <c r="AD151">
        <v>-1.171627</v>
      </c>
      <c r="AE151">
        <v>-0.33899999999999803</v>
      </c>
      <c r="AF151">
        <v>0.33795298144285701</v>
      </c>
      <c r="AG151">
        <v>-1.171627</v>
      </c>
      <c r="AH151">
        <v>19.865392068566202</v>
      </c>
      <c r="AI151">
        <v>93.374810360930198</v>
      </c>
      <c r="AJ151">
        <v>89.025369760032106</v>
      </c>
      <c r="AK151">
        <v>19.902781817691899</v>
      </c>
      <c r="AL151">
        <v>80.149073379946799</v>
      </c>
      <c r="AM151">
        <v>87.202780121280895</v>
      </c>
      <c r="AN151">
        <v>1.00000000578949</v>
      </c>
    </row>
    <row r="152" spans="1:40" x14ac:dyDescent="0.25">
      <c r="A152" t="str">
        <f>"20190303170459618"</f>
        <v>20190303170459618</v>
      </c>
      <c r="B152" t="str">
        <f>"1551603899604654"</f>
        <v>1551603899604654</v>
      </c>
      <c r="C152" t="s">
        <v>40</v>
      </c>
      <c r="D152">
        <v>5.3595600000000001</v>
      </c>
      <c r="E152">
        <v>0.4914019</v>
      </c>
      <c r="F152" t="s">
        <v>43</v>
      </c>
      <c r="G152">
        <v>-425.94369999999998</v>
      </c>
      <c r="H152">
        <v>-0.05</v>
      </c>
      <c r="I152">
        <v>366.55079999999998</v>
      </c>
      <c r="J152">
        <v>-446.08120000000002</v>
      </c>
      <c r="K152">
        <v>1.121624</v>
      </c>
      <c r="L152">
        <v>366.89109999999999</v>
      </c>
      <c r="M152">
        <v>0.99988600000000005</v>
      </c>
      <c r="N152">
        <v>-1.5095580000000001E-2</v>
      </c>
      <c r="O152">
        <v>2.3393909999999999E-4</v>
      </c>
      <c r="P152">
        <v>0.98655519999999997</v>
      </c>
      <c r="Q152">
        <v>0.15635170000000001</v>
      </c>
      <c r="R152">
        <v>-4.7571820000000001E-2</v>
      </c>
      <c r="S152">
        <v>3.0662539999999998</v>
      </c>
      <c r="T152">
        <v>-0.176035</v>
      </c>
      <c r="U152">
        <v>-5.1086430000000002E-2</v>
      </c>
      <c r="V152">
        <v>4.7734060000000002E-2</v>
      </c>
      <c r="W152">
        <v>0.17124549999999999</v>
      </c>
      <c r="X152">
        <v>0.98407140000000004</v>
      </c>
      <c r="Y152">
        <v>1.6857210000000001E-2</v>
      </c>
      <c r="Z152">
        <v>-6.2073100000000002E-4</v>
      </c>
      <c r="AA152">
        <v>0.99985769999999996</v>
      </c>
      <c r="AB152">
        <v>28</v>
      </c>
      <c r="AC152">
        <v>20.137499999999999</v>
      </c>
      <c r="AD152">
        <v>-1.171624</v>
      </c>
      <c r="AE152">
        <v>-0.34030000000001298</v>
      </c>
      <c r="AF152">
        <v>0.34384786549997998</v>
      </c>
      <c r="AG152">
        <v>-1.171624</v>
      </c>
      <c r="AH152">
        <v>20.069502903860599</v>
      </c>
      <c r="AI152">
        <v>93.340550595293095</v>
      </c>
      <c r="AJ152">
        <v>89.018455799521703</v>
      </c>
      <c r="AK152">
        <v>20.106612866419098</v>
      </c>
      <c r="AL152">
        <v>80.139757460376998</v>
      </c>
      <c r="AM152">
        <v>87.2229472672322</v>
      </c>
      <c r="AN152">
        <v>1.00000004102614</v>
      </c>
    </row>
    <row r="153" spans="1:40" x14ac:dyDescent="0.25">
      <c r="A153" t="str">
        <f>"20190303170459640"</f>
        <v>20190303170459640</v>
      </c>
      <c r="B153" t="str">
        <f>"1551603899634909"</f>
        <v>1551603899634909</v>
      </c>
      <c r="C153" t="s">
        <v>40</v>
      </c>
      <c r="D153">
        <v>5.3522619999999996</v>
      </c>
      <c r="E153">
        <v>0.49162610000000001</v>
      </c>
      <c r="F153" t="s">
        <v>43</v>
      </c>
      <c r="G153">
        <v>-425.37810000000002</v>
      </c>
      <c r="H153">
        <v>-0.05</v>
      </c>
      <c r="I153">
        <v>366.5498</v>
      </c>
      <c r="J153">
        <v>-445.8021</v>
      </c>
      <c r="K153">
        <v>1.1216330000000001</v>
      </c>
      <c r="L153">
        <v>366.89139999999998</v>
      </c>
      <c r="M153">
        <v>0.99988580000000005</v>
      </c>
      <c r="N153">
        <v>-1.5107550000000001E-2</v>
      </c>
      <c r="O153">
        <v>4.6849249999999999E-4</v>
      </c>
      <c r="P153">
        <v>0.98659280000000005</v>
      </c>
      <c r="Q153">
        <v>0.15620539999999999</v>
      </c>
      <c r="R153">
        <v>-4.7273000000000003E-2</v>
      </c>
      <c r="S153">
        <v>3.065979</v>
      </c>
      <c r="T153">
        <v>-0.17350889999999999</v>
      </c>
      <c r="U153">
        <v>-5.0537110000000003E-2</v>
      </c>
      <c r="V153">
        <v>4.7667090000000002E-2</v>
      </c>
      <c r="W153">
        <v>0.1711116</v>
      </c>
      <c r="X153">
        <v>0.98409789999999997</v>
      </c>
      <c r="Y153">
        <v>1.6914729999999999E-2</v>
      </c>
      <c r="Z153">
        <v>-6.2553350000000001E-4</v>
      </c>
      <c r="AA153">
        <v>0.99985670000000004</v>
      </c>
      <c r="AB153">
        <v>28</v>
      </c>
      <c r="AC153">
        <v>20.4239999999999</v>
      </c>
      <c r="AD153">
        <v>-1.1716329999999999</v>
      </c>
      <c r="AE153">
        <v>-0.34159999999997098</v>
      </c>
      <c r="AF153">
        <v>0.35001802765745499</v>
      </c>
      <c r="AG153">
        <v>-1.1716329999999999</v>
      </c>
      <c r="AH153">
        <v>20.356866047431499</v>
      </c>
      <c r="AI153">
        <v>93.293520798926195</v>
      </c>
      <c r="AJ153">
        <v>89.014947597948293</v>
      </c>
      <c r="AK153">
        <v>20.3935585854809</v>
      </c>
      <c r="AL153">
        <v>80.147543929588295</v>
      </c>
      <c r="AM153">
        <v>87.226911894148103</v>
      </c>
      <c r="AN153">
        <v>1.00000000395401</v>
      </c>
    </row>
    <row r="154" spans="1:40" x14ac:dyDescent="0.25">
      <c r="A154" t="str">
        <f>"20190303170459663"</f>
        <v>20190303170459663</v>
      </c>
      <c r="B154" t="str">
        <f>"1551603899654430"</f>
        <v>1551603899654430</v>
      </c>
      <c r="C154" t="s">
        <v>40</v>
      </c>
      <c r="D154">
        <v>5.356541</v>
      </c>
      <c r="E154">
        <v>0.49177090000000001</v>
      </c>
      <c r="F154" t="s">
        <v>43</v>
      </c>
      <c r="G154">
        <v>-424.76920000000001</v>
      </c>
      <c r="H154">
        <v>-0.05</v>
      </c>
      <c r="I154">
        <v>366.5385</v>
      </c>
      <c r="J154">
        <v>-445.51679999999999</v>
      </c>
      <c r="K154">
        <v>1.1216349999999999</v>
      </c>
      <c r="L154">
        <v>366.89179999999999</v>
      </c>
      <c r="M154">
        <v>0.99988560000000004</v>
      </c>
      <c r="N154">
        <v>-1.511726E-2</v>
      </c>
      <c r="O154">
        <v>7.0836420000000002E-4</v>
      </c>
      <c r="P154">
        <v>0.98657720000000004</v>
      </c>
      <c r="Q154">
        <v>0.15628729999999999</v>
      </c>
      <c r="R154">
        <v>-4.7330339999999999E-2</v>
      </c>
      <c r="S154">
        <v>3.0653380000000001</v>
      </c>
      <c r="T154">
        <v>-0.17075409999999999</v>
      </c>
      <c r="U154">
        <v>-5.1422120000000002E-2</v>
      </c>
      <c r="V154">
        <v>4.7961240000000002E-2</v>
      </c>
      <c r="W154">
        <v>0.1712023</v>
      </c>
      <c r="X154">
        <v>0.9840679</v>
      </c>
      <c r="Y154">
        <v>1.7446360000000001E-2</v>
      </c>
      <c r="Z154">
        <v>-6.4625350000000002E-4</v>
      </c>
      <c r="AA154">
        <v>0.99984759999999995</v>
      </c>
      <c r="AB154">
        <v>28</v>
      </c>
      <c r="AC154">
        <v>20.747599999999899</v>
      </c>
      <c r="AD154">
        <v>-1.171635</v>
      </c>
      <c r="AE154">
        <v>-0.35329999999999001</v>
      </c>
      <c r="AF154">
        <v>0.36682898274923498</v>
      </c>
      <c r="AG154">
        <v>-1.171635</v>
      </c>
      <c r="AH154">
        <v>20.6814114444308</v>
      </c>
      <c r="AI154">
        <v>93.241922818522795</v>
      </c>
      <c r="AJ154">
        <v>88.983843589026904</v>
      </c>
      <c r="AK154">
        <v>20.717820141357599</v>
      </c>
      <c r="AL154">
        <v>80.142270026778405</v>
      </c>
      <c r="AM154">
        <v>87.209741410596806</v>
      </c>
      <c r="AN154">
        <v>1.0000000699390099</v>
      </c>
    </row>
    <row r="155" spans="1:40" x14ac:dyDescent="0.25">
      <c r="A155" t="str">
        <f>"20190303170459684"</f>
        <v>20190303170459684</v>
      </c>
      <c r="B155" t="str">
        <f>"1551603899674927"</f>
        <v>1551603899674927</v>
      </c>
      <c r="C155" t="s">
        <v>40</v>
      </c>
      <c r="D155">
        <v>5.4088200000000004</v>
      </c>
      <c r="E155">
        <v>0.49188969999999999</v>
      </c>
      <c r="F155" t="s">
        <v>43</v>
      </c>
      <c r="G155">
        <v>-424.17099999999999</v>
      </c>
      <c r="H155">
        <v>-0.05</v>
      </c>
      <c r="I155">
        <v>366.52300000000002</v>
      </c>
      <c r="J155">
        <v>-445.2475</v>
      </c>
      <c r="K155">
        <v>1.1216429999999999</v>
      </c>
      <c r="L155">
        <v>366.8922</v>
      </c>
      <c r="M155">
        <v>0.99988529999999998</v>
      </c>
      <c r="N155">
        <v>-1.512398E-2</v>
      </c>
      <c r="O155">
        <v>9.3496699999999998E-4</v>
      </c>
      <c r="P155">
        <v>0.98660420000000004</v>
      </c>
      <c r="Q155">
        <v>0.15593370000000001</v>
      </c>
      <c r="R155">
        <v>-4.7930439999999998E-2</v>
      </c>
      <c r="S155">
        <v>3.0649410000000001</v>
      </c>
      <c r="T155">
        <v>-0.1682295</v>
      </c>
      <c r="U155">
        <v>-5.2948000000000002E-2</v>
      </c>
      <c r="V155">
        <v>4.878528E-2</v>
      </c>
      <c r="W155">
        <v>0.17085600000000001</v>
      </c>
      <c r="X155">
        <v>0.9840875</v>
      </c>
      <c r="Y155">
        <v>1.8172089999999998E-2</v>
      </c>
      <c r="Z155">
        <v>-6.7301660000000001E-4</v>
      </c>
      <c r="AA155">
        <v>0.99983469999999997</v>
      </c>
      <c r="AB155">
        <v>28</v>
      </c>
      <c r="AC155">
        <v>21.076499999999999</v>
      </c>
      <c r="AD155">
        <v>-1.171643</v>
      </c>
      <c r="AE155">
        <v>-0.36919999999997699</v>
      </c>
      <c r="AF155">
        <v>0.38771016864270302</v>
      </c>
      <c r="AG155">
        <v>-1.171643</v>
      </c>
      <c r="AH155">
        <v>21.011235503093001</v>
      </c>
      <c r="AI155">
        <v>93.191119253014193</v>
      </c>
      <c r="AJ155">
        <v>88.942868658208297</v>
      </c>
      <c r="AK155">
        <v>21.047448393113001</v>
      </c>
      <c r="AL155">
        <v>80.162407496754696</v>
      </c>
      <c r="AM155">
        <v>87.161935089981796</v>
      </c>
      <c r="AN155">
        <v>0.99999999196846401</v>
      </c>
    </row>
    <row r="156" spans="1:40" x14ac:dyDescent="0.25">
      <c r="A156" t="str">
        <f>"20190303170459698"</f>
        <v>20190303170459698</v>
      </c>
      <c r="B156" t="str">
        <f>"1551603899684686"</f>
        <v>1551603899684686</v>
      </c>
      <c r="C156" t="s">
        <v>40</v>
      </c>
      <c r="D156">
        <v>5.4109259999999999</v>
      </c>
      <c r="E156">
        <v>0.49197109999999999</v>
      </c>
      <c r="F156" t="s">
        <v>43</v>
      </c>
      <c r="G156">
        <v>-423.87020000000001</v>
      </c>
      <c r="H156">
        <v>-0.05</v>
      </c>
      <c r="I156">
        <v>366.50400000000002</v>
      </c>
      <c r="J156">
        <v>-445.0736</v>
      </c>
      <c r="K156">
        <v>1.1216459999999999</v>
      </c>
      <c r="L156">
        <v>366.89249999999998</v>
      </c>
      <c r="M156">
        <v>0.99988500000000002</v>
      </c>
      <c r="N156">
        <v>-1.512734E-2</v>
      </c>
      <c r="O156">
        <v>1.0814939999999999E-3</v>
      </c>
      <c r="P156">
        <v>0.98654600000000003</v>
      </c>
      <c r="Q156">
        <v>0.1563185</v>
      </c>
      <c r="R156">
        <v>-4.7873209999999999E-2</v>
      </c>
      <c r="S156">
        <v>3.0646059999999999</v>
      </c>
      <c r="T156">
        <v>-0.16796420000000001</v>
      </c>
      <c r="U156">
        <v>-5.5664060000000001E-2</v>
      </c>
      <c r="V156">
        <v>4.8872560000000002E-2</v>
      </c>
      <c r="W156">
        <v>0.1712427</v>
      </c>
      <c r="X156">
        <v>0.98401590000000005</v>
      </c>
      <c r="Y156">
        <v>1.920434E-2</v>
      </c>
      <c r="Z156">
        <v>-7.1412440000000004E-4</v>
      </c>
      <c r="AA156">
        <v>0.99981529999999996</v>
      </c>
      <c r="AB156">
        <v>28</v>
      </c>
      <c r="AC156">
        <v>21.203399999999899</v>
      </c>
      <c r="AD156">
        <v>-1.171646</v>
      </c>
      <c r="AE156">
        <v>-0.38849999999996399</v>
      </c>
      <c r="AF156">
        <v>0.41018172350677601</v>
      </c>
      <c r="AG156">
        <v>-1.171646</v>
      </c>
      <c r="AH156">
        <v>21.1384452013369</v>
      </c>
      <c r="AI156">
        <v>93.171905733936299</v>
      </c>
      <c r="AJ156">
        <v>88.888341489190793</v>
      </c>
      <c r="AK156">
        <v>21.174864082811499</v>
      </c>
      <c r="AL156">
        <v>80.139919292115295</v>
      </c>
      <c r="AM156">
        <v>87.156659397383294</v>
      </c>
      <c r="AN156">
        <v>0.99999994043852503</v>
      </c>
    </row>
    <row r="157" spans="1:40" x14ac:dyDescent="0.25">
      <c r="A157" t="str">
        <f>"20190303170459718"</f>
        <v>20190303170459718</v>
      </c>
      <c r="B157" t="str">
        <f>"1551603899704206"</f>
        <v>1551603899704206</v>
      </c>
      <c r="C157" t="s">
        <v>40</v>
      </c>
      <c r="D157">
        <v>5.4781449999999996</v>
      </c>
      <c r="E157">
        <v>0.50278089999999998</v>
      </c>
      <c r="F157" t="s">
        <v>43</v>
      </c>
      <c r="G157">
        <v>-423.38889999999998</v>
      </c>
      <c r="H157">
        <v>-0.05</v>
      </c>
      <c r="I157">
        <v>366.49450000000002</v>
      </c>
      <c r="J157">
        <v>-444.8304</v>
      </c>
      <c r="K157">
        <v>1.1216549999999901</v>
      </c>
      <c r="L157">
        <v>366.89299999999997</v>
      </c>
      <c r="M157">
        <v>0.99988480000000002</v>
      </c>
      <c r="N157">
        <v>-1.513102E-2</v>
      </c>
      <c r="O157">
        <v>1.285832E-3</v>
      </c>
      <c r="P157">
        <v>0.98654059999999999</v>
      </c>
      <c r="Q157">
        <v>0.15644469999999999</v>
      </c>
      <c r="R157">
        <v>-4.7570979999999999E-2</v>
      </c>
      <c r="S157">
        <v>3.0644230000000001</v>
      </c>
      <c r="T157">
        <v>-0.16557379999999999</v>
      </c>
      <c r="U157">
        <v>-5.6243899999999999E-2</v>
      </c>
      <c r="V157">
        <v>4.8772219999999998E-2</v>
      </c>
      <c r="W157">
        <v>0.17137239999999901</v>
      </c>
      <c r="X157">
        <v>0.98399840000000005</v>
      </c>
      <c r="Y157">
        <v>1.9598919999999999E-2</v>
      </c>
      <c r="Z157">
        <v>-7.2745289999999897E-4</v>
      </c>
      <c r="AA157">
        <v>0.99980769999999997</v>
      </c>
      <c r="AB157">
        <v>28</v>
      </c>
      <c r="AC157">
        <v>21.441500000000001</v>
      </c>
      <c r="AD157">
        <v>-1.1716549999999999</v>
      </c>
      <c r="AE157">
        <v>-0.39850000000001201</v>
      </c>
      <c r="AF157">
        <v>0.42480496319525102</v>
      </c>
      <c r="AG157">
        <v>-1.1716549999999999</v>
      </c>
      <c r="AH157">
        <v>21.3771597430421</v>
      </c>
      <c r="AI157">
        <v>93.136552132043903</v>
      </c>
      <c r="AJ157">
        <v>88.861573346324803</v>
      </c>
      <c r="AK157">
        <v>21.413458230172001</v>
      </c>
      <c r="AL157">
        <v>80.1323775218262</v>
      </c>
      <c r="AM157">
        <v>87.162437113631</v>
      </c>
      <c r="AN157">
        <v>1.0000000400640201</v>
      </c>
    </row>
    <row r="158" spans="1:40" x14ac:dyDescent="0.25">
      <c r="A158" t="str">
        <f>"20190303170459740"</f>
        <v>20190303170459740</v>
      </c>
      <c r="B158" t="str">
        <f>"1551603899734462"</f>
        <v>1551603899734462</v>
      </c>
      <c r="C158" t="s">
        <v>40</v>
      </c>
      <c r="D158">
        <v>5.1564969999999999</v>
      </c>
      <c r="E158">
        <v>0.50415120000000002</v>
      </c>
      <c r="F158" t="s">
        <v>43</v>
      </c>
      <c r="G158">
        <v>-398.79349999999999</v>
      </c>
      <c r="H158">
        <v>-0.05</v>
      </c>
      <c r="I158">
        <v>364.6968</v>
      </c>
      <c r="J158">
        <v>-444.5566</v>
      </c>
      <c r="K158">
        <v>1.121664</v>
      </c>
      <c r="L158">
        <v>366.89370000000002</v>
      </c>
      <c r="M158">
        <v>0.99988440000000001</v>
      </c>
      <c r="N158">
        <v>-1.513365E-2</v>
      </c>
      <c r="O158">
        <v>1.5135070000000001E-3</v>
      </c>
      <c r="P158">
        <v>0.98651580000000005</v>
      </c>
      <c r="Q158">
        <v>0.15691060000000001</v>
      </c>
      <c r="R158">
        <v>-4.6536279999999999E-2</v>
      </c>
      <c r="S158">
        <v>3.0462340000000001</v>
      </c>
      <c r="T158">
        <v>-7.7527760000000001E-2</v>
      </c>
      <c r="U158">
        <v>-0.1453247</v>
      </c>
      <c r="V158">
        <v>4.7962940000000003E-2</v>
      </c>
      <c r="W158">
        <v>0.17183979999999999</v>
      </c>
      <c r="X158">
        <v>0.98395659999999896</v>
      </c>
      <c r="Y158">
        <v>4.9138639999999997E-2</v>
      </c>
      <c r="Z158">
        <v>-1.0125939999999999E-3</v>
      </c>
      <c r="AA158">
        <v>0.99879150000000005</v>
      </c>
      <c r="AB158">
        <v>28</v>
      </c>
      <c r="AC158">
        <v>45.763100000000001</v>
      </c>
      <c r="AD158">
        <v>-1.171664</v>
      </c>
      <c r="AE158">
        <v>-2.1969000000000198</v>
      </c>
      <c r="AF158">
        <v>2.2646870857407602</v>
      </c>
      <c r="AG158">
        <v>-1.171664</v>
      </c>
      <c r="AH158">
        <v>45.729815018569298</v>
      </c>
      <c r="AI158">
        <v>91.465883948233397</v>
      </c>
      <c r="AJ158">
        <v>87.164845533077695</v>
      </c>
      <c r="AK158">
        <v>45.800846998257398</v>
      </c>
      <c r="AL158">
        <v>80.105193584198304</v>
      </c>
      <c r="AM158">
        <v>87.209327533740193</v>
      </c>
      <c r="AN158">
        <v>0.99999997558052101</v>
      </c>
    </row>
    <row r="159" spans="1:40" x14ac:dyDescent="0.25">
      <c r="A159" t="str">
        <f>"20190303170459763"</f>
        <v>20190303170459763</v>
      </c>
      <c r="B159" t="str">
        <f>"1551603899754958"</f>
        <v>1551603899754958</v>
      </c>
      <c r="C159" t="s">
        <v>40</v>
      </c>
      <c r="D159">
        <v>5.105302</v>
      </c>
      <c r="E159">
        <v>0.5040578</v>
      </c>
      <c r="F159" t="s">
        <v>41</v>
      </c>
      <c r="G159">
        <v>-396.04629999999997</v>
      </c>
      <c r="H159" s="1">
        <v>-2.7078250000000002E-6</v>
      </c>
      <c r="I159">
        <v>364.44369999999998</v>
      </c>
      <c r="J159">
        <v>-444.27269999999999</v>
      </c>
      <c r="K159">
        <v>1.1216660000000001</v>
      </c>
      <c r="L159">
        <v>366.89429999999999</v>
      </c>
      <c r="M159">
        <v>0.999884</v>
      </c>
      <c r="N159">
        <v>-1.5135249999999999E-2</v>
      </c>
      <c r="O159">
        <v>1.7393930000000001E-3</v>
      </c>
      <c r="P159">
        <v>0.98647399999999996</v>
      </c>
      <c r="Q159">
        <v>0.15751029999999999</v>
      </c>
      <c r="R159">
        <v>-4.5383640000000003E-2</v>
      </c>
      <c r="S159">
        <v>3.0449220000000001</v>
      </c>
      <c r="T159">
        <v>-7.0405239999999994E-2</v>
      </c>
      <c r="U159">
        <v>-0.1537781</v>
      </c>
      <c r="V159">
        <v>4.7035439999999998E-2</v>
      </c>
      <c r="W159">
        <v>0.17243910000000001</v>
      </c>
      <c r="X159">
        <v>0.98389660000000001</v>
      </c>
      <c r="Y159">
        <v>5.2153070000000003E-2</v>
      </c>
      <c r="Z159">
        <v>-1.011397E-3</v>
      </c>
      <c r="AA159">
        <v>0.99863860000000004</v>
      </c>
      <c r="AB159">
        <v>28</v>
      </c>
      <c r="AC159">
        <v>48.226399999999998</v>
      </c>
      <c r="AD159">
        <v>-1.1216687078250001</v>
      </c>
      <c r="AE159">
        <v>-2.4506000000000001</v>
      </c>
      <c r="AF159">
        <v>2.53312378769068</v>
      </c>
      <c r="AG159">
        <v>-1.1216687078250001</v>
      </c>
      <c r="AH159">
        <v>48.19605932935</v>
      </c>
      <c r="AI159">
        <v>91.331369200768506</v>
      </c>
      <c r="AJ159">
        <v>86.991374778447096</v>
      </c>
      <c r="AK159">
        <v>48.2756148763753</v>
      </c>
      <c r="AL159">
        <v>80.070336609954197</v>
      </c>
      <c r="AM159">
        <v>87.2630436355836</v>
      </c>
      <c r="AN159">
        <v>1.0000000476581801</v>
      </c>
    </row>
    <row r="160" spans="1:40" x14ac:dyDescent="0.25">
      <c r="A160" t="str">
        <f>"20190303170459785"</f>
        <v>20190303170459785</v>
      </c>
      <c r="B160" t="str">
        <f>"1551603899774478"</f>
        <v>1551603899774478</v>
      </c>
      <c r="C160" t="s">
        <v>40</v>
      </c>
      <c r="D160">
        <v>5.4200739999999996</v>
      </c>
      <c r="E160">
        <v>0.50419579999999997</v>
      </c>
      <c r="F160" t="s">
        <v>41</v>
      </c>
      <c r="G160">
        <v>-393.80340000000001</v>
      </c>
      <c r="H160" s="1">
        <v>-3.5631880000000001E-6</v>
      </c>
      <c r="I160">
        <v>364.41539999999998</v>
      </c>
      <c r="J160">
        <v>-444.0095</v>
      </c>
      <c r="K160">
        <v>1.121661</v>
      </c>
      <c r="L160">
        <v>366.89499999999998</v>
      </c>
      <c r="M160">
        <v>0.99988370000000004</v>
      </c>
      <c r="N160">
        <v>-1.513536E-2</v>
      </c>
      <c r="O160">
        <v>1.933929E-3</v>
      </c>
      <c r="P160">
        <v>0.986398</v>
      </c>
      <c r="Q160">
        <v>0.15821559999999901</v>
      </c>
      <c r="R160">
        <v>-4.4579439999999998E-2</v>
      </c>
      <c r="S160">
        <v>3.0451350000000001</v>
      </c>
      <c r="T160">
        <v>-6.7677379999999995E-2</v>
      </c>
      <c r="U160">
        <v>-0.1495667</v>
      </c>
      <c r="V160">
        <v>4.6426889999999998E-2</v>
      </c>
      <c r="W160">
        <v>0.1731422</v>
      </c>
      <c r="X160">
        <v>0.98380199999999995</v>
      </c>
      <c r="Y160">
        <v>5.0967989999999998E-2</v>
      </c>
      <c r="Z160">
        <v>-9.6570550000000003E-4</v>
      </c>
      <c r="AA160">
        <v>0.99869980000000003</v>
      </c>
      <c r="AB160">
        <v>28</v>
      </c>
      <c r="AC160">
        <v>50.2060999999999</v>
      </c>
      <c r="AD160">
        <v>-1.121664563188</v>
      </c>
      <c r="AE160">
        <v>-2.4796</v>
      </c>
      <c r="AF160">
        <v>2.5754191674322402</v>
      </c>
      <c r="AG160">
        <v>-1.121664563188</v>
      </c>
      <c r="AH160">
        <v>50.176226689309502</v>
      </c>
      <c r="AI160">
        <v>91.278922335149403</v>
      </c>
      <c r="AJ160">
        <v>87.061730631959804</v>
      </c>
      <c r="AK160">
        <v>50.254797184520299</v>
      </c>
      <c r="AL160">
        <v>80.029436541850899</v>
      </c>
      <c r="AM160">
        <v>87.298142495865093</v>
      </c>
      <c r="AN160">
        <v>1.00000002636995</v>
      </c>
    </row>
    <row r="161" spans="1:40" x14ac:dyDescent="0.25">
      <c r="A161" t="str">
        <f>"20190303170459808"</f>
        <v>20190303170459808</v>
      </c>
      <c r="B161" t="str">
        <f>"1551603899794975"</f>
        <v>1551603899794975</v>
      </c>
      <c r="C161" t="s">
        <v>40</v>
      </c>
      <c r="D161">
        <v>5.4226830000000001</v>
      </c>
      <c r="E161">
        <v>0.50405540000000004</v>
      </c>
      <c r="F161" t="s">
        <v>41</v>
      </c>
      <c r="G161">
        <v>-390.96010000000001</v>
      </c>
      <c r="H161" s="1">
        <v>-4.800815E-6</v>
      </c>
      <c r="I161">
        <v>364.31479999999999</v>
      </c>
      <c r="J161">
        <v>-443.72320000000002</v>
      </c>
      <c r="K161">
        <v>1.121656</v>
      </c>
      <c r="L161">
        <v>366.89580000000001</v>
      </c>
      <c r="M161">
        <v>0.99988319999999997</v>
      </c>
      <c r="N161">
        <v>-1.513479E-2</v>
      </c>
      <c r="O161">
        <v>2.130547E-3</v>
      </c>
      <c r="P161">
        <v>0.98634520000000003</v>
      </c>
      <c r="Q161">
        <v>0.15875529999999999</v>
      </c>
      <c r="R161">
        <v>-4.3817099999999998E-2</v>
      </c>
      <c r="S161">
        <v>3.045013</v>
      </c>
      <c r="T161">
        <v>-6.4383029999999994E-2</v>
      </c>
      <c r="U161">
        <v>-0.14810179999999901</v>
      </c>
      <c r="V161">
        <v>4.5864090000000003E-2</v>
      </c>
      <c r="W161">
        <v>0.173678</v>
      </c>
      <c r="X161">
        <v>0.98373390000000005</v>
      </c>
      <c r="Y161">
        <v>5.0688780000000003E-2</v>
      </c>
      <c r="Z161">
        <v>-9.3219329999999999E-4</v>
      </c>
      <c r="AA161">
        <v>0.99871410000000005</v>
      </c>
      <c r="AB161">
        <v>28</v>
      </c>
      <c r="AC161">
        <v>52.763100000000001</v>
      </c>
      <c r="AD161">
        <v>-1.121660800815</v>
      </c>
      <c r="AE161">
        <v>-2.5810000000000102</v>
      </c>
      <c r="AF161">
        <v>2.6922075208419902</v>
      </c>
      <c r="AG161">
        <v>-1.121660800815</v>
      </c>
      <c r="AH161">
        <v>52.733706071096698</v>
      </c>
      <c r="AI161">
        <v>91.216929259269705</v>
      </c>
      <c r="AJ161">
        <v>87.077422864434396</v>
      </c>
      <c r="AK161">
        <v>52.814295983949101</v>
      </c>
      <c r="AL161">
        <v>79.998264681718695</v>
      </c>
      <c r="AM161">
        <v>87.330663019256207</v>
      </c>
      <c r="AN161">
        <v>0.99999997422236797</v>
      </c>
    </row>
    <row r="162" spans="1:40" x14ac:dyDescent="0.25">
      <c r="A162" t="str">
        <f>"20190303170459832"</f>
        <v>20190303170459832</v>
      </c>
      <c r="B162" t="str">
        <f>"1551603899824254"</f>
        <v>1551603899824254</v>
      </c>
      <c r="C162" t="s">
        <v>40</v>
      </c>
      <c r="D162">
        <v>5.3673520000000003</v>
      </c>
      <c r="E162">
        <v>0.50424209999999903</v>
      </c>
      <c r="F162" t="s">
        <v>41</v>
      </c>
      <c r="G162">
        <v>-388.25979999999998</v>
      </c>
      <c r="H162" s="1">
        <v>-2.0049469999999999E-6</v>
      </c>
      <c r="I162">
        <v>364.2543</v>
      </c>
      <c r="J162">
        <v>-443.44409999999999</v>
      </c>
      <c r="K162">
        <v>1.1216429999999999</v>
      </c>
      <c r="L162">
        <v>366.89659999999998</v>
      </c>
      <c r="M162">
        <v>0.99988279999999996</v>
      </c>
      <c r="N162">
        <v>-1.5133270000000001E-2</v>
      </c>
      <c r="O162">
        <v>2.30102E-3</v>
      </c>
      <c r="P162">
        <v>0.98630209999999996</v>
      </c>
      <c r="Q162">
        <v>0.15903829999999999</v>
      </c>
      <c r="R162">
        <v>-4.3763169999999997E-2</v>
      </c>
      <c r="S162">
        <v>3.0449830000000002</v>
      </c>
      <c r="T162">
        <v>-6.157982E-2</v>
      </c>
      <c r="U162">
        <v>-0.1450195</v>
      </c>
      <c r="V162">
        <v>4.5984990000000003E-2</v>
      </c>
      <c r="W162">
        <v>0.173957</v>
      </c>
      <c r="X162">
        <v>0.98367899999999997</v>
      </c>
      <c r="Y162">
        <v>4.9852529999999999E-2</v>
      </c>
      <c r="Z162">
        <v>-8.9297589999999896E-4</v>
      </c>
      <c r="AA162">
        <v>0.99875619999999998</v>
      </c>
      <c r="AB162">
        <v>28</v>
      </c>
      <c r="AC162">
        <v>55.1843</v>
      </c>
      <c r="AD162">
        <v>-1.1216450049469999</v>
      </c>
      <c r="AE162">
        <v>-2.6422999999999699</v>
      </c>
      <c r="AF162">
        <v>2.76814675849768</v>
      </c>
      <c r="AG162">
        <v>-1.1216450049469999</v>
      </c>
      <c r="AH162">
        <v>55.1553393524526</v>
      </c>
      <c r="AI162">
        <v>91.163548567843605</v>
      </c>
      <c r="AJ162">
        <v>87.126839159772999</v>
      </c>
      <c r="AK162">
        <v>55.236149241940403</v>
      </c>
      <c r="AL162">
        <v>79.982032487759298</v>
      </c>
      <c r="AM162">
        <v>87.323487580150896</v>
      </c>
      <c r="AN162">
        <v>1.0000000160976401</v>
      </c>
    </row>
    <row r="163" spans="1:40" x14ac:dyDescent="0.25">
      <c r="A163" t="str">
        <f>"20190303170459854"</f>
        <v>20190303170459854</v>
      </c>
      <c r="B163" t="str">
        <f>"1551603899844751"</f>
        <v>1551603899844751</v>
      </c>
      <c r="C163" t="s">
        <v>40</v>
      </c>
      <c r="D163">
        <v>5.4825809999999997</v>
      </c>
      <c r="E163">
        <v>0.50430549999999996</v>
      </c>
      <c r="F163" t="s">
        <v>41</v>
      </c>
      <c r="G163">
        <v>-386.43540000000002</v>
      </c>
      <c r="H163" s="1">
        <v>-2.6543370000000001E-6</v>
      </c>
      <c r="I163">
        <v>364.14699999999999</v>
      </c>
      <c r="J163">
        <v>-443.15780000000001</v>
      </c>
      <c r="K163">
        <v>1.1216200000000001</v>
      </c>
      <c r="L163">
        <v>366.89749999999998</v>
      </c>
      <c r="M163">
        <v>0.99988250000000001</v>
      </c>
      <c r="N163">
        <v>-1.513101E-2</v>
      </c>
      <c r="O163">
        <v>2.4486709999999999E-3</v>
      </c>
      <c r="P163">
        <v>0.98627739999999997</v>
      </c>
      <c r="Q163">
        <v>0.15899739999999901</v>
      </c>
      <c r="R163">
        <v>-4.4459949999999998E-2</v>
      </c>
      <c r="S163">
        <v>3.0448</v>
      </c>
      <c r="T163">
        <v>-5.9906359999999999E-2</v>
      </c>
      <c r="U163">
        <v>-0.1468506</v>
      </c>
      <c r="V163">
        <v>4.6835809999999999E-2</v>
      </c>
      <c r="W163">
        <v>0.17391139999999999</v>
      </c>
      <c r="X163">
        <v>0.98364689999999999</v>
      </c>
      <c r="Y163">
        <v>5.0602599999999998E-2</v>
      </c>
      <c r="Z163">
        <v>-8.9172470000000001E-4</v>
      </c>
      <c r="AA163">
        <v>0.99871840000000001</v>
      </c>
      <c r="AB163">
        <v>27</v>
      </c>
      <c r="AC163">
        <v>56.722399999999901</v>
      </c>
      <c r="AD163">
        <v>-1.121622654337</v>
      </c>
      <c r="AE163">
        <v>-2.7504999999999802</v>
      </c>
      <c r="AF163">
        <v>2.8882754672819999</v>
      </c>
      <c r="AG163">
        <v>-1.121622654337</v>
      </c>
      <c r="AH163">
        <v>56.6933785688786</v>
      </c>
      <c r="AI163">
        <v>91.131925113864796</v>
      </c>
      <c r="AJ163">
        <v>87.083556300674502</v>
      </c>
      <c r="AK163">
        <v>56.7779829344774</v>
      </c>
      <c r="AL163">
        <v>79.984685412945595</v>
      </c>
      <c r="AM163">
        <v>87.273951609872796</v>
      </c>
      <c r="AN163">
        <v>0.99999999601396194</v>
      </c>
    </row>
    <row r="164" spans="1:40" x14ac:dyDescent="0.25">
      <c r="A164" t="str">
        <f>"20190303170459875"</f>
        <v>20190303170459875</v>
      </c>
      <c r="B164" t="str">
        <f>"1551603899864270"</f>
        <v>1551603899864270</v>
      </c>
      <c r="C164" t="s">
        <v>40</v>
      </c>
      <c r="D164">
        <v>5.4831440000000002</v>
      </c>
      <c r="E164">
        <v>0.50440719999999994</v>
      </c>
      <c r="F164" t="s">
        <v>41</v>
      </c>
      <c r="G164">
        <v>-386.4298</v>
      </c>
      <c r="H164" s="1">
        <v>-2.6649760000000001E-6</v>
      </c>
      <c r="I164">
        <v>364.11410000000001</v>
      </c>
      <c r="J164">
        <v>-442.90460000000002</v>
      </c>
      <c r="K164">
        <v>1.1216109999999999</v>
      </c>
      <c r="L164">
        <v>366.89819999999997</v>
      </c>
      <c r="M164">
        <v>0.9998823</v>
      </c>
      <c r="N164">
        <v>-1.512845E-2</v>
      </c>
      <c r="O164">
        <v>2.5549209999999999E-3</v>
      </c>
      <c r="P164">
        <v>0.98622699999999996</v>
      </c>
      <c r="Q164">
        <v>0.1592933</v>
      </c>
      <c r="R164">
        <v>-4.4521730000000002E-2</v>
      </c>
      <c r="S164">
        <v>3.0446780000000002</v>
      </c>
      <c r="T164">
        <v>-6.0199139999999998E-2</v>
      </c>
      <c r="U164">
        <v>-0.1493835</v>
      </c>
      <c r="V164">
        <v>4.7009809999999999E-2</v>
      </c>
      <c r="W164">
        <v>0.1742021</v>
      </c>
      <c r="X164">
        <v>0.98358710000000005</v>
      </c>
      <c r="Y164">
        <v>5.1539080000000001E-2</v>
      </c>
      <c r="Z164">
        <v>-9.1118619999999999E-4</v>
      </c>
      <c r="AA164">
        <v>0.99867059999999996</v>
      </c>
      <c r="AB164">
        <v>27</v>
      </c>
      <c r="AC164">
        <v>56.474800000000002</v>
      </c>
      <c r="AD164">
        <v>-1.121613664976</v>
      </c>
      <c r="AE164">
        <v>-2.7840999999999601</v>
      </c>
      <c r="AF164">
        <v>2.9272442643471499</v>
      </c>
      <c r="AG164">
        <v>-1.121613664976</v>
      </c>
      <c r="AH164">
        <v>56.445291554532503</v>
      </c>
      <c r="AI164">
        <v>91.136836437414004</v>
      </c>
      <c r="AJ164">
        <v>87.031309028940001</v>
      </c>
      <c r="AK164">
        <v>56.5322714462527</v>
      </c>
      <c r="AL164">
        <v>79.967770764916395</v>
      </c>
      <c r="AM164">
        <v>87.263673313266594</v>
      </c>
      <c r="AN164">
        <v>0.99999993858352598</v>
      </c>
    </row>
    <row r="165" spans="1:40" x14ac:dyDescent="0.25">
      <c r="A165" t="str">
        <f>"20190303170459898"</f>
        <v>20190303170459898</v>
      </c>
      <c r="B165" t="str">
        <f>"1551603899884767"</f>
        <v>1551603899884767</v>
      </c>
      <c r="C165" t="s">
        <v>40</v>
      </c>
      <c r="D165">
        <v>5.4264789999999996</v>
      </c>
      <c r="E165">
        <v>0.50456789999999996</v>
      </c>
      <c r="F165" t="s">
        <v>41</v>
      </c>
      <c r="G165">
        <v>-385.5138</v>
      </c>
      <c r="H165" s="1">
        <v>-2.9916019999999999E-6</v>
      </c>
      <c r="I165">
        <v>364.0582</v>
      </c>
      <c r="J165">
        <v>-442.62860000000001</v>
      </c>
      <c r="K165">
        <v>1.121597</v>
      </c>
      <c r="L165">
        <v>366.899</v>
      </c>
      <c r="M165">
        <v>0.99988220000000005</v>
      </c>
      <c r="N165">
        <v>-1.512516E-2</v>
      </c>
      <c r="O165">
        <v>2.6476949999999998E-3</v>
      </c>
      <c r="P165">
        <v>0.98617750000000004</v>
      </c>
      <c r="Q165">
        <v>0.15960179999999999</v>
      </c>
      <c r="R165">
        <v>-4.4516430000000003E-2</v>
      </c>
      <c r="S165">
        <v>3.044708</v>
      </c>
      <c r="T165">
        <v>-5.9504029999999999E-2</v>
      </c>
      <c r="U165">
        <v>-0.150665299999999</v>
      </c>
      <c r="V165">
        <v>4.7103840000000001E-2</v>
      </c>
      <c r="W165">
        <v>0.174504399999999</v>
      </c>
      <c r="X165">
        <v>0.98352910000000004</v>
      </c>
      <c r="Y165">
        <v>5.2050779999999998E-2</v>
      </c>
      <c r="Z165">
        <v>-9.1392019999999999E-4</v>
      </c>
      <c r="AA165">
        <v>0.99864399999999998</v>
      </c>
      <c r="AB165">
        <v>27</v>
      </c>
      <c r="AC165">
        <v>57.114800000000002</v>
      </c>
      <c r="AD165">
        <v>-1.1215999916020001</v>
      </c>
      <c r="AE165">
        <v>-2.8408000000000002</v>
      </c>
      <c r="AF165">
        <v>2.99087934922288</v>
      </c>
      <c r="AG165">
        <v>-1.1215999916020001</v>
      </c>
      <c r="AH165">
        <v>57.085117520756498</v>
      </c>
      <c r="AI165">
        <v>91.124052878455501</v>
      </c>
      <c r="AJ165">
        <v>87.000825667123095</v>
      </c>
      <c r="AK165">
        <v>57.174417252660803</v>
      </c>
      <c r="AL165">
        <v>79.950181694378202</v>
      </c>
      <c r="AM165">
        <v>87.258046958868803</v>
      </c>
      <c r="AN165">
        <v>1.00000002395445</v>
      </c>
    </row>
    <row r="166" spans="1:40" x14ac:dyDescent="0.25">
      <c r="A166" t="str">
        <f>"20190303170459919"</f>
        <v>20190303170459919</v>
      </c>
      <c r="B166" t="str">
        <f>"1551603899904286"</f>
        <v>1551603899904286</v>
      </c>
      <c r="C166" t="s">
        <v>40</v>
      </c>
      <c r="D166">
        <v>5.191535</v>
      </c>
      <c r="E166">
        <v>0.50482799999999906</v>
      </c>
      <c r="F166" t="s">
        <v>41</v>
      </c>
      <c r="G166">
        <v>-384.97160000000002</v>
      </c>
      <c r="H166" s="1">
        <v>-3.1841429999999998E-6</v>
      </c>
      <c r="I166">
        <v>364.02800000000002</v>
      </c>
      <c r="J166">
        <v>-442.36410000000001</v>
      </c>
      <c r="K166">
        <v>1.1215850000000001</v>
      </c>
      <c r="L166">
        <v>366.89980000000003</v>
      </c>
      <c r="M166">
        <v>0.99988200000000005</v>
      </c>
      <c r="N166">
        <v>-1.5121570000000001E-2</v>
      </c>
      <c r="O166">
        <v>2.718126E-3</v>
      </c>
      <c r="P166">
        <v>0.9861297</v>
      </c>
      <c r="Q166">
        <v>0.1599894</v>
      </c>
      <c r="R166">
        <v>-4.4181489999999997E-2</v>
      </c>
      <c r="S166">
        <v>3.0447690000000001</v>
      </c>
      <c r="T166">
        <v>-5.9229730000000001E-2</v>
      </c>
      <c r="U166">
        <v>-0.15161129999999901</v>
      </c>
      <c r="V166">
        <v>4.684493E-2</v>
      </c>
      <c r="W166">
        <v>0.17488570000000001</v>
      </c>
      <c r="X166">
        <v>0.98347370000000001</v>
      </c>
      <c r="Y166">
        <v>5.2429669999999998E-2</v>
      </c>
      <c r="Z166">
        <v>-9.1809719999999995E-4</v>
      </c>
      <c r="AA166">
        <v>0.99862419999999996</v>
      </c>
      <c r="AB166">
        <v>27</v>
      </c>
      <c r="AC166">
        <v>57.392499999999899</v>
      </c>
      <c r="AD166">
        <v>-1.121588184143</v>
      </c>
      <c r="AE166">
        <v>-2.8717999999999999</v>
      </c>
      <c r="AF166">
        <v>3.0266542582317499</v>
      </c>
      <c r="AG166">
        <v>-1.121588184143</v>
      </c>
      <c r="AH166">
        <v>57.362628708243001</v>
      </c>
      <c r="AI166">
        <v>91.118582796285196</v>
      </c>
      <c r="AJ166">
        <v>86.9796737147295</v>
      </c>
      <c r="AK166">
        <v>57.453370383063003</v>
      </c>
      <c r="AL166">
        <v>79.927993243384606</v>
      </c>
      <c r="AM166">
        <v>87.272942132902202</v>
      </c>
      <c r="AN166">
        <v>0.999999987061442</v>
      </c>
    </row>
    <row r="167" spans="1:40" x14ac:dyDescent="0.25">
      <c r="A167" t="str">
        <f>"20190303170459943"</f>
        <v>20190303170459943</v>
      </c>
      <c r="B167" t="str">
        <f>"1551603899934543"</f>
        <v>1551603899934543</v>
      </c>
      <c r="C167" t="s">
        <v>40</v>
      </c>
      <c r="D167">
        <v>5.4823779999999998</v>
      </c>
      <c r="E167">
        <v>0.50507489999999999</v>
      </c>
      <c r="F167" t="s">
        <v>41</v>
      </c>
      <c r="G167">
        <v>-384.17189999999999</v>
      </c>
      <c r="H167" s="1">
        <v>-3.480983E-6</v>
      </c>
      <c r="I167">
        <v>363.98759999999999</v>
      </c>
      <c r="J167">
        <v>-442.07670000000002</v>
      </c>
      <c r="K167">
        <v>1.12157</v>
      </c>
      <c r="L167">
        <v>366.90069999999997</v>
      </c>
      <c r="M167">
        <v>0.99988200000000005</v>
      </c>
      <c r="N167">
        <v>-1.5117240000000001E-2</v>
      </c>
      <c r="O167">
        <v>2.7792720000000002E-3</v>
      </c>
      <c r="P167">
        <v>0.9860873</v>
      </c>
      <c r="Q167">
        <v>0.1601881</v>
      </c>
      <c r="R167">
        <v>-4.4408570000000001E-2</v>
      </c>
      <c r="S167">
        <v>3.0448909999999998</v>
      </c>
      <c r="T167">
        <v>-5.8686729999999999E-2</v>
      </c>
      <c r="U167">
        <v>-0.15237429999999999</v>
      </c>
      <c r="V167">
        <v>4.7137070000000003E-2</v>
      </c>
      <c r="W167">
        <v>0.17507819999999999</v>
      </c>
      <c r="X167">
        <v>0.98342549999999995</v>
      </c>
      <c r="Y167">
        <v>5.2738500000000001E-2</v>
      </c>
      <c r="Z167">
        <v>-9.1838010000000003E-4</v>
      </c>
      <c r="AA167">
        <v>0.99860789999999999</v>
      </c>
      <c r="AB167">
        <v>27</v>
      </c>
      <c r="AC167">
        <v>57.904800000000002</v>
      </c>
      <c r="AD167">
        <v>-1.121573480983</v>
      </c>
      <c r="AE167">
        <v>-2.91309999999998</v>
      </c>
      <c r="AF167">
        <v>3.07289036525107</v>
      </c>
      <c r="AG167">
        <v>-1.121573480983</v>
      </c>
      <c r="AH167">
        <v>57.874821095462501</v>
      </c>
      <c r="AI167">
        <v>91.108651866499699</v>
      </c>
      <c r="AJ167">
        <v>86.960708022297396</v>
      </c>
      <c r="AK167">
        <v>57.967193300192598</v>
      </c>
      <c r="AL167">
        <v>79.916791071902693</v>
      </c>
      <c r="AM167">
        <v>87.255826952946293</v>
      </c>
      <c r="AN167">
        <v>0.99999999676683704</v>
      </c>
    </row>
    <row r="168" spans="1:40" x14ac:dyDescent="0.25">
      <c r="A168" t="str">
        <f>"20190303170459965"</f>
        <v>20190303170459965</v>
      </c>
      <c r="B168" t="str">
        <f>"1551603899954062"</f>
        <v>1551603899954062</v>
      </c>
      <c r="C168" t="s">
        <v>40</v>
      </c>
      <c r="D168">
        <v>5.4825619999999997</v>
      </c>
      <c r="E168">
        <v>0.50522230000000001</v>
      </c>
      <c r="F168" t="s">
        <v>41</v>
      </c>
      <c r="G168">
        <v>-384.17930000000001</v>
      </c>
      <c r="H168" s="1">
        <v>-3.4837760000000002E-6</v>
      </c>
      <c r="I168">
        <v>363.95400000000001</v>
      </c>
      <c r="J168">
        <v>-441.81110000000001</v>
      </c>
      <c r="K168">
        <v>1.1215660000000001</v>
      </c>
      <c r="L168">
        <v>366.9015</v>
      </c>
      <c r="M168">
        <v>0.99988189999999999</v>
      </c>
      <c r="N168">
        <v>-1.5112850000000001E-2</v>
      </c>
      <c r="O168">
        <v>2.8258070000000001E-3</v>
      </c>
      <c r="P168">
        <v>0.98619199999999996</v>
      </c>
      <c r="Q168">
        <v>0.15964410000000001</v>
      </c>
      <c r="R168">
        <v>-4.4039170000000002E-2</v>
      </c>
      <c r="S168">
        <v>3.0449220000000001</v>
      </c>
      <c r="T168">
        <v>-5.8985349999999999E-2</v>
      </c>
      <c r="U168">
        <v>-0.1549683</v>
      </c>
      <c r="V168">
        <v>4.6816570000000002E-2</v>
      </c>
      <c r="W168">
        <v>0.17453070000000001</v>
      </c>
      <c r="X168">
        <v>0.98353809999999997</v>
      </c>
      <c r="Y168">
        <v>5.3632579999999999E-2</v>
      </c>
      <c r="Z168">
        <v>-9.367383E-4</v>
      </c>
      <c r="AA168">
        <v>0.99856029999999996</v>
      </c>
      <c r="AB168">
        <v>27</v>
      </c>
      <c r="AC168">
        <v>57.631799999999998</v>
      </c>
      <c r="AD168">
        <v>-1.121569483776</v>
      </c>
      <c r="AE168">
        <v>-2.94749999999999</v>
      </c>
      <c r="AF168">
        <v>3.1091886917612701</v>
      </c>
      <c r="AG168">
        <v>-1.121569483776</v>
      </c>
      <c r="AH168">
        <v>57.601481419640898</v>
      </c>
      <c r="AI168">
        <v>91.113855085473702</v>
      </c>
      <c r="AJ168">
        <v>86.910310715135097</v>
      </c>
      <c r="AK168">
        <v>57.696235875186503</v>
      </c>
      <c r="AL168">
        <v>79.948650836530703</v>
      </c>
      <c r="AM168">
        <v>87.274768793373497</v>
      </c>
      <c r="AN168">
        <v>0.99999997531033202</v>
      </c>
    </row>
    <row r="169" spans="1:40" x14ac:dyDescent="0.25">
      <c r="A169" t="str">
        <f>"20190303170459986"</f>
        <v>20190303170459986</v>
      </c>
      <c r="B169" t="str">
        <f>"1551603899974559"</f>
        <v>1551603899974559</v>
      </c>
      <c r="C169" t="s">
        <v>40</v>
      </c>
      <c r="D169">
        <v>5.4837249999999997</v>
      </c>
      <c r="E169">
        <v>0.50535140000000001</v>
      </c>
      <c r="F169" t="s">
        <v>41</v>
      </c>
      <c r="G169">
        <v>-385.9538</v>
      </c>
      <c r="H169" s="1">
        <v>-2.8410119999999999E-6</v>
      </c>
      <c r="I169">
        <v>364.06139999999999</v>
      </c>
      <c r="J169">
        <v>-441.56</v>
      </c>
      <c r="K169">
        <v>1.121569</v>
      </c>
      <c r="L169">
        <v>366.90219999999999</v>
      </c>
      <c r="M169">
        <v>0.99988189999999999</v>
      </c>
      <c r="N169">
        <v>-1.5108480000000001E-2</v>
      </c>
      <c r="O169">
        <v>2.8660270000000002E-3</v>
      </c>
      <c r="P169">
        <v>0.9861413</v>
      </c>
      <c r="Q169">
        <v>0.15997349999999999</v>
      </c>
      <c r="R169">
        <v>-4.3979230000000001E-2</v>
      </c>
      <c r="S169">
        <v>3.0449519999999999</v>
      </c>
      <c r="T169">
        <v>-6.1140060000000003E-2</v>
      </c>
      <c r="U169">
        <v>-0.1548157</v>
      </c>
      <c r="V169">
        <v>4.6797119999999998E-2</v>
      </c>
      <c r="W169">
        <v>0.1748547</v>
      </c>
      <c r="X169">
        <v>0.98348150000000001</v>
      </c>
      <c r="Y169">
        <v>5.3621299999999997E-2</v>
      </c>
      <c r="Z169">
        <v>-9.5758919999999997E-4</v>
      </c>
      <c r="AA169">
        <v>0.99856089999999997</v>
      </c>
      <c r="AB169">
        <v>27</v>
      </c>
      <c r="AC169">
        <v>55.606200000000001</v>
      </c>
      <c r="AD169">
        <v>-1.1215718410119999</v>
      </c>
      <c r="AE169">
        <v>-2.8408000000000002</v>
      </c>
      <c r="AF169">
        <v>2.9989584938426099</v>
      </c>
      <c r="AG169">
        <v>-1.1215718410119999</v>
      </c>
      <c r="AH169">
        <v>55.575278269056099</v>
      </c>
      <c r="AI169">
        <v>91.154457399347507</v>
      </c>
      <c r="AJ169">
        <v>86.911195433269697</v>
      </c>
      <c r="AK169">
        <v>55.667434197431398</v>
      </c>
      <c r="AL169">
        <v>79.929797327382502</v>
      </c>
      <c r="AM169">
        <v>87.275742750544694</v>
      </c>
      <c r="AN169">
        <v>0.99999999869731704</v>
      </c>
    </row>
    <row r="170" spans="1:40" x14ac:dyDescent="0.25">
      <c r="A170" t="str">
        <f>"20190303170500011"</f>
        <v>20190303170500011</v>
      </c>
      <c r="B170" t="str">
        <f>"1551603900004814"</f>
        <v>1551603900004814</v>
      </c>
      <c r="C170" t="s">
        <v>40</v>
      </c>
      <c r="D170">
        <v>5.5410700000000004</v>
      </c>
      <c r="E170">
        <v>0.50552450000000004</v>
      </c>
      <c r="F170" t="s">
        <v>41</v>
      </c>
      <c r="G170">
        <v>-385.06729999999999</v>
      </c>
      <c r="H170" s="1">
        <v>-3.1552790000000002E-6</v>
      </c>
      <c r="I170">
        <v>364.01409999999998</v>
      </c>
      <c r="J170">
        <v>-441.2552</v>
      </c>
      <c r="K170">
        <v>1.121497</v>
      </c>
      <c r="L170">
        <v>366.90320000000003</v>
      </c>
      <c r="M170">
        <v>0.99988619999999995</v>
      </c>
      <c r="N170">
        <v>-1.480152E-2</v>
      </c>
      <c r="O170">
        <v>2.9140839999999999E-3</v>
      </c>
      <c r="P170">
        <v>0.98597590000000002</v>
      </c>
      <c r="Q170">
        <v>0.1611359</v>
      </c>
      <c r="R170">
        <v>-4.3436799999999998E-2</v>
      </c>
      <c r="S170">
        <v>3.0450740000000001</v>
      </c>
      <c r="T170">
        <v>-6.0454960000000002E-2</v>
      </c>
      <c r="U170">
        <v>-0.15567020000000001</v>
      </c>
      <c r="V170">
        <v>4.630182E-2</v>
      </c>
      <c r="W170">
        <v>0.17571239999999999</v>
      </c>
      <c r="X170">
        <v>0.98335209999999995</v>
      </c>
      <c r="Y170">
        <v>5.394711E-2</v>
      </c>
      <c r="Z170">
        <v>-9.4942099999999999E-4</v>
      </c>
      <c r="AA170">
        <v>0.99854330000000002</v>
      </c>
      <c r="AB170">
        <v>27</v>
      </c>
      <c r="AC170">
        <v>56.187899999999999</v>
      </c>
      <c r="AD170">
        <v>-1.121500155279</v>
      </c>
      <c r="AE170">
        <v>-2.88910000000004</v>
      </c>
      <c r="AF170">
        <v>3.0516293847490399</v>
      </c>
      <c r="AG170">
        <v>-1.121500155279</v>
      </c>
      <c r="AH170">
        <v>56.156927770488899</v>
      </c>
      <c r="AI170">
        <v>91.142406831821404</v>
      </c>
      <c r="AJ170">
        <v>86.8895434283219</v>
      </c>
      <c r="AK170">
        <v>56.250962135060902</v>
      </c>
      <c r="AL170">
        <v>79.879882258277505</v>
      </c>
      <c r="AM170">
        <v>87.304179321211294</v>
      </c>
      <c r="AN170">
        <v>1.0000000293117399</v>
      </c>
    </row>
    <row r="171" spans="1:40" x14ac:dyDescent="0.25">
      <c r="A171" t="str">
        <f>"20190303170500033"</f>
        <v>20190303170500033</v>
      </c>
      <c r="B171" t="str">
        <f>"1551603900024334"</f>
        <v>1551603900024334</v>
      </c>
      <c r="C171" t="s">
        <v>40</v>
      </c>
      <c r="D171">
        <v>5.4800110000000002</v>
      </c>
      <c r="E171">
        <v>0.50557220000000003</v>
      </c>
      <c r="F171" t="s">
        <v>41</v>
      </c>
      <c r="G171">
        <v>-381.99209999999999</v>
      </c>
      <c r="H171" s="1">
        <v>-4.437467E-6</v>
      </c>
      <c r="I171">
        <v>363.86709999999999</v>
      </c>
      <c r="J171">
        <v>-440.99209999999999</v>
      </c>
      <c r="K171">
        <v>1.121243</v>
      </c>
      <c r="L171">
        <v>366.904</v>
      </c>
      <c r="M171">
        <v>0.99989779999999995</v>
      </c>
      <c r="N171">
        <v>-1.398899E-2</v>
      </c>
      <c r="O171">
        <v>2.95867E-3</v>
      </c>
      <c r="P171">
        <v>0.98573370000000005</v>
      </c>
      <c r="Q171">
        <v>0.1628183</v>
      </c>
      <c r="R171">
        <v>-4.2653469999999999E-2</v>
      </c>
      <c r="S171">
        <v>3.0451969999999999</v>
      </c>
      <c r="T171">
        <v>-5.7627680000000001E-2</v>
      </c>
      <c r="U171">
        <v>-0.1560059</v>
      </c>
      <c r="V171">
        <v>4.5561650000000002E-2</v>
      </c>
      <c r="W171">
        <v>0.176592</v>
      </c>
      <c r="X171">
        <v>0.98322900000000002</v>
      </c>
      <c r="Y171">
        <v>5.4101049999999998E-2</v>
      </c>
      <c r="Z171">
        <v>-9.048487E-4</v>
      </c>
      <c r="AA171">
        <v>0.99853499999999995</v>
      </c>
      <c r="AB171">
        <v>27</v>
      </c>
      <c r="AC171">
        <v>59</v>
      </c>
      <c r="AD171">
        <v>-1.1212474374670001</v>
      </c>
      <c r="AE171">
        <v>-3.0369000000000002</v>
      </c>
      <c r="AF171">
        <v>3.21030894357281</v>
      </c>
      <c r="AG171">
        <v>-1.1212474374670001</v>
      </c>
      <c r="AH171">
        <v>58.9695145338451</v>
      </c>
      <c r="AI171">
        <v>91.087681533314907</v>
      </c>
      <c r="AJ171">
        <v>86.883885445195304</v>
      </c>
      <c r="AK171">
        <v>59.067477715631199</v>
      </c>
      <c r="AL171">
        <v>79.828683309040599</v>
      </c>
      <c r="AM171">
        <v>87.346880362443798</v>
      </c>
      <c r="AN171">
        <v>0.99999993242785901</v>
      </c>
    </row>
    <row r="172" spans="1:40" x14ac:dyDescent="0.25">
      <c r="A172" t="str">
        <f>"20190303170500054"</f>
        <v>20190303170500054</v>
      </c>
      <c r="B172" t="str">
        <f>"1551603900044830"</f>
        <v>1551603900044830</v>
      </c>
      <c r="C172" t="s">
        <v>40</v>
      </c>
      <c r="D172">
        <v>5.4795699999999998</v>
      </c>
      <c r="E172">
        <v>0.50568210000000002</v>
      </c>
      <c r="F172" t="s">
        <v>41</v>
      </c>
      <c r="G172">
        <v>-376.4529</v>
      </c>
      <c r="H172" s="1">
        <v>-2.7759139999999999E-6</v>
      </c>
      <c r="I172">
        <v>363.6678</v>
      </c>
      <c r="J172">
        <v>-440.72129999999999</v>
      </c>
      <c r="K172">
        <v>1.1209150000000001</v>
      </c>
      <c r="L172">
        <v>366.90480000000002</v>
      </c>
      <c r="M172">
        <v>0.99990480000000004</v>
      </c>
      <c r="N172">
        <v>-1.3477970000000001E-2</v>
      </c>
      <c r="O172">
        <v>3.0067660000000001E-3</v>
      </c>
      <c r="P172">
        <v>0.98568769999999994</v>
      </c>
      <c r="Q172">
        <v>0.16309509999999999</v>
      </c>
      <c r="R172">
        <v>-4.266325E-2</v>
      </c>
      <c r="S172">
        <v>3.045563</v>
      </c>
      <c r="T172">
        <v>-5.2910800000000001E-2</v>
      </c>
      <c r="U172">
        <v>-0.15270999999999901</v>
      </c>
      <c r="V172">
        <v>4.5618499999999999E-2</v>
      </c>
      <c r="W172">
        <v>0.17636579999999999</v>
      </c>
      <c r="X172">
        <v>0.983267</v>
      </c>
      <c r="Y172">
        <v>5.3067690000000001E-2</v>
      </c>
      <c r="Z172">
        <v>-8.3026240000000004E-4</v>
      </c>
      <c r="AA172">
        <v>0.99859059999999999</v>
      </c>
      <c r="AB172">
        <v>27</v>
      </c>
      <c r="AC172">
        <v>64.2683999999999</v>
      </c>
      <c r="AD172">
        <v>-1.1209177759140001</v>
      </c>
      <c r="AE172">
        <v>-3.2370000000000201</v>
      </c>
      <c r="AF172">
        <v>3.4292024217182799</v>
      </c>
      <c r="AG172">
        <v>-1.1209177759140001</v>
      </c>
      <c r="AH172">
        <v>64.238883927500794</v>
      </c>
      <c r="AI172">
        <v>90.998243621242693</v>
      </c>
      <c r="AJ172">
        <v>86.944334943460206</v>
      </c>
      <c r="AK172">
        <v>64.340112637144202</v>
      </c>
      <c r="AL172">
        <v>79.841850644897406</v>
      </c>
      <c r="AM172">
        <v>87.343677160134504</v>
      </c>
      <c r="AN172">
        <v>0.999999968120444</v>
      </c>
    </row>
    <row r="173" spans="1:40" x14ac:dyDescent="0.25">
      <c r="A173" t="str">
        <f>"20190303170500076"</f>
        <v>20190303170500076</v>
      </c>
      <c r="B173" t="str">
        <f>"1551603900064350"</f>
        <v>1551603900064350</v>
      </c>
      <c r="C173" t="s">
        <v>40</v>
      </c>
      <c r="D173">
        <v>5.5368490000000001</v>
      </c>
      <c r="E173">
        <v>0.50582369999999999</v>
      </c>
      <c r="F173" t="s">
        <v>41</v>
      </c>
      <c r="G173">
        <v>-375.82799999999997</v>
      </c>
      <c r="H173" s="1">
        <v>-2.9996430000000002E-6</v>
      </c>
      <c r="I173">
        <v>363.62619999999998</v>
      </c>
      <c r="J173">
        <v>-440.46010000000001</v>
      </c>
      <c r="K173">
        <v>1.1205210000000001</v>
      </c>
      <c r="L173">
        <v>366.90559999999999</v>
      </c>
      <c r="M173">
        <v>0.99990330000000005</v>
      </c>
      <c r="N173">
        <v>-1.357712E-2</v>
      </c>
      <c r="O173">
        <v>3.0550999999999998E-3</v>
      </c>
      <c r="P173">
        <v>0.98582740000000002</v>
      </c>
      <c r="Q173">
        <v>0.1622847</v>
      </c>
      <c r="R173">
        <v>-4.252305E-2</v>
      </c>
      <c r="S173">
        <v>3.045563</v>
      </c>
      <c r="T173">
        <v>-5.2606699999999999E-2</v>
      </c>
      <c r="U173">
        <v>-0.1538696</v>
      </c>
      <c r="V173">
        <v>4.5526089999999998E-2</v>
      </c>
      <c r="W173">
        <v>0.17565459999999999</v>
      </c>
      <c r="X173">
        <v>0.98339860000000001</v>
      </c>
      <c r="Y173">
        <v>5.3495210000000001E-2</v>
      </c>
      <c r="Z173">
        <v>-8.3642179999999903E-4</v>
      </c>
      <c r="AA173">
        <v>0.99856780000000001</v>
      </c>
      <c r="AB173">
        <v>27</v>
      </c>
      <c r="AC173">
        <v>64.632099999999895</v>
      </c>
      <c r="AD173">
        <v>-1.1205239996430001</v>
      </c>
      <c r="AE173">
        <v>-3.2793999999999999</v>
      </c>
      <c r="AF173">
        <v>3.4758183513564598</v>
      </c>
      <c r="AG173">
        <v>-1.1205239996430001</v>
      </c>
      <c r="AH173">
        <v>64.6024108087028</v>
      </c>
      <c r="AI173">
        <v>90.992256522500497</v>
      </c>
      <c r="AJ173">
        <v>86.920271440382095</v>
      </c>
      <c r="AK173">
        <v>64.705551303901302</v>
      </c>
      <c r="AL173">
        <v>79.883245822046902</v>
      </c>
      <c r="AM173">
        <v>87.349404673082105</v>
      </c>
      <c r="AN173">
        <v>0.99999998492690401</v>
      </c>
    </row>
    <row r="174" spans="1:40" x14ac:dyDescent="0.25">
      <c r="A174" t="str">
        <f>"20190303170500098"</f>
        <v>20190303170500098</v>
      </c>
      <c r="B174" t="str">
        <f>"1551603900084847"</f>
        <v>1551603900084847</v>
      </c>
      <c r="C174" t="s">
        <v>40</v>
      </c>
      <c r="D174">
        <v>5.4165830000000001</v>
      </c>
      <c r="E174">
        <v>0.50595900000000005</v>
      </c>
      <c r="F174" t="s">
        <v>41</v>
      </c>
      <c r="G174">
        <v>-379.4665</v>
      </c>
      <c r="H174" s="1">
        <v>-1.710901E-6</v>
      </c>
      <c r="I174">
        <v>363.81610000000001</v>
      </c>
      <c r="J174">
        <v>-440.18939999999998</v>
      </c>
      <c r="K174">
        <v>1.1199410000000001</v>
      </c>
      <c r="L174">
        <v>366.90649999999999</v>
      </c>
      <c r="M174">
        <v>0.99989470000000003</v>
      </c>
      <c r="N174">
        <v>-1.417293E-2</v>
      </c>
      <c r="O174">
        <v>3.1063559999999998E-3</v>
      </c>
      <c r="P174">
        <v>0.98592760000000002</v>
      </c>
      <c r="Q174">
        <v>0.16150329999999999</v>
      </c>
      <c r="R174">
        <v>-4.3167209999999998E-2</v>
      </c>
      <c r="S174">
        <v>3.0456539999999999</v>
      </c>
      <c r="T174">
        <v>-5.595207E-2</v>
      </c>
      <c r="U174">
        <v>-0.1542664</v>
      </c>
      <c r="V174">
        <v>4.6220780000000003E-2</v>
      </c>
      <c r="W174">
        <v>0.1754608</v>
      </c>
      <c r="X174">
        <v>0.98340079999999996</v>
      </c>
      <c r="Y174">
        <v>5.3672850000000001E-2</v>
      </c>
      <c r="Z174">
        <v>-8.8635649999999999E-4</v>
      </c>
      <c r="AA174">
        <v>0.99855819999999995</v>
      </c>
      <c r="AB174">
        <v>27</v>
      </c>
      <c r="AC174">
        <v>60.722899999999903</v>
      </c>
      <c r="AD174">
        <v>-1.1199427109010001</v>
      </c>
      <c r="AE174">
        <v>-3.0903999999999798</v>
      </c>
      <c r="AF174">
        <v>3.2779188406588302</v>
      </c>
      <c r="AG174">
        <v>-1.1199427109010001</v>
      </c>
      <c r="AH174">
        <v>60.692414166662402</v>
      </c>
      <c r="AI174">
        <v>91.0556073393426</v>
      </c>
      <c r="AJ174">
        <v>86.908532547593495</v>
      </c>
      <c r="AK174">
        <v>60.791184895339299</v>
      </c>
      <c r="AL174">
        <v>79.894525002212205</v>
      </c>
      <c r="AM174">
        <v>87.309023826233798</v>
      </c>
      <c r="AN174">
        <v>0.999999993140544</v>
      </c>
    </row>
    <row r="175" spans="1:40" x14ac:dyDescent="0.25">
      <c r="A175" t="str">
        <f>"20190303170500121"</f>
        <v>20190303170500121</v>
      </c>
      <c r="B175" t="str">
        <f>"1551603900104369"</f>
        <v>1551603900104369</v>
      </c>
      <c r="C175" t="s">
        <v>40</v>
      </c>
      <c r="D175">
        <v>5.4787869999999996</v>
      </c>
      <c r="E175">
        <v>0.506054</v>
      </c>
      <c r="F175" t="s">
        <v>41</v>
      </c>
      <c r="G175">
        <v>-382.60019999999997</v>
      </c>
      <c r="H175" s="1">
        <v>-4.1646169999999997E-6</v>
      </c>
      <c r="I175">
        <v>363.93459999999999</v>
      </c>
      <c r="J175">
        <v>-439.91079999999999</v>
      </c>
      <c r="K175">
        <v>1.119113</v>
      </c>
      <c r="L175">
        <v>366.9074</v>
      </c>
      <c r="M175">
        <v>0.9998785</v>
      </c>
      <c r="N175">
        <v>-1.5269019999999999E-2</v>
      </c>
      <c r="O175">
        <v>3.155723E-3</v>
      </c>
      <c r="P175">
        <v>0.98601300000000003</v>
      </c>
      <c r="Q175">
        <v>0.1608021</v>
      </c>
      <c r="R175">
        <v>-4.3829029999999998E-2</v>
      </c>
      <c r="S175">
        <v>3.0456240000000001</v>
      </c>
      <c r="T175">
        <v>-5.9228660000000002E-2</v>
      </c>
      <c r="U175">
        <v>-0.15716550000000001</v>
      </c>
      <c r="V175">
        <v>4.6930819999999998E-2</v>
      </c>
      <c r="W175">
        <v>0.1758391</v>
      </c>
      <c r="X175">
        <v>0.98329960000000005</v>
      </c>
      <c r="Y175">
        <v>5.4668349999999998E-2</v>
      </c>
      <c r="Z175">
        <v>-9.6207669999999999E-4</v>
      </c>
      <c r="AA175">
        <v>0.99850410000000001</v>
      </c>
      <c r="AB175">
        <v>27</v>
      </c>
      <c r="AC175">
        <v>57.310600000000001</v>
      </c>
      <c r="AD175">
        <v>-1.1191171646169999</v>
      </c>
      <c r="AE175">
        <v>-2.9727999999999999</v>
      </c>
      <c r="AF175">
        <v>3.1524637999091798</v>
      </c>
      <c r="AG175">
        <v>-1.1191171646169999</v>
      </c>
      <c r="AH175">
        <v>57.279149486175797</v>
      </c>
      <c r="AI175">
        <v>91.117608732668103</v>
      </c>
      <c r="AJ175">
        <v>86.849799080842999</v>
      </c>
      <c r="AK175">
        <v>57.376749795518698</v>
      </c>
      <c r="AL175">
        <v>79.872507739746396</v>
      </c>
      <c r="AM175">
        <v>87.267466656100098</v>
      </c>
      <c r="AN175">
        <v>0.99999999715742105</v>
      </c>
    </row>
    <row r="176" spans="1:40" x14ac:dyDescent="0.25">
      <c r="A176" t="str">
        <f>"20190303170500146"</f>
        <v>20190303170500146</v>
      </c>
      <c r="B176" t="str">
        <f>"1551603900134623"</f>
        <v>1551603900134623</v>
      </c>
      <c r="C176" t="s">
        <v>40</v>
      </c>
      <c r="D176">
        <v>5.4783530000000003</v>
      </c>
      <c r="E176">
        <v>0.50616759999999905</v>
      </c>
      <c r="F176" t="s">
        <v>41</v>
      </c>
      <c r="G176">
        <v>-385.11930000000001</v>
      </c>
      <c r="H176" s="1">
        <v>-3.1334949999999998E-6</v>
      </c>
      <c r="I176">
        <v>364.02940000000001</v>
      </c>
      <c r="J176">
        <v>-439.62099999999998</v>
      </c>
      <c r="K176">
        <v>1.118028</v>
      </c>
      <c r="L176">
        <v>366.90839999999997</v>
      </c>
      <c r="M176">
        <v>0.99984879999999998</v>
      </c>
      <c r="N176">
        <v>-1.708836E-2</v>
      </c>
      <c r="O176">
        <v>3.2043340000000001E-3</v>
      </c>
      <c r="P176">
        <v>0.98611789999999999</v>
      </c>
      <c r="Q176">
        <v>0.1599682</v>
      </c>
      <c r="R176">
        <v>-4.4518439999999999E-2</v>
      </c>
      <c r="S176">
        <v>3.0455930000000002</v>
      </c>
      <c r="T176">
        <v>-6.2206270000000001E-2</v>
      </c>
      <c r="U176">
        <v>-0.15997310000000001</v>
      </c>
      <c r="V176">
        <v>4.7667849999999998E-2</v>
      </c>
      <c r="W176">
        <v>0.17679619999999999</v>
      </c>
      <c r="X176">
        <v>0.98309250000000004</v>
      </c>
      <c r="Y176">
        <v>5.5632609999999999E-2</v>
      </c>
      <c r="Z176">
        <v>-1.0541630000000001E-3</v>
      </c>
      <c r="AA176">
        <v>0.99845079999999997</v>
      </c>
      <c r="AB176">
        <v>27</v>
      </c>
      <c r="AC176">
        <v>54.5016999999999</v>
      </c>
      <c r="AD176">
        <v>-1.1180311334949999</v>
      </c>
      <c r="AE176">
        <v>-2.87899999999996</v>
      </c>
      <c r="AF176">
        <v>3.0523714792833601</v>
      </c>
      <c r="AG176">
        <v>-1.1180311334949999</v>
      </c>
      <c r="AH176">
        <v>54.469335940287102</v>
      </c>
      <c r="AI176">
        <v>91.174039805612793</v>
      </c>
      <c r="AJ176">
        <v>86.792593893402596</v>
      </c>
      <c r="AK176">
        <v>54.566248936855203</v>
      </c>
      <c r="AL176">
        <v>79.816797092616795</v>
      </c>
      <c r="AM176">
        <v>87.224036125322897</v>
      </c>
      <c r="AN176">
        <v>0.99999999190715605</v>
      </c>
    </row>
    <row r="177" spans="1:40" x14ac:dyDescent="0.25">
      <c r="A177" t="str">
        <f>"20190303170500165"</f>
        <v>20190303170500165</v>
      </c>
      <c r="B177" t="str">
        <f>"1551603900155119"</f>
        <v>1551603900155119</v>
      </c>
      <c r="C177" t="s">
        <v>40</v>
      </c>
      <c r="D177">
        <v>5.4770050000000001</v>
      </c>
      <c r="E177">
        <v>0.50628079999999998</v>
      </c>
      <c r="F177" t="s">
        <v>41</v>
      </c>
      <c r="G177">
        <v>-388.11509999999998</v>
      </c>
      <c r="H177" s="1">
        <v>-2.0789769999999999E-6</v>
      </c>
      <c r="I177">
        <v>364.16109999999998</v>
      </c>
      <c r="J177">
        <v>-439.3716</v>
      </c>
      <c r="K177">
        <v>1.1169279999999999</v>
      </c>
      <c r="L177">
        <v>366.9092</v>
      </c>
      <c r="M177">
        <v>0.99981299999999995</v>
      </c>
      <c r="N177">
        <v>-1.907E-2</v>
      </c>
      <c r="O177">
        <v>3.2463209999999999E-3</v>
      </c>
      <c r="P177">
        <v>0.98643899999999995</v>
      </c>
      <c r="Q177">
        <v>0.15778439999999999</v>
      </c>
      <c r="R177">
        <v>-4.5196060000000003E-2</v>
      </c>
      <c r="S177">
        <v>3.0455930000000002</v>
      </c>
      <c r="T177">
        <v>-6.6110130000000003E-2</v>
      </c>
      <c r="U177">
        <v>-0.16244510000000001</v>
      </c>
      <c r="V177">
        <v>4.8387869999999999E-2</v>
      </c>
      <c r="W177">
        <v>0.17656720000000001</v>
      </c>
      <c r="X177">
        <v>0.98309849999999999</v>
      </c>
      <c r="Y177">
        <v>5.6479080000000001E-2</v>
      </c>
      <c r="Z177">
        <v>-1.160105E-3</v>
      </c>
      <c r="AA177">
        <v>0.99840309999999999</v>
      </c>
      <c r="AB177">
        <v>27</v>
      </c>
      <c r="AC177">
        <v>51.256500000000003</v>
      </c>
      <c r="AD177">
        <v>-1.116930078977</v>
      </c>
      <c r="AE177">
        <v>-2.74810000000002</v>
      </c>
      <c r="AF177">
        <v>2.9131314828621799</v>
      </c>
      <c r="AG177">
        <v>-1.116930078977</v>
      </c>
      <c r="AH177">
        <v>51.223053561576599</v>
      </c>
      <c r="AI177">
        <v>91.247134688559001</v>
      </c>
      <c r="AJ177">
        <v>86.745009787119201</v>
      </c>
      <c r="AK177">
        <v>51.317980124025802</v>
      </c>
      <c r="AL177">
        <v>79.830127740573403</v>
      </c>
      <c r="AM177">
        <v>87.182189606280005</v>
      </c>
      <c r="AN177">
        <v>1.00000001139061</v>
      </c>
    </row>
    <row r="178" spans="1:40" x14ac:dyDescent="0.25">
      <c r="A178" t="str">
        <f>"20190303170500188"</f>
        <v>20190303170500188</v>
      </c>
      <c r="B178" t="str">
        <f>"1551603900174638"</f>
        <v>1551603900174638</v>
      </c>
      <c r="C178" t="s">
        <v>40</v>
      </c>
      <c r="D178">
        <v>5.53505</v>
      </c>
      <c r="E178">
        <v>0.50640859999999999</v>
      </c>
      <c r="F178" t="s">
        <v>41</v>
      </c>
      <c r="G178">
        <v>-393.06580000000002</v>
      </c>
      <c r="H178" s="1">
        <v>-3.8816640000000003E-6</v>
      </c>
      <c r="I178">
        <v>364.40390000000002</v>
      </c>
      <c r="J178">
        <v>-439.09809999999999</v>
      </c>
      <c r="K178">
        <v>1.11555</v>
      </c>
      <c r="L178">
        <v>366.9101</v>
      </c>
      <c r="M178">
        <v>0.9997663</v>
      </c>
      <c r="N178">
        <v>-2.1371569999999999E-2</v>
      </c>
      <c r="O178">
        <v>3.2935600000000001E-3</v>
      </c>
      <c r="P178">
        <v>0.98681269999999999</v>
      </c>
      <c r="Q178">
        <v>0.15503979999999901</v>
      </c>
      <c r="R178">
        <v>-4.6518469999999999E-2</v>
      </c>
      <c r="S178">
        <v>3.04541</v>
      </c>
      <c r="T178">
        <v>-7.3457480000000006E-2</v>
      </c>
      <c r="U178">
        <v>-0.16476440000000001</v>
      </c>
      <c r="V178">
        <v>4.9758160000000003E-2</v>
      </c>
      <c r="W178">
        <v>0.17609359999999999</v>
      </c>
      <c r="X178">
        <v>0.98311499999999996</v>
      </c>
      <c r="Y178">
        <v>5.728134E-2</v>
      </c>
      <c r="Z178">
        <v>-1.312042E-3</v>
      </c>
      <c r="AA178">
        <v>0.99835719999999994</v>
      </c>
      <c r="AB178">
        <v>27</v>
      </c>
      <c r="AC178">
        <v>46.0322999999999</v>
      </c>
      <c r="AD178">
        <v>-1.115553881664</v>
      </c>
      <c r="AE178">
        <v>-2.50619999999997</v>
      </c>
      <c r="AF178">
        <v>2.6562757544203599</v>
      </c>
      <c r="AG178">
        <v>-1.115553881664</v>
      </c>
      <c r="AH178">
        <v>45.996860157281603</v>
      </c>
      <c r="AI178">
        <v>91.387002295715106</v>
      </c>
      <c r="AJ178">
        <v>86.694893061354904</v>
      </c>
      <c r="AK178">
        <v>46.086998228078798</v>
      </c>
      <c r="AL178">
        <v>79.857694514984004</v>
      </c>
      <c r="AM178">
        <v>87.102575045396904</v>
      </c>
      <c r="AN178">
        <v>0.99999996683627201</v>
      </c>
    </row>
    <row r="179" spans="1:40" x14ac:dyDescent="0.25">
      <c r="A179" t="str">
        <f>"20190303170500213"</f>
        <v>20190303170500213</v>
      </c>
      <c r="B179" t="str">
        <f>"1551603900204896"</f>
        <v>1551603900204896</v>
      </c>
      <c r="C179" t="s">
        <v>40</v>
      </c>
      <c r="D179">
        <v>5.3480549999999996</v>
      </c>
      <c r="E179">
        <v>0.51818799999999998</v>
      </c>
      <c r="F179" t="s">
        <v>41</v>
      </c>
      <c r="G179">
        <v>-397.97570000000002</v>
      </c>
      <c r="H179" s="1">
        <v>-2.003932E-6</v>
      </c>
      <c r="I179">
        <v>364.62150000000003</v>
      </c>
      <c r="J179">
        <v>-438.80549999999999</v>
      </c>
      <c r="K179">
        <v>1.113909</v>
      </c>
      <c r="L179">
        <v>366.91109999999998</v>
      </c>
      <c r="M179">
        <v>0.99971460000000001</v>
      </c>
      <c r="N179">
        <v>-2.3661789999999999E-2</v>
      </c>
      <c r="O179">
        <v>3.3456919999999999E-3</v>
      </c>
      <c r="P179">
        <v>0.98724710000000004</v>
      </c>
      <c r="Q179">
        <v>0.1519606</v>
      </c>
      <c r="R179">
        <v>-4.7452729999999999E-2</v>
      </c>
      <c r="S179">
        <v>3.0450439999999999</v>
      </c>
      <c r="T179">
        <v>-8.2604529999999995E-2</v>
      </c>
      <c r="U179">
        <v>-0.16946410000000001</v>
      </c>
      <c r="V179">
        <v>5.0744890000000001E-2</v>
      </c>
      <c r="W179">
        <v>0.17527770000000001</v>
      </c>
      <c r="X179">
        <v>0.98321040000000004</v>
      </c>
      <c r="Y179">
        <v>5.8867099999999901E-2</v>
      </c>
      <c r="Z179">
        <v>-1.5065860000000001E-3</v>
      </c>
      <c r="AA179">
        <v>0.9982647</v>
      </c>
      <c r="AB179">
        <v>27</v>
      </c>
      <c r="AC179">
        <v>40.829799999999899</v>
      </c>
      <c r="AD179">
        <v>-1.1139110039319999</v>
      </c>
      <c r="AE179">
        <v>-2.2895999999999499</v>
      </c>
      <c r="AF179">
        <v>2.42443050559238</v>
      </c>
      <c r="AG179">
        <v>-1.1139110039319999</v>
      </c>
      <c r="AH179">
        <v>40.791642975330902</v>
      </c>
      <c r="AI179">
        <v>91.5614521557047</v>
      </c>
      <c r="AJ179">
        <v>86.598655822844606</v>
      </c>
      <c r="AK179">
        <v>40.8788062157886</v>
      </c>
      <c r="AL179">
        <v>79.905181102247198</v>
      </c>
      <c r="AM179">
        <v>87.045504636494698</v>
      </c>
      <c r="AN179">
        <v>1.0000000033232801</v>
      </c>
    </row>
    <row r="180" spans="1:40" x14ac:dyDescent="0.25">
      <c r="A180" t="str">
        <f>"20190303170500234"</f>
        <v>20190303170500234</v>
      </c>
      <c r="B180" t="str">
        <f>"1551603900224414"</f>
        <v>1551603900224414</v>
      </c>
      <c r="C180" t="s">
        <v>40</v>
      </c>
      <c r="D180">
        <v>5.2717330000000002</v>
      </c>
      <c r="E180">
        <v>0.52980760000000005</v>
      </c>
      <c r="F180" t="s">
        <v>43</v>
      </c>
      <c r="G180">
        <v>-423.56169999999997</v>
      </c>
      <c r="H180">
        <v>-0.05</v>
      </c>
      <c r="I180">
        <v>365.61529999999999</v>
      </c>
      <c r="J180">
        <v>-438.5548</v>
      </c>
      <c r="K180">
        <v>1.1123970000000001</v>
      </c>
      <c r="L180">
        <v>366.91199999999998</v>
      </c>
      <c r="M180">
        <v>0.99967660000000003</v>
      </c>
      <c r="N180">
        <v>-2.5202189999999999E-2</v>
      </c>
      <c r="O180">
        <v>3.3932179999999999E-3</v>
      </c>
      <c r="P180">
        <v>0.98736820000000003</v>
      </c>
      <c r="Q180">
        <v>0.15115379999999901</v>
      </c>
      <c r="R180">
        <v>-4.7506090000000001E-2</v>
      </c>
      <c r="S180">
        <v>3.0622250000000002</v>
      </c>
      <c r="T180">
        <v>-0.23381160000000001</v>
      </c>
      <c r="U180">
        <v>-0.26031490000000002</v>
      </c>
      <c r="V180">
        <v>5.0845330000000001E-2</v>
      </c>
      <c r="W180">
        <v>0.175988899999999</v>
      </c>
      <c r="X180">
        <v>0.98307820000000001</v>
      </c>
      <c r="Y180">
        <v>8.7742070000000005E-2</v>
      </c>
      <c r="Z180">
        <v>-4.6217469999999998E-3</v>
      </c>
      <c r="AA180">
        <v>0.99613249999999998</v>
      </c>
      <c r="AB180">
        <v>27</v>
      </c>
      <c r="AC180">
        <v>14.9931</v>
      </c>
      <c r="AD180">
        <v>-1.1623969999999999</v>
      </c>
      <c r="AE180">
        <v>-1.29669999999998</v>
      </c>
      <c r="AF180">
        <v>1.3395914310046599</v>
      </c>
      <c r="AG180">
        <v>-1.1623969999999999</v>
      </c>
      <c r="AH180">
        <v>14.899719202665599</v>
      </c>
      <c r="AI180">
        <v>94.443028321046199</v>
      </c>
      <c r="AJ180">
        <v>84.862512113411995</v>
      </c>
      <c r="AK180">
        <v>15.004909340143</v>
      </c>
      <c r="AL180">
        <v>79.863789344705594</v>
      </c>
      <c r="AM180">
        <v>87.039269774008503</v>
      </c>
      <c r="AN180">
        <v>1.00000004391062</v>
      </c>
    </row>
    <row r="181" spans="1:40" x14ac:dyDescent="0.25">
      <c r="A181" t="str">
        <f>"20190303170500255"</f>
        <v>20190303170500255</v>
      </c>
      <c r="B181" t="str">
        <f>"1551603900244911"</f>
        <v>1551603900244911</v>
      </c>
      <c r="C181" t="s">
        <v>40</v>
      </c>
      <c r="D181">
        <v>5.2719319999999996</v>
      </c>
      <c r="E181">
        <v>0.53583769999999997</v>
      </c>
      <c r="F181" t="s">
        <v>42</v>
      </c>
      <c r="G181">
        <v>-437.72559999999999</v>
      </c>
      <c r="H181">
        <v>1.012923</v>
      </c>
      <c r="I181">
        <v>366.81810000000002</v>
      </c>
      <c r="J181">
        <v>-438.30669999999998</v>
      </c>
      <c r="K181">
        <v>1.1108</v>
      </c>
      <c r="L181">
        <v>366.91289999999998</v>
      </c>
      <c r="M181">
        <v>0.99964960000000003</v>
      </c>
      <c r="N181">
        <v>-2.6244259999999998E-2</v>
      </c>
      <c r="O181">
        <v>3.4419160000000002E-3</v>
      </c>
      <c r="P181">
        <v>0.98743060000000005</v>
      </c>
      <c r="Q181">
        <v>0.15067800000000001</v>
      </c>
      <c r="R181">
        <v>-4.7716960000000003E-2</v>
      </c>
      <c r="S181">
        <v>3.0781860000000001</v>
      </c>
      <c r="T181">
        <v>-0.36935220000000002</v>
      </c>
      <c r="U181">
        <v>-0.34817500000000001</v>
      </c>
      <c r="V181">
        <v>5.1104330000000003E-2</v>
      </c>
      <c r="W181">
        <v>0.1765399</v>
      </c>
      <c r="X181">
        <v>0.98296589999999995</v>
      </c>
      <c r="Y181">
        <v>0.1148052</v>
      </c>
      <c r="Z181">
        <v>-8.6800339999999997E-3</v>
      </c>
      <c r="AA181">
        <v>0.99335010000000001</v>
      </c>
      <c r="AB181">
        <v>26</v>
      </c>
      <c r="AC181">
        <v>0.58109999999999196</v>
      </c>
      <c r="AD181">
        <v>-9.7877000000000006E-2</v>
      </c>
      <c r="AE181">
        <v>-9.4799999999963802E-2</v>
      </c>
      <c r="AF181">
        <v>9.4197130303541196E-2</v>
      </c>
      <c r="AG181">
        <v>-9.7877000000000006E-2</v>
      </c>
      <c r="AH181">
        <v>0.56515242216700601</v>
      </c>
      <c r="AI181">
        <v>99.694273454252198</v>
      </c>
      <c r="AJ181">
        <v>80.537178674521698</v>
      </c>
      <c r="AK181">
        <v>0.58124888539046304</v>
      </c>
      <c r="AL181">
        <v>79.831716502004994</v>
      </c>
      <c r="AM181">
        <v>87.023875847889997</v>
      </c>
      <c r="AN181">
        <v>0.99999997469978397</v>
      </c>
    </row>
    <row r="182" spans="1:40" x14ac:dyDescent="0.25">
      <c r="A182" t="str">
        <f>"20190303170500277"</f>
        <v>20190303170500277</v>
      </c>
      <c r="B182" t="str">
        <f>"1551603900264430"</f>
        <v>1551603900264430</v>
      </c>
      <c r="C182" t="s">
        <v>40</v>
      </c>
      <c r="D182">
        <v>5.2410649999999999</v>
      </c>
      <c r="E182">
        <v>0.53800879999999995</v>
      </c>
      <c r="F182" t="s">
        <v>42</v>
      </c>
      <c r="G182">
        <v>-437.49979999999999</v>
      </c>
      <c r="H182">
        <v>0.98584070000000001</v>
      </c>
      <c r="I182">
        <v>366.8098</v>
      </c>
      <c r="J182">
        <v>-438.05149999999998</v>
      </c>
      <c r="K182">
        <v>1.109064</v>
      </c>
      <c r="L182">
        <v>366.91379999999998</v>
      </c>
      <c r="M182">
        <v>0.99962839999999997</v>
      </c>
      <c r="N182">
        <v>-2.703707E-2</v>
      </c>
      <c r="O182">
        <v>3.491432E-3</v>
      </c>
      <c r="P182">
        <v>0.98753519999999995</v>
      </c>
      <c r="Q182">
        <v>0.1501313</v>
      </c>
      <c r="R182">
        <v>-4.7278639999999997E-2</v>
      </c>
      <c r="S182">
        <v>3.092285</v>
      </c>
      <c r="T182">
        <v>-0.47907949999999999</v>
      </c>
      <c r="U182">
        <v>-0.39263920000000002</v>
      </c>
      <c r="V182">
        <v>5.0715040000000003E-2</v>
      </c>
      <c r="W182">
        <v>0.17677509999999999</v>
      </c>
      <c r="X182">
        <v>0.98294380000000003</v>
      </c>
      <c r="Y182">
        <v>0.12763160000000001</v>
      </c>
      <c r="Z182">
        <v>-1.197611E-2</v>
      </c>
      <c r="AA182">
        <v>0.99174929999999994</v>
      </c>
      <c r="AB182">
        <v>27</v>
      </c>
      <c r="AC182">
        <v>0.55169999999998198</v>
      </c>
      <c r="AD182">
        <v>-0.12322329999999999</v>
      </c>
      <c r="AE182">
        <v>-0.10399999999998499</v>
      </c>
      <c r="AF182">
        <v>0.101057906293633</v>
      </c>
      <c r="AG182">
        <v>-0.12322329999999999</v>
      </c>
      <c r="AH182">
        <v>0.52599403621539198</v>
      </c>
      <c r="AI182">
        <v>102.956022204997</v>
      </c>
      <c r="AJ182">
        <v>79.124430694237503</v>
      </c>
      <c r="AK182">
        <v>0.54960568430603196</v>
      </c>
      <c r="AL182">
        <v>79.818025284195997</v>
      </c>
      <c r="AM182">
        <v>87.046440054405593</v>
      </c>
      <c r="AN182">
        <v>0.99999998261032497</v>
      </c>
    </row>
    <row r="183" spans="1:40" x14ac:dyDescent="0.25">
      <c r="A183" t="str">
        <f>"20190303170500291"</f>
        <v>20190303170500291</v>
      </c>
      <c r="B183" t="str">
        <f>"1551603900284926"</f>
        <v>1551603900284926</v>
      </c>
      <c r="C183" t="s">
        <v>40</v>
      </c>
      <c r="D183">
        <v>5.2418370000000003</v>
      </c>
      <c r="E183">
        <v>0.53936909999999905</v>
      </c>
      <c r="F183" t="s">
        <v>42</v>
      </c>
      <c r="G183">
        <v>-437.26870000000002</v>
      </c>
      <c r="H183">
        <v>0.97040179999999998</v>
      </c>
      <c r="I183">
        <v>366.81169999999997</v>
      </c>
      <c r="J183">
        <v>-437.8732</v>
      </c>
      <c r="K183">
        <v>1.1077950000000001</v>
      </c>
      <c r="L183">
        <v>366.91449999999998</v>
      </c>
      <c r="M183">
        <v>0.99961580000000005</v>
      </c>
      <c r="N183">
        <v>-2.749747E-2</v>
      </c>
      <c r="O183">
        <v>3.5251449999999999E-3</v>
      </c>
      <c r="P183">
        <v>0.98757260000000002</v>
      </c>
      <c r="Q183">
        <v>0.14983350000000001</v>
      </c>
      <c r="R183">
        <v>-4.7441450000000003E-2</v>
      </c>
      <c r="S183">
        <v>3.1020810000000001</v>
      </c>
      <c r="T183">
        <v>-0.54967809999999995</v>
      </c>
      <c r="U183">
        <v>-0.40411380000000002</v>
      </c>
      <c r="V183">
        <v>5.0911280000000003E-2</v>
      </c>
      <c r="W183">
        <v>0.17693139999999999</v>
      </c>
      <c r="X183">
        <v>0.98290560000000005</v>
      </c>
      <c r="Y183">
        <v>0.13032189999999999</v>
      </c>
      <c r="Z183">
        <v>-1.374679E-2</v>
      </c>
      <c r="AA183">
        <v>0.99137640000000005</v>
      </c>
      <c r="AB183">
        <v>27</v>
      </c>
      <c r="AC183">
        <v>0.60449999999997295</v>
      </c>
      <c r="AD183">
        <v>-0.13739319999999999</v>
      </c>
      <c r="AE183">
        <v>-0.102800000000001</v>
      </c>
      <c r="AF183">
        <v>9.9914786092458296E-2</v>
      </c>
      <c r="AG183">
        <v>-0.13739319999999999</v>
      </c>
      <c r="AH183">
        <v>0.57525253923518704</v>
      </c>
      <c r="AI183">
        <v>103.241745233738</v>
      </c>
      <c r="AJ183">
        <v>80.146677798396894</v>
      </c>
      <c r="AK183">
        <v>0.59981275393465205</v>
      </c>
      <c r="AL183">
        <v>79.808927212104194</v>
      </c>
      <c r="AM183">
        <v>87.034916688968295</v>
      </c>
      <c r="AN183">
        <v>1.0000000486242699</v>
      </c>
    </row>
    <row r="184" spans="1:40" x14ac:dyDescent="0.25">
      <c r="A184" t="str">
        <f>"20190303170500311"</f>
        <v>20190303170500311</v>
      </c>
      <c r="B184" t="str">
        <f>"1551603900304446"</f>
        <v>1551603900304446</v>
      </c>
      <c r="C184" t="s">
        <v>40</v>
      </c>
      <c r="D184">
        <v>5.2742839999999998</v>
      </c>
      <c r="E184">
        <v>0.5406147</v>
      </c>
      <c r="F184" t="s">
        <v>42</v>
      </c>
      <c r="G184">
        <v>-437.04129999999998</v>
      </c>
      <c r="H184">
        <v>0.94918159999999896</v>
      </c>
      <c r="I184">
        <v>366.80340000000001</v>
      </c>
      <c r="J184">
        <v>-437.64580000000001</v>
      </c>
      <c r="K184">
        <v>1.1060989999999999</v>
      </c>
      <c r="L184">
        <v>366.9153</v>
      </c>
      <c r="M184">
        <v>0.99960289999999996</v>
      </c>
      <c r="N184">
        <v>-2.7956450000000001E-2</v>
      </c>
      <c r="O184">
        <v>3.5676000000000002E-3</v>
      </c>
      <c r="P184">
        <v>0.98775659999999998</v>
      </c>
      <c r="Q184">
        <v>0.1486825</v>
      </c>
      <c r="R184">
        <v>-4.7227520000000002E-2</v>
      </c>
      <c r="S184">
        <v>3.1077880000000002</v>
      </c>
      <c r="T184">
        <v>-0.5926477</v>
      </c>
      <c r="U184">
        <v>-0.41360469999999999</v>
      </c>
      <c r="V184">
        <v>5.0739850000000003E-2</v>
      </c>
      <c r="W184">
        <v>0.17623720000000001</v>
      </c>
      <c r="X184">
        <v>0.98303910000000005</v>
      </c>
      <c r="Y184">
        <v>0.13270779999999999</v>
      </c>
      <c r="Z184">
        <v>-1.494207E-2</v>
      </c>
      <c r="AA184">
        <v>0.9910426</v>
      </c>
      <c r="AB184">
        <v>27</v>
      </c>
      <c r="AC184">
        <v>0.60450000000003001</v>
      </c>
      <c r="AD184">
        <v>-0.15691740000000001</v>
      </c>
      <c r="AE184">
        <v>-0.11189999999999101</v>
      </c>
      <c r="AF184">
        <v>0.10708041090812</v>
      </c>
      <c r="AG184">
        <v>-0.15691740000000001</v>
      </c>
      <c r="AH184">
        <v>0.56714692020858903</v>
      </c>
      <c r="AI184">
        <v>105.209667039081</v>
      </c>
      <c r="AJ184">
        <v>79.308107148484297</v>
      </c>
      <c r="AK184">
        <v>0.59811780940304704</v>
      </c>
      <c r="AL184">
        <v>79.849336230579397</v>
      </c>
      <c r="AM184">
        <v>87.045283684179196</v>
      </c>
      <c r="AN184">
        <v>0.99999997758533599</v>
      </c>
    </row>
    <row r="185" spans="1:40" x14ac:dyDescent="0.25">
      <c r="A185" t="str">
        <f>"20190303170500333"</f>
        <v>20190303170500333</v>
      </c>
      <c r="B185" t="str">
        <f>"1551603900324943"</f>
        <v>1551603900324943</v>
      </c>
      <c r="C185" t="s">
        <v>40</v>
      </c>
      <c r="D185">
        <v>5.2705799999999998</v>
      </c>
      <c r="E185">
        <v>0.54175719999999905</v>
      </c>
      <c r="F185" t="s">
        <v>42</v>
      </c>
      <c r="G185">
        <v>-436.80970000000002</v>
      </c>
      <c r="H185">
        <v>0.93804670000000001</v>
      </c>
      <c r="I185">
        <v>366.80180000000001</v>
      </c>
      <c r="J185">
        <v>-437.37389999999999</v>
      </c>
      <c r="K185">
        <v>1.103915</v>
      </c>
      <c r="L185">
        <v>366.91640000000001</v>
      </c>
      <c r="M185">
        <v>0.99959549999999997</v>
      </c>
      <c r="N185">
        <v>-2.8208259999999999E-2</v>
      </c>
      <c r="O185">
        <v>3.6189109999999998E-3</v>
      </c>
      <c r="P185">
        <v>0.98782000000000003</v>
      </c>
      <c r="Q185">
        <v>0.1483121</v>
      </c>
      <c r="R185">
        <v>-4.7065009999999997E-2</v>
      </c>
      <c r="S185">
        <v>3.1112060000000001</v>
      </c>
      <c r="T185">
        <v>-0.62541999999999998</v>
      </c>
      <c r="U185">
        <v>-0.42083739999999997</v>
      </c>
      <c r="V185">
        <v>5.062792E-2</v>
      </c>
      <c r="W185">
        <v>0.17611650000000001</v>
      </c>
      <c r="X185">
        <v>0.98306649999999995</v>
      </c>
      <c r="Y185">
        <v>0.13455020000000001</v>
      </c>
      <c r="Z185">
        <v>-1.587512E-2</v>
      </c>
      <c r="AA185">
        <v>0.99077959999999998</v>
      </c>
      <c r="AB185">
        <v>26</v>
      </c>
      <c r="AC185">
        <v>0.56419999999997095</v>
      </c>
      <c r="AD185">
        <v>-0.1658683</v>
      </c>
      <c r="AE185">
        <v>-0.114599999999995</v>
      </c>
      <c r="AF185">
        <v>0.10770207712562201</v>
      </c>
      <c r="AG185">
        <v>-0.1658683</v>
      </c>
      <c r="AH185">
        <v>0.52057154607788503</v>
      </c>
      <c r="AI185">
        <v>107.32893339805401</v>
      </c>
      <c r="AJ185">
        <v>78.310882094585097</v>
      </c>
      <c r="AK185">
        <v>0.55687230578291802</v>
      </c>
      <c r="AL185">
        <v>79.856361700359599</v>
      </c>
      <c r="AM185">
        <v>87.051872181243198</v>
      </c>
      <c r="AN185">
        <v>0.999999975639012</v>
      </c>
    </row>
    <row r="186" spans="1:40" x14ac:dyDescent="0.25">
      <c r="A186" t="str">
        <f>"20190303170500355"</f>
        <v>20190303170500355</v>
      </c>
      <c r="B186" t="str">
        <f>"1551603900344462"</f>
        <v>1551603900344462</v>
      </c>
      <c r="C186" t="s">
        <v>40</v>
      </c>
      <c r="D186">
        <v>5.2867480000000002</v>
      </c>
      <c r="E186">
        <v>0.54249399999999903</v>
      </c>
      <c r="F186" t="s">
        <v>42</v>
      </c>
      <c r="G186">
        <v>-436.57339999999999</v>
      </c>
      <c r="H186">
        <v>0.93767270000000003</v>
      </c>
      <c r="I186">
        <v>366.80590000000001</v>
      </c>
      <c r="J186">
        <v>-437.12360000000001</v>
      </c>
      <c r="K186">
        <v>1.101753</v>
      </c>
      <c r="L186">
        <v>366.91730000000001</v>
      </c>
      <c r="M186">
        <v>0.9995984</v>
      </c>
      <c r="N186">
        <v>-2.8105430000000001E-2</v>
      </c>
      <c r="O186">
        <v>3.6683509999999998E-3</v>
      </c>
      <c r="P186">
        <v>0.98773219999999995</v>
      </c>
      <c r="Q186">
        <v>0.148831399999999</v>
      </c>
      <c r="R186">
        <v>-4.7270029999999998E-2</v>
      </c>
      <c r="S186">
        <v>3.1136780000000002</v>
      </c>
      <c r="T186">
        <v>-0.64673970000000003</v>
      </c>
      <c r="U186">
        <v>-0.42849730000000003</v>
      </c>
      <c r="V186">
        <v>5.0881219999999998E-2</v>
      </c>
      <c r="W186">
        <v>0.17653189999999999</v>
      </c>
      <c r="X186">
        <v>0.98297889999999999</v>
      </c>
      <c r="Y186">
        <v>0.13664479999999901</v>
      </c>
      <c r="Z186">
        <v>-1.6578679999999998E-2</v>
      </c>
      <c r="AA186">
        <v>0.99048139999999996</v>
      </c>
      <c r="AB186">
        <v>26</v>
      </c>
      <c r="AC186">
        <v>0.55020000000001801</v>
      </c>
      <c r="AD186">
        <v>-0.16408030000000001</v>
      </c>
      <c r="AE186">
        <v>-0.111400000000003</v>
      </c>
      <c r="AF186">
        <v>0.104491411026109</v>
      </c>
      <c r="AG186">
        <v>-0.16408030000000001</v>
      </c>
      <c r="AH186">
        <v>0.50651466356647701</v>
      </c>
      <c r="AI186">
        <v>107.602115300983</v>
      </c>
      <c r="AJ186">
        <v>78.343689746877502</v>
      </c>
      <c r="AK186">
        <v>0.54258446737275701</v>
      </c>
      <c r="AL186">
        <v>79.832182072753994</v>
      </c>
      <c r="AM186">
        <v>87.036884848124899</v>
      </c>
      <c r="AN186">
        <v>0.99999996405575298</v>
      </c>
    </row>
    <row r="187" spans="1:40" x14ac:dyDescent="0.25">
      <c r="A187" t="str">
        <f>"20190303170500376"</f>
        <v>20190303170500376</v>
      </c>
      <c r="B187" t="str">
        <f>"1551603900364602"</f>
        <v>1551603900364602</v>
      </c>
      <c r="C187" t="s">
        <v>40</v>
      </c>
      <c r="D187">
        <v>5.2858609999999997</v>
      </c>
      <c r="E187">
        <v>0.54316889999999995</v>
      </c>
      <c r="F187" t="s">
        <v>42</v>
      </c>
      <c r="G187">
        <v>-436.33850000000001</v>
      </c>
      <c r="H187">
        <v>0.93561780000000005</v>
      </c>
      <c r="I187">
        <v>366.80770000000001</v>
      </c>
      <c r="J187">
        <v>-436.87009999999998</v>
      </c>
      <c r="K187">
        <v>1.099431</v>
      </c>
      <c r="L187">
        <v>366.91829999999999</v>
      </c>
      <c r="M187">
        <v>0.99960859999999996</v>
      </c>
      <c r="N187">
        <v>-2.77325E-2</v>
      </c>
      <c r="O187">
        <v>3.7204209999999998E-3</v>
      </c>
      <c r="P187">
        <v>0.98768469999999997</v>
      </c>
      <c r="Q187">
        <v>0.1491179</v>
      </c>
      <c r="R187">
        <v>-4.7360680000000002E-2</v>
      </c>
      <c r="S187">
        <v>3.1158450000000002</v>
      </c>
      <c r="T187">
        <v>-0.65948030000000002</v>
      </c>
      <c r="U187">
        <v>-0.4336853</v>
      </c>
      <c r="V187">
        <v>5.1022070000000003E-2</v>
      </c>
      <c r="W187">
        <v>0.17645079999999999</v>
      </c>
      <c r="X187">
        <v>0.98298620000000003</v>
      </c>
      <c r="Y187">
        <v>0.13807230000000001</v>
      </c>
      <c r="Z187">
        <v>-1.7005599999999999E-2</v>
      </c>
      <c r="AA187">
        <v>0.99027619999999905</v>
      </c>
      <c r="AB187">
        <v>26</v>
      </c>
      <c r="AC187">
        <v>0.53159999999996899</v>
      </c>
      <c r="AD187">
        <v>-0.16381319999999999</v>
      </c>
      <c r="AE187">
        <v>-0.110599999999976</v>
      </c>
      <c r="AF187">
        <v>0.10318603830314201</v>
      </c>
      <c r="AG187">
        <v>-0.16381319999999999</v>
      </c>
      <c r="AH187">
        <v>0.48687092161869799</v>
      </c>
      <c r="AI187">
        <v>108.218969015239</v>
      </c>
      <c r="AJ187">
        <v>78.033959516043396</v>
      </c>
      <c r="AK187">
        <v>0.52395173185397304</v>
      </c>
      <c r="AL187">
        <v>79.836903265935604</v>
      </c>
      <c r="AM187">
        <v>87.028719022044001</v>
      </c>
      <c r="AN187">
        <v>1.0000000029190801</v>
      </c>
    </row>
    <row r="188" spans="1:40" x14ac:dyDescent="0.25">
      <c r="A188" t="str">
        <f>"20190303170500399"</f>
        <v>20190303170500399</v>
      </c>
      <c r="B188" t="str">
        <f>"1551603900394858"</f>
        <v>1551603900394858</v>
      </c>
      <c r="C188" t="s">
        <v>40</v>
      </c>
      <c r="D188">
        <v>5.2926989999999998</v>
      </c>
      <c r="E188">
        <v>0.543771</v>
      </c>
      <c r="F188" t="s">
        <v>42</v>
      </c>
      <c r="G188">
        <v>-436.1037</v>
      </c>
      <c r="H188">
        <v>0.93487940000000003</v>
      </c>
      <c r="I188">
        <v>366.81020000000001</v>
      </c>
      <c r="J188">
        <v>-436.60070000000002</v>
      </c>
      <c r="K188">
        <v>1.096873</v>
      </c>
      <c r="L188">
        <v>366.9194</v>
      </c>
      <c r="M188">
        <v>0.99962280000000003</v>
      </c>
      <c r="N188">
        <v>-2.720411E-2</v>
      </c>
      <c r="O188">
        <v>3.7819939999999999E-3</v>
      </c>
      <c r="P188">
        <v>0.98771089999999995</v>
      </c>
      <c r="Q188">
        <v>0.14887999999999901</v>
      </c>
      <c r="R188">
        <v>-4.7561720000000002E-2</v>
      </c>
      <c r="S188">
        <v>3.1174930000000001</v>
      </c>
      <c r="T188">
        <v>-0.6694968</v>
      </c>
      <c r="U188">
        <v>-0.43832399999999999</v>
      </c>
      <c r="V188">
        <v>5.1282349999999997E-2</v>
      </c>
      <c r="W188">
        <v>0.17569409999999999</v>
      </c>
      <c r="X188">
        <v>0.98310819999999999</v>
      </c>
      <c r="Y188">
        <v>0.13938499999999901</v>
      </c>
      <c r="Z188">
        <v>-1.7355269999999999E-2</v>
      </c>
      <c r="AA188">
        <v>0.99008609999999997</v>
      </c>
      <c r="AB188">
        <v>26</v>
      </c>
      <c r="AC188">
        <v>0.49700000000001399</v>
      </c>
      <c r="AD188">
        <v>-0.16199359999999899</v>
      </c>
      <c r="AE188">
        <v>-0.109199999999987</v>
      </c>
      <c r="AF188">
        <v>0.10085799609967901</v>
      </c>
      <c r="AG188">
        <v>-0.16199359999999899</v>
      </c>
      <c r="AH188">
        <v>0.45088757807068802</v>
      </c>
      <c r="AI188">
        <v>109.321306540937</v>
      </c>
      <c r="AJ188">
        <v>77.391203914582604</v>
      </c>
      <c r="AK188">
        <v>0.48960583113015899</v>
      </c>
      <c r="AL188">
        <v>79.880947189374595</v>
      </c>
      <c r="AM188">
        <v>87.013958861662303</v>
      </c>
      <c r="AN188">
        <v>1.00000001455178</v>
      </c>
    </row>
    <row r="189" spans="1:40" x14ac:dyDescent="0.25">
      <c r="A189" t="str">
        <f>"20190303170500414"</f>
        <v>20190303170500414</v>
      </c>
      <c r="B189" t="str">
        <f>"1551603900404618"</f>
        <v>1551603900404618</v>
      </c>
      <c r="C189" t="s">
        <v>40</v>
      </c>
      <c r="D189">
        <v>5.269768</v>
      </c>
      <c r="E189">
        <v>0.54393990000000003</v>
      </c>
      <c r="F189" t="s">
        <v>42</v>
      </c>
      <c r="G189">
        <v>-435.86880000000002</v>
      </c>
      <c r="H189">
        <v>0.93644360000000004</v>
      </c>
      <c r="I189">
        <v>366.81549999999999</v>
      </c>
      <c r="J189">
        <v>-436.42809999999997</v>
      </c>
      <c r="K189">
        <v>1.0952139999999999</v>
      </c>
      <c r="L189">
        <v>366.92</v>
      </c>
      <c r="M189">
        <v>0.99963310000000005</v>
      </c>
      <c r="N189">
        <v>-2.6817649999999998E-2</v>
      </c>
      <c r="O189">
        <v>3.8299089999999998E-3</v>
      </c>
      <c r="P189">
        <v>0.98772539999999998</v>
      </c>
      <c r="Q189">
        <v>0.14871329999999999</v>
      </c>
      <c r="R189">
        <v>-4.7779769999999999E-2</v>
      </c>
      <c r="S189">
        <v>3.1190799999999999</v>
      </c>
      <c r="T189">
        <v>-0.68370149999999996</v>
      </c>
      <c r="U189">
        <v>-0.44277949999999999</v>
      </c>
      <c r="V189">
        <v>5.1545979999999998E-2</v>
      </c>
      <c r="W189">
        <v>0.17514859999999999</v>
      </c>
      <c r="X189">
        <v>0.9831917</v>
      </c>
      <c r="Y189">
        <v>0.14058300000000001</v>
      </c>
      <c r="Z189">
        <v>-1.7797589999999999E-2</v>
      </c>
      <c r="AA189">
        <v>0.98990889999999998</v>
      </c>
      <c r="AB189">
        <v>26</v>
      </c>
      <c r="AC189">
        <v>0.55929999999994995</v>
      </c>
      <c r="AD189">
        <v>-0.15877039999999901</v>
      </c>
      <c r="AE189">
        <v>-0.10450000000003</v>
      </c>
      <c r="AF189">
        <v>9.8938166153380705E-2</v>
      </c>
      <c r="AG189">
        <v>-0.15877039999999901</v>
      </c>
      <c r="AH189">
        <v>0.51852048197678602</v>
      </c>
      <c r="AI189">
        <v>106.73984693712499</v>
      </c>
      <c r="AJ189">
        <v>79.197324515291101</v>
      </c>
      <c r="AK189">
        <v>0.55123524095198395</v>
      </c>
      <c r="AL189">
        <v>79.912693866902202</v>
      </c>
      <c r="AM189">
        <v>86.9988907826</v>
      </c>
      <c r="AN189">
        <v>0.99999996954250403</v>
      </c>
    </row>
    <row r="190" spans="1:40" x14ac:dyDescent="0.25">
      <c r="A190" t="str">
        <f>"20190303170500434"</f>
        <v>20190303170500434</v>
      </c>
      <c r="B190" t="str">
        <f>"1551603900425114"</f>
        <v>1551603900425114</v>
      </c>
      <c r="C190" t="s">
        <v>40</v>
      </c>
      <c r="D190">
        <v>5.2551410000000001</v>
      </c>
      <c r="E190">
        <v>0.54413739999999999</v>
      </c>
      <c r="F190" t="s">
        <v>42</v>
      </c>
      <c r="G190">
        <v>-435.64269999999999</v>
      </c>
      <c r="H190">
        <v>0.92201809999999995</v>
      </c>
      <c r="I190">
        <v>366.80770000000001</v>
      </c>
      <c r="J190">
        <v>-436.19779999999997</v>
      </c>
      <c r="K190">
        <v>1.093008</v>
      </c>
      <c r="L190">
        <v>366.92099999999999</v>
      </c>
      <c r="M190">
        <v>0.99964850000000005</v>
      </c>
      <c r="N190">
        <v>-2.622383E-2</v>
      </c>
      <c r="O190">
        <v>3.9068360000000003E-3</v>
      </c>
      <c r="P190">
        <v>0.98770469999999999</v>
      </c>
      <c r="Q190">
        <v>0.14862800000000001</v>
      </c>
      <c r="R190">
        <v>-4.8467839999999998E-2</v>
      </c>
      <c r="S190">
        <v>3.119354</v>
      </c>
      <c r="T190">
        <v>-0.68798329999999996</v>
      </c>
      <c r="U190">
        <v>-0.44442749999999998</v>
      </c>
      <c r="V190">
        <v>5.2306180000000001E-2</v>
      </c>
      <c r="W190">
        <v>0.17447960000000001</v>
      </c>
      <c r="X190">
        <v>0.98327050000000005</v>
      </c>
      <c r="Y190">
        <v>0.1411097</v>
      </c>
      <c r="Z190">
        <v>-1.793227E-2</v>
      </c>
      <c r="AA190">
        <v>0.98983160000000003</v>
      </c>
      <c r="AB190">
        <v>26</v>
      </c>
      <c r="AC190">
        <v>0.55509999999998105</v>
      </c>
      <c r="AD190">
        <v>-0.170989899999999</v>
      </c>
      <c r="AE190">
        <v>-0.113299999999981</v>
      </c>
      <c r="AF190">
        <v>0.105828597419608</v>
      </c>
      <c r="AG190">
        <v>-0.170989899999999</v>
      </c>
      <c r="AH190">
        <v>0.50834740200510797</v>
      </c>
      <c r="AI190">
        <v>108.226920815982</v>
      </c>
      <c r="AJ190">
        <v>78.240040998679007</v>
      </c>
      <c r="AK190">
        <v>0.54667569825185602</v>
      </c>
      <c r="AL190">
        <v>79.951624238208396</v>
      </c>
      <c r="AM190">
        <v>86.9549567275199</v>
      </c>
      <c r="AN190">
        <v>0.99999997172629995</v>
      </c>
    </row>
    <row r="191" spans="1:40" x14ac:dyDescent="0.25">
      <c r="A191" t="str">
        <f>"20190303170500458"</f>
        <v>20190303170500458</v>
      </c>
      <c r="B191" t="str">
        <f>"1551603900444634"</f>
        <v>1551603900444634</v>
      </c>
      <c r="C191" t="s">
        <v>40</v>
      </c>
      <c r="D191">
        <v>5.2758159999999998</v>
      </c>
      <c r="E191">
        <v>0.54442619999999997</v>
      </c>
      <c r="F191" t="s">
        <v>42</v>
      </c>
      <c r="G191">
        <v>-435.41230000000002</v>
      </c>
      <c r="H191">
        <v>0.91812550000000004</v>
      </c>
      <c r="I191">
        <v>366.80799999999999</v>
      </c>
      <c r="J191">
        <v>-435.92860000000002</v>
      </c>
      <c r="K191">
        <v>1.090487</v>
      </c>
      <c r="L191">
        <v>366.9221</v>
      </c>
      <c r="M191">
        <v>0.99966960000000005</v>
      </c>
      <c r="N191">
        <v>-2.5391339999999998E-2</v>
      </c>
      <c r="O191">
        <v>4.0179630000000003E-3</v>
      </c>
      <c r="P191">
        <v>0.98759839999999999</v>
      </c>
      <c r="Q191">
        <v>0.14922240000000001</v>
      </c>
      <c r="R191">
        <v>-4.8810390000000002E-2</v>
      </c>
      <c r="S191">
        <v>3.1199650000000001</v>
      </c>
      <c r="T191">
        <v>-0.69486999999999999</v>
      </c>
      <c r="U191">
        <v>-0.44772339999999999</v>
      </c>
      <c r="V191">
        <v>5.2751560000000003E-2</v>
      </c>
      <c r="W191">
        <v>0.1742542</v>
      </c>
      <c r="X191">
        <v>0.98328669999999996</v>
      </c>
      <c r="Y191">
        <v>0.14213039999999999</v>
      </c>
      <c r="Z191">
        <v>-1.817624E-2</v>
      </c>
      <c r="AA191">
        <v>0.98968109999999998</v>
      </c>
      <c r="AB191">
        <v>26</v>
      </c>
      <c r="AC191">
        <v>0.51630000000000098</v>
      </c>
      <c r="AD191">
        <v>-0.1723615</v>
      </c>
      <c r="AE191">
        <v>-0.11409999999995001</v>
      </c>
      <c r="AF191">
        <v>0.10501535128351</v>
      </c>
      <c r="AG191">
        <v>-0.1723615</v>
      </c>
      <c r="AH191">
        <v>0.46628957295892098</v>
      </c>
      <c r="AI191">
        <v>109.829934448448</v>
      </c>
      <c r="AJ191">
        <v>77.307898453538002</v>
      </c>
      <c r="AK191">
        <v>0.50809711329396701</v>
      </c>
      <c r="AL191">
        <v>79.964739849478306</v>
      </c>
      <c r="AM191">
        <v>86.929128515075902</v>
      </c>
      <c r="AN191">
        <v>0.99999999384848104</v>
      </c>
    </row>
    <row r="192" spans="1:40" x14ac:dyDescent="0.25">
      <c r="A192" t="str">
        <f>"20190303170500478"</f>
        <v>20190303170500478</v>
      </c>
      <c r="B192" t="str">
        <f>"1551603900464764"</f>
        <v>1551603900464764</v>
      </c>
      <c r="C192" t="s">
        <v>40</v>
      </c>
      <c r="D192">
        <v>5.2687790000000003</v>
      </c>
      <c r="E192">
        <v>0.54466959999999998</v>
      </c>
      <c r="F192" t="s">
        <v>42</v>
      </c>
      <c r="G192">
        <v>-435.17840000000001</v>
      </c>
      <c r="H192">
        <v>0.92284239999999995</v>
      </c>
      <c r="I192">
        <v>366.81349999999998</v>
      </c>
      <c r="J192">
        <v>-435.6968</v>
      </c>
      <c r="K192">
        <v>1.088414</v>
      </c>
      <c r="L192">
        <v>366.92320000000001</v>
      </c>
      <c r="M192">
        <v>0.99968919999999994</v>
      </c>
      <c r="N192">
        <v>-2.4586569999999999E-2</v>
      </c>
      <c r="O192">
        <v>4.1329309999999899E-3</v>
      </c>
      <c r="P192">
        <v>0.98752139999999999</v>
      </c>
      <c r="Q192">
        <v>0.1497665</v>
      </c>
      <c r="R192">
        <v>-4.8699249999999999E-2</v>
      </c>
      <c r="S192">
        <v>3.1208800000000001</v>
      </c>
      <c r="T192">
        <v>-0.69764950000000003</v>
      </c>
      <c r="U192">
        <v>-0.44998169999999998</v>
      </c>
      <c r="V192">
        <v>5.2747339999999997E-2</v>
      </c>
      <c r="W192">
        <v>0.174006299999999</v>
      </c>
      <c r="X192">
        <v>0.98333079999999995</v>
      </c>
      <c r="Y192">
        <v>0.1428682</v>
      </c>
      <c r="Z192">
        <v>-1.829281E-2</v>
      </c>
      <c r="AA192">
        <v>0.98957260000000002</v>
      </c>
      <c r="AB192">
        <v>26</v>
      </c>
      <c r="AC192">
        <v>0.51839999999998498</v>
      </c>
      <c r="AD192">
        <v>-0.16557159999999899</v>
      </c>
      <c r="AE192">
        <v>-0.10970000000003199</v>
      </c>
      <c r="AF192">
        <v>0.10189358167943401</v>
      </c>
      <c r="AG192">
        <v>-0.16557159999999899</v>
      </c>
      <c r="AH192">
        <v>0.47186983395668802</v>
      </c>
      <c r="AI192">
        <v>108.930886525058</v>
      </c>
      <c r="AJ192">
        <v>77.814882240769606</v>
      </c>
      <c r="AK192">
        <v>0.51035026884712797</v>
      </c>
      <c r="AL192">
        <v>79.979163574976198</v>
      </c>
      <c r="AM192">
        <v>86.929511154015799</v>
      </c>
      <c r="AN192">
        <v>0.99999996827270199</v>
      </c>
    </row>
    <row r="193" spans="1:40" x14ac:dyDescent="0.25">
      <c r="A193" t="str">
        <f>"20190303170500500"</f>
        <v>20190303170500500</v>
      </c>
      <c r="B193" t="str">
        <f>"1551603900495019"</f>
        <v>1551603900495019</v>
      </c>
      <c r="C193" t="s">
        <v>40</v>
      </c>
      <c r="D193">
        <v>5.2649920000000003</v>
      </c>
      <c r="E193">
        <v>0.54491239999999996</v>
      </c>
      <c r="F193" t="s">
        <v>42</v>
      </c>
      <c r="G193">
        <v>-434.94839999999999</v>
      </c>
      <c r="H193">
        <v>0.92072129999999996</v>
      </c>
      <c r="I193">
        <v>366.81479999999999</v>
      </c>
      <c r="J193">
        <v>-435.43779999999998</v>
      </c>
      <c r="K193">
        <v>1.0862540000000001</v>
      </c>
      <c r="L193">
        <v>366.92450000000002</v>
      </c>
      <c r="M193">
        <v>0.99971089999999996</v>
      </c>
      <c r="N193">
        <v>-2.3664040000000001E-2</v>
      </c>
      <c r="O193">
        <v>4.2776519999999998E-3</v>
      </c>
      <c r="P193">
        <v>0.98739580000000005</v>
      </c>
      <c r="Q193">
        <v>0.15082119999999999</v>
      </c>
      <c r="R193">
        <v>-4.7988429999999999E-2</v>
      </c>
      <c r="S193">
        <v>3.121826</v>
      </c>
      <c r="T193">
        <v>-0.69958940000000003</v>
      </c>
      <c r="U193">
        <v>-0.4508972</v>
      </c>
      <c r="V193">
        <v>5.2169449999999999E-2</v>
      </c>
      <c r="W193">
        <v>0.174152799999999</v>
      </c>
      <c r="X193">
        <v>0.98333570000000003</v>
      </c>
      <c r="Y193">
        <v>0.14323640000000001</v>
      </c>
      <c r="Z193">
        <v>-1.8342830000000001E-2</v>
      </c>
      <c r="AA193">
        <v>0.98951849999999997</v>
      </c>
      <c r="AB193">
        <v>26</v>
      </c>
      <c r="AC193">
        <v>0.48939999999998901</v>
      </c>
      <c r="AD193">
        <v>-0.1655327</v>
      </c>
      <c r="AE193">
        <v>-0.10970000000003199</v>
      </c>
      <c r="AF193">
        <v>0.10081160831659899</v>
      </c>
      <c r="AG193">
        <v>-0.1655327</v>
      </c>
      <c r="AH193">
        <v>0.44089881215890703</v>
      </c>
      <c r="AI193">
        <v>110.102537922758</v>
      </c>
      <c r="AJ193">
        <v>77.120708499330803</v>
      </c>
      <c r="AK193">
        <v>0.48161791671801901</v>
      </c>
      <c r="AL193">
        <v>79.970639654228705</v>
      </c>
      <c r="AM193">
        <v>86.963102642681804</v>
      </c>
      <c r="AN193">
        <v>0.99999997407781505</v>
      </c>
    </row>
    <row r="194" spans="1:40" x14ac:dyDescent="0.25">
      <c r="A194" t="str">
        <f>"20190303170500523"</f>
        <v>20190303170500523</v>
      </c>
      <c r="B194" t="str">
        <f>"1551603900514539"</f>
        <v>1551603900514539</v>
      </c>
      <c r="C194" t="s">
        <v>40</v>
      </c>
      <c r="D194">
        <v>5.2442989999999998</v>
      </c>
      <c r="E194">
        <v>0.54504839999999999</v>
      </c>
      <c r="F194" t="s">
        <v>42</v>
      </c>
      <c r="G194">
        <v>-434.71609999999998</v>
      </c>
      <c r="H194">
        <v>0.92426249999999999</v>
      </c>
      <c r="I194">
        <v>366.81990000000002</v>
      </c>
      <c r="J194">
        <v>-435.17700000000002</v>
      </c>
      <c r="K194">
        <v>1.084271</v>
      </c>
      <c r="L194">
        <v>366.92579999999998</v>
      </c>
      <c r="M194">
        <v>0.99973109999999998</v>
      </c>
      <c r="N194">
        <v>-2.276282E-2</v>
      </c>
      <c r="O194">
        <v>4.4515429999999996E-3</v>
      </c>
      <c r="P194">
        <v>0.98723059999999996</v>
      </c>
      <c r="Q194">
        <v>0.15211469999999999</v>
      </c>
      <c r="R194">
        <v>-4.7294500000000003E-2</v>
      </c>
      <c r="S194">
        <v>3.123535</v>
      </c>
      <c r="T194">
        <v>-0.70126719999999998</v>
      </c>
      <c r="U194">
        <v>-0.45053100000000001</v>
      </c>
      <c r="V194">
        <v>5.1638700000000003E-2</v>
      </c>
      <c r="W194">
        <v>0.1745575</v>
      </c>
      <c r="X194">
        <v>0.98329200000000005</v>
      </c>
      <c r="Y194">
        <v>0.14321529999999999</v>
      </c>
      <c r="Z194">
        <v>-1.8343149999999999E-2</v>
      </c>
      <c r="AA194">
        <v>0.9895216</v>
      </c>
      <c r="AB194">
        <v>26</v>
      </c>
      <c r="AC194">
        <v>0.46089999999998099</v>
      </c>
      <c r="AD194">
        <v>-0.1600085</v>
      </c>
      <c r="AE194">
        <v>-0.105899999999962</v>
      </c>
      <c r="AF194">
        <v>9.6862391904321596E-2</v>
      </c>
      <c r="AG194">
        <v>-0.1600085</v>
      </c>
      <c r="AH194">
        <v>0.41312889714184298</v>
      </c>
      <c r="AI194">
        <v>110.660611814677</v>
      </c>
      <c r="AJ194">
        <v>76.804747761207295</v>
      </c>
      <c r="AK194">
        <v>0.45349810219152198</v>
      </c>
      <c r="AL194">
        <v>79.947091791249406</v>
      </c>
      <c r="AM194">
        <v>86.993808448398298</v>
      </c>
      <c r="AN194">
        <v>1.00000001670396</v>
      </c>
    </row>
    <row r="195" spans="1:40" x14ac:dyDescent="0.25">
      <c r="A195" t="str">
        <f>"20190303170500545"</f>
        <v>20190303170500545</v>
      </c>
      <c r="B195" t="str">
        <f>"1551603900535036"</f>
        <v>1551603900535036</v>
      </c>
      <c r="C195" t="s">
        <v>40</v>
      </c>
      <c r="D195">
        <v>5.2223379999999997</v>
      </c>
      <c r="E195">
        <v>0.54522539999999997</v>
      </c>
      <c r="F195" t="s">
        <v>42</v>
      </c>
      <c r="G195">
        <v>-434.4837</v>
      </c>
      <c r="H195">
        <v>0.92896120000000004</v>
      </c>
      <c r="I195">
        <v>366.8261</v>
      </c>
      <c r="J195">
        <v>-434.92290000000003</v>
      </c>
      <c r="K195">
        <v>1.082544</v>
      </c>
      <c r="L195">
        <v>366.9271</v>
      </c>
      <c r="M195">
        <v>0.99974850000000004</v>
      </c>
      <c r="N195">
        <v>-2.1941929999999998E-2</v>
      </c>
      <c r="O195">
        <v>4.6535400000000003E-3</v>
      </c>
      <c r="P195">
        <v>0.98715310000000001</v>
      </c>
      <c r="Q195">
        <v>0.15282499999999999</v>
      </c>
      <c r="R195">
        <v>-4.6622410000000003E-2</v>
      </c>
      <c r="S195">
        <v>3.1251530000000001</v>
      </c>
      <c r="T195">
        <v>-0.70004769999999905</v>
      </c>
      <c r="U195">
        <v>-0.44937129999999997</v>
      </c>
      <c r="V195">
        <v>5.1159969999999999E-2</v>
      </c>
      <c r="W195">
        <v>0.17446029999999901</v>
      </c>
      <c r="X195">
        <v>0.98333419999999905</v>
      </c>
      <c r="Y195">
        <v>0.14301340000000001</v>
      </c>
      <c r="Z195">
        <v>-1.826585E-2</v>
      </c>
      <c r="AA195">
        <v>0.98955219999999999</v>
      </c>
      <c r="AB195">
        <v>26</v>
      </c>
      <c r="AC195">
        <v>0.43920000000002701</v>
      </c>
      <c r="AD195">
        <v>-0.15358279999999999</v>
      </c>
      <c r="AE195">
        <v>-0.10099999999999899</v>
      </c>
      <c r="AF195">
        <v>9.2321098230112197E-2</v>
      </c>
      <c r="AG195">
        <v>-0.15358279999999999</v>
      </c>
      <c r="AH195">
        <v>0.39307370310447198</v>
      </c>
      <c r="AI195">
        <v>110.82541839378599</v>
      </c>
      <c r="AJ195">
        <v>76.782524561351906</v>
      </c>
      <c r="AK195">
        <v>0.431992821359935</v>
      </c>
      <c r="AL195">
        <v>79.952746988300206</v>
      </c>
      <c r="AM195">
        <v>87.021755303774199</v>
      </c>
      <c r="AN195">
        <v>0.99999994384806301</v>
      </c>
    </row>
    <row r="196" spans="1:40" x14ac:dyDescent="0.25">
      <c r="A196" t="str">
        <f>"20190303170500559"</f>
        <v>20190303170500559</v>
      </c>
      <c r="B196" t="str">
        <f>"1551603900554555"</f>
        <v>1551603900554555</v>
      </c>
      <c r="C196" t="s">
        <v>40</v>
      </c>
      <c r="D196">
        <v>5.1975069999999999</v>
      </c>
      <c r="E196">
        <v>0.5454097</v>
      </c>
      <c r="F196" t="s">
        <v>42</v>
      </c>
      <c r="G196">
        <v>-434.04509999999999</v>
      </c>
      <c r="H196">
        <v>0.8859785</v>
      </c>
      <c r="I196">
        <v>366.80079999999998</v>
      </c>
      <c r="J196">
        <v>-434.75810000000001</v>
      </c>
      <c r="K196">
        <v>1.081529</v>
      </c>
      <c r="L196">
        <v>366.92809999999997</v>
      </c>
      <c r="M196">
        <v>0.9997587</v>
      </c>
      <c r="N196">
        <v>-2.144072E-2</v>
      </c>
      <c r="O196">
        <v>4.7969390000000001E-3</v>
      </c>
      <c r="P196">
        <v>0.98703890000000005</v>
      </c>
      <c r="Q196">
        <v>0.15369430000000001</v>
      </c>
      <c r="R196">
        <v>-4.6176229999999999E-2</v>
      </c>
      <c r="S196">
        <v>3.1261899999999998</v>
      </c>
      <c r="T196">
        <v>-0.70018199999999997</v>
      </c>
      <c r="U196">
        <v>-0.44915769999999999</v>
      </c>
      <c r="V196">
        <v>5.0851939999999998E-2</v>
      </c>
      <c r="W196">
        <v>0.17483399999999999</v>
      </c>
      <c r="X196">
        <v>0.98328389999999999</v>
      </c>
      <c r="Y196">
        <v>0.1430476</v>
      </c>
      <c r="Z196">
        <v>-1.82621E-2</v>
      </c>
      <c r="AA196">
        <v>0.98954730000000002</v>
      </c>
      <c r="AB196">
        <v>26</v>
      </c>
      <c r="AC196">
        <v>0.71300000000002195</v>
      </c>
      <c r="AD196">
        <v>-0.19555049999999999</v>
      </c>
      <c r="AE196">
        <v>-0.127299999999991</v>
      </c>
      <c r="AF196">
        <v>0.12183789654656201</v>
      </c>
      <c r="AG196">
        <v>-0.19555049999999999</v>
      </c>
      <c r="AH196">
        <v>0.66397880504333895</v>
      </c>
      <c r="AI196">
        <v>106.15507004493099</v>
      </c>
      <c r="AJ196">
        <v>79.602088527589203</v>
      </c>
      <c r="AK196">
        <v>0.70281741912954998</v>
      </c>
      <c r="AL196">
        <v>79.9310023018257</v>
      </c>
      <c r="AM196">
        <v>87.039503911842104</v>
      </c>
      <c r="AN196">
        <v>1.0000000376784799</v>
      </c>
    </row>
    <row r="197" spans="1:40" x14ac:dyDescent="0.25">
      <c r="A197" t="str">
        <f>"20190303170500578"</f>
        <v>20190303170500578</v>
      </c>
      <c r="B197" t="str">
        <f>"1551603900565145"</f>
        <v>1551603900565145</v>
      </c>
      <c r="C197" t="s">
        <v>40</v>
      </c>
      <c r="D197">
        <v>5.1969430000000001</v>
      </c>
      <c r="E197">
        <v>0.54550540000000003</v>
      </c>
      <c r="F197" t="s">
        <v>42</v>
      </c>
      <c r="G197">
        <v>-434.03</v>
      </c>
      <c r="H197">
        <v>0.91867200000000004</v>
      </c>
      <c r="I197">
        <v>366.82319999999999</v>
      </c>
      <c r="J197">
        <v>-434.54849999999999</v>
      </c>
      <c r="K197">
        <v>1.0803560000000001</v>
      </c>
      <c r="L197">
        <v>366.92930000000001</v>
      </c>
      <c r="M197">
        <v>0.99977050000000001</v>
      </c>
      <c r="N197">
        <v>-2.0841120000000001E-2</v>
      </c>
      <c r="O197">
        <v>4.9873469999999996E-3</v>
      </c>
      <c r="P197">
        <v>0.98694850000000001</v>
      </c>
      <c r="Q197">
        <v>0.15467979999999901</v>
      </c>
      <c r="R197">
        <v>-4.4801569999999999E-2</v>
      </c>
      <c r="S197">
        <v>3.127319</v>
      </c>
      <c r="T197">
        <v>-0.69966839999999997</v>
      </c>
      <c r="U197">
        <v>-0.4496155</v>
      </c>
      <c r="V197">
        <v>4.9661650000000002E-2</v>
      </c>
      <c r="W197">
        <v>0.17522789999999999</v>
      </c>
      <c r="X197">
        <v>0.9832746</v>
      </c>
      <c r="Y197">
        <v>0.143333399999999</v>
      </c>
      <c r="Z197">
        <v>-1.827554E-2</v>
      </c>
      <c r="AA197">
        <v>0.98950570000000004</v>
      </c>
      <c r="AB197">
        <v>26</v>
      </c>
      <c r="AC197">
        <v>0.51850000000001695</v>
      </c>
      <c r="AD197">
        <v>-0.161683999999999</v>
      </c>
      <c r="AE197">
        <v>-0.10610000000002601</v>
      </c>
      <c r="AF197">
        <v>9.9407469764115394E-2</v>
      </c>
      <c r="AG197">
        <v>-0.161683999999999</v>
      </c>
      <c r="AH197">
        <v>0.47374920657561698</v>
      </c>
      <c r="AI197">
        <v>108.469943954755</v>
      </c>
      <c r="AJ197">
        <v>78.1494720293515</v>
      </c>
      <c r="AK197">
        <v>0.51035465279737602</v>
      </c>
      <c r="AL197">
        <v>79.908079432625598</v>
      </c>
      <c r="AM197">
        <v>87.108653876327494</v>
      </c>
      <c r="AN197">
        <v>1.00000001771214</v>
      </c>
    </row>
    <row r="198" spans="1:40" x14ac:dyDescent="0.25">
      <c r="A198" t="str">
        <f>"20190303170500600"</f>
        <v>20190303170500600</v>
      </c>
      <c r="B198" t="str">
        <f>"1551603900594424"</f>
        <v>1551603900594424</v>
      </c>
      <c r="C198" t="s">
        <v>40</v>
      </c>
      <c r="D198">
        <v>5.0729579999999999</v>
      </c>
      <c r="E198">
        <v>0.51503959999999904</v>
      </c>
      <c r="F198" t="s">
        <v>42</v>
      </c>
      <c r="G198">
        <v>-433.80340000000001</v>
      </c>
      <c r="H198">
        <v>0.91438189999999997</v>
      </c>
      <c r="I198">
        <v>366.82220000000001</v>
      </c>
      <c r="J198">
        <v>-434.29610000000002</v>
      </c>
      <c r="K198">
        <v>1.079089</v>
      </c>
      <c r="L198">
        <v>366.93079999999998</v>
      </c>
      <c r="M198">
        <v>0.99978290000000003</v>
      </c>
      <c r="N198">
        <v>-2.0173070000000001E-2</v>
      </c>
      <c r="O198">
        <v>5.2232199999999998E-3</v>
      </c>
      <c r="P198">
        <v>0.98685250000000002</v>
      </c>
      <c r="Q198">
        <v>0.1557984</v>
      </c>
      <c r="R198">
        <v>-4.3003449999999999E-2</v>
      </c>
      <c r="S198">
        <v>3.1286320000000001</v>
      </c>
      <c r="T198">
        <v>-0.69716009999999995</v>
      </c>
      <c r="U198">
        <v>-0.44720460000000001</v>
      </c>
      <c r="V198">
        <v>4.8093450000000003E-2</v>
      </c>
      <c r="W198">
        <v>0.17568800000000001</v>
      </c>
      <c r="X198">
        <v>0.98327050000000005</v>
      </c>
      <c r="Y198">
        <v>0.14280950000000001</v>
      </c>
      <c r="Z198">
        <v>-1.8149060000000002E-2</v>
      </c>
      <c r="AA198">
        <v>0.98958380000000001</v>
      </c>
      <c r="AB198">
        <v>26</v>
      </c>
      <c r="AC198">
        <v>0.49270000000001302</v>
      </c>
      <c r="AD198">
        <v>-0.1647071</v>
      </c>
      <c r="AE198">
        <v>-0.108599999999967</v>
      </c>
      <c r="AF198">
        <v>0.10046540018596201</v>
      </c>
      <c r="AG198">
        <v>-0.1647071</v>
      </c>
      <c r="AH198">
        <v>0.44472884530028201</v>
      </c>
      <c r="AI198">
        <v>109.862304408101</v>
      </c>
      <c r="AJ198">
        <v>77.270403066707502</v>
      </c>
      <c r="AK198">
        <v>0.48477362888987402</v>
      </c>
      <c r="AL198">
        <v>79.881302728954694</v>
      </c>
      <c r="AM198">
        <v>87.199796560933706</v>
      </c>
      <c r="AN198">
        <v>1.0000000647235701</v>
      </c>
    </row>
    <row r="199" spans="1:40" x14ac:dyDescent="0.25">
      <c r="A199" t="str">
        <f>"20190303170500614"</f>
        <v>20190303170500614</v>
      </c>
      <c r="B199" t="str">
        <f>"1551603900604184"</f>
        <v>1551603900604184</v>
      </c>
      <c r="C199" t="s">
        <v>40</v>
      </c>
      <c r="D199">
        <v>5.1582850000000002</v>
      </c>
      <c r="E199">
        <v>0.50779039999999998</v>
      </c>
      <c r="F199" t="s">
        <v>42</v>
      </c>
      <c r="G199">
        <v>-433.5598</v>
      </c>
      <c r="H199">
        <v>0.94691049999999999</v>
      </c>
      <c r="I199">
        <v>366.88200000000001</v>
      </c>
      <c r="J199">
        <v>-434.13159999999999</v>
      </c>
      <c r="K199">
        <v>1.0783590000000001</v>
      </c>
      <c r="L199">
        <v>366.93189999999998</v>
      </c>
      <c r="M199">
        <v>0.99979010000000001</v>
      </c>
      <c r="N199">
        <v>-1.9775480000000002E-2</v>
      </c>
      <c r="O199">
        <v>5.3786839999999999E-3</v>
      </c>
      <c r="P199">
        <v>0.98678569999999999</v>
      </c>
      <c r="Q199">
        <v>0.15641629999999901</v>
      </c>
      <c r="R199">
        <v>-4.2287999999999999E-2</v>
      </c>
      <c r="S199">
        <v>3.1194459999999999</v>
      </c>
      <c r="T199">
        <v>-0.56014359999999996</v>
      </c>
      <c r="U199">
        <v>-0.2054443</v>
      </c>
      <c r="V199">
        <v>4.753011E-2</v>
      </c>
      <c r="W199">
        <v>0.17591289999999901</v>
      </c>
      <c r="X199">
        <v>0.98325770000000001</v>
      </c>
      <c r="Y199">
        <v>6.9779960000000002E-2</v>
      </c>
      <c r="Z199">
        <v>-7.7572750000000001E-3</v>
      </c>
      <c r="AA199">
        <v>0.99753219999999998</v>
      </c>
      <c r="AB199">
        <v>26</v>
      </c>
      <c r="AC199">
        <v>0.57179999999999598</v>
      </c>
      <c r="AD199">
        <v>-0.1314485</v>
      </c>
      <c r="AE199">
        <v>-4.9900000000036401E-2</v>
      </c>
      <c r="AF199">
        <v>5.0335423829120603E-2</v>
      </c>
      <c r="AG199">
        <v>-0.1314485</v>
      </c>
      <c r="AH199">
        <v>0.54304187629497502</v>
      </c>
      <c r="AI199">
        <v>103.551325735921</v>
      </c>
      <c r="AJ199">
        <v>84.7042939993527</v>
      </c>
      <c r="AK199">
        <v>0.56098738172464602</v>
      </c>
      <c r="AL199">
        <v>79.868213226660998</v>
      </c>
      <c r="AM199">
        <v>87.232509327682294</v>
      </c>
      <c r="AN199">
        <v>1.0000000821761501</v>
      </c>
    </row>
    <row r="200" spans="1:40" x14ac:dyDescent="0.25">
      <c r="A200" t="str">
        <f>"20190303170500636"</f>
        <v>20190303170500636</v>
      </c>
      <c r="B200" t="str">
        <f>"1551603900624680"</f>
        <v>1551603900624680</v>
      </c>
      <c r="C200" t="s">
        <v>40</v>
      </c>
      <c r="D200">
        <v>5.3189640000000002</v>
      </c>
      <c r="E200">
        <v>0.49972670000000002</v>
      </c>
      <c r="F200" t="s">
        <v>42</v>
      </c>
      <c r="G200">
        <v>-433.327</v>
      </c>
      <c r="H200">
        <v>0.95704630000000002</v>
      </c>
      <c r="I200">
        <v>366.89280000000002</v>
      </c>
      <c r="J200">
        <v>-433.88929999999999</v>
      </c>
      <c r="K200">
        <v>1.0773889999999999</v>
      </c>
      <c r="L200">
        <v>366.93349999999998</v>
      </c>
      <c r="M200">
        <v>0.9997994</v>
      </c>
      <c r="N200">
        <v>-1.9232550000000001E-2</v>
      </c>
      <c r="O200">
        <v>5.6079629999999997E-3</v>
      </c>
      <c r="P200">
        <v>0.98673650000000002</v>
      </c>
      <c r="Q200">
        <v>0.15702149999999901</v>
      </c>
      <c r="R200">
        <v>-4.1178289999999999E-2</v>
      </c>
      <c r="S200">
        <v>3.1080930000000002</v>
      </c>
      <c r="T200">
        <v>-0.46888740000000001</v>
      </c>
      <c r="U200">
        <v>-0.14935300000000001</v>
      </c>
      <c r="V200">
        <v>4.6645739999999998E-2</v>
      </c>
      <c r="W200">
        <v>0.17598279999999999</v>
      </c>
      <c r="X200">
        <v>0.98328749999999998</v>
      </c>
      <c r="Y200">
        <v>5.2876989999999999E-2</v>
      </c>
      <c r="Z200">
        <v>-5.2094070000000001E-3</v>
      </c>
      <c r="AA200">
        <v>0.99858740000000001</v>
      </c>
      <c r="AB200">
        <v>26</v>
      </c>
      <c r="AC200">
        <v>0.56229999999999303</v>
      </c>
      <c r="AD200">
        <v>-0.120342699999999</v>
      </c>
      <c r="AE200">
        <v>-4.0699999999958401E-2</v>
      </c>
      <c r="AF200">
        <v>4.19421929358978E-2</v>
      </c>
      <c r="AG200">
        <v>-0.120342699999999</v>
      </c>
      <c r="AH200">
        <v>0.53756841637236796</v>
      </c>
      <c r="AI200">
        <v>102.581452227586</v>
      </c>
      <c r="AJ200">
        <v>85.538703476377293</v>
      </c>
      <c r="AK200">
        <v>0.55246838395754205</v>
      </c>
      <c r="AL200">
        <v>79.864144343084803</v>
      </c>
      <c r="AM200">
        <v>87.284007055207098</v>
      </c>
      <c r="AN200">
        <v>1.0000000393061099</v>
      </c>
    </row>
    <row r="201" spans="1:40" x14ac:dyDescent="0.25">
      <c r="A201" t="str">
        <f>"20190303170500656"</f>
        <v>20190303170500656</v>
      </c>
      <c r="B201" t="str">
        <f>"1551603900644202"</f>
        <v>1551603900644202</v>
      </c>
      <c r="C201" t="s">
        <v>40</v>
      </c>
      <c r="D201">
        <v>5.1893599999999998</v>
      </c>
      <c r="E201">
        <v>0.49623679999999898</v>
      </c>
      <c r="F201" t="s">
        <v>42</v>
      </c>
      <c r="G201">
        <v>-433.08420000000001</v>
      </c>
      <c r="H201">
        <v>0.98787139999999996</v>
      </c>
      <c r="I201">
        <v>366.91070000000002</v>
      </c>
      <c r="J201">
        <v>-433.65660000000003</v>
      </c>
      <c r="K201">
        <v>1.0765739999999999</v>
      </c>
      <c r="L201">
        <v>366.935</v>
      </c>
      <c r="M201">
        <v>0.99980709999999995</v>
      </c>
      <c r="N201">
        <v>-1.8761380000000001E-2</v>
      </c>
      <c r="O201">
        <v>5.8278710000000001E-3</v>
      </c>
      <c r="P201">
        <v>0.98677049999999999</v>
      </c>
      <c r="Q201">
        <v>0.1569605</v>
      </c>
      <c r="R201">
        <v>-4.0591799999999997E-2</v>
      </c>
      <c r="S201">
        <v>3.091431</v>
      </c>
      <c r="T201">
        <v>-0.34376659999999998</v>
      </c>
      <c r="U201">
        <v>-8.7127689999999994E-2</v>
      </c>
      <c r="V201">
        <v>4.627701E-2</v>
      </c>
      <c r="W201">
        <v>0.17545839999999999</v>
      </c>
      <c r="X201">
        <v>0.98339860000000001</v>
      </c>
      <c r="Y201">
        <v>3.3730679999999999E-2</v>
      </c>
      <c r="Z201">
        <v>-2.7238420000000002E-3</v>
      </c>
      <c r="AA201">
        <v>0.99942730000000002</v>
      </c>
      <c r="AB201">
        <v>25</v>
      </c>
      <c r="AC201">
        <v>0.57240000000001601</v>
      </c>
      <c r="AD201">
        <v>-8.8702599999999895E-2</v>
      </c>
      <c r="AE201">
        <v>-2.4299999999982402E-2</v>
      </c>
      <c r="AF201">
        <v>2.6989084250174499E-2</v>
      </c>
      <c r="AG201">
        <v>-8.8702599999999895E-2</v>
      </c>
      <c r="AH201">
        <v>0.558852223719562</v>
      </c>
      <c r="AI201">
        <v>99.008585477901903</v>
      </c>
      <c r="AJ201">
        <v>87.235118609437095</v>
      </c>
      <c r="AK201">
        <v>0.56649127960783496</v>
      </c>
      <c r="AL201">
        <v>79.8946648422518</v>
      </c>
      <c r="AM201">
        <v>87.305748915081693</v>
      </c>
      <c r="AN201">
        <v>1.0000000091335299</v>
      </c>
    </row>
    <row r="202" spans="1:40" x14ac:dyDescent="0.25">
      <c r="A202" t="str">
        <f>"20190303170500678"</f>
        <v>20190303170500678</v>
      </c>
      <c r="B202" t="str">
        <f>"1551603900664768"</f>
        <v>1551603900664768</v>
      </c>
      <c r="C202" t="s">
        <v>40</v>
      </c>
      <c r="D202">
        <v>5.1988159999999999</v>
      </c>
      <c r="E202">
        <v>0.49448959999999997</v>
      </c>
      <c r="F202" t="s">
        <v>43</v>
      </c>
      <c r="G202">
        <v>-420.94409999999999</v>
      </c>
      <c r="H202">
        <v>-0.05</v>
      </c>
      <c r="I202">
        <v>366.6859</v>
      </c>
      <c r="J202">
        <v>-433.41359999999997</v>
      </c>
      <c r="K202">
        <v>1.075842</v>
      </c>
      <c r="L202">
        <v>366.93669999999997</v>
      </c>
      <c r="M202">
        <v>0.99981390000000003</v>
      </c>
      <c r="N202">
        <v>-1.8318069999999999E-2</v>
      </c>
      <c r="O202">
        <v>6.0562760000000002E-3</v>
      </c>
      <c r="P202">
        <v>0.98680120000000004</v>
      </c>
      <c r="Q202">
        <v>0.15681709999999999</v>
      </c>
      <c r="R202">
        <v>-4.0396120000000001E-2</v>
      </c>
      <c r="S202">
        <v>3.081207</v>
      </c>
      <c r="T202">
        <v>-0.2730553</v>
      </c>
      <c r="U202">
        <v>-6.0394290000000003E-2</v>
      </c>
      <c r="V202">
        <v>4.6307750000000002E-2</v>
      </c>
      <c r="W202">
        <v>0.1748796</v>
      </c>
      <c r="X202">
        <v>0.98350020000000005</v>
      </c>
      <c r="Y202">
        <v>2.55172E-2</v>
      </c>
      <c r="Z202">
        <v>-1.7874939999999999E-3</v>
      </c>
      <c r="AA202">
        <v>0.99967280000000003</v>
      </c>
      <c r="AB202">
        <v>25</v>
      </c>
      <c r="AC202">
        <v>12.469499999999901</v>
      </c>
      <c r="AD202">
        <v>-1.125842</v>
      </c>
      <c r="AE202">
        <v>-0.25079999999996899</v>
      </c>
      <c r="AF202">
        <v>0.32368920081989999</v>
      </c>
      <c r="AG202">
        <v>-1.125842</v>
      </c>
      <c r="AH202">
        <v>12.3669789332149</v>
      </c>
      <c r="AI202">
        <v>95.199877373206405</v>
      </c>
      <c r="AJ202">
        <v>88.500701596663802</v>
      </c>
      <c r="AK202">
        <v>12.4223372536038</v>
      </c>
      <c r="AL202">
        <v>79.928347971188799</v>
      </c>
      <c r="AM202">
        <v>87.304239971637699</v>
      </c>
      <c r="AN202">
        <v>0.99999996280312997</v>
      </c>
    </row>
    <row r="203" spans="1:40" x14ac:dyDescent="0.25">
      <c r="A203" t="str">
        <f>"20190303170500701"</f>
        <v>20190303170500701</v>
      </c>
      <c r="B203" t="str">
        <f>"1551603900695023"</f>
        <v>1551603900695023</v>
      </c>
      <c r="C203" t="s">
        <v>40</v>
      </c>
      <c r="D203">
        <v>5.1931719999999997</v>
      </c>
      <c r="E203">
        <v>0.49312089999999997</v>
      </c>
      <c r="F203" t="s">
        <v>43</v>
      </c>
      <c r="G203">
        <v>-418.59309999999999</v>
      </c>
      <c r="H203">
        <v>-0.05</v>
      </c>
      <c r="I203">
        <v>366.7079</v>
      </c>
      <c r="J203">
        <v>-433.14749999999998</v>
      </c>
      <c r="K203">
        <v>1.075151</v>
      </c>
      <c r="L203">
        <v>366.93860000000001</v>
      </c>
      <c r="M203">
        <v>0.99982020000000005</v>
      </c>
      <c r="N203">
        <v>-1.7883360000000001E-2</v>
      </c>
      <c r="O203">
        <v>6.3039259999999996E-3</v>
      </c>
      <c r="P203">
        <v>0.98671679999999995</v>
      </c>
      <c r="Q203">
        <v>0.1574121</v>
      </c>
      <c r="R203">
        <v>-4.0143940000000003E-2</v>
      </c>
      <c r="S203">
        <v>3.075348</v>
      </c>
      <c r="T203">
        <v>-0.23362060000000001</v>
      </c>
      <c r="U203">
        <v>-4.7485350000000003E-2</v>
      </c>
      <c r="V203">
        <v>4.6300199999999903E-2</v>
      </c>
      <c r="W203">
        <v>0.1750448</v>
      </c>
      <c r="X203">
        <v>0.98347119999999999</v>
      </c>
      <c r="Y203">
        <v>2.1654949999999999E-2</v>
      </c>
      <c r="Z203">
        <v>-1.3808410000000001E-3</v>
      </c>
      <c r="AA203">
        <v>0.9997646</v>
      </c>
      <c r="AB203">
        <v>25</v>
      </c>
      <c r="AC203">
        <v>14.5543999999999</v>
      </c>
      <c r="AD203">
        <v>-1.125151</v>
      </c>
      <c r="AE203">
        <v>-0.23070000000001301</v>
      </c>
      <c r="AF203">
        <v>0.32054475756223499</v>
      </c>
      <c r="AG203">
        <v>-1.125151</v>
      </c>
      <c r="AH203">
        <v>14.466223267280601</v>
      </c>
      <c r="AI203">
        <v>94.446299018711201</v>
      </c>
      <c r="AJ203">
        <v>88.730639191724705</v>
      </c>
      <c r="AK203">
        <v>14.513453391016601</v>
      </c>
      <c r="AL203">
        <v>79.918734757395995</v>
      </c>
      <c r="AM203">
        <v>87.304599478476106</v>
      </c>
      <c r="AN203">
        <v>0.99999999587825905</v>
      </c>
    </row>
    <row r="204" spans="1:40" x14ac:dyDescent="0.25">
      <c r="A204" t="str">
        <f>"20190303170500715"</f>
        <v>20190303170500715</v>
      </c>
      <c r="B204" t="str">
        <f>"1551603900704784"</f>
        <v>1551603900704784</v>
      </c>
      <c r="C204" t="s">
        <v>40</v>
      </c>
      <c r="D204">
        <v>5.1327680000000004</v>
      </c>
      <c r="E204">
        <v>0.49292170000000002</v>
      </c>
      <c r="F204" t="s">
        <v>43</v>
      </c>
      <c r="G204">
        <v>-415.72559999999999</v>
      </c>
      <c r="H204">
        <v>-0.05</v>
      </c>
      <c r="I204">
        <v>366.72559999999999</v>
      </c>
      <c r="J204">
        <v>-432.99430000000001</v>
      </c>
      <c r="K204">
        <v>1.074813</v>
      </c>
      <c r="L204">
        <v>366.93970000000002</v>
      </c>
      <c r="M204">
        <v>0.99982329999999997</v>
      </c>
      <c r="N204">
        <v>-1.7660209999999999E-2</v>
      </c>
      <c r="O204">
        <v>6.4456110000000004E-3</v>
      </c>
      <c r="P204">
        <v>0.98662589999999994</v>
      </c>
      <c r="Q204">
        <v>0.15785179999999999</v>
      </c>
      <c r="R204">
        <v>-4.0646450000000001E-2</v>
      </c>
      <c r="S204">
        <v>3.070465</v>
      </c>
      <c r="T204">
        <v>-0.19829759999999999</v>
      </c>
      <c r="U204">
        <v>-3.753662E-2</v>
      </c>
      <c r="V204">
        <v>4.6942619999999997E-2</v>
      </c>
      <c r="W204">
        <v>0.17526320000000001</v>
      </c>
      <c r="X204">
        <v>0.98340179999999999</v>
      </c>
      <c r="Y204">
        <v>1.8613540000000001E-2</v>
      </c>
      <c r="Z204">
        <v>-1.067078E-3</v>
      </c>
      <c r="AA204">
        <v>0.9998262</v>
      </c>
      <c r="AB204">
        <v>25</v>
      </c>
      <c r="AC204">
        <v>17.268699999999999</v>
      </c>
      <c r="AD204">
        <v>-1.1248129999999901</v>
      </c>
      <c r="AE204">
        <v>-0.21410000000002999</v>
      </c>
      <c r="AF204">
        <v>0.32404561789007402</v>
      </c>
      <c r="AG204">
        <v>-1.1248129999999901</v>
      </c>
      <c r="AH204">
        <v>17.194023232370402</v>
      </c>
      <c r="AI204">
        <v>93.742227294663707</v>
      </c>
      <c r="AJ204">
        <v>88.920308045165399</v>
      </c>
      <c r="AK204">
        <v>17.2338226973221</v>
      </c>
      <c r="AL204">
        <v>79.906024405068706</v>
      </c>
      <c r="AM204">
        <v>87.267064265314303</v>
      </c>
      <c r="AN204">
        <v>0.99999994954497096</v>
      </c>
    </row>
    <row r="205" spans="1:40" x14ac:dyDescent="0.25">
      <c r="A205" t="str">
        <f>"20190303170500734"</f>
        <v>20190303170500734</v>
      </c>
      <c r="B205" t="str">
        <f>"1551603900724304"</f>
        <v>1551603900724304</v>
      </c>
      <c r="C205" t="s">
        <v>40</v>
      </c>
      <c r="D205">
        <v>5.1895110000000004</v>
      </c>
      <c r="E205">
        <v>0.4926547</v>
      </c>
      <c r="F205" t="s">
        <v>43</v>
      </c>
      <c r="G205">
        <v>-414.78390000000002</v>
      </c>
      <c r="H205">
        <v>-0.05</v>
      </c>
      <c r="I205">
        <v>366.71429999999998</v>
      </c>
      <c r="J205">
        <v>-432.78050000000002</v>
      </c>
      <c r="K205">
        <v>1.074379</v>
      </c>
      <c r="L205">
        <v>366.94130000000001</v>
      </c>
      <c r="M205">
        <v>0.99982720000000003</v>
      </c>
      <c r="N205">
        <v>-1.7370509999999999E-2</v>
      </c>
      <c r="O205">
        <v>6.64148E-3</v>
      </c>
      <c r="P205">
        <v>0.9865777</v>
      </c>
      <c r="Q205">
        <v>0.1580608</v>
      </c>
      <c r="R205">
        <v>-4.1006790000000001E-2</v>
      </c>
      <c r="S205">
        <v>3.069458</v>
      </c>
      <c r="T205">
        <v>-0.1895926</v>
      </c>
      <c r="U205">
        <v>-3.7994380000000001E-2</v>
      </c>
      <c r="V205">
        <v>4.7496429999999999E-2</v>
      </c>
      <c r="W205">
        <v>0.1751866</v>
      </c>
      <c r="X205">
        <v>0.98338890000000001</v>
      </c>
      <c r="Y205">
        <v>1.8966090000000001E-2</v>
      </c>
      <c r="Z205">
        <v>-1.044641E-3</v>
      </c>
      <c r="AA205">
        <v>0.99981960000000003</v>
      </c>
      <c r="AB205">
        <v>25</v>
      </c>
      <c r="AC205">
        <v>17.996600000000001</v>
      </c>
      <c r="AD205">
        <v>-1.124379</v>
      </c>
      <c r="AE205">
        <v>-0.22700000000003201</v>
      </c>
      <c r="AF205">
        <v>0.34518986665858797</v>
      </c>
      <c r="AG205">
        <v>-1.124379</v>
      </c>
      <c r="AH205">
        <v>17.924738593690599</v>
      </c>
      <c r="AI205">
        <v>93.588670406806699</v>
      </c>
      <c r="AJ205">
        <v>88.896749429197698</v>
      </c>
      <c r="AK205">
        <v>17.963285830599801</v>
      </c>
      <c r="AL205">
        <v>79.910482666066102</v>
      </c>
      <c r="AM205">
        <v>87.234835729744205</v>
      </c>
      <c r="AN205">
        <v>0.99999999216275703</v>
      </c>
    </row>
    <row r="206" spans="1:40" x14ac:dyDescent="0.25">
      <c r="A206" t="str">
        <f>"20190303170500756"</f>
        <v>20190303170500756</v>
      </c>
      <c r="B206" t="str">
        <f>"1551603900744800"</f>
        <v>1551603900744800</v>
      </c>
      <c r="C206" t="s">
        <v>40</v>
      </c>
      <c r="D206">
        <v>5.1905010000000003</v>
      </c>
      <c r="E206">
        <v>0.49251099999999998</v>
      </c>
      <c r="F206" t="s">
        <v>43</v>
      </c>
      <c r="G206">
        <v>-413.34519999999998</v>
      </c>
      <c r="H206">
        <v>-0.05</v>
      </c>
      <c r="I206">
        <v>366.70389999999998</v>
      </c>
      <c r="J206">
        <v>-432.53230000000002</v>
      </c>
      <c r="K206">
        <v>1.07395</v>
      </c>
      <c r="L206">
        <v>366.94330000000002</v>
      </c>
      <c r="M206">
        <v>0.99983080000000002</v>
      </c>
      <c r="N206">
        <v>-1.7068299999999901E-2</v>
      </c>
      <c r="O206">
        <v>6.8678059999999997E-3</v>
      </c>
      <c r="P206">
        <v>0.98666659999999995</v>
      </c>
      <c r="Q206">
        <v>0.1575309</v>
      </c>
      <c r="R206">
        <v>-4.0908479999999997E-2</v>
      </c>
      <c r="S206">
        <v>3.067688</v>
      </c>
      <c r="T206">
        <v>-0.17747349999999901</v>
      </c>
      <c r="U206">
        <v>-3.7475590000000003E-2</v>
      </c>
      <c r="V206">
        <v>4.762301E-2</v>
      </c>
      <c r="W206">
        <v>0.1743603</v>
      </c>
      <c r="X206">
        <v>0.9835296</v>
      </c>
      <c r="Y206">
        <v>1.903639E-2</v>
      </c>
      <c r="Z206">
        <v>-9.9264319999999994E-4</v>
      </c>
      <c r="AA206">
        <v>0.99981830000000005</v>
      </c>
      <c r="AB206">
        <v>25</v>
      </c>
      <c r="AC206">
        <v>19.187100000000001</v>
      </c>
      <c r="AD206">
        <v>-1.12395</v>
      </c>
      <c r="AE206">
        <v>-0.23940000000004599</v>
      </c>
      <c r="AF206">
        <v>0.36991767411883097</v>
      </c>
      <c r="AG206">
        <v>-1.12395</v>
      </c>
      <c r="AH206">
        <v>19.1194062574165</v>
      </c>
      <c r="AI206">
        <v>93.363679526148303</v>
      </c>
      <c r="AJ206">
        <v>88.891593329041896</v>
      </c>
      <c r="AK206">
        <v>19.155985965860999</v>
      </c>
      <c r="AL206">
        <v>79.958566012515107</v>
      </c>
      <c r="AM206">
        <v>87.227873940531495</v>
      </c>
      <c r="AN206">
        <v>0.99999996968685401</v>
      </c>
    </row>
    <row r="207" spans="1:40" x14ac:dyDescent="0.25">
      <c r="A207" t="str">
        <f>"20190303170500777"</f>
        <v>20190303170500777</v>
      </c>
      <c r="B207" t="str">
        <f>"1551603900764320"</f>
        <v>1551603900764320</v>
      </c>
      <c r="C207" t="s">
        <v>40</v>
      </c>
      <c r="D207">
        <v>5.1892160000000001</v>
      </c>
      <c r="E207">
        <v>0.4923923</v>
      </c>
      <c r="F207" t="s">
        <v>43</v>
      </c>
      <c r="G207">
        <v>-412.32100000000003</v>
      </c>
      <c r="H207">
        <v>-0.05</v>
      </c>
      <c r="I207">
        <v>366.70049999999998</v>
      </c>
      <c r="J207">
        <v>-432.286</v>
      </c>
      <c r="K207">
        <v>1.073585</v>
      </c>
      <c r="L207">
        <v>366.9452</v>
      </c>
      <c r="M207">
        <v>0.99983370000000005</v>
      </c>
      <c r="N207">
        <v>-1.6801360000000001E-2</v>
      </c>
      <c r="O207">
        <v>7.0912409999999999E-3</v>
      </c>
      <c r="P207">
        <v>0.98670429999999998</v>
      </c>
      <c r="Q207">
        <v>0.15745909999999999</v>
      </c>
      <c r="R207">
        <v>-4.0265960000000003E-2</v>
      </c>
      <c r="S207">
        <v>3.066284</v>
      </c>
      <c r="T207">
        <v>-0.1705159</v>
      </c>
      <c r="U207">
        <v>-3.6834720000000001E-2</v>
      </c>
      <c r="V207">
        <v>4.7201979999999998E-2</v>
      </c>
      <c r="W207">
        <v>0.1740265</v>
      </c>
      <c r="X207">
        <v>0.98360910000000001</v>
      </c>
      <c r="Y207">
        <v>1.9059690000000001E-2</v>
      </c>
      <c r="Z207">
        <v>-9.6476310000000003E-4</v>
      </c>
      <c r="AA207">
        <v>0.99981790000000004</v>
      </c>
      <c r="AB207">
        <v>25</v>
      </c>
      <c r="AC207">
        <v>19.965</v>
      </c>
      <c r="AD207">
        <v>-1.1235850000000001</v>
      </c>
      <c r="AE207">
        <v>-0.24470000000002301</v>
      </c>
      <c r="AF207">
        <v>0.38507105159301303</v>
      </c>
      <c r="AG207">
        <v>-1.1235850000000001</v>
      </c>
      <c r="AH207">
        <v>19.8997457219455</v>
      </c>
      <c r="AI207">
        <v>93.231015516961705</v>
      </c>
      <c r="AJ207">
        <v>88.8914334274601</v>
      </c>
      <c r="AK207">
        <v>19.935159963368498</v>
      </c>
      <c r="AL207">
        <v>79.977989152586602</v>
      </c>
      <c r="AM207">
        <v>87.252566027898396</v>
      </c>
      <c r="AN207">
        <v>1.00000005561048</v>
      </c>
    </row>
    <row r="208" spans="1:40" x14ac:dyDescent="0.25">
      <c r="A208" t="str">
        <f>"20190303170500801"</f>
        <v>20190303170500801</v>
      </c>
      <c r="B208" t="str">
        <f>"1551603900794576"</f>
        <v>1551603900794576</v>
      </c>
      <c r="C208" t="s">
        <v>40</v>
      </c>
      <c r="D208">
        <v>5.1866370000000002</v>
      </c>
      <c r="E208">
        <v>0.49211090000000002</v>
      </c>
      <c r="F208" t="s">
        <v>43</v>
      </c>
      <c r="G208">
        <v>-411.37950000000001</v>
      </c>
      <c r="H208">
        <v>-0.05</v>
      </c>
      <c r="I208">
        <v>366.7079</v>
      </c>
      <c r="J208">
        <v>-432.02550000000002</v>
      </c>
      <c r="K208">
        <v>1.073267</v>
      </c>
      <c r="L208">
        <v>366.94740000000002</v>
      </c>
      <c r="M208">
        <v>0.99983630000000001</v>
      </c>
      <c r="N208">
        <v>-1.6550659999999998E-2</v>
      </c>
      <c r="O208">
        <v>7.3271990000000004E-3</v>
      </c>
      <c r="P208">
        <v>0.98657660000000003</v>
      </c>
      <c r="Q208">
        <v>0.15847020000000001</v>
      </c>
      <c r="R208">
        <v>-3.9426330000000002E-2</v>
      </c>
      <c r="S208">
        <v>3.0653079999999999</v>
      </c>
      <c r="T208">
        <v>-0.16474</v>
      </c>
      <c r="U208">
        <v>-3.4790040000000001E-2</v>
      </c>
      <c r="V208">
        <v>4.6594579999999997E-2</v>
      </c>
      <c r="W208">
        <v>0.174788</v>
      </c>
      <c r="X208">
        <v>0.98350300000000002</v>
      </c>
      <c r="Y208">
        <v>1.8636050000000001E-2</v>
      </c>
      <c r="Z208">
        <v>-9.2706519999999999E-4</v>
      </c>
      <c r="AA208">
        <v>0.99982590000000005</v>
      </c>
      <c r="AB208">
        <v>25</v>
      </c>
      <c r="AC208">
        <v>20.646000000000001</v>
      </c>
      <c r="AD208">
        <v>-1.123267</v>
      </c>
      <c r="AE208">
        <v>-0.23950000000002</v>
      </c>
      <c r="AF208">
        <v>0.38963844393435298</v>
      </c>
      <c r="AG208">
        <v>-1.123267</v>
      </c>
      <c r="AH208">
        <v>20.582773362416201</v>
      </c>
      <c r="AI208">
        <v>93.123154757101005</v>
      </c>
      <c r="AJ208">
        <v>88.915502210319104</v>
      </c>
      <c r="AK208">
        <v>20.617082872192899</v>
      </c>
      <c r="AL208">
        <v>79.933679000595603</v>
      </c>
      <c r="AM208">
        <v>87.287575016663297</v>
      </c>
      <c r="AN208">
        <v>1.0000000254191801</v>
      </c>
    </row>
    <row r="209" spans="1:40" x14ac:dyDescent="0.25">
      <c r="A209" t="str">
        <f>"20190303170500826"</f>
        <v>20190303170500826</v>
      </c>
      <c r="B209" t="str">
        <f>"1551603900815072"</f>
        <v>1551603900815072</v>
      </c>
      <c r="C209" t="s">
        <v>40</v>
      </c>
      <c r="D209">
        <v>5.127332</v>
      </c>
      <c r="E209">
        <v>0.49203639999999998</v>
      </c>
      <c r="F209" t="s">
        <v>43</v>
      </c>
      <c r="G209">
        <v>-409.7448</v>
      </c>
      <c r="H209">
        <v>-0.05</v>
      </c>
      <c r="I209">
        <v>366.72609999999997</v>
      </c>
      <c r="J209">
        <v>-431.75959999999998</v>
      </c>
      <c r="K209">
        <v>1.0730029999999999</v>
      </c>
      <c r="L209">
        <v>366.94959999999998</v>
      </c>
      <c r="M209">
        <v>0.99983809999999995</v>
      </c>
      <c r="N209">
        <v>-1.632664E-2</v>
      </c>
      <c r="O209">
        <v>7.568165E-3</v>
      </c>
      <c r="P209">
        <v>0.98638720000000002</v>
      </c>
      <c r="Q209">
        <v>0.1598397</v>
      </c>
      <c r="R209">
        <v>-3.862285E-2</v>
      </c>
      <c r="S209">
        <v>3.0644230000000001</v>
      </c>
      <c r="T209">
        <v>-0.1544904</v>
      </c>
      <c r="U209">
        <v>-3.042603E-2</v>
      </c>
      <c r="V209">
        <v>4.602759E-2</v>
      </c>
      <c r="W209">
        <v>0.17593300000000001</v>
      </c>
      <c r="X209">
        <v>0.98332549999999996</v>
      </c>
      <c r="Y209">
        <v>1.7463059999999999E-2</v>
      </c>
      <c r="Z209">
        <v>-8.4036970000000001E-4</v>
      </c>
      <c r="AA209">
        <v>0.99984720000000005</v>
      </c>
      <c r="AB209">
        <v>25</v>
      </c>
      <c r="AC209">
        <v>22.014799999999902</v>
      </c>
      <c r="AD209">
        <v>-1.123003</v>
      </c>
      <c r="AE209">
        <v>-0.223500000000001</v>
      </c>
      <c r="AF209">
        <v>0.38911501017471301</v>
      </c>
      <c r="AG209">
        <v>-1.123003</v>
      </c>
      <c r="AH209">
        <v>21.955352405778399</v>
      </c>
      <c r="AI209">
        <v>92.927633749014603</v>
      </c>
      <c r="AJ209">
        <v>88.984652417886096</v>
      </c>
      <c r="AK209">
        <v>21.9874974813204</v>
      </c>
      <c r="AL209">
        <v>79.867042486644394</v>
      </c>
      <c r="AM209">
        <v>87.320050020983004</v>
      </c>
      <c r="AN209">
        <v>0.99999999924022898</v>
      </c>
    </row>
    <row r="210" spans="1:40" x14ac:dyDescent="0.25">
      <c r="A210" t="str">
        <f>"20190303170500846"</f>
        <v>20190303170500846</v>
      </c>
      <c r="B210" t="str">
        <f>"1551603900834591"</f>
        <v>1551603900834591</v>
      </c>
      <c r="C210" t="s">
        <v>40</v>
      </c>
      <c r="D210">
        <v>5.1832969999999996</v>
      </c>
      <c r="E210">
        <v>0.4919692</v>
      </c>
      <c r="F210" t="s">
        <v>43</v>
      </c>
      <c r="G210">
        <v>-408.38749999999999</v>
      </c>
      <c r="H210">
        <v>-0.05</v>
      </c>
      <c r="I210">
        <v>366.73430000000002</v>
      </c>
      <c r="J210">
        <v>-431.53070000000002</v>
      </c>
      <c r="K210">
        <v>1.0728089999999999</v>
      </c>
      <c r="L210">
        <v>366.95159999999998</v>
      </c>
      <c r="M210">
        <v>0.99983920000000004</v>
      </c>
      <c r="N210">
        <v>-1.6155599999999999E-2</v>
      </c>
      <c r="O210">
        <v>7.7751999999999899E-3</v>
      </c>
      <c r="P210">
        <v>0.98637439999999998</v>
      </c>
      <c r="Q210">
        <v>0.16015960000000001</v>
      </c>
      <c r="R210">
        <v>-3.7609129999999998E-2</v>
      </c>
      <c r="S210">
        <v>3.0641780000000001</v>
      </c>
      <c r="T210">
        <v>-0.14723069999999999</v>
      </c>
      <c r="U210">
        <v>-2.8228759999999999E-2</v>
      </c>
      <c r="V210">
        <v>4.5218380000000002E-2</v>
      </c>
      <c r="W210">
        <v>0.1760842</v>
      </c>
      <c r="X210">
        <v>0.98333599999999999</v>
      </c>
      <c r="Y210">
        <v>1.695762E-2</v>
      </c>
      <c r="Z210">
        <v>-7.9205029999999997E-4</v>
      </c>
      <c r="AA210">
        <v>0.99985590000000002</v>
      </c>
      <c r="AB210">
        <v>25</v>
      </c>
      <c r="AC210">
        <v>23.1432</v>
      </c>
      <c r="AD210">
        <v>-1.1228089999999999</v>
      </c>
      <c r="AE210">
        <v>-0.21729999999996599</v>
      </c>
      <c r="AF210">
        <v>0.39632715379648698</v>
      </c>
      <c r="AG210">
        <v>-1.1228089999999999</v>
      </c>
      <c r="AH210">
        <v>23.0864749104936</v>
      </c>
      <c r="AI210">
        <v>92.783972476708897</v>
      </c>
      <c r="AJ210">
        <v>89.016495893449999</v>
      </c>
      <c r="AK210">
        <v>23.117160272320799</v>
      </c>
      <c r="AL210">
        <v>79.858242170420894</v>
      </c>
      <c r="AM210">
        <v>87.367127341565904</v>
      </c>
      <c r="AN210">
        <v>1.00000001813773</v>
      </c>
    </row>
    <row r="211" spans="1:40" x14ac:dyDescent="0.25">
      <c r="A211" t="str">
        <f>"20190303170500869"</f>
        <v>20190303170500869</v>
      </c>
      <c r="B211" t="str">
        <f>"1551603900855088"</f>
        <v>1551603900855088</v>
      </c>
      <c r="C211" t="s">
        <v>40</v>
      </c>
      <c r="D211">
        <v>5.2415750000000001</v>
      </c>
      <c r="E211">
        <v>0.49192760000000002</v>
      </c>
      <c r="F211" t="s">
        <v>43</v>
      </c>
      <c r="G211">
        <v>-407.63010000000003</v>
      </c>
      <c r="H211">
        <v>-0.05</v>
      </c>
      <c r="I211">
        <v>366.76350000000002</v>
      </c>
      <c r="J211">
        <v>-431.27449999999999</v>
      </c>
      <c r="K211">
        <v>1.0726199999999999</v>
      </c>
      <c r="L211">
        <v>366.95389999999998</v>
      </c>
      <c r="M211">
        <v>0.99984010000000001</v>
      </c>
      <c r="N211">
        <v>-1.598602E-2</v>
      </c>
      <c r="O211">
        <v>8.0078909999999996E-3</v>
      </c>
      <c r="P211">
        <v>0.98658460000000003</v>
      </c>
      <c r="Q211">
        <v>0.1590983</v>
      </c>
      <c r="R211">
        <v>-3.6588849999999999E-2</v>
      </c>
      <c r="S211">
        <v>3.0639340000000002</v>
      </c>
      <c r="T211">
        <v>-0.14393819999999999</v>
      </c>
      <c r="U211">
        <v>-2.4108890000000001E-2</v>
      </c>
      <c r="V211">
        <v>4.4430230000000001E-2</v>
      </c>
      <c r="W211">
        <v>0.1748594</v>
      </c>
      <c r="X211">
        <v>0.98359039999999998</v>
      </c>
      <c r="Y211">
        <v>1.5849499999999999E-2</v>
      </c>
      <c r="Z211">
        <v>-7.4687789999999896E-4</v>
      </c>
      <c r="AA211">
        <v>0.99987409999999999</v>
      </c>
      <c r="AB211">
        <v>25</v>
      </c>
      <c r="AC211">
        <v>23.644399999999901</v>
      </c>
      <c r="AD211">
        <v>-1.12262</v>
      </c>
      <c r="AE211">
        <v>-0.19039999999995399</v>
      </c>
      <c r="AF211">
        <v>0.37890577207557902</v>
      </c>
      <c r="AG211">
        <v>-1.12262</v>
      </c>
      <c r="AH211">
        <v>23.588944011465198</v>
      </c>
      <c r="AI211">
        <v>92.724353230895105</v>
      </c>
      <c r="AJ211">
        <v>89.079745379592197</v>
      </c>
      <c r="AK211">
        <v>23.6186816910799</v>
      </c>
      <c r="AL211">
        <v>79.929523481084999</v>
      </c>
      <c r="AM211">
        <v>87.4136232579325</v>
      </c>
      <c r="AN211">
        <v>0.99999996503918498</v>
      </c>
    </row>
    <row r="212" spans="1:40" x14ac:dyDescent="0.25">
      <c r="A212" t="str">
        <f>"20190303170500891"</f>
        <v>20190303170500891</v>
      </c>
      <c r="B212" t="str">
        <f>"1551603900884368"</f>
        <v>1551603900884368</v>
      </c>
      <c r="C212" t="s">
        <v>40</v>
      </c>
      <c r="D212">
        <v>5.1847339999999997</v>
      </c>
      <c r="E212">
        <v>0.49192019999999997</v>
      </c>
      <c r="F212" t="s">
        <v>43</v>
      </c>
      <c r="G212">
        <v>-407.6737</v>
      </c>
      <c r="H212">
        <v>-0.05</v>
      </c>
      <c r="I212">
        <v>366.78620000000001</v>
      </c>
      <c r="J212">
        <v>-431.03269999999998</v>
      </c>
      <c r="K212">
        <v>1.072471</v>
      </c>
      <c r="L212">
        <v>366.95600000000002</v>
      </c>
      <c r="M212">
        <v>0.99984070000000003</v>
      </c>
      <c r="N212">
        <v>-1.5843920000000001E-2</v>
      </c>
      <c r="O212">
        <v>8.2272509999999997E-3</v>
      </c>
      <c r="P212">
        <v>0.98684499999999997</v>
      </c>
      <c r="Q212">
        <v>0.1575965</v>
      </c>
      <c r="R212">
        <v>-3.6062480000000001E-2</v>
      </c>
      <c r="S212">
        <v>3.0634459999999999</v>
      </c>
      <c r="T212">
        <v>-0.14571919999999999</v>
      </c>
      <c r="U212">
        <v>-2.1759029999999999E-2</v>
      </c>
      <c r="V212">
        <v>4.412344E-2</v>
      </c>
      <c r="W212">
        <v>0.1732216</v>
      </c>
      <c r="X212">
        <v>0.98389400000000005</v>
      </c>
      <c r="Y212">
        <v>1.5303239999999999E-2</v>
      </c>
      <c r="Z212">
        <v>-7.4589749999999999E-4</v>
      </c>
      <c r="AA212">
        <v>0.99988259999999995</v>
      </c>
      <c r="AB212">
        <v>25</v>
      </c>
      <c r="AC212">
        <v>23.358999999999899</v>
      </c>
      <c r="AD212">
        <v>-1.122471</v>
      </c>
      <c r="AE212">
        <v>-0.16979999999995199</v>
      </c>
      <c r="AF212">
        <v>0.36116480049510802</v>
      </c>
      <c r="AG212">
        <v>-1.122471</v>
      </c>
      <c r="AH212">
        <v>23.303006060448102</v>
      </c>
      <c r="AI212">
        <v>92.7573899807918</v>
      </c>
      <c r="AJ212">
        <v>89.1120646807572</v>
      </c>
      <c r="AK212">
        <v>23.3328196455602</v>
      </c>
      <c r="AL212">
        <v>80.024817216037604</v>
      </c>
      <c r="AM212">
        <v>87.432249659396106</v>
      </c>
      <c r="AN212">
        <v>1.0000000019499899</v>
      </c>
    </row>
    <row r="213" spans="1:40" x14ac:dyDescent="0.25">
      <c r="A213" t="str">
        <f>"20190303170500913"</f>
        <v>20190303170500913</v>
      </c>
      <c r="B213" t="str">
        <f>"1551603900904865"</f>
        <v>1551603900904865</v>
      </c>
      <c r="C213" t="s">
        <v>40</v>
      </c>
      <c r="D213">
        <v>5.2417889999999998</v>
      </c>
      <c r="E213">
        <v>0.49196679999999998</v>
      </c>
      <c r="F213" t="s">
        <v>43</v>
      </c>
      <c r="G213">
        <v>-407.82479999999998</v>
      </c>
      <c r="H213">
        <v>-0.05</v>
      </c>
      <c r="I213">
        <v>366.8064</v>
      </c>
      <c r="J213">
        <v>-430.77609999999999</v>
      </c>
      <c r="K213">
        <v>1.072338</v>
      </c>
      <c r="L213">
        <v>366.95839999999998</v>
      </c>
      <c r="M213">
        <v>0.99984079999999997</v>
      </c>
      <c r="N213">
        <v>-1.5710229999999999E-2</v>
      </c>
      <c r="O213">
        <v>8.4603030000000006E-3</v>
      </c>
      <c r="P213">
        <v>0.98676759999999997</v>
      </c>
      <c r="Q213">
        <v>0.1581071</v>
      </c>
      <c r="R213">
        <v>-3.5942519999999999E-2</v>
      </c>
      <c r="S213">
        <v>3.062897</v>
      </c>
      <c r="T213">
        <v>-0.14813950000000001</v>
      </c>
      <c r="U213">
        <v>-1.9744870000000001E-2</v>
      </c>
      <c r="V213">
        <v>4.423291E-2</v>
      </c>
      <c r="W213">
        <v>0.17359959999999999</v>
      </c>
      <c r="X213">
        <v>0.98382250000000004</v>
      </c>
      <c r="Y213">
        <v>1.4879720000000001E-2</v>
      </c>
      <c r="Z213">
        <v>-7.5267889999999999E-4</v>
      </c>
      <c r="AA213">
        <v>0.99988900000000003</v>
      </c>
      <c r="AB213">
        <v>25</v>
      </c>
      <c r="AC213">
        <v>22.9513</v>
      </c>
      <c r="AD213">
        <v>-1.1223379999999901</v>
      </c>
      <c r="AE213">
        <v>-0.15199999999998601</v>
      </c>
      <c r="AF213">
        <v>0.34536763747466998</v>
      </c>
      <c r="AG213">
        <v>-1.1223379999999901</v>
      </c>
      <c r="AH213">
        <v>22.8944473424305</v>
      </c>
      <c r="AI213">
        <v>92.806204201440394</v>
      </c>
      <c r="AJ213">
        <v>89.135746458587306</v>
      </c>
      <c r="AK213">
        <v>22.924542318366601</v>
      </c>
      <c r="AL213">
        <v>80.002826638730298</v>
      </c>
      <c r="AM213">
        <v>87.425700820082199</v>
      </c>
      <c r="AN213">
        <v>1.0000000414767301</v>
      </c>
    </row>
    <row r="214" spans="1:40" x14ac:dyDescent="0.25">
      <c r="A214" t="str">
        <f>"20190303170500935"</f>
        <v>20190303170500935</v>
      </c>
      <c r="B214" t="str">
        <f>"1551603900924384"</f>
        <v>1551603900924384</v>
      </c>
      <c r="C214" t="s">
        <v>40</v>
      </c>
      <c r="D214">
        <v>5.2463899999999999</v>
      </c>
      <c r="E214">
        <v>0.49197780000000002</v>
      </c>
      <c r="F214" t="s">
        <v>43</v>
      </c>
      <c r="G214">
        <v>-407.07170000000002</v>
      </c>
      <c r="H214">
        <v>-0.05</v>
      </c>
      <c r="I214">
        <v>366.80799999999999</v>
      </c>
      <c r="J214">
        <v>-430.54239999999999</v>
      </c>
      <c r="K214">
        <v>1.0722510000000001</v>
      </c>
      <c r="L214">
        <v>366.9606</v>
      </c>
      <c r="M214">
        <v>0.99984070000000003</v>
      </c>
      <c r="N214">
        <v>-1.5602410000000001E-2</v>
      </c>
      <c r="O214">
        <v>8.6727639999999995E-3</v>
      </c>
      <c r="P214">
        <v>0.98655130000000002</v>
      </c>
      <c r="Q214">
        <v>0.1595588</v>
      </c>
      <c r="R214">
        <v>-3.5461760000000002E-2</v>
      </c>
      <c r="S214">
        <v>3.0627439999999999</v>
      </c>
      <c r="T214">
        <v>-0.14501249999999999</v>
      </c>
      <c r="U214">
        <v>-1.9439700000000001E-2</v>
      </c>
      <c r="V214">
        <v>4.3959810000000002E-2</v>
      </c>
      <c r="W214">
        <v>0.17494109999999999</v>
      </c>
      <c r="X214">
        <v>0.98359700000000005</v>
      </c>
      <c r="Y214">
        <v>1.499373E-2</v>
      </c>
      <c r="Z214">
        <v>-7.4694210000000004E-4</v>
      </c>
      <c r="AA214">
        <v>0.99988730000000003</v>
      </c>
      <c r="AB214">
        <v>25</v>
      </c>
      <c r="AC214">
        <v>23.470699999999901</v>
      </c>
      <c r="AD214">
        <v>-1.1222510000000001</v>
      </c>
      <c r="AE214">
        <v>-0.152599999999949</v>
      </c>
      <c r="AF214">
        <v>0.355362453515218</v>
      </c>
      <c r="AG214">
        <v>-1.1222510000000001</v>
      </c>
      <c r="AH214">
        <v>23.4149627345369</v>
      </c>
      <c r="AI214">
        <v>92.743702441736104</v>
      </c>
      <c r="AJ214">
        <v>89.130504456554604</v>
      </c>
      <c r="AK214">
        <v>23.444534749918201</v>
      </c>
      <c r="AL214">
        <v>79.924769039782205</v>
      </c>
      <c r="AM214">
        <v>87.440987942226499</v>
      </c>
      <c r="AN214">
        <v>0.99999995588672197</v>
      </c>
    </row>
    <row r="215" spans="1:40" x14ac:dyDescent="0.25">
      <c r="A215" t="str">
        <f>"20190303170500957"</f>
        <v>20190303170500957</v>
      </c>
      <c r="B215" t="str">
        <f>"1551603900944880"</f>
        <v>1551603900944880</v>
      </c>
      <c r="C215" t="s">
        <v>40</v>
      </c>
      <c r="D215">
        <v>5.3047339999999998</v>
      </c>
      <c r="E215">
        <v>0.49204629999999999</v>
      </c>
      <c r="F215" t="s">
        <v>43</v>
      </c>
      <c r="G215">
        <v>-405.92489999999998</v>
      </c>
      <c r="H215">
        <v>-0.05</v>
      </c>
      <c r="I215">
        <v>366.81049999999999</v>
      </c>
      <c r="J215">
        <v>-430.29719999999998</v>
      </c>
      <c r="K215">
        <v>1.072166</v>
      </c>
      <c r="L215">
        <v>366.96300000000002</v>
      </c>
      <c r="M215">
        <v>0.99984039999999996</v>
      </c>
      <c r="N215">
        <v>-1.550178E-2</v>
      </c>
      <c r="O215">
        <v>8.8953580000000008E-3</v>
      </c>
      <c r="P215">
        <v>0.98645070000000001</v>
      </c>
      <c r="Q215">
        <v>0.1603223</v>
      </c>
      <c r="R215">
        <v>-3.4816800000000002E-2</v>
      </c>
      <c r="S215">
        <v>3.0628359999999999</v>
      </c>
      <c r="T215">
        <v>-0.13962769999999999</v>
      </c>
      <c r="U215">
        <v>-1.8676760000000001E-2</v>
      </c>
      <c r="V215">
        <v>4.3533479999999999E-2</v>
      </c>
      <c r="W215">
        <v>0.17560400000000001</v>
      </c>
      <c r="X215">
        <v>0.98349790000000004</v>
      </c>
      <c r="Y215">
        <v>1.496891E-2</v>
      </c>
      <c r="Z215">
        <v>-7.2457960000000003E-4</v>
      </c>
      <c r="AA215">
        <v>0.99988770000000005</v>
      </c>
      <c r="AB215">
        <v>25</v>
      </c>
      <c r="AC215">
        <v>24.372299999999999</v>
      </c>
      <c r="AD215">
        <v>-1.122166</v>
      </c>
      <c r="AE215">
        <v>-0.152500000000031</v>
      </c>
      <c r="AF215">
        <v>0.36853907873429298</v>
      </c>
      <c r="AG215">
        <v>-1.122166</v>
      </c>
      <c r="AH215">
        <v>24.3184274807472</v>
      </c>
      <c r="AI215">
        <v>92.641718192025294</v>
      </c>
      <c r="AJ215">
        <v>89.131764686811593</v>
      </c>
      <c r="AK215">
        <v>24.347094132985699</v>
      </c>
      <c r="AL215">
        <v>79.886191162951803</v>
      </c>
      <c r="AM215">
        <v>87.465518156713699</v>
      </c>
      <c r="AN215">
        <v>1.0000000240006599</v>
      </c>
    </row>
    <row r="216" spans="1:40" x14ac:dyDescent="0.25">
      <c r="A216" t="str">
        <f>"20190303170500981"</f>
        <v>20190303170500981</v>
      </c>
      <c r="B216" t="str">
        <f>"1551603900974666"</f>
        <v>1551603900974666</v>
      </c>
      <c r="C216" t="s">
        <v>40</v>
      </c>
      <c r="D216">
        <v>5.2958179999999997</v>
      </c>
      <c r="E216">
        <v>0.49206840000000002</v>
      </c>
      <c r="F216" t="s">
        <v>43</v>
      </c>
      <c r="G216">
        <v>-405.1551</v>
      </c>
      <c r="H216">
        <v>-0.05</v>
      </c>
      <c r="I216">
        <v>366.81920000000002</v>
      </c>
      <c r="J216">
        <v>-430.03359999999998</v>
      </c>
      <c r="K216">
        <v>1.0720829999999999</v>
      </c>
      <c r="L216">
        <v>366.96570000000003</v>
      </c>
      <c r="M216">
        <v>0.99983979999999995</v>
      </c>
      <c r="N216">
        <v>-1.540589E-2</v>
      </c>
      <c r="O216">
        <v>9.1350749999999994E-3</v>
      </c>
      <c r="P216">
        <v>0.98653420000000003</v>
      </c>
      <c r="Q216">
        <v>0.15987229999999999</v>
      </c>
      <c r="R216">
        <v>-3.4519080000000001E-2</v>
      </c>
      <c r="S216">
        <v>3.0627749999999998</v>
      </c>
      <c r="T216">
        <v>-0.1367003</v>
      </c>
      <c r="U216">
        <v>-1.7517089999999999E-2</v>
      </c>
      <c r="V216">
        <v>4.3473449999999997E-2</v>
      </c>
      <c r="W216">
        <v>0.17506079999999999</v>
      </c>
      <c r="X216">
        <v>0.98359730000000001</v>
      </c>
      <c r="Y216">
        <v>1.4831260000000001E-2</v>
      </c>
      <c r="Z216">
        <v>-7.1196230000000001E-4</v>
      </c>
      <c r="AA216">
        <v>0.99988969999999999</v>
      </c>
      <c r="AB216">
        <v>25</v>
      </c>
      <c r="AC216">
        <v>24.878499999999899</v>
      </c>
      <c r="AD216">
        <v>-1.1220829999999999</v>
      </c>
      <c r="AE216">
        <v>-0.14650000000000299</v>
      </c>
      <c r="AF216">
        <v>0.37302897341240698</v>
      </c>
      <c r="AG216">
        <v>-1.1220829999999999</v>
      </c>
      <c r="AH216">
        <v>24.825623779813402</v>
      </c>
      <c r="AI216">
        <v>92.587634959733805</v>
      </c>
      <c r="AJ216">
        <v>89.139140361924206</v>
      </c>
      <c r="AK216">
        <v>24.853768666556999</v>
      </c>
      <c r="AL216">
        <v>79.917803043384197</v>
      </c>
      <c r="AM216">
        <v>87.469263947329097</v>
      </c>
      <c r="AN216">
        <v>0.99999993655941399</v>
      </c>
    </row>
    <row r="217" spans="1:40" x14ac:dyDescent="0.25">
      <c r="A217" t="str">
        <f>"20190303170501003"</f>
        <v>20190303170501003</v>
      </c>
      <c r="B217" t="str">
        <f>"1551603900995162"</f>
        <v>1551603900995162</v>
      </c>
      <c r="C217" t="s">
        <v>40</v>
      </c>
      <c r="D217">
        <v>5.3554170000000001</v>
      </c>
      <c r="E217">
        <v>0.49209809999999998</v>
      </c>
      <c r="F217" t="s">
        <v>43</v>
      </c>
      <c r="G217">
        <v>-404.99279999999999</v>
      </c>
      <c r="H217">
        <v>-0.05</v>
      </c>
      <c r="I217">
        <v>366.82470000000001</v>
      </c>
      <c r="J217">
        <v>-429.78829999999999</v>
      </c>
      <c r="K217">
        <v>1.0720149999999999</v>
      </c>
      <c r="L217">
        <v>366.96820000000002</v>
      </c>
      <c r="M217">
        <v>0.99983889999999997</v>
      </c>
      <c r="N217">
        <v>-1.5327489999999999E-2</v>
      </c>
      <c r="O217">
        <v>9.3584470000000006E-3</v>
      </c>
      <c r="P217">
        <v>0.98677239999999999</v>
      </c>
      <c r="Q217">
        <v>0.15845239999999999</v>
      </c>
      <c r="R217">
        <v>-3.4259110000000002E-2</v>
      </c>
      <c r="S217">
        <v>3.0626220000000002</v>
      </c>
      <c r="T217">
        <v>-0.13723669999999999</v>
      </c>
      <c r="U217">
        <v>-1.724243E-2</v>
      </c>
      <c r="V217">
        <v>4.3436849999999999E-2</v>
      </c>
      <c r="W217">
        <v>0.17356669999999999</v>
      </c>
      <c r="X217">
        <v>0.98386370000000001</v>
      </c>
      <c r="Y217">
        <v>1.49648E-2</v>
      </c>
      <c r="Z217">
        <v>-7.2562470000000004E-4</v>
      </c>
      <c r="AA217">
        <v>0.99988779999999999</v>
      </c>
      <c r="AB217">
        <v>25</v>
      </c>
      <c r="AC217">
        <v>24.795500000000001</v>
      </c>
      <c r="AD217">
        <v>-1.122015</v>
      </c>
      <c r="AE217">
        <v>-0.143500000000017</v>
      </c>
      <c r="AF217">
        <v>0.37480088226133801</v>
      </c>
      <c r="AG217">
        <v>-1.122015</v>
      </c>
      <c r="AH217">
        <v>24.742409210816898</v>
      </c>
      <c r="AI217">
        <v>92.596163995845203</v>
      </c>
      <c r="AJ217">
        <v>89.1321432685818</v>
      </c>
      <c r="AK217">
        <v>24.770672314595799</v>
      </c>
      <c r="AL217">
        <v>80.004740002687996</v>
      </c>
      <c r="AM217">
        <v>87.472075571057502</v>
      </c>
      <c r="AN217">
        <v>0.99999996973225003</v>
      </c>
    </row>
    <row r="218" spans="1:40" x14ac:dyDescent="0.25">
      <c r="A218" t="str">
        <f>"20190303170501025"</f>
        <v>20190303170501025</v>
      </c>
      <c r="B218" t="str">
        <f>"1551603901014682"</f>
        <v>1551603901014682</v>
      </c>
      <c r="C218" t="s">
        <v>40</v>
      </c>
      <c r="D218">
        <v>5.2452050000000003</v>
      </c>
      <c r="E218">
        <v>0.4921237</v>
      </c>
      <c r="F218" t="s">
        <v>43</v>
      </c>
      <c r="G218">
        <v>-405.44040000000001</v>
      </c>
      <c r="H218">
        <v>-0.05</v>
      </c>
      <c r="I218">
        <v>366.83589999999998</v>
      </c>
      <c r="J218">
        <v>-429.55459999999999</v>
      </c>
      <c r="K218">
        <v>1.071966</v>
      </c>
      <c r="L218">
        <v>366.97059999999999</v>
      </c>
      <c r="M218">
        <v>0.9998378</v>
      </c>
      <c r="N218">
        <v>-1.526137E-2</v>
      </c>
      <c r="O218">
        <v>9.5709969999999995E-3</v>
      </c>
      <c r="P218">
        <v>0.98687599999999998</v>
      </c>
      <c r="Q218">
        <v>0.1578186</v>
      </c>
      <c r="R218">
        <v>-3.4192029999999998E-2</v>
      </c>
      <c r="S218">
        <v>3.0623170000000002</v>
      </c>
      <c r="T218">
        <v>-0.14111940000000001</v>
      </c>
      <c r="U218">
        <v>-1.663208E-2</v>
      </c>
      <c r="V218">
        <v>4.3581080000000001E-2</v>
      </c>
      <c r="W218">
        <v>0.17286979999999999</v>
      </c>
      <c r="X218">
        <v>0.98398010000000002</v>
      </c>
      <c r="Y218">
        <v>1.497714E-2</v>
      </c>
      <c r="Z218">
        <v>-7.540747E-4</v>
      </c>
      <c r="AA218">
        <v>0.99988750000000004</v>
      </c>
      <c r="AB218">
        <v>25</v>
      </c>
      <c r="AC218">
        <v>24.114199999999901</v>
      </c>
      <c r="AD218">
        <v>-1.121966</v>
      </c>
      <c r="AE218">
        <v>-0.13470000000000901</v>
      </c>
      <c r="AF218">
        <v>0.36472809941587803</v>
      </c>
      <c r="AG218">
        <v>-1.121966</v>
      </c>
      <c r="AH218">
        <v>24.0597235036131</v>
      </c>
      <c r="AI218">
        <v>92.669607199327004</v>
      </c>
      <c r="AJ218">
        <v>89.131503725795199</v>
      </c>
      <c r="AK218">
        <v>24.088630707493</v>
      </c>
      <c r="AL218">
        <v>80.045283177592694</v>
      </c>
      <c r="AM218">
        <v>87.463992301946405</v>
      </c>
      <c r="AN218">
        <v>1.000000057741</v>
      </c>
    </row>
    <row r="219" spans="1:40" x14ac:dyDescent="0.25">
      <c r="A219" t="str">
        <f>"20190303170501047"</f>
        <v>20190303170501047</v>
      </c>
      <c r="B219" t="str">
        <f>"1551603901034202"</f>
        <v>1551603901034202</v>
      </c>
      <c r="C219" t="s">
        <v>40</v>
      </c>
      <c r="D219">
        <v>5.3042189999999998</v>
      </c>
      <c r="E219">
        <v>0.49214289999999999</v>
      </c>
      <c r="F219" t="s">
        <v>43</v>
      </c>
      <c r="G219">
        <v>-405.49900000000002</v>
      </c>
      <c r="H219">
        <v>-0.05</v>
      </c>
      <c r="I219">
        <v>366.83949999999999</v>
      </c>
      <c r="J219">
        <v>-429.31150000000002</v>
      </c>
      <c r="K219">
        <v>1.0719270000000001</v>
      </c>
      <c r="L219">
        <v>366.97320000000002</v>
      </c>
      <c r="M219">
        <v>0.99983659999999996</v>
      </c>
      <c r="N219">
        <v>-1.5200429999999999E-2</v>
      </c>
      <c r="O219">
        <v>9.7922070000000007E-3</v>
      </c>
      <c r="P219">
        <v>0.98670720000000001</v>
      </c>
      <c r="Q219">
        <v>0.1590724</v>
      </c>
      <c r="R219">
        <v>-3.324821E-2</v>
      </c>
      <c r="S219">
        <v>3.0621339999999999</v>
      </c>
      <c r="T219">
        <v>-0.14281940000000001</v>
      </c>
      <c r="U219">
        <v>-1.6693119999999999E-2</v>
      </c>
      <c r="V219">
        <v>4.2853670000000003E-2</v>
      </c>
      <c r="W219">
        <v>0.17406070000000001</v>
      </c>
      <c r="X219">
        <v>0.98380199999999995</v>
      </c>
      <c r="Y219">
        <v>1.521754E-2</v>
      </c>
      <c r="Z219">
        <v>-7.7808879999999997E-4</v>
      </c>
      <c r="AA219">
        <v>0.99988390000000005</v>
      </c>
      <c r="AB219">
        <v>25</v>
      </c>
      <c r="AC219">
        <v>23.8125</v>
      </c>
      <c r="AD219">
        <v>-1.1219269999999999</v>
      </c>
      <c r="AE219">
        <v>-0.13370000000003299</v>
      </c>
      <c r="AF219">
        <v>0.36608482128059799</v>
      </c>
      <c r="AG219">
        <v>-1.1219269999999999</v>
      </c>
      <c r="AH219">
        <v>23.757313208309601</v>
      </c>
      <c r="AI219">
        <v>92.703434764187705</v>
      </c>
      <c r="AJ219">
        <v>89.117178988705604</v>
      </c>
      <c r="AK219">
        <v>23.786606928425599</v>
      </c>
      <c r="AL219">
        <v>79.9759983978565</v>
      </c>
      <c r="AM219">
        <v>87.505815936787997</v>
      </c>
      <c r="AN219">
        <v>0.999999969760479</v>
      </c>
    </row>
    <row r="220" spans="1:40" x14ac:dyDescent="0.25">
      <c r="A220" t="str">
        <f>"20190303170501070"</f>
        <v>20190303170501070</v>
      </c>
      <c r="B220" t="str">
        <f>"1551603901054698"</f>
        <v>1551603901054698</v>
      </c>
      <c r="C220" t="s">
        <v>40</v>
      </c>
      <c r="D220">
        <v>5.3034220000000003</v>
      </c>
      <c r="E220">
        <v>0.49214390000000002</v>
      </c>
      <c r="F220" t="s">
        <v>43</v>
      </c>
      <c r="G220">
        <v>-404.51159999999999</v>
      </c>
      <c r="H220">
        <v>-0.05</v>
      </c>
      <c r="I220">
        <v>366.85750000000002</v>
      </c>
      <c r="J220">
        <v>-429.06049999999999</v>
      </c>
      <c r="K220">
        <v>1.071895</v>
      </c>
      <c r="L220">
        <v>366.97590000000002</v>
      </c>
      <c r="M220">
        <v>0.99983509999999998</v>
      </c>
      <c r="N220">
        <v>-1.5144370000000001E-2</v>
      </c>
      <c r="O220">
        <v>1.0020589999999999E-2</v>
      </c>
      <c r="P220">
        <v>0.98647799999999997</v>
      </c>
      <c r="Q220">
        <v>0.1605704</v>
      </c>
      <c r="R220">
        <v>-3.2836820000000003E-2</v>
      </c>
      <c r="S220">
        <v>3.0623170000000002</v>
      </c>
      <c r="T220">
        <v>-0.13853660000000001</v>
      </c>
      <c r="U220">
        <v>-1.428223E-2</v>
      </c>
      <c r="V220">
        <v>4.2665189999999999E-2</v>
      </c>
      <c r="W220">
        <v>0.17549979999999901</v>
      </c>
      <c r="X220">
        <v>0.9835545</v>
      </c>
      <c r="Y220">
        <v>1.4660650000000001E-2</v>
      </c>
      <c r="Z220">
        <v>-7.4391500000000005E-4</v>
      </c>
      <c r="AA220">
        <v>0.99989220000000001</v>
      </c>
      <c r="AB220">
        <v>24</v>
      </c>
      <c r="AC220">
        <v>24.5489</v>
      </c>
      <c r="AD220">
        <v>-1.1218950000000001</v>
      </c>
      <c r="AE220">
        <v>-0.118400000000008</v>
      </c>
      <c r="AF220">
        <v>0.363657240755758</v>
      </c>
      <c r="AG220">
        <v>-1.1218950000000001</v>
      </c>
      <c r="AH220">
        <v>24.495322624562998</v>
      </c>
      <c r="AI220">
        <v>92.622047164201703</v>
      </c>
      <c r="AJ220">
        <v>89.149450087676996</v>
      </c>
      <c r="AK220">
        <v>24.523697222507199</v>
      </c>
      <c r="AL220">
        <v>79.892255075414994</v>
      </c>
      <c r="AM220">
        <v>87.516148059464101</v>
      </c>
      <c r="AN220">
        <v>0.99999997635401205</v>
      </c>
    </row>
    <row r="221" spans="1:40" x14ac:dyDescent="0.25">
      <c r="A221" t="str">
        <f>"20190303170501093"</f>
        <v>20190303170501093</v>
      </c>
      <c r="B221" t="str">
        <f>"1551603901084954"</f>
        <v>1551603901084954</v>
      </c>
      <c r="C221" t="s">
        <v>40</v>
      </c>
      <c r="D221">
        <v>5.3596979999999999</v>
      </c>
      <c r="E221">
        <v>0.4922415</v>
      </c>
      <c r="F221" t="s">
        <v>43</v>
      </c>
      <c r="G221">
        <v>-403.33440000000002</v>
      </c>
      <c r="H221">
        <v>-0.05</v>
      </c>
      <c r="I221">
        <v>366.86489999999998</v>
      </c>
      <c r="J221">
        <v>-428.80110000000002</v>
      </c>
      <c r="K221">
        <v>1.0718700000000001</v>
      </c>
      <c r="L221">
        <v>366.97879999999998</v>
      </c>
      <c r="M221">
        <v>0.99983359999999999</v>
      </c>
      <c r="N221">
        <v>-1.5092929999999999E-2</v>
      </c>
      <c r="O221">
        <v>1.0256619999999999E-2</v>
      </c>
      <c r="P221">
        <v>0.98635609999999996</v>
      </c>
      <c r="Q221">
        <v>0.161292299999999</v>
      </c>
      <c r="R221">
        <v>-3.2963020000000003E-2</v>
      </c>
      <c r="S221">
        <v>3.0623779999999998</v>
      </c>
      <c r="T221">
        <v>-0.1335481</v>
      </c>
      <c r="U221">
        <v>-1.3214109999999999E-2</v>
      </c>
      <c r="V221">
        <v>4.3023029999999997E-2</v>
      </c>
      <c r="W221">
        <v>0.17616860000000001</v>
      </c>
      <c r="X221">
        <v>0.98341940000000005</v>
      </c>
      <c r="Y221">
        <v>1.4549629999999999E-2</v>
      </c>
      <c r="Z221">
        <v>-7.1927519999999997E-4</v>
      </c>
      <c r="AA221">
        <v>0.9998939</v>
      </c>
      <c r="AB221">
        <v>24</v>
      </c>
      <c r="AC221">
        <v>25.466699999999999</v>
      </c>
      <c r="AD221">
        <v>-1.1218699999999999</v>
      </c>
      <c r="AE221">
        <v>-0.1139</v>
      </c>
      <c r="AF221">
        <v>0.37439944727536201</v>
      </c>
      <c r="AG221">
        <v>-1.1218699999999999</v>
      </c>
      <c r="AH221">
        <v>25.414872237250599</v>
      </c>
      <c r="AI221">
        <v>92.5272507591974</v>
      </c>
      <c r="AJ221">
        <v>89.156007695051102</v>
      </c>
      <c r="AK221">
        <v>25.442376030528099</v>
      </c>
      <c r="AL221">
        <v>79.853329799886396</v>
      </c>
      <c r="AM221">
        <v>87.494998356348205</v>
      </c>
      <c r="AN221">
        <v>1.00000003651634</v>
      </c>
    </row>
    <row r="222" spans="1:40" x14ac:dyDescent="0.25">
      <c r="A222" t="str">
        <f>"20190303170501115"</f>
        <v>20190303170501115</v>
      </c>
      <c r="B222" t="str">
        <f>"1551603901104474"</f>
        <v>1551603901104474</v>
      </c>
      <c r="C222" t="s">
        <v>40</v>
      </c>
      <c r="D222">
        <v>5.353008</v>
      </c>
      <c r="E222">
        <v>0.49227680000000001</v>
      </c>
      <c r="F222" t="s">
        <v>43</v>
      </c>
      <c r="G222">
        <v>-402.53530000000001</v>
      </c>
      <c r="H222">
        <v>-0.05</v>
      </c>
      <c r="I222">
        <v>366.86020000000002</v>
      </c>
      <c r="J222">
        <v>-428.577</v>
      </c>
      <c r="K222">
        <v>1.07185</v>
      </c>
      <c r="L222">
        <v>366.98129999999998</v>
      </c>
      <c r="M222">
        <v>0.99983219999999995</v>
      </c>
      <c r="N222">
        <v>-1.5053510000000001E-2</v>
      </c>
      <c r="O222">
        <v>1.046015E-2</v>
      </c>
      <c r="P222">
        <v>0.98626570000000002</v>
      </c>
      <c r="Q222">
        <v>0.16178119999999999</v>
      </c>
      <c r="R222">
        <v>-3.3274720000000001E-2</v>
      </c>
      <c r="S222">
        <v>3.0624389999999999</v>
      </c>
      <c r="T222">
        <v>-0.13080349999999999</v>
      </c>
      <c r="U222">
        <v>-1.382446E-2</v>
      </c>
      <c r="V222">
        <v>4.3534440000000001E-2</v>
      </c>
      <c r="W222">
        <v>0.17661729999999901</v>
      </c>
      <c r="X222">
        <v>0.98331639999999998</v>
      </c>
      <c r="Y222">
        <v>1.4952689999999999E-2</v>
      </c>
      <c r="Z222">
        <v>-7.2094729999999999E-4</v>
      </c>
      <c r="AA222">
        <v>0.99988790000000005</v>
      </c>
      <c r="AB222">
        <v>24</v>
      </c>
      <c r="AC222">
        <v>26.041699999999899</v>
      </c>
      <c r="AD222">
        <v>-1.12185</v>
      </c>
      <c r="AE222">
        <v>-0.12109999999995499</v>
      </c>
      <c r="AF222">
        <v>0.39279533594222399</v>
      </c>
      <c r="AG222">
        <v>-1.12185</v>
      </c>
      <c r="AH222">
        <v>25.990775487923099</v>
      </c>
      <c r="AI222">
        <v>92.471264139416206</v>
      </c>
      <c r="AJ222">
        <v>89.134161972393599</v>
      </c>
      <c r="AK222">
        <v>26.017940849768699</v>
      </c>
      <c r="AL222">
        <v>79.827211583529404</v>
      </c>
      <c r="AM222">
        <v>87.464995125882893</v>
      </c>
      <c r="AN222">
        <v>1.0000000303171801</v>
      </c>
    </row>
    <row r="223" spans="1:40" x14ac:dyDescent="0.25">
      <c r="A223" t="str">
        <f>"20190303170501137"</f>
        <v>20190303170501137</v>
      </c>
      <c r="B223" t="str">
        <f>"1551603901124971"</f>
        <v>1551603901124971</v>
      </c>
      <c r="C223" t="s">
        <v>40</v>
      </c>
      <c r="D223">
        <v>5.3630269999999998</v>
      </c>
      <c r="E223">
        <v>0.50942529999999997</v>
      </c>
      <c r="F223" t="s">
        <v>43</v>
      </c>
      <c r="G223">
        <v>-401.97660000000002</v>
      </c>
      <c r="H223">
        <v>-0.05</v>
      </c>
      <c r="I223">
        <v>366.85090000000002</v>
      </c>
      <c r="J223">
        <v>-428.33240000000001</v>
      </c>
      <c r="K223">
        <v>1.0718240000000001</v>
      </c>
      <c r="L223">
        <v>366.98419999999999</v>
      </c>
      <c r="M223">
        <v>0.9998302</v>
      </c>
      <c r="N223">
        <v>-1.5014939999999999E-2</v>
      </c>
      <c r="O223">
        <v>1.0679559999999999E-2</v>
      </c>
      <c r="P223">
        <v>0.9861858</v>
      </c>
      <c r="Q223">
        <v>0.1622952</v>
      </c>
      <c r="R223">
        <v>-3.3135709999999999E-2</v>
      </c>
      <c r="S223">
        <v>3.0624690000000001</v>
      </c>
      <c r="T223">
        <v>-0.1291573</v>
      </c>
      <c r="U223">
        <v>-1.5014649999999999E-2</v>
      </c>
      <c r="V223">
        <v>4.3611459999999998E-2</v>
      </c>
      <c r="W223">
        <v>0.1770919</v>
      </c>
      <c r="X223">
        <v>0.98322759999999998</v>
      </c>
      <c r="Y223">
        <v>1.556039E-2</v>
      </c>
      <c r="Z223">
        <v>-7.3475259999999996E-4</v>
      </c>
      <c r="AA223">
        <v>0.99987859999999995</v>
      </c>
      <c r="AB223">
        <v>24</v>
      </c>
      <c r="AC223">
        <v>26.355799999999899</v>
      </c>
      <c r="AD223">
        <v>-1.1218239999999999</v>
      </c>
      <c r="AE223">
        <v>-0.133299999999962</v>
      </c>
      <c r="AF223">
        <v>0.41404236740677502</v>
      </c>
      <c r="AG223">
        <v>-1.1218239999999999</v>
      </c>
      <c r="AH223">
        <v>26.3052157717295</v>
      </c>
      <c r="AI223">
        <v>92.441679663554893</v>
      </c>
      <c r="AJ223">
        <v>89.098242659941107</v>
      </c>
      <c r="AK223">
        <v>26.332381148810502</v>
      </c>
      <c r="AL223">
        <v>79.799583264481399</v>
      </c>
      <c r="AM223">
        <v>87.460287074569194</v>
      </c>
      <c r="AN223">
        <v>1.0000000069453501</v>
      </c>
    </row>
    <row r="224" spans="1:40" x14ac:dyDescent="0.25">
      <c r="A224" t="str">
        <f>"20190303170501161"</f>
        <v>20190303170501161</v>
      </c>
      <c r="B224" t="str">
        <f>"1551603901154250"</f>
        <v>1551603901154250</v>
      </c>
      <c r="C224" t="s">
        <v>40</v>
      </c>
      <c r="D224">
        <v>5.3078070000000004</v>
      </c>
      <c r="E224">
        <v>0.51363080000000005</v>
      </c>
      <c r="F224" t="s">
        <v>41</v>
      </c>
      <c r="G224">
        <v>-391.84019999999998</v>
      </c>
      <c r="H224" s="1">
        <v>-4.2739849999999999E-6</v>
      </c>
      <c r="I224">
        <v>365.15609999999998</v>
      </c>
      <c r="J224">
        <v>-428.08609999999999</v>
      </c>
      <c r="K224">
        <v>1.071807</v>
      </c>
      <c r="L224">
        <v>366.98700000000002</v>
      </c>
      <c r="M224">
        <v>0.99982859999999996</v>
      </c>
      <c r="N224">
        <v>-1.4980220000000001E-2</v>
      </c>
      <c r="O224">
        <v>1.089095E-2</v>
      </c>
      <c r="P224">
        <v>0.98611919999999997</v>
      </c>
      <c r="Q224">
        <v>0.1627342</v>
      </c>
      <c r="R224">
        <v>-3.2964380000000001E-2</v>
      </c>
      <c r="S224">
        <v>3.0516359999999998</v>
      </c>
      <c r="T224">
        <v>-8.9630840000000003E-2</v>
      </c>
      <c r="U224">
        <v>-0.15286250000000001</v>
      </c>
      <c r="V224">
        <v>4.3650170000000002E-2</v>
      </c>
      <c r="W224">
        <v>0.17749500000000001</v>
      </c>
      <c r="X224">
        <v>0.98315319999999995</v>
      </c>
      <c r="Y224">
        <v>6.0864149999999999E-2</v>
      </c>
      <c r="Z224">
        <v>-1.5060200000000001E-3</v>
      </c>
      <c r="AA224">
        <v>0.9981449</v>
      </c>
      <c r="AB224">
        <v>24</v>
      </c>
      <c r="AC224">
        <v>36.245899999999999</v>
      </c>
      <c r="AD224">
        <v>-1.0718112739850001</v>
      </c>
      <c r="AE224">
        <v>-1.83089999999998</v>
      </c>
      <c r="AF224">
        <v>2.2236484752354699</v>
      </c>
      <c r="AG224">
        <v>-1.0718112739850001</v>
      </c>
      <c r="AH224">
        <v>36.192240779503898</v>
      </c>
      <c r="AI224">
        <v>91.693093285959904</v>
      </c>
      <c r="AJ224">
        <v>86.484171217434906</v>
      </c>
      <c r="AK224">
        <v>36.276324022563799</v>
      </c>
      <c r="AL224">
        <v>79.776115629072294</v>
      </c>
      <c r="AM224">
        <v>87.457843643232195</v>
      </c>
      <c r="AN224">
        <v>1.0000000135181299</v>
      </c>
    </row>
    <row r="225" spans="1:40" x14ac:dyDescent="0.25">
      <c r="A225" t="str">
        <f>"20190303170501183"</f>
        <v>20190303170501183</v>
      </c>
      <c r="B225" t="str">
        <f>"1551603901174747"</f>
        <v>1551603901174747</v>
      </c>
      <c r="C225" t="s">
        <v>40</v>
      </c>
      <c r="D225">
        <v>5.3080339999999904</v>
      </c>
      <c r="E225">
        <v>0.51483729999999905</v>
      </c>
      <c r="F225" t="s">
        <v>41</v>
      </c>
      <c r="G225">
        <v>-390.52690000000001</v>
      </c>
      <c r="H225" s="1">
        <v>-4.919305E-6</v>
      </c>
      <c r="I225">
        <v>364.69439999999997</v>
      </c>
      <c r="J225">
        <v>-427.8383</v>
      </c>
      <c r="K225">
        <v>1.0717939999999999</v>
      </c>
      <c r="L225">
        <v>366.99</v>
      </c>
      <c r="M225">
        <v>0.99982689999999996</v>
      </c>
      <c r="N225">
        <v>-1.4948960000000001E-2</v>
      </c>
      <c r="O225">
        <v>1.1085640000000001E-2</v>
      </c>
      <c r="P225">
        <v>0.9860776</v>
      </c>
      <c r="Q225">
        <v>0.16299279999999999</v>
      </c>
      <c r="R225">
        <v>-3.2934159999999997E-2</v>
      </c>
      <c r="S225">
        <v>3.0503849999999999</v>
      </c>
      <c r="T225">
        <v>-8.7047340000000001E-2</v>
      </c>
      <c r="U225">
        <v>-0.18618770000000001</v>
      </c>
      <c r="V225">
        <v>4.3816059999999997E-2</v>
      </c>
      <c r="W225">
        <v>0.17772070000000001</v>
      </c>
      <c r="X225">
        <v>0.98310509999999995</v>
      </c>
      <c r="Y225">
        <v>7.1941089999999999E-2</v>
      </c>
      <c r="Z225">
        <v>-1.714192E-3</v>
      </c>
      <c r="AA225">
        <v>0.99740740000000006</v>
      </c>
      <c r="AB225">
        <v>24</v>
      </c>
      <c r="AC225">
        <v>37.3113999999999</v>
      </c>
      <c r="AD225">
        <v>-1.0717989193049999</v>
      </c>
      <c r="AE225">
        <v>-2.2956000000000301</v>
      </c>
      <c r="AF225">
        <v>2.70690061136282</v>
      </c>
      <c r="AG225">
        <v>-1.0717989193049999</v>
      </c>
      <c r="AH225">
        <v>37.2530315877421</v>
      </c>
      <c r="AI225">
        <v>91.643658840447003</v>
      </c>
      <c r="AJ225">
        <v>85.844046029851299</v>
      </c>
      <c r="AK225">
        <v>37.366621821092302</v>
      </c>
      <c r="AL225">
        <v>79.762975597168705</v>
      </c>
      <c r="AM225">
        <v>87.448070382604598</v>
      </c>
      <c r="AN225">
        <v>1.0000000659842001</v>
      </c>
    </row>
    <row r="226" spans="1:40" x14ac:dyDescent="0.25">
      <c r="A226" t="str">
        <f>"20190303170501205"</f>
        <v>20190303170501205</v>
      </c>
      <c r="B226" t="str">
        <f>"1551603901194266"</f>
        <v>1551603901194266</v>
      </c>
      <c r="C226" t="s">
        <v>40</v>
      </c>
      <c r="D226">
        <v>5.3624359999999998</v>
      </c>
      <c r="E226">
        <v>0.51557509999999995</v>
      </c>
      <c r="F226" t="s">
        <v>41</v>
      </c>
      <c r="G226">
        <v>-389.73050000000001</v>
      </c>
      <c r="H226" s="1">
        <v>-1.4291209999999999E-6</v>
      </c>
      <c r="I226">
        <v>364.53739999999999</v>
      </c>
      <c r="J226">
        <v>-427.6028</v>
      </c>
      <c r="K226">
        <v>1.071763</v>
      </c>
      <c r="L226">
        <v>366.99279999999999</v>
      </c>
      <c r="M226">
        <v>0.99982550000000003</v>
      </c>
      <c r="N226">
        <v>-1.492247E-2</v>
      </c>
      <c r="O226">
        <v>1.12414E-2</v>
      </c>
      <c r="P226">
        <v>0.98607909999999999</v>
      </c>
      <c r="Q226">
        <v>0.16306300000000001</v>
      </c>
      <c r="R226">
        <v>-3.2531789999999998E-2</v>
      </c>
      <c r="S226">
        <v>3.0500180000000001</v>
      </c>
      <c r="T226">
        <v>-8.5782650000000002E-2</v>
      </c>
      <c r="U226">
        <v>-0.19628909999999999</v>
      </c>
      <c r="V226">
        <v>4.357577E-2</v>
      </c>
      <c r="W226">
        <v>0.17776339999999999</v>
      </c>
      <c r="X226">
        <v>0.98310799999999998</v>
      </c>
      <c r="Y226">
        <v>7.5392730000000005E-2</v>
      </c>
      <c r="Z226">
        <v>-1.770467E-3</v>
      </c>
      <c r="AA226">
        <v>0.99715229999999999</v>
      </c>
      <c r="AB226">
        <v>24</v>
      </c>
      <c r="AC226">
        <v>37.872300000000003</v>
      </c>
      <c r="AD226">
        <v>-1.071764429121</v>
      </c>
      <c r="AE226">
        <v>-2.4553999999999898</v>
      </c>
      <c r="AF226">
        <v>2.8787340771328398</v>
      </c>
      <c r="AG226">
        <v>-1.071764429121</v>
      </c>
      <c r="AH226">
        <v>37.8121458514822</v>
      </c>
      <c r="AI226">
        <v>91.618900157509799</v>
      </c>
      <c r="AJ226">
        <v>85.646326297593106</v>
      </c>
      <c r="AK226">
        <v>37.936712598380701</v>
      </c>
      <c r="AL226">
        <v>79.760488869760096</v>
      </c>
      <c r="AM226">
        <v>87.462054450674302</v>
      </c>
      <c r="AN226">
        <v>1.00000000688732</v>
      </c>
    </row>
    <row r="227" spans="1:40" x14ac:dyDescent="0.25">
      <c r="A227" t="str">
        <f>"20190303170501225"</f>
        <v>20190303170501225</v>
      </c>
      <c r="B227" t="str">
        <f>"1551603901214762"</f>
        <v>1551603901214762</v>
      </c>
      <c r="C227" t="s">
        <v>40</v>
      </c>
      <c r="D227">
        <v>5.3063500000000001</v>
      </c>
      <c r="E227">
        <v>0.51597340000000003</v>
      </c>
      <c r="F227" t="s">
        <v>41</v>
      </c>
      <c r="G227">
        <v>-389.56990000000002</v>
      </c>
      <c r="H227" s="1">
        <v>-1.495426E-6</v>
      </c>
      <c r="I227">
        <v>364.49360000000001</v>
      </c>
      <c r="J227">
        <v>-427.38139999999999</v>
      </c>
      <c r="K227">
        <v>1.071731</v>
      </c>
      <c r="L227">
        <v>366.99540000000002</v>
      </c>
      <c r="M227">
        <v>0.99982459999999995</v>
      </c>
      <c r="N227">
        <v>-1.4899900000000001E-2</v>
      </c>
      <c r="O227">
        <v>1.135676E-2</v>
      </c>
      <c r="P227">
        <v>0.98604979999999998</v>
      </c>
      <c r="Q227">
        <v>0.163224799999999</v>
      </c>
      <c r="R227">
        <v>-3.2619219999999997E-2</v>
      </c>
      <c r="S227">
        <v>3.0498959999999999</v>
      </c>
      <c r="T227">
        <v>-8.5945839999999996E-2</v>
      </c>
      <c r="U227">
        <v>-0.2004089</v>
      </c>
      <c r="V227">
        <v>4.3787020000000003E-2</v>
      </c>
      <c r="W227">
        <v>0.17789949999999999</v>
      </c>
      <c r="X227">
        <v>0.983074</v>
      </c>
      <c r="Y227">
        <v>7.6850520000000005E-2</v>
      </c>
      <c r="Z227">
        <v>-1.8054309999999999E-3</v>
      </c>
      <c r="AA227">
        <v>0.99704099999999996</v>
      </c>
      <c r="AB227">
        <v>24</v>
      </c>
      <c r="AC227">
        <v>37.811499999999903</v>
      </c>
      <c r="AD227">
        <v>-1.0717324954259999</v>
      </c>
      <c r="AE227">
        <v>-2.5017999999999998</v>
      </c>
      <c r="AF227">
        <v>2.9287597096948299</v>
      </c>
      <c r="AG227">
        <v>-1.0717324954259999</v>
      </c>
      <c r="AH227">
        <v>37.750449458301297</v>
      </c>
      <c r="AI227">
        <v>91.621316774589403</v>
      </c>
      <c r="AJ227">
        <v>85.563758562207198</v>
      </c>
      <c r="AK227">
        <v>37.879053291795003</v>
      </c>
      <c r="AL227">
        <v>79.752564665685298</v>
      </c>
      <c r="AM227">
        <v>87.449678921499597</v>
      </c>
      <c r="AN227">
        <v>1.0000000123483599</v>
      </c>
    </row>
    <row r="228" spans="1:40" x14ac:dyDescent="0.25">
      <c r="A228" t="str">
        <f>"20190303170501249"</f>
        <v>20190303170501249</v>
      </c>
      <c r="B228" t="str">
        <f>"1551603901234282"</f>
        <v>1551603901234282</v>
      </c>
      <c r="C228" t="s">
        <v>40</v>
      </c>
      <c r="D228">
        <v>5.4184159999999997</v>
      </c>
      <c r="E228">
        <v>0.51625859999999901</v>
      </c>
      <c r="F228" t="s">
        <v>41</v>
      </c>
      <c r="G228">
        <v>-389.53730000000002</v>
      </c>
      <c r="H228" s="1">
        <v>-1.5153280000000001E-6</v>
      </c>
      <c r="I228">
        <v>364.4606</v>
      </c>
      <c r="J228">
        <v>-427.1259</v>
      </c>
      <c r="K228">
        <v>1.0716859999999999</v>
      </c>
      <c r="L228">
        <v>366.9984</v>
      </c>
      <c r="M228">
        <v>0.99982369999999998</v>
      </c>
      <c r="N228">
        <v>-1.48764E-2</v>
      </c>
      <c r="O228">
        <v>1.1454270000000001E-2</v>
      </c>
      <c r="P228">
        <v>0.98596719999999904</v>
      </c>
      <c r="Q228">
        <v>0.16379079999999999</v>
      </c>
      <c r="R228">
        <v>-3.226834E-2</v>
      </c>
      <c r="S228">
        <v>3.0499879999999999</v>
      </c>
      <c r="T228">
        <v>-8.6374399999999907E-2</v>
      </c>
      <c r="U228">
        <v>-0.20428470000000001</v>
      </c>
      <c r="V228">
        <v>4.3544359999999997E-2</v>
      </c>
      <c r="W228">
        <v>0.1784376</v>
      </c>
      <c r="X228">
        <v>0.98298719999999995</v>
      </c>
      <c r="Y228">
        <v>7.8205940000000002E-2</v>
      </c>
      <c r="Z228">
        <v>-1.8422829999999999E-3</v>
      </c>
      <c r="AA228">
        <v>0.99693549999999997</v>
      </c>
      <c r="AB228">
        <v>24</v>
      </c>
      <c r="AC228">
        <v>37.5885999999999</v>
      </c>
      <c r="AD228">
        <v>-1.0716875153280001</v>
      </c>
      <c r="AE228">
        <v>-2.5377999999999998</v>
      </c>
      <c r="AF228">
        <v>2.96583120191998</v>
      </c>
      <c r="AG228">
        <v>-1.0716875153280001</v>
      </c>
      <c r="AH228">
        <v>37.526695576665603</v>
      </c>
      <c r="AI228">
        <v>91.630726294907802</v>
      </c>
      <c r="AJ228">
        <v>85.481160110697203</v>
      </c>
      <c r="AK228">
        <v>37.658963737104202</v>
      </c>
      <c r="AL228">
        <v>79.721231966933104</v>
      </c>
      <c r="AM228">
        <v>87.463570188052898</v>
      </c>
      <c r="AN228">
        <v>0.99999996187270401</v>
      </c>
    </row>
    <row r="229" spans="1:40" x14ac:dyDescent="0.25">
      <c r="A229" t="str">
        <f>"20190303170501273"</f>
        <v>20190303170501273</v>
      </c>
      <c r="B229" t="str">
        <f>"1551603901264537"</f>
        <v>1551603901264537</v>
      </c>
      <c r="C229" t="s">
        <v>40</v>
      </c>
      <c r="D229">
        <v>5.4200819999999998</v>
      </c>
      <c r="E229">
        <v>0.51668130000000001</v>
      </c>
      <c r="F229" t="s">
        <v>41</v>
      </c>
      <c r="G229">
        <v>-389.00029999999998</v>
      </c>
      <c r="H229" s="1">
        <v>-1.7056640000000001E-6</v>
      </c>
      <c r="I229">
        <v>364.43200000000002</v>
      </c>
      <c r="J229">
        <v>-426.86739999999998</v>
      </c>
      <c r="K229">
        <v>1.0716490000000001</v>
      </c>
      <c r="L229">
        <v>367.00150000000002</v>
      </c>
      <c r="M229">
        <v>0.99982349999999998</v>
      </c>
      <c r="N229">
        <v>-1.485498E-2</v>
      </c>
      <c r="O229">
        <v>1.1512629999999999E-2</v>
      </c>
      <c r="P229">
        <v>0.98591689999999998</v>
      </c>
      <c r="Q229">
        <v>0.16403329999999999</v>
      </c>
      <c r="R229">
        <v>-3.2574970000000002E-2</v>
      </c>
      <c r="S229">
        <v>3.0502319999999998</v>
      </c>
      <c r="T229">
        <v>-8.5739969999999999E-2</v>
      </c>
      <c r="U229">
        <v>-0.20532230000000001</v>
      </c>
      <c r="V229">
        <v>4.3920250000000001E-2</v>
      </c>
      <c r="W229">
        <v>0.17865529999999999</v>
      </c>
      <c r="X229">
        <v>0.982931</v>
      </c>
      <c r="Y229">
        <v>7.8596799999999994E-2</v>
      </c>
      <c r="Z229">
        <v>-1.8402329999999999E-3</v>
      </c>
      <c r="AA229">
        <v>0.99690480000000004</v>
      </c>
      <c r="AB229">
        <v>24</v>
      </c>
      <c r="AC229">
        <v>37.867099999999901</v>
      </c>
      <c r="AD229">
        <v>-1.0716507056639999</v>
      </c>
      <c r="AE229">
        <v>-2.5695000000000601</v>
      </c>
      <c r="AF229">
        <v>3.0029335932787902</v>
      </c>
      <c r="AG229">
        <v>-1.0716507056639999</v>
      </c>
      <c r="AH229">
        <v>37.804865504748797</v>
      </c>
      <c r="AI229">
        <v>91.618627234992701</v>
      </c>
      <c r="AJ229">
        <v>85.458390861478193</v>
      </c>
      <c r="AK229">
        <v>37.9390814495124</v>
      </c>
      <c r="AL229">
        <v>79.708555659284698</v>
      </c>
      <c r="AM229">
        <v>87.441557734405393</v>
      </c>
      <c r="AN229">
        <v>1.00000002766957</v>
      </c>
    </row>
    <row r="230" spans="1:40" x14ac:dyDescent="0.25">
      <c r="A230" t="str">
        <f>"20190303170501293"</f>
        <v>20190303170501293</v>
      </c>
      <c r="B230" t="str">
        <f>"1551603901285034"</f>
        <v>1551603901285034</v>
      </c>
      <c r="C230" t="s">
        <v>40</v>
      </c>
      <c r="D230">
        <v>5.4209860000000001</v>
      </c>
      <c r="E230">
        <v>0.51685059999999905</v>
      </c>
      <c r="F230" t="s">
        <v>41</v>
      </c>
      <c r="G230">
        <v>-388.89550000000003</v>
      </c>
      <c r="H230" s="1">
        <v>-1.7521210000000001E-6</v>
      </c>
      <c r="I230">
        <v>364.39139999999998</v>
      </c>
      <c r="J230">
        <v>-426.6506</v>
      </c>
      <c r="K230">
        <v>1.071626</v>
      </c>
      <c r="L230">
        <v>367.00409999999999</v>
      </c>
      <c r="M230">
        <v>0.99982349999999998</v>
      </c>
      <c r="N230">
        <v>-1.483859E-2</v>
      </c>
      <c r="O230">
        <v>1.153417E-2</v>
      </c>
      <c r="P230">
        <v>0.98590449999999996</v>
      </c>
      <c r="Q230">
        <v>0.16398389999999999</v>
      </c>
      <c r="R230">
        <v>-3.319888E-2</v>
      </c>
      <c r="S230">
        <v>3.0502319999999998</v>
      </c>
      <c r="T230">
        <v>-8.6084129999999995E-2</v>
      </c>
      <c r="U230">
        <v>-0.2096558</v>
      </c>
      <c r="V230">
        <v>4.4573059999999998E-2</v>
      </c>
      <c r="W230">
        <v>0.17858779999999999</v>
      </c>
      <c r="X230">
        <v>0.98291390000000001</v>
      </c>
      <c r="Y230">
        <v>8.0026799999999995E-2</v>
      </c>
      <c r="Z230">
        <v>-1.876534E-3</v>
      </c>
      <c r="AA230">
        <v>0.99679090000000004</v>
      </c>
      <c r="AB230">
        <v>24</v>
      </c>
      <c r="AC230">
        <v>37.755099999999899</v>
      </c>
      <c r="AD230">
        <v>-1.071627752121</v>
      </c>
      <c r="AE230">
        <v>-2.61270000000001</v>
      </c>
      <c r="AF230">
        <v>3.0456058566976201</v>
      </c>
      <c r="AG230">
        <v>-1.071627752121</v>
      </c>
      <c r="AH230">
        <v>37.692227972600001</v>
      </c>
      <c r="AI230">
        <v>91.623250037075906</v>
      </c>
      <c r="AJ230">
        <v>85.380425000603694</v>
      </c>
      <c r="AK230">
        <v>37.830254434935</v>
      </c>
      <c r="AL230">
        <v>79.712486543230597</v>
      </c>
      <c r="AM230">
        <v>87.403536798711201</v>
      </c>
      <c r="AN230">
        <v>1.0000000473999</v>
      </c>
    </row>
    <row r="231" spans="1:40" x14ac:dyDescent="0.25">
      <c r="A231" t="str">
        <f>"20190303170501316"</f>
        <v>20190303170501316</v>
      </c>
      <c r="B231" t="str">
        <f>"1551603901304554"</f>
        <v>1551603901304554</v>
      </c>
      <c r="C231" t="s">
        <v>40</v>
      </c>
      <c r="D231">
        <v>5.4788030000000001</v>
      </c>
      <c r="E231">
        <v>0.5170496</v>
      </c>
      <c r="F231" t="s">
        <v>41</v>
      </c>
      <c r="G231">
        <v>-388.97949999999997</v>
      </c>
      <c r="H231" s="1">
        <v>-1.727096E-6</v>
      </c>
      <c r="I231">
        <v>364.37810000000002</v>
      </c>
      <c r="J231">
        <v>-426.41449999999998</v>
      </c>
      <c r="K231">
        <v>1.0716000000000001</v>
      </c>
      <c r="L231">
        <v>367.0068</v>
      </c>
      <c r="M231">
        <v>0.99982360000000003</v>
      </c>
      <c r="N231">
        <v>-1.4822200000000001E-2</v>
      </c>
      <c r="O231">
        <v>1.153085E-2</v>
      </c>
      <c r="P231">
        <v>0.98591450000000003</v>
      </c>
      <c r="Q231">
        <v>0.16383510000000001</v>
      </c>
      <c r="R231">
        <v>-3.3629449999999998E-2</v>
      </c>
      <c r="S231">
        <v>3.0501710000000002</v>
      </c>
      <c r="T231">
        <v>-8.6767789999999997E-2</v>
      </c>
      <c r="U231">
        <v>-0.212616</v>
      </c>
      <c r="V231">
        <v>4.5007220000000001E-2</v>
      </c>
      <c r="W231">
        <v>0.1784212</v>
      </c>
      <c r="X231">
        <v>0.98292429999999997</v>
      </c>
      <c r="Y231">
        <v>8.0986359999999993E-2</v>
      </c>
      <c r="Z231">
        <v>-1.9083150000000001E-3</v>
      </c>
      <c r="AA231">
        <v>0.99671339999999997</v>
      </c>
      <c r="AB231">
        <v>24</v>
      </c>
      <c r="AC231">
        <v>37.435000000000002</v>
      </c>
      <c r="AD231">
        <v>-1.0716017270960001</v>
      </c>
      <c r="AE231">
        <v>-2.6286999999999798</v>
      </c>
      <c r="AF231">
        <v>3.05773671487542</v>
      </c>
      <c r="AG231">
        <v>-1.0716017270960001</v>
      </c>
      <c r="AH231">
        <v>37.371723005119101</v>
      </c>
      <c r="AI231">
        <v>91.636989481918903</v>
      </c>
      <c r="AJ231">
        <v>85.322505556913598</v>
      </c>
      <c r="AK231">
        <v>37.511914966452501</v>
      </c>
      <c r="AL231">
        <v>79.722187099641204</v>
      </c>
      <c r="AM231">
        <v>87.378308993461701</v>
      </c>
      <c r="AN231">
        <v>0.99999997699602805</v>
      </c>
    </row>
    <row r="232" spans="1:40" x14ac:dyDescent="0.25">
      <c r="A232" t="str">
        <f>"20190303170501337"</f>
        <v>20190303170501337</v>
      </c>
      <c r="B232" t="str">
        <f>"1551603901325050"</f>
        <v>1551603901325050</v>
      </c>
      <c r="C232" t="s">
        <v>40</v>
      </c>
      <c r="D232">
        <v>5.3629540000000002</v>
      </c>
      <c r="E232">
        <v>0.51705210000000001</v>
      </c>
      <c r="F232" t="s">
        <v>41</v>
      </c>
      <c r="G232">
        <v>-388.87270000000001</v>
      </c>
      <c r="H232" s="1">
        <v>-1.769233E-6</v>
      </c>
      <c r="I232">
        <v>364.3562</v>
      </c>
      <c r="J232">
        <v>-426.18560000000002</v>
      </c>
      <c r="K232">
        <v>1.0715779999999999</v>
      </c>
      <c r="L232">
        <v>367.00940000000003</v>
      </c>
      <c r="M232">
        <v>0.9998243</v>
      </c>
      <c r="N232">
        <v>-1.4807620000000001E-2</v>
      </c>
      <c r="O232">
        <v>1.149815E-2</v>
      </c>
      <c r="P232">
        <v>0.9859888</v>
      </c>
      <c r="Q232">
        <v>0.16328589999999901</v>
      </c>
      <c r="R232">
        <v>-3.4119610000000002E-2</v>
      </c>
      <c r="S232">
        <v>3.0499879999999999</v>
      </c>
      <c r="T232">
        <v>-8.7059620000000004E-2</v>
      </c>
      <c r="U232">
        <v>-0.215332</v>
      </c>
      <c r="V232">
        <v>4.547226E-2</v>
      </c>
      <c r="W232">
        <v>0.17785719999999999</v>
      </c>
      <c r="X232">
        <v>0.98300509999999997</v>
      </c>
      <c r="Y232">
        <v>8.1840309999999999E-2</v>
      </c>
      <c r="Z232">
        <v>-1.9309819999999999E-3</v>
      </c>
      <c r="AA232">
        <v>0.99664359999999996</v>
      </c>
      <c r="AB232">
        <v>24</v>
      </c>
      <c r="AC232">
        <v>37.312899999999999</v>
      </c>
      <c r="AD232">
        <v>-1.071579769233</v>
      </c>
      <c r="AE232">
        <v>-2.65320000000002</v>
      </c>
      <c r="AF232">
        <v>3.0795737601029001</v>
      </c>
      <c r="AG232">
        <v>-1.071579769233</v>
      </c>
      <c r="AH232">
        <v>37.249355155703</v>
      </c>
      <c r="AI232">
        <v>91.642215929359494</v>
      </c>
      <c r="AJ232">
        <v>85.273845408943302</v>
      </c>
      <c r="AK232">
        <v>37.391797459622602</v>
      </c>
      <c r="AL232">
        <v>79.755027098177607</v>
      </c>
      <c r="AM232">
        <v>87.351475992417505</v>
      </c>
      <c r="AN232">
        <v>0.99999996832367799</v>
      </c>
    </row>
    <row r="233" spans="1:40" x14ac:dyDescent="0.25">
      <c r="A233" t="str">
        <f>"20190303170501362"</f>
        <v>20190303170501362</v>
      </c>
      <c r="B233" t="str">
        <f>"1551603901354330"</f>
        <v>1551603901354330</v>
      </c>
      <c r="C233" t="s">
        <v>40</v>
      </c>
      <c r="D233">
        <v>5.3635580000000003</v>
      </c>
      <c r="E233">
        <v>0.51715049999999996</v>
      </c>
      <c r="F233" t="s">
        <v>41</v>
      </c>
      <c r="G233">
        <v>-389.50130000000001</v>
      </c>
      <c r="H233" s="1">
        <v>-1.542935E-6</v>
      </c>
      <c r="I233">
        <v>364.40280000000001</v>
      </c>
      <c r="J233">
        <v>-425.91809999999998</v>
      </c>
      <c r="K233">
        <v>1.0715509999999999</v>
      </c>
      <c r="L233">
        <v>367.01240000000001</v>
      </c>
      <c r="M233">
        <v>0.99982539999999998</v>
      </c>
      <c r="N233">
        <v>-1.479195E-2</v>
      </c>
      <c r="O233">
        <v>1.1422470000000001E-2</v>
      </c>
      <c r="P233">
        <v>0.98601879999999997</v>
      </c>
      <c r="Q233">
        <v>0.1630462</v>
      </c>
      <c r="R233">
        <v>-3.4393300000000002E-2</v>
      </c>
      <c r="S233">
        <v>3.0498959999999999</v>
      </c>
      <c r="T233">
        <v>-8.9089870000000002E-2</v>
      </c>
      <c r="U233">
        <v>-0.21670529999999999</v>
      </c>
      <c r="V233">
        <v>4.5681449999999998E-2</v>
      </c>
      <c r="W233">
        <v>0.17760010000000001</v>
      </c>
      <c r="X233">
        <v>0.98304190000000002</v>
      </c>
      <c r="Y233">
        <v>8.2211199999999998E-2</v>
      </c>
      <c r="Z233">
        <v>-1.9724569999999999E-3</v>
      </c>
      <c r="AA233">
        <v>0.99661299999999997</v>
      </c>
      <c r="AB233">
        <v>24</v>
      </c>
      <c r="AC233">
        <v>36.416799999999903</v>
      </c>
      <c r="AD233">
        <v>-1.0715525429349999</v>
      </c>
      <c r="AE233">
        <v>-2.6095999999999999</v>
      </c>
      <c r="AF233">
        <v>3.0228411748387298</v>
      </c>
      <c r="AG233">
        <v>-1.0715525429349999</v>
      </c>
      <c r="AH233">
        <v>36.353298058432998</v>
      </c>
      <c r="AI233">
        <v>91.682562413284401</v>
      </c>
      <c r="AJ233">
        <v>85.246689383401602</v>
      </c>
      <c r="AK233">
        <v>36.494493740095102</v>
      </c>
      <c r="AL233">
        <v>79.769996317811106</v>
      </c>
      <c r="AM233">
        <v>87.339408685086198</v>
      </c>
      <c r="AN233">
        <v>0.99999998377486099</v>
      </c>
    </row>
    <row r="234" spans="1:40" x14ac:dyDescent="0.25">
      <c r="A234" t="str">
        <f>"20190303170501374"</f>
        <v>20190303170501374</v>
      </c>
      <c r="B234" t="str">
        <f>"1551603901365066"</f>
        <v>1551603901365066</v>
      </c>
      <c r="C234" t="s">
        <v>40</v>
      </c>
      <c r="D234">
        <v>5.193873</v>
      </c>
      <c r="E234">
        <v>0.51710409999999996</v>
      </c>
      <c r="F234" t="s">
        <v>41</v>
      </c>
      <c r="G234">
        <v>-389.82490000000001</v>
      </c>
      <c r="H234" s="1">
        <v>-1.425542E-6</v>
      </c>
      <c r="I234">
        <v>364.43009999999998</v>
      </c>
      <c r="J234">
        <v>-425.78429999999997</v>
      </c>
      <c r="K234">
        <v>1.0715429999999999</v>
      </c>
      <c r="L234">
        <v>367.01389999999998</v>
      </c>
      <c r="M234">
        <v>0.99982629999999995</v>
      </c>
      <c r="N234">
        <v>-1.4784810000000001E-2</v>
      </c>
      <c r="O234">
        <v>1.1364269999999999E-2</v>
      </c>
      <c r="P234">
        <v>0.98595569999999999</v>
      </c>
      <c r="Q234">
        <v>0.1634555</v>
      </c>
      <c r="R234">
        <v>-3.4265219999999999E-2</v>
      </c>
      <c r="S234">
        <v>3.0499269999999998</v>
      </c>
      <c r="T234">
        <v>-9.0547559999999999E-2</v>
      </c>
      <c r="U234">
        <v>-0.2182007</v>
      </c>
      <c r="V234">
        <v>4.5501310000000003E-2</v>
      </c>
      <c r="W234">
        <v>0.17799989999999999</v>
      </c>
      <c r="X234">
        <v>0.98297800000000002</v>
      </c>
      <c r="Y234">
        <v>8.2636860000000006E-2</v>
      </c>
      <c r="Z234">
        <v>-2.0058749999999998E-3</v>
      </c>
      <c r="AA234">
        <v>0.99657770000000001</v>
      </c>
      <c r="AB234">
        <v>24</v>
      </c>
      <c r="AC234">
        <v>35.959399999999903</v>
      </c>
      <c r="AD234">
        <v>-1.0715444255419999</v>
      </c>
      <c r="AE234">
        <v>-2.5837999999999899</v>
      </c>
      <c r="AF234">
        <v>2.98968893907489</v>
      </c>
      <c r="AG234">
        <v>-1.0715444255419999</v>
      </c>
      <c r="AH234">
        <v>35.896000548060996</v>
      </c>
      <c r="AI234">
        <v>91.703952872176501</v>
      </c>
      <c r="AJ234">
        <v>85.238965007275993</v>
      </c>
      <c r="AK234">
        <v>36.036222093259603</v>
      </c>
      <c r="AL234">
        <v>79.746719165582206</v>
      </c>
      <c r="AM234">
        <v>87.349713431413804</v>
      </c>
      <c r="AN234">
        <v>1.00000004104786</v>
      </c>
    </row>
    <row r="235" spans="1:40" x14ac:dyDescent="0.25">
      <c r="A235" t="str">
        <f>"20190303170501394"</f>
        <v>20190303170501394</v>
      </c>
      <c r="B235" t="str">
        <f>"1551603901384588"</f>
        <v>1551603901384588</v>
      </c>
      <c r="C235" t="s">
        <v>40</v>
      </c>
      <c r="D235">
        <v>5.4199169999999999</v>
      </c>
      <c r="E235">
        <v>0.51714439999999995</v>
      </c>
      <c r="F235" t="s">
        <v>41</v>
      </c>
      <c r="G235">
        <v>-389.28620000000001</v>
      </c>
      <c r="H235" s="1">
        <v>-1.6134310000000001E-6</v>
      </c>
      <c r="I235">
        <v>364.41289999999998</v>
      </c>
      <c r="J235">
        <v>-425.57679999999999</v>
      </c>
      <c r="K235">
        <v>1.071518</v>
      </c>
      <c r="L235">
        <v>367.01609999999999</v>
      </c>
      <c r="M235">
        <v>0.99982749999999998</v>
      </c>
      <c r="N235">
        <v>-1.4774239999999999E-2</v>
      </c>
      <c r="O235">
        <v>1.125699E-2</v>
      </c>
      <c r="P235">
        <v>0.98585829999999997</v>
      </c>
      <c r="Q235">
        <v>0.16393099999999999</v>
      </c>
      <c r="R235">
        <v>-3.4787999999999999E-2</v>
      </c>
      <c r="S235">
        <v>3.0499879999999999</v>
      </c>
      <c r="T235">
        <v>-8.9544299999999993E-2</v>
      </c>
      <c r="U235">
        <v>-0.21734619999999999</v>
      </c>
      <c r="V235">
        <v>4.5927860000000001E-2</v>
      </c>
      <c r="W235">
        <v>0.17846110000000001</v>
      </c>
      <c r="X235">
        <v>0.98287449999999998</v>
      </c>
      <c r="Y235">
        <v>8.225201E-2</v>
      </c>
      <c r="Z235">
        <v>-1.9781820000000002E-3</v>
      </c>
      <c r="AA235">
        <v>0.99660959999999998</v>
      </c>
      <c r="AB235">
        <v>24</v>
      </c>
      <c r="AC235">
        <v>36.290599999999898</v>
      </c>
      <c r="AD235">
        <v>-1.0715196134310001</v>
      </c>
      <c r="AE235">
        <v>-2.60320000000001</v>
      </c>
      <c r="AF235">
        <v>3.00899274738391</v>
      </c>
      <c r="AG235">
        <v>-1.0715196134310001</v>
      </c>
      <c r="AH235">
        <v>36.2275714988996</v>
      </c>
      <c r="AI235">
        <v>91.688359507087995</v>
      </c>
      <c r="AJ235">
        <v>85.252020416770407</v>
      </c>
      <c r="AK235">
        <v>36.368105921860398</v>
      </c>
      <c r="AL235">
        <v>79.719864027413493</v>
      </c>
      <c r="AM235">
        <v>87.324623074109496</v>
      </c>
      <c r="AN235">
        <v>1.00000000764381</v>
      </c>
    </row>
    <row r="236" spans="1:40" x14ac:dyDescent="0.25">
      <c r="A236" t="str">
        <f>"20190303170501415"</f>
        <v>20190303170501415</v>
      </c>
      <c r="B236" t="str">
        <f>"1551603901405083"</f>
        <v>1551603901405083</v>
      </c>
      <c r="C236" t="s">
        <v>40</v>
      </c>
      <c r="D236">
        <v>5.4221250000000003</v>
      </c>
      <c r="E236">
        <v>0.51718339999999996</v>
      </c>
      <c r="F236" t="s">
        <v>41</v>
      </c>
      <c r="G236">
        <v>-388.72059999999999</v>
      </c>
      <c r="H236" s="1">
        <v>-1.8178589999999999E-6</v>
      </c>
      <c r="I236">
        <v>364.36799999999999</v>
      </c>
      <c r="J236">
        <v>-425.3587</v>
      </c>
      <c r="K236">
        <v>1.0714950000000001</v>
      </c>
      <c r="L236">
        <v>367.01839999999999</v>
      </c>
      <c r="M236">
        <v>0.99982939999999998</v>
      </c>
      <c r="N236">
        <v>-1.476389E-2</v>
      </c>
      <c r="O236">
        <v>1.111528E-2</v>
      </c>
      <c r="P236">
        <v>0.98586890000000005</v>
      </c>
      <c r="Q236">
        <v>0.16376859999999999</v>
      </c>
      <c r="R236">
        <v>-3.5250190000000001E-2</v>
      </c>
      <c r="S236">
        <v>3.0500790000000002</v>
      </c>
      <c r="T236">
        <v>-8.8674899999999904E-2</v>
      </c>
      <c r="U236">
        <v>-0.2191467</v>
      </c>
      <c r="V236">
        <v>4.6261789999999997E-2</v>
      </c>
      <c r="W236">
        <v>0.1782851</v>
      </c>
      <c r="X236">
        <v>0.98289079999999995</v>
      </c>
      <c r="Y236">
        <v>8.269464E-2</v>
      </c>
      <c r="Z236">
        <v>-1.9705759999999999E-3</v>
      </c>
      <c r="AA236">
        <v>0.99657300000000004</v>
      </c>
      <c r="AB236">
        <v>24</v>
      </c>
      <c r="AC236">
        <v>36.638100000000001</v>
      </c>
      <c r="AD236">
        <v>-1.0714968178589901</v>
      </c>
      <c r="AE236">
        <v>-2.6503999999999301</v>
      </c>
      <c r="AF236">
        <v>3.05492403251306</v>
      </c>
      <c r="AG236">
        <v>-1.0714968178589901</v>
      </c>
      <c r="AH236">
        <v>36.575253209149601</v>
      </c>
      <c r="AI236">
        <v>91.672219226036006</v>
      </c>
      <c r="AJ236">
        <v>85.225489850289193</v>
      </c>
      <c r="AK236">
        <v>36.718249053958402</v>
      </c>
      <c r="AL236">
        <v>79.730112644294806</v>
      </c>
      <c r="AM236">
        <v>87.305244271393505</v>
      </c>
      <c r="AN236">
        <v>1.00000002741032</v>
      </c>
    </row>
    <row r="237" spans="1:40" x14ac:dyDescent="0.25">
      <c r="A237" t="str">
        <f>"20190303170501429"</f>
        <v>20190303170501429</v>
      </c>
      <c r="B237" t="str">
        <f>"1551603901414842"</f>
        <v>1551603901414842</v>
      </c>
      <c r="C237" t="s">
        <v>40</v>
      </c>
      <c r="D237">
        <v>5.4734119999999997</v>
      </c>
      <c r="E237">
        <v>0.51719669999999995</v>
      </c>
      <c r="F237" t="s">
        <v>41</v>
      </c>
      <c r="G237">
        <v>-388.87220000000002</v>
      </c>
      <c r="H237" s="1">
        <v>-1.7639859999999901E-6</v>
      </c>
      <c r="I237">
        <v>364.37670000000003</v>
      </c>
      <c r="J237">
        <v>-425.20929999999998</v>
      </c>
      <c r="K237">
        <v>1.071477</v>
      </c>
      <c r="L237">
        <v>367.02</v>
      </c>
      <c r="M237">
        <v>0.99983060000000001</v>
      </c>
      <c r="N237">
        <v>-1.475715E-2</v>
      </c>
      <c r="O237">
        <v>1.10025E-2</v>
      </c>
      <c r="P237">
        <v>0.98587599999999997</v>
      </c>
      <c r="Q237">
        <v>0.1636388</v>
      </c>
      <c r="R237">
        <v>-3.5649470000000003E-2</v>
      </c>
      <c r="S237">
        <v>3.0499879999999999</v>
      </c>
      <c r="T237">
        <v>-8.9568610000000007E-2</v>
      </c>
      <c r="U237">
        <v>-0.2208252</v>
      </c>
      <c r="V237">
        <v>4.6556920000000002E-2</v>
      </c>
      <c r="W237">
        <v>0.17814669999999999</v>
      </c>
      <c r="X237">
        <v>0.9829019</v>
      </c>
      <c r="Y237">
        <v>8.3128740000000007E-2</v>
      </c>
      <c r="Z237">
        <v>-1.9936770000000001E-3</v>
      </c>
      <c r="AA237">
        <v>0.99653689999999995</v>
      </c>
      <c r="AB237">
        <v>24</v>
      </c>
      <c r="AC237">
        <v>36.3370999999999</v>
      </c>
      <c r="AD237">
        <v>-1.0714787639859999</v>
      </c>
      <c r="AE237">
        <v>-2.6432999999999498</v>
      </c>
      <c r="AF237">
        <v>3.0403527858252501</v>
      </c>
      <c r="AG237">
        <v>-1.0714787639859999</v>
      </c>
      <c r="AH237">
        <v>36.2744395996775</v>
      </c>
      <c r="AI237">
        <v>91.686009364868099</v>
      </c>
      <c r="AJ237">
        <v>85.208935589786606</v>
      </c>
      <c r="AK237">
        <v>36.417396668001999</v>
      </c>
      <c r="AL237">
        <v>79.738170786046098</v>
      </c>
      <c r="AM237">
        <v>87.288109071314395</v>
      </c>
      <c r="AN237">
        <v>0.99999996927219204</v>
      </c>
    </row>
    <row r="238" spans="1:40" x14ac:dyDescent="0.25">
      <c r="A238" t="str">
        <f>"20190303170501445"</f>
        <v>20190303170501445</v>
      </c>
      <c r="B238" t="str">
        <f>"1551603901435339"</f>
        <v>1551603901435339</v>
      </c>
      <c r="C238" t="s">
        <v>40</v>
      </c>
      <c r="D238">
        <v>5.415279</v>
      </c>
      <c r="E238">
        <v>0.51724150000000002</v>
      </c>
      <c r="F238" t="s">
        <v>41</v>
      </c>
      <c r="G238">
        <v>-388.93830000000003</v>
      </c>
      <c r="H238" s="1">
        <v>-1.7417810000000001E-6</v>
      </c>
      <c r="I238">
        <v>364.37560000000002</v>
      </c>
      <c r="J238">
        <v>-425.05110000000002</v>
      </c>
      <c r="K238">
        <v>1.0714549999999901</v>
      </c>
      <c r="L238">
        <v>367.02159999999998</v>
      </c>
      <c r="M238">
        <v>0.99983219999999995</v>
      </c>
      <c r="N238">
        <v>-1.4750279999999999E-2</v>
      </c>
      <c r="O238">
        <v>1.087085E-2</v>
      </c>
      <c r="P238">
        <v>0.98594110000000001</v>
      </c>
      <c r="Q238">
        <v>0.1632024</v>
      </c>
      <c r="R238">
        <v>-3.5851109999999999E-2</v>
      </c>
      <c r="S238">
        <v>3.0498959999999999</v>
      </c>
      <c r="T238">
        <v>-9.0096469999999998E-2</v>
      </c>
      <c r="U238">
        <v>-0.2223511</v>
      </c>
      <c r="V238">
        <v>4.6635990000000002E-2</v>
      </c>
      <c r="W238">
        <v>0.17770279999999899</v>
      </c>
      <c r="X238">
        <v>0.98297849999999998</v>
      </c>
      <c r="Y238">
        <v>8.3494830000000006E-2</v>
      </c>
      <c r="Z238">
        <v>-2.0087410000000001E-3</v>
      </c>
      <c r="AA238">
        <v>0.99650620000000001</v>
      </c>
      <c r="AB238">
        <v>24</v>
      </c>
      <c r="AC238">
        <v>36.112799999999901</v>
      </c>
      <c r="AD238">
        <v>-1.0714567417809999</v>
      </c>
      <c r="AE238">
        <v>-2.6459999999999502</v>
      </c>
      <c r="AF238">
        <v>3.0358050007874899</v>
      </c>
      <c r="AG238">
        <v>-1.0714567417809999</v>
      </c>
      <c r="AH238">
        <v>36.050332880721001</v>
      </c>
      <c r="AI238">
        <v>91.696393627840393</v>
      </c>
      <c r="AJ238">
        <v>85.186468840819003</v>
      </c>
      <c r="AK238">
        <v>36.193792732499197</v>
      </c>
      <c r="AL238">
        <v>79.764016746743295</v>
      </c>
      <c r="AM238">
        <v>87.283721590576604</v>
      </c>
      <c r="AN238">
        <v>0.99999996607668395</v>
      </c>
    </row>
    <row r="239" spans="1:40" x14ac:dyDescent="0.25">
      <c r="A239" t="str">
        <f>"20190303170501460"</f>
        <v>20190303170501460</v>
      </c>
      <c r="B239" t="str">
        <f>"1551603901445098"</f>
        <v>1551603901445098</v>
      </c>
      <c r="C239" t="s">
        <v>40</v>
      </c>
      <c r="D239">
        <v>5.4733130000000001</v>
      </c>
      <c r="E239">
        <v>0.51726090000000002</v>
      </c>
      <c r="F239" t="s">
        <v>41</v>
      </c>
      <c r="G239">
        <v>-389.41520000000003</v>
      </c>
      <c r="H239" s="1">
        <v>-1.5702429999999999E-6</v>
      </c>
      <c r="I239">
        <v>364.41030000000001</v>
      </c>
      <c r="J239">
        <v>-424.8741</v>
      </c>
      <c r="K239">
        <v>1.0714399999999999</v>
      </c>
      <c r="L239">
        <v>367.02330000000001</v>
      </c>
      <c r="M239">
        <v>0.99983409999999995</v>
      </c>
      <c r="N239">
        <v>-1.4742989999999999E-2</v>
      </c>
      <c r="O239">
        <v>1.0705020000000001E-2</v>
      </c>
      <c r="P239">
        <v>0.98596110000000003</v>
      </c>
      <c r="Q239">
        <v>0.1630586</v>
      </c>
      <c r="R239">
        <v>-3.5960069999999997E-2</v>
      </c>
      <c r="S239">
        <v>3.0498349999999999</v>
      </c>
      <c r="T239">
        <v>-9.1698650000000007E-2</v>
      </c>
      <c r="U239">
        <v>-0.22348019999999999</v>
      </c>
      <c r="V239">
        <v>4.6587469999999999E-2</v>
      </c>
      <c r="W239">
        <v>0.17755079999999901</v>
      </c>
      <c r="X239">
        <v>0.98300829999999995</v>
      </c>
      <c r="Y239">
        <v>8.3696190000000004E-2</v>
      </c>
      <c r="Z239">
        <v>-2.0381000000000002E-3</v>
      </c>
      <c r="AA239">
        <v>0.99648919999999996</v>
      </c>
      <c r="AB239">
        <v>24</v>
      </c>
      <c r="AC239">
        <v>35.4588999999999</v>
      </c>
      <c r="AD239">
        <v>-1.071441570243</v>
      </c>
      <c r="AE239">
        <v>-2.6129999999999902</v>
      </c>
      <c r="AF239">
        <v>2.9897646902446602</v>
      </c>
      <c r="AG239">
        <v>-1.071441570243</v>
      </c>
      <c r="AH239">
        <v>35.396748648914901</v>
      </c>
      <c r="AI239">
        <v>91.727636717756297</v>
      </c>
      <c r="AJ239">
        <v>85.1720066645033</v>
      </c>
      <c r="AK239">
        <v>35.538943355929099</v>
      </c>
      <c r="AL239">
        <v>79.7728667681464</v>
      </c>
      <c r="AM239">
        <v>87.286625511681294</v>
      </c>
      <c r="AN239">
        <v>0.99999999840526499</v>
      </c>
    </row>
    <row r="240" spans="1:40" x14ac:dyDescent="0.25">
      <c r="A240" t="str">
        <f>"20190303170501485"</f>
        <v>20190303170501485</v>
      </c>
      <c r="B240" t="str">
        <f>"1551603901474378"</f>
        <v>1551603901474378</v>
      </c>
      <c r="C240" t="s">
        <v>40</v>
      </c>
      <c r="D240">
        <v>5.5304200000000003</v>
      </c>
      <c r="E240">
        <v>0.51734099999999905</v>
      </c>
      <c r="F240" t="s">
        <v>41</v>
      </c>
      <c r="G240">
        <v>-389.37450000000001</v>
      </c>
      <c r="H240" s="1">
        <v>-1.581737E-6</v>
      </c>
      <c r="I240">
        <v>364.41910000000001</v>
      </c>
      <c r="J240">
        <v>-424.63220000000001</v>
      </c>
      <c r="K240">
        <v>1.0714300000000001</v>
      </c>
      <c r="L240">
        <v>367.0256</v>
      </c>
      <c r="M240">
        <v>0.99983690000000003</v>
      </c>
      <c r="N240">
        <v>-1.473349E-2</v>
      </c>
      <c r="O240">
        <v>1.0456200000000001E-2</v>
      </c>
      <c r="P240">
        <v>0.98589119999999997</v>
      </c>
      <c r="Q240">
        <v>0.16336300000000001</v>
      </c>
      <c r="R240">
        <v>-3.6481550000000001E-2</v>
      </c>
      <c r="S240">
        <v>3.0497740000000002</v>
      </c>
      <c r="T240">
        <v>-9.2047569999999995E-2</v>
      </c>
      <c r="U240">
        <v>-0.22372439999999999</v>
      </c>
      <c r="V240">
        <v>4.6868840000000002E-2</v>
      </c>
      <c r="W240">
        <v>0.17784359999999999</v>
      </c>
      <c r="X240">
        <v>0.98294199999999998</v>
      </c>
      <c r="Y240">
        <v>8.3528770000000002E-2</v>
      </c>
      <c r="Z240">
        <v>-2.036239E-3</v>
      </c>
      <c r="AA240">
        <v>0.99650329999999998</v>
      </c>
      <c r="AB240">
        <v>24</v>
      </c>
      <c r="AC240">
        <v>35.2577</v>
      </c>
      <c r="AD240">
        <v>-1.0714315817369999</v>
      </c>
      <c r="AE240">
        <v>-2.6064999999999801</v>
      </c>
      <c r="AF240">
        <v>2.97232909253015</v>
      </c>
      <c r="AG240">
        <v>-1.0714315817369999</v>
      </c>
      <c r="AH240">
        <v>35.196189271044403</v>
      </c>
      <c r="AI240">
        <v>91.737461200888106</v>
      </c>
      <c r="AJ240">
        <v>85.1728075305777</v>
      </c>
      <c r="AK240">
        <v>35.3377198623769</v>
      </c>
      <c r="AL240">
        <v>79.755819322430895</v>
      </c>
      <c r="AM240">
        <v>87.270078665792497</v>
      </c>
      <c r="AN240">
        <v>1.0000000047939499</v>
      </c>
    </row>
    <row r="241" spans="1:40" x14ac:dyDescent="0.25">
      <c r="A241" t="str">
        <f>"20190303170501505"</f>
        <v>20190303170501505</v>
      </c>
      <c r="B241" t="str">
        <f>"1551603901494875"</f>
        <v>1551603901494875</v>
      </c>
      <c r="C241" t="s">
        <v>40</v>
      </c>
      <c r="D241">
        <v>5.473414</v>
      </c>
      <c r="E241">
        <v>0.51732900000000004</v>
      </c>
      <c r="F241" t="s">
        <v>41</v>
      </c>
      <c r="G241">
        <v>-389.11110000000002</v>
      </c>
      <c r="H241" s="1">
        <v>-1.676393E-6</v>
      </c>
      <c r="I241">
        <v>364.40030000000002</v>
      </c>
      <c r="J241">
        <v>-424.41129999999998</v>
      </c>
      <c r="K241">
        <v>1.071426</v>
      </c>
      <c r="L241">
        <v>367.02760000000001</v>
      </c>
      <c r="M241">
        <v>0.99983949999999999</v>
      </c>
      <c r="N241">
        <v>-1.472526E-2</v>
      </c>
      <c r="O241">
        <v>1.021297E-2</v>
      </c>
      <c r="P241">
        <v>0.9857631</v>
      </c>
      <c r="Q241">
        <v>0.16409079999999901</v>
      </c>
      <c r="R241">
        <v>-3.6682449999999998E-2</v>
      </c>
      <c r="S241">
        <v>3.0498349999999999</v>
      </c>
      <c r="T241">
        <v>-9.1992859999999996E-2</v>
      </c>
      <c r="U241">
        <v>-0.22540279999999999</v>
      </c>
      <c r="V241">
        <v>4.6831739999999997E-2</v>
      </c>
      <c r="W241">
        <v>0.178561</v>
      </c>
      <c r="X241">
        <v>0.98281370000000001</v>
      </c>
      <c r="Y241">
        <v>8.3830249999999995E-2</v>
      </c>
      <c r="Z241">
        <v>-2.0380099999999998E-3</v>
      </c>
      <c r="AA241">
        <v>0.99647799999999997</v>
      </c>
      <c r="AB241">
        <v>23</v>
      </c>
      <c r="AC241">
        <v>35.300199999999897</v>
      </c>
      <c r="AD241">
        <v>-1.071427676393</v>
      </c>
      <c r="AE241">
        <v>-2.6272999999999902</v>
      </c>
      <c r="AF241">
        <v>2.98498716168679</v>
      </c>
      <c r="AG241">
        <v>-1.071427676393</v>
      </c>
      <c r="AH241">
        <v>35.239238268411398</v>
      </c>
      <c r="AI241">
        <v>91.735296369864798</v>
      </c>
      <c r="AJ241">
        <v>85.158241855503903</v>
      </c>
      <c r="AK241">
        <v>35.3816621904489</v>
      </c>
      <c r="AL241">
        <v>79.714046721601406</v>
      </c>
      <c r="AM241">
        <v>87.271880772391896</v>
      </c>
      <c r="AN241">
        <v>1.00000000575005</v>
      </c>
    </row>
    <row r="242" spans="1:40" x14ac:dyDescent="0.25">
      <c r="A242" t="str">
        <f>"20190303170501527"</f>
        <v>20190303170501527</v>
      </c>
      <c r="B242" t="str">
        <f>"1551603901514394"</f>
        <v>1551603901514394</v>
      </c>
      <c r="C242" t="s">
        <v>40</v>
      </c>
      <c r="D242">
        <v>5.4733489999999998</v>
      </c>
      <c r="E242">
        <v>0.51734990000000003</v>
      </c>
      <c r="F242" t="s">
        <v>41</v>
      </c>
      <c r="G242">
        <v>-388.0822</v>
      </c>
      <c r="H242" s="1">
        <v>-2.0424469999999999E-6</v>
      </c>
      <c r="I242">
        <v>364.34050000000002</v>
      </c>
      <c r="J242">
        <v>-424.18220000000002</v>
      </c>
      <c r="K242">
        <v>1.071426</v>
      </c>
      <c r="L242">
        <v>367.02969999999999</v>
      </c>
      <c r="M242">
        <v>0.99984220000000001</v>
      </c>
      <c r="N242">
        <v>-1.47171E-2</v>
      </c>
      <c r="O242">
        <v>9.9531840000000003E-3</v>
      </c>
      <c r="P242">
        <v>0.98571249999999999</v>
      </c>
      <c r="Q242">
        <v>0.16431419999999999</v>
      </c>
      <c r="R242">
        <v>-3.7038639999999998E-2</v>
      </c>
      <c r="S242">
        <v>3.0498349999999999</v>
      </c>
      <c r="T242">
        <v>-8.994663E-2</v>
      </c>
      <c r="U242">
        <v>-0.22558590000000001</v>
      </c>
      <c r="V242">
        <v>4.6932509999999997E-2</v>
      </c>
      <c r="W242">
        <v>0.1787754</v>
      </c>
      <c r="X242">
        <v>0.98276989999999997</v>
      </c>
      <c r="Y242">
        <v>8.3633200000000005E-2</v>
      </c>
      <c r="Z242">
        <v>-1.9946489999999998E-3</v>
      </c>
      <c r="AA242">
        <v>0.99649460000000001</v>
      </c>
      <c r="AB242">
        <v>23</v>
      </c>
      <c r="AC242">
        <v>36.1</v>
      </c>
      <c r="AD242">
        <v>-1.071428042447</v>
      </c>
      <c r="AE242">
        <v>-2.6891999999999698</v>
      </c>
      <c r="AF242">
        <v>3.0457475090897801</v>
      </c>
      <c r="AG242">
        <v>-1.071428042447</v>
      </c>
      <c r="AH242">
        <v>36.039871198347399</v>
      </c>
      <c r="AI242">
        <v>91.696797685059494</v>
      </c>
      <c r="AJ242">
        <v>85.169383373030698</v>
      </c>
      <c r="AK242">
        <v>36.184207217137399</v>
      </c>
      <c r="AL242">
        <v>79.701561451987999</v>
      </c>
      <c r="AM242">
        <v>87.265897787420101</v>
      </c>
      <c r="AN242">
        <v>0.99999999024303499</v>
      </c>
    </row>
    <row r="243" spans="1:40" x14ac:dyDescent="0.25">
      <c r="A243" t="str">
        <f>"20190303170501549"</f>
        <v>20190303170501549</v>
      </c>
      <c r="B243" t="str">
        <f>"1551603901534891"</f>
        <v>1551603901534891</v>
      </c>
      <c r="C243" t="s">
        <v>40</v>
      </c>
      <c r="D243">
        <v>5.5314459999999999</v>
      </c>
      <c r="E243">
        <v>0.51739250000000003</v>
      </c>
      <c r="F243" t="s">
        <v>41</v>
      </c>
      <c r="G243">
        <v>-387.64190000000002</v>
      </c>
      <c r="H243" s="1">
        <v>-2.1989989999999998E-6</v>
      </c>
      <c r="I243">
        <v>364.3152</v>
      </c>
      <c r="J243">
        <v>-423.94729999999998</v>
      </c>
      <c r="K243">
        <v>1.0714250000000001</v>
      </c>
      <c r="L243">
        <v>367.0317</v>
      </c>
      <c r="M243">
        <v>0.99984499999999998</v>
      </c>
      <c r="N243">
        <v>-1.4709059999999999E-2</v>
      </c>
      <c r="O243">
        <v>9.6853410000000001E-3</v>
      </c>
      <c r="P243">
        <v>0.98574039999999996</v>
      </c>
      <c r="Q243">
        <v>0.16402329999999901</v>
      </c>
      <c r="R243">
        <v>-3.7582650000000002E-2</v>
      </c>
      <c r="S243">
        <v>3.0498660000000002</v>
      </c>
      <c r="T243">
        <v>-8.9427469999999995E-2</v>
      </c>
      <c r="U243">
        <v>-0.2265625</v>
      </c>
      <c r="V243">
        <v>4.7212650000000002E-2</v>
      </c>
      <c r="W243">
        <v>0.17847660000000001</v>
      </c>
      <c r="X243">
        <v>0.98281079999999998</v>
      </c>
      <c r="Y243">
        <v>8.3683389999999996E-2</v>
      </c>
      <c r="Z243">
        <v>-1.9827669999999999E-3</v>
      </c>
      <c r="AA243">
        <v>0.9964904</v>
      </c>
      <c r="AB243">
        <v>23</v>
      </c>
      <c r="AC243">
        <v>36.305399999999899</v>
      </c>
      <c r="AD243">
        <v>-1.0714271989990001</v>
      </c>
      <c r="AE243">
        <v>-2.7164999999999901</v>
      </c>
      <c r="AF243">
        <v>3.06538587818729</v>
      </c>
      <c r="AG243">
        <v>-1.0714271989990001</v>
      </c>
      <c r="AH243">
        <v>36.245991744868697</v>
      </c>
      <c r="AI243">
        <v>91.687144084083201</v>
      </c>
      <c r="AJ243">
        <v>85.165900555858499</v>
      </c>
      <c r="AK243">
        <v>36.391159151558199</v>
      </c>
      <c r="AL243">
        <v>79.718961371319693</v>
      </c>
      <c r="AM243">
        <v>87.249717208339803</v>
      </c>
      <c r="AN243">
        <v>0.99999999983211096</v>
      </c>
    </row>
    <row r="244" spans="1:40" x14ac:dyDescent="0.25">
      <c r="A244" t="str">
        <f>"20190303170501572"</f>
        <v>20190303170501572</v>
      </c>
      <c r="B244" t="str">
        <f>"1551603901565147"</f>
        <v>1551603901565147</v>
      </c>
      <c r="C244" t="s">
        <v>40</v>
      </c>
      <c r="D244">
        <v>5.5381539999999996</v>
      </c>
      <c r="E244">
        <v>0.50935909999999995</v>
      </c>
      <c r="F244" t="s">
        <v>41</v>
      </c>
      <c r="G244">
        <v>-387.95030000000003</v>
      </c>
      <c r="H244" s="1">
        <v>-2.0899830000000001E-6</v>
      </c>
      <c r="I244">
        <v>364.3304</v>
      </c>
      <c r="J244">
        <v>-423.70339999999999</v>
      </c>
      <c r="K244">
        <v>1.07142</v>
      </c>
      <c r="L244">
        <v>367.03379999999999</v>
      </c>
      <c r="M244">
        <v>0.99984779999999995</v>
      </c>
      <c r="N244">
        <v>-1.470102E-2</v>
      </c>
      <c r="O244">
        <v>9.4088339999999996E-3</v>
      </c>
      <c r="P244">
        <v>0.98568009999999995</v>
      </c>
      <c r="Q244">
        <v>0.16432269999999999</v>
      </c>
      <c r="R244">
        <v>-3.7853240000000003E-2</v>
      </c>
      <c r="S244">
        <v>3.049744</v>
      </c>
      <c r="T244">
        <v>-9.0773580000000006E-2</v>
      </c>
      <c r="U244">
        <v>-0.22885130000000001</v>
      </c>
      <c r="V244">
        <v>4.7209319999999999E-2</v>
      </c>
      <c r="W244">
        <v>0.17876789999999901</v>
      </c>
      <c r="X244">
        <v>0.98275800000000002</v>
      </c>
      <c r="Y244">
        <v>8.4152790000000005E-2</v>
      </c>
      <c r="Z244">
        <v>-2.0115210000000001E-3</v>
      </c>
      <c r="AA244">
        <v>0.99645079999999997</v>
      </c>
      <c r="AB244">
        <v>23</v>
      </c>
      <c r="AC244">
        <v>35.753099999999897</v>
      </c>
      <c r="AD244">
        <v>-1.071422089983</v>
      </c>
      <c r="AE244">
        <v>-2.7033999999999798</v>
      </c>
      <c r="AF244">
        <v>3.0369997740764698</v>
      </c>
      <c r="AG244">
        <v>-1.071422089983</v>
      </c>
      <c r="AH244">
        <v>35.694206034073098</v>
      </c>
      <c r="AI244">
        <v>91.713127688333699</v>
      </c>
      <c r="AJ244">
        <v>85.136768437703296</v>
      </c>
      <c r="AK244">
        <v>35.839191638839999</v>
      </c>
      <c r="AL244">
        <v>79.701998143953105</v>
      </c>
      <c r="AM244">
        <v>87.2497633679193</v>
      </c>
      <c r="AN244">
        <v>0.99999998426463599</v>
      </c>
    </row>
    <row r="245" spans="1:40" x14ac:dyDescent="0.25">
      <c r="A245" t="str">
        <f>"20190303170501594"</f>
        <v>20190303170501594</v>
      </c>
      <c r="B245" t="str">
        <f>"1551603901584666"</f>
        <v>1551603901584666</v>
      </c>
      <c r="C245" t="s">
        <v>40</v>
      </c>
      <c r="D245">
        <v>5.5978000000000003</v>
      </c>
      <c r="E245">
        <v>0.50927719999999999</v>
      </c>
      <c r="F245" t="s">
        <v>41</v>
      </c>
      <c r="G245">
        <v>-374.28379999999999</v>
      </c>
      <c r="H245" s="1">
        <v>-3.3736690000000002E-6</v>
      </c>
      <c r="I245">
        <v>364.32190000000003</v>
      </c>
      <c r="J245">
        <v>-423.4776</v>
      </c>
      <c r="K245">
        <v>1.071421</v>
      </c>
      <c r="L245">
        <v>367.03559999999999</v>
      </c>
      <c r="M245">
        <v>0.99985020000000002</v>
      </c>
      <c r="N245">
        <v>-1.4693799999999899E-2</v>
      </c>
      <c r="O245">
        <v>9.1558779999999992E-3</v>
      </c>
      <c r="P245">
        <v>0.98557470000000003</v>
      </c>
      <c r="Q245">
        <v>0.16490479999999999</v>
      </c>
      <c r="R245">
        <v>-3.8065660000000001E-2</v>
      </c>
      <c r="S245">
        <v>3.0482179999999999</v>
      </c>
      <c r="T245">
        <v>-6.6085699999999997E-2</v>
      </c>
      <c r="U245">
        <v>-0.16726679999999999</v>
      </c>
      <c r="V245">
        <v>4.7170480000000001E-2</v>
      </c>
      <c r="W245">
        <v>0.17934159999999999</v>
      </c>
      <c r="X245">
        <v>0.98265530000000001</v>
      </c>
      <c r="Y245">
        <v>6.3906679999999993E-2</v>
      </c>
      <c r="Z245">
        <v>-1.226046E-3</v>
      </c>
      <c r="AA245">
        <v>0.99795509999999998</v>
      </c>
      <c r="AB245">
        <v>23</v>
      </c>
      <c r="AC245">
        <v>49.193800000000003</v>
      </c>
      <c r="AD245">
        <v>-1.0714243736689999</v>
      </c>
      <c r="AE245">
        <v>-2.7136999999999598</v>
      </c>
      <c r="AF245">
        <v>3.1625516379548602</v>
      </c>
      <c r="AG245">
        <v>-1.0714243736689999</v>
      </c>
      <c r="AH245">
        <v>49.143647814455598</v>
      </c>
      <c r="AI245">
        <v>91.246381027323494</v>
      </c>
      <c r="AJ245">
        <v>86.317909817047493</v>
      </c>
      <c r="AK245">
        <v>49.256956905217699</v>
      </c>
      <c r="AL245">
        <v>79.668587264357697</v>
      </c>
      <c r="AM245">
        <v>87.251735811537898</v>
      </c>
      <c r="AN245">
        <v>0.99999995114603901</v>
      </c>
    </row>
    <row r="246" spans="1:40" x14ac:dyDescent="0.25">
      <c r="A246" t="str">
        <f>"20190303170501615"</f>
        <v>20190303170501615</v>
      </c>
      <c r="B246" t="str">
        <f>"1551603901604190"</f>
        <v>1551603901604190</v>
      </c>
      <c r="C246" t="s">
        <v>40</v>
      </c>
      <c r="D246">
        <v>5.5425190000000004</v>
      </c>
      <c r="E246">
        <v>0.50904389999999999</v>
      </c>
      <c r="F246" t="s">
        <v>41</v>
      </c>
      <c r="G246">
        <v>-373.03070000000002</v>
      </c>
      <c r="H246" s="1">
        <v>-3.9201449999999997E-6</v>
      </c>
      <c r="I246">
        <v>364.27190000000002</v>
      </c>
      <c r="J246">
        <v>-423.25729999999999</v>
      </c>
      <c r="K246">
        <v>1.0714220000000001</v>
      </c>
      <c r="L246">
        <v>367.03739999999999</v>
      </c>
      <c r="M246">
        <v>0.99985250000000003</v>
      </c>
      <c r="N246">
        <v>-1.4686970000000001E-2</v>
      </c>
      <c r="O246">
        <v>8.9121600000000006E-3</v>
      </c>
      <c r="P246">
        <v>0.98560639999999999</v>
      </c>
      <c r="Q246">
        <v>0.164714</v>
      </c>
      <c r="R246">
        <v>-3.8071649999999999E-2</v>
      </c>
      <c r="S246">
        <v>3.0482480000000001</v>
      </c>
      <c r="T246">
        <v>-6.4740660000000005E-2</v>
      </c>
      <c r="U246">
        <v>-0.16699220000000001</v>
      </c>
      <c r="V246">
        <v>4.6935119999999997E-2</v>
      </c>
      <c r="W246">
        <v>0.1791451</v>
      </c>
      <c r="X246">
        <v>0.98270239999999998</v>
      </c>
      <c r="Y246">
        <v>6.3574179999999994E-2</v>
      </c>
      <c r="Z246">
        <v>-1.200191E-3</v>
      </c>
      <c r="AA246">
        <v>0.99797639999999999</v>
      </c>
      <c r="AB246">
        <v>23</v>
      </c>
      <c r="AC246">
        <v>50.226599999999898</v>
      </c>
      <c r="AD246">
        <v>-1.0714259201449901</v>
      </c>
      <c r="AE246">
        <v>-2.7654999999999701</v>
      </c>
      <c r="AF246">
        <v>3.2116088762635902</v>
      </c>
      <c r="AG246">
        <v>-1.0714259201449901</v>
      </c>
      <c r="AH246">
        <v>50.177191637935998</v>
      </c>
      <c r="AI246">
        <v>91.220744963899307</v>
      </c>
      <c r="AJ246">
        <v>86.337758956710005</v>
      </c>
      <c r="AK246">
        <v>50.291281011191302</v>
      </c>
      <c r="AL246">
        <v>79.680031103298802</v>
      </c>
      <c r="AM246">
        <v>87.265558444106901</v>
      </c>
      <c r="AN246">
        <v>0.99999993965459</v>
      </c>
    </row>
    <row r="247" spans="1:40" x14ac:dyDescent="0.25">
      <c r="A247" t="str">
        <f>"20190303170501629"</f>
        <v>20190303170501629</v>
      </c>
      <c r="B247" t="str">
        <f>"1551603901624682"</f>
        <v>1551603901624682</v>
      </c>
      <c r="C247" t="s">
        <v>40</v>
      </c>
      <c r="D247">
        <v>5.5336420000000004</v>
      </c>
      <c r="E247">
        <v>0.50889059999999997</v>
      </c>
      <c r="F247" t="s">
        <v>41</v>
      </c>
      <c r="G247">
        <v>-374.01060000000001</v>
      </c>
      <c r="H247" s="1">
        <v>-3.481728E-6</v>
      </c>
      <c r="I247">
        <v>364.37360000000001</v>
      </c>
      <c r="J247">
        <v>-423.1157</v>
      </c>
      <c r="K247">
        <v>1.071423</v>
      </c>
      <c r="L247">
        <v>367.0385</v>
      </c>
      <c r="M247">
        <v>0.99985400000000002</v>
      </c>
      <c r="N247">
        <v>-1.468266E-2</v>
      </c>
      <c r="O247">
        <v>8.7568509999999995E-3</v>
      </c>
      <c r="P247">
        <v>0.98560979999999998</v>
      </c>
      <c r="Q247">
        <v>0.16471920000000001</v>
      </c>
      <c r="R247">
        <v>-3.7961700000000001E-2</v>
      </c>
      <c r="S247">
        <v>3.048492</v>
      </c>
      <c r="T247">
        <v>-6.6323759999999995E-2</v>
      </c>
      <c r="U247">
        <v>-0.16488649999999999</v>
      </c>
      <c r="V247">
        <v>4.6671259999999999E-2</v>
      </c>
      <c r="W247">
        <v>0.179147</v>
      </c>
      <c r="X247">
        <v>0.98271470000000005</v>
      </c>
      <c r="Y247">
        <v>6.2726840000000006E-2</v>
      </c>
      <c r="Z247">
        <v>-1.204611E-3</v>
      </c>
      <c r="AA247">
        <v>0.99802999999999997</v>
      </c>
      <c r="AB247">
        <v>23</v>
      </c>
      <c r="AC247">
        <v>49.105099999999901</v>
      </c>
      <c r="AD247">
        <v>-1.0714264817279999</v>
      </c>
      <c r="AE247">
        <v>-2.6648999999999798</v>
      </c>
      <c r="AF247">
        <v>3.0933817971110602</v>
      </c>
      <c r="AG247">
        <v>-1.0714264817279999</v>
      </c>
      <c r="AH247">
        <v>49.056592333146398</v>
      </c>
      <c r="AI247">
        <v>91.248697228312906</v>
      </c>
      <c r="AJ247">
        <v>86.391853596972993</v>
      </c>
      <c r="AK247">
        <v>49.165701632224902</v>
      </c>
      <c r="AL247">
        <v>79.679921267139306</v>
      </c>
      <c r="AM247">
        <v>87.280941782255496</v>
      </c>
      <c r="AN247">
        <v>1.0000000178575299</v>
      </c>
    </row>
    <row r="248" spans="1:40" x14ac:dyDescent="0.25">
      <c r="A248" t="str">
        <f>"20190303170501652"</f>
        <v>20190303170501652</v>
      </c>
      <c r="B248" t="str">
        <f>"1551603901644204"</f>
        <v>1551603901644204</v>
      </c>
      <c r="C248" t="s">
        <v>40</v>
      </c>
      <c r="D248">
        <v>5.5358289999999997</v>
      </c>
      <c r="E248">
        <v>0.50886670000000001</v>
      </c>
      <c r="F248" t="s">
        <v>41</v>
      </c>
      <c r="G248">
        <v>-374.8569</v>
      </c>
      <c r="H248" s="1">
        <v>-3.1104630000000002E-6</v>
      </c>
      <c r="I248">
        <v>364.45159999999998</v>
      </c>
      <c r="J248">
        <v>-422.89229999999998</v>
      </c>
      <c r="K248">
        <v>1.0714250000000001</v>
      </c>
      <c r="L248">
        <v>367.0401</v>
      </c>
      <c r="M248">
        <v>0.99985610000000003</v>
      </c>
      <c r="N248">
        <v>-1.4676E-2</v>
      </c>
      <c r="O248">
        <v>8.5140860000000006E-3</v>
      </c>
      <c r="P248">
        <v>0.98565069999999999</v>
      </c>
      <c r="Q248">
        <v>0.164525799999999</v>
      </c>
      <c r="R248">
        <v>-3.7738679999999997E-2</v>
      </c>
      <c r="S248">
        <v>3.0488279999999999</v>
      </c>
      <c r="T248">
        <v>-6.7689059999999995E-2</v>
      </c>
      <c r="U248">
        <v>-0.1634216</v>
      </c>
      <c r="V248">
        <v>4.6207669999999999E-2</v>
      </c>
      <c r="W248">
        <v>0.1789481</v>
      </c>
      <c r="X248">
        <v>0.9827728</v>
      </c>
      <c r="Y248">
        <v>6.1999909999999998E-2</v>
      </c>
      <c r="Z248">
        <v>-1.2070900000000001E-3</v>
      </c>
      <c r="AA248">
        <v>0.99807539999999995</v>
      </c>
      <c r="AB248">
        <v>23</v>
      </c>
      <c r="AC248">
        <v>48.035399999999903</v>
      </c>
      <c r="AD248">
        <v>-1.0714281104629999</v>
      </c>
      <c r="AE248">
        <v>-2.58850000000001</v>
      </c>
      <c r="AF248">
        <v>2.9959415163230898</v>
      </c>
      <c r="AG248">
        <v>-1.0714281104629999</v>
      </c>
      <c r="AH248">
        <v>47.987812106059302</v>
      </c>
      <c r="AI248">
        <v>91.276550873779101</v>
      </c>
      <c r="AJ248">
        <v>86.427586519163199</v>
      </c>
      <c r="AK248">
        <v>48.093177629385004</v>
      </c>
      <c r="AL248">
        <v>79.691504120219193</v>
      </c>
      <c r="AM248">
        <v>87.308069428356404</v>
      </c>
      <c r="AN248">
        <v>0.99999997384013894</v>
      </c>
    </row>
    <row r="249" spans="1:40" x14ac:dyDescent="0.25">
      <c r="A249" t="str">
        <f>"20190303170501675"</f>
        <v>20190303170501675</v>
      </c>
      <c r="B249" t="str">
        <f>"1551603901664698"</f>
        <v>1551603901664698</v>
      </c>
      <c r="C249" t="s">
        <v>40</v>
      </c>
      <c r="D249">
        <v>5.5346039999999999</v>
      </c>
      <c r="E249">
        <v>0.50872259999999903</v>
      </c>
      <c r="F249" t="s">
        <v>41</v>
      </c>
      <c r="G249">
        <v>-376.44659999999999</v>
      </c>
      <c r="H249" s="1">
        <v>-2.5384009999999999E-6</v>
      </c>
      <c r="I249">
        <v>364.56849999999997</v>
      </c>
      <c r="J249">
        <v>-422.65499999999997</v>
      </c>
      <c r="K249">
        <v>1.071428</v>
      </c>
      <c r="L249">
        <v>367.04180000000002</v>
      </c>
      <c r="M249">
        <v>0.99985840000000004</v>
      </c>
      <c r="N249">
        <v>-1.4669099999999999E-2</v>
      </c>
      <c r="O249">
        <v>8.2583780000000002E-3</v>
      </c>
      <c r="P249">
        <v>0.98580809999999996</v>
      </c>
      <c r="Q249">
        <v>0.16359969999999999</v>
      </c>
      <c r="R249">
        <v>-3.7654880000000002E-2</v>
      </c>
      <c r="S249">
        <v>3.049255</v>
      </c>
      <c r="T249">
        <v>-7.0341349999999997E-2</v>
      </c>
      <c r="U249">
        <v>-0.16226199999999999</v>
      </c>
      <c r="V249">
        <v>4.5871660000000002E-2</v>
      </c>
      <c r="W249">
        <v>0.1780186</v>
      </c>
      <c r="X249">
        <v>0.98295739999999998</v>
      </c>
      <c r="Y249">
        <v>6.135728E-2</v>
      </c>
      <c r="Z249">
        <v>-1.2268839999999999E-3</v>
      </c>
      <c r="AA249">
        <v>0.99811510000000003</v>
      </c>
      <c r="AB249">
        <v>23</v>
      </c>
      <c r="AC249">
        <v>46.208399999999898</v>
      </c>
      <c r="AD249">
        <v>-1.0714305384010001</v>
      </c>
      <c r="AE249">
        <v>-2.4733000000000498</v>
      </c>
      <c r="AF249">
        <v>2.8533334344215602</v>
      </c>
      <c r="AG249">
        <v>-1.0714305384010001</v>
      </c>
      <c r="AH249">
        <v>46.161649124643603</v>
      </c>
      <c r="AI249">
        <v>91.327087601364397</v>
      </c>
      <c r="AJ249">
        <v>86.462946299486205</v>
      </c>
      <c r="AK249">
        <v>46.262158672000098</v>
      </c>
      <c r="AL249">
        <v>79.745630340936302</v>
      </c>
      <c r="AM249">
        <v>87.328117104923393</v>
      </c>
      <c r="AN249">
        <v>1.00000004067593</v>
      </c>
    </row>
    <row r="250" spans="1:40" x14ac:dyDescent="0.25">
      <c r="A250" t="str">
        <f>"20190303170501706"</f>
        <v>20190303170501706</v>
      </c>
      <c r="B250" t="str">
        <f>"1551603901694954"</f>
        <v>1551603901694954</v>
      </c>
      <c r="C250" t="s">
        <v>40</v>
      </c>
      <c r="D250">
        <v>5.5394160000000001</v>
      </c>
      <c r="E250">
        <v>0.50877720000000004</v>
      </c>
      <c r="F250" t="s">
        <v>41</v>
      </c>
      <c r="G250">
        <v>-379.1454</v>
      </c>
      <c r="H250" s="1">
        <v>-1.5726859999999901E-6</v>
      </c>
      <c r="I250">
        <v>364.74619999999999</v>
      </c>
      <c r="J250">
        <v>-422.32979999999998</v>
      </c>
      <c r="K250">
        <v>1.0714349999999999</v>
      </c>
      <c r="L250">
        <v>367.04410000000001</v>
      </c>
      <c r="M250">
        <v>0.99986140000000001</v>
      </c>
      <c r="N250">
        <v>-1.465989E-2</v>
      </c>
      <c r="O250">
        <v>7.9095969999999904E-3</v>
      </c>
      <c r="P250">
        <v>0.98583620000000005</v>
      </c>
      <c r="Q250">
        <v>0.16312309999999999</v>
      </c>
      <c r="R250">
        <v>-3.8965189999999997E-2</v>
      </c>
      <c r="S250">
        <v>3.0495299999999999</v>
      </c>
      <c r="T250">
        <v>-7.5094939999999999E-2</v>
      </c>
      <c r="U250">
        <v>-0.1608887</v>
      </c>
      <c r="V250">
        <v>4.6836879999999997E-2</v>
      </c>
      <c r="W250">
        <v>0.177533</v>
      </c>
      <c r="X250">
        <v>0.98299970000000003</v>
      </c>
      <c r="Y250">
        <v>6.0553419999999997E-2</v>
      </c>
      <c r="Z250">
        <v>-1.267979E-3</v>
      </c>
      <c r="AA250">
        <v>0.99816419999999995</v>
      </c>
      <c r="AB250">
        <v>23</v>
      </c>
      <c r="AC250">
        <v>43.184399999999897</v>
      </c>
      <c r="AD250">
        <v>-1.071436572686</v>
      </c>
      <c r="AE250">
        <v>-2.2979000000000198</v>
      </c>
      <c r="AF250">
        <v>2.6378167809566802</v>
      </c>
      <c r="AG250">
        <v>-1.071436572686</v>
      </c>
      <c r="AH250">
        <v>43.138391602082997</v>
      </c>
      <c r="AI250">
        <v>91.420122449834494</v>
      </c>
      <c r="AJ250">
        <v>86.500847239883996</v>
      </c>
      <c r="AK250">
        <v>43.2322435655825</v>
      </c>
      <c r="AL250">
        <v>79.773903473195602</v>
      </c>
      <c r="AM250">
        <v>87.272097283628298</v>
      </c>
      <c r="AN250">
        <v>1.00000003480861</v>
      </c>
    </row>
    <row r="251" spans="1:40" x14ac:dyDescent="0.25">
      <c r="A251" t="str">
        <f>"20190303170501726"</f>
        <v>20190303170501726</v>
      </c>
      <c r="B251" t="str">
        <f>"1551603901714475"</f>
        <v>1551603901714475</v>
      </c>
      <c r="C251" t="s">
        <v>40</v>
      </c>
      <c r="D251">
        <v>5.5397619999999996</v>
      </c>
      <c r="E251">
        <v>0.50875159999999997</v>
      </c>
      <c r="F251" t="s">
        <v>41</v>
      </c>
      <c r="G251">
        <v>-381.36419999999998</v>
      </c>
      <c r="H251" s="1">
        <v>-4.5379390000000002E-6</v>
      </c>
      <c r="I251">
        <v>364.8193</v>
      </c>
      <c r="J251">
        <v>-422.12079999999997</v>
      </c>
      <c r="K251">
        <v>1.0714410000000001</v>
      </c>
      <c r="L251">
        <v>367.04539999999997</v>
      </c>
      <c r="M251">
        <v>0.9998631</v>
      </c>
      <c r="N251">
        <v>-1.465407E-2</v>
      </c>
      <c r="O251">
        <v>7.6856909999999997E-3</v>
      </c>
      <c r="P251">
        <v>0.98573900000000003</v>
      </c>
      <c r="Q251">
        <v>0.16362760000000001</v>
      </c>
      <c r="R251">
        <v>-3.9300599999999998E-2</v>
      </c>
      <c r="S251">
        <v>3.0497130000000001</v>
      </c>
      <c r="T251">
        <v>-7.9764009999999996E-2</v>
      </c>
      <c r="U251">
        <v>-0.16561890000000001</v>
      </c>
      <c r="V251">
        <v>4.6950260000000001E-2</v>
      </c>
      <c r="W251">
        <v>0.17803079999999999</v>
      </c>
      <c r="X251">
        <v>0.98290420000000001</v>
      </c>
      <c r="Y251">
        <v>6.1866640000000001E-2</v>
      </c>
      <c r="Z251">
        <v>-1.350399E-3</v>
      </c>
      <c r="AA251">
        <v>0.99808350000000001</v>
      </c>
      <c r="AB251">
        <v>23</v>
      </c>
      <c r="AC251">
        <v>40.756599999999899</v>
      </c>
      <c r="AD251">
        <v>-1.071445537939</v>
      </c>
      <c r="AE251">
        <v>-2.22609999999997</v>
      </c>
      <c r="AF251">
        <v>2.53756199822273</v>
      </c>
      <c r="AG251">
        <v>-1.071445537939</v>
      </c>
      <c r="AH251">
        <v>40.710233648231501</v>
      </c>
      <c r="AI251">
        <v>91.504690675637903</v>
      </c>
      <c r="AJ251">
        <v>86.433237538926406</v>
      </c>
      <c r="AK251">
        <v>40.803312857281497</v>
      </c>
      <c r="AL251">
        <v>79.744919351306095</v>
      </c>
      <c r="AM251">
        <v>87.265238462833096</v>
      </c>
      <c r="AN251">
        <v>0.99999997952017305</v>
      </c>
    </row>
    <row r="252" spans="1:40" x14ac:dyDescent="0.25">
      <c r="A252" t="str">
        <f>"20190303170501751"</f>
        <v>20190303170501751</v>
      </c>
      <c r="B252" t="str">
        <f>"1551603901744730"</f>
        <v>1551603901744730</v>
      </c>
      <c r="C252" t="s">
        <v>40</v>
      </c>
      <c r="D252">
        <v>5.6536479999999996</v>
      </c>
      <c r="E252">
        <v>0.50890859999999905</v>
      </c>
      <c r="F252" t="s">
        <v>41</v>
      </c>
      <c r="G252">
        <v>-380.64589999999998</v>
      </c>
      <c r="H252" s="1">
        <v>-4.8531059999999999E-6</v>
      </c>
      <c r="I252">
        <v>364.77980000000002</v>
      </c>
      <c r="J252">
        <v>-421.86340000000001</v>
      </c>
      <c r="K252">
        <v>1.0714429999999999</v>
      </c>
      <c r="L252">
        <v>367.0471</v>
      </c>
      <c r="M252">
        <v>0.99986540000000002</v>
      </c>
      <c r="N252">
        <v>-1.4647E-2</v>
      </c>
      <c r="O252">
        <v>7.4098159999999996E-3</v>
      </c>
      <c r="P252">
        <v>0.98569300000000004</v>
      </c>
      <c r="Q252">
        <v>0.1638355</v>
      </c>
      <c r="R252">
        <v>-3.9594730000000002E-2</v>
      </c>
      <c r="S252">
        <v>3.0498050000000001</v>
      </c>
      <c r="T252">
        <v>-7.8787330000000003E-2</v>
      </c>
      <c r="U252">
        <v>-0.16659549999999901</v>
      </c>
      <c r="V252">
        <v>4.6971730000000003E-2</v>
      </c>
      <c r="W252">
        <v>0.17823120000000001</v>
      </c>
      <c r="X252">
        <v>0.98286689999999999</v>
      </c>
      <c r="Y252">
        <v>6.1908959999999999E-2</v>
      </c>
      <c r="Z252">
        <v>-1.33561799999999E-3</v>
      </c>
      <c r="AA252">
        <v>0.99808090000000005</v>
      </c>
      <c r="AB252">
        <v>23</v>
      </c>
      <c r="AC252">
        <v>41.217500000000001</v>
      </c>
      <c r="AD252">
        <v>-1.0714478531060001</v>
      </c>
      <c r="AE252">
        <v>-2.2672999999999699</v>
      </c>
      <c r="AF252">
        <v>2.57095250903842</v>
      </c>
      <c r="AG252">
        <v>-1.0714478531060001</v>
      </c>
      <c r="AH252">
        <v>41.171828668086697</v>
      </c>
      <c r="AI252">
        <v>91.487821415563502</v>
      </c>
      <c r="AJ252">
        <v>86.426835599148106</v>
      </c>
      <c r="AK252">
        <v>41.265933567289402</v>
      </c>
      <c r="AL252">
        <v>79.733251114253903</v>
      </c>
      <c r="AM252">
        <v>87.263886102462607</v>
      </c>
      <c r="AN252">
        <v>1.00000002359412</v>
      </c>
    </row>
    <row r="253" spans="1:40" x14ac:dyDescent="0.25">
      <c r="A253" t="str">
        <f>"20190303170501774"</f>
        <v>20190303170501774</v>
      </c>
      <c r="B253" t="str">
        <f>"1551603901764250"</f>
        <v>1551603901764250</v>
      </c>
      <c r="C253" t="s">
        <v>40</v>
      </c>
      <c r="D253">
        <v>5.5341420000000001</v>
      </c>
      <c r="E253">
        <v>0.50893659999999996</v>
      </c>
      <c r="F253" t="s">
        <v>41</v>
      </c>
      <c r="G253">
        <v>-381.31909999999999</v>
      </c>
      <c r="H253" s="1">
        <v>-4.5596969999999999E-6</v>
      </c>
      <c r="I253">
        <v>364.80579999999998</v>
      </c>
      <c r="J253">
        <v>-421.63310000000001</v>
      </c>
      <c r="K253">
        <v>1.0714379999999999</v>
      </c>
      <c r="L253">
        <v>367.04849999999999</v>
      </c>
      <c r="M253">
        <v>0.99986730000000001</v>
      </c>
      <c r="N253">
        <v>-1.4640790000000001E-2</v>
      </c>
      <c r="O253">
        <v>7.1618119999999896E-3</v>
      </c>
      <c r="P253">
        <v>0.9857167</v>
      </c>
      <c r="Q253">
        <v>0.1637198</v>
      </c>
      <c r="R253">
        <v>-3.9481500000000003E-2</v>
      </c>
      <c r="S253">
        <v>3.0502009999999999</v>
      </c>
      <c r="T253">
        <v>-8.0606220000000006E-2</v>
      </c>
      <c r="U253">
        <v>-0.1686096</v>
      </c>
      <c r="V253">
        <v>4.661382E-2</v>
      </c>
      <c r="W253">
        <v>0.17811009999999999</v>
      </c>
      <c r="X253">
        <v>0.9829059</v>
      </c>
      <c r="Y253">
        <v>6.2309950000000003E-2</v>
      </c>
      <c r="Z253">
        <v>-1.363501E-3</v>
      </c>
      <c r="AA253">
        <v>0.9980559</v>
      </c>
      <c r="AB253">
        <v>23</v>
      </c>
      <c r="AC253">
        <v>40.314</v>
      </c>
      <c r="AD253">
        <v>-1.0714425596970001</v>
      </c>
      <c r="AE253">
        <v>-2.2427000000000099</v>
      </c>
      <c r="AF253">
        <v>2.52961336683334</v>
      </c>
      <c r="AG253">
        <v>-1.0714425596970001</v>
      </c>
      <c r="AH253">
        <v>40.268546038897497</v>
      </c>
      <c r="AI253">
        <v>91.521136925584599</v>
      </c>
      <c r="AJ253">
        <v>86.405483032473398</v>
      </c>
      <c r="AK253">
        <v>40.362144802168302</v>
      </c>
      <c r="AL253">
        <v>79.740302545443697</v>
      </c>
      <c r="AM253">
        <v>87.284810697032995</v>
      </c>
      <c r="AN253">
        <v>1.0000000320958999</v>
      </c>
    </row>
    <row r="254" spans="1:40" x14ac:dyDescent="0.25">
      <c r="A254" t="str">
        <f>"20190303170501794"</f>
        <v>20190303170501794</v>
      </c>
      <c r="B254" t="str">
        <f>"1551603901784746"</f>
        <v>1551603901784746</v>
      </c>
      <c r="C254" t="s">
        <v>40</v>
      </c>
      <c r="D254">
        <v>5.5353219999999999</v>
      </c>
      <c r="E254">
        <v>0.50891279999999905</v>
      </c>
      <c r="F254" t="s">
        <v>41</v>
      </c>
      <c r="G254">
        <v>-381.71069999999997</v>
      </c>
      <c r="H254" s="1">
        <v>-4.3840559999999997E-6</v>
      </c>
      <c r="I254">
        <v>364.84890000000001</v>
      </c>
      <c r="J254">
        <v>-421.42090000000002</v>
      </c>
      <c r="K254">
        <v>1.0714349999999999</v>
      </c>
      <c r="L254">
        <v>367.0498</v>
      </c>
      <c r="M254">
        <v>0.99986900000000001</v>
      </c>
      <c r="N254">
        <v>-1.463515E-2</v>
      </c>
      <c r="O254">
        <v>6.9313700000000001E-3</v>
      </c>
      <c r="P254">
        <v>0.98581819999999998</v>
      </c>
      <c r="Q254">
        <v>0.16314329999999999</v>
      </c>
      <c r="R254">
        <v>-3.9329500000000003E-2</v>
      </c>
      <c r="S254">
        <v>3.0503230000000001</v>
      </c>
      <c r="T254">
        <v>-8.186483E-2</v>
      </c>
      <c r="U254">
        <v>-0.1680603</v>
      </c>
      <c r="V254">
        <v>4.6235470000000001E-2</v>
      </c>
      <c r="W254">
        <v>0.1775302</v>
      </c>
      <c r="X254">
        <v>0.98302869999999998</v>
      </c>
      <c r="Y254">
        <v>6.1897870000000001E-2</v>
      </c>
      <c r="Z254">
        <v>-1.367767E-3</v>
      </c>
      <c r="AA254">
        <v>0.99808160000000001</v>
      </c>
      <c r="AB254">
        <v>23</v>
      </c>
      <c r="AC254">
        <v>39.7102</v>
      </c>
      <c r="AD254">
        <v>-1.0714393840559999</v>
      </c>
      <c r="AE254">
        <v>-2.2008999999999901</v>
      </c>
      <c r="AF254">
        <v>2.4743268624945198</v>
      </c>
      <c r="AG254">
        <v>-1.0714393840559999</v>
      </c>
      <c r="AH254">
        <v>39.665201169502801</v>
      </c>
      <c r="AI254">
        <v>91.544301333503796</v>
      </c>
      <c r="AJ254">
        <v>86.430497706226802</v>
      </c>
      <c r="AK254">
        <v>39.756741058508503</v>
      </c>
      <c r="AL254">
        <v>79.774066728642097</v>
      </c>
      <c r="AM254">
        <v>87.307152408511001</v>
      </c>
      <c r="AN254">
        <v>1.0000000578109201</v>
      </c>
    </row>
    <row r="255" spans="1:40" x14ac:dyDescent="0.25">
      <c r="A255" t="str">
        <f>"20190303170501818"</f>
        <v>20190303170501818</v>
      </c>
      <c r="B255" t="str">
        <f>"1551603901804267"</f>
        <v>1551603901804267</v>
      </c>
      <c r="C255" t="s">
        <v>40</v>
      </c>
      <c r="D255">
        <v>5.5378600000000002</v>
      </c>
      <c r="E255">
        <v>0.50892530000000002</v>
      </c>
      <c r="F255" t="s">
        <v>41</v>
      </c>
      <c r="G255">
        <v>-383.20389999999998</v>
      </c>
      <c r="H255" s="1">
        <v>-3.7247679999999999E-6</v>
      </c>
      <c r="I255">
        <v>364.95429999999999</v>
      </c>
      <c r="J255">
        <v>-421.17700000000002</v>
      </c>
      <c r="K255">
        <v>1.0714319999999999</v>
      </c>
      <c r="L255">
        <v>367.05110000000002</v>
      </c>
      <c r="M255">
        <v>0.99987079999999995</v>
      </c>
      <c r="N255">
        <v>-1.462872E-2</v>
      </c>
      <c r="O255">
        <v>6.6641469999999996E-3</v>
      </c>
      <c r="P255">
        <v>0.98585860000000003</v>
      </c>
      <c r="Q255">
        <v>0.16281809999999999</v>
      </c>
      <c r="R255">
        <v>-3.9665649999999997E-2</v>
      </c>
      <c r="S255">
        <v>3.0505979999999999</v>
      </c>
      <c r="T255">
        <v>-8.5525509999999999E-2</v>
      </c>
      <c r="U255">
        <v>-0.16726679999999999</v>
      </c>
      <c r="V255">
        <v>4.6308780000000001E-2</v>
      </c>
      <c r="W255">
        <v>0.1771993</v>
      </c>
      <c r="X255">
        <v>0.98308490000000004</v>
      </c>
      <c r="Y255">
        <v>6.1365030000000001E-2</v>
      </c>
      <c r="Z255">
        <v>-1.397988E-3</v>
      </c>
      <c r="AA255">
        <v>0.99811439999999996</v>
      </c>
      <c r="AB255">
        <v>23</v>
      </c>
      <c r="AC255">
        <v>37.973099999999903</v>
      </c>
      <c r="AD255">
        <v>-1.071435724768</v>
      </c>
      <c r="AE255">
        <v>-2.0968000000000302</v>
      </c>
      <c r="AF255">
        <v>2.3479752329296102</v>
      </c>
      <c r="AG255">
        <v>-1.071435724768</v>
      </c>
      <c r="AH255">
        <v>37.928178017052502</v>
      </c>
      <c r="AI255">
        <v>91.615032037421699</v>
      </c>
      <c r="AJ255">
        <v>86.457578006016007</v>
      </c>
      <c r="AK255">
        <v>38.0158868093325</v>
      </c>
      <c r="AL255">
        <v>79.793330822121106</v>
      </c>
      <c r="AM255">
        <v>87.303042943183996</v>
      </c>
      <c r="AN255">
        <v>1.0000000078167901</v>
      </c>
    </row>
    <row r="256" spans="1:40" x14ac:dyDescent="0.25">
      <c r="A256" t="str">
        <f>"20190303170501842"</f>
        <v>20190303170501842</v>
      </c>
      <c r="B256" t="str">
        <f>"1551603901834522"</f>
        <v>1551603901834522</v>
      </c>
      <c r="C256" t="s">
        <v>40</v>
      </c>
      <c r="D256">
        <v>5.5959219999999998</v>
      </c>
      <c r="E256">
        <v>0.50888339999999999</v>
      </c>
      <c r="F256" t="s">
        <v>41</v>
      </c>
      <c r="G256">
        <v>-383.8963</v>
      </c>
      <c r="H256" s="1">
        <v>-3.422191E-6</v>
      </c>
      <c r="I256">
        <v>364.98540000000003</v>
      </c>
      <c r="J256">
        <v>-420.9479</v>
      </c>
      <c r="K256">
        <v>1.0714300000000001</v>
      </c>
      <c r="L256">
        <v>367.05239999999998</v>
      </c>
      <c r="M256">
        <v>0.9998726</v>
      </c>
      <c r="N256">
        <v>-1.462274E-2</v>
      </c>
      <c r="O256">
        <v>6.4108079999999996E-3</v>
      </c>
      <c r="P256">
        <v>0.985734</v>
      </c>
      <c r="Q256">
        <v>0.16353389999999901</v>
      </c>
      <c r="R256">
        <v>-3.9816320000000002E-2</v>
      </c>
      <c r="S256">
        <v>3.0507200000000001</v>
      </c>
      <c r="T256">
        <v>-8.7676760000000006E-2</v>
      </c>
      <c r="U256">
        <v>-0.16903689999999999</v>
      </c>
      <c r="V256">
        <v>4.6209729999999997E-2</v>
      </c>
      <c r="W256">
        <v>0.17790739999999999</v>
      </c>
      <c r="X256">
        <v>0.98296170000000005</v>
      </c>
      <c r="Y256">
        <v>6.1685530000000002E-2</v>
      </c>
      <c r="Z256">
        <v>-1.4274750000000001E-3</v>
      </c>
      <c r="AA256">
        <v>0.99809460000000005</v>
      </c>
      <c r="AB256">
        <v>23</v>
      </c>
      <c r="AC256">
        <v>37.051600000000001</v>
      </c>
      <c r="AD256">
        <v>-1.07143342219099</v>
      </c>
      <c r="AE256">
        <v>-2.06699999999995</v>
      </c>
      <c r="AF256">
        <v>2.3025941081618502</v>
      </c>
      <c r="AG256">
        <v>-1.07143342219099</v>
      </c>
      <c r="AH256">
        <v>37.006736420445797</v>
      </c>
      <c r="AI256">
        <v>91.655187311222306</v>
      </c>
      <c r="AJ256">
        <v>86.439592367367595</v>
      </c>
      <c r="AK256">
        <v>37.093779123964602</v>
      </c>
      <c r="AL256">
        <v>79.752105007911894</v>
      </c>
      <c r="AM256">
        <v>87.308466177145405</v>
      </c>
      <c r="AN256">
        <v>1.00000004289416</v>
      </c>
    </row>
    <row r="257" spans="1:40" x14ac:dyDescent="0.25">
      <c r="A257" t="str">
        <f>"20190303170501864"</f>
        <v>20190303170501864</v>
      </c>
      <c r="B257" t="str">
        <f>"1551603901855018"</f>
        <v>1551603901855018</v>
      </c>
      <c r="C257" t="s">
        <v>40</v>
      </c>
      <c r="D257">
        <v>5.5935759999999997</v>
      </c>
      <c r="E257">
        <v>0.50882429999999901</v>
      </c>
      <c r="F257" t="s">
        <v>41</v>
      </c>
      <c r="G257">
        <v>-383.351</v>
      </c>
      <c r="H257" s="1">
        <v>-3.6582080000000002E-6</v>
      </c>
      <c r="I257">
        <v>364.97379999999998</v>
      </c>
      <c r="J257">
        <v>-420.72239999999999</v>
      </c>
      <c r="K257">
        <v>1.0714360000000001</v>
      </c>
      <c r="L257">
        <v>367.05360000000002</v>
      </c>
      <c r="M257">
        <v>0.99987420000000005</v>
      </c>
      <c r="N257">
        <v>-1.461689E-2</v>
      </c>
      <c r="O257">
        <v>6.1601E-3</v>
      </c>
      <c r="P257">
        <v>0.98565729999999996</v>
      </c>
      <c r="Q257">
        <v>0.16387499999999999</v>
      </c>
      <c r="R257">
        <v>-4.0307879999999997E-2</v>
      </c>
      <c r="S257">
        <v>3.0510250000000001</v>
      </c>
      <c r="T257">
        <v>-8.6947559999999993E-2</v>
      </c>
      <c r="U257">
        <v>-0.16867070000000001</v>
      </c>
      <c r="V257">
        <v>4.6454130000000003E-2</v>
      </c>
      <c r="W257">
        <v>0.1782415</v>
      </c>
      <c r="X257">
        <v>0.98288960000000003</v>
      </c>
      <c r="Y257">
        <v>6.1311129999999998E-2</v>
      </c>
      <c r="Z257">
        <v>-1.4067870000000001E-3</v>
      </c>
      <c r="AA257">
        <v>0.9981177</v>
      </c>
      <c r="AB257">
        <v>23</v>
      </c>
      <c r="AC257">
        <v>37.371400000000001</v>
      </c>
      <c r="AD257">
        <v>-1.0714396582079999</v>
      </c>
      <c r="AE257">
        <v>-2.0798000000000298</v>
      </c>
      <c r="AF257">
        <v>2.3081053474944802</v>
      </c>
      <c r="AG257">
        <v>-1.0714396582079999</v>
      </c>
      <c r="AH257">
        <v>37.327290402990997</v>
      </c>
      <c r="AI257">
        <v>91.641029668396996</v>
      </c>
      <c r="AJ257">
        <v>86.461662915470797</v>
      </c>
      <c r="AK257">
        <v>37.413927113650303</v>
      </c>
      <c r="AL257">
        <v>79.732651038041794</v>
      </c>
      <c r="AM257">
        <v>87.294053758665797</v>
      </c>
      <c r="AN257">
        <v>0.99999999215223301</v>
      </c>
    </row>
    <row r="258" spans="1:40" x14ac:dyDescent="0.25">
      <c r="A258" t="str">
        <f>"20190303170501886"</f>
        <v>20190303170501886</v>
      </c>
      <c r="B258" t="str">
        <f>"1551603901874540"</f>
        <v>1551603901874540</v>
      </c>
      <c r="C258" t="s">
        <v>40</v>
      </c>
      <c r="D258">
        <v>5.5926049999999998</v>
      </c>
      <c r="E258">
        <v>0.50878650000000003</v>
      </c>
      <c r="F258" t="s">
        <v>41</v>
      </c>
      <c r="G258">
        <v>-383.1225</v>
      </c>
      <c r="H258" s="1">
        <v>-3.7582069999999998E-6</v>
      </c>
      <c r="I258">
        <v>364.96260000000001</v>
      </c>
      <c r="J258">
        <v>-420.4966</v>
      </c>
      <c r="K258">
        <v>1.0714429999999999</v>
      </c>
      <c r="L258">
        <v>367.05470000000003</v>
      </c>
      <c r="M258">
        <v>0.99987590000000004</v>
      </c>
      <c r="N258">
        <v>-1.461106E-2</v>
      </c>
      <c r="O258">
        <v>5.9073759999999998E-3</v>
      </c>
      <c r="P258">
        <v>0.98556659999999996</v>
      </c>
      <c r="Q258">
        <v>0.16436319999999999</v>
      </c>
      <c r="R258">
        <v>-4.0538360000000002E-2</v>
      </c>
      <c r="S258">
        <v>3.0512079999999999</v>
      </c>
      <c r="T258">
        <v>-8.6946609999999994E-2</v>
      </c>
      <c r="U258">
        <v>-0.16967769999999999</v>
      </c>
      <c r="V258">
        <v>4.6435089999999998E-2</v>
      </c>
      <c r="W258">
        <v>0.17872289999999999</v>
      </c>
      <c r="X258">
        <v>0.98280310000000004</v>
      </c>
      <c r="Y258">
        <v>6.1383970000000003E-2</v>
      </c>
      <c r="Z258">
        <v>-1.4046289999999999E-3</v>
      </c>
      <c r="AA258">
        <v>0.99811320000000003</v>
      </c>
      <c r="AB258">
        <v>23</v>
      </c>
      <c r="AC258">
        <v>37.374099999999999</v>
      </c>
      <c r="AD258">
        <v>-1.071446758207</v>
      </c>
      <c r="AE258">
        <v>-2.0921000000000101</v>
      </c>
      <c r="AF258">
        <v>2.3109765235364099</v>
      </c>
      <c r="AG258">
        <v>-1.071446758207</v>
      </c>
      <c r="AH258">
        <v>37.330502849399302</v>
      </c>
      <c r="AI258">
        <v>91.640892159244402</v>
      </c>
      <c r="AJ258">
        <v>86.457576681572604</v>
      </c>
      <c r="AK258">
        <v>37.417309545677099</v>
      </c>
      <c r="AL258">
        <v>79.704618955222003</v>
      </c>
      <c r="AM258">
        <v>87.294923479546597</v>
      </c>
      <c r="AN258">
        <v>1.0000000129686599</v>
      </c>
    </row>
    <row r="259" spans="1:40" x14ac:dyDescent="0.25">
      <c r="A259" t="str">
        <f>"20190303170501906"</f>
        <v>20190303170501906</v>
      </c>
      <c r="B259" t="str">
        <f>"1551603901895035"</f>
        <v>1551603901895035</v>
      </c>
      <c r="C259" t="s">
        <v>40</v>
      </c>
      <c r="D259">
        <v>5.6538089999999999</v>
      </c>
      <c r="E259">
        <v>0.50876350000000004</v>
      </c>
      <c r="F259" t="s">
        <v>41</v>
      </c>
      <c r="G259">
        <v>-382.37209999999999</v>
      </c>
      <c r="H259" s="1">
        <v>-4.085372E-6</v>
      </c>
      <c r="I259">
        <v>364.93299999999999</v>
      </c>
      <c r="J259">
        <v>-420.28769999999997</v>
      </c>
      <c r="K259">
        <v>1.0714399999999999</v>
      </c>
      <c r="L259">
        <v>367.05560000000003</v>
      </c>
      <c r="M259">
        <v>0.99987729999999997</v>
      </c>
      <c r="N259">
        <v>-1.4605730000000001E-2</v>
      </c>
      <c r="O259">
        <v>5.672954E-3</v>
      </c>
      <c r="P259">
        <v>0.985572</v>
      </c>
      <c r="Q259">
        <v>0.16425310000000001</v>
      </c>
      <c r="R259">
        <v>-4.0855000000000002E-2</v>
      </c>
      <c r="S259">
        <v>3.0512079999999999</v>
      </c>
      <c r="T259">
        <v>-8.5750820000000005E-2</v>
      </c>
      <c r="U259">
        <v>-0.169799799999999</v>
      </c>
      <c r="V259">
        <v>4.6520300000000001E-2</v>
      </c>
      <c r="W259">
        <v>0.1786075</v>
      </c>
      <c r="X259">
        <v>0.98282000000000003</v>
      </c>
      <c r="Y259">
        <v>6.1190799999999997E-2</v>
      </c>
      <c r="Z259">
        <v>-1.3828829999999999E-3</v>
      </c>
      <c r="AA259">
        <v>0.99812509999999999</v>
      </c>
      <c r="AB259">
        <v>23</v>
      </c>
      <c r="AC259">
        <v>37.915599999999898</v>
      </c>
      <c r="AD259">
        <v>-1.071444085372</v>
      </c>
      <c r="AE259">
        <v>-2.1225999999999701</v>
      </c>
      <c r="AF259">
        <v>2.3358227766070501</v>
      </c>
      <c r="AG259">
        <v>-1.071444085372</v>
      </c>
      <c r="AH259">
        <v>37.872798152704704</v>
      </c>
      <c r="AI259">
        <v>91.617427916252794</v>
      </c>
      <c r="AJ259">
        <v>86.470726071335505</v>
      </c>
      <c r="AK259">
        <v>37.959885410618703</v>
      </c>
      <c r="AL259">
        <v>79.711338514216393</v>
      </c>
      <c r="AM259">
        <v>87.290013494445603</v>
      </c>
      <c r="AN259">
        <v>0.99999996488416898</v>
      </c>
    </row>
    <row r="260" spans="1:40" x14ac:dyDescent="0.25">
      <c r="A260" t="str">
        <f>"20190303170501930"</f>
        <v>20190303170501930</v>
      </c>
      <c r="B260" t="str">
        <f>"1551603901914555"</f>
        <v>1551603901914555</v>
      </c>
      <c r="C260" t="s">
        <v>40</v>
      </c>
      <c r="D260">
        <v>5.5361390000000004</v>
      </c>
      <c r="E260">
        <v>0.5087216</v>
      </c>
      <c r="F260" t="s">
        <v>41</v>
      </c>
      <c r="G260">
        <v>-382.41449999999998</v>
      </c>
      <c r="H260" s="1">
        <v>-4.0661559999999998E-6</v>
      </c>
      <c r="I260">
        <v>364.93880000000001</v>
      </c>
      <c r="J260">
        <v>-420.05889999999999</v>
      </c>
      <c r="K260">
        <v>1.0714410000000001</v>
      </c>
      <c r="L260">
        <v>367.0566</v>
      </c>
      <c r="M260">
        <v>0.99987879999999996</v>
      </c>
      <c r="N260">
        <v>-1.4599920000000001E-2</v>
      </c>
      <c r="O260">
        <v>5.4156530000000003E-3</v>
      </c>
      <c r="P260">
        <v>0.9857397</v>
      </c>
      <c r="Q260">
        <v>0.16318199999999999</v>
      </c>
      <c r="R260">
        <v>-4.1098639999999999E-2</v>
      </c>
      <c r="S260">
        <v>3.0512079999999999</v>
      </c>
      <c r="T260">
        <v>-8.6319450000000006E-2</v>
      </c>
      <c r="U260">
        <v>-0.17053219999999999</v>
      </c>
      <c r="V260">
        <v>4.651048E-2</v>
      </c>
      <c r="W260">
        <v>0.17753389999999999</v>
      </c>
      <c r="X260">
        <v>0.98301499999999997</v>
      </c>
      <c r="Y260">
        <v>6.1172410000000003E-2</v>
      </c>
      <c r="Z260">
        <v>-1.385573E-3</v>
      </c>
      <c r="AA260">
        <v>0.99812630000000002</v>
      </c>
      <c r="AB260">
        <v>23</v>
      </c>
      <c r="AC260">
        <v>37.644399999999997</v>
      </c>
      <c r="AD260">
        <v>-1.071445066156</v>
      </c>
      <c r="AE260">
        <v>-2.1177999999999799</v>
      </c>
      <c r="AF260">
        <v>2.3197863336574698</v>
      </c>
      <c r="AG260">
        <v>-1.071445066156</v>
      </c>
      <c r="AH260">
        <v>37.602012029765</v>
      </c>
      <c r="AI260">
        <v>91.629069086847693</v>
      </c>
      <c r="AJ260">
        <v>86.469717504690095</v>
      </c>
      <c r="AK260">
        <v>37.688734548273203</v>
      </c>
      <c r="AL260">
        <v>79.773850718071003</v>
      </c>
      <c r="AM260">
        <v>87.291121358898806</v>
      </c>
      <c r="AN260">
        <v>1.00000000031202</v>
      </c>
    </row>
    <row r="261" spans="1:40" x14ac:dyDescent="0.25">
      <c r="A261" t="str">
        <f>"20190303170501952"</f>
        <v>20190303170501952</v>
      </c>
      <c r="B261" t="str">
        <f>"1551603901944811"</f>
        <v>1551603901944811</v>
      </c>
      <c r="C261" t="s">
        <v>40</v>
      </c>
      <c r="D261">
        <v>5.3502939999999999</v>
      </c>
      <c r="E261">
        <v>0.50875099999999995</v>
      </c>
      <c r="F261" t="s">
        <v>41</v>
      </c>
      <c r="G261">
        <v>-383.60640000000001</v>
      </c>
      <c r="H261" s="1">
        <v>-3.5414500000000002E-6</v>
      </c>
      <c r="I261">
        <v>365.01440000000002</v>
      </c>
      <c r="J261">
        <v>-419.82560000000001</v>
      </c>
      <c r="K261">
        <v>1.0714360000000001</v>
      </c>
      <c r="L261">
        <v>367.0575</v>
      </c>
      <c r="M261">
        <v>0.99988030000000006</v>
      </c>
      <c r="N261">
        <v>-1.4594019999999999E-2</v>
      </c>
      <c r="O261">
        <v>5.15323E-3</v>
      </c>
      <c r="P261">
        <v>0.98577420000000004</v>
      </c>
      <c r="Q261">
        <v>0.16279089999999999</v>
      </c>
      <c r="R261">
        <v>-4.1819759999999997E-2</v>
      </c>
      <c r="S261">
        <v>3.0511170000000001</v>
      </c>
      <c r="T261">
        <v>-8.9681029999999995E-2</v>
      </c>
      <c r="U261">
        <v>-0.170929</v>
      </c>
      <c r="V261">
        <v>4.6972630000000001E-2</v>
      </c>
      <c r="W261">
        <v>0.1771374</v>
      </c>
      <c r="X261">
        <v>0.98306450000000001</v>
      </c>
      <c r="Y261">
        <v>6.1039110000000001E-2</v>
      </c>
      <c r="Z261">
        <v>-1.4182610000000001E-3</v>
      </c>
      <c r="AA261">
        <v>0.99813439999999998</v>
      </c>
      <c r="AB261">
        <v>23</v>
      </c>
      <c r="AC261">
        <v>36.219200000000001</v>
      </c>
      <c r="AD261">
        <v>-1.07143954145</v>
      </c>
      <c r="AE261">
        <v>-2.0430999999999799</v>
      </c>
      <c r="AF261">
        <v>2.2277952394896201</v>
      </c>
      <c r="AG261">
        <v>-1.07143954145</v>
      </c>
      <c r="AH261">
        <v>36.176631545620801</v>
      </c>
      <c r="AI261">
        <v>91.693221628008104</v>
      </c>
      <c r="AJ261">
        <v>86.4761152490033</v>
      </c>
      <c r="AK261">
        <v>36.260994530041202</v>
      </c>
      <c r="AL261">
        <v>79.796933829471399</v>
      </c>
      <c r="AM261">
        <v>87.264382902034697</v>
      </c>
      <c r="AN261">
        <v>0.99999994880406196</v>
      </c>
    </row>
    <row r="262" spans="1:40" x14ac:dyDescent="0.25">
      <c r="A262" t="str">
        <f>"20190303170501974"</f>
        <v>20190303170501974</v>
      </c>
      <c r="B262" t="str">
        <f>"1551603901964330"</f>
        <v>1551603901964330</v>
      </c>
      <c r="C262" t="s">
        <v>40</v>
      </c>
      <c r="D262">
        <v>5.3524560000000001</v>
      </c>
      <c r="E262">
        <v>0.52492620000000001</v>
      </c>
      <c r="F262" t="s">
        <v>41</v>
      </c>
      <c r="G262">
        <v>-384.06760000000003</v>
      </c>
      <c r="H262" s="1">
        <v>-3.341342E-6</v>
      </c>
      <c r="I262">
        <v>365.02710000000002</v>
      </c>
      <c r="J262">
        <v>-419.61340000000001</v>
      </c>
      <c r="K262">
        <v>1.0714399999999999</v>
      </c>
      <c r="L262">
        <v>367.05829999999997</v>
      </c>
      <c r="M262">
        <v>0.99988149999999998</v>
      </c>
      <c r="N262">
        <v>-1.458867E-2</v>
      </c>
      <c r="O262">
        <v>4.9148799999999999E-3</v>
      </c>
      <c r="P262">
        <v>0.98578639999999995</v>
      </c>
      <c r="Q262">
        <v>0.16256999999999999</v>
      </c>
      <c r="R262">
        <v>-4.23843E-2</v>
      </c>
      <c r="S262">
        <v>3.0511170000000001</v>
      </c>
      <c r="T262">
        <v>-9.1422320000000001E-2</v>
      </c>
      <c r="U262">
        <v>-0.17324829999999999</v>
      </c>
      <c r="V262">
        <v>4.7301610000000001E-2</v>
      </c>
      <c r="W262">
        <v>0.1769116</v>
      </c>
      <c r="X262">
        <v>0.9830894</v>
      </c>
      <c r="Y262">
        <v>6.1555850000000002E-2</v>
      </c>
      <c r="Z262">
        <v>-1.446295E-3</v>
      </c>
      <c r="AA262">
        <v>0.99810259999999995</v>
      </c>
      <c r="AB262">
        <v>22</v>
      </c>
      <c r="AC262">
        <v>35.5457999999999</v>
      </c>
      <c r="AD262">
        <v>-1.0714433413419999</v>
      </c>
      <c r="AE262">
        <v>-2.0311999999999499</v>
      </c>
      <c r="AF262">
        <v>2.2039014999050899</v>
      </c>
      <c r="AG262">
        <v>-1.0714433413419999</v>
      </c>
      <c r="AH262">
        <v>35.503233976075798</v>
      </c>
      <c r="AI262">
        <v>91.725271644146403</v>
      </c>
      <c r="AJ262">
        <v>86.447860728863105</v>
      </c>
      <c r="AK262">
        <v>35.587705677873899</v>
      </c>
      <c r="AL262">
        <v>79.810078964000297</v>
      </c>
      <c r="AM262">
        <v>87.245322664957698</v>
      </c>
      <c r="AN262">
        <v>0.99999996245775502</v>
      </c>
    </row>
    <row r="263" spans="1:40" x14ac:dyDescent="0.25">
      <c r="A263" t="str">
        <f>"20190303170501996"</f>
        <v>20190303170501996</v>
      </c>
      <c r="B263" t="str">
        <f>"1551603901984827"</f>
        <v>1551603901984827</v>
      </c>
      <c r="C263" t="s">
        <v>40</v>
      </c>
      <c r="D263">
        <v>5.3566149999999997</v>
      </c>
      <c r="E263">
        <v>0.52933280000000005</v>
      </c>
      <c r="F263" t="s">
        <v>42</v>
      </c>
      <c r="G263">
        <v>-418.78359999999998</v>
      </c>
      <c r="H263">
        <v>1.001609</v>
      </c>
      <c r="I263">
        <v>366.97750000000002</v>
      </c>
      <c r="J263">
        <v>-419.3861</v>
      </c>
      <c r="K263">
        <v>1.071448</v>
      </c>
      <c r="L263">
        <v>367.0591</v>
      </c>
      <c r="M263">
        <v>0.99988279999999996</v>
      </c>
      <c r="N263">
        <v>-1.4582970000000001E-2</v>
      </c>
      <c r="O263">
        <v>4.6601409999999996E-3</v>
      </c>
      <c r="P263">
        <v>0.98568679999999997</v>
      </c>
      <c r="Q263">
        <v>0.16310810000000001</v>
      </c>
      <c r="R263">
        <v>-4.2631099999999998E-2</v>
      </c>
      <c r="S263">
        <v>3.0731199999999999</v>
      </c>
      <c r="T263">
        <v>-0.25891629999999999</v>
      </c>
      <c r="U263">
        <v>-0.29818729999999999</v>
      </c>
      <c r="V263">
        <v>4.7296989999999997E-2</v>
      </c>
      <c r="W263">
        <v>0.1774424</v>
      </c>
      <c r="X263">
        <v>0.98299400000000003</v>
      </c>
      <c r="Y263">
        <v>0.10078810000000001</v>
      </c>
      <c r="Z263">
        <v>-5.2899189999999997E-3</v>
      </c>
      <c r="AA263">
        <v>0.99489380000000005</v>
      </c>
      <c r="AB263">
        <v>22</v>
      </c>
      <c r="AC263">
        <v>0.60250000000002002</v>
      </c>
      <c r="AD263">
        <v>-6.9838999999999901E-2</v>
      </c>
      <c r="AE263">
        <v>-8.1599999999980299E-2</v>
      </c>
      <c r="AF263">
        <v>8.3307953240897403E-2</v>
      </c>
      <c r="AG263">
        <v>-6.9838999999999901E-2</v>
      </c>
      <c r="AH263">
        <v>0.59427211566650595</v>
      </c>
      <c r="AI263">
        <v>96.638346960882501</v>
      </c>
      <c r="AJ263">
        <v>82.020001787303002</v>
      </c>
      <c r="AK263">
        <v>0.60413330354561101</v>
      </c>
      <c r="AL263">
        <v>79.779177933558401</v>
      </c>
      <c r="AM263">
        <v>87.245324398098006</v>
      </c>
      <c r="AN263">
        <v>1.0000000073084101</v>
      </c>
    </row>
    <row r="264" spans="1:40" x14ac:dyDescent="0.25">
      <c r="A264" t="str">
        <f>"20190303170502018"</f>
        <v>20190303170502018</v>
      </c>
      <c r="B264" t="str">
        <f>"1551603902004347"</f>
        <v>1551603902004347</v>
      </c>
      <c r="C264" t="s">
        <v>40</v>
      </c>
      <c r="D264">
        <v>5.3563340000000004</v>
      </c>
      <c r="E264">
        <v>0.53140810000000005</v>
      </c>
      <c r="F264" t="s">
        <v>42</v>
      </c>
      <c r="G264">
        <v>-418.60019999999997</v>
      </c>
      <c r="H264">
        <v>0.9756418</v>
      </c>
      <c r="I264">
        <v>366.9751</v>
      </c>
      <c r="J264">
        <v>-419.16489999999999</v>
      </c>
      <c r="K264">
        <v>1.0714490000000001</v>
      </c>
      <c r="L264">
        <v>367.0598</v>
      </c>
      <c r="M264">
        <v>0.99988410000000005</v>
      </c>
      <c r="N264">
        <v>-1.457745E-2</v>
      </c>
      <c r="O264">
        <v>4.4129640000000001E-3</v>
      </c>
      <c r="P264">
        <v>0.98567629999999995</v>
      </c>
      <c r="Q264">
        <v>0.1631146</v>
      </c>
      <c r="R264">
        <v>-4.2849909999999998E-2</v>
      </c>
      <c r="S264">
        <v>3.091675</v>
      </c>
      <c r="T264">
        <v>-0.37692130000000001</v>
      </c>
      <c r="U264">
        <v>-0.32949830000000002</v>
      </c>
      <c r="V264">
        <v>4.727203E-2</v>
      </c>
      <c r="W264">
        <v>0.1774443</v>
      </c>
      <c r="X264">
        <v>0.9829949</v>
      </c>
      <c r="Y264">
        <v>0.1094396</v>
      </c>
      <c r="Z264">
        <v>-7.9018390000000008E-3</v>
      </c>
      <c r="AA264">
        <v>0.99396200000000001</v>
      </c>
      <c r="AB264">
        <v>22</v>
      </c>
      <c r="AC264">
        <v>0.56470000000001597</v>
      </c>
      <c r="AD264">
        <v>-9.5807199999999801E-2</v>
      </c>
      <c r="AE264">
        <v>-8.4699999999997999E-2</v>
      </c>
      <c r="AF264">
        <v>8.4804094511577305E-2</v>
      </c>
      <c r="AG264">
        <v>-9.5807199999999801E-2</v>
      </c>
      <c r="AH264">
        <v>0.54886929557609199</v>
      </c>
      <c r="AI264">
        <v>99.787583740059802</v>
      </c>
      <c r="AJ264">
        <v>81.216858660509601</v>
      </c>
      <c r="AK264">
        <v>0.56358518224307896</v>
      </c>
      <c r="AL264">
        <v>79.779067746117406</v>
      </c>
      <c r="AM264">
        <v>87.246778400190394</v>
      </c>
      <c r="AN264">
        <v>1.0000000489244001</v>
      </c>
    </row>
    <row r="265" spans="1:40" x14ac:dyDescent="0.25">
      <c r="A265" t="str">
        <f>"20190303170502042"</f>
        <v>20190303170502042</v>
      </c>
      <c r="B265" t="str">
        <f>"1551603902034602"</f>
        <v>1551603902034602</v>
      </c>
      <c r="C265" t="s">
        <v>40</v>
      </c>
      <c r="D265">
        <v>5.3630110000000002</v>
      </c>
      <c r="E265">
        <v>0.53292019999999996</v>
      </c>
      <c r="F265" t="s">
        <v>42</v>
      </c>
      <c r="G265">
        <v>-418.40949999999998</v>
      </c>
      <c r="H265">
        <v>0.95823610000000004</v>
      </c>
      <c r="I265">
        <v>366.97640000000001</v>
      </c>
      <c r="J265">
        <v>-418.93450000000001</v>
      </c>
      <c r="K265">
        <v>1.071442</v>
      </c>
      <c r="L265">
        <v>367.06060000000002</v>
      </c>
      <c r="M265">
        <v>0.99988529999999998</v>
      </c>
      <c r="N265">
        <v>-1.45717E-2</v>
      </c>
      <c r="O265">
        <v>4.1553069999999996E-3</v>
      </c>
      <c r="P265">
        <v>0.98578540000000003</v>
      </c>
      <c r="Q265">
        <v>0.16234119999999999</v>
      </c>
      <c r="R265">
        <v>-4.3273640000000002E-2</v>
      </c>
      <c r="S265">
        <v>3.1057429999999999</v>
      </c>
      <c r="T265">
        <v>-0.4654491</v>
      </c>
      <c r="U265">
        <v>-0.3424683</v>
      </c>
      <c r="V265">
        <v>4.7441480000000001E-2</v>
      </c>
      <c r="W265">
        <v>0.17666660000000001</v>
      </c>
      <c r="X265">
        <v>0.98312679999999997</v>
      </c>
      <c r="Y265">
        <v>0.1123347</v>
      </c>
      <c r="Z265">
        <v>-9.7293429999999997E-3</v>
      </c>
      <c r="AA265">
        <v>0.99362280000000003</v>
      </c>
      <c r="AB265">
        <v>22</v>
      </c>
      <c r="AC265">
        <v>0.525000000000034</v>
      </c>
      <c r="AD265">
        <v>-0.1132059</v>
      </c>
      <c r="AE265">
        <v>-8.4200000000009795E-2</v>
      </c>
      <c r="AF265">
        <v>8.2635153578769396E-2</v>
      </c>
      <c r="AG265">
        <v>-0.1132059</v>
      </c>
      <c r="AH265">
        <v>0.50189446153970596</v>
      </c>
      <c r="AI265">
        <v>102.54728784299</v>
      </c>
      <c r="AJ265">
        <v>80.650334710053301</v>
      </c>
      <c r="AK265">
        <v>0.52109710700216705</v>
      </c>
      <c r="AL265">
        <v>79.824341907231101</v>
      </c>
      <c r="AM265">
        <v>87.237294676018394</v>
      </c>
      <c r="AN265">
        <v>1.00000004322919</v>
      </c>
    </row>
    <row r="266" spans="1:40" x14ac:dyDescent="0.25">
      <c r="A266" t="str">
        <f>"20190303170502066"</f>
        <v>20190303170502066</v>
      </c>
      <c r="B266" t="str">
        <f>"1551603902055100"</f>
        <v>1551603902055100</v>
      </c>
      <c r="C266" t="s">
        <v>40</v>
      </c>
      <c r="D266">
        <v>5.3742970000000003</v>
      </c>
      <c r="E266">
        <v>0.53359389999999995</v>
      </c>
      <c r="F266" t="s">
        <v>42</v>
      </c>
      <c r="G266">
        <v>-418.21570000000003</v>
      </c>
      <c r="H266">
        <v>0.94757400000000003</v>
      </c>
      <c r="I266">
        <v>366.97899999999998</v>
      </c>
      <c r="J266">
        <v>-418.69740000000002</v>
      </c>
      <c r="K266">
        <v>1.0714399999999999</v>
      </c>
      <c r="L266">
        <v>367.06119999999999</v>
      </c>
      <c r="M266">
        <v>0.99988639999999995</v>
      </c>
      <c r="N266">
        <v>-1.456407E-2</v>
      </c>
      <c r="O266">
        <v>3.8904510000000001E-3</v>
      </c>
      <c r="P266">
        <v>0.98593299999999995</v>
      </c>
      <c r="Q266">
        <v>0.16119020000000001</v>
      </c>
      <c r="R266">
        <v>-4.4205010000000003E-2</v>
      </c>
      <c r="S266">
        <v>3.1162109999999998</v>
      </c>
      <c r="T266">
        <v>-0.53712869999999902</v>
      </c>
      <c r="U266">
        <v>-0.35308840000000002</v>
      </c>
      <c r="V266">
        <v>4.8111370000000001E-2</v>
      </c>
      <c r="W266">
        <v>0.17551050000000001</v>
      </c>
      <c r="X266">
        <v>0.98330119999999999</v>
      </c>
      <c r="Y266">
        <v>0.1145911</v>
      </c>
      <c r="Z266">
        <v>-1.122417E-2</v>
      </c>
      <c r="AA266">
        <v>0.99334929999999999</v>
      </c>
      <c r="AB266">
        <v>22</v>
      </c>
      <c r="AC266">
        <v>0.48169999999998903</v>
      </c>
      <c r="AD266">
        <v>-0.123865999999999</v>
      </c>
      <c r="AE266">
        <v>-8.2199999999943402E-2</v>
      </c>
      <c r="AF266">
        <v>7.8997856436151204E-2</v>
      </c>
      <c r="AG266">
        <v>-0.123865999999999</v>
      </c>
      <c r="AH266">
        <v>0.45231452606955602</v>
      </c>
      <c r="AI266">
        <v>105.097065933813</v>
      </c>
      <c r="AJ266">
        <v>80.093075060203702</v>
      </c>
      <c r="AK266">
        <v>0.475575312407019</v>
      </c>
      <c r="AL266">
        <v>79.891632021803503</v>
      </c>
      <c r="AM266">
        <v>87.198842163932497</v>
      </c>
      <c r="AN266">
        <v>0.99999994472748099</v>
      </c>
    </row>
    <row r="267" spans="1:40" x14ac:dyDescent="0.25">
      <c r="A267" t="str">
        <f>"20190303170502086"</f>
        <v>20190303170502086</v>
      </c>
      <c r="B267" t="str">
        <f>"1551603902074618"</f>
        <v>1551603902074618</v>
      </c>
      <c r="C267" t="s">
        <v>40</v>
      </c>
      <c r="D267">
        <v>5.3751059999999997</v>
      </c>
      <c r="E267">
        <v>0.53411560000000002</v>
      </c>
      <c r="F267" t="s">
        <v>42</v>
      </c>
      <c r="G267">
        <v>-417.83499999999998</v>
      </c>
      <c r="H267">
        <v>0.91423319999999997</v>
      </c>
      <c r="I267">
        <v>366.96199999999999</v>
      </c>
      <c r="J267">
        <v>-418.49250000000001</v>
      </c>
      <c r="K267">
        <v>1.071439</v>
      </c>
      <c r="L267">
        <v>367.06169999999997</v>
      </c>
      <c r="M267">
        <v>0.99988730000000003</v>
      </c>
      <c r="N267">
        <v>-1.4555709999999999E-2</v>
      </c>
      <c r="O267">
        <v>3.6610010000000001E-3</v>
      </c>
      <c r="P267">
        <v>0.98585659999999997</v>
      </c>
      <c r="Q267">
        <v>0.16153000000000001</v>
      </c>
      <c r="R267">
        <v>-4.4664200000000001E-2</v>
      </c>
      <c r="S267">
        <v>3.119659</v>
      </c>
      <c r="T267">
        <v>-0.56864440000000005</v>
      </c>
      <c r="U267">
        <v>-0.35980220000000002</v>
      </c>
      <c r="V267">
        <v>4.8344060000000001E-2</v>
      </c>
      <c r="W267">
        <v>0.175841</v>
      </c>
      <c r="X267">
        <v>0.98323079999999996</v>
      </c>
      <c r="Y267">
        <v>0.116117</v>
      </c>
      <c r="Z267">
        <v>-1.1924799999999999E-2</v>
      </c>
      <c r="AA267">
        <v>0.99316389999999999</v>
      </c>
      <c r="AB267">
        <v>22</v>
      </c>
      <c r="AC267">
        <v>0.65750000000002695</v>
      </c>
      <c r="AD267">
        <v>-0.15720579999999901</v>
      </c>
      <c r="AE267">
        <v>-9.9699999999984301E-2</v>
      </c>
      <c r="AF267">
        <v>9.6702740776431803E-2</v>
      </c>
      <c r="AG267">
        <v>-0.15720579999999901</v>
      </c>
      <c r="AH267">
        <v>0.62235219176203405</v>
      </c>
      <c r="AI267">
        <v>104.014897441918</v>
      </c>
      <c r="AJ267">
        <v>81.167857678807394</v>
      </c>
      <c r="AK267">
        <v>0.64914353899451405</v>
      </c>
      <c r="AL267">
        <v>79.872397242585095</v>
      </c>
      <c r="AM267">
        <v>87.185114926066404</v>
      </c>
      <c r="AN267">
        <v>1.0000000057434599</v>
      </c>
    </row>
    <row r="268" spans="1:40" x14ac:dyDescent="0.25">
      <c r="A268" t="str">
        <f>"20190303170502108"</f>
        <v>20190303170502108</v>
      </c>
      <c r="B268" t="str">
        <f>"1551603902095116"</f>
        <v>1551603902095116</v>
      </c>
      <c r="C268" t="s">
        <v>40</v>
      </c>
      <c r="D268">
        <v>5.34185</v>
      </c>
      <c r="E268">
        <v>0.53459499999999904</v>
      </c>
      <c r="F268" t="s">
        <v>42</v>
      </c>
      <c r="G268">
        <v>-417.6386</v>
      </c>
      <c r="H268">
        <v>0.91103800000000001</v>
      </c>
      <c r="I268">
        <v>366.96170000000001</v>
      </c>
      <c r="J268">
        <v>-418.2824</v>
      </c>
      <c r="K268">
        <v>1.071445</v>
      </c>
      <c r="L268">
        <v>367.06220000000002</v>
      </c>
      <c r="M268">
        <v>0.99988840000000001</v>
      </c>
      <c r="N268">
        <v>-1.454542E-2</v>
      </c>
      <c r="O268">
        <v>3.4258399999999999E-3</v>
      </c>
      <c r="P268">
        <v>0.98577740000000003</v>
      </c>
      <c r="Q268">
        <v>0.16186919999999999</v>
      </c>
      <c r="R268">
        <v>-4.5182720000000003E-2</v>
      </c>
      <c r="S268">
        <v>3.12262</v>
      </c>
      <c r="T268">
        <v>-0.58661529999999995</v>
      </c>
      <c r="U268">
        <v>-0.36529539999999999</v>
      </c>
      <c r="V268">
        <v>4.8630350000000003E-2</v>
      </c>
      <c r="W268">
        <v>0.1761691</v>
      </c>
      <c r="X268">
        <v>0.98315790000000003</v>
      </c>
      <c r="Y268">
        <v>0.1173564</v>
      </c>
      <c r="Z268">
        <v>-1.2342499999999999E-2</v>
      </c>
      <c r="AA268">
        <v>0.99301309999999998</v>
      </c>
      <c r="AB268">
        <v>22</v>
      </c>
      <c r="AC268">
        <v>0.64379999999999804</v>
      </c>
      <c r="AD268">
        <v>-0.16040699999999999</v>
      </c>
      <c r="AE268">
        <v>-0.10050000000001</v>
      </c>
      <c r="AF268">
        <v>9.6836682459823395E-2</v>
      </c>
      <c r="AG268">
        <v>-0.16040699999999999</v>
      </c>
      <c r="AH268">
        <v>0.60668541295711897</v>
      </c>
      <c r="AI268">
        <v>104.632908470551</v>
      </c>
      <c r="AJ268">
        <v>80.931178273038498</v>
      </c>
      <c r="AK268">
        <v>0.63496058067708006</v>
      </c>
      <c r="AL268">
        <v>79.853299907440103</v>
      </c>
      <c r="AM268">
        <v>87.168262817375606</v>
      </c>
      <c r="AN268">
        <v>0.99999995953416998</v>
      </c>
    </row>
    <row r="269" spans="1:40" x14ac:dyDescent="0.25">
      <c r="A269" t="str">
        <f>"20190303170502132"</f>
        <v>20190303170502132</v>
      </c>
      <c r="B269" t="str">
        <f>"1551603902124395"</f>
        <v>1551603902124395</v>
      </c>
      <c r="C269" t="s">
        <v>40</v>
      </c>
      <c r="D269">
        <v>5.3636850000000003</v>
      </c>
      <c r="E269">
        <v>0.53504110000000005</v>
      </c>
      <c r="F269" t="s">
        <v>42</v>
      </c>
      <c r="G269">
        <v>-417.44139999999999</v>
      </c>
      <c r="H269">
        <v>0.91051780000000004</v>
      </c>
      <c r="I269">
        <v>366.96260000000001</v>
      </c>
      <c r="J269">
        <v>-418.04790000000003</v>
      </c>
      <c r="K269">
        <v>1.0714459999999999</v>
      </c>
      <c r="L269">
        <v>367.06270000000001</v>
      </c>
      <c r="M269">
        <v>0.99988949999999999</v>
      </c>
      <c r="N269">
        <v>-1.452867E-2</v>
      </c>
      <c r="O269">
        <v>3.1630740000000001E-3</v>
      </c>
      <c r="P269">
        <v>0.98571880000000001</v>
      </c>
      <c r="Q269">
        <v>0.16209089999999901</v>
      </c>
      <c r="R269">
        <v>-4.5664980000000001E-2</v>
      </c>
      <c r="S269">
        <v>3.1245120000000002</v>
      </c>
      <c r="T269">
        <v>-0.59795339999999997</v>
      </c>
      <c r="U269">
        <v>-0.36923220000000001</v>
      </c>
      <c r="V269">
        <v>4.8853290000000001E-2</v>
      </c>
      <c r="W269">
        <v>0.17637329999999901</v>
      </c>
      <c r="X269">
        <v>0.98311020000000005</v>
      </c>
      <c r="Y269">
        <v>0.1181681</v>
      </c>
      <c r="Z269">
        <v>-1.258983E-2</v>
      </c>
      <c r="AA269">
        <v>0.99291379999999996</v>
      </c>
      <c r="AB269">
        <v>22</v>
      </c>
      <c r="AC269">
        <v>0.60650000000003901</v>
      </c>
      <c r="AD269">
        <v>-0.16092819999999899</v>
      </c>
      <c r="AE269">
        <v>-0.100099999999997</v>
      </c>
      <c r="AF269">
        <v>9.5474485264716899E-2</v>
      </c>
      <c r="AG269">
        <v>-0.16092819999999899</v>
      </c>
      <c r="AH269">
        <v>0.56729883756379396</v>
      </c>
      <c r="AI269">
        <v>105.628457465319</v>
      </c>
      <c r="AJ269">
        <v>80.446835648954206</v>
      </c>
      <c r="AK269">
        <v>0.59736189533065698</v>
      </c>
      <c r="AL269">
        <v>79.841413641547106</v>
      </c>
      <c r="AM269">
        <v>87.155164536572101</v>
      </c>
      <c r="AN269">
        <v>0.99999992512037394</v>
      </c>
    </row>
    <row r="270" spans="1:40" x14ac:dyDescent="0.25">
      <c r="A270" t="str">
        <f>"20190303170502154"</f>
        <v>20190303170502154</v>
      </c>
      <c r="B270" t="str">
        <f>"1551603902144891"</f>
        <v>1551603902144891</v>
      </c>
      <c r="C270" t="s">
        <v>40</v>
      </c>
      <c r="D270">
        <v>5.3785410000000002</v>
      </c>
      <c r="E270">
        <v>0.53515889999999999</v>
      </c>
      <c r="F270" t="s">
        <v>42</v>
      </c>
      <c r="G270">
        <v>-417.24270000000001</v>
      </c>
      <c r="H270">
        <v>0.91377830000000004</v>
      </c>
      <c r="I270">
        <v>366.96640000000002</v>
      </c>
      <c r="J270">
        <v>-417.81939999999997</v>
      </c>
      <c r="K270">
        <v>1.0714410000000001</v>
      </c>
      <c r="L270">
        <v>367.06310000000002</v>
      </c>
      <c r="M270">
        <v>0.99989059999999996</v>
      </c>
      <c r="N270">
        <v>-1.450778E-2</v>
      </c>
      <c r="O270">
        <v>2.9082719999999999E-3</v>
      </c>
      <c r="P270">
        <v>0.98574600000000001</v>
      </c>
      <c r="Q270">
        <v>0.16182489999999999</v>
      </c>
      <c r="R270">
        <v>-4.6014949999999999E-2</v>
      </c>
      <c r="S270">
        <v>3.1268919999999998</v>
      </c>
      <c r="T270">
        <v>-0.61234440000000001</v>
      </c>
      <c r="U270">
        <v>-0.37319950000000002</v>
      </c>
      <c r="V270">
        <v>4.8951759999999997E-2</v>
      </c>
      <c r="W270">
        <v>0.17608740000000001</v>
      </c>
      <c r="X270">
        <v>0.98315660000000005</v>
      </c>
      <c r="Y270">
        <v>0.118953</v>
      </c>
      <c r="Z270">
        <v>-1.28933E-2</v>
      </c>
      <c r="AA270">
        <v>0.99281620000000004</v>
      </c>
      <c r="AB270">
        <v>22</v>
      </c>
      <c r="AC270">
        <v>0.57669999999995902</v>
      </c>
      <c r="AD270">
        <v>-0.15766269999999899</v>
      </c>
      <c r="AE270">
        <v>-9.6699999999998398E-2</v>
      </c>
      <c r="AF270">
        <v>9.1709939246075095E-2</v>
      </c>
      <c r="AG270">
        <v>-0.15766269999999899</v>
      </c>
      <c r="AH270">
        <v>0.53735244251994696</v>
      </c>
      <c r="AI270">
        <v>106.13116117894801</v>
      </c>
      <c r="AJ270">
        <v>80.314649122767705</v>
      </c>
      <c r="AK270">
        <v>0.56746443713237305</v>
      </c>
      <c r="AL270">
        <v>79.858055458026001</v>
      </c>
      <c r="AM270">
        <v>87.149574168107506</v>
      </c>
      <c r="AN270">
        <v>0.99999997368470805</v>
      </c>
    </row>
    <row r="271" spans="1:40" x14ac:dyDescent="0.25">
      <c r="A271" t="str">
        <f>"20190303170502177"</f>
        <v>20190303170502177</v>
      </c>
      <c r="B271" t="str">
        <f>"1551603902164411"</f>
        <v>1551603902164411</v>
      </c>
      <c r="C271" t="s">
        <v>40</v>
      </c>
      <c r="D271">
        <v>5.3853150000000003</v>
      </c>
      <c r="E271">
        <v>0.53555920000000001</v>
      </c>
      <c r="F271" t="s">
        <v>42</v>
      </c>
      <c r="G271">
        <v>-417.04410000000001</v>
      </c>
      <c r="H271">
        <v>0.91749369999999997</v>
      </c>
      <c r="I271">
        <v>366.97030000000001</v>
      </c>
      <c r="J271">
        <v>-417.60579999999999</v>
      </c>
      <c r="K271">
        <v>1.0714349999999999</v>
      </c>
      <c r="L271">
        <v>367.0634</v>
      </c>
      <c r="M271">
        <v>0.99989150000000004</v>
      </c>
      <c r="N271">
        <v>-1.448702E-2</v>
      </c>
      <c r="O271">
        <v>2.6736379999999999E-3</v>
      </c>
      <c r="P271">
        <v>0.985873</v>
      </c>
      <c r="Q271">
        <v>0.16095770000000001</v>
      </c>
      <c r="R271">
        <v>-4.6336870000000002E-2</v>
      </c>
      <c r="S271">
        <v>3.1278990000000002</v>
      </c>
      <c r="T271">
        <v>-0.62122250000000001</v>
      </c>
      <c r="U271">
        <v>-0.37390139999999999</v>
      </c>
      <c r="V271">
        <v>4.9041399999999999E-2</v>
      </c>
      <c r="W271">
        <v>0.1752021</v>
      </c>
      <c r="X271">
        <v>0.98331029999999997</v>
      </c>
      <c r="Y271">
        <v>0.1188418</v>
      </c>
      <c r="Z271">
        <v>-1.3005569999999999E-2</v>
      </c>
      <c r="AA271">
        <v>0.99282800000000004</v>
      </c>
      <c r="AB271">
        <v>22</v>
      </c>
      <c r="AC271">
        <v>0.561699999999973</v>
      </c>
      <c r="AD271">
        <v>-0.1539413</v>
      </c>
      <c r="AE271">
        <v>-9.3099999999992605E-2</v>
      </c>
      <c r="AF271">
        <v>8.8157113415802305E-2</v>
      </c>
      <c r="AG271">
        <v>-0.1539413</v>
      </c>
      <c r="AH271">
        <v>0.52320176199750701</v>
      </c>
      <c r="AI271">
        <v>106.1795321685</v>
      </c>
      <c r="AJ271">
        <v>80.435758802397402</v>
      </c>
      <c r="AK271">
        <v>0.55245785744144604</v>
      </c>
      <c r="AL271">
        <v>79.909580612729599</v>
      </c>
      <c r="AM271">
        <v>87.144808749439605</v>
      </c>
      <c r="AN271">
        <v>0.99999999042222998</v>
      </c>
    </row>
    <row r="272" spans="1:40" x14ac:dyDescent="0.25">
      <c r="A272" t="str">
        <f>"20190303170502197"</f>
        <v>20190303170502197</v>
      </c>
      <c r="B272" t="str">
        <f>"1551603902184907"</f>
        <v>1551603902184907</v>
      </c>
      <c r="C272" t="s">
        <v>40</v>
      </c>
      <c r="D272">
        <v>5.359934</v>
      </c>
      <c r="E272">
        <v>0.53613199999999905</v>
      </c>
      <c r="F272" t="s">
        <v>42</v>
      </c>
      <c r="G272">
        <v>-416.84719999999999</v>
      </c>
      <c r="H272">
        <v>0.91852829999999996</v>
      </c>
      <c r="I272">
        <v>366.97140000000002</v>
      </c>
      <c r="J272">
        <v>-417.40129999999999</v>
      </c>
      <c r="K272">
        <v>1.0714360000000001</v>
      </c>
      <c r="L272">
        <v>367.06369999999998</v>
      </c>
      <c r="M272">
        <v>0.99989249999999996</v>
      </c>
      <c r="N272">
        <v>-1.4465260000000001E-2</v>
      </c>
      <c r="O272">
        <v>2.4544749999999998E-3</v>
      </c>
      <c r="P272">
        <v>0.98587100000000005</v>
      </c>
      <c r="Q272">
        <v>0.16090019999999999</v>
      </c>
      <c r="R272">
        <v>-4.6578929999999998E-2</v>
      </c>
      <c r="S272">
        <v>3.1282350000000001</v>
      </c>
      <c r="T272">
        <v>-0.63071630000000001</v>
      </c>
      <c r="U272">
        <v>-0.37741089999999999</v>
      </c>
      <c r="V272">
        <v>4.9065650000000002E-2</v>
      </c>
      <c r="W272">
        <v>0.17512420000000001</v>
      </c>
      <c r="X272">
        <v>0.98332299999999995</v>
      </c>
      <c r="Y272">
        <v>0.11962390000000001</v>
      </c>
      <c r="Z272">
        <v>-1.322801E-2</v>
      </c>
      <c r="AA272">
        <v>0.99273120000000004</v>
      </c>
      <c r="AB272">
        <v>22</v>
      </c>
      <c r="AC272">
        <v>0.55410000000000503</v>
      </c>
      <c r="AD272">
        <v>-0.15290769999999901</v>
      </c>
      <c r="AE272">
        <v>-9.2299999999966006E-2</v>
      </c>
      <c r="AF272">
        <v>8.7198790241777402E-2</v>
      </c>
      <c r="AG272">
        <v>-0.15290769999999901</v>
      </c>
      <c r="AH272">
        <v>0.515663087235253</v>
      </c>
      <c r="AI272">
        <v>106.297631887812</v>
      </c>
      <c r="AJ272">
        <v>80.402062401964798</v>
      </c>
      <c r="AK272">
        <v>0.54487871428044599</v>
      </c>
      <c r="AL272">
        <v>79.914114374276906</v>
      </c>
      <c r="AM272">
        <v>87.143436084866494</v>
      </c>
      <c r="AN272">
        <v>1.0000000228822801</v>
      </c>
    </row>
    <row r="273" spans="1:40" x14ac:dyDescent="0.25">
      <c r="A273" t="str">
        <f>"20190303170502220"</f>
        <v>20190303170502220</v>
      </c>
      <c r="B273" t="str">
        <f>"1551603902204427"</f>
        <v>1551603902204427</v>
      </c>
      <c r="C273" t="s">
        <v>40</v>
      </c>
      <c r="D273">
        <v>5.3484020000000001</v>
      </c>
      <c r="E273">
        <v>0.53660929999999996</v>
      </c>
      <c r="F273" t="s">
        <v>42</v>
      </c>
      <c r="G273">
        <v>-416.65100000000001</v>
      </c>
      <c r="H273">
        <v>0.91868229999999995</v>
      </c>
      <c r="I273">
        <v>366.9717</v>
      </c>
      <c r="J273">
        <v>-417.178</v>
      </c>
      <c r="K273">
        <v>1.071437</v>
      </c>
      <c r="L273">
        <v>367.06400000000002</v>
      </c>
      <c r="M273">
        <v>0.99989340000000004</v>
      </c>
      <c r="N273">
        <v>-1.443767E-2</v>
      </c>
      <c r="O273">
        <v>2.2237680000000001E-3</v>
      </c>
      <c r="P273">
        <v>0.98581110000000005</v>
      </c>
      <c r="Q273">
        <v>0.1612287</v>
      </c>
      <c r="R273">
        <v>-4.6711589999999997E-2</v>
      </c>
      <c r="S273">
        <v>3.1289370000000001</v>
      </c>
      <c r="T273">
        <v>-0.63723640000000004</v>
      </c>
      <c r="U273">
        <v>-0.38235469999999999</v>
      </c>
      <c r="V273">
        <v>4.8968480000000002E-2</v>
      </c>
      <c r="W273">
        <v>0.1754251</v>
      </c>
      <c r="X273">
        <v>0.98327419999999999</v>
      </c>
      <c r="Y273">
        <v>0.12084209999999999</v>
      </c>
      <c r="Z273">
        <v>-1.3436490000000001E-2</v>
      </c>
      <c r="AA273">
        <v>0.99258080000000004</v>
      </c>
      <c r="AB273">
        <v>22</v>
      </c>
      <c r="AC273">
        <v>0.52700000000004299</v>
      </c>
      <c r="AD273">
        <v>-0.15275469999999899</v>
      </c>
      <c r="AE273">
        <v>-9.2300000000022905E-2</v>
      </c>
      <c r="AF273">
        <v>8.6426612578976006E-2</v>
      </c>
      <c r="AG273">
        <v>-0.15275469999999899</v>
      </c>
      <c r="AH273">
        <v>0.48708767186394503</v>
      </c>
      <c r="AI273">
        <v>107.15990866463</v>
      </c>
      <c r="AJ273">
        <v>79.938417039087199</v>
      </c>
      <c r="AK273">
        <v>0.51774313883991196</v>
      </c>
      <c r="AL273">
        <v>79.896602911115295</v>
      </c>
      <c r="AM273">
        <v>87.148942646622103</v>
      </c>
      <c r="AN273">
        <v>1.00000001506458</v>
      </c>
    </row>
    <row r="274" spans="1:40" x14ac:dyDescent="0.25">
      <c r="A274" t="str">
        <f>"20190303170502242"</f>
        <v>20190303170502242</v>
      </c>
      <c r="B274" t="str">
        <f>"1551603902234683"</f>
        <v>1551603902234683</v>
      </c>
      <c r="C274" t="s">
        <v>40</v>
      </c>
      <c r="D274">
        <v>5.3493240000000002</v>
      </c>
      <c r="E274">
        <v>0.53717209999999904</v>
      </c>
      <c r="F274" t="s">
        <v>42</v>
      </c>
      <c r="G274">
        <v>-416.45319999999998</v>
      </c>
      <c r="H274">
        <v>0.92276060000000004</v>
      </c>
      <c r="I274">
        <v>366.9742</v>
      </c>
      <c r="J274">
        <v>-416.95650000000001</v>
      </c>
      <c r="K274">
        <v>1.071434</v>
      </c>
      <c r="L274">
        <v>367.06420000000003</v>
      </c>
      <c r="M274">
        <v>0.99989430000000001</v>
      </c>
      <c r="N274">
        <v>-1.4404230000000001E-2</v>
      </c>
      <c r="O274">
        <v>2.0056029999999999E-3</v>
      </c>
      <c r="P274">
        <v>0.98576770000000002</v>
      </c>
      <c r="Q274">
        <v>0.1614543</v>
      </c>
      <c r="R274">
        <v>-4.6848760000000003E-2</v>
      </c>
      <c r="S274">
        <v>3.1298520000000001</v>
      </c>
      <c r="T274">
        <v>-0.64212230000000003</v>
      </c>
      <c r="U274">
        <v>-0.3859863</v>
      </c>
      <c r="V274">
        <v>4.8886949999999998E-2</v>
      </c>
      <c r="W274">
        <v>0.17561849999999901</v>
      </c>
      <c r="X274">
        <v>0.98324370000000005</v>
      </c>
      <c r="Y274">
        <v>0.1216739</v>
      </c>
      <c r="Z274">
        <v>-1.357394E-2</v>
      </c>
      <c r="AA274">
        <v>0.99247730000000001</v>
      </c>
      <c r="AB274">
        <v>22</v>
      </c>
      <c r="AC274">
        <v>0.50330000000002395</v>
      </c>
      <c r="AD274">
        <v>-0.14867340000000001</v>
      </c>
      <c r="AE274">
        <v>-9.0000000000031805E-2</v>
      </c>
      <c r="AF274">
        <v>8.3913941824318702E-2</v>
      </c>
      <c r="AG274">
        <v>-0.14867340000000001</v>
      </c>
      <c r="AH274">
        <v>0.46389361670658502</v>
      </c>
      <c r="AI274">
        <v>107.50382147641101</v>
      </c>
      <c r="AJ274">
        <v>79.746614071386304</v>
      </c>
      <c r="AK274">
        <v>0.49431024379550398</v>
      </c>
      <c r="AL274">
        <v>79.885346835448999</v>
      </c>
      <c r="AM274">
        <v>87.153593551092001</v>
      </c>
      <c r="AN274">
        <v>0.99999998250612099</v>
      </c>
    </row>
    <row r="275" spans="1:40" x14ac:dyDescent="0.25">
      <c r="A275" t="str">
        <f>"20190303170502265"</f>
        <v>20190303170502265</v>
      </c>
      <c r="B275" t="str">
        <f>"1551603902255179"</f>
        <v>1551603902255179</v>
      </c>
      <c r="C275" t="s">
        <v>40</v>
      </c>
      <c r="D275">
        <v>5.3298709999999998</v>
      </c>
      <c r="E275">
        <v>0.53742909999999999</v>
      </c>
      <c r="F275" t="s">
        <v>42</v>
      </c>
      <c r="G275">
        <v>-416.25599999999997</v>
      </c>
      <c r="H275">
        <v>0.92642020000000003</v>
      </c>
      <c r="I275">
        <v>366.97669999999999</v>
      </c>
      <c r="J275">
        <v>-416.73320000000001</v>
      </c>
      <c r="K275">
        <v>1.0714379999999999</v>
      </c>
      <c r="L275">
        <v>367.06439999999998</v>
      </c>
      <c r="M275">
        <v>0.99989530000000004</v>
      </c>
      <c r="N275">
        <v>-1.4365080000000001E-2</v>
      </c>
      <c r="O275">
        <v>1.8004449999999999E-3</v>
      </c>
      <c r="P275">
        <v>0.98580089999999998</v>
      </c>
      <c r="Q275">
        <v>0.16102929999999999</v>
      </c>
      <c r="R275">
        <v>-4.7608249999999998E-2</v>
      </c>
      <c r="S275">
        <v>3.13089</v>
      </c>
      <c r="T275">
        <v>-0.64810780000000001</v>
      </c>
      <c r="U275">
        <v>-0.39041140000000002</v>
      </c>
      <c r="V275">
        <v>4.9439829999999997E-2</v>
      </c>
      <c r="W275">
        <v>0.1751566</v>
      </c>
      <c r="X275">
        <v>0.98329849999999996</v>
      </c>
      <c r="Y275">
        <v>0.12274549999999999</v>
      </c>
      <c r="Z275">
        <v>-1.3760909999999999E-2</v>
      </c>
      <c r="AA275">
        <v>0.99234279999999997</v>
      </c>
      <c r="AB275">
        <v>22</v>
      </c>
      <c r="AC275">
        <v>0.47720000000003798</v>
      </c>
      <c r="AD275">
        <v>-0.145017799999999</v>
      </c>
      <c r="AE275">
        <v>-8.7699999999983902E-2</v>
      </c>
      <c r="AF275">
        <v>8.1296588505236397E-2</v>
      </c>
      <c r="AG275">
        <v>-0.145017799999999</v>
      </c>
      <c r="AH275">
        <v>0.43792024710859101</v>
      </c>
      <c r="AI275">
        <v>108.03464290882999</v>
      </c>
      <c r="AJ275">
        <v>79.483194280208096</v>
      </c>
      <c r="AK275">
        <v>0.468415884067865</v>
      </c>
      <c r="AL275">
        <v>79.912228978095001</v>
      </c>
      <c r="AM275">
        <v>87.121616515262602</v>
      </c>
      <c r="AN275">
        <v>1.00000003570811</v>
      </c>
    </row>
    <row r="276" spans="1:40" x14ac:dyDescent="0.25">
      <c r="A276" t="str">
        <f>"20190303170502289"</f>
        <v>20190303170502289</v>
      </c>
      <c r="B276" t="str">
        <f>"1551603902274698"</f>
        <v>1551603902274698</v>
      </c>
      <c r="C276" t="s">
        <v>40</v>
      </c>
      <c r="D276">
        <v>5.339073</v>
      </c>
      <c r="E276">
        <v>0.5377132</v>
      </c>
      <c r="F276" t="s">
        <v>42</v>
      </c>
      <c r="G276">
        <v>-415.88139999999999</v>
      </c>
      <c r="H276">
        <v>0.89382530000000004</v>
      </c>
      <c r="I276">
        <v>366.95699999999999</v>
      </c>
      <c r="J276">
        <v>-416.50889999999998</v>
      </c>
      <c r="K276">
        <v>1.071447</v>
      </c>
      <c r="L276">
        <v>367.06459999999998</v>
      </c>
      <c r="M276">
        <v>0.99989620000000001</v>
      </c>
      <c r="N276">
        <v>-1.4325060000000001E-2</v>
      </c>
      <c r="O276">
        <v>1.608585E-3</v>
      </c>
      <c r="P276">
        <v>0.98582150000000002</v>
      </c>
      <c r="Q276">
        <v>0.1607277</v>
      </c>
      <c r="R276">
        <v>-4.8195969999999998E-2</v>
      </c>
      <c r="S276">
        <v>3.130798</v>
      </c>
      <c r="T276">
        <v>-0.65272739999999996</v>
      </c>
      <c r="U276">
        <v>-0.39431759999999999</v>
      </c>
      <c r="V276">
        <v>4.9833959999999997E-2</v>
      </c>
      <c r="W276">
        <v>0.1748171</v>
      </c>
      <c r="X276">
        <v>0.98333899999999996</v>
      </c>
      <c r="Y276">
        <v>0.1237217</v>
      </c>
      <c r="Z276">
        <v>-1.3918750000000001E-2</v>
      </c>
      <c r="AA276">
        <v>0.99221930000000003</v>
      </c>
      <c r="AB276">
        <v>22</v>
      </c>
      <c r="AC276">
        <v>0.62749999999999695</v>
      </c>
      <c r="AD276">
        <v>-0.17762169999999999</v>
      </c>
      <c r="AE276">
        <v>-0.10759999999999</v>
      </c>
      <c r="AF276">
        <v>0.10076614493963899</v>
      </c>
      <c r="AG276">
        <v>-0.17762169999999999</v>
      </c>
      <c r="AH276">
        <v>0.58202383665775603</v>
      </c>
      <c r="AI276">
        <v>106.736347210215</v>
      </c>
      <c r="AJ276">
        <v>80.177712525726704</v>
      </c>
      <c r="AK276">
        <v>0.616810368520747</v>
      </c>
      <c r="AL276">
        <v>79.931985520157198</v>
      </c>
      <c r="AM276">
        <v>87.098828632664507</v>
      </c>
      <c r="AN276">
        <v>1.00000001547134</v>
      </c>
    </row>
    <row r="277" spans="1:40" x14ac:dyDescent="0.25">
      <c r="A277" t="str">
        <f>"20190303170502309"</f>
        <v>20190303170502309</v>
      </c>
      <c r="B277" t="str">
        <f>"1551603902304955"</f>
        <v>1551603902304955</v>
      </c>
      <c r="C277" t="s">
        <v>40</v>
      </c>
      <c r="D277">
        <v>5.3398560000000002</v>
      </c>
      <c r="E277">
        <v>0.53803699999999999</v>
      </c>
      <c r="F277" t="s">
        <v>42</v>
      </c>
      <c r="G277">
        <v>-415.68470000000002</v>
      </c>
      <c r="H277">
        <v>0.89856340000000001</v>
      </c>
      <c r="I277">
        <v>366.95960000000002</v>
      </c>
      <c r="J277">
        <v>-416.30279999999999</v>
      </c>
      <c r="K277">
        <v>1.0714539999999999</v>
      </c>
      <c r="L277">
        <v>367.06470000000002</v>
      </c>
      <c r="M277">
        <v>0.99989689999999998</v>
      </c>
      <c r="N277">
        <v>-1.4289019999999999E-2</v>
      </c>
      <c r="O277">
        <v>1.442519E-3</v>
      </c>
      <c r="P277">
        <v>0.98577179999999998</v>
      </c>
      <c r="Q277">
        <v>0.1609005</v>
      </c>
      <c r="R277">
        <v>-4.862996E-2</v>
      </c>
      <c r="S277">
        <v>3.130798</v>
      </c>
      <c r="T277">
        <v>-0.65674999999999994</v>
      </c>
      <c r="U277">
        <v>-0.397644</v>
      </c>
      <c r="V277">
        <v>5.0101159999999999E-2</v>
      </c>
      <c r="W277">
        <v>0.17495469999999999</v>
      </c>
      <c r="X277">
        <v>0.98330090000000003</v>
      </c>
      <c r="Y277">
        <v>0.12454610000000001</v>
      </c>
      <c r="Z277">
        <v>-1.405376E-2</v>
      </c>
      <c r="AA277">
        <v>0.9921143</v>
      </c>
      <c r="AB277">
        <v>22</v>
      </c>
      <c r="AC277">
        <v>0.61809999999996901</v>
      </c>
      <c r="AD277">
        <v>-0.17289060000000001</v>
      </c>
      <c r="AE277">
        <v>-0.105099999999993</v>
      </c>
      <c r="AF277">
        <v>9.85014704545875E-2</v>
      </c>
      <c r="AG277">
        <v>-0.17289060000000001</v>
      </c>
      <c r="AH277">
        <v>0.574279082593386</v>
      </c>
      <c r="AI277">
        <v>106.526866977818</v>
      </c>
      <c r="AJ277">
        <v>80.267223843861998</v>
      </c>
      <c r="AK277">
        <v>0.60777476416381104</v>
      </c>
      <c r="AL277">
        <v>79.923977720702396</v>
      </c>
      <c r="AM277">
        <v>87.083187086369094</v>
      </c>
      <c r="AN277">
        <v>0.99999996661312196</v>
      </c>
    </row>
    <row r="278" spans="1:40" x14ac:dyDescent="0.25">
      <c r="A278" t="str">
        <f>"20190303170502335"</f>
        <v>20190303170502335</v>
      </c>
      <c r="B278" t="str">
        <f>"1551603902324475"</f>
        <v>1551603902324475</v>
      </c>
      <c r="C278" t="s">
        <v>40</v>
      </c>
      <c r="D278">
        <v>5.3038749999999997</v>
      </c>
      <c r="E278">
        <v>0.5382943</v>
      </c>
      <c r="F278" t="s">
        <v>42</v>
      </c>
      <c r="G278">
        <v>-415.48970000000003</v>
      </c>
      <c r="H278">
        <v>0.90007320000000002</v>
      </c>
      <c r="I278">
        <v>366.96030000000002</v>
      </c>
      <c r="J278">
        <v>-416.06310000000002</v>
      </c>
      <c r="K278">
        <v>1.0714570000000001</v>
      </c>
      <c r="L278">
        <v>367.06479999999999</v>
      </c>
      <c r="M278">
        <v>0.9998977</v>
      </c>
      <c r="N278">
        <v>-1.424486E-2</v>
      </c>
      <c r="O278">
        <v>1.259675E-3</v>
      </c>
      <c r="P278">
        <v>0.98573849999999996</v>
      </c>
      <c r="Q278">
        <v>0.16117300000000001</v>
      </c>
      <c r="R278">
        <v>-4.8403870000000002E-2</v>
      </c>
      <c r="S278">
        <v>3.131256</v>
      </c>
      <c r="T278">
        <v>-0.66003990000000001</v>
      </c>
      <c r="U278">
        <v>-0.40158080000000002</v>
      </c>
      <c r="V278">
        <v>4.9692119999999999E-2</v>
      </c>
      <c r="W278">
        <v>0.17518429999999999</v>
      </c>
      <c r="X278">
        <v>0.98328079999999995</v>
      </c>
      <c r="Y278">
        <v>0.12552869999999999</v>
      </c>
      <c r="Z278">
        <v>-1.4186600000000001E-2</v>
      </c>
      <c r="AA278">
        <v>0.99198850000000005</v>
      </c>
      <c r="AB278">
        <v>22</v>
      </c>
      <c r="AC278">
        <v>0.57339999999999203</v>
      </c>
      <c r="AD278">
        <v>-0.171383799999999</v>
      </c>
      <c r="AE278">
        <v>-0.104499999999973</v>
      </c>
      <c r="AF278">
        <v>9.6848412344246904E-2</v>
      </c>
      <c r="AG278">
        <v>-0.171383799999999</v>
      </c>
      <c r="AH278">
        <v>0.52764567817810204</v>
      </c>
      <c r="AI278">
        <v>107.71720379654499</v>
      </c>
      <c r="AJ278">
        <v>79.5992322377882</v>
      </c>
      <c r="AK278">
        <v>0.56317136253193001</v>
      </c>
      <c r="AL278">
        <v>79.910616481017101</v>
      </c>
      <c r="AM278">
        <v>87.106901109689105</v>
      </c>
      <c r="AN278">
        <v>0.99999998870261197</v>
      </c>
    </row>
    <row r="279" spans="1:40" x14ac:dyDescent="0.25">
      <c r="A279" t="str">
        <f>"20190303170502353"</f>
        <v>20190303170502353</v>
      </c>
      <c r="B279" t="str">
        <f>"1551603902344971"</f>
        <v>1551603902344971</v>
      </c>
      <c r="C279" t="s">
        <v>40</v>
      </c>
      <c r="D279">
        <v>5.292783</v>
      </c>
      <c r="E279">
        <v>0.53850589999999998</v>
      </c>
      <c r="F279" t="s">
        <v>42</v>
      </c>
      <c r="G279">
        <v>-415.29169999999999</v>
      </c>
      <c r="H279">
        <v>0.90865370000000001</v>
      </c>
      <c r="I279">
        <v>366.96519999999998</v>
      </c>
      <c r="J279">
        <v>-415.87189999999998</v>
      </c>
      <c r="K279">
        <v>1.0714570000000001</v>
      </c>
      <c r="L279">
        <v>367.06490000000002</v>
      </c>
      <c r="M279">
        <v>0.99989850000000002</v>
      </c>
      <c r="N279">
        <v>-1.4206160000000001E-2</v>
      </c>
      <c r="O279">
        <v>1.1198810000000001E-3</v>
      </c>
      <c r="P279">
        <v>0.98569790000000002</v>
      </c>
      <c r="Q279">
        <v>0.16155929999999999</v>
      </c>
      <c r="R279">
        <v>-4.7943880000000001E-2</v>
      </c>
      <c r="S279">
        <v>3.1317140000000001</v>
      </c>
      <c r="T279">
        <v>-0.66104160000000001</v>
      </c>
      <c r="U279">
        <v>-0.40328979999999998</v>
      </c>
      <c r="V279">
        <v>4.9092950000000003E-2</v>
      </c>
      <c r="W279">
        <v>0.17553260000000001</v>
      </c>
      <c r="X279">
        <v>0.98324880000000003</v>
      </c>
      <c r="Y279">
        <v>0.12589159999999999</v>
      </c>
      <c r="Z279">
        <v>-1.4214879999999999E-2</v>
      </c>
      <c r="AA279">
        <v>0.9919422</v>
      </c>
      <c r="AB279">
        <v>22</v>
      </c>
      <c r="AC279">
        <v>0.58019999999998995</v>
      </c>
      <c r="AD279">
        <v>-0.16280329999999901</v>
      </c>
      <c r="AE279">
        <v>-9.97000000000412E-2</v>
      </c>
      <c r="AF279">
        <v>9.3220501983984905E-2</v>
      </c>
      <c r="AG279">
        <v>-0.16280329999999901</v>
      </c>
      <c r="AH279">
        <v>0.53887615776884101</v>
      </c>
      <c r="AI279">
        <v>106.577995861769</v>
      </c>
      <c r="AJ279">
        <v>80.185502341928199</v>
      </c>
      <c r="AK279">
        <v>0.57059836127765495</v>
      </c>
      <c r="AL279">
        <v>79.890346454139106</v>
      </c>
      <c r="AM279">
        <v>87.141634004674998</v>
      </c>
      <c r="AN279">
        <v>1.0000000070519499</v>
      </c>
    </row>
    <row r="280" spans="1:40" x14ac:dyDescent="0.25">
      <c r="A280" t="str">
        <f>"20190303170502376"</f>
        <v>20190303170502376</v>
      </c>
      <c r="B280" t="str">
        <f>"1551603902364491"</f>
        <v>1551603902364491</v>
      </c>
      <c r="C280" t="s">
        <v>40</v>
      </c>
      <c r="D280">
        <v>5.2915700000000001</v>
      </c>
      <c r="E280">
        <v>0.538688099999999</v>
      </c>
      <c r="F280" t="s">
        <v>42</v>
      </c>
      <c r="G280">
        <v>-415.09840000000003</v>
      </c>
      <c r="H280">
        <v>0.90800199999999998</v>
      </c>
      <c r="I280">
        <v>366.96539999999999</v>
      </c>
      <c r="J280">
        <v>-415.66309999999999</v>
      </c>
      <c r="K280">
        <v>1.07145</v>
      </c>
      <c r="L280">
        <v>367.065</v>
      </c>
      <c r="M280">
        <v>0.99989939999999999</v>
      </c>
      <c r="N280">
        <v>-1.416014E-2</v>
      </c>
      <c r="O280">
        <v>9.7075480000000005E-4</v>
      </c>
      <c r="P280">
        <v>0.98568900000000004</v>
      </c>
      <c r="Q280">
        <v>0.16167500000000001</v>
      </c>
      <c r="R280">
        <v>-4.773459E-2</v>
      </c>
      <c r="S280">
        <v>3.1324459999999998</v>
      </c>
      <c r="T280">
        <v>-0.66192479999999998</v>
      </c>
      <c r="U280">
        <v>-0.40280149999999998</v>
      </c>
      <c r="V280">
        <v>4.8736370000000001E-2</v>
      </c>
      <c r="W280">
        <v>0.1756035</v>
      </c>
      <c r="X280">
        <v>0.98325390000000001</v>
      </c>
      <c r="Y280">
        <v>0.12556689999999901</v>
      </c>
      <c r="Z280">
        <v>-1.4161419999999999E-2</v>
      </c>
      <c r="AA280">
        <v>0.99198410000000004</v>
      </c>
      <c r="AB280">
        <v>22</v>
      </c>
      <c r="AC280">
        <v>0.56469999999995901</v>
      </c>
      <c r="AD280">
        <v>-0.16344799999999901</v>
      </c>
      <c r="AE280">
        <v>-9.9600000000009403E-2</v>
      </c>
      <c r="AF280">
        <v>9.2622673923929102E-2</v>
      </c>
      <c r="AG280">
        <v>-0.16344799999999901</v>
      </c>
      <c r="AH280">
        <v>0.52217659976821995</v>
      </c>
      <c r="AI280">
        <v>107.12940008308</v>
      </c>
      <c r="AJ280">
        <v>79.941603858376894</v>
      </c>
      <c r="AK280">
        <v>0.55494378974299596</v>
      </c>
      <c r="AL280">
        <v>79.886220297966204</v>
      </c>
      <c r="AM280">
        <v>87.162375997064302</v>
      </c>
      <c r="AN280">
        <v>1.0000000274191101</v>
      </c>
    </row>
    <row r="281" spans="1:40" x14ac:dyDescent="0.25">
      <c r="A281" t="str">
        <f>"20190303170502397"</f>
        <v>20190303170502397</v>
      </c>
      <c r="B281" t="str">
        <f>"1551603902384988"</f>
        <v>1551603902384988</v>
      </c>
      <c r="C281" t="s">
        <v>40</v>
      </c>
      <c r="D281">
        <v>5.3004280000000001</v>
      </c>
      <c r="E281">
        <v>0.5388579</v>
      </c>
      <c r="F281" t="s">
        <v>42</v>
      </c>
      <c r="G281">
        <v>-414.90370000000001</v>
      </c>
      <c r="H281">
        <v>0.91066829999999999</v>
      </c>
      <c r="I281">
        <v>366.96719999999999</v>
      </c>
      <c r="J281">
        <v>-415.4504</v>
      </c>
      <c r="K281">
        <v>1.0714459999999999</v>
      </c>
      <c r="L281">
        <v>367.065</v>
      </c>
      <c r="M281">
        <v>0.99990009999999996</v>
      </c>
      <c r="N281">
        <v>-1.410964E-2</v>
      </c>
      <c r="O281">
        <v>8.2115759999999997E-4</v>
      </c>
      <c r="P281">
        <v>0.98571260000000005</v>
      </c>
      <c r="Q281">
        <v>0.161390899999999</v>
      </c>
      <c r="R281">
        <v>-4.8205909999999998E-2</v>
      </c>
      <c r="S281">
        <v>3.1329349999999998</v>
      </c>
      <c r="T281">
        <v>-0.663524</v>
      </c>
      <c r="U281">
        <v>-0.4016113</v>
      </c>
      <c r="V281">
        <v>4.9060260000000001E-2</v>
      </c>
      <c r="W281">
        <v>0.1752697</v>
      </c>
      <c r="X281">
        <v>0.98329730000000004</v>
      </c>
      <c r="Y281">
        <v>0.12503130000000001</v>
      </c>
      <c r="Z281">
        <v>-1.409911E-2</v>
      </c>
      <c r="AA281">
        <v>0.99205259999999995</v>
      </c>
      <c r="AB281">
        <v>22</v>
      </c>
      <c r="AC281">
        <v>0.54669999999998697</v>
      </c>
      <c r="AD281">
        <v>-0.160777699999999</v>
      </c>
      <c r="AE281">
        <v>-9.7800000000006507E-2</v>
      </c>
      <c r="AF281">
        <v>9.0651812199356099E-2</v>
      </c>
      <c r="AG281">
        <v>-0.160777699999999</v>
      </c>
      <c r="AH281">
        <v>0.50435199435426803</v>
      </c>
      <c r="AI281">
        <v>107.419402732321</v>
      </c>
      <c r="AJ281">
        <v>79.810502021503893</v>
      </c>
      <c r="AK281">
        <v>0.53706438541523605</v>
      </c>
      <c r="AL281">
        <v>79.905646422663494</v>
      </c>
      <c r="AM281">
        <v>87.1436748378907</v>
      </c>
      <c r="AN281">
        <v>0.99999997851832301</v>
      </c>
    </row>
    <row r="282" spans="1:40" x14ac:dyDescent="0.25">
      <c r="A282" t="str">
        <f>"20190303170502421"</f>
        <v>20190303170502421</v>
      </c>
      <c r="B282" t="str">
        <f>"1551603902415244"</f>
        <v>1551603902415244</v>
      </c>
      <c r="C282" t="s">
        <v>40</v>
      </c>
      <c r="D282">
        <v>5.2817449999999999</v>
      </c>
      <c r="E282">
        <v>0.53908900000000004</v>
      </c>
      <c r="F282" t="s">
        <v>42</v>
      </c>
      <c r="G282">
        <v>-414.709</v>
      </c>
      <c r="H282">
        <v>0.91388309999999995</v>
      </c>
      <c r="I282">
        <v>366.9692</v>
      </c>
      <c r="J282">
        <v>-415.22680000000003</v>
      </c>
      <c r="K282">
        <v>1.0714330000000001</v>
      </c>
      <c r="L282">
        <v>367.06490000000002</v>
      </c>
      <c r="M282">
        <v>0.99990100000000004</v>
      </c>
      <c r="N282">
        <v>-1.405343E-2</v>
      </c>
      <c r="O282">
        <v>6.6312969999999995E-4</v>
      </c>
      <c r="P282">
        <v>0.98562099999999997</v>
      </c>
      <c r="Q282">
        <v>0.16181039999999999</v>
      </c>
      <c r="R282">
        <v>-4.8669259999999999E-2</v>
      </c>
      <c r="S282">
        <v>3.1326900000000002</v>
      </c>
      <c r="T282">
        <v>-0.6658039</v>
      </c>
      <c r="U282">
        <v>-0.40463260000000001</v>
      </c>
      <c r="V282">
        <v>4.9367979999999999E-2</v>
      </c>
      <c r="W282">
        <v>0.1756326</v>
      </c>
      <c r="X282">
        <v>0.98321720000000001</v>
      </c>
      <c r="Y282">
        <v>0.12579199999999999</v>
      </c>
      <c r="Z282">
        <v>-1.4194500000000001E-2</v>
      </c>
      <c r="AA282">
        <v>0.99195509999999998</v>
      </c>
      <c r="AB282">
        <v>22</v>
      </c>
      <c r="AC282">
        <v>0.51780000000002202</v>
      </c>
      <c r="AD282">
        <v>-0.15754989999999999</v>
      </c>
      <c r="AE282">
        <v>-9.5700000000022101E-2</v>
      </c>
      <c r="AF282">
        <v>8.8151930501286405E-2</v>
      </c>
      <c r="AG282">
        <v>-0.15754989999999999</v>
      </c>
      <c r="AH282">
        <v>0.47519635488206502</v>
      </c>
      <c r="AI282">
        <v>108.05521154333201</v>
      </c>
      <c r="AJ282">
        <v>79.490734010344298</v>
      </c>
      <c r="AK282">
        <v>0.50833483997687501</v>
      </c>
      <c r="AL282">
        <v>79.884526746623095</v>
      </c>
      <c r="AM282">
        <v>87.125555334851995</v>
      </c>
      <c r="AN282">
        <v>1.00000003500393</v>
      </c>
    </row>
    <row r="283" spans="1:40" x14ac:dyDescent="0.25">
      <c r="A283" t="str">
        <f>"20190303170502443"</f>
        <v>20190303170502443</v>
      </c>
      <c r="B283" t="str">
        <f>"1551603902434763"</f>
        <v>1551603902434763</v>
      </c>
      <c r="C283" t="s">
        <v>40</v>
      </c>
      <c r="D283">
        <v>5.297593</v>
      </c>
      <c r="E283">
        <v>0.53924640000000001</v>
      </c>
      <c r="F283" t="s">
        <v>42</v>
      </c>
      <c r="G283">
        <v>-414.51330000000002</v>
      </c>
      <c r="H283">
        <v>0.91966389999999998</v>
      </c>
      <c r="I283">
        <v>366.97160000000002</v>
      </c>
      <c r="J283">
        <v>-415.0077</v>
      </c>
      <c r="K283">
        <v>1.071428</v>
      </c>
      <c r="L283">
        <v>367.06490000000002</v>
      </c>
      <c r="M283">
        <v>0.99990199999999996</v>
      </c>
      <c r="N283">
        <v>-1.399487E-2</v>
      </c>
      <c r="O283">
        <v>5.0600910000000001E-4</v>
      </c>
      <c r="P283">
        <v>0.98554470000000005</v>
      </c>
      <c r="Q283">
        <v>0.16210459999999999</v>
      </c>
      <c r="R283">
        <v>-4.9235269999999998E-2</v>
      </c>
      <c r="S283">
        <v>3.1329959999999999</v>
      </c>
      <c r="T283">
        <v>-0.66645369999999904</v>
      </c>
      <c r="U283">
        <v>-0.40814210000000001</v>
      </c>
      <c r="V283">
        <v>4.9779320000000002E-2</v>
      </c>
      <c r="W283">
        <v>0.1758682</v>
      </c>
      <c r="X283">
        <v>0.98315430000000004</v>
      </c>
      <c r="Y283">
        <v>0.12669469999999999</v>
      </c>
      <c r="Z283">
        <v>-1.427163E-2</v>
      </c>
      <c r="AA283">
        <v>0.99183909999999997</v>
      </c>
      <c r="AB283">
        <v>22</v>
      </c>
      <c r="AC283">
        <v>0.49439999999998402</v>
      </c>
      <c r="AD283">
        <v>-0.15176409999999901</v>
      </c>
      <c r="AE283">
        <v>-9.3299999999999203E-2</v>
      </c>
      <c r="AF283">
        <v>8.5748138291020098E-2</v>
      </c>
      <c r="AG283">
        <v>-0.15176409999999901</v>
      </c>
      <c r="AH283">
        <v>0.45312391662636498</v>
      </c>
      <c r="AI283">
        <v>108.215746282024</v>
      </c>
      <c r="AJ283">
        <v>79.284192301641895</v>
      </c>
      <c r="AK283">
        <v>0.485496003163778</v>
      </c>
      <c r="AL283">
        <v>79.870813975839795</v>
      </c>
      <c r="AM283">
        <v>87.101460667836804</v>
      </c>
      <c r="AN283">
        <v>0.99999999103969595</v>
      </c>
    </row>
    <row r="284" spans="1:40" x14ac:dyDescent="0.25">
      <c r="A284" t="str">
        <f>"20190303170502456"</f>
        <v>20190303170502456</v>
      </c>
      <c r="B284" t="str">
        <f>"1551603902444524"</f>
        <v>1551603902444524</v>
      </c>
      <c r="C284" t="s">
        <v>40</v>
      </c>
      <c r="D284">
        <v>5.3325300000000002</v>
      </c>
      <c r="E284">
        <v>0.53933240000000005</v>
      </c>
      <c r="F284" t="s">
        <v>42</v>
      </c>
      <c r="G284">
        <v>-414.14319999999998</v>
      </c>
      <c r="H284">
        <v>0.88748470000000002</v>
      </c>
      <c r="I284">
        <v>366.95139999999998</v>
      </c>
      <c r="J284">
        <v>-414.8854</v>
      </c>
      <c r="K284">
        <v>1.0714239999999999</v>
      </c>
      <c r="L284">
        <v>367.06479999999999</v>
      </c>
      <c r="M284">
        <v>0.99990250000000003</v>
      </c>
      <c r="N284">
        <v>-1.3960770000000001E-2</v>
      </c>
      <c r="O284">
        <v>4.1690519999999998E-4</v>
      </c>
      <c r="P284">
        <v>0.98556719999999998</v>
      </c>
      <c r="Q284">
        <v>0.16189039999999999</v>
      </c>
      <c r="R284">
        <v>-4.9482909999999998E-2</v>
      </c>
      <c r="S284">
        <v>3.1331180000000001</v>
      </c>
      <c r="T284">
        <v>-0.66676899999999995</v>
      </c>
      <c r="U284">
        <v>-0.4110413</v>
      </c>
      <c r="V284">
        <v>4.9939379999999998E-2</v>
      </c>
      <c r="W284">
        <v>0.17562079999999999</v>
      </c>
      <c r="X284">
        <v>0.98319040000000002</v>
      </c>
      <c r="Y284">
        <v>0.12748519999999999</v>
      </c>
      <c r="Z284">
        <v>-1.4345409999999999E-2</v>
      </c>
      <c r="AA284">
        <v>0.99173670000000003</v>
      </c>
      <c r="AB284">
        <v>22</v>
      </c>
      <c r="AC284">
        <v>0.74220000000002495</v>
      </c>
      <c r="AD284">
        <v>-0.183939299999999</v>
      </c>
      <c r="AE284">
        <v>-0.11340000000001201</v>
      </c>
      <c r="AF284">
        <v>0.10727118895092499</v>
      </c>
      <c r="AG284">
        <v>-0.183939299999999</v>
      </c>
      <c r="AH284">
        <v>0.70013177823401995</v>
      </c>
      <c r="AI284">
        <v>104.55760621653801</v>
      </c>
      <c r="AJ284">
        <v>81.289127546435296</v>
      </c>
      <c r="AK284">
        <v>0.73179592849138397</v>
      </c>
      <c r="AL284">
        <v>79.885212998759897</v>
      </c>
      <c r="AM284">
        <v>87.092263283708903</v>
      </c>
      <c r="AN284">
        <v>0.99999998485979202</v>
      </c>
    </row>
    <row r="285" spans="1:40" x14ac:dyDescent="0.25">
      <c r="A285" t="str">
        <f>"20190303170502478"</f>
        <v>20190303170502478</v>
      </c>
      <c r="B285" t="str">
        <f>"1551603902465018"</f>
        <v>1551603902465018</v>
      </c>
      <c r="C285" t="s">
        <v>40</v>
      </c>
      <c r="D285">
        <v>5.3139310000000002</v>
      </c>
      <c r="E285">
        <v>0.53950559999999903</v>
      </c>
      <c r="F285" t="s">
        <v>42</v>
      </c>
      <c r="G285">
        <v>-414.13240000000002</v>
      </c>
      <c r="H285">
        <v>0.91087019999999996</v>
      </c>
      <c r="I285">
        <v>366.96570000000003</v>
      </c>
      <c r="J285">
        <v>-414.67950000000002</v>
      </c>
      <c r="K285">
        <v>1.071421</v>
      </c>
      <c r="L285">
        <v>367.06479999999999</v>
      </c>
      <c r="M285">
        <v>0.9999034</v>
      </c>
      <c r="N285">
        <v>-1.390387E-2</v>
      </c>
      <c r="O285">
        <v>2.662683E-4</v>
      </c>
      <c r="P285">
        <v>0.98547549999999995</v>
      </c>
      <c r="Q285">
        <v>0.16247539999999999</v>
      </c>
      <c r="R285">
        <v>-4.9396509999999998E-2</v>
      </c>
      <c r="S285">
        <v>3.1329959999999999</v>
      </c>
      <c r="T285">
        <v>-0.66811869999999995</v>
      </c>
      <c r="U285">
        <v>-0.4116821</v>
      </c>
      <c r="V285">
        <v>4.9704760000000001E-2</v>
      </c>
      <c r="W285">
        <v>0.17614850000000001</v>
      </c>
      <c r="X285">
        <v>0.98310790000000003</v>
      </c>
      <c r="Y285">
        <v>0.12753100000000001</v>
      </c>
      <c r="Z285">
        <v>-1.4344330000000001E-2</v>
      </c>
      <c r="AA285">
        <v>0.99173089999999997</v>
      </c>
      <c r="AB285">
        <v>22</v>
      </c>
      <c r="AC285">
        <v>0.54710000000000003</v>
      </c>
      <c r="AD285">
        <v>-0.16055079999999999</v>
      </c>
      <c r="AE285">
        <v>-9.9099999999964397E-2</v>
      </c>
      <c r="AF285">
        <v>9.1607310939765305E-2</v>
      </c>
      <c r="AG285">
        <v>-0.16055079999999999</v>
      </c>
      <c r="AH285">
        <v>0.50496845348814301</v>
      </c>
      <c r="AI285">
        <v>107.371569066348</v>
      </c>
      <c r="AJ285">
        <v>79.717685796363</v>
      </c>
      <c r="AK285">
        <v>0.53773748039025704</v>
      </c>
      <c r="AL285">
        <v>79.854499367715405</v>
      </c>
      <c r="AM285">
        <v>87.105658377987297</v>
      </c>
      <c r="AN285">
        <v>1.0000000001306499</v>
      </c>
    </row>
    <row r="286" spans="1:40" x14ac:dyDescent="0.25">
      <c r="A286" t="str">
        <f>"20190303170502500"</f>
        <v>20190303170502500</v>
      </c>
      <c r="B286" t="str">
        <f>"1551603902485045"</f>
        <v>1551603902485045</v>
      </c>
      <c r="C286" t="s">
        <v>40</v>
      </c>
      <c r="D286">
        <v>5.3398490000000001</v>
      </c>
      <c r="E286">
        <v>0.53959259999999998</v>
      </c>
      <c r="F286" t="s">
        <v>42</v>
      </c>
      <c r="G286">
        <v>-413.93880000000001</v>
      </c>
      <c r="H286">
        <v>0.91366769999999997</v>
      </c>
      <c r="I286">
        <v>366.96699999999998</v>
      </c>
      <c r="J286">
        <v>-414.46440000000001</v>
      </c>
      <c r="K286">
        <v>1.0714189999999999</v>
      </c>
      <c r="L286">
        <v>367.06459999999998</v>
      </c>
      <c r="M286">
        <v>0.99990420000000002</v>
      </c>
      <c r="N286">
        <v>-1.384755E-2</v>
      </c>
      <c r="O286">
        <v>1.074032E-4</v>
      </c>
      <c r="P286">
        <v>0.98540369999999999</v>
      </c>
      <c r="Q286">
        <v>0.16316459999999999</v>
      </c>
      <c r="R286">
        <v>-4.8547859999999998E-2</v>
      </c>
      <c r="S286">
        <v>3.1335449999999998</v>
      </c>
      <c r="T286">
        <v>-0.66738569999999997</v>
      </c>
      <c r="U286">
        <v>-0.41305540000000002</v>
      </c>
      <c r="V286">
        <v>4.8699890000000003E-2</v>
      </c>
      <c r="W286">
        <v>0.17678160000000001</v>
      </c>
      <c r="X286">
        <v>0.98304460000000005</v>
      </c>
      <c r="Y286">
        <v>0.1277837</v>
      </c>
      <c r="Z286">
        <v>-1.432073E-2</v>
      </c>
      <c r="AA286">
        <v>0.99169870000000004</v>
      </c>
      <c r="AB286">
        <v>22</v>
      </c>
      <c r="AC286">
        <v>0.52559999999999696</v>
      </c>
      <c r="AD286">
        <v>-0.15775130000000001</v>
      </c>
      <c r="AE286">
        <v>-9.7599999999999895E-2</v>
      </c>
      <c r="AF286">
        <v>8.9833834797925199E-2</v>
      </c>
      <c r="AG286">
        <v>-0.15775130000000001</v>
      </c>
      <c r="AH286">
        <v>0.48348796863183902</v>
      </c>
      <c r="AI286">
        <v>107.785582445876</v>
      </c>
      <c r="AJ286">
        <v>79.474265646554102</v>
      </c>
      <c r="AK286">
        <v>0.51644574384724395</v>
      </c>
      <c r="AL286">
        <v>79.8176475905898</v>
      </c>
      <c r="AM286">
        <v>87.1638938177542</v>
      </c>
      <c r="AN286">
        <v>1.0000000494868599</v>
      </c>
    </row>
    <row r="287" spans="1:40" x14ac:dyDescent="0.25">
      <c r="A287" t="str">
        <f>"20190303170502522"</f>
        <v>20190303170502522</v>
      </c>
      <c r="B287" t="str">
        <f>"1551603902514327"</f>
        <v>1551603902514327</v>
      </c>
      <c r="C287" t="s">
        <v>40</v>
      </c>
      <c r="D287">
        <v>5.3843699999999997</v>
      </c>
      <c r="E287">
        <v>0.51145600000000002</v>
      </c>
      <c r="F287" t="s">
        <v>42</v>
      </c>
      <c r="G287">
        <v>-413.74450000000002</v>
      </c>
      <c r="H287">
        <v>0.91838299999999995</v>
      </c>
      <c r="I287">
        <v>366.9699</v>
      </c>
      <c r="J287">
        <v>-414.25560000000002</v>
      </c>
      <c r="K287">
        <v>1.071415</v>
      </c>
      <c r="L287">
        <v>367.06450000000001</v>
      </c>
      <c r="M287">
        <v>0.99990489999999999</v>
      </c>
      <c r="N287">
        <v>-1.37977999999999E-2</v>
      </c>
      <c r="O287" s="1">
        <v>-4.7338559999999998E-5</v>
      </c>
      <c r="P287">
        <v>0.98528839999999995</v>
      </c>
      <c r="Q287">
        <v>0.1641502</v>
      </c>
      <c r="R287">
        <v>-4.7558040000000003E-2</v>
      </c>
      <c r="S287">
        <v>3.1344910000000001</v>
      </c>
      <c r="T287">
        <v>-0.66630259999999997</v>
      </c>
      <c r="U287">
        <v>-0.4121399</v>
      </c>
      <c r="V287">
        <v>4.7557889999999998E-2</v>
      </c>
      <c r="W287">
        <v>0.1777174</v>
      </c>
      <c r="X287">
        <v>0.98293169999999996</v>
      </c>
      <c r="Y287">
        <v>0.127332</v>
      </c>
      <c r="Z287">
        <v>-1.4211720000000001E-2</v>
      </c>
      <c r="AA287">
        <v>0.99175829999999998</v>
      </c>
      <c r="AB287">
        <v>21</v>
      </c>
      <c r="AC287">
        <v>0.511099999999999</v>
      </c>
      <c r="AD287">
        <v>-0.153032</v>
      </c>
      <c r="AE287">
        <v>-9.4600000000014006E-2</v>
      </c>
      <c r="AF287">
        <v>8.7031804836252002E-2</v>
      </c>
      <c r="AG287">
        <v>-0.153032</v>
      </c>
      <c r="AH287">
        <v>0.47033536956098398</v>
      </c>
      <c r="AI287">
        <v>107.74137296972199</v>
      </c>
      <c r="AJ287">
        <v>79.516454215454999</v>
      </c>
      <c r="AK287">
        <v>0.50220383106575694</v>
      </c>
      <c r="AL287">
        <v>79.7631668111827</v>
      </c>
      <c r="AM287">
        <v>87.229977350958194</v>
      </c>
      <c r="AN287">
        <v>0.99999997701444998</v>
      </c>
    </row>
    <row r="288" spans="1:40" x14ac:dyDescent="0.25">
      <c r="A288" t="str">
        <f>"20190303170502544"</f>
        <v>20190303170502544</v>
      </c>
      <c r="B288" t="str">
        <f>"1551603902534821"</f>
        <v>1551603902534821</v>
      </c>
      <c r="C288" t="s">
        <v>40</v>
      </c>
      <c r="D288">
        <v>5.5347600000000003</v>
      </c>
      <c r="E288">
        <v>0.50596679999999905</v>
      </c>
      <c r="F288" t="s">
        <v>42</v>
      </c>
      <c r="G288">
        <v>-413.53379999999999</v>
      </c>
      <c r="H288">
        <v>0.95685149999999997</v>
      </c>
      <c r="I288">
        <v>367.01990000000001</v>
      </c>
      <c r="J288">
        <v>-414.04</v>
      </c>
      <c r="K288">
        <v>1.071412</v>
      </c>
      <c r="L288">
        <v>367.0643</v>
      </c>
      <c r="M288">
        <v>0.9999055</v>
      </c>
      <c r="N288">
        <v>-1.3751289999999999E-2</v>
      </c>
      <c r="O288">
        <v>-2.074108E-4</v>
      </c>
      <c r="P288">
        <v>0.98521389999999998</v>
      </c>
      <c r="Q288">
        <v>0.16460420000000001</v>
      </c>
      <c r="R288">
        <v>-4.753479E-2</v>
      </c>
      <c r="S288">
        <v>3.11795</v>
      </c>
      <c r="T288">
        <v>-0.49498520000000001</v>
      </c>
      <c r="U288">
        <v>-0.1921997</v>
      </c>
      <c r="V288">
        <v>4.737736E-2</v>
      </c>
      <c r="W288">
        <v>0.17812420000000001</v>
      </c>
      <c r="X288">
        <v>0.98286680000000004</v>
      </c>
      <c r="Y288">
        <v>6.0500089999999999E-2</v>
      </c>
      <c r="Z288">
        <v>-5.1573130000000002E-3</v>
      </c>
      <c r="AA288">
        <v>0.99815489999999996</v>
      </c>
      <c r="AB288">
        <v>21</v>
      </c>
      <c r="AC288">
        <v>0.50620000000003496</v>
      </c>
      <c r="AD288">
        <v>-0.1145605</v>
      </c>
      <c r="AE288">
        <v>-4.4399999999995998E-2</v>
      </c>
      <c r="AF288">
        <v>4.2152499828239001E-2</v>
      </c>
      <c r="AG288">
        <v>-0.1145605</v>
      </c>
      <c r="AH288">
        <v>0.481724443963638</v>
      </c>
      <c r="AI288">
        <v>103.328110969535</v>
      </c>
      <c r="AJ288">
        <v>84.999165249980294</v>
      </c>
      <c r="AK288">
        <v>0.49695007929780599</v>
      </c>
      <c r="AL288">
        <v>79.739481169183506</v>
      </c>
      <c r="AM288">
        <v>87.240294153974403</v>
      </c>
      <c r="AN288">
        <v>0.99999999570422404</v>
      </c>
    </row>
    <row r="289" spans="1:40" x14ac:dyDescent="0.25">
      <c r="A289" t="str">
        <f>"20190303170502567"</f>
        <v>20190303170502567</v>
      </c>
      <c r="B289" t="str">
        <f>"1551603902554342"</f>
        <v>1551603902554342</v>
      </c>
      <c r="C289" t="s">
        <v>40</v>
      </c>
      <c r="D289">
        <v>5.3295219999999999</v>
      </c>
      <c r="E289">
        <v>0.49905250000000001</v>
      </c>
      <c r="F289" t="s">
        <v>42</v>
      </c>
      <c r="G289">
        <v>-413.15350000000001</v>
      </c>
      <c r="H289">
        <v>0.95147159999999997</v>
      </c>
      <c r="I289">
        <v>367.02109999999999</v>
      </c>
      <c r="J289">
        <v>-413.82600000000002</v>
      </c>
      <c r="K289">
        <v>1.071404</v>
      </c>
      <c r="L289">
        <v>367.0641</v>
      </c>
      <c r="M289">
        <v>0.99990599999999996</v>
      </c>
      <c r="N289">
        <v>-1.37053E-2</v>
      </c>
      <c r="O289">
        <v>-3.6670579999999999E-4</v>
      </c>
      <c r="P289">
        <v>0.98530799999999996</v>
      </c>
      <c r="Q289">
        <v>0.16396289999999999</v>
      </c>
      <c r="R289">
        <v>-4.7797390000000002E-2</v>
      </c>
      <c r="S289">
        <v>3.1079409999999998</v>
      </c>
      <c r="T289">
        <v>-0.42045830000000001</v>
      </c>
      <c r="U289">
        <v>-0.1511536</v>
      </c>
      <c r="V289">
        <v>4.7482829999999997E-2</v>
      </c>
      <c r="W289">
        <v>0.1774396</v>
      </c>
      <c r="X289">
        <v>0.98298560000000001</v>
      </c>
      <c r="Y289">
        <v>4.7735319999999998E-2</v>
      </c>
      <c r="Z289">
        <v>-3.4970280000000001E-3</v>
      </c>
      <c r="AA289">
        <v>0.99885389999999996</v>
      </c>
      <c r="AB289">
        <v>21</v>
      </c>
      <c r="AC289">
        <v>0.67249999999995602</v>
      </c>
      <c r="AD289">
        <v>-0.119932399999999</v>
      </c>
      <c r="AE289">
        <v>-4.3000000000006297E-2</v>
      </c>
      <c r="AF289">
        <v>4.1440729478861599E-2</v>
      </c>
      <c r="AG289">
        <v>-0.119932399999999</v>
      </c>
      <c r="AH289">
        <v>0.65186781615683298</v>
      </c>
      <c r="AI289">
        <v>100.404306751096</v>
      </c>
      <c r="AJ289">
        <v>86.362471131732207</v>
      </c>
      <c r="AK289">
        <v>0.66410297723363598</v>
      </c>
      <c r="AL289">
        <v>79.779341495982493</v>
      </c>
      <c r="AM289">
        <v>87.234493862330297</v>
      </c>
      <c r="AN289">
        <v>1.00000006030016</v>
      </c>
    </row>
    <row r="290" spans="1:40" x14ac:dyDescent="0.25">
      <c r="A290" t="str">
        <f>"20190303170502588"</f>
        <v>20190303170502588</v>
      </c>
      <c r="B290" t="str">
        <f>"1551603902574369"</f>
        <v>1551603902574369</v>
      </c>
      <c r="C290" t="s">
        <v>40</v>
      </c>
      <c r="D290">
        <v>5.3589060000000002</v>
      </c>
      <c r="E290">
        <v>0.49580740000000001</v>
      </c>
      <c r="F290" t="s">
        <v>42</v>
      </c>
      <c r="G290">
        <v>-412.9479</v>
      </c>
      <c r="H290">
        <v>0.98031179999999996</v>
      </c>
      <c r="I290">
        <v>367.03489999999999</v>
      </c>
      <c r="J290">
        <v>-413.62329999999997</v>
      </c>
      <c r="K290">
        <v>1.0713969999999999</v>
      </c>
      <c r="L290">
        <v>367.06380000000001</v>
      </c>
      <c r="M290">
        <v>0.99990650000000003</v>
      </c>
      <c r="N290">
        <v>-1.366094E-2</v>
      </c>
      <c r="O290">
        <v>-5.1730980000000003E-4</v>
      </c>
      <c r="P290">
        <v>0.98536469999999998</v>
      </c>
      <c r="Q290">
        <v>0.16358909999999999</v>
      </c>
      <c r="R290">
        <v>-4.790809E-2</v>
      </c>
      <c r="S290">
        <v>3.0932919999999999</v>
      </c>
      <c r="T290">
        <v>-0.3212274</v>
      </c>
      <c r="U290">
        <v>-0.10098269999999999</v>
      </c>
      <c r="V290">
        <v>4.7445099999999997E-2</v>
      </c>
      <c r="W290">
        <v>0.17702290000000001</v>
      </c>
      <c r="X290">
        <v>0.98306249999999995</v>
      </c>
      <c r="Y290">
        <v>3.1919139999999999E-2</v>
      </c>
      <c r="Z290">
        <v>-1.824703E-3</v>
      </c>
      <c r="AA290">
        <v>0.99948879999999996</v>
      </c>
      <c r="AB290">
        <v>21</v>
      </c>
      <c r="AC290">
        <v>0.67539999999996703</v>
      </c>
      <c r="AD290">
        <v>-9.1085199999999797E-2</v>
      </c>
      <c r="AE290">
        <v>-2.8900000000021402E-2</v>
      </c>
      <c r="AF290">
        <v>2.8041499181063499E-2</v>
      </c>
      <c r="AG290">
        <v>-9.1085199999999797E-2</v>
      </c>
      <c r="AH290">
        <v>0.66337182203387701</v>
      </c>
      <c r="AI290">
        <v>97.811300392424101</v>
      </c>
      <c r="AJ290">
        <v>87.579481714929997</v>
      </c>
      <c r="AK290">
        <v>0.67018282103013305</v>
      </c>
      <c r="AL290">
        <v>79.803600187465193</v>
      </c>
      <c r="AM290">
        <v>87.236903759395304</v>
      </c>
      <c r="AN290">
        <v>1.00000001177233</v>
      </c>
    </row>
    <row r="291" spans="1:40" x14ac:dyDescent="0.25">
      <c r="A291" t="str">
        <f>"20190303170502611"</f>
        <v>20190303170502611</v>
      </c>
      <c r="B291" t="str">
        <f>"1551603902604624"</f>
        <v>1551603902604624</v>
      </c>
      <c r="C291" t="s">
        <v>40</v>
      </c>
      <c r="D291">
        <v>5.522424</v>
      </c>
      <c r="E291">
        <v>0.49333850000000001</v>
      </c>
      <c r="F291" t="s">
        <v>42</v>
      </c>
      <c r="G291">
        <v>-412.7484</v>
      </c>
      <c r="H291">
        <v>0.9932261</v>
      </c>
      <c r="I291">
        <v>367.04149999999998</v>
      </c>
      <c r="J291">
        <v>-413.4008</v>
      </c>
      <c r="K291">
        <v>1.071401</v>
      </c>
      <c r="L291">
        <v>367.06349999999998</v>
      </c>
      <c r="M291">
        <v>0.99990710000000005</v>
      </c>
      <c r="N291">
        <v>-1.361392E-2</v>
      </c>
      <c r="O291">
        <v>-6.7908789999999997E-4</v>
      </c>
      <c r="P291">
        <v>0.98516340000000002</v>
      </c>
      <c r="Q291">
        <v>0.16467119999999999</v>
      </c>
      <c r="R291">
        <v>-4.8338220000000001E-2</v>
      </c>
      <c r="S291">
        <v>3.0865480000000001</v>
      </c>
      <c r="T291">
        <v>-0.27588420000000002</v>
      </c>
      <c r="U291">
        <v>-7.8155520000000006E-2</v>
      </c>
      <c r="V291">
        <v>4.771591E-2</v>
      </c>
      <c r="W291">
        <v>0.17805570000000001</v>
      </c>
      <c r="X291">
        <v>0.98286280000000004</v>
      </c>
      <c r="Y291">
        <v>2.4523570000000001E-2</v>
      </c>
      <c r="Z291">
        <v>-1.209646E-3</v>
      </c>
      <c r="AA291">
        <v>0.99969850000000005</v>
      </c>
      <c r="AB291">
        <v>21</v>
      </c>
      <c r="AC291">
        <v>0.65239999999999998</v>
      </c>
      <c r="AD291">
        <v>-7.8174900000000005E-2</v>
      </c>
      <c r="AE291">
        <v>-2.1999999999991301E-2</v>
      </c>
      <c r="AF291">
        <v>2.1252116629364999E-2</v>
      </c>
      <c r="AG291">
        <v>-7.8174900000000005E-2</v>
      </c>
      <c r="AH291">
        <v>0.64319008498191399</v>
      </c>
      <c r="AI291">
        <v>96.926135839906806</v>
      </c>
      <c r="AJ291">
        <v>88.1075365137402</v>
      </c>
      <c r="AK291">
        <v>0.64827189733188395</v>
      </c>
      <c r="AL291">
        <v>79.743469340279205</v>
      </c>
      <c r="AM291">
        <v>87.220593317168095</v>
      </c>
      <c r="AN291">
        <v>0.99999996199672803</v>
      </c>
    </row>
    <row r="292" spans="1:40" x14ac:dyDescent="0.25">
      <c r="A292" t="str">
        <f>"20190303170502634"</f>
        <v>20190303170502634</v>
      </c>
      <c r="B292" t="str">
        <f>"1551603902625122"</f>
        <v>1551603902625122</v>
      </c>
      <c r="C292" t="s">
        <v>40</v>
      </c>
      <c r="D292">
        <v>5.5790499999999996</v>
      </c>
      <c r="E292">
        <v>0.49282369999999998</v>
      </c>
      <c r="F292" t="s">
        <v>41</v>
      </c>
      <c r="G292">
        <v>-399.45670000000001</v>
      </c>
      <c r="H292" s="1">
        <v>-9.2406870000000004E-7</v>
      </c>
      <c r="I292">
        <v>366.78570000000002</v>
      </c>
      <c r="J292">
        <v>-413.18220000000002</v>
      </c>
      <c r="K292">
        <v>1.0714030000000001</v>
      </c>
      <c r="L292">
        <v>367.06310000000002</v>
      </c>
      <c r="M292">
        <v>0.99990769999999995</v>
      </c>
      <c r="N292">
        <v>-1.357183E-2</v>
      </c>
      <c r="O292">
        <v>-8.3047149999999903E-4</v>
      </c>
      <c r="P292">
        <v>0.98493750000000002</v>
      </c>
      <c r="Q292">
        <v>0.1659342</v>
      </c>
      <c r="R292">
        <v>-4.8624569999999999E-2</v>
      </c>
      <c r="S292">
        <v>3.0817260000000002</v>
      </c>
      <c r="T292">
        <v>-0.23678469999999999</v>
      </c>
      <c r="U292">
        <v>-6.1370849999999998E-2</v>
      </c>
      <c r="V292">
        <v>4.7851779999999997E-2</v>
      </c>
      <c r="W292">
        <v>0.17927460000000001</v>
      </c>
      <c r="X292">
        <v>0.98263469999999997</v>
      </c>
      <c r="Y292">
        <v>1.9015799999999999E-2</v>
      </c>
      <c r="Z292">
        <v>-8.0622289999999997E-4</v>
      </c>
      <c r="AA292">
        <v>0.99981889999999995</v>
      </c>
      <c r="AB292">
        <v>21</v>
      </c>
      <c r="AC292">
        <v>13.7255</v>
      </c>
      <c r="AD292">
        <v>-1.0714039240686899</v>
      </c>
      <c r="AE292">
        <v>-0.27739999999999998</v>
      </c>
      <c r="AF292">
        <v>0.26438987947341702</v>
      </c>
      <c r="AG292">
        <v>-1.0714039240686899</v>
      </c>
      <c r="AH292">
        <v>13.642631422928901</v>
      </c>
      <c r="AI292">
        <v>94.489583479478398</v>
      </c>
      <c r="AJ292">
        <v>88.889764902717005</v>
      </c>
      <c r="AK292">
        <v>13.6871911113554</v>
      </c>
      <c r="AL292">
        <v>79.672490504493894</v>
      </c>
      <c r="AM292">
        <v>87.212045481001098</v>
      </c>
      <c r="AN292">
        <v>1.0000000643492</v>
      </c>
    </row>
    <row r="293" spans="1:40" x14ac:dyDescent="0.25">
      <c r="A293" t="str">
        <f>"20190303170502655"</f>
        <v>20190303170502655</v>
      </c>
      <c r="B293" t="str">
        <f>"1551603902644641"</f>
        <v>1551603902644641</v>
      </c>
      <c r="C293" t="s">
        <v>40</v>
      </c>
      <c r="D293">
        <v>5.3517039999999998</v>
      </c>
      <c r="E293">
        <v>0.49203960000000002</v>
      </c>
      <c r="F293" t="s">
        <v>41</v>
      </c>
      <c r="G293">
        <v>-398.5514</v>
      </c>
      <c r="H293" s="1">
        <v>-1.2316500000000001E-6</v>
      </c>
      <c r="I293">
        <v>366.7876</v>
      </c>
      <c r="J293">
        <v>-412.9787</v>
      </c>
      <c r="K293">
        <v>1.0714129999999999</v>
      </c>
      <c r="L293">
        <v>367.06279999999998</v>
      </c>
      <c r="M293">
        <v>0.99990789999999996</v>
      </c>
      <c r="N293">
        <v>-1.3536629999999999E-2</v>
      </c>
      <c r="O293">
        <v>-9.5690550000000004E-4</v>
      </c>
      <c r="P293">
        <v>0.98486200000000002</v>
      </c>
      <c r="Q293">
        <v>0.16615350000000001</v>
      </c>
      <c r="R293">
        <v>-4.9394059999999997E-2</v>
      </c>
      <c r="S293">
        <v>3.0810240000000002</v>
      </c>
      <c r="T293">
        <v>-0.22562090000000001</v>
      </c>
      <c r="U293">
        <v>-5.8013919999999997E-2</v>
      </c>
      <c r="V293">
        <v>4.8492849999999997E-2</v>
      </c>
      <c r="W293">
        <v>0.17945990000000001</v>
      </c>
      <c r="X293">
        <v>0.98256940000000004</v>
      </c>
      <c r="Y293">
        <v>1.7814429999999999E-2</v>
      </c>
      <c r="Z293">
        <v>-7.1508469999999997E-4</v>
      </c>
      <c r="AA293">
        <v>0.99984099999999998</v>
      </c>
      <c r="AB293">
        <v>21</v>
      </c>
      <c r="AC293">
        <v>14.427300000000001</v>
      </c>
      <c r="AD293">
        <v>-1.0714142316499999</v>
      </c>
      <c r="AE293">
        <v>-0.27519999999998301</v>
      </c>
      <c r="AF293">
        <v>0.25995989133932002</v>
      </c>
      <c r="AG293">
        <v>-1.0714142316499999</v>
      </c>
      <c r="AH293">
        <v>14.348453965681699</v>
      </c>
      <c r="AI293">
        <v>94.269713162752296</v>
      </c>
      <c r="AJ293">
        <v>88.962050178825805</v>
      </c>
      <c r="AK293">
        <v>14.3907483754728</v>
      </c>
      <c r="AL293">
        <v>79.661698101890707</v>
      </c>
      <c r="AM293">
        <v>87.174567929813705</v>
      </c>
      <c r="AN293">
        <v>1.00000001901274</v>
      </c>
    </row>
    <row r="294" spans="1:40" x14ac:dyDescent="0.25">
      <c r="A294" t="str">
        <f>"20190303170502679"</f>
        <v>20190303170502679</v>
      </c>
      <c r="B294" t="str">
        <f>"1551603902674899"</f>
        <v>1551603902674899</v>
      </c>
      <c r="C294" t="s">
        <v>40</v>
      </c>
      <c r="D294">
        <v>5.326816</v>
      </c>
      <c r="E294">
        <v>0.49190790000000001</v>
      </c>
      <c r="F294" t="s">
        <v>41</v>
      </c>
      <c r="G294">
        <v>-397.33280000000002</v>
      </c>
      <c r="H294" s="1">
        <v>-1.6462549999999901E-6</v>
      </c>
      <c r="I294">
        <v>366.78789999999998</v>
      </c>
      <c r="J294">
        <v>-412.75720000000001</v>
      </c>
      <c r="K294">
        <v>1.071429</v>
      </c>
      <c r="L294">
        <v>367.0625</v>
      </c>
      <c r="M294">
        <v>0.99990829999999997</v>
      </c>
      <c r="N294">
        <v>-1.350225E-2</v>
      </c>
      <c r="O294">
        <v>-1.0702190000000001E-3</v>
      </c>
      <c r="P294">
        <v>0.98491329999999999</v>
      </c>
      <c r="Q294">
        <v>0.165793</v>
      </c>
      <c r="R294">
        <v>-4.9585440000000001E-2</v>
      </c>
      <c r="S294">
        <v>3.0789789999999999</v>
      </c>
      <c r="T294">
        <v>-0.2108448</v>
      </c>
      <c r="U294">
        <v>-5.4077149999999997E-2</v>
      </c>
      <c r="V294">
        <v>4.8564879999999998E-2</v>
      </c>
      <c r="W294">
        <v>0.17906820000000001</v>
      </c>
      <c r="X294">
        <v>0.98263730000000005</v>
      </c>
      <c r="Y294">
        <v>1.6445959999999999E-2</v>
      </c>
      <c r="Z294">
        <v>-6.1483649999999996E-4</v>
      </c>
      <c r="AA294">
        <v>0.99986459999999999</v>
      </c>
      <c r="AB294">
        <v>21</v>
      </c>
      <c r="AC294">
        <v>15.424399999999901</v>
      </c>
      <c r="AD294">
        <v>-1.0714306462550001</v>
      </c>
      <c r="AE294">
        <v>-0.27460000000001999</v>
      </c>
      <c r="AF294">
        <v>0.25685189397105701</v>
      </c>
      <c r="AG294">
        <v>-1.0714306462550001</v>
      </c>
      <c r="AH294">
        <v>15.3506392772035</v>
      </c>
      <c r="AI294">
        <v>93.992049179253002</v>
      </c>
      <c r="AJ294">
        <v>89.041397817360902</v>
      </c>
      <c r="AK294">
        <v>15.390128743580799</v>
      </c>
      <c r="AL294">
        <v>79.684510359129902</v>
      </c>
      <c r="AM294">
        <v>87.170573131681394</v>
      </c>
      <c r="AN294">
        <v>1.0000000155859701</v>
      </c>
    </row>
    <row r="295" spans="1:40" x14ac:dyDescent="0.25">
      <c r="A295" t="str">
        <f>"20190303170502702"</f>
        <v>20190303170502702</v>
      </c>
      <c r="B295" t="str">
        <f>"1551603902694417"</f>
        <v>1551603902694417</v>
      </c>
      <c r="C295" t="s">
        <v>40</v>
      </c>
      <c r="D295">
        <v>5.383864</v>
      </c>
      <c r="E295">
        <v>0.4916025</v>
      </c>
      <c r="F295" t="s">
        <v>41</v>
      </c>
      <c r="G295">
        <v>-397.28109999999998</v>
      </c>
      <c r="H295" s="1">
        <v>-1.662295E-6</v>
      </c>
      <c r="I295">
        <v>366.79379999999998</v>
      </c>
      <c r="J295">
        <v>-412.54559999999998</v>
      </c>
      <c r="K295">
        <v>1.071447</v>
      </c>
      <c r="L295">
        <v>367.06209999999999</v>
      </c>
      <c r="M295">
        <v>0.99990869999999998</v>
      </c>
      <c r="N295">
        <v>-1.3472799999999899E-2</v>
      </c>
      <c r="O295">
        <v>-1.1449629999999999E-3</v>
      </c>
      <c r="P295">
        <v>0.98497290000000004</v>
      </c>
      <c r="Q295">
        <v>0.16544439999999999</v>
      </c>
      <c r="R295">
        <v>-4.9565919999999999E-2</v>
      </c>
      <c r="S295">
        <v>3.079132</v>
      </c>
      <c r="T295">
        <v>-0.21317059999999999</v>
      </c>
      <c r="U295">
        <v>-5.3436280000000003E-2</v>
      </c>
      <c r="V295">
        <v>4.846131E-2</v>
      </c>
      <c r="W295">
        <v>0.1786943</v>
      </c>
      <c r="X295">
        <v>0.98271050000000004</v>
      </c>
      <c r="Y295">
        <v>1.6162369999999999E-2</v>
      </c>
      <c r="Z295">
        <v>-6.0404529999999999E-4</v>
      </c>
      <c r="AA295">
        <v>0.99986920000000001</v>
      </c>
      <c r="AB295">
        <v>21</v>
      </c>
      <c r="AC295">
        <v>15.2644999999999</v>
      </c>
      <c r="AD295">
        <v>-1.0714486622949999</v>
      </c>
      <c r="AE295">
        <v>-0.26830000000000997</v>
      </c>
      <c r="AF295">
        <v>0.24959160811404099</v>
      </c>
      <c r="AG295">
        <v>-1.0714486622949999</v>
      </c>
      <c r="AH295">
        <v>15.189980156776899</v>
      </c>
      <c r="AI295">
        <v>94.034220684195205</v>
      </c>
      <c r="AJ295">
        <v>89.058638733391803</v>
      </c>
      <c r="AK295">
        <v>15.2297667536325</v>
      </c>
      <c r="AL295">
        <v>79.706284697227105</v>
      </c>
      <c r="AM295">
        <v>87.176807393685195</v>
      </c>
      <c r="AN295">
        <v>1.00000003911482</v>
      </c>
    </row>
    <row r="296" spans="1:40" x14ac:dyDescent="0.25">
      <c r="A296" t="str">
        <f>"20190303170502722"</f>
        <v>20190303170502722</v>
      </c>
      <c r="B296" t="str">
        <f>"1551603902714914"</f>
        <v>1551603902714914</v>
      </c>
      <c r="C296" t="s">
        <v>40</v>
      </c>
      <c r="D296">
        <v>5.3964179999999997</v>
      </c>
      <c r="E296">
        <v>0.49151070000000002</v>
      </c>
      <c r="F296" t="s">
        <v>41</v>
      </c>
      <c r="G296">
        <v>-396.62580000000003</v>
      </c>
      <c r="H296" s="1">
        <v>-1.9301439999999999E-6</v>
      </c>
      <c r="I296">
        <v>366.79570000000001</v>
      </c>
      <c r="J296">
        <v>-412.33839999999998</v>
      </c>
      <c r="K296">
        <v>1.0714709999999901</v>
      </c>
      <c r="L296">
        <v>367.06180000000001</v>
      </c>
      <c r="M296">
        <v>0.99990889999999999</v>
      </c>
      <c r="N296">
        <v>-1.3447000000000001E-2</v>
      </c>
      <c r="O296">
        <v>-1.1869230000000001E-3</v>
      </c>
      <c r="P296">
        <v>0.98496870000000003</v>
      </c>
      <c r="Q296">
        <v>0.16540850000000001</v>
      </c>
      <c r="R296">
        <v>-4.976651E-2</v>
      </c>
      <c r="S296">
        <v>3.0779420000000002</v>
      </c>
      <c r="T296">
        <v>-0.20715320000000001</v>
      </c>
      <c r="U296">
        <v>-5.1483149999999998E-2</v>
      </c>
      <c r="V296">
        <v>4.8609369999999999E-2</v>
      </c>
      <c r="W296">
        <v>0.17863609999999999</v>
      </c>
      <c r="X296">
        <v>0.98271370000000002</v>
      </c>
      <c r="Y296">
        <v>1.5496920000000001E-2</v>
      </c>
      <c r="Z296">
        <v>-5.6137099999999996E-4</v>
      </c>
      <c r="AA296">
        <v>0.99987979999999999</v>
      </c>
      <c r="AB296">
        <v>21</v>
      </c>
      <c r="AC296">
        <v>15.712599999999901</v>
      </c>
      <c r="AD296">
        <v>-1.07147293014399</v>
      </c>
      <c r="AE296">
        <v>-0.26609999999999401</v>
      </c>
      <c r="AF296">
        <v>0.24630346230967701</v>
      </c>
      <c r="AG296">
        <v>-1.07147293014399</v>
      </c>
      <c r="AH296">
        <v>15.640196503883899</v>
      </c>
      <c r="AI296">
        <v>93.918590718472103</v>
      </c>
      <c r="AJ296">
        <v>89.097774607737094</v>
      </c>
      <c r="AK296">
        <v>15.6787903333031</v>
      </c>
      <c r="AL296">
        <v>79.709673140966004</v>
      </c>
      <c r="AM296">
        <v>87.168205141679607</v>
      </c>
      <c r="AN296">
        <v>0.99999997162134802</v>
      </c>
    </row>
    <row r="297" spans="1:40" x14ac:dyDescent="0.25">
      <c r="A297" t="str">
        <f>"20190303170502747"</f>
        <v>20190303170502747</v>
      </c>
      <c r="B297" t="str">
        <f>"1551603902734433"</f>
        <v>1551603902734433</v>
      </c>
      <c r="C297" t="s">
        <v>40</v>
      </c>
      <c r="D297">
        <v>5.423915</v>
      </c>
      <c r="E297">
        <v>0.49137340000000002</v>
      </c>
      <c r="F297" t="s">
        <v>41</v>
      </c>
      <c r="G297">
        <v>-396.2432</v>
      </c>
      <c r="H297" s="1">
        <v>-2.094636E-6</v>
      </c>
      <c r="I297">
        <v>366.79379999999998</v>
      </c>
      <c r="J297">
        <v>-412.12099999999998</v>
      </c>
      <c r="K297">
        <v>1.071493</v>
      </c>
      <c r="L297">
        <v>367.06150000000002</v>
      </c>
      <c r="M297">
        <v>0.9999093</v>
      </c>
      <c r="N297">
        <v>-1.3423239999999999E-2</v>
      </c>
      <c r="O297">
        <v>-1.1942439999999999E-3</v>
      </c>
      <c r="P297">
        <v>0.9848981</v>
      </c>
      <c r="Q297">
        <v>0.16599439999999999</v>
      </c>
      <c r="R297">
        <v>-4.921159E-2</v>
      </c>
      <c r="S297">
        <v>3.0775760000000001</v>
      </c>
      <c r="T297">
        <v>-0.20487559999999999</v>
      </c>
      <c r="U297">
        <v>-5.1239010000000001E-2</v>
      </c>
      <c r="V297">
        <v>4.803719E-2</v>
      </c>
      <c r="W297">
        <v>0.17920050000000001</v>
      </c>
      <c r="X297">
        <v>0.98263909999999999</v>
      </c>
      <c r="Y297">
        <v>1.5413329999999999E-2</v>
      </c>
      <c r="Z297">
        <v>-5.5263950000000001E-4</v>
      </c>
      <c r="AA297">
        <v>0.99988100000000002</v>
      </c>
      <c r="AB297">
        <v>21</v>
      </c>
      <c r="AC297">
        <v>15.877799999999899</v>
      </c>
      <c r="AD297">
        <v>-1.071495094636</v>
      </c>
      <c r="AE297">
        <v>-0.26770000000004701</v>
      </c>
      <c r="AF297">
        <v>0.247608827669973</v>
      </c>
      <c r="AG297">
        <v>-1.071495094636</v>
      </c>
      <c r="AH297">
        <v>15.8061465582665</v>
      </c>
      <c r="AI297">
        <v>93.877660266686107</v>
      </c>
      <c r="AJ297">
        <v>89.102514935737901</v>
      </c>
      <c r="AK297">
        <v>15.844358014472199</v>
      </c>
      <c r="AL297">
        <v>79.676805292458397</v>
      </c>
      <c r="AM297">
        <v>87.201272723142793</v>
      </c>
      <c r="AN297">
        <v>0.99999999583607802</v>
      </c>
    </row>
    <row r="298" spans="1:40" x14ac:dyDescent="0.25">
      <c r="A298" t="str">
        <f>"20190303170502778"</f>
        <v>20190303170502778</v>
      </c>
      <c r="B298" t="str">
        <f>"1551603902764689"</f>
        <v>1551603902764689</v>
      </c>
      <c r="C298" t="s">
        <v>40</v>
      </c>
      <c r="D298">
        <v>5.647996</v>
      </c>
      <c r="E298">
        <v>0.49098140000000001</v>
      </c>
      <c r="F298" t="s">
        <v>41</v>
      </c>
      <c r="G298">
        <v>-395.464</v>
      </c>
      <c r="H298" s="1">
        <v>-2.4274490000000001E-6</v>
      </c>
      <c r="I298">
        <v>366.80189999999999</v>
      </c>
      <c r="J298">
        <v>-411.81659999999999</v>
      </c>
      <c r="K298">
        <v>1.071526</v>
      </c>
      <c r="L298">
        <v>367.06119999999999</v>
      </c>
      <c r="M298">
        <v>0.99990959999999995</v>
      </c>
      <c r="N298">
        <v>-1.339454E-2</v>
      </c>
      <c r="O298">
        <v>-1.1454379999999999E-3</v>
      </c>
      <c r="P298">
        <v>0.9847574</v>
      </c>
      <c r="Q298">
        <v>0.1671125</v>
      </c>
      <c r="R298">
        <v>-4.8234319999999997E-2</v>
      </c>
      <c r="S298">
        <v>3.0769350000000002</v>
      </c>
      <c r="T298">
        <v>-0.19792899999999999</v>
      </c>
      <c r="U298">
        <v>-4.7943119999999999E-2</v>
      </c>
      <c r="V298">
        <v>4.7095869999999998E-2</v>
      </c>
      <c r="W298">
        <v>0.18029110000000001</v>
      </c>
      <c r="X298">
        <v>0.98248519999999995</v>
      </c>
      <c r="Y298">
        <v>1.439967E-2</v>
      </c>
      <c r="Z298">
        <v>-5.0093290000000003E-4</v>
      </c>
      <c r="AA298">
        <v>0.99989620000000001</v>
      </c>
      <c r="AB298">
        <v>21</v>
      </c>
      <c r="AC298">
        <v>16.352599999999899</v>
      </c>
      <c r="AD298">
        <v>-1.071528427449</v>
      </c>
      <c r="AE298">
        <v>-0.25929999999999598</v>
      </c>
      <c r="AF298">
        <v>0.23953900430879199</v>
      </c>
      <c r="AG298">
        <v>-1.071528427449</v>
      </c>
      <c r="AH298">
        <v>16.282989279711</v>
      </c>
      <c r="AI298">
        <v>93.764606667243598</v>
      </c>
      <c r="AJ298">
        <v>89.157182762467798</v>
      </c>
      <c r="AK298">
        <v>16.319966053537001</v>
      </c>
      <c r="AL298">
        <v>79.613284356121994</v>
      </c>
      <c r="AM298">
        <v>87.255601782784197</v>
      </c>
      <c r="AN298">
        <v>1.0000000349646501</v>
      </c>
    </row>
    <row r="299" spans="1:40" x14ac:dyDescent="0.25">
      <c r="A299" t="str">
        <f>"20190303170502801"</f>
        <v>20190303170502801</v>
      </c>
      <c r="B299" t="str">
        <f>"1551603902794946"</f>
        <v>1551603902794946</v>
      </c>
      <c r="C299" t="s">
        <v>40</v>
      </c>
      <c r="D299">
        <v>5.5312340000000004</v>
      </c>
      <c r="E299">
        <v>0.49054039999999999</v>
      </c>
      <c r="F299" t="s">
        <v>41</v>
      </c>
      <c r="G299">
        <v>-394.49709999999999</v>
      </c>
      <c r="H299" s="1">
        <v>-2.839061E-6</v>
      </c>
      <c r="I299">
        <v>366.81990000000002</v>
      </c>
      <c r="J299">
        <v>-411.59480000000002</v>
      </c>
      <c r="K299">
        <v>1.071542</v>
      </c>
      <c r="L299">
        <v>367.06099999999998</v>
      </c>
      <c r="M299">
        <v>0.99991010000000002</v>
      </c>
      <c r="N299">
        <v>-1.336973E-2</v>
      </c>
      <c r="O299">
        <v>-1.071572E-3</v>
      </c>
      <c r="P299">
        <v>0.98476810000000004</v>
      </c>
      <c r="Q299">
        <v>0.16727229999999901</v>
      </c>
      <c r="R299">
        <v>-4.7454570000000001E-2</v>
      </c>
      <c r="S299">
        <v>3.0765989999999999</v>
      </c>
      <c r="T299">
        <v>-0.19034280000000001</v>
      </c>
      <c r="U299">
        <v>-4.2846679999999998E-2</v>
      </c>
      <c r="V299">
        <v>4.6381529999999997E-2</v>
      </c>
      <c r="W299">
        <v>0.18042849999999999</v>
      </c>
      <c r="X299">
        <v>0.98249390000000003</v>
      </c>
      <c r="Y299">
        <v>1.282515E-2</v>
      </c>
      <c r="Z299">
        <v>-4.3026309999999999E-4</v>
      </c>
      <c r="AA299">
        <v>0.99991770000000002</v>
      </c>
      <c r="AB299">
        <v>21</v>
      </c>
      <c r="AC299">
        <v>17.0977</v>
      </c>
      <c r="AD299">
        <v>-1.0715448390610001</v>
      </c>
      <c r="AE299">
        <v>-0.24109999999996001</v>
      </c>
      <c r="AF299">
        <v>0.22190538966932899</v>
      </c>
      <c r="AG299">
        <v>-1.0715448390610001</v>
      </c>
      <c r="AH299">
        <v>17.0310678559797</v>
      </c>
      <c r="AI299">
        <v>93.599832209988193</v>
      </c>
      <c r="AJ299">
        <v>89.253509939834899</v>
      </c>
      <c r="AK299">
        <v>17.0661865294819</v>
      </c>
      <c r="AL299">
        <v>79.605280049338603</v>
      </c>
      <c r="AM299">
        <v>87.297189919637304</v>
      </c>
      <c r="AN299">
        <v>0.99999997673730001</v>
      </c>
    </row>
    <row r="300" spans="1:40" x14ac:dyDescent="0.25">
      <c r="A300" t="str">
        <f>"20190303170502825"</f>
        <v>20190303170502825</v>
      </c>
      <c r="B300" t="str">
        <f>"1551603902814465"</f>
        <v>1551603902814465</v>
      </c>
      <c r="C300" t="s">
        <v>40</v>
      </c>
      <c r="D300">
        <v>5.5308299999999999</v>
      </c>
      <c r="E300">
        <v>0.49027569999999998</v>
      </c>
      <c r="F300" t="s">
        <v>41</v>
      </c>
      <c r="G300">
        <v>-393.95409999999998</v>
      </c>
      <c r="H300" s="1">
        <v>-3.0680250000000002E-6</v>
      </c>
      <c r="I300">
        <v>366.8424</v>
      </c>
      <c r="J300">
        <v>-411.38080000000002</v>
      </c>
      <c r="K300">
        <v>1.07155</v>
      </c>
      <c r="L300">
        <v>367.0609</v>
      </c>
      <c r="M300">
        <v>0.99991099999999999</v>
      </c>
      <c r="N300">
        <v>-1.3314869999999999E-2</v>
      </c>
      <c r="O300">
        <v>-9.6927350000000005E-4</v>
      </c>
      <c r="P300">
        <v>0.98490200000000006</v>
      </c>
      <c r="Q300">
        <v>0.1666417</v>
      </c>
      <c r="R300">
        <v>-4.689024E-2</v>
      </c>
      <c r="S300">
        <v>3.0762939999999999</v>
      </c>
      <c r="T300">
        <v>-0.18686120000000001</v>
      </c>
      <c r="U300">
        <v>-3.8116459999999998E-2</v>
      </c>
      <c r="V300">
        <v>4.5911069999999998E-2</v>
      </c>
      <c r="W300">
        <v>0.17974789999999999</v>
      </c>
      <c r="X300">
        <v>0.98264070000000003</v>
      </c>
      <c r="Y300">
        <v>1.139562E-2</v>
      </c>
      <c r="Z300">
        <v>-3.7580030000000002E-4</v>
      </c>
      <c r="AA300">
        <v>0.99993500000000002</v>
      </c>
      <c r="AB300">
        <v>21</v>
      </c>
      <c r="AC300">
        <v>17.4267</v>
      </c>
      <c r="AD300">
        <v>-1.0715530680250001</v>
      </c>
      <c r="AE300">
        <v>-0.218500000000005</v>
      </c>
      <c r="AF300">
        <v>0.20084789361908401</v>
      </c>
      <c r="AG300">
        <v>-1.0715530680250001</v>
      </c>
      <c r="AH300">
        <v>17.361272418011801</v>
      </c>
      <c r="AI300">
        <v>93.531630099741193</v>
      </c>
      <c r="AJ300">
        <v>89.337190096944596</v>
      </c>
      <c r="AK300">
        <v>17.3954691177439</v>
      </c>
      <c r="AL300">
        <v>79.644923325289398</v>
      </c>
      <c r="AM300">
        <v>87.324964303574205</v>
      </c>
      <c r="AN300">
        <v>0.99999993959972</v>
      </c>
    </row>
    <row r="301" spans="1:40" x14ac:dyDescent="0.25">
      <c r="A301" t="str">
        <f>"20190303170502845"</f>
        <v>20190303170502845</v>
      </c>
      <c r="B301" t="str">
        <f>"1551603902834962"</f>
        <v>1551603902834962</v>
      </c>
      <c r="C301" t="s">
        <v>40</v>
      </c>
      <c r="D301">
        <v>5.5254640000000004</v>
      </c>
      <c r="E301">
        <v>0.4901585</v>
      </c>
      <c r="F301" t="s">
        <v>41</v>
      </c>
      <c r="G301">
        <v>-393.78390000000002</v>
      </c>
      <c r="H301" s="1">
        <v>-3.1379270000000002E-6</v>
      </c>
      <c r="I301">
        <v>366.85989999999998</v>
      </c>
      <c r="J301">
        <v>-411.1823</v>
      </c>
      <c r="K301">
        <v>1.0715429999999999</v>
      </c>
      <c r="L301">
        <v>367.0609</v>
      </c>
      <c r="M301">
        <v>0.99991240000000003</v>
      </c>
      <c r="N301">
        <v>-1.3218199999999999E-2</v>
      </c>
      <c r="O301">
        <v>-8.5289960000000005E-4</v>
      </c>
      <c r="P301">
        <v>0.98489599999999999</v>
      </c>
      <c r="Q301">
        <v>0.16686670000000001</v>
      </c>
      <c r="R301">
        <v>-4.6214249999999998E-2</v>
      </c>
      <c r="S301">
        <v>3.0760190000000001</v>
      </c>
      <c r="T301">
        <v>-0.18731149999999999</v>
      </c>
      <c r="U301">
        <v>-3.5125730000000001E-2</v>
      </c>
      <c r="V301">
        <v>4.5343189999999998E-2</v>
      </c>
      <c r="W301">
        <v>0.17987879999999901</v>
      </c>
      <c r="X301">
        <v>0.98264320000000005</v>
      </c>
      <c r="Y301">
        <v>1.054274E-2</v>
      </c>
      <c r="Z301">
        <v>-3.4982909999999999E-4</v>
      </c>
      <c r="AA301">
        <v>0.99994439999999996</v>
      </c>
      <c r="AB301">
        <v>21</v>
      </c>
      <c r="AC301">
        <v>17.398399999999899</v>
      </c>
      <c r="AD301">
        <v>-1.0715461379269999</v>
      </c>
      <c r="AE301">
        <v>-0.201000000000021</v>
      </c>
      <c r="AF301">
        <v>0.185456169628189</v>
      </c>
      <c r="AG301">
        <v>-1.0715461379269999</v>
      </c>
      <c r="AH301">
        <v>17.332827407132601</v>
      </c>
      <c r="AI301">
        <v>93.5374224919196</v>
      </c>
      <c r="AJ301">
        <v>89.386975356831201</v>
      </c>
      <c r="AK301">
        <v>17.3669085056036</v>
      </c>
      <c r="AL301">
        <v>79.637299911266297</v>
      </c>
      <c r="AM301">
        <v>87.358011704892803</v>
      </c>
      <c r="AN301">
        <v>1.0000000230375199</v>
      </c>
    </row>
    <row r="302" spans="1:40" x14ac:dyDescent="0.25">
      <c r="A302" t="str">
        <f>"20190303170502869"</f>
        <v>20190303170502869</v>
      </c>
      <c r="B302" t="str">
        <f>"1551603902854481"</f>
        <v>1551603902854481</v>
      </c>
      <c r="C302" t="s">
        <v>40</v>
      </c>
      <c r="D302">
        <v>5.4091690000000003</v>
      </c>
      <c r="E302">
        <v>0.49002269999999998</v>
      </c>
      <c r="F302" t="s">
        <v>41</v>
      </c>
      <c r="G302">
        <v>-393.43119999999999</v>
      </c>
      <c r="H302" s="1">
        <v>-3.2873080000000001E-6</v>
      </c>
      <c r="I302">
        <v>366.87079999999997</v>
      </c>
      <c r="J302">
        <v>-410.96589999999998</v>
      </c>
      <c r="K302">
        <v>1.0715250000000001</v>
      </c>
      <c r="L302">
        <v>367.06079999999997</v>
      </c>
      <c r="M302">
        <v>0.99991430000000003</v>
      </c>
      <c r="N302">
        <v>-1.307612E-2</v>
      </c>
      <c r="O302">
        <v>-7.1988819999999998E-4</v>
      </c>
      <c r="P302">
        <v>0.98485060000000002</v>
      </c>
      <c r="Q302">
        <v>0.1673055</v>
      </c>
      <c r="R302">
        <v>-4.5587919999999997E-2</v>
      </c>
      <c r="S302">
        <v>3.0759280000000002</v>
      </c>
      <c r="T302">
        <v>-0.18567729999999999</v>
      </c>
      <c r="U302">
        <v>-3.2928470000000001E-2</v>
      </c>
      <c r="V302">
        <v>4.4844330000000002E-2</v>
      </c>
      <c r="W302">
        <v>0.18017849999999999</v>
      </c>
      <c r="X302">
        <v>0.98261120000000002</v>
      </c>
      <c r="Y302">
        <v>9.9634230000000008E-3</v>
      </c>
      <c r="Z302">
        <v>-3.3164719999999998E-4</v>
      </c>
      <c r="AA302">
        <v>0.99995029999999996</v>
      </c>
      <c r="AB302">
        <v>21</v>
      </c>
      <c r="AC302">
        <v>17.534699999999901</v>
      </c>
      <c r="AD302">
        <v>-1.0715282873080001</v>
      </c>
      <c r="AE302">
        <v>-0.189999999999997</v>
      </c>
      <c r="AF302">
        <v>0.17671601326627001</v>
      </c>
      <c r="AG302">
        <v>-1.0715282873080001</v>
      </c>
      <c r="AH302">
        <v>17.469602956674802</v>
      </c>
      <c r="AI302">
        <v>93.509759252855901</v>
      </c>
      <c r="AJ302">
        <v>89.420436948337496</v>
      </c>
      <c r="AK302">
        <v>17.503326223426999</v>
      </c>
      <c r="AL302">
        <v>79.619843304695195</v>
      </c>
      <c r="AM302">
        <v>87.386953038153493</v>
      </c>
      <c r="AN302">
        <v>1.0000000380804099</v>
      </c>
    </row>
    <row r="303" spans="1:40" x14ac:dyDescent="0.25">
      <c r="A303" t="str">
        <f>"20190303170502891"</f>
        <v>20190303170502891</v>
      </c>
      <c r="B303" t="str">
        <f>"1551603902874978"</f>
        <v>1551603902874978</v>
      </c>
      <c r="C303" t="s">
        <v>40</v>
      </c>
      <c r="D303">
        <v>5.3403660000000004</v>
      </c>
      <c r="E303">
        <v>0.49001499999999998</v>
      </c>
      <c r="F303" t="s">
        <v>41</v>
      </c>
      <c r="G303">
        <v>-392.8963</v>
      </c>
      <c r="H303" s="1">
        <v>-3.5146479999999998E-6</v>
      </c>
      <c r="I303">
        <v>366.88290000000001</v>
      </c>
      <c r="J303">
        <v>-410.75229999999999</v>
      </c>
      <c r="K303">
        <v>1.071496</v>
      </c>
      <c r="L303">
        <v>367.06079999999997</v>
      </c>
      <c r="M303">
        <v>0.99991649999999999</v>
      </c>
      <c r="N303">
        <v>-1.2911000000000001E-2</v>
      </c>
      <c r="O303">
        <v>-5.861493E-4</v>
      </c>
      <c r="P303">
        <v>0.98481940000000001</v>
      </c>
      <c r="Q303">
        <v>0.16756379999999901</v>
      </c>
      <c r="R303">
        <v>-4.5313310000000002E-2</v>
      </c>
      <c r="S303">
        <v>3.075745</v>
      </c>
      <c r="T303">
        <v>-0.18239030000000001</v>
      </c>
      <c r="U303">
        <v>-3.0273439999999999E-2</v>
      </c>
      <c r="V303">
        <v>4.4700810000000001E-2</v>
      </c>
      <c r="W303">
        <v>0.18027370000000001</v>
      </c>
      <c r="X303">
        <v>0.98260020000000003</v>
      </c>
      <c r="Y303">
        <v>9.2368550000000004E-3</v>
      </c>
      <c r="Z303">
        <v>-3.0615569999999998E-4</v>
      </c>
      <c r="AA303">
        <v>0.99995730000000005</v>
      </c>
      <c r="AB303">
        <v>21</v>
      </c>
      <c r="AC303">
        <v>17.855999999999899</v>
      </c>
      <c r="AD303">
        <v>-1.071499514648</v>
      </c>
      <c r="AE303">
        <v>-0.177899999999965</v>
      </c>
      <c r="AF303">
        <v>0.16683212287624299</v>
      </c>
      <c r="AG303">
        <v>-1.071499514648</v>
      </c>
      <c r="AH303">
        <v>17.792039550377499</v>
      </c>
      <c r="AI303">
        <v>93.446240720246095</v>
      </c>
      <c r="AJ303">
        <v>89.462765560585595</v>
      </c>
      <c r="AK303">
        <v>17.825055835236899</v>
      </c>
      <c r="AL303">
        <v>79.6142971350598</v>
      </c>
      <c r="AM303">
        <v>87.395275191082604</v>
      </c>
      <c r="AN303">
        <v>0.99999996118319201</v>
      </c>
    </row>
    <row r="304" spans="1:40" x14ac:dyDescent="0.25">
      <c r="A304" t="str">
        <f>"20190303170502914"</f>
        <v>20190303170502914</v>
      </c>
      <c r="B304" t="str">
        <f>"1551603902905234"</f>
        <v>1551603902905234</v>
      </c>
      <c r="C304" t="s">
        <v>40</v>
      </c>
      <c r="D304">
        <v>5.4042539999999999</v>
      </c>
      <c r="E304">
        <v>0.48992639999999998</v>
      </c>
      <c r="F304" t="s">
        <v>41</v>
      </c>
      <c r="G304">
        <v>-392.4246</v>
      </c>
      <c r="H304" s="1">
        <v>-3.7171010000000002E-6</v>
      </c>
      <c r="I304">
        <v>366.88240000000002</v>
      </c>
      <c r="J304">
        <v>-410.5299</v>
      </c>
      <c r="K304">
        <v>1.0714429999999999</v>
      </c>
      <c r="L304">
        <v>367.0609</v>
      </c>
      <c r="M304">
        <v>0.99991929999999996</v>
      </c>
      <c r="N304">
        <v>-1.270986E-2</v>
      </c>
      <c r="O304">
        <v>-4.4501069999999999E-4</v>
      </c>
      <c r="P304">
        <v>0.98491079999999998</v>
      </c>
      <c r="Q304">
        <v>0.16697919999999999</v>
      </c>
      <c r="R304">
        <v>-4.548278E-2</v>
      </c>
      <c r="S304">
        <v>3.0754700000000001</v>
      </c>
      <c r="T304">
        <v>-0.17980070000000001</v>
      </c>
      <c r="U304">
        <v>-2.9937740000000001E-2</v>
      </c>
      <c r="V304">
        <v>4.5011750000000003E-2</v>
      </c>
      <c r="W304">
        <v>0.17949219999999999</v>
      </c>
      <c r="X304">
        <v>0.98272910000000002</v>
      </c>
      <c r="Y304">
        <v>9.2700660000000004E-3</v>
      </c>
      <c r="Z304">
        <v>-3.0937389999999998E-4</v>
      </c>
      <c r="AA304">
        <v>0.99995699999999998</v>
      </c>
      <c r="AB304">
        <v>21</v>
      </c>
      <c r="AC304">
        <v>18.1053</v>
      </c>
      <c r="AD304">
        <v>-1.07144671710099</v>
      </c>
      <c r="AE304">
        <v>-0.178499999999985</v>
      </c>
      <c r="AF304">
        <v>0.16984751387660399</v>
      </c>
      <c r="AG304">
        <v>-1.07144671710099</v>
      </c>
      <c r="AH304">
        <v>18.042198037813701</v>
      </c>
      <c r="AI304">
        <v>93.398402473886705</v>
      </c>
      <c r="AJ304">
        <v>89.460638985016203</v>
      </c>
      <c r="AK304">
        <v>18.074782330120701</v>
      </c>
      <c r="AL304">
        <v>79.659816658707896</v>
      </c>
      <c r="AM304">
        <v>87.377525413911499</v>
      </c>
      <c r="AN304">
        <v>0.99999999574285603</v>
      </c>
    </row>
    <row r="305" spans="1:40" x14ac:dyDescent="0.25">
      <c r="A305" t="str">
        <f>"20190303170502934"</f>
        <v>20190303170502934</v>
      </c>
      <c r="B305" t="str">
        <f>"1551603902924754"</f>
        <v>1551603902924754</v>
      </c>
      <c r="C305" t="s">
        <v>40</v>
      </c>
      <c r="D305">
        <v>5.4557440000000001</v>
      </c>
      <c r="E305">
        <v>0.52883049999999998</v>
      </c>
      <c r="F305" t="s">
        <v>41</v>
      </c>
      <c r="G305">
        <v>-392.3048</v>
      </c>
      <c r="H305" s="1">
        <v>-3.7681520000000001E-6</v>
      </c>
      <c r="I305">
        <v>366.88409999999999</v>
      </c>
      <c r="J305">
        <v>-410.3372</v>
      </c>
      <c r="K305">
        <v>1.0713999999999999</v>
      </c>
      <c r="L305">
        <v>367.0609</v>
      </c>
      <c r="M305">
        <v>0.99992179999999997</v>
      </c>
      <c r="N305">
        <v>-1.250769E-2</v>
      </c>
      <c r="O305">
        <v>-3.2273270000000002E-4</v>
      </c>
      <c r="P305">
        <v>0.98496729999999999</v>
      </c>
      <c r="Q305">
        <v>0.16637729999999901</v>
      </c>
      <c r="R305">
        <v>-4.6454870000000002E-2</v>
      </c>
      <c r="S305">
        <v>3.075256</v>
      </c>
      <c r="T305">
        <v>-0.1807927</v>
      </c>
      <c r="U305">
        <v>-2.9815669999999999E-2</v>
      </c>
      <c r="V305">
        <v>4.6107139999999998E-2</v>
      </c>
      <c r="W305">
        <v>0.17869189999999999</v>
      </c>
      <c r="X305">
        <v>0.98282409999999998</v>
      </c>
      <c r="Y305">
        <v>9.3529040000000004E-3</v>
      </c>
      <c r="Z305">
        <v>-3.1831649999999997E-4</v>
      </c>
      <c r="AA305">
        <v>0.99995619999999996</v>
      </c>
      <c r="AB305">
        <v>21</v>
      </c>
      <c r="AC305">
        <v>18.032399999999999</v>
      </c>
      <c r="AD305">
        <v>-1.0714037681519999</v>
      </c>
      <c r="AE305">
        <v>-0.176800000000014</v>
      </c>
      <c r="AF305">
        <v>0.17037847858213101</v>
      </c>
      <c r="AG305">
        <v>-1.0714037681519999</v>
      </c>
      <c r="AH305">
        <v>17.9690279645123</v>
      </c>
      <c r="AI305">
        <v>93.412069535678697</v>
      </c>
      <c r="AJ305">
        <v>89.456749957195299</v>
      </c>
      <c r="AK305">
        <v>18.0017471610341</v>
      </c>
      <c r="AL305">
        <v>79.706423399289307</v>
      </c>
      <c r="AM305">
        <v>87.314057439157494</v>
      </c>
      <c r="AN305">
        <v>0.999999937512697</v>
      </c>
    </row>
    <row r="306" spans="1:40" x14ac:dyDescent="0.25">
      <c r="A306" t="str">
        <f>"20190303170502956"</f>
        <v>20190303170502956</v>
      </c>
      <c r="B306" t="str">
        <f>"1551603902945250"</f>
        <v>1551603902945250</v>
      </c>
      <c r="C306" t="s">
        <v>40</v>
      </c>
      <c r="D306">
        <v>5.4033530000000001</v>
      </c>
      <c r="E306">
        <v>0.53489529999999996</v>
      </c>
      <c r="F306" t="s">
        <v>42</v>
      </c>
      <c r="G306">
        <v>-409.54520000000002</v>
      </c>
      <c r="H306">
        <v>0.96130930000000003</v>
      </c>
      <c r="I306">
        <v>366.97579999999999</v>
      </c>
      <c r="J306">
        <v>-410.1275</v>
      </c>
      <c r="K306">
        <v>1.0713490000000001</v>
      </c>
      <c r="L306">
        <v>367.06099999999998</v>
      </c>
      <c r="M306">
        <v>0.99992479999999995</v>
      </c>
      <c r="N306">
        <v>-1.2266890000000001E-2</v>
      </c>
      <c r="O306">
        <v>-1.9344039999999999E-4</v>
      </c>
      <c r="P306">
        <v>0.98497619999999997</v>
      </c>
      <c r="Q306">
        <v>0.1661136</v>
      </c>
      <c r="R306">
        <v>-4.720804E-2</v>
      </c>
      <c r="S306">
        <v>3.1029659999999999</v>
      </c>
      <c r="T306">
        <v>-0.43142340000000001</v>
      </c>
      <c r="U306">
        <v>-0.33251950000000002</v>
      </c>
      <c r="V306">
        <v>4.69901E-2</v>
      </c>
      <c r="W306">
        <v>0.17819090000000001</v>
      </c>
      <c r="X306">
        <v>0.98287329999999995</v>
      </c>
      <c r="Y306">
        <v>0.1052698</v>
      </c>
      <c r="Z306">
        <v>-7.8891399999999993E-3</v>
      </c>
      <c r="AA306">
        <v>0.99441239999999997</v>
      </c>
      <c r="AB306">
        <v>21</v>
      </c>
      <c r="AC306">
        <v>0.58229999999997495</v>
      </c>
      <c r="AD306">
        <v>-0.110039699999999</v>
      </c>
      <c r="AE306">
        <v>-8.5199999999986106E-2</v>
      </c>
      <c r="AF306">
        <v>8.2212957352559499E-2</v>
      </c>
      <c r="AG306">
        <v>-0.110039699999999</v>
      </c>
      <c r="AH306">
        <v>0.56264485218989102</v>
      </c>
      <c r="AI306">
        <v>100.952537970751</v>
      </c>
      <c r="AJ306">
        <v>81.686843571843596</v>
      </c>
      <c r="AK306">
        <v>0.57916917703597404</v>
      </c>
      <c r="AL306">
        <v>79.735597401865704</v>
      </c>
      <c r="AM306">
        <v>87.262835468948893</v>
      </c>
      <c r="AN306">
        <v>0.999999995096855</v>
      </c>
    </row>
    <row r="307" spans="1:40" x14ac:dyDescent="0.25">
      <c r="A307" t="str">
        <f>"20190303170502979"</f>
        <v>20190303170502979</v>
      </c>
      <c r="B307" t="str">
        <f>"1551603902964770"</f>
        <v>1551603902964770</v>
      </c>
      <c r="C307" t="s">
        <v>40</v>
      </c>
      <c r="D307">
        <v>5.3667610000000003</v>
      </c>
      <c r="E307">
        <v>0.53709600000000002</v>
      </c>
      <c r="F307" t="s">
        <v>42</v>
      </c>
      <c r="G307">
        <v>-409.3655</v>
      </c>
      <c r="H307">
        <v>0.94069150000000001</v>
      </c>
      <c r="I307">
        <v>366.96800000000002</v>
      </c>
      <c r="J307">
        <v>-409.91849999999999</v>
      </c>
      <c r="K307">
        <v>1.0713109999999999</v>
      </c>
      <c r="L307">
        <v>367.06110000000001</v>
      </c>
      <c r="M307">
        <v>0.99992780000000003</v>
      </c>
      <c r="N307">
        <v>-1.2023300000000001E-2</v>
      </c>
      <c r="O307" s="1">
        <v>-7.0684170000000001E-5</v>
      </c>
      <c r="P307">
        <v>0.98491910000000005</v>
      </c>
      <c r="Q307">
        <v>0.16647049999999999</v>
      </c>
      <c r="R307">
        <v>-4.7140750000000002E-2</v>
      </c>
      <c r="S307">
        <v>3.117737</v>
      </c>
      <c r="T307">
        <v>-0.53466499999999995</v>
      </c>
      <c r="U307">
        <v>-0.3788147</v>
      </c>
      <c r="V307">
        <v>4.7045389999999999E-2</v>
      </c>
      <c r="W307">
        <v>0.1783072</v>
      </c>
      <c r="X307">
        <v>0.98284959999999999</v>
      </c>
      <c r="Y307">
        <v>0.1187159</v>
      </c>
      <c r="Z307">
        <v>-1.078001E-2</v>
      </c>
      <c r="AA307">
        <v>0.99286969999999997</v>
      </c>
      <c r="AB307">
        <v>21</v>
      </c>
      <c r="AC307">
        <v>0.55299999999999705</v>
      </c>
      <c r="AD307">
        <v>-0.1306195</v>
      </c>
      <c r="AE307">
        <v>-9.3099999999992605E-2</v>
      </c>
      <c r="AF307">
        <v>8.8271852486775104E-2</v>
      </c>
      <c r="AG307">
        <v>-0.1306195</v>
      </c>
      <c r="AH307">
        <v>0.52454801882184499</v>
      </c>
      <c r="AI307">
        <v>103.796604178713</v>
      </c>
      <c r="AJ307">
        <v>80.447665640497107</v>
      </c>
      <c r="AK307">
        <v>0.54772620694250196</v>
      </c>
      <c r="AL307">
        <v>79.728825828070896</v>
      </c>
      <c r="AM307">
        <v>87.259553763726203</v>
      </c>
      <c r="AN307">
        <v>1.0000000312561199</v>
      </c>
    </row>
    <row r="308" spans="1:40" x14ac:dyDescent="0.25">
      <c r="A308" t="str">
        <f>"20190303170503002"</f>
        <v>20190303170503002</v>
      </c>
      <c r="B308" t="str">
        <f>"1551603902995026"</f>
        <v>1551603902995026</v>
      </c>
      <c r="C308" t="s">
        <v>40</v>
      </c>
      <c r="D308">
        <v>5.3798640000000004</v>
      </c>
      <c r="E308">
        <v>0.53908100000000003</v>
      </c>
      <c r="F308" t="s">
        <v>42</v>
      </c>
      <c r="G308">
        <v>-409.18209999999999</v>
      </c>
      <c r="H308">
        <v>0.92693579999999998</v>
      </c>
      <c r="I308">
        <v>366.96820000000002</v>
      </c>
      <c r="J308">
        <v>-409.69409999999999</v>
      </c>
      <c r="K308">
        <v>1.0712809999999999</v>
      </c>
      <c r="L308">
        <v>367.06119999999999</v>
      </c>
      <c r="M308">
        <v>0.99993069999999895</v>
      </c>
      <c r="N308">
        <v>-1.1775549999999999E-2</v>
      </c>
      <c r="O308" s="1">
        <v>5.4181100000000002E-5</v>
      </c>
      <c r="P308">
        <v>0.98476209999999997</v>
      </c>
      <c r="Q308">
        <v>0.16740339999999901</v>
      </c>
      <c r="R308">
        <v>-4.7118050000000002E-2</v>
      </c>
      <c r="S308">
        <v>3.13089</v>
      </c>
      <c r="T308">
        <v>-0.61410830000000005</v>
      </c>
      <c r="U308">
        <v>-0.39282230000000001</v>
      </c>
      <c r="V308">
        <v>4.7146449999999999E-2</v>
      </c>
      <c r="W308">
        <v>0.1789945</v>
      </c>
      <c r="X308">
        <v>0.98271980000000003</v>
      </c>
      <c r="Y308">
        <v>0.1221105</v>
      </c>
      <c r="Z308">
        <v>-1.2556370000000001E-2</v>
      </c>
      <c r="AA308">
        <v>0.99243709999999996</v>
      </c>
      <c r="AB308">
        <v>21</v>
      </c>
      <c r="AC308">
        <v>0.51200000000000001</v>
      </c>
      <c r="AD308">
        <v>-0.14434519999999901</v>
      </c>
      <c r="AE308">
        <v>-9.2999999999960795E-2</v>
      </c>
      <c r="AF308">
        <v>8.6381332077087702E-2</v>
      </c>
      <c r="AG308">
        <v>-0.14434519999999901</v>
      </c>
      <c r="AH308">
        <v>0.47541524144921299</v>
      </c>
      <c r="AI308">
        <v>106.632368513909</v>
      </c>
      <c r="AJ308">
        <v>79.701896987493001</v>
      </c>
      <c r="AK308">
        <v>0.50429844645474098</v>
      </c>
      <c r="AL308">
        <v>79.688802366068103</v>
      </c>
      <c r="AM308">
        <v>87.2533137237793</v>
      </c>
      <c r="AN308">
        <v>1.0000000120449399</v>
      </c>
    </row>
    <row r="309" spans="1:40" x14ac:dyDescent="0.25">
      <c r="A309" t="str">
        <f>"20190303170503025"</f>
        <v>20190303170503025</v>
      </c>
      <c r="B309" t="str">
        <f>"1551603903014545"</f>
        <v>1551603903014545</v>
      </c>
      <c r="C309" t="s">
        <v>40</v>
      </c>
      <c r="D309">
        <v>5.392042</v>
      </c>
      <c r="E309">
        <v>0.53970439999999997</v>
      </c>
      <c r="F309" t="s">
        <v>42</v>
      </c>
      <c r="G309">
        <v>-408.9939</v>
      </c>
      <c r="H309">
        <v>0.92243529999999996</v>
      </c>
      <c r="I309">
        <v>366.97050000000002</v>
      </c>
      <c r="J309">
        <v>-409.48630000000003</v>
      </c>
      <c r="K309">
        <v>1.0712569999999999</v>
      </c>
      <c r="L309">
        <v>367.06139999999999</v>
      </c>
      <c r="M309">
        <v>0.99993310000000002</v>
      </c>
      <c r="N309">
        <v>-1.156389E-2</v>
      </c>
      <c r="O309">
        <v>1.6529199999999999E-4</v>
      </c>
      <c r="P309">
        <v>0.9846838</v>
      </c>
      <c r="Q309">
        <v>0.16794389999999901</v>
      </c>
      <c r="R309">
        <v>-4.6823919999999998E-2</v>
      </c>
      <c r="S309">
        <v>3.1404719999999999</v>
      </c>
      <c r="T309">
        <v>-0.66756890000000002</v>
      </c>
      <c r="U309">
        <v>-0.40655520000000001</v>
      </c>
      <c r="V309">
        <v>4.6962379999999998E-2</v>
      </c>
      <c r="W309">
        <v>0.1793257</v>
      </c>
      <c r="X309">
        <v>0.98266819999999999</v>
      </c>
      <c r="Y309">
        <v>0.1256293</v>
      </c>
      <c r="Z309">
        <v>-1.392236E-2</v>
      </c>
      <c r="AA309">
        <v>0.99197950000000001</v>
      </c>
      <c r="AB309">
        <v>21</v>
      </c>
      <c r="AC309">
        <v>0.49240000000003098</v>
      </c>
      <c r="AD309">
        <v>-0.148821699999999</v>
      </c>
      <c r="AE309">
        <v>-9.0899999999976402E-2</v>
      </c>
      <c r="AF309">
        <v>8.3596712706853496E-2</v>
      </c>
      <c r="AG309">
        <v>-0.148821699999999</v>
      </c>
      <c r="AH309">
        <v>0.45241958651366199</v>
      </c>
      <c r="AI309">
        <v>107.924863558973</v>
      </c>
      <c r="AJ309">
        <v>79.531139086856101</v>
      </c>
      <c r="AK309">
        <v>0.48354916092107503</v>
      </c>
      <c r="AL309">
        <v>79.669513597140593</v>
      </c>
      <c r="AM309">
        <v>87.263877610398794</v>
      </c>
      <c r="AN309">
        <v>0.99999998155349701</v>
      </c>
    </row>
    <row r="310" spans="1:40" x14ac:dyDescent="0.25">
      <c r="A310" t="str">
        <f>"20190303170503045"</f>
        <v>20190303170503045</v>
      </c>
      <c r="B310" t="str">
        <f>"1551603903035042"</f>
        <v>1551603903035042</v>
      </c>
      <c r="C310" t="s">
        <v>40</v>
      </c>
      <c r="D310">
        <v>5.4216949999999997</v>
      </c>
      <c r="E310">
        <v>0.54015500000000005</v>
      </c>
      <c r="F310" t="s">
        <v>42</v>
      </c>
      <c r="G310">
        <v>-408.62990000000002</v>
      </c>
      <c r="H310">
        <v>0.8843879</v>
      </c>
      <c r="I310">
        <v>366.94959999999998</v>
      </c>
      <c r="J310">
        <v>-409.28410000000002</v>
      </c>
      <c r="K310">
        <v>1.071232</v>
      </c>
      <c r="L310">
        <v>367.0616</v>
      </c>
      <c r="M310">
        <v>0.99993540000000003</v>
      </c>
      <c r="N310">
        <v>-1.137319E-2</v>
      </c>
      <c r="O310">
        <v>2.6713079999999997E-4</v>
      </c>
      <c r="P310">
        <v>0.98474349999999999</v>
      </c>
      <c r="Q310">
        <v>0.16775899999999999</v>
      </c>
      <c r="R310">
        <v>-4.6232290000000002E-2</v>
      </c>
      <c r="S310">
        <v>3.144196</v>
      </c>
      <c r="T310">
        <v>-0.68610729999999998</v>
      </c>
      <c r="U310">
        <v>-0.40978999999999999</v>
      </c>
      <c r="V310">
        <v>4.647188E-2</v>
      </c>
      <c r="W310">
        <v>0.17895420000000001</v>
      </c>
      <c r="X310">
        <v>0.98275919999999894</v>
      </c>
      <c r="Y310">
        <v>0.12641479999999999</v>
      </c>
      <c r="Z310">
        <v>-1.4361860000000001E-2</v>
      </c>
      <c r="AA310">
        <v>0.99187349999999996</v>
      </c>
      <c r="AB310">
        <v>21</v>
      </c>
      <c r="AC310">
        <v>0.654200000000002</v>
      </c>
      <c r="AD310">
        <v>-0.18684409999999901</v>
      </c>
      <c r="AE310">
        <v>-0.112000000000023</v>
      </c>
      <c r="AF310">
        <v>0.103937837456987</v>
      </c>
      <c r="AG310">
        <v>-0.18684409999999901</v>
      </c>
      <c r="AH310">
        <v>0.60613473456423905</v>
      </c>
      <c r="AI310">
        <v>106.899863397026</v>
      </c>
      <c r="AJ310">
        <v>80.269756091164396</v>
      </c>
      <c r="AK310">
        <v>0.64273875579842399</v>
      </c>
      <c r="AL310">
        <v>79.691148562951099</v>
      </c>
      <c r="AM310">
        <v>87.292662713156801</v>
      </c>
      <c r="AN310">
        <v>0.99999994325650499</v>
      </c>
    </row>
    <row r="311" spans="1:40" x14ac:dyDescent="0.25">
      <c r="A311" t="str">
        <f>"20190303170503068"</f>
        <v>20190303170503068</v>
      </c>
      <c r="B311" t="str">
        <f>"1551603903054562"</f>
        <v>1551603903054562</v>
      </c>
      <c r="C311" t="s">
        <v>40</v>
      </c>
      <c r="D311">
        <v>5.4098930000000003</v>
      </c>
      <c r="E311">
        <v>0.54028959999999904</v>
      </c>
      <c r="F311" t="s">
        <v>42</v>
      </c>
      <c r="G311">
        <v>-408.4391</v>
      </c>
      <c r="H311">
        <v>0.88323119999999999</v>
      </c>
      <c r="I311">
        <v>366.95060000000001</v>
      </c>
      <c r="J311">
        <v>-409.0675</v>
      </c>
      <c r="K311">
        <v>1.0712109999999999</v>
      </c>
      <c r="L311">
        <v>367.06169999999997</v>
      </c>
      <c r="M311">
        <v>0.99993730000000003</v>
      </c>
      <c r="N311">
        <v>-1.118651E-2</v>
      </c>
      <c r="O311">
        <v>3.7092329999999999E-4</v>
      </c>
      <c r="P311">
        <v>0.98485730000000005</v>
      </c>
      <c r="Q311">
        <v>0.1672921</v>
      </c>
      <c r="R311">
        <v>-4.5490620000000002E-2</v>
      </c>
      <c r="S311">
        <v>3.1464539999999999</v>
      </c>
      <c r="T311">
        <v>-0.70014849999999995</v>
      </c>
      <c r="U311">
        <v>-0.41165160000000001</v>
      </c>
      <c r="V311">
        <v>4.5834600000000003E-2</v>
      </c>
      <c r="W311">
        <v>0.178304399999999</v>
      </c>
      <c r="X311">
        <v>0.98290730000000004</v>
      </c>
      <c r="Y311">
        <v>0.12687380000000001</v>
      </c>
      <c r="Z311">
        <v>-1.468701E-2</v>
      </c>
      <c r="AA311">
        <v>0.99181010000000003</v>
      </c>
      <c r="AB311">
        <v>21</v>
      </c>
      <c r="AC311">
        <v>0.62839999999999896</v>
      </c>
      <c r="AD311">
        <v>-0.1879798</v>
      </c>
      <c r="AE311">
        <v>-0.11109999999996401</v>
      </c>
      <c r="AF311">
        <v>0.10244377739225</v>
      </c>
      <c r="AG311">
        <v>-0.1879798</v>
      </c>
      <c r="AH311">
        <v>0.57818785387981197</v>
      </c>
      <c r="AI311">
        <v>107.751571539639</v>
      </c>
      <c r="AJ311">
        <v>79.952562696420898</v>
      </c>
      <c r="AK311">
        <v>0.61654872241257297</v>
      </c>
      <c r="AL311">
        <v>79.7289887002309</v>
      </c>
      <c r="AM311">
        <v>87.330136728987597</v>
      </c>
      <c r="AN311">
        <v>1.0000000150049</v>
      </c>
    </row>
    <row r="312" spans="1:40" x14ac:dyDescent="0.25">
      <c r="A312" t="str">
        <f>"20190303170503091"</f>
        <v>20190303170503091</v>
      </c>
      <c r="B312" t="str">
        <f>"1551603903084817"</f>
        <v>1551603903084817</v>
      </c>
      <c r="C312" t="s">
        <v>40</v>
      </c>
      <c r="D312">
        <v>5.4403370000000004</v>
      </c>
      <c r="E312">
        <v>0.54029300000000002</v>
      </c>
      <c r="F312" t="s">
        <v>42</v>
      </c>
      <c r="G312">
        <v>-408.24639999999999</v>
      </c>
      <c r="H312">
        <v>0.88587510000000003</v>
      </c>
      <c r="I312">
        <v>366.9545</v>
      </c>
      <c r="J312">
        <v>-408.83920000000001</v>
      </c>
      <c r="K312">
        <v>1.071191</v>
      </c>
      <c r="L312">
        <v>367.06200000000001</v>
      </c>
      <c r="M312">
        <v>0.99993940000000003</v>
      </c>
      <c r="N312">
        <v>-1.100399E-2</v>
      </c>
      <c r="O312">
        <v>4.6788610000000002E-4</v>
      </c>
      <c r="P312">
        <v>0.98483149999999997</v>
      </c>
      <c r="Q312">
        <v>0.16768179999999999</v>
      </c>
      <c r="R312">
        <v>-4.4606979999999997E-2</v>
      </c>
      <c r="S312">
        <v>3.1478579999999998</v>
      </c>
      <c r="T312">
        <v>-0.71052689999999996</v>
      </c>
      <c r="U312">
        <v>-0.41107179999999999</v>
      </c>
      <c r="V312">
        <v>4.5050460000000001E-2</v>
      </c>
      <c r="W312">
        <v>0.1785127</v>
      </c>
      <c r="X312">
        <v>0.98290569999999999</v>
      </c>
      <c r="Y312">
        <v>0.1266497</v>
      </c>
      <c r="Z312">
        <v>-1.4866010000000001E-2</v>
      </c>
      <c r="AA312">
        <v>0.9918361</v>
      </c>
      <c r="AB312">
        <v>21</v>
      </c>
      <c r="AC312">
        <v>0.59280000000001098</v>
      </c>
      <c r="AD312">
        <v>-0.18531590000000001</v>
      </c>
      <c r="AE312">
        <v>-0.107499999999959</v>
      </c>
      <c r="AF312">
        <v>9.8461499084359194E-2</v>
      </c>
      <c r="AG312">
        <v>-0.18531590000000001</v>
      </c>
      <c r="AH312">
        <v>0.54151459362735399</v>
      </c>
      <c r="AI312">
        <v>108.608238630738</v>
      </c>
      <c r="AJ312">
        <v>79.694713097863001</v>
      </c>
      <c r="AK312">
        <v>0.58075356624488095</v>
      </c>
      <c r="AL312">
        <v>79.7168589412356</v>
      </c>
      <c r="AM312">
        <v>87.375744173402396</v>
      </c>
      <c r="AN312">
        <v>0.99999997154999498</v>
      </c>
    </row>
    <row r="313" spans="1:40" x14ac:dyDescent="0.25">
      <c r="A313" t="str">
        <f>"20190303170503115"</f>
        <v>20190303170503115</v>
      </c>
      <c r="B313" t="str">
        <f>"1551603903104337"</f>
        <v>1551603903104337</v>
      </c>
      <c r="C313" t="s">
        <v>40</v>
      </c>
      <c r="D313">
        <v>5.4255839999999997</v>
      </c>
      <c r="E313">
        <v>0.54033880000000001</v>
      </c>
      <c r="F313" t="s">
        <v>42</v>
      </c>
      <c r="G313">
        <v>-408.05180000000001</v>
      </c>
      <c r="H313">
        <v>0.89164969999999999</v>
      </c>
      <c r="I313">
        <v>366.95909999999998</v>
      </c>
      <c r="J313">
        <v>-408.61750000000001</v>
      </c>
      <c r="K313">
        <v>1.0711630000000001</v>
      </c>
      <c r="L313">
        <v>367.06220000000002</v>
      </c>
      <c r="M313">
        <v>0.99994130000000003</v>
      </c>
      <c r="N313">
        <v>-1.082936E-2</v>
      </c>
      <c r="O313">
        <v>5.4249980000000005E-4</v>
      </c>
      <c r="P313">
        <v>0.98477740000000002</v>
      </c>
      <c r="Q313">
        <v>0.1681685</v>
      </c>
      <c r="R313">
        <v>-4.3969569999999999E-2</v>
      </c>
      <c r="S313">
        <v>3.1499630000000001</v>
      </c>
      <c r="T313">
        <v>-0.71831020000000001</v>
      </c>
      <c r="U313">
        <v>-0.40963749999999999</v>
      </c>
      <c r="V313">
        <v>4.4492299999999999E-2</v>
      </c>
      <c r="W313">
        <v>0.1788256</v>
      </c>
      <c r="X313">
        <v>0.98287429999999998</v>
      </c>
      <c r="Y313">
        <v>0.12614259999999999</v>
      </c>
      <c r="Z313">
        <v>-1.495374E-2</v>
      </c>
      <c r="AA313">
        <v>0.99189939999999999</v>
      </c>
      <c r="AB313">
        <v>21</v>
      </c>
      <c r="AC313">
        <v>0.56569999999999199</v>
      </c>
      <c r="AD313">
        <v>-0.17951329999999899</v>
      </c>
      <c r="AE313">
        <v>-0.10310000000004001</v>
      </c>
      <c r="AF313">
        <v>9.4223773067287298E-2</v>
      </c>
      <c r="AG313">
        <v>-0.17951329999999899</v>
      </c>
      <c r="AH313">
        <v>0.51541157102170998</v>
      </c>
      <c r="AI313">
        <v>108.912130437488</v>
      </c>
      <c r="AJ313">
        <v>79.640005764582597</v>
      </c>
      <c r="AK313">
        <v>0.55385217507110396</v>
      </c>
      <c r="AL313">
        <v>79.698638454690894</v>
      </c>
      <c r="AM313">
        <v>87.408130517691603</v>
      </c>
      <c r="AN313">
        <v>1.00000002478756</v>
      </c>
    </row>
    <row r="314" spans="1:40" x14ac:dyDescent="0.25">
      <c r="A314" t="str">
        <f>"20190303170503136"</f>
        <v>20190303170503136</v>
      </c>
      <c r="B314" t="str">
        <f>"1551603903124835"</f>
        <v>1551603903124835</v>
      </c>
      <c r="C314" t="s">
        <v>40</v>
      </c>
      <c r="D314">
        <v>5.4406230000000004</v>
      </c>
      <c r="E314">
        <v>0.54039780000000004</v>
      </c>
      <c r="F314" t="s">
        <v>42</v>
      </c>
      <c r="G314">
        <v>-407.8569</v>
      </c>
      <c r="H314">
        <v>0.89714300000000002</v>
      </c>
      <c r="I314">
        <v>366.96359999999999</v>
      </c>
      <c r="J314">
        <v>-408.41090000000003</v>
      </c>
      <c r="K314">
        <v>1.071126</v>
      </c>
      <c r="L314">
        <v>367.06229999999999</v>
      </c>
      <c r="M314">
        <v>0.99994309999999997</v>
      </c>
      <c r="N314">
        <v>-1.0658859999999999E-2</v>
      </c>
      <c r="O314">
        <v>5.9016540000000005E-4</v>
      </c>
      <c r="P314">
        <v>0.98472130000000002</v>
      </c>
      <c r="Q314">
        <v>0.16874929999999999</v>
      </c>
      <c r="R314">
        <v>-4.2990729999999998E-2</v>
      </c>
      <c r="S314">
        <v>3.1512760000000002</v>
      </c>
      <c r="T314">
        <v>-0.72100410000000004</v>
      </c>
      <c r="U314">
        <v>-0.40823359999999997</v>
      </c>
      <c r="V314">
        <v>4.3567620000000001E-2</v>
      </c>
      <c r="W314">
        <v>0.1792366</v>
      </c>
      <c r="X314">
        <v>0.98284079999999996</v>
      </c>
      <c r="Y314">
        <v>0.1256939</v>
      </c>
      <c r="Z314">
        <v>-1.494704E-2</v>
      </c>
      <c r="AA314">
        <v>0.99195650000000002</v>
      </c>
      <c r="AB314">
        <v>21</v>
      </c>
      <c r="AC314">
        <v>0.55400000000003002</v>
      </c>
      <c r="AD314">
        <v>-0.173983</v>
      </c>
      <c r="AE314">
        <v>-9.8700000000008004E-2</v>
      </c>
      <c r="AF314">
        <v>9.0386669806082204E-2</v>
      </c>
      <c r="AG314">
        <v>-0.173983</v>
      </c>
      <c r="AH314">
        <v>0.50560922636573902</v>
      </c>
      <c r="AI314">
        <v>108.713069625534</v>
      </c>
      <c r="AJ314">
        <v>79.864422872890003</v>
      </c>
      <c r="AK314">
        <v>0.542291917839272</v>
      </c>
      <c r="AL314">
        <v>79.674702576444503</v>
      </c>
      <c r="AM314">
        <v>87.461839555918402</v>
      </c>
      <c r="AN314">
        <v>0.99999996721833095</v>
      </c>
    </row>
    <row r="315" spans="1:40" x14ac:dyDescent="0.25">
      <c r="A315" t="str">
        <f>"20190303170503158"</f>
        <v>20190303170503158</v>
      </c>
      <c r="B315" t="str">
        <f>"1551603903144353"</f>
        <v>1551603903144353</v>
      </c>
      <c r="C315" t="s">
        <v>40</v>
      </c>
      <c r="D315">
        <v>5.4279529999999996</v>
      </c>
      <c r="E315">
        <v>0.54038090000000005</v>
      </c>
      <c r="F315" t="s">
        <v>42</v>
      </c>
      <c r="G315">
        <v>-407.6628</v>
      </c>
      <c r="H315">
        <v>0.89975689999999997</v>
      </c>
      <c r="I315">
        <v>366.96530000000001</v>
      </c>
      <c r="J315">
        <v>-408.1961</v>
      </c>
      <c r="K315">
        <v>1.0710820000000001</v>
      </c>
      <c r="L315">
        <v>367.0625</v>
      </c>
      <c r="M315">
        <v>0.99994510000000003</v>
      </c>
      <c r="N315">
        <v>-1.046279E-2</v>
      </c>
      <c r="O315">
        <v>6.1929050000000005E-4</v>
      </c>
      <c r="P315">
        <v>0.98479749999999999</v>
      </c>
      <c r="Q315">
        <v>0.16830149999999999</v>
      </c>
      <c r="R315">
        <v>-4.2992580000000002E-2</v>
      </c>
      <c r="S315">
        <v>3.1525569999999998</v>
      </c>
      <c r="T315">
        <v>-0.72226689999999905</v>
      </c>
      <c r="U315">
        <v>-0.40661619999999998</v>
      </c>
      <c r="V315">
        <v>4.3605810000000002E-2</v>
      </c>
      <c r="W315">
        <v>0.17859529999999901</v>
      </c>
      <c r="X315">
        <v>0.98295589999999999</v>
      </c>
      <c r="Y315">
        <v>0.1251777</v>
      </c>
      <c r="Z315">
        <v>-1.489918E-2</v>
      </c>
      <c r="AA315">
        <v>0.99202250000000003</v>
      </c>
      <c r="AB315">
        <v>22</v>
      </c>
      <c r="AC315">
        <v>0.533299999999997</v>
      </c>
      <c r="AD315">
        <v>-0.17132509999999901</v>
      </c>
      <c r="AE315">
        <v>-9.7199999999986603E-2</v>
      </c>
      <c r="AF315">
        <v>8.8673036914723502E-2</v>
      </c>
      <c r="AG315">
        <v>-0.17132509999999901</v>
      </c>
      <c r="AH315">
        <v>0.484813432568031</v>
      </c>
      <c r="AI315">
        <v>109.168320329366</v>
      </c>
      <c r="AJ315">
        <v>79.635089348799696</v>
      </c>
      <c r="AK315">
        <v>0.52178468908553299</v>
      </c>
      <c r="AL315">
        <v>79.712049566416098</v>
      </c>
      <c r="AM315">
        <v>87.459914676515396</v>
      </c>
      <c r="AN315">
        <v>1.0000000245963201</v>
      </c>
    </row>
    <row r="316" spans="1:40" x14ac:dyDescent="0.25">
      <c r="A316" t="str">
        <f>"20190303170503192"</f>
        <v>20190303170503192</v>
      </c>
      <c r="B316" t="str">
        <f>"1551603903184370"</f>
        <v>1551603903184370</v>
      </c>
      <c r="C316" t="s">
        <v>40</v>
      </c>
      <c r="D316">
        <v>5.4485519999999896</v>
      </c>
      <c r="E316">
        <v>0.54028240000000005</v>
      </c>
      <c r="F316" t="s">
        <v>42</v>
      </c>
      <c r="G316">
        <v>-407.46789999999999</v>
      </c>
      <c r="H316">
        <v>0.90308339999999998</v>
      </c>
      <c r="I316">
        <v>366.96899999999999</v>
      </c>
      <c r="J316">
        <v>-407.87439999999998</v>
      </c>
      <c r="K316">
        <v>1.0710029999999999</v>
      </c>
      <c r="L316">
        <v>367.06270000000001</v>
      </c>
      <c r="M316">
        <v>0.99994870000000002</v>
      </c>
      <c r="N316">
        <v>-1.010551E-2</v>
      </c>
      <c r="O316">
        <v>6.3038009999999997E-4</v>
      </c>
      <c r="P316">
        <v>0.9849559</v>
      </c>
      <c r="Q316">
        <v>0.16718339999999901</v>
      </c>
      <c r="R316">
        <v>-4.3721089999999997E-2</v>
      </c>
      <c r="S316">
        <v>3.1529539999999998</v>
      </c>
      <c r="T316">
        <v>-0.72736330000000005</v>
      </c>
      <c r="U316">
        <v>-0.40502929999999998</v>
      </c>
      <c r="V316">
        <v>4.4353240000000002E-2</v>
      </c>
      <c r="W316">
        <v>0.17712510000000001</v>
      </c>
      <c r="X316">
        <v>0.98318850000000002</v>
      </c>
      <c r="Y316">
        <v>0.1246554</v>
      </c>
      <c r="Z316">
        <v>-1.4913849999999999E-2</v>
      </c>
      <c r="AA316">
        <v>0.99208799999999997</v>
      </c>
      <c r="AB316">
        <v>22</v>
      </c>
      <c r="AC316">
        <v>0.40649999999999398</v>
      </c>
      <c r="AD316">
        <v>-0.1679196</v>
      </c>
      <c r="AE316">
        <v>-9.3700000000012496E-2</v>
      </c>
      <c r="AF316">
        <v>8.0855178527627095E-2</v>
      </c>
      <c r="AG316">
        <v>-0.1679196</v>
      </c>
      <c r="AH316">
        <v>0.34976757328809799</v>
      </c>
      <c r="AI316">
        <v>115.06801463177599</v>
      </c>
      <c r="AJ316">
        <v>76.983675719064806</v>
      </c>
      <c r="AK316">
        <v>0.39632298354087298</v>
      </c>
      <c r="AL316">
        <v>79.797651127229898</v>
      </c>
      <c r="AM316">
        <v>87.417044957085196</v>
      </c>
      <c r="AN316">
        <v>1.0000000687403701</v>
      </c>
    </row>
    <row r="317" spans="1:40" x14ac:dyDescent="0.25">
      <c r="A317" t="str">
        <f>"20190303170503214"</f>
        <v>20190303170503214</v>
      </c>
      <c r="B317" t="str">
        <f>"1551603903204866"</f>
        <v>1551603903204866</v>
      </c>
      <c r="C317" t="s">
        <v>40</v>
      </c>
      <c r="D317">
        <v>5.4342540000000001</v>
      </c>
      <c r="E317">
        <v>0.54025939999999995</v>
      </c>
      <c r="F317" t="s">
        <v>42</v>
      </c>
      <c r="G317">
        <v>-407.08659999999998</v>
      </c>
      <c r="H317">
        <v>0.88710739999999999</v>
      </c>
      <c r="I317">
        <v>366.96140000000003</v>
      </c>
      <c r="J317">
        <v>-407.65440000000001</v>
      </c>
      <c r="K317">
        <v>1.0709409999999999</v>
      </c>
      <c r="L317">
        <v>367.06279999999998</v>
      </c>
      <c r="M317">
        <v>0.9999517</v>
      </c>
      <c r="N317">
        <v>-9.8177990000000003E-3</v>
      </c>
      <c r="O317">
        <v>6.1652959999999998E-4</v>
      </c>
      <c r="P317">
        <v>0.98492630000000003</v>
      </c>
      <c r="Q317">
        <v>0.16710169999999999</v>
      </c>
      <c r="R317">
        <v>-4.4690420000000002E-2</v>
      </c>
      <c r="S317">
        <v>3.1527400000000001</v>
      </c>
      <c r="T317">
        <v>-0.73595310000000003</v>
      </c>
      <c r="U317">
        <v>-0.40542600000000001</v>
      </c>
      <c r="V317">
        <v>4.5312320000000003E-2</v>
      </c>
      <c r="W317">
        <v>0.17675959999999999</v>
      </c>
      <c r="X317">
        <v>0.98321049999999999</v>
      </c>
      <c r="Y317">
        <v>0.1246982</v>
      </c>
      <c r="Z317">
        <v>-1.5063170000000001E-2</v>
      </c>
      <c r="AA317">
        <v>0.99208039999999997</v>
      </c>
      <c r="AB317">
        <v>22</v>
      </c>
      <c r="AC317">
        <v>0.56780000000003295</v>
      </c>
      <c r="AD317">
        <v>-0.18383359999999899</v>
      </c>
      <c r="AE317">
        <v>-0.101399999999955</v>
      </c>
      <c r="AF317">
        <v>9.23670615776674E-2</v>
      </c>
      <c r="AG317">
        <v>-0.18383359999999899</v>
      </c>
      <c r="AH317">
        <v>0.51538280472332698</v>
      </c>
      <c r="AI317">
        <v>109.346135445149</v>
      </c>
      <c r="AJ317">
        <v>79.839303599775803</v>
      </c>
      <c r="AK317">
        <v>0.55492873592735803</v>
      </c>
      <c r="AL317">
        <v>79.818928012893096</v>
      </c>
      <c r="AM317">
        <v>87.361329049073703</v>
      </c>
      <c r="AN317">
        <v>1.00000002492309</v>
      </c>
    </row>
    <row r="318" spans="1:40" x14ac:dyDescent="0.25">
      <c r="A318" t="str">
        <f>"20190303170503236"</f>
        <v>20190303170503236</v>
      </c>
      <c r="B318" t="str">
        <f>"1551603903224386"</f>
        <v>1551603903224386</v>
      </c>
      <c r="C318" t="s">
        <v>40</v>
      </c>
      <c r="D318">
        <v>5.4403949999999996</v>
      </c>
      <c r="E318">
        <v>0.54022409999999998</v>
      </c>
      <c r="F318" t="s">
        <v>42</v>
      </c>
      <c r="G318">
        <v>-406.88900000000001</v>
      </c>
      <c r="H318">
        <v>0.89175530000000003</v>
      </c>
      <c r="I318">
        <v>366.96359999999999</v>
      </c>
      <c r="J318">
        <v>-407.4452</v>
      </c>
      <c r="K318">
        <v>1.070883</v>
      </c>
      <c r="L318">
        <v>367.06290000000001</v>
      </c>
      <c r="M318">
        <v>0.99995460000000003</v>
      </c>
      <c r="N318">
        <v>-9.5226649999999996E-3</v>
      </c>
      <c r="O318">
        <v>5.8875259999999999E-4</v>
      </c>
      <c r="P318">
        <v>0.98482729999999996</v>
      </c>
      <c r="Q318">
        <v>0.1671607</v>
      </c>
      <c r="R318">
        <v>-4.6612710000000002E-2</v>
      </c>
      <c r="S318">
        <v>3.1527099999999999</v>
      </c>
      <c r="T318">
        <v>-0.73823260000000002</v>
      </c>
      <c r="U318">
        <v>-0.40643309999999999</v>
      </c>
      <c r="V318">
        <v>4.7209590000000003E-2</v>
      </c>
      <c r="W318">
        <v>0.17652679999999901</v>
      </c>
      <c r="X318">
        <v>0.98316309999999996</v>
      </c>
      <c r="Y318">
        <v>0.12496060000000001</v>
      </c>
      <c r="Z318">
        <v>-1.5113440000000001E-2</v>
      </c>
      <c r="AA318">
        <v>0.9920466</v>
      </c>
      <c r="AB318">
        <v>22</v>
      </c>
      <c r="AC318">
        <v>0.55619999999998904</v>
      </c>
      <c r="AD318">
        <v>-0.1791277</v>
      </c>
      <c r="AE318">
        <v>-9.9300000000027894E-2</v>
      </c>
      <c r="AF318">
        <v>9.05279222933493E-2</v>
      </c>
      <c r="AG318">
        <v>-0.1791277</v>
      </c>
      <c r="AH318">
        <v>0.50534589519323903</v>
      </c>
      <c r="AI318">
        <v>109.234453100365</v>
      </c>
      <c r="AJ318">
        <v>79.843732997066795</v>
      </c>
      <c r="AK318">
        <v>0.54374305642527199</v>
      </c>
      <c r="AL318">
        <v>79.8324800203482</v>
      </c>
      <c r="AM318">
        <v>87.250879131002193</v>
      </c>
      <c r="AN318">
        <v>1.0000000688538999</v>
      </c>
    </row>
    <row r="319" spans="1:40" x14ac:dyDescent="0.25">
      <c r="A319" t="str">
        <f>"20190303170503258"</f>
        <v>20190303170503258</v>
      </c>
      <c r="B319" t="str">
        <f>"1551603903244883"</f>
        <v>1551603903244883</v>
      </c>
      <c r="C319" t="s">
        <v>40</v>
      </c>
      <c r="D319">
        <v>5.4733609999999997</v>
      </c>
      <c r="E319">
        <v>0.54026229999999997</v>
      </c>
      <c r="F319" t="s">
        <v>42</v>
      </c>
      <c r="G319">
        <v>-406.69170000000003</v>
      </c>
      <c r="H319">
        <v>0.89401520000000001</v>
      </c>
      <c r="I319">
        <v>366.96460000000002</v>
      </c>
      <c r="J319">
        <v>-407.22480000000002</v>
      </c>
      <c r="K319">
        <v>1.070827</v>
      </c>
      <c r="L319">
        <v>367.06299999999999</v>
      </c>
      <c r="M319">
        <v>0.99995769999999995</v>
      </c>
      <c r="N319">
        <v>-9.1914530000000005E-3</v>
      </c>
      <c r="O319">
        <v>5.444108E-4</v>
      </c>
      <c r="P319">
        <v>0.98473189999999999</v>
      </c>
      <c r="Q319">
        <v>0.1671752</v>
      </c>
      <c r="R319">
        <v>-4.8537650000000002E-2</v>
      </c>
      <c r="S319">
        <v>3.152374</v>
      </c>
      <c r="T319">
        <v>-0.74005310000000002</v>
      </c>
      <c r="U319">
        <v>-0.41030879999999997</v>
      </c>
      <c r="V319">
        <v>4.9093659999999997E-2</v>
      </c>
      <c r="W319">
        <v>0.1762137</v>
      </c>
      <c r="X319">
        <v>0.98312690000000003</v>
      </c>
      <c r="Y319">
        <v>0.12608739999999999</v>
      </c>
      <c r="Z319">
        <v>-1.5253299999999999E-2</v>
      </c>
      <c r="AA319">
        <v>0.9919019</v>
      </c>
      <c r="AB319">
        <v>22</v>
      </c>
      <c r="AC319">
        <v>0.53309999999999003</v>
      </c>
      <c r="AD319">
        <v>-0.17681179999999899</v>
      </c>
      <c r="AE319">
        <v>-9.8400000000026397E-2</v>
      </c>
      <c r="AF319">
        <v>8.9201113907950103E-2</v>
      </c>
      <c r="AG319">
        <v>-0.17681179999999899</v>
      </c>
      <c r="AH319">
        <v>0.48179370358073498</v>
      </c>
      <c r="AI319">
        <v>109.8421775611</v>
      </c>
      <c r="AJ319">
        <v>79.5108159472083</v>
      </c>
      <c r="AK319">
        <v>0.52090730859885204</v>
      </c>
      <c r="AL319">
        <v>79.850704098140199</v>
      </c>
      <c r="AM319">
        <v>87.141238902386405</v>
      </c>
      <c r="AN319">
        <v>0.99999997851174705</v>
      </c>
    </row>
    <row r="320" spans="1:40" x14ac:dyDescent="0.25">
      <c r="A320" t="str">
        <f>"20190303170503282"</f>
        <v>20190303170503282</v>
      </c>
      <c r="B320" t="str">
        <f>"1551603903275138"</f>
        <v>1551603903275138</v>
      </c>
      <c r="C320" t="s">
        <v>40</v>
      </c>
      <c r="D320">
        <v>5.4630890000000001</v>
      </c>
      <c r="E320">
        <v>0.54064179999999995</v>
      </c>
      <c r="F320" t="s">
        <v>42</v>
      </c>
      <c r="G320">
        <v>-406.49239999999998</v>
      </c>
      <c r="H320">
        <v>0.89865349999999999</v>
      </c>
      <c r="I320">
        <v>366.96609999999998</v>
      </c>
      <c r="J320">
        <v>-406.97899999999998</v>
      </c>
      <c r="K320">
        <v>1.0707599999999999</v>
      </c>
      <c r="L320">
        <v>367.06299999999999</v>
      </c>
      <c r="M320">
        <v>0.99996110000000005</v>
      </c>
      <c r="N320">
        <v>-8.8014040000000005E-3</v>
      </c>
      <c r="O320">
        <v>4.825667E-4</v>
      </c>
      <c r="P320">
        <v>0.98460270000000005</v>
      </c>
      <c r="Q320">
        <v>0.16761019999999999</v>
      </c>
      <c r="R320">
        <v>-4.9641419999999999E-2</v>
      </c>
      <c r="S320">
        <v>3.1517940000000002</v>
      </c>
      <c r="T320">
        <v>-0.74106430000000001</v>
      </c>
      <c r="U320">
        <v>-0.41653440000000003</v>
      </c>
      <c r="V320">
        <v>5.0139919999999998E-2</v>
      </c>
      <c r="W320">
        <v>0.176263</v>
      </c>
      <c r="X320">
        <v>0.98306530000000003</v>
      </c>
      <c r="Y320">
        <v>0.12792210000000001</v>
      </c>
      <c r="Z320">
        <v>-1.545525E-2</v>
      </c>
      <c r="AA320">
        <v>0.99166379999999998</v>
      </c>
      <c r="AB320">
        <v>22</v>
      </c>
      <c r="AC320">
        <v>0.48660000000006598</v>
      </c>
      <c r="AD320">
        <v>-0.172106499999999</v>
      </c>
      <c r="AE320">
        <v>-9.6900000000061895E-2</v>
      </c>
      <c r="AF320">
        <v>8.6702246525934307E-2</v>
      </c>
      <c r="AG320">
        <v>-0.172106499999999</v>
      </c>
      <c r="AH320">
        <v>0.43429592084093599</v>
      </c>
      <c r="AI320">
        <v>111.23711574985001</v>
      </c>
      <c r="AJ320">
        <v>78.709977047843594</v>
      </c>
      <c r="AK320">
        <v>0.47513248021364601</v>
      </c>
      <c r="AL320">
        <v>79.847834929640996</v>
      </c>
      <c r="AM320">
        <v>87.080236071051502</v>
      </c>
      <c r="AN320">
        <v>1.0000000204053401</v>
      </c>
    </row>
    <row r="321" spans="1:40" x14ac:dyDescent="0.25">
      <c r="A321" t="str">
        <f>"20190303170503305"</f>
        <v>20190303170503305</v>
      </c>
      <c r="B321" t="str">
        <f>"1551603903294657"</f>
        <v>1551603903294657</v>
      </c>
      <c r="C321" t="s">
        <v>40</v>
      </c>
      <c r="D321">
        <v>5.4626289999999997</v>
      </c>
      <c r="E321">
        <v>0.54092030000000002</v>
      </c>
      <c r="F321" t="s">
        <v>42</v>
      </c>
      <c r="G321">
        <v>-406.28960000000001</v>
      </c>
      <c r="H321">
        <v>0.90877330000000001</v>
      </c>
      <c r="I321">
        <v>366.97030000000001</v>
      </c>
      <c r="J321">
        <v>-406.75990000000002</v>
      </c>
      <c r="K321">
        <v>1.0707</v>
      </c>
      <c r="L321">
        <v>367.06310000000002</v>
      </c>
      <c r="M321">
        <v>0.99996430000000003</v>
      </c>
      <c r="N321">
        <v>-8.4437650000000006E-3</v>
      </c>
      <c r="O321">
        <v>4.1952219999999999E-4</v>
      </c>
      <c r="P321">
        <v>0.98459430000000003</v>
      </c>
      <c r="Q321">
        <v>0.16757420000000001</v>
      </c>
      <c r="R321">
        <v>-4.993061E-2</v>
      </c>
      <c r="S321">
        <v>3.1516109999999999</v>
      </c>
      <c r="T321">
        <v>-0.74053869999999999</v>
      </c>
      <c r="U321">
        <v>-0.42388920000000002</v>
      </c>
      <c r="V321">
        <v>5.0369379999999998E-2</v>
      </c>
      <c r="W321">
        <v>0.17587439999999999</v>
      </c>
      <c r="X321">
        <v>0.98312319999999997</v>
      </c>
      <c r="Y321">
        <v>0.13009299999999999</v>
      </c>
      <c r="Z321">
        <v>-1.5666389999999999E-2</v>
      </c>
      <c r="AA321">
        <v>0.99137799999999998</v>
      </c>
      <c r="AB321">
        <v>22</v>
      </c>
      <c r="AC321">
        <v>0.47030000000000799</v>
      </c>
      <c r="AD321">
        <v>-0.16192669999999901</v>
      </c>
      <c r="AE321">
        <v>-9.2800000000011096E-2</v>
      </c>
      <c r="AF321">
        <v>8.34727770378004E-2</v>
      </c>
      <c r="AG321">
        <v>-0.16192669999999901</v>
      </c>
      <c r="AH321">
        <v>0.42209820793786101</v>
      </c>
      <c r="AI321">
        <v>110.623077842532</v>
      </c>
      <c r="AJ321">
        <v>78.813705066974094</v>
      </c>
      <c r="AK321">
        <v>0.459733463893641</v>
      </c>
      <c r="AL321">
        <v>79.870453748519196</v>
      </c>
      <c r="AM321">
        <v>87.067069802490295</v>
      </c>
      <c r="AN321">
        <v>1.0000000526975901</v>
      </c>
    </row>
    <row r="322" spans="1:40" x14ac:dyDescent="0.25">
      <c r="A322" t="str">
        <f>"20190303170503323"</f>
        <v>20190303170503323</v>
      </c>
      <c r="B322" t="str">
        <f>"1551603903315154"</f>
        <v>1551603903315154</v>
      </c>
      <c r="C322" t="s">
        <v>40</v>
      </c>
      <c r="D322">
        <v>5.4395910000000001</v>
      </c>
      <c r="E322">
        <v>0.54115080000000004</v>
      </c>
      <c r="F322" t="s">
        <v>42</v>
      </c>
      <c r="G322">
        <v>-405.90780000000001</v>
      </c>
      <c r="H322">
        <v>0.87035269999999998</v>
      </c>
      <c r="I322">
        <v>366.9477</v>
      </c>
      <c r="J322">
        <v>-406.56639999999999</v>
      </c>
      <c r="K322">
        <v>1.0706519999999999</v>
      </c>
      <c r="L322">
        <v>367.06319999999999</v>
      </c>
      <c r="M322">
        <v>0.99996700000000005</v>
      </c>
      <c r="N322">
        <v>-8.1301419999999999E-3</v>
      </c>
      <c r="O322">
        <v>3.6179579999999999E-4</v>
      </c>
      <c r="P322">
        <v>0.98460740000000002</v>
      </c>
      <c r="Q322">
        <v>0.16764799999999999</v>
      </c>
      <c r="R322">
        <v>-4.9427819999999997E-2</v>
      </c>
      <c r="S322">
        <v>3.1514280000000001</v>
      </c>
      <c r="T322">
        <v>-0.74100509999999997</v>
      </c>
      <c r="U322">
        <v>-0.42642210000000003</v>
      </c>
      <c r="V322">
        <v>4.981116E-2</v>
      </c>
      <c r="W322">
        <v>0.17563960000000001</v>
      </c>
      <c r="X322">
        <v>0.9831936</v>
      </c>
      <c r="Y322">
        <v>0.13080799999999901</v>
      </c>
      <c r="Z322">
        <v>-1.5727769999999999E-2</v>
      </c>
      <c r="AA322">
        <v>0.99128289999999997</v>
      </c>
      <c r="AB322">
        <v>22</v>
      </c>
      <c r="AC322">
        <v>0.65859999999997798</v>
      </c>
      <c r="AD322">
        <v>-0.20029930000000001</v>
      </c>
      <c r="AE322">
        <v>-0.11549999999999699</v>
      </c>
      <c r="AF322">
        <v>0.106207769763494</v>
      </c>
      <c r="AG322">
        <v>-0.20029930000000001</v>
      </c>
      <c r="AH322">
        <v>0.60432896442522799</v>
      </c>
      <c r="AI322">
        <v>108.078647544031</v>
      </c>
      <c r="AJ322">
        <v>80.032344993346697</v>
      </c>
      <c r="AK322">
        <v>0.64545596068352595</v>
      </c>
      <c r="AL322">
        <v>79.884119372914995</v>
      </c>
      <c r="AM322">
        <v>87.099725595715</v>
      </c>
      <c r="AN322">
        <v>1.0000000379148299</v>
      </c>
    </row>
    <row r="323" spans="1:40" x14ac:dyDescent="0.25">
      <c r="A323" t="str">
        <f>"20190303170503348"</f>
        <v>20190303170503348</v>
      </c>
      <c r="B323" t="str">
        <f>"1551603903334674"</f>
        <v>1551603903334674</v>
      </c>
      <c r="C323" t="s">
        <v>40</v>
      </c>
      <c r="D323">
        <v>5.4401060000000001</v>
      </c>
      <c r="E323">
        <v>0.54138229999999998</v>
      </c>
      <c r="F323" t="s">
        <v>42</v>
      </c>
      <c r="G323">
        <v>-405.70729999999998</v>
      </c>
      <c r="H323">
        <v>0.86859759999999997</v>
      </c>
      <c r="I323">
        <v>366.94690000000003</v>
      </c>
      <c r="J323">
        <v>-406.32709999999997</v>
      </c>
      <c r="K323">
        <v>1.0705929999999999</v>
      </c>
      <c r="L323">
        <v>367.06319999999999</v>
      </c>
      <c r="M323">
        <v>0.99996980000000002</v>
      </c>
      <c r="N323">
        <v>-7.7591709999999996E-3</v>
      </c>
      <c r="O323">
        <v>2.8811960000000003E-4</v>
      </c>
      <c r="P323">
        <v>0.98459149999999995</v>
      </c>
      <c r="Q323">
        <v>0.16789419999999999</v>
      </c>
      <c r="R323">
        <v>-4.8896420000000003E-2</v>
      </c>
      <c r="S323">
        <v>3.151764</v>
      </c>
      <c r="T323">
        <v>-0.74133909999999903</v>
      </c>
      <c r="U323">
        <v>-0.42529299999999998</v>
      </c>
      <c r="V323">
        <v>4.9208290000000002E-2</v>
      </c>
      <c r="W323">
        <v>0.17552089999999901</v>
      </c>
      <c r="X323">
        <v>0.98324509999999998</v>
      </c>
      <c r="Y323">
        <v>0.1303887</v>
      </c>
      <c r="Z323">
        <v>-1.5642070000000001E-2</v>
      </c>
      <c r="AA323">
        <v>0.99133959999999999</v>
      </c>
      <c r="AB323">
        <v>22</v>
      </c>
      <c r="AC323">
        <v>0.61979999999999702</v>
      </c>
      <c r="AD323">
        <v>-0.20199539999999999</v>
      </c>
      <c r="AE323">
        <v>-0.116299999999967</v>
      </c>
      <c r="AF323">
        <v>0.10563982323306401</v>
      </c>
      <c r="AG323">
        <v>-0.20199539999999999</v>
      </c>
      <c r="AH323">
        <v>0.56209494862616605</v>
      </c>
      <c r="AI323">
        <v>109.452124410191</v>
      </c>
      <c r="AJ323">
        <v>79.356022392162899</v>
      </c>
      <c r="AK323">
        <v>0.60655803114370299</v>
      </c>
      <c r="AL323">
        <v>79.8910271551444</v>
      </c>
      <c r="AM323">
        <v>87.134918912620094</v>
      </c>
      <c r="AN323">
        <v>0.99999998440777105</v>
      </c>
    </row>
    <row r="324" spans="1:40" x14ac:dyDescent="0.25">
      <c r="A324" t="str">
        <f>"20190303170503370"</f>
        <v>20190303170503370</v>
      </c>
      <c r="B324" t="str">
        <f>"1551603903364929"</f>
        <v>1551603903364929</v>
      </c>
      <c r="C324" t="s">
        <v>40</v>
      </c>
      <c r="D324">
        <v>5.4354149999999999</v>
      </c>
      <c r="E324">
        <v>0.54168799999999995</v>
      </c>
      <c r="F324" t="s">
        <v>42</v>
      </c>
      <c r="G324">
        <v>-405.5018</v>
      </c>
      <c r="H324">
        <v>0.87651179999999995</v>
      </c>
      <c r="I324">
        <v>366.952</v>
      </c>
      <c r="J324">
        <v>-406.10210000000001</v>
      </c>
      <c r="K324">
        <v>1.0705549999999999</v>
      </c>
      <c r="L324">
        <v>367.06310000000002</v>
      </c>
      <c r="M324">
        <v>0.99997230000000004</v>
      </c>
      <c r="N324">
        <v>-7.43326199999999E-3</v>
      </c>
      <c r="O324">
        <v>2.1738460000000001E-4</v>
      </c>
      <c r="P324">
        <v>0.9846066</v>
      </c>
      <c r="Q324">
        <v>0.16813229999999901</v>
      </c>
      <c r="R324">
        <v>-4.7762409999999998E-2</v>
      </c>
      <c r="S324">
        <v>3.1522519999999998</v>
      </c>
      <c r="T324">
        <v>-0.74128830000000001</v>
      </c>
      <c r="U324">
        <v>-0.42468260000000002</v>
      </c>
      <c r="V324">
        <v>4.8004619999999998E-2</v>
      </c>
      <c r="W324">
        <v>0.1754387</v>
      </c>
      <c r="X324">
        <v>0.98331930000000001</v>
      </c>
      <c r="Y324">
        <v>0.1301253</v>
      </c>
      <c r="Z324">
        <v>-1.5570189999999999E-2</v>
      </c>
      <c r="AA324">
        <v>0.99137529999999996</v>
      </c>
      <c r="AB324">
        <v>23</v>
      </c>
      <c r="AC324">
        <v>0.60030000000000405</v>
      </c>
      <c r="AD324">
        <v>-0.194043199999999</v>
      </c>
      <c r="AE324">
        <v>-0.111100000000021</v>
      </c>
      <c r="AF324">
        <v>0.101024395565595</v>
      </c>
      <c r="AG324">
        <v>-0.194043199999999</v>
      </c>
      <c r="AH324">
        <v>0.54519673048594997</v>
      </c>
      <c r="AI324">
        <v>109.287840685718</v>
      </c>
      <c r="AJ324">
        <v>79.502219585914901</v>
      </c>
      <c r="AK324">
        <v>0.58745056549313401</v>
      </c>
      <c r="AL324">
        <v>79.8958113963984</v>
      </c>
      <c r="AM324">
        <v>87.205098900750102</v>
      </c>
      <c r="AN324">
        <v>1.0000000133757601</v>
      </c>
    </row>
    <row r="325" spans="1:40" x14ac:dyDescent="0.25">
      <c r="A325" t="str">
        <f>"20190303170503393"</f>
        <v>20190303170503393</v>
      </c>
      <c r="B325" t="str">
        <f>"1551603903384450"</f>
        <v>1551603903384450</v>
      </c>
      <c r="C325" t="s">
        <v>40</v>
      </c>
      <c r="D325">
        <v>5.4473979999999997</v>
      </c>
      <c r="E325">
        <v>0.54185689999999997</v>
      </c>
      <c r="F325" t="s">
        <v>42</v>
      </c>
      <c r="G325">
        <v>-405.29640000000001</v>
      </c>
      <c r="H325">
        <v>0.88129539999999995</v>
      </c>
      <c r="I325">
        <v>366.95429999999999</v>
      </c>
      <c r="J325">
        <v>-405.8639</v>
      </c>
      <c r="K325">
        <v>1.0705260000000001</v>
      </c>
      <c r="L325">
        <v>367.06310000000002</v>
      </c>
      <c r="M325">
        <v>0.99997480000000005</v>
      </c>
      <c r="N325">
        <v>-7.1161719999999996E-3</v>
      </c>
      <c r="O325">
        <v>1.4258129999999999E-4</v>
      </c>
      <c r="P325">
        <v>0.98442700000000005</v>
      </c>
      <c r="Q325">
        <v>0.1693462</v>
      </c>
      <c r="R325">
        <v>-4.7178339999999999E-2</v>
      </c>
      <c r="S325">
        <v>3.1528019999999999</v>
      </c>
      <c r="T325">
        <v>-0.74067090000000002</v>
      </c>
      <c r="U325">
        <v>-0.42440800000000001</v>
      </c>
      <c r="V325">
        <v>4.7346190000000003E-2</v>
      </c>
      <c r="W325">
        <v>0.17634</v>
      </c>
      <c r="X325">
        <v>0.98319000000000001</v>
      </c>
      <c r="Y325">
        <v>0.12996179999999999</v>
      </c>
      <c r="Z325">
        <v>-1.5498339999999999E-2</v>
      </c>
      <c r="AA325">
        <v>0.99139790000000005</v>
      </c>
      <c r="AB325">
        <v>23</v>
      </c>
      <c r="AC325">
        <v>0.56749999999999501</v>
      </c>
      <c r="AD325">
        <v>-0.1892306</v>
      </c>
      <c r="AE325">
        <v>-0.10880000000003</v>
      </c>
      <c r="AF325">
        <v>9.8335036343396895E-2</v>
      </c>
      <c r="AG325">
        <v>-0.1892306</v>
      </c>
      <c r="AH325">
        <v>0.51251963342379303</v>
      </c>
      <c r="AI325">
        <v>109.93076905537301</v>
      </c>
      <c r="AJ325">
        <v>79.1388855118865</v>
      </c>
      <c r="AK325">
        <v>0.55511654091179496</v>
      </c>
      <c r="AL325">
        <v>79.843352911942105</v>
      </c>
      <c r="AM325">
        <v>87.243012177537494</v>
      </c>
      <c r="AN325">
        <v>1.0000000167037499</v>
      </c>
    </row>
    <row r="326" spans="1:40" x14ac:dyDescent="0.25">
      <c r="A326" t="str">
        <f>"20190303170503415"</f>
        <v>20190303170503415</v>
      </c>
      <c r="B326" t="str">
        <f>"1551603903404947"</f>
        <v>1551603903404947</v>
      </c>
      <c r="C326" t="s">
        <v>40</v>
      </c>
      <c r="D326">
        <v>5.4453589999999998</v>
      </c>
      <c r="E326">
        <v>0.54197879999999998</v>
      </c>
      <c r="F326" t="s">
        <v>42</v>
      </c>
      <c r="G326">
        <v>-405.08850000000001</v>
      </c>
      <c r="H326">
        <v>0.88931830000000001</v>
      </c>
      <c r="I326">
        <v>366.95859999999999</v>
      </c>
      <c r="J326">
        <v>-405.6438</v>
      </c>
      <c r="K326">
        <v>1.0705089999999999</v>
      </c>
      <c r="L326">
        <v>367.06299999999999</v>
      </c>
      <c r="M326">
        <v>0.99997659999999999</v>
      </c>
      <c r="N326">
        <v>-6.8448240000000002E-3</v>
      </c>
      <c r="O326" s="1">
        <v>7.4422990000000001E-5</v>
      </c>
      <c r="P326">
        <v>0.98433459999999995</v>
      </c>
      <c r="Q326">
        <v>0.169876799999999</v>
      </c>
      <c r="R326">
        <v>-4.7194170000000001E-2</v>
      </c>
      <c r="S326">
        <v>3.1539000000000001</v>
      </c>
      <c r="T326">
        <v>-0.73707959999999995</v>
      </c>
      <c r="U326">
        <v>-0.42404170000000002</v>
      </c>
      <c r="V326">
        <v>4.7294320000000001E-2</v>
      </c>
      <c r="W326">
        <v>0.17660329999999999</v>
      </c>
      <c r="X326">
        <v>0.98314520000000005</v>
      </c>
      <c r="Y326">
        <v>0.12978239999999999</v>
      </c>
      <c r="Z326">
        <v>-1.5368049999999999E-2</v>
      </c>
      <c r="AA326">
        <v>0.99142339999999995</v>
      </c>
      <c r="AB326">
        <v>23</v>
      </c>
      <c r="AC326">
        <v>0.55529999999998803</v>
      </c>
      <c r="AD326">
        <v>-0.18119069999999901</v>
      </c>
      <c r="AE326">
        <v>-0.104400000000055</v>
      </c>
      <c r="AF326">
        <v>9.4702794347084701E-2</v>
      </c>
      <c r="AG326">
        <v>-0.18119069999999901</v>
      </c>
      <c r="AH326">
        <v>0.50351452672826102</v>
      </c>
      <c r="AI326">
        <v>109.476195122158</v>
      </c>
      <c r="AJ326">
        <v>79.348049299790603</v>
      </c>
      <c r="AK326">
        <v>0.54343865122939194</v>
      </c>
      <c r="AL326">
        <v>79.828026030632103</v>
      </c>
      <c r="AM326">
        <v>87.245902636259999</v>
      </c>
      <c r="AN326">
        <v>0.99999998127909595</v>
      </c>
    </row>
    <row r="327" spans="1:40" x14ac:dyDescent="0.25">
      <c r="A327" t="str">
        <f>"20190303170503437"</f>
        <v>20190303170503437</v>
      </c>
      <c r="B327" t="str">
        <f>"1551603903424466"</f>
        <v>1551603903424466</v>
      </c>
      <c r="C327" t="s">
        <v>40</v>
      </c>
      <c r="D327">
        <v>5.4279809999999999</v>
      </c>
      <c r="E327">
        <v>0.54214890000000004</v>
      </c>
      <c r="F327" t="s">
        <v>42</v>
      </c>
      <c r="G327">
        <v>-404.88150000000002</v>
      </c>
      <c r="H327">
        <v>0.89273609999999903</v>
      </c>
      <c r="I327">
        <v>366.96019999999999</v>
      </c>
      <c r="J327">
        <v>-405.42320000000001</v>
      </c>
      <c r="K327">
        <v>1.0704800000000001</v>
      </c>
      <c r="L327">
        <v>367.06299999999999</v>
      </c>
      <c r="M327">
        <v>0.99997829999999999</v>
      </c>
      <c r="N327">
        <v>-6.5914490000000001E-3</v>
      </c>
      <c r="O327" s="1">
        <v>7.4148510000000001E-6</v>
      </c>
      <c r="P327">
        <v>0.98437430000000004</v>
      </c>
      <c r="Q327">
        <v>0.1695516</v>
      </c>
      <c r="R327">
        <v>-4.753483E-2</v>
      </c>
      <c r="S327">
        <v>3.154388</v>
      </c>
      <c r="T327">
        <v>-0.735699199999999</v>
      </c>
      <c r="U327">
        <v>-0.42468260000000002</v>
      </c>
      <c r="V327">
        <v>4.7568369999999999E-2</v>
      </c>
      <c r="W327">
        <v>0.1760293</v>
      </c>
      <c r="X327">
        <v>0.98323490000000002</v>
      </c>
      <c r="Y327">
        <v>0.12990969999999999</v>
      </c>
      <c r="Z327">
        <v>-1.532176E-2</v>
      </c>
      <c r="AA327">
        <v>0.9914075</v>
      </c>
      <c r="AB327">
        <v>23</v>
      </c>
      <c r="AC327">
        <v>0.54169999999999097</v>
      </c>
      <c r="AD327">
        <v>-0.17774389999999901</v>
      </c>
      <c r="AE327">
        <v>-0.102800000000058</v>
      </c>
      <c r="AF327">
        <v>9.3126185838083297E-2</v>
      </c>
      <c r="AG327">
        <v>-0.17774389999999901</v>
      </c>
      <c r="AH327">
        <v>0.490704405287404</v>
      </c>
      <c r="AI327">
        <v>109.589118388057</v>
      </c>
      <c r="AJ327">
        <v>79.2541650458666</v>
      </c>
      <c r="AK327">
        <v>0.53014733220532495</v>
      </c>
      <c r="AL327">
        <v>79.861437091767002</v>
      </c>
      <c r="AM327">
        <v>87.230220940191103</v>
      </c>
      <c r="AN327">
        <v>0.99999996643047695</v>
      </c>
    </row>
    <row r="328" spans="1:40" x14ac:dyDescent="0.25">
      <c r="A328" t="str">
        <f>"20190303170503449"</f>
        <v>20190303170503449</v>
      </c>
      <c r="B328" t="str">
        <f>"1551603903444962"</f>
        <v>1551603903444962</v>
      </c>
      <c r="C328" t="s">
        <v>40</v>
      </c>
      <c r="D328">
        <v>5.427181</v>
      </c>
      <c r="E328">
        <v>0.54234769999999999</v>
      </c>
      <c r="F328" t="s">
        <v>42</v>
      </c>
      <c r="G328">
        <v>-404.67380000000003</v>
      </c>
      <c r="H328">
        <v>0.8953681</v>
      </c>
      <c r="I328">
        <v>366.96140000000003</v>
      </c>
      <c r="J328">
        <v>-405.28190000000001</v>
      </c>
      <c r="K328">
        <v>1.0704629999999999</v>
      </c>
      <c r="L328">
        <v>367.06290000000001</v>
      </c>
      <c r="M328">
        <v>0.99997919999999996</v>
      </c>
      <c r="N328">
        <v>-6.4393740000000003E-3</v>
      </c>
      <c r="O328" s="1">
        <v>-3.457209E-5</v>
      </c>
      <c r="P328">
        <v>0.98440369999999999</v>
      </c>
      <c r="Q328">
        <v>0.16938549999999999</v>
      </c>
      <c r="R328">
        <v>-4.7517530000000002E-2</v>
      </c>
      <c r="S328">
        <v>3.1539609999999998</v>
      </c>
      <c r="T328">
        <v>-0.73708030000000002</v>
      </c>
      <c r="U328">
        <v>-0.42691040000000002</v>
      </c>
      <c r="V328">
        <v>4.7509679999999999E-2</v>
      </c>
      <c r="W328">
        <v>0.1757138</v>
      </c>
      <c r="X328">
        <v>0.98329420000000001</v>
      </c>
      <c r="Y328">
        <v>0.1305461</v>
      </c>
      <c r="Z328">
        <v>-1.5406019999999999E-2</v>
      </c>
      <c r="AA328">
        <v>0.9913225</v>
      </c>
      <c r="AB328">
        <v>23</v>
      </c>
      <c r="AC328">
        <v>0.60809999999997899</v>
      </c>
      <c r="AD328">
        <v>-0.175094899999999</v>
      </c>
      <c r="AE328">
        <v>-0.101499999999987</v>
      </c>
      <c r="AF328">
        <v>9.3904551756237895E-2</v>
      </c>
      <c r="AG328">
        <v>-0.175094899999999</v>
      </c>
      <c r="AH328">
        <v>0.56271446109766199</v>
      </c>
      <c r="AI328">
        <v>107.062139644005</v>
      </c>
      <c r="AJ328">
        <v>80.525908047886603</v>
      </c>
      <c r="AK328">
        <v>0.59676113611308701</v>
      </c>
      <c r="AL328">
        <v>79.879800440672696</v>
      </c>
      <c r="AM328">
        <v>87.233799563779698</v>
      </c>
      <c r="AN328">
        <v>0.99999999647889104</v>
      </c>
    </row>
    <row r="329" spans="1:40" x14ac:dyDescent="0.25">
      <c r="A329" t="str">
        <f>"20190303170503463"</f>
        <v>20190303170503463</v>
      </c>
      <c r="B329" t="str">
        <f>"1551603903454722"</f>
        <v>1551603903454722</v>
      </c>
      <c r="C329" t="s">
        <v>40</v>
      </c>
      <c r="D329">
        <v>5.4612100000000003</v>
      </c>
      <c r="E329">
        <v>0.54243149999999996</v>
      </c>
      <c r="F329" t="s">
        <v>42</v>
      </c>
      <c r="G329">
        <v>-404.4726</v>
      </c>
      <c r="H329">
        <v>0.88106580000000001</v>
      </c>
      <c r="I329">
        <v>366.95269999999999</v>
      </c>
      <c r="J329">
        <v>-405.14019999999999</v>
      </c>
      <c r="K329">
        <v>1.0704480000000001</v>
      </c>
      <c r="L329">
        <v>367.06290000000001</v>
      </c>
      <c r="M329">
        <v>0.99998019999999999</v>
      </c>
      <c r="N329">
        <v>-6.2934380000000002E-3</v>
      </c>
      <c r="O329" s="1">
        <v>-7.6055560000000001E-5</v>
      </c>
      <c r="P329">
        <v>0.98442209999999997</v>
      </c>
      <c r="Q329">
        <v>0.1692612</v>
      </c>
      <c r="R329">
        <v>-4.7579099999999999E-2</v>
      </c>
      <c r="S329">
        <v>3.1539000000000001</v>
      </c>
      <c r="T329">
        <v>-0.73811579999999999</v>
      </c>
      <c r="U329">
        <v>-0.42782589999999998</v>
      </c>
      <c r="V329">
        <v>4.7530000000000003E-2</v>
      </c>
      <c r="W329">
        <v>0.17544670000000001</v>
      </c>
      <c r="X329">
        <v>0.98334089999999996</v>
      </c>
      <c r="Y329">
        <v>0.13077749999999999</v>
      </c>
      <c r="Z329">
        <v>-1.543489E-2</v>
      </c>
      <c r="AA329">
        <v>0.99129160000000005</v>
      </c>
      <c r="AB329">
        <v>23</v>
      </c>
      <c r="AC329">
        <v>0.66759999999999298</v>
      </c>
      <c r="AD329">
        <v>-0.189382199999999</v>
      </c>
      <c r="AE329">
        <v>-0.11020000000002</v>
      </c>
      <c r="AF329">
        <v>0.10214724988141401</v>
      </c>
      <c r="AG329">
        <v>-0.189382199999999</v>
      </c>
      <c r="AH329">
        <v>0.61910885526873205</v>
      </c>
      <c r="AI329">
        <v>106.794571746839</v>
      </c>
      <c r="AJ329">
        <v>80.631129445633604</v>
      </c>
      <c r="AK329">
        <v>0.65543531565466895</v>
      </c>
      <c r="AL329">
        <v>79.895345524380303</v>
      </c>
      <c r="AM329">
        <v>87.232749514120201</v>
      </c>
      <c r="AN329">
        <v>0.99999998552684899</v>
      </c>
    </row>
    <row r="330" spans="1:40" x14ac:dyDescent="0.25">
      <c r="A330" t="str">
        <f>"20190303170503482"</f>
        <v>20190303170503482</v>
      </c>
      <c r="B330" t="str">
        <f>"1551603903475218"</f>
        <v>1551603903475218</v>
      </c>
      <c r="C330" t="s">
        <v>40</v>
      </c>
      <c r="D330">
        <v>5.4463699999999999</v>
      </c>
      <c r="E330">
        <v>0.54259969999999902</v>
      </c>
      <c r="F330" t="s">
        <v>42</v>
      </c>
      <c r="G330">
        <v>-404.27</v>
      </c>
      <c r="H330">
        <v>0.86663159999999895</v>
      </c>
      <c r="I330">
        <v>366.94450000000001</v>
      </c>
      <c r="J330">
        <v>-404.94299999999998</v>
      </c>
      <c r="K330">
        <v>1.0704309999999999</v>
      </c>
      <c r="L330">
        <v>367.06279999999998</v>
      </c>
      <c r="M330">
        <v>0.99998140000000002</v>
      </c>
      <c r="N330">
        <v>-6.1085130000000003E-3</v>
      </c>
      <c r="O330">
        <v>-1.3316439999999999E-4</v>
      </c>
      <c r="P330">
        <v>0.98437059999999998</v>
      </c>
      <c r="Q330">
        <v>0.1696426</v>
      </c>
      <c r="R330">
        <v>-4.7286639999999998E-2</v>
      </c>
      <c r="S330">
        <v>3.1537480000000002</v>
      </c>
      <c r="T330">
        <v>-0.73861999999999906</v>
      </c>
      <c r="U330">
        <v>-0.42913820000000003</v>
      </c>
      <c r="V330">
        <v>4.718145E-2</v>
      </c>
      <c r="W330">
        <v>0.17564579999999999</v>
      </c>
      <c r="X330">
        <v>0.98332209999999998</v>
      </c>
      <c r="Y330">
        <v>0.1311223</v>
      </c>
      <c r="Z330">
        <v>-1.546081E-2</v>
      </c>
      <c r="AA330">
        <v>0.99124559999999995</v>
      </c>
      <c r="AB330">
        <v>23</v>
      </c>
      <c r="AC330">
        <v>0.673000000000058</v>
      </c>
      <c r="AD330">
        <v>-0.20379939999999999</v>
      </c>
      <c r="AE330">
        <v>-0.11829999999997599</v>
      </c>
      <c r="AF330">
        <v>0.10855417771546499</v>
      </c>
      <c r="AG330">
        <v>-0.20379939999999999</v>
      </c>
      <c r="AH330">
        <v>0.61803940173971705</v>
      </c>
      <c r="AI330">
        <v>107.99274601621499</v>
      </c>
      <c r="AJ330">
        <v>80.038022464396505</v>
      </c>
      <c r="AK330">
        <v>0.65976579711487604</v>
      </c>
      <c r="AL330">
        <v>79.883757572574893</v>
      </c>
      <c r="AM330">
        <v>87.252958853871107</v>
      </c>
      <c r="AN330">
        <v>0.999999944315074</v>
      </c>
    </row>
    <row r="331" spans="1:40" x14ac:dyDescent="0.25">
      <c r="A331" t="str">
        <f>"20190303170503506"</f>
        <v>20190303170503506</v>
      </c>
      <c r="B331" t="str">
        <f>"1551603903494738"</f>
        <v>1551603903494738</v>
      </c>
      <c r="C331" t="s">
        <v>40</v>
      </c>
      <c r="D331">
        <v>5.4315600000000002</v>
      </c>
      <c r="E331">
        <v>0.54275220000000002</v>
      </c>
      <c r="F331" t="s">
        <v>42</v>
      </c>
      <c r="G331">
        <v>-404.25130000000001</v>
      </c>
      <c r="H331">
        <v>0.90870419999999996</v>
      </c>
      <c r="I331">
        <v>366.96879999999999</v>
      </c>
      <c r="J331">
        <v>-404.70420000000001</v>
      </c>
      <c r="K331">
        <v>1.070411</v>
      </c>
      <c r="L331">
        <v>367.06270000000001</v>
      </c>
      <c r="M331">
        <v>0.9999827</v>
      </c>
      <c r="N331">
        <v>-5.9104580000000004E-3</v>
      </c>
      <c r="O331">
        <v>-2.016962E-4</v>
      </c>
      <c r="P331">
        <v>0.98430030000000002</v>
      </c>
      <c r="Q331">
        <v>0.17007349999999999</v>
      </c>
      <c r="R331">
        <v>-4.7203549999999997E-2</v>
      </c>
      <c r="S331">
        <v>3.154175</v>
      </c>
      <c r="T331">
        <v>-0.73745830000000001</v>
      </c>
      <c r="U331">
        <v>-0.42871090000000001</v>
      </c>
      <c r="V331">
        <v>4.703098E-2</v>
      </c>
      <c r="W331">
        <v>0.17588139999999999</v>
      </c>
      <c r="X331">
        <v>0.98328729999999998</v>
      </c>
      <c r="Y331">
        <v>0.1309265</v>
      </c>
      <c r="Z331">
        <v>-1.538423E-2</v>
      </c>
      <c r="AA331">
        <v>0.99127270000000001</v>
      </c>
      <c r="AB331">
        <v>23</v>
      </c>
      <c r="AC331">
        <v>0.45289999999999903</v>
      </c>
      <c r="AD331">
        <v>-0.16170680000000001</v>
      </c>
      <c r="AE331">
        <v>-9.3900000000019204E-2</v>
      </c>
      <c r="AF331">
        <v>8.3591376583916494E-2</v>
      </c>
      <c r="AG331">
        <v>-0.16170680000000001</v>
      </c>
      <c r="AH331">
        <v>0.403588768808956</v>
      </c>
      <c r="AI331">
        <v>111.422312081972</v>
      </c>
      <c r="AJ331">
        <v>78.298344625828406</v>
      </c>
      <c r="AK331">
        <v>0.44274202614407698</v>
      </c>
      <c r="AL331">
        <v>79.870046270340097</v>
      </c>
      <c r="AM331">
        <v>87.261609534279799</v>
      </c>
      <c r="AN331">
        <v>1.0000000471435</v>
      </c>
    </row>
    <row r="332" spans="1:40" x14ac:dyDescent="0.25">
      <c r="A332" t="str">
        <f>"20190303170503526"</f>
        <v>20190303170503526</v>
      </c>
      <c r="B332" t="str">
        <f>"1551603903515234"</f>
        <v>1551603903515234</v>
      </c>
      <c r="C332" t="s">
        <v>40</v>
      </c>
      <c r="D332">
        <v>5.4658059999999997</v>
      </c>
      <c r="E332">
        <v>0.54291859999999903</v>
      </c>
      <c r="F332" t="s">
        <v>42</v>
      </c>
      <c r="G332">
        <v>-403.84769999999997</v>
      </c>
      <c r="H332">
        <v>0.87041039999999903</v>
      </c>
      <c r="I332">
        <v>366.9461</v>
      </c>
      <c r="J332">
        <v>-404.47919999999999</v>
      </c>
      <c r="K332">
        <v>1.0703940000000001</v>
      </c>
      <c r="L332">
        <v>367.06259999999997</v>
      </c>
      <c r="M332">
        <v>0.99998339999999997</v>
      </c>
      <c r="N332">
        <v>-5.7483519999999896E-3</v>
      </c>
      <c r="O332">
        <v>-2.6582389999999997E-4</v>
      </c>
      <c r="P332">
        <v>0.98423729999999998</v>
      </c>
      <c r="Q332">
        <v>0.170265</v>
      </c>
      <c r="R332">
        <v>-4.7821660000000002E-2</v>
      </c>
      <c r="S332">
        <v>3.1545719999999999</v>
      </c>
      <c r="T332">
        <v>-0.73666290000000001</v>
      </c>
      <c r="U332">
        <v>-0.42880249999999998</v>
      </c>
      <c r="V332">
        <v>4.7586110000000001E-2</v>
      </c>
      <c r="W332">
        <v>0.17591329999999999</v>
      </c>
      <c r="X332">
        <v>0.98325479999999998</v>
      </c>
      <c r="Y332">
        <v>0.13088810000000001</v>
      </c>
      <c r="Z332">
        <v>-1.533692E-2</v>
      </c>
      <c r="AA332">
        <v>0.99127849999999995</v>
      </c>
      <c r="AB332">
        <v>23</v>
      </c>
      <c r="AC332">
        <v>0.63150000000001605</v>
      </c>
      <c r="AD332">
        <v>-0.19998360000000001</v>
      </c>
      <c r="AE332">
        <v>-0.116499999999973</v>
      </c>
      <c r="AF332">
        <v>0.106047080015771</v>
      </c>
      <c r="AG332">
        <v>-0.19998360000000001</v>
      </c>
      <c r="AH332">
        <v>0.57569663286874295</v>
      </c>
      <c r="AI332">
        <v>108.861653570138</v>
      </c>
      <c r="AJ332">
        <v>79.562746015538295</v>
      </c>
      <c r="AK332">
        <v>0.61860006186973404</v>
      </c>
      <c r="AL332">
        <v>79.868188738926193</v>
      </c>
      <c r="AM332">
        <v>87.229245587615296</v>
      </c>
      <c r="AN332">
        <v>0.99999996435242999</v>
      </c>
    </row>
    <row r="333" spans="1:40" x14ac:dyDescent="0.25">
      <c r="A333" t="str">
        <f>"20190303170503548"</f>
        <v>20190303170503548</v>
      </c>
      <c r="B333" t="str">
        <f>"1551603903534754"</f>
        <v>1551603903534754</v>
      </c>
      <c r="C333" t="s">
        <v>40</v>
      </c>
      <c r="D333">
        <v>5.4572839999999996</v>
      </c>
      <c r="E333">
        <v>0.54305999999999999</v>
      </c>
      <c r="F333" t="s">
        <v>42</v>
      </c>
      <c r="G333">
        <v>-403.63440000000003</v>
      </c>
      <c r="H333">
        <v>0.87328539999999999</v>
      </c>
      <c r="I333">
        <v>366.94650000000001</v>
      </c>
      <c r="J333">
        <v>-404.25009999999997</v>
      </c>
      <c r="K333">
        <v>1.070379</v>
      </c>
      <c r="L333">
        <v>367.06240000000003</v>
      </c>
      <c r="M333">
        <v>0.99998419999999999</v>
      </c>
      <c r="N333">
        <v>-5.6054759999999999E-3</v>
      </c>
      <c r="O333">
        <v>-3.3109360000000001E-4</v>
      </c>
      <c r="P333">
        <v>0.98426860000000005</v>
      </c>
      <c r="Q333">
        <v>0.16988619999999999</v>
      </c>
      <c r="R333">
        <v>-4.8517089999999999E-2</v>
      </c>
      <c r="S333">
        <v>3.1544189999999999</v>
      </c>
      <c r="T333">
        <v>-0.73608790000000002</v>
      </c>
      <c r="U333">
        <v>-0.43118289999999998</v>
      </c>
      <c r="V333">
        <v>4.8217290000000003E-2</v>
      </c>
      <c r="W333">
        <v>0.17539370000000001</v>
      </c>
      <c r="X333">
        <v>0.98331690000000005</v>
      </c>
      <c r="Y333">
        <v>0.13155549999999999</v>
      </c>
      <c r="Z333">
        <v>-1.5379759999999999E-2</v>
      </c>
      <c r="AA333">
        <v>0.99118949999999995</v>
      </c>
      <c r="AB333">
        <v>24</v>
      </c>
      <c r="AC333">
        <v>0.61569999999994696</v>
      </c>
      <c r="AD333">
        <v>-0.19709360000000001</v>
      </c>
      <c r="AE333">
        <v>-0.11590000000001</v>
      </c>
      <c r="AF333">
        <v>0.105277309596189</v>
      </c>
      <c r="AG333">
        <v>-0.19709360000000001</v>
      </c>
      <c r="AH333">
        <v>0.56028903034035904</v>
      </c>
      <c r="AI333">
        <v>109.071355927696</v>
      </c>
      <c r="AJ333">
        <v>79.3583050701357</v>
      </c>
      <c r="AK333">
        <v>0.60320228497288697</v>
      </c>
      <c r="AL333">
        <v>79.8984300905162</v>
      </c>
      <c r="AM333">
        <v>87.192729856126803</v>
      </c>
      <c r="AN333">
        <v>0.99999999144012197</v>
      </c>
    </row>
    <row r="334" spans="1:40" x14ac:dyDescent="0.25">
      <c r="A334" t="str">
        <f>"20190303170503562"</f>
        <v>20190303170503562</v>
      </c>
      <c r="B334" t="str">
        <f>"1551603903555250"</f>
        <v>1551603903555250</v>
      </c>
      <c r="C334" t="s">
        <v>40</v>
      </c>
      <c r="D334">
        <v>5.4856179999999997</v>
      </c>
      <c r="E334">
        <v>0.54308089999999998</v>
      </c>
      <c r="F334" t="s">
        <v>42</v>
      </c>
      <c r="G334">
        <v>-403.42</v>
      </c>
      <c r="H334">
        <v>0.87624650000000004</v>
      </c>
      <c r="I334">
        <v>366.94839999999999</v>
      </c>
      <c r="J334">
        <v>-404.1003</v>
      </c>
      <c r="K334">
        <v>1.0703720000000001</v>
      </c>
      <c r="L334">
        <v>367.06229999999999</v>
      </c>
      <c r="M334">
        <v>0.9999846</v>
      </c>
      <c r="N334">
        <v>-5.5220260000000002E-3</v>
      </c>
      <c r="O334">
        <v>-3.7389090000000002E-4</v>
      </c>
      <c r="P334">
        <v>0.98436729999999995</v>
      </c>
      <c r="Q334">
        <v>0.16929759999999999</v>
      </c>
      <c r="R334">
        <v>-4.8574770000000003E-2</v>
      </c>
      <c r="S334">
        <v>3.1538390000000001</v>
      </c>
      <c r="T334">
        <v>-0.7375678</v>
      </c>
      <c r="U334">
        <v>-0.43377690000000002</v>
      </c>
      <c r="V334">
        <v>4.8232730000000001E-2</v>
      </c>
      <c r="W334">
        <v>0.1747233</v>
      </c>
      <c r="X334">
        <v>0.98343550000000002</v>
      </c>
      <c r="Y334">
        <v>0.13230500000000001</v>
      </c>
      <c r="Z334">
        <v>-1.5484019999999999E-2</v>
      </c>
      <c r="AA334">
        <v>0.99108810000000003</v>
      </c>
      <c r="AB334">
        <v>24</v>
      </c>
      <c r="AC334">
        <v>0.68029999999998803</v>
      </c>
      <c r="AD334">
        <v>-0.19412549999999901</v>
      </c>
      <c r="AE334">
        <v>-0.1139</v>
      </c>
      <c r="AF334">
        <v>0.105304858802726</v>
      </c>
      <c r="AG334">
        <v>-0.19412549999999901</v>
      </c>
      <c r="AH334">
        <v>0.63041029325085995</v>
      </c>
      <c r="AI334">
        <v>106.89494612402601</v>
      </c>
      <c r="AJ334">
        <v>80.516767416121894</v>
      </c>
      <c r="AK334">
        <v>0.667975269657753</v>
      </c>
      <c r="AL334">
        <v>79.937443768225606</v>
      </c>
      <c r="AM334">
        <v>87.192170475342195</v>
      </c>
      <c r="AN334">
        <v>1.0000000052331901</v>
      </c>
    </row>
    <row r="335" spans="1:40" x14ac:dyDescent="0.25">
      <c r="A335" t="str">
        <f>"20190303170503583"</f>
        <v>20190303170503583</v>
      </c>
      <c r="B335" t="str">
        <f>"1551603903574770"</f>
        <v>1551603903574770</v>
      </c>
      <c r="C335" t="s">
        <v>40</v>
      </c>
      <c r="D335">
        <v>5.4910459999999999</v>
      </c>
      <c r="E335">
        <v>0.52212999999999998</v>
      </c>
      <c r="F335" t="s">
        <v>42</v>
      </c>
      <c r="G335">
        <v>-403.40589999999997</v>
      </c>
      <c r="H335">
        <v>0.90755450000000004</v>
      </c>
      <c r="I335">
        <v>366.96679999999998</v>
      </c>
      <c r="J335">
        <v>-403.87490000000003</v>
      </c>
      <c r="K335">
        <v>1.070365</v>
      </c>
      <c r="L335">
        <v>367.06220000000002</v>
      </c>
      <c r="M335">
        <v>0.99998529999999997</v>
      </c>
      <c r="N335">
        <v>-5.4135880000000004E-3</v>
      </c>
      <c r="O335">
        <v>-4.3843799999999998E-4</v>
      </c>
      <c r="P335">
        <v>0.98426809999999998</v>
      </c>
      <c r="Q335">
        <v>0.16988410000000001</v>
      </c>
      <c r="R335">
        <v>-4.8538610000000003E-2</v>
      </c>
      <c r="S335">
        <v>3.1533509999999998</v>
      </c>
      <c r="T335">
        <v>-0.739340199999999</v>
      </c>
      <c r="U335">
        <v>-0.43426510000000001</v>
      </c>
      <c r="V335">
        <v>4.8133240000000001E-2</v>
      </c>
      <c r="W335">
        <v>0.17520259999999999</v>
      </c>
      <c r="X335">
        <v>0.98335510000000004</v>
      </c>
      <c r="Y335">
        <v>0.1323955</v>
      </c>
      <c r="Z335">
        <v>-1.5510329999999999E-2</v>
      </c>
      <c r="AA335">
        <v>0.99107559999999995</v>
      </c>
      <c r="AB335">
        <v>24</v>
      </c>
      <c r="AC335">
        <v>0.46900000000004999</v>
      </c>
      <c r="AD335">
        <v>-0.162810499999999</v>
      </c>
      <c r="AE335">
        <v>-9.5400000000040494E-2</v>
      </c>
      <c r="AF335">
        <v>8.5320950790126707E-2</v>
      </c>
      <c r="AG335">
        <v>-0.162810499999999</v>
      </c>
      <c r="AH335">
        <v>0.42039350518461299</v>
      </c>
      <c r="AI335">
        <v>110.78391962107</v>
      </c>
      <c r="AJ335">
        <v>78.527364989482194</v>
      </c>
      <c r="AK335">
        <v>0.45882199462905698</v>
      </c>
      <c r="AL335">
        <v>79.909551676328206</v>
      </c>
      <c r="AM335">
        <v>87.197724233020693</v>
      </c>
      <c r="AN335">
        <v>1.00000000626783</v>
      </c>
    </row>
    <row r="336" spans="1:40" x14ac:dyDescent="0.25">
      <c r="A336" t="str">
        <f>"20190303170503606"</f>
        <v>20190303170503606</v>
      </c>
      <c r="B336" t="str">
        <f>"1551603903595267"</f>
        <v>1551603903595267</v>
      </c>
      <c r="C336" t="s">
        <v>40</v>
      </c>
      <c r="D336">
        <v>5.4546970000000004</v>
      </c>
      <c r="E336">
        <v>0.51766099999999904</v>
      </c>
      <c r="F336" t="s">
        <v>42</v>
      </c>
      <c r="G336">
        <v>-402.96870000000001</v>
      </c>
      <c r="H336">
        <v>0.92422150000000003</v>
      </c>
      <c r="I336">
        <v>366.98129999999998</v>
      </c>
      <c r="J336">
        <v>-403.63639999999998</v>
      </c>
      <c r="K336">
        <v>1.0703579999999999</v>
      </c>
      <c r="L336">
        <v>367.06200000000001</v>
      </c>
      <c r="M336">
        <v>0.99998580000000004</v>
      </c>
      <c r="N336">
        <v>-5.3186580000000004E-3</v>
      </c>
      <c r="O336">
        <v>-5.0672360000000004E-4</v>
      </c>
      <c r="P336">
        <v>0.98414520000000005</v>
      </c>
      <c r="Q336">
        <v>0.17056830000000001</v>
      </c>
      <c r="R336">
        <v>-4.863112E-2</v>
      </c>
      <c r="S336">
        <v>3.1211549999999999</v>
      </c>
      <c r="T336">
        <v>-0.50339560000000005</v>
      </c>
      <c r="U336">
        <v>-0.27786250000000001</v>
      </c>
      <c r="V336">
        <v>4.8158970000000002E-2</v>
      </c>
      <c r="W336">
        <v>0.17579310000000001</v>
      </c>
      <c r="X336">
        <v>0.98324840000000002</v>
      </c>
      <c r="Y336">
        <v>8.7022890000000006E-2</v>
      </c>
      <c r="Z336">
        <v>-7.1142260000000004E-3</v>
      </c>
      <c r="AA336">
        <v>0.99618090000000004</v>
      </c>
      <c r="AB336">
        <v>24</v>
      </c>
      <c r="AC336">
        <v>0.66769999999996799</v>
      </c>
      <c r="AD336">
        <v>-0.146136499999999</v>
      </c>
      <c r="AE336">
        <v>-8.06999999999789E-2</v>
      </c>
      <c r="AF336">
        <v>7.6738627552503394E-2</v>
      </c>
      <c r="AG336">
        <v>-0.146136499999999</v>
      </c>
      <c r="AH336">
        <v>0.63763643447083196</v>
      </c>
      <c r="AI336">
        <v>102.818977102177</v>
      </c>
      <c r="AJ336">
        <v>83.137539807018101</v>
      </c>
      <c r="AK336">
        <v>0.65865386672786397</v>
      </c>
      <c r="AL336">
        <v>79.875184651923206</v>
      </c>
      <c r="AM336">
        <v>87.195924870556496</v>
      </c>
      <c r="AN336">
        <v>0.999999958250814</v>
      </c>
    </row>
    <row r="337" spans="1:40" x14ac:dyDescent="0.25">
      <c r="A337" t="str">
        <f>"20190303170503627"</f>
        <v>20190303170503627</v>
      </c>
      <c r="B337" t="str">
        <f>"1551603903614786"</f>
        <v>1551603903614786</v>
      </c>
      <c r="C337" t="s">
        <v>40</v>
      </c>
      <c r="D337">
        <v>5.401402</v>
      </c>
      <c r="E337">
        <v>0.51615859999999902</v>
      </c>
      <c r="F337" t="s">
        <v>42</v>
      </c>
      <c r="G337">
        <v>-402.7353</v>
      </c>
      <c r="H337">
        <v>0.95949580000000001</v>
      </c>
      <c r="I337">
        <v>366.98970000000003</v>
      </c>
      <c r="J337">
        <v>-403.40609999999998</v>
      </c>
      <c r="K337">
        <v>1.0703510000000001</v>
      </c>
      <c r="L337">
        <v>367.06169999999997</v>
      </c>
      <c r="M337">
        <v>0.99998620000000005</v>
      </c>
      <c r="N337">
        <v>-5.243185E-3</v>
      </c>
      <c r="O337">
        <v>-5.7256329999999999E-4</v>
      </c>
      <c r="P337">
        <v>0.98410350000000002</v>
      </c>
      <c r="Q337">
        <v>0.17070279999999999</v>
      </c>
      <c r="R337">
        <v>-4.9000090000000003E-2</v>
      </c>
      <c r="S337">
        <v>3.1022949999999998</v>
      </c>
      <c r="T337">
        <v>-0.38189139999999999</v>
      </c>
      <c r="U337">
        <v>-0.2474365</v>
      </c>
      <c r="V337">
        <v>4.8463289999999999E-2</v>
      </c>
      <c r="W337">
        <v>0.175852799999999</v>
      </c>
      <c r="X337">
        <v>0.98322279999999995</v>
      </c>
      <c r="Y337">
        <v>7.8327019999999997E-2</v>
      </c>
      <c r="Z337">
        <v>-4.934707E-3</v>
      </c>
      <c r="AA337">
        <v>0.99691549999999995</v>
      </c>
      <c r="AB337">
        <v>24</v>
      </c>
      <c r="AC337">
        <v>0.67079999999998496</v>
      </c>
      <c r="AD337">
        <v>-0.1108552</v>
      </c>
      <c r="AE337">
        <v>-7.1999999999945802E-2</v>
      </c>
      <c r="AF337">
        <v>6.9733166232445604E-2</v>
      </c>
      <c r="AG337">
        <v>-0.1108552</v>
      </c>
      <c r="AH337">
        <v>0.65320508575566805</v>
      </c>
      <c r="AI337">
        <v>99.578465384082406</v>
      </c>
      <c r="AJ337">
        <v>83.906445386875504</v>
      </c>
      <c r="AK337">
        <v>0.66620452857730705</v>
      </c>
      <c r="AL337">
        <v>79.871710249342996</v>
      </c>
      <c r="AM337">
        <v>87.178160914766593</v>
      </c>
      <c r="AN337">
        <v>0.99999998609265195</v>
      </c>
    </row>
    <row r="338" spans="1:40" x14ac:dyDescent="0.25">
      <c r="A338" t="str">
        <f>"20190303170503640"</f>
        <v>20190303170503640</v>
      </c>
      <c r="B338" t="str">
        <f>"1551603903635283"</f>
        <v>1551603903635283</v>
      </c>
      <c r="C338" t="s">
        <v>40</v>
      </c>
      <c r="D338">
        <v>5.4480389999999996</v>
      </c>
      <c r="E338">
        <v>0.51566719999999999</v>
      </c>
      <c r="F338" t="s">
        <v>42</v>
      </c>
      <c r="G338">
        <v>-402.50839999999999</v>
      </c>
      <c r="H338">
        <v>0.97911789999999999</v>
      </c>
      <c r="I338">
        <v>366.99239999999998</v>
      </c>
      <c r="J338">
        <v>-403.2602</v>
      </c>
      <c r="K338">
        <v>1.0703450000000001</v>
      </c>
      <c r="L338">
        <v>367.0616</v>
      </c>
      <c r="M338">
        <v>0.99998620000000005</v>
      </c>
      <c r="N338">
        <v>-5.2052189999999996E-3</v>
      </c>
      <c r="O338">
        <v>-6.1418620000000003E-4</v>
      </c>
      <c r="P338">
        <v>0.98416720000000002</v>
      </c>
      <c r="Q338">
        <v>0.17031559999999901</v>
      </c>
      <c r="R338">
        <v>-4.9066220000000001E-2</v>
      </c>
      <c r="S338">
        <v>3.0910340000000001</v>
      </c>
      <c r="T338">
        <v>-0.31420209999999998</v>
      </c>
      <c r="U338">
        <v>-0.2389221</v>
      </c>
      <c r="V338">
        <v>4.8488410000000003E-2</v>
      </c>
      <c r="W338">
        <v>0.1754289</v>
      </c>
      <c r="X338">
        <v>0.98329730000000004</v>
      </c>
      <c r="Y338">
        <v>7.604611E-2</v>
      </c>
      <c r="Z338">
        <v>-3.9891470000000002E-3</v>
      </c>
      <c r="AA338">
        <v>0.99709630000000005</v>
      </c>
      <c r="AB338">
        <v>24</v>
      </c>
      <c r="AC338">
        <v>0.75180000000000202</v>
      </c>
      <c r="AD338">
        <v>-9.1227100000000103E-2</v>
      </c>
      <c r="AE338">
        <v>-6.9200000000023396E-2</v>
      </c>
      <c r="AF338">
        <v>6.7749039790173896E-2</v>
      </c>
      <c r="AG338">
        <v>-9.1227100000000103E-2</v>
      </c>
      <c r="AH338">
        <v>0.741022774893767</v>
      </c>
      <c r="AI338">
        <v>96.989491433066206</v>
      </c>
      <c r="AJ338">
        <v>84.776176156920897</v>
      </c>
      <c r="AK338">
        <v>0.74968464642018595</v>
      </c>
      <c r="AL338">
        <v>79.896381629564402</v>
      </c>
      <c r="AM338">
        <v>87.176914198062605</v>
      </c>
      <c r="AN338">
        <v>1.0000000025234099</v>
      </c>
    </row>
    <row r="339" spans="1:40" x14ac:dyDescent="0.25">
      <c r="A339" t="str">
        <f>"20190303170503653"</f>
        <v>20190303170503653</v>
      </c>
      <c r="B339" t="str">
        <f>"1551603903645043"</f>
        <v>1551603903645043</v>
      </c>
      <c r="C339" t="s">
        <v>40</v>
      </c>
      <c r="D339">
        <v>5.4401020000000004</v>
      </c>
      <c r="E339">
        <v>0.51559350000000004</v>
      </c>
      <c r="F339" t="s">
        <v>42</v>
      </c>
      <c r="G339">
        <v>-402.49790000000002</v>
      </c>
      <c r="H339">
        <v>0.99993350000000003</v>
      </c>
      <c r="I339">
        <v>367.00330000000002</v>
      </c>
      <c r="J339">
        <v>-403.10860000000002</v>
      </c>
      <c r="K339">
        <v>1.0703400000000001</v>
      </c>
      <c r="L339">
        <v>367.06150000000002</v>
      </c>
      <c r="M339">
        <v>0.99998640000000005</v>
      </c>
      <c r="N339">
        <v>-5.1755909999999898E-3</v>
      </c>
      <c r="O339">
        <v>-6.5534909999999998E-4</v>
      </c>
      <c r="P339">
        <v>0.98419590000000001</v>
      </c>
      <c r="Q339">
        <v>0.1700583</v>
      </c>
      <c r="R339">
        <v>-4.9382089999999997E-2</v>
      </c>
      <c r="S339">
        <v>3.0858150000000002</v>
      </c>
      <c r="T339">
        <v>-0.28509319999999999</v>
      </c>
      <c r="U339">
        <v>-0.23617550000000001</v>
      </c>
      <c r="V339">
        <v>4.8763580000000001E-2</v>
      </c>
      <c r="W339">
        <v>0.17514250000000001</v>
      </c>
      <c r="X339">
        <v>0.98333470000000001</v>
      </c>
      <c r="Y339">
        <v>7.5324740000000001E-2</v>
      </c>
      <c r="Z339">
        <v>-3.6058269999999998E-3</v>
      </c>
      <c r="AA339">
        <v>0.9971525</v>
      </c>
      <c r="AB339">
        <v>24</v>
      </c>
      <c r="AC339">
        <v>0.61070000000000801</v>
      </c>
      <c r="AD339">
        <v>-7.0406500000000094E-2</v>
      </c>
      <c r="AE339">
        <v>-5.8199999999999301E-2</v>
      </c>
      <c r="AF339">
        <v>5.7048334644590297E-2</v>
      </c>
      <c r="AG339">
        <v>-7.0406500000000094E-2</v>
      </c>
      <c r="AH339">
        <v>0.60279811097457103</v>
      </c>
      <c r="AI339">
        <v>96.632561320612496</v>
      </c>
      <c r="AJ339">
        <v>84.593675269985894</v>
      </c>
      <c r="AK339">
        <v>0.60957128403697203</v>
      </c>
      <c r="AL339">
        <v>79.913048731941501</v>
      </c>
      <c r="AM339">
        <v>87.161027228963604</v>
      </c>
      <c r="AN339">
        <v>0.99999995713237699</v>
      </c>
    </row>
    <row r="340" spans="1:40" x14ac:dyDescent="0.25">
      <c r="A340" t="str">
        <f>"20190303170503672"</f>
        <v>20190303170503672</v>
      </c>
      <c r="B340" t="str">
        <f>"1551603903664562"</f>
        <v>1551603903664562</v>
      </c>
      <c r="C340" t="s">
        <v>40</v>
      </c>
      <c r="D340">
        <v>5.4742519999999999</v>
      </c>
      <c r="E340">
        <v>0.51559900000000003</v>
      </c>
      <c r="F340" t="s">
        <v>42</v>
      </c>
      <c r="G340">
        <v>-402.28089999999997</v>
      </c>
      <c r="H340">
        <v>0.99779549999999995</v>
      </c>
      <c r="I340">
        <v>366.99759999999998</v>
      </c>
      <c r="J340">
        <v>-402.90890000000002</v>
      </c>
      <c r="K340">
        <v>1.0703400000000001</v>
      </c>
      <c r="L340">
        <v>367.06130000000002</v>
      </c>
      <c r="M340">
        <v>0.9999865</v>
      </c>
      <c r="N340">
        <v>-5.1477739999999999E-3</v>
      </c>
      <c r="O340">
        <v>-7.0424929999999902E-4</v>
      </c>
      <c r="P340">
        <v>0.9843267</v>
      </c>
      <c r="Q340">
        <v>0.1691183</v>
      </c>
      <c r="R340">
        <v>-4.99999E-2</v>
      </c>
      <c r="S340">
        <v>3.083008</v>
      </c>
      <c r="T340">
        <v>-0.27039429999999998</v>
      </c>
      <c r="U340">
        <v>-0.2370911</v>
      </c>
      <c r="V340">
        <v>4.933179E-2</v>
      </c>
      <c r="W340">
        <v>0.1741762</v>
      </c>
      <c r="X340">
        <v>0.98347799999999996</v>
      </c>
      <c r="Y340">
        <v>7.567045E-2</v>
      </c>
      <c r="Z340">
        <v>-3.4446210000000001E-3</v>
      </c>
      <c r="AA340">
        <v>0.99712690000000004</v>
      </c>
      <c r="AB340">
        <v>24</v>
      </c>
      <c r="AC340">
        <v>0.62800000000004197</v>
      </c>
      <c r="AD340">
        <v>-7.2544500000000095E-2</v>
      </c>
      <c r="AE340">
        <v>-6.3700000000039794E-2</v>
      </c>
      <c r="AF340">
        <v>6.2433080084194598E-2</v>
      </c>
      <c r="AG340">
        <v>-7.2544500000000095E-2</v>
      </c>
      <c r="AH340">
        <v>0.61985749298554005</v>
      </c>
      <c r="AI340">
        <v>96.6418941514995</v>
      </c>
      <c r="AJ340">
        <v>84.248470703879093</v>
      </c>
      <c r="AK340">
        <v>0.62720324104660696</v>
      </c>
      <c r="AL340">
        <v>79.969278136668294</v>
      </c>
      <c r="AM340">
        <v>87.128419379402203</v>
      </c>
      <c r="AN340">
        <v>0.99999997531752105</v>
      </c>
    </row>
    <row r="341" spans="1:40" x14ac:dyDescent="0.25">
      <c r="A341" t="str">
        <f>"20190303170503696"</f>
        <v>20190303170503696</v>
      </c>
      <c r="B341" t="str">
        <f>"1551603903685058"</f>
        <v>1551603903685058</v>
      </c>
      <c r="C341" t="s">
        <v>40</v>
      </c>
      <c r="D341">
        <v>5.7029239999999897</v>
      </c>
      <c r="E341">
        <v>0.5164782</v>
      </c>
      <c r="F341" t="s">
        <v>42</v>
      </c>
      <c r="G341">
        <v>-402.06009999999998</v>
      </c>
      <c r="H341">
        <v>1.000372</v>
      </c>
      <c r="I341">
        <v>366.9948</v>
      </c>
      <c r="J341">
        <v>-402.6463</v>
      </c>
      <c r="K341">
        <v>1.070346</v>
      </c>
      <c r="L341">
        <v>367.06099999999998</v>
      </c>
      <c r="M341">
        <v>0.99998659999999995</v>
      </c>
      <c r="N341">
        <v>-5.1301180000000004E-3</v>
      </c>
      <c r="O341">
        <v>-7.533749E-4</v>
      </c>
      <c r="P341">
        <v>0.98429509999999998</v>
      </c>
      <c r="Q341">
        <v>0.16914179999999901</v>
      </c>
      <c r="R341">
        <v>-5.0536860000000003E-2</v>
      </c>
      <c r="S341">
        <v>3.0792540000000002</v>
      </c>
      <c r="T341">
        <v>-0.25402079999999999</v>
      </c>
      <c r="U341">
        <v>-0.24014279999999999</v>
      </c>
      <c r="V341">
        <v>4.9816369999999999E-2</v>
      </c>
      <c r="W341">
        <v>0.17418330000000001</v>
      </c>
      <c r="X341">
        <v>0.98345229999999995</v>
      </c>
      <c r="Y341">
        <v>7.6727069999999994E-2</v>
      </c>
      <c r="Z341">
        <v>-3.294005E-3</v>
      </c>
      <c r="AA341">
        <v>0.99704669999999895</v>
      </c>
      <c r="AB341">
        <v>24</v>
      </c>
      <c r="AC341">
        <v>0.58620000000001904</v>
      </c>
      <c r="AD341">
        <v>-6.9973999999999897E-2</v>
      </c>
      <c r="AE341">
        <v>-6.6199999999980705E-2</v>
      </c>
      <c r="AF341">
        <v>6.4845997510332598E-2</v>
      </c>
      <c r="AG341">
        <v>-6.9973999999999897E-2</v>
      </c>
      <c r="AH341">
        <v>0.57811591668529805</v>
      </c>
      <c r="AI341">
        <v>96.858796561484098</v>
      </c>
      <c r="AJ341">
        <v>83.600009052488801</v>
      </c>
      <c r="AK341">
        <v>0.58593461853178896</v>
      </c>
      <c r="AL341">
        <v>79.968864861864205</v>
      </c>
      <c r="AM341">
        <v>87.100184462272097</v>
      </c>
      <c r="AN341">
        <v>0.99999995954707699</v>
      </c>
    </row>
    <row r="342" spans="1:40" x14ac:dyDescent="0.25">
      <c r="A342" t="str">
        <f>"20190303170503717"</f>
        <v>20190303170503717</v>
      </c>
      <c r="B342" t="str">
        <f>"1551603903704579"</f>
        <v>1551603903704579</v>
      </c>
      <c r="C342" t="s">
        <v>40</v>
      </c>
      <c r="D342">
        <v>5.4494939999999996</v>
      </c>
      <c r="E342">
        <v>0.51688120000000004</v>
      </c>
      <c r="F342" t="s">
        <v>42</v>
      </c>
      <c r="G342">
        <v>-401.83460000000002</v>
      </c>
      <c r="H342">
        <v>1.006051</v>
      </c>
      <c r="I342">
        <v>366.9948</v>
      </c>
      <c r="J342">
        <v>-402.4144</v>
      </c>
      <c r="K342">
        <v>1.07036</v>
      </c>
      <c r="L342">
        <v>367.0609</v>
      </c>
      <c r="M342">
        <v>0.99998659999999995</v>
      </c>
      <c r="N342">
        <v>-5.1281199999999999E-3</v>
      </c>
      <c r="O342">
        <v>-7.8190619999999895E-4</v>
      </c>
      <c r="P342">
        <v>0.98430629999999997</v>
      </c>
      <c r="Q342">
        <v>0.16903509999999999</v>
      </c>
      <c r="R342">
        <v>-5.068077E-2</v>
      </c>
      <c r="S342">
        <v>3.0769350000000002</v>
      </c>
      <c r="T342">
        <v>-0.24387120000000001</v>
      </c>
      <c r="U342">
        <v>-0.2501526</v>
      </c>
      <c r="V342">
        <v>4.9927060000000002E-2</v>
      </c>
      <c r="W342">
        <v>0.17407619999999999</v>
      </c>
      <c r="X342">
        <v>0.9834657</v>
      </c>
      <c r="Y342">
        <v>7.9989240000000003E-2</v>
      </c>
      <c r="Z342">
        <v>-3.3077359999999999E-3</v>
      </c>
      <c r="AA342">
        <v>0.99679019999999996</v>
      </c>
      <c r="AB342">
        <v>25</v>
      </c>
      <c r="AC342">
        <v>0.579799999999977</v>
      </c>
      <c r="AD342">
        <v>-6.4308999999999894E-2</v>
      </c>
      <c r="AE342">
        <v>-6.6100000000005807E-2</v>
      </c>
      <c r="AF342">
        <v>6.4858946528311895E-2</v>
      </c>
      <c r="AG342">
        <v>-6.4308999999999894E-2</v>
      </c>
      <c r="AH342">
        <v>0.57289400818259895</v>
      </c>
      <c r="AI342">
        <v>96.364483552515395</v>
      </c>
      <c r="AJ342">
        <v>83.540885303677598</v>
      </c>
      <c r="AK342">
        <v>0.58012918823076498</v>
      </c>
      <c r="AL342">
        <v>79.975096941601507</v>
      </c>
      <c r="AM342">
        <v>87.093791751594395</v>
      </c>
      <c r="AN342">
        <v>1.0000000089015799</v>
      </c>
    </row>
    <row r="343" spans="1:40" x14ac:dyDescent="0.25">
      <c r="A343" t="str">
        <f>"20190303170503737"</f>
        <v>20190303170503737</v>
      </c>
      <c r="B343" t="str">
        <f>"1551603903725074"</f>
        <v>1551603903725074</v>
      </c>
      <c r="C343" t="s">
        <v>40</v>
      </c>
      <c r="D343">
        <v>5.4640940000000002</v>
      </c>
      <c r="E343">
        <v>0.5171869</v>
      </c>
      <c r="F343" t="s">
        <v>42</v>
      </c>
      <c r="G343">
        <v>-401.61040000000003</v>
      </c>
      <c r="H343">
        <v>1.009096</v>
      </c>
      <c r="I343">
        <v>366.99430000000001</v>
      </c>
      <c r="J343">
        <v>-402.18130000000002</v>
      </c>
      <c r="K343">
        <v>1.0703640000000001</v>
      </c>
      <c r="L343">
        <v>367.0607</v>
      </c>
      <c r="M343">
        <v>0.9999865</v>
      </c>
      <c r="N343">
        <v>-5.1369140000000002E-3</v>
      </c>
      <c r="O343">
        <v>-7.9938179999999902E-4</v>
      </c>
      <c r="P343">
        <v>0.98435039999999996</v>
      </c>
      <c r="Q343">
        <v>0.16879839999999999</v>
      </c>
      <c r="R343">
        <v>-5.061243E-2</v>
      </c>
      <c r="S343">
        <v>3.0750120000000001</v>
      </c>
      <c r="T343">
        <v>-0.23440340000000001</v>
      </c>
      <c r="U343">
        <v>-0.25387569999999998</v>
      </c>
      <c r="V343">
        <v>4.983667E-2</v>
      </c>
      <c r="W343">
        <v>0.17384939999999999</v>
      </c>
      <c r="X343">
        <v>0.98351040000000001</v>
      </c>
      <c r="Y343">
        <v>8.1236269999999999E-2</v>
      </c>
      <c r="Z343">
        <v>-3.2392219999999999E-3</v>
      </c>
      <c r="AA343">
        <v>0.99668959999999995</v>
      </c>
      <c r="AB343">
        <v>25</v>
      </c>
      <c r="AC343">
        <v>0.57089999999999397</v>
      </c>
      <c r="AD343">
        <v>-6.1267999999999802E-2</v>
      </c>
      <c r="AE343">
        <v>-6.6399999999987303E-2</v>
      </c>
      <c r="AF343">
        <v>6.5202675627533693E-2</v>
      </c>
      <c r="AG343">
        <v>-6.1267999999999802E-2</v>
      </c>
      <c r="AH343">
        <v>0.56453777682508299</v>
      </c>
      <c r="AI343">
        <v>96.153349584417001</v>
      </c>
      <c r="AJ343">
        <v>83.411675222623998</v>
      </c>
      <c r="AK343">
        <v>0.57158381554728799</v>
      </c>
      <c r="AL343">
        <v>79.988292815400598</v>
      </c>
      <c r="AM343">
        <v>87.099175896465098</v>
      </c>
      <c r="AN343">
        <v>1.0000000072326001</v>
      </c>
    </row>
    <row r="344" spans="1:40" x14ac:dyDescent="0.25">
      <c r="A344" t="str">
        <f>"20190303170503761"</f>
        <v>20190303170503761</v>
      </c>
      <c r="B344" t="str">
        <f>"1551603903754354"</f>
        <v>1551603903754354</v>
      </c>
      <c r="C344" t="s">
        <v>40</v>
      </c>
      <c r="D344">
        <v>5.4423079999999997</v>
      </c>
      <c r="E344">
        <v>0.51778239999999998</v>
      </c>
      <c r="F344" t="s">
        <v>41</v>
      </c>
      <c r="G344">
        <v>-387.78390000000002</v>
      </c>
      <c r="H344" s="1">
        <v>-1.7386650000000001E-6</v>
      </c>
      <c r="I344">
        <v>365.86369999999999</v>
      </c>
      <c r="J344">
        <v>-401.92259999999999</v>
      </c>
      <c r="K344">
        <v>1.0703720000000001</v>
      </c>
      <c r="L344">
        <v>367.06049999999999</v>
      </c>
      <c r="M344">
        <v>0.9999865</v>
      </c>
      <c r="N344">
        <v>-5.1574079999999996E-3</v>
      </c>
      <c r="O344">
        <v>-8.0938780000000001E-4</v>
      </c>
      <c r="P344">
        <v>0.98439200000000004</v>
      </c>
      <c r="Q344">
        <v>0.16858629999999999</v>
      </c>
      <c r="R344">
        <v>-5.051245E-2</v>
      </c>
      <c r="S344">
        <v>3.0737299999999999</v>
      </c>
      <c r="T344">
        <v>-0.22851399999999999</v>
      </c>
      <c r="U344">
        <v>-0.25552370000000002</v>
      </c>
      <c r="V344">
        <v>4.972273E-2</v>
      </c>
      <c r="W344">
        <v>0.17365929999999999</v>
      </c>
      <c r="X344">
        <v>0.98354980000000003</v>
      </c>
      <c r="Y344">
        <v>8.1801079999999998E-2</v>
      </c>
      <c r="Z344">
        <v>-3.187109E-3</v>
      </c>
      <c r="AA344">
        <v>0.99664359999999996</v>
      </c>
      <c r="AB344">
        <v>25</v>
      </c>
      <c r="AC344">
        <v>14.138699999999901</v>
      </c>
      <c r="AD344">
        <v>-1.0703737386650001</v>
      </c>
      <c r="AE344">
        <v>-1.1967999999999901</v>
      </c>
      <c r="AF344">
        <v>1.1786486530931499</v>
      </c>
      <c r="AG344">
        <v>-1.0703737386650001</v>
      </c>
      <c r="AH344">
        <v>14.059657424839701</v>
      </c>
      <c r="AI344">
        <v>94.338418986459502</v>
      </c>
      <c r="AJ344">
        <v>85.207987250151007</v>
      </c>
      <c r="AK344">
        <v>14.1495187017691</v>
      </c>
      <c r="AL344">
        <v>79.999353468747699</v>
      </c>
      <c r="AM344">
        <v>87.105912411733598</v>
      </c>
      <c r="AN344">
        <v>1.0000000557175801</v>
      </c>
    </row>
    <row r="345" spans="1:40" x14ac:dyDescent="0.25">
      <c r="A345" t="str">
        <f>"20190303170503784"</f>
        <v>20190303170503784</v>
      </c>
      <c r="B345" t="str">
        <f>"1551603903774851"</f>
        <v>1551603903774851</v>
      </c>
      <c r="C345" t="s">
        <v>40</v>
      </c>
      <c r="D345">
        <v>5.6371279999999997</v>
      </c>
      <c r="E345">
        <v>0.51806609999999997</v>
      </c>
      <c r="F345" t="s">
        <v>41</v>
      </c>
      <c r="G345">
        <v>-387.19319999999999</v>
      </c>
      <c r="H345" s="1">
        <v>-1.9530030000000001E-6</v>
      </c>
      <c r="I345">
        <v>365.81360000000001</v>
      </c>
      <c r="J345">
        <v>-401.66649999999998</v>
      </c>
      <c r="K345">
        <v>1.070373</v>
      </c>
      <c r="L345">
        <v>367.06020000000001</v>
      </c>
      <c r="M345">
        <v>0.99998640000000005</v>
      </c>
      <c r="N345">
        <v>-5.1891899999999998E-3</v>
      </c>
      <c r="O345">
        <v>-8.1063009999999896E-4</v>
      </c>
      <c r="P345">
        <v>0.98444339999999997</v>
      </c>
      <c r="Q345">
        <v>0.1683856</v>
      </c>
      <c r="R345">
        <v>-5.0178729999999998E-2</v>
      </c>
      <c r="S345">
        <v>3.0724490000000002</v>
      </c>
      <c r="T345">
        <v>-0.22327240000000001</v>
      </c>
      <c r="U345">
        <v>-0.26007079999999999</v>
      </c>
      <c r="V345">
        <v>4.9385640000000001E-2</v>
      </c>
      <c r="W345">
        <v>0.17349059999999999</v>
      </c>
      <c r="X345">
        <v>0.98359649999999998</v>
      </c>
      <c r="Y345">
        <v>8.3304719999999999E-2</v>
      </c>
      <c r="Z345">
        <v>-3.179786E-3</v>
      </c>
      <c r="AA345">
        <v>0.99651900000000004</v>
      </c>
      <c r="AB345">
        <v>25</v>
      </c>
      <c r="AC345">
        <v>14.473299999999901</v>
      </c>
      <c r="AD345">
        <v>-1.070374953003</v>
      </c>
      <c r="AE345">
        <v>-1.2465999999999999</v>
      </c>
      <c r="AF345">
        <v>1.22819894311943</v>
      </c>
      <c r="AG345">
        <v>-1.070374953003</v>
      </c>
      <c r="AH345">
        <v>14.396147849858</v>
      </c>
      <c r="AI345">
        <v>94.236867325694007</v>
      </c>
      <c r="AJ345">
        <v>85.123652082135095</v>
      </c>
      <c r="AK345">
        <v>14.4880381038589</v>
      </c>
      <c r="AL345">
        <v>80.009167708589104</v>
      </c>
      <c r="AM345">
        <v>87.125635804309795</v>
      </c>
      <c r="AN345">
        <v>1.0000000022694</v>
      </c>
    </row>
    <row r="346" spans="1:40" x14ac:dyDescent="0.25">
      <c r="A346" t="str">
        <f>"20190303170503820"</f>
        <v>20190303170503820</v>
      </c>
      <c r="B346" t="str">
        <f>"1551603903814867"</f>
        <v>1551603903814867</v>
      </c>
      <c r="C346" t="s">
        <v>40</v>
      </c>
      <c r="D346">
        <v>5.4277410000000001</v>
      </c>
      <c r="E346">
        <v>0.51853509999999903</v>
      </c>
      <c r="F346" t="s">
        <v>42</v>
      </c>
      <c r="G346">
        <v>-400.72059999999999</v>
      </c>
      <c r="H346">
        <v>1.0026090000000001</v>
      </c>
      <c r="I346">
        <v>366.97949999999997</v>
      </c>
      <c r="J346">
        <v>-401.26220000000001</v>
      </c>
      <c r="K346">
        <v>1.0703910000000001</v>
      </c>
      <c r="L346">
        <v>367.05990000000003</v>
      </c>
      <c r="M346">
        <v>0.99998589999999998</v>
      </c>
      <c r="N346">
        <v>-5.2550599999999998E-3</v>
      </c>
      <c r="O346">
        <v>-8.0304649999999895E-4</v>
      </c>
      <c r="P346">
        <v>0.98426009999999997</v>
      </c>
      <c r="Q346">
        <v>0.16931189999999999</v>
      </c>
      <c r="R346">
        <v>-5.0653610000000002E-2</v>
      </c>
      <c r="S346">
        <v>3.0717469999999998</v>
      </c>
      <c r="T346">
        <v>-0.22008839999999999</v>
      </c>
      <c r="U346">
        <v>-0.2616272</v>
      </c>
      <c r="V346">
        <v>4.9867740000000001E-2</v>
      </c>
      <c r="W346">
        <v>0.17448050000000001</v>
      </c>
      <c r="X346">
        <v>0.98339710000000002</v>
      </c>
      <c r="Y346">
        <v>8.3837289999999995E-2</v>
      </c>
      <c r="Z346">
        <v>-3.1620279999999999E-3</v>
      </c>
      <c r="AA346">
        <v>0.99647439999999998</v>
      </c>
      <c r="AB346">
        <v>25</v>
      </c>
      <c r="AC346">
        <v>0.54160000000001596</v>
      </c>
      <c r="AD346">
        <v>-6.7781999999999995E-2</v>
      </c>
      <c r="AE346">
        <v>-8.0400000000054206E-2</v>
      </c>
      <c r="AF346">
        <v>7.8758058908102294E-2</v>
      </c>
      <c r="AG346">
        <v>-6.7781999999999995E-2</v>
      </c>
      <c r="AH346">
        <v>0.533488597570005</v>
      </c>
      <c r="AI346">
        <v>97.164050038964604</v>
      </c>
      <c r="AJ346">
        <v>81.602173953760598</v>
      </c>
      <c r="AK346">
        <v>0.54351385916477102</v>
      </c>
      <c r="AL346">
        <v>79.951572626132403</v>
      </c>
      <c r="AM346">
        <v>87.097036660249799</v>
      </c>
      <c r="AN346">
        <v>1.00000004633068</v>
      </c>
    </row>
    <row r="347" spans="1:40" x14ac:dyDescent="0.25">
      <c r="A347" t="str">
        <f>"20190303170503838"</f>
        <v>20190303170503838</v>
      </c>
      <c r="B347" t="str">
        <f>"1551603903824627"</f>
        <v>1551603903824627</v>
      </c>
      <c r="C347" t="s">
        <v>40</v>
      </c>
      <c r="D347">
        <v>5.4613969999999998</v>
      </c>
      <c r="E347">
        <v>0.51868979999999998</v>
      </c>
      <c r="F347" t="s">
        <v>41</v>
      </c>
      <c r="G347">
        <v>-385.7312</v>
      </c>
      <c r="H347" s="1">
        <v>-2.5072439999999998E-6</v>
      </c>
      <c r="I347">
        <v>365.70600000000002</v>
      </c>
      <c r="J347">
        <v>-401.05470000000003</v>
      </c>
      <c r="K347">
        <v>1.0706549999999999</v>
      </c>
      <c r="L347">
        <v>367.05970000000002</v>
      </c>
      <c r="M347">
        <v>0.99998019999999999</v>
      </c>
      <c r="N347">
        <v>-6.2353E-3</v>
      </c>
      <c r="O347">
        <v>-7.9705919999999999E-4</v>
      </c>
      <c r="P347">
        <v>0.98423570000000005</v>
      </c>
      <c r="Q347">
        <v>0.16941539999999999</v>
      </c>
      <c r="R347">
        <v>-5.0780230000000003E-2</v>
      </c>
      <c r="S347">
        <v>3.0706180000000001</v>
      </c>
      <c r="T347">
        <v>-0.21162510000000001</v>
      </c>
      <c r="U347">
        <v>-0.26766970000000001</v>
      </c>
      <c r="V347">
        <v>5.0000780000000002E-2</v>
      </c>
      <c r="W347">
        <v>0.1755476</v>
      </c>
      <c r="X347">
        <v>0.98320039999999997</v>
      </c>
      <c r="Y347">
        <v>8.5828929999999998E-2</v>
      </c>
      <c r="Z347">
        <v>-3.1671920000000001E-3</v>
      </c>
      <c r="AA347">
        <v>0.99630490000000005</v>
      </c>
      <c r="AB347">
        <v>25</v>
      </c>
      <c r="AC347">
        <v>15.323499999999999</v>
      </c>
      <c r="AD347">
        <v>-1.0706575072440001</v>
      </c>
      <c r="AE347">
        <v>-1.3537000000000601</v>
      </c>
      <c r="AF347">
        <v>1.3350186920815601</v>
      </c>
      <c r="AG347">
        <v>-1.0706575072440001</v>
      </c>
      <c r="AH347">
        <v>15.250698915787799</v>
      </c>
      <c r="AI347">
        <v>94.000545799999003</v>
      </c>
      <c r="AJ347">
        <v>84.997183488968901</v>
      </c>
      <c r="AK347">
        <v>15.3464132560685</v>
      </c>
      <c r="AL347">
        <v>79.889473718942597</v>
      </c>
      <c r="AM347">
        <v>87.088723954727399</v>
      </c>
      <c r="AN347">
        <v>1.0000000322132601</v>
      </c>
    </row>
    <row r="348" spans="1:40" x14ac:dyDescent="0.25">
      <c r="A348" t="str">
        <f>"20190303170503862"</f>
        <v>20190303170503862</v>
      </c>
      <c r="B348" t="str">
        <f>"1551603903854883"</f>
        <v>1551603903854883</v>
      </c>
      <c r="C348" t="s">
        <v>40</v>
      </c>
      <c r="D348">
        <v>5.4614919999999998</v>
      </c>
      <c r="E348">
        <v>0.51908580000000004</v>
      </c>
      <c r="F348" t="s">
        <v>41</v>
      </c>
      <c r="G348">
        <v>-385.40410000000003</v>
      </c>
      <c r="H348" s="1">
        <v>-2.6513209999999999E-6</v>
      </c>
      <c r="I348">
        <v>365.6848</v>
      </c>
      <c r="J348">
        <v>-400.79289999999997</v>
      </c>
      <c r="K348">
        <v>1.071391</v>
      </c>
      <c r="L348">
        <v>367.05950000000001</v>
      </c>
      <c r="M348">
        <v>0.99996790000000002</v>
      </c>
      <c r="N348">
        <v>-7.9872789999999999E-3</v>
      </c>
      <c r="O348">
        <v>-7.9032919999999995E-4</v>
      </c>
      <c r="P348">
        <v>0.98443720000000001</v>
      </c>
      <c r="Q348">
        <v>0.16812859999999999</v>
      </c>
      <c r="R348">
        <v>-5.1152980000000001E-2</v>
      </c>
      <c r="S348">
        <v>3.0702820000000002</v>
      </c>
      <c r="T348">
        <v>-0.21003759999999999</v>
      </c>
      <c r="U348">
        <v>-0.26971440000000002</v>
      </c>
      <c r="V348">
        <v>5.0380469999999997E-2</v>
      </c>
      <c r="W348">
        <v>0.17598510000000001</v>
      </c>
      <c r="X348">
        <v>0.9831027</v>
      </c>
      <c r="Y348">
        <v>8.6499610000000005E-2</v>
      </c>
      <c r="Z348">
        <v>-3.2485600000000002E-3</v>
      </c>
      <c r="AA348">
        <v>0.99624659999999998</v>
      </c>
      <c r="AB348">
        <v>25</v>
      </c>
      <c r="AC348">
        <v>15.3887999999999</v>
      </c>
      <c r="AD348">
        <v>-1.0713936513210001</v>
      </c>
      <c r="AE348">
        <v>-1.37470000000001</v>
      </c>
      <c r="AF348">
        <v>1.3560161560016699</v>
      </c>
      <c r="AG348">
        <v>-1.0713936513210001</v>
      </c>
      <c r="AH348">
        <v>15.3162290168788</v>
      </c>
      <c r="AI348">
        <v>93.985869009576007</v>
      </c>
      <c r="AJ348">
        <v>84.940533093302406</v>
      </c>
      <c r="AK348">
        <v>15.4134206284299</v>
      </c>
      <c r="AL348">
        <v>79.864009384223195</v>
      </c>
      <c r="AM348">
        <v>87.066364111915107</v>
      </c>
      <c r="AN348">
        <v>0.99999993296335798</v>
      </c>
    </row>
    <row r="349" spans="1:40" x14ac:dyDescent="0.25">
      <c r="A349" t="str">
        <f>"20190303170503884"</f>
        <v>20190303170503884</v>
      </c>
      <c r="B349" t="str">
        <f>"1551603903874402"</f>
        <v>1551603903874402</v>
      </c>
      <c r="C349" t="s">
        <v>40</v>
      </c>
      <c r="D349">
        <v>5.4881180000000001</v>
      </c>
      <c r="E349">
        <v>0.51932210000000001</v>
      </c>
      <c r="F349" t="s">
        <v>41</v>
      </c>
      <c r="G349">
        <v>-385.17340000000002</v>
      </c>
      <c r="H349" s="1">
        <v>-2.7543520000000002E-6</v>
      </c>
      <c r="I349">
        <v>365.66180000000003</v>
      </c>
      <c r="J349">
        <v>-400.55119999999999</v>
      </c>
      <c r="K349">
        <v>1.0720989999999999</v>
      </c>
      <c r="L349">
        <v>367.05930000000001</v>
      </c>
      <c r="M349">
        <v>0.99996689999999999</v>
      </c>
      <c r="N349">
        <v>-8.1119980000000005E-3</v>
      </c>
      <c r="O349">
        <v>-7.888131E-4</v>
      </c>
      <c r="P349">
        <v>0.98446429999999996</v>
      </c>
      <c r="Q349">
        <v>0.1678772</v>
      </c>
      <c r="R349">
        <v>-5.1454130000000001E-2</v>
      </c>
      <c r="S349">
        <v>3.0691220000000001</v>
      </c>
      <c r="T349">
        <v>-0.21052090000000001</v>
      </c>
      <c r="U349">
        <v>-0.27462769999999997</v>
      </c>
      <c r="V349">
        <v>5.0683579999999999E-2</v>
      </c>
      <c r="W349">
        <v>0.17585599999999901</v>
      </c>
      <c r="X349">
        <v>0.98311029999999999</v>
      </c>
      <c r="Y349">
        <v>8.8110579999999994E-2</v>
      </c>
      <c r="Z349">
        <v>-3.3233540000000002E-3</v>
      </c>
      <c r="AA349">
        <v>0.99610509999999997</v>
      </c>
      <c r="AB349">
        <v>25</v>
      </c>
      <c r="AC349">
        <v>15.377799999999899</v>
      </c>
      <c r="AD349">
        <v>-1.0721017543519999</v>
      </c>
      <c r="AE349">
        <v>-1.39749999999997</v>
      </c>
      <c r="AF349">
        <v>1.37872252695072</v>
      </c>
      <c r="AG349">
        <v>-1.0721017543519999</v>
      </c>
      <c r="AH349">
        <v>15.3051159930646</v>
      </c>
      <c r="AI349">
        <v>93.990835938957105</v>
      </c>
      <c r="AJ349">
        <v>84.852548725599405</v>
      </c>
      <c r="AK349">
        <v>15.4044426559083</v>
      </c>
      <c r="AL349">
        <v>79.871524244992798</v>
      </c>
      <c r="AM349">
        <v>87.048768014297096</v>
      </c>
      <c r="AN349">
        <v>1.00000000999185</v>
      </c>
    </row>
    <row r="350" spans="1:40" x14ac:dyDescent="0.25">
      <c r="A350" t="str">
        <f>"20190303170503908"</f>
        <v>20190303170503908</v>
      </c>
      <c r="B350" t="str">
        <f>"1551603903894445"</f>
        <v>1551603903894445</v>
      </c>
      <c r="C350" t="s">
        <v>40</v>
      </c>
      <c r="D350">
        <v>5.4150479999999996</v>
      </c>
      <c r="E350">
        <v>0.51941780000000004</v>
      </c>
      <c r="F350" t="s">
        <v>42</v>
      </c>
      <c r="G350">
        <v>-399.6035</v>
      </c>
      <c r="H350">
        <v>1.0075719999999999</v>
      </c>
      <c r="I350">
        <v>366.97309999999999</v>
      </c>
      <c r="J350">
        <v>-400.29270000000002</v>
      </c>
      <c r="K350">
        <v>1.0728489999999999</v>
      </c>
      <c r="L350">
        <v>367.0591</v>
      </c>
      <c r="M350">
        <v>0.99997910000000001</v>
      </c>
      <c r="N350">
        <v>-6.439724E-3</v>
      </c>
      <c r="O350">
        <v>-7.8950119999999905E-4</v>
      </c>
      <c r="P350">
        <v>0.98419140000000005</v>
      </c>
      <c r="Q350">
        <v>0.1693576</v>
      </c>
      <c r="R350">
        <v>-5.1820449999999997E-2</v>
      </c>
      <c r="S350">
        <v>3.068451</v>
      </c>
      <c r="T350">
        <v>-0.2091904</v>
      </c>
      <c r="U350">
        <v>-0.27786250000000001</v>
      </c>
      <c r="V350">
        <v>5.1049509999999999E-2</v>
      </c>
      <c r="W350">
        <v>0.17569029999999899</v>
      </c>
      <c r="X350">
        <v>0.98312100000000002</v>
      </c>
      <c r="Y350">
        <v>8.9175950000000004E-2</v>
      </c>
      <c r="Z350">
        <v>-3.269568E-3</v>
      </c>
      <c r="AA350">
        <v>0.99601050000000002</v>
      </c>
      <c r="AB350">
        <v>25</v>
      </c>
      <c r="AC350">
        <v>0.68920000000002801</v>
      </c>
      <c r="AD350">
        <v>-6.5277000000000002E-2</v>
      </c>
      <c r="AE350">
        <v>-8.6000000000012705E-2</v>
      </c>
      <c r="AF350">
        <v>8.4707595810926697E-2</v>
      </c>
      <c r="AG350">
        <v>-6.5277000000000002E-2</v>
      </c>
      <c r="AH350">
        <v>0.68323253135458795</v>
      </c>
      <c r="AI350">
        <v>95.416334447784806</v>
      </c>
      <c r="AJ350">
        <v>82.932498217701294</v>
      </c>
      <c r="AK350">
        <v>0.69155126738244399</v>
      </c>
      <c r="AL350">
        <v>79.8811683817448</v>
      </c>
      <c r="AM350">
        <v>87.027530806531601</v>
      </c>
      <c r="AN350">
        <v>1.00000001731316</v>
      </c>
    </row>
    <row r="351" spans="1:40" x14ac:dyDescent="0.25">
      <c r="A351" t="str">
        <f>"20190303170503930"</f>
        <v>20190303170503930</v>
      </c>
      <c r="B351" t="str">
        <f>"1551603903914941"</f>
        <v>1551603903914941</v>
      </c>
      <c r="C351" t="s">
        <v>40</v>
      </c>
      <c r="D351">
        <v>5.4129620000000003</v>
      </c>
      <c r="E351">
        <v>0.51960640000000002</v>
      </c>
      <c r="F351" t="s">
        <v>42</v>
      </c>
      <c r="G351">
        <v>-399.3657</v>
      </c>
      <c r="H351">
        <v>1.01156</v>
      </c>
      <c r="I351">
        <v>366.9744</v>
      </c>
      <c r="J351">
        <v>-400.03739999999999</v>
      </c>
      <c r="K351">
        <v>1.073885</v>
      </c>
      <c r="L351">
        <v>367.05889999999999</v>
      </c>
      <c r="M351">
        <v>0.99999009999999999</v>
      </c>
      <c r="N351">
        <v>-4.3842109999999998E-3</v>
      </c>
      <c r="O351">
        <v>-7.8915799999999998E-4</v>
      </c>
      <c r="P351">
        <v>0.98386969999999996</v>
      </c>
      <c r="Q351">
        <v>0.170995799999999</v>
      </c>
      <c r="R351">
        <v>-5.2547049999999998E-2</v>
      </c>
      <c r="S351">
        <v>3.0683590000000001</v>
      </c>
      <c r="T351">
        <v>-0.20290849999999999</v>
      </c>
      <c r="U351">
        <v>-0.28024290000000002</v>
      </c>
      <c r="V351">
        <v>5.177673E-2</v>
      </c>
      <c r="W351">
        <v>0.17530589999999999</v>
      </c>
      <c r="X351">
        <v>0.98315160000000001</v>
      </c>
      <c r="Y351">
        <v>8.9962260000000002E-2</v>
      </c>
      <c r="Z351">
        <v>-3.114449E-3</v>
      </c>
      <c r="AA351">
        <v>0.9959403</v>
      </c>
      <c r="AB351">
        <v>25</v>
      </c>
      <c r="AC351">
        <v>0.67169999999998697</v>
      </c>
      <c r="AD351">
        <v>-6.2324999999999901E-2</v>
      </c>
      <c r="AE351">
        <v>-8.4499999999991304E-2</v>
      </c>
      <c r="AF351">
        <v>8.3264202720581298E-2</v>
      </c>
      <c r="AG351">
        <v>-6.2324999999999901E-2</v>
      </c>
      <c r="AH351">
        <v>0.66612090594934903</v>
      </c>
      <c r="AI351">
        <v>95.3042265386987</v>
      </c>
      <c r="AJ351">
        <v>82.875060764031005</v>
      </c>
      <c r="AK351">
        <v>0.67419166000661601</v>
      </c>
      <c r="AL351">
        <v>79.903540207023198</v>
      </c>
      <c r="AM351">
        <v>86.985358056991899</v>
      </c>
      <c r="AN351">
        <v>1.0000000284634301</v>
      </c>
    </row>
    <row r="352" spans="1:40" x14ac:dyDescent="0.25">
      <c r="A352" t="str">
        <f>"20190303170503952"</f>
        <v>20190303170503952</v>
      </c>
      <c r="B352" t="str">
        <f>"1551603903945198"</f>
        <v>1551603903945198</v>
      </c>
      <c r="C352" t="s">
        <v>40</v>
      </c>
      <c r="D352">
        <v>5.4425369999999997</v>
      </c>
      <c r="E352">
        <v>0.51971820000000002</v>
      </c>
      <c r="F352" t="s">
        <v>41</v>
      </c>
      <c r="G352">
        <v>-383.26029999999997</v>
      </c>
      <c r="H352" s="1">
        <v>-3.6017749999999999E-6</v>
      </c>
      <c r="I352">
        <v>365.51130000000001</v>
      </c>
      <c r="J352">
        <v>-399.78449999999998</v>
      </c>
      <c r="K352">
        <v>1.0751999999999999</v>
      </c>
      <c r="L352">
        <v>367.05869999999999</v>
      </c>
      <c r="M352">
        <v>0.99999680000000002</v>
      </c>
      <c r="N352">
        <v>-2.4168269999999999E-3</v>
      </c>
      <c r="O352">
        <v>-7.8840569999999997E-4</v>
      </c>
      <c r="P352">
        <v>0.9836878</v>
      </c>
      <c r="Q352">
        <v>0.1719388</v>
      </c>
      <c r="R352">
        <v>-5.2872170000000003E-2</v>
      </c>
      <c r="S352">
        <v>3.0681759999999998</v>
      </c>
      <c r="T352">
        <v>-0.1963915</v>
      </c>
      <c r="U352">
        <v>-0.28301999999999999</v>
      </c>
      <c r="V352">
        <v>5.2103110000000001E-2</v>
      </c>
      <c r="W352">
        <v>0.17431379999999999</v>
      </c>
      <c r="X352">
        <v>0.98331069999999998</v>
      </c>
      <c r="Y352">
        <v>9.0878710000000001E-2</v>
      </c>
      <c r="Z352">
        <v>-2.961188E-3</v>
      </c>
      <c r="AA352">
        <v>0.99585749999999995</v>
      </c>
      <c r="AB352">
        <v>25</v>
      </c>
      <c r="AC352">
        <v>16.5242</v>
      </c>
      <c r="AD352">
        <v>-1.075203601775</v>
      </c>
      <c r="AE352">
        <v>-1.5473999999999799</v>
      </c>
      <c r="AF352">
        <v>1.5279587217619599</v>
      </c>
      <c r="AG352">
        <v>-1.075203601775</v>
      </c>
      <c r="AH352">
        <v>16.456346017645199</v>
      </c>
      <c r="AI352">
        <v>93.722239838276195</v>
      </c>
      <c r="AJ352">
        <v>84.6953410466446</v>
      </c>
      <c r="AK352">
        <v>16.562066443929801</v>
      </c>
      <c r="AL352">
        <v>79.961271844693997</v>
      </c>
      <c r="AM352">
        <v>86.966880254490903</v>
      </c>
      <c r="AN352">
        <v>0.99999998383830002</v>
      </c>
    </row>
    <row r="353" spans="1:40" x14ac:dyDescent="0.25">
      <c r="A353" t="str">
        <f>"20190303170503975"</f>
        <v>20190303170503975</v>
      </c>
      <c r="B353" t="str">
        <f>"1551603903964717"</f>
        <v>1551603903964717</v>
      </c>
      <c r="C353" t="s">
        <v>40</v>
      </c>
      <c r="D353">
        <v>5.4374219999999998</v>
      </c>
      <c r="E353">
        <v>0.51978749999999996</v>
      </c>
      <c r="F353" t="s">
        <v>41</v>
      </c>
      <c r="G353">
        <v>-382.54500000000002</v>
      </c>
      <c r="H353" s="1">
        <v>-3.918635E-6</v>
      </c>
      <c r="I353">
        <v>365.45499999999998</v>
      </c>
      <c r="J353">
        <v>-399.52350000000001</v>
      </c>
      <c r="K353">
        <v>1.076724</v>
      </c>
      <c r="L353">
        <v>367.05849999999998</v>
      </c>
      <c r="M353">
        <v>0.99999959999999999</v>
      </c>
      <c r="N353">
        <v>-5.0767640000000001E-4</v>
      </c>
      <c r="O353">
        <v>-7.8769059999999995E-4</v>
      </c>
      <c r="P353">
        <v>0.98330550000000005</v>
      </c>
      <c r="Q353">
        <v>0.173984</v>
      </c>
      <c r="R353">
        <v>-5.3291600000000001E-2</v>
      </c>
      <c r="S353">
        <v>3.067841</v>
      </c>
      <c r="T353">
        <v>-0.19133620000000001</v>
      </c>
      <c r="U353">
        <v>-0.28536990000000001</v>
      </c>
      <c r="V353">
        <v>5.2524059999999997E-2</v>
      </c>
      <c r="W353">
        <v>0.174481</v>
      </c>
      <c r="X353">
        <v>0.98325870000000004</v>
      </c>
      <c r="Y353">
        <v>9.1659110000000002E-2</v>
      </c>
      <c r="Z353">
        <v>-2.8241709999999999E-3</v>
      </c>
      <c r="AA353">
        <v>0.99578639999999996</v>
      </c>
      <c r="AB353">
        <v>26</v>
      </c>
      <c r="AC353">
        <v>16.978499999999901</v>
      </c>
      <c r="AD353">
        <v>-1.0767279186350001</v>
      </c>
      <c r="AE353">
        <v>-1.6034999999999899</v>
      </c>
      <c r="AF353">
        <v>1.5838123369005199</v>
      </c>
      <c r="AG353">
        <v>-1.0767279186350001</v>
      </c>
      <c r="AH353">
        <v>16.912342170314702</v>
      </c>
      <c r="AI353">
        <v>93.627004641166295</v>
      </c>
      <c r="AJ353">
        <v>84.649950406791703</v>
      </c>
      <c r="AK353">
        <v>17.020432492010698</v>
      </c>
      <c r="AL353">
        <v>79.951543403545301</v>
      </c>
      <c r="AM353">
        <v>86.942260074852896</v>
      </c>
      <c r="AN353">
        <v>1.0000000336827799</v>
      </c>
    </row>
    <row r="354" spans="1:40" x14ac:dyDescent="0.25">
      <c r="A354" t="str">
        <f>"20190303170503995"</f>
        <v>20190303170503995</v>
      </c>
      <c r="B354" t="str">
        <f>"1551603903984909"</f>
        <v>1551603903984909</v>
      </c>
      <c r="C354" t="s">
        <v>40</v>
      </c>
      <c r="D354">
        <v>5.4565929999999998</v>
      </c>
      <c r="E354">
        <v>0.5198855</v>
      </c>
      <c r="F354" t="s">
        <v>41</v>
      </c>
      <c r="G354">
        <v>-381.54450000000003</v>
      </c>
      <c r="H354" s="1">
        <v>-4.3609839999999998E-6</v>
      </c>
      <c r="I354">
        <v>365.3809</v>
      </c>
      <c r="J354">
        <v>-399.28559999999999</v>
      </c>
      <c r="K354">
        <v>1.0781769999999999</v>
      </c>
      <c r="L354">
        <v>367.05829999999997</v>
      </c>
      <c r="M354">
        <v>0.99999910000000003</v>
      </c>
      <c r="N354">
        <v>1.1227730000000001E-3</v>
      </c>
      <c r="O354">
        <v>-7.8683529999999896E-4</v>
      </c>
      <c r="P354">
        <v>0.98304570000000002</v>
      </c>
      <c r="Q354">
        <v>0.17541379999999901</v>
      </c>
      <c r="R354">
        <v>-5.3399309999999998E-2</v>
      </c>
      <c r="S354">
        <v>3.0679020000000001</v>
      </c>
      <c r="T354">
        <v>-0.18373010000000001</v>
      </c>
      <c r="U354">
        <v>-0.28625489999999998</v>
      </c>
      <c r="V354">
        <v>5.2632610000000003E-2</v>
      </c>
      <c r="W354">
        <v>0.1743082</v>
      </c>
      <c r="X354">
        <v>0.98328349999999998</v>
      </c>
      <c r="Y354">
        <v>9.1960609999999998E-2</v>
      </c>
      <c r="Z354">
        <v>-2.6456119999999999E-3</v>
      </c>
      <c r="AA354">
        <v>0.99575910000000001</v>
      </c>
      <c r="AB354">
        <v>26</v>
      </c>
      <c r="AC354">
        <v>17.7410999999999</v>
      </c>
      <c r="AD354">
        <v>-1.0781813609840001</v>
      </c>
      <c r="AE354">
        <v>-1.67739999999997</v>
      </c>
      <c r="AF354">
        <v>1.6573730967192899</v>
      </c>
      <c r="AG354">
        <v>-1.0781813609840001</v>
      </c>
      <c r="AH354">
        <v>17.677702579460199</v>
      </c>
      <c r="AI354">
        <v>93.475003742388793</v>
      </c>
      <c r="AJ354">
        <v>84.643890680722606</v>
      </c>
      <c r="AK354">
        <v>17.78793212031</v>
      </c>
      <c r="AL354">
        <v>79.96159776012</v>
      </c>
      <c r="AM354">
        <v>86.936029891632799</v>
      </c>
      <c r="AN354">
        <v>0.99999999079745105</v>
      </c>
    </row>
    <row r="355" spans="1:40" x14ac:dyDescent="0.25">
      <c r="A355" t="str">
        <f>"20190303170504017"</f>
        <v>20190303170504017</v>
      </c>
      <c r="B355" t="str">
        <f>"1551603904004429"</f>
        <v>1551603904004429</v>
      </c>
      <c r="C355" t="s">
        <v>40</v>
      </c>
      <c r="D355">
        <v>5.3986580000000002</v>
      </c>
      <c r="E355">
        <v>0.51995530000000001</v>
      </c>
      <c r="F355" t="s">
        <v>41</v>
      </c>
      <c r="G355">
        <v>-380.72680000000003</v>
      </c>
      <c r="H355" s="1">
        <v>-4.7233080000000004E-6</v>
      </c>
      <c r="I355">
        <v>365.31569999999999</v>
      </c>
      <c r="J355">
        <v>-399.02800000000002</v>
      </c>
      <c r="K355">
        <v>1.0797589999999999</v>
      </c>
      <c r="L355">
        <v>367.05810000000002</v>
      </c>
      <c r="M355">
        <v>0.99999610000000005</v>
      </c>
      <c r="N355">
        <v>2.7249010000000001E-3</v>
      </c>
      <c r="O355">
        <v>-7.8607709999999997E-4</v>
      </c>
      <c r="P355">
        <v>0.98276969999999997</v>
      </c>
      <c r="Q355">
        <v>0.17695710000000001</v>
      </c>
      <c r="R355">
        <v>-5.3385849999999999E-2</v>
      </c>
      <c r="S355">
        <v>3.0679319999999999</v>
      </c>
      <c r="T355">
        <v>-0.17823229999999901</v>
      </c>
      <c r="U355">
        <v>-0.28805540000000002</v>
      </c>
      <c r="V355">
        <v>5.2620689999999998E-2</v>
      </c>
      <c r="W355">
        <v>0.1742763</v>
      </c>
      <c r="X355">
        <v>0.98328979999999999</v>
      </c>
      <c r="Y355">
        <v>9.2552620000000002E-2</v>
      </c>
      <c r="Z355">
        <v>-2.50615E-3</v>
      </c>
      <c r="AA355">
        <v>0.9957047</v>
      </c>
      <c r="AB355">
        <v>26</v>
      </c>
      <c r="AC355">
        <v>18.301199999999898</v>
      </c>
      <c r="AD355">
        <v>-1.079763723308</v>
      </c>
      <c r="AE355">
        <v>-1.7424000000000299</v>
      </c>
      <c r="AF355">
        <v>1.72207264721821</v>
      </c>
      <c r="AG355">
        <v>-1.079763723308</v>
      </c>
      <c r="AH355">
        <v>18.239642984422499</v>
      </c>
      <c r="AI355">
        <v>93.372918740561005</v>
      </c>
      <c r="AJ355">
        <v>84.606479938163005</v>
      </c>
      <c r="AK355">
        <v>18.352547509805401</v>
      </c>
      <c r="AL355">
        <v>79.963453981511407</v>
      </c>
      <c r="AM355">
        <v>86.936742073492894</v>
      </c>
      <c r="AN355">
        <v>0.99999999827090302</v>
      </c>
    </row>
    <row r="356" spans="1:40" x14ac:dyDescent="0.25">
      <c r="A356" t="str">
        <f>"20190303170504040"</f>
        <v>20190303170504040</v>
      </c>
      <c r="B356" t="str">
        <f>"1551603904034685"</f>
        <v>1551603904034685</v>
      </c>
      <c r="C356" t="s">
        <v>40</v>
      </c>
      <c r="D356">
        <v>5.4143089999999896</v>
      </c>
      <c r="E356">
        <v>0.52006300000000005</v>
      </c>
      <c r="F356" t="s">
        <v>41</v>
      </c>
      <c r="G356">
        <v>-379.82060000000001</v>
      </c>
      <c r="H356" s="1">
        <v>-1.2088730000000001E-6</v>
      </c>
      <c r="I356">
        <v>365.25</v>
      </c>
      <c r="J356">
        <v>-398.75920000000002</v>
      </c>
      <c r="K356">
        <v>1.0813699999999999</v>
      </c>
      <c r="L356">
        <v>367.05790000000002</v>
      </c>
      <c r="M356">
        <v>0.99999119999999997</v>
      </c>
      <c r="N356">
        <v>4.1720840000000004E-3</v>
      </c>
      <c r="O356">
        <v>-7.8508429999999904E-4</v>
      </c>
      <c r="P356">
        <v>0.98242569999999996</v>
      </c>
      <c r="Q356">
        <v>0.17902899999999999</v>
      </c>
      <c r="R356">
        <v>-5.2811400000000001E-2</v>
      </c>
      <c r="S356">
        <v>3.0679630000000002</v>
      </c>
      <c r="T356">
        <v>-0.1724675</v>
      </c>
      <c r="U356">
        <v>-0.28878779999999998</v>
      </c>
      <c r="V356">
        <v>5.204698E-2</v>
      </c>
      <c r="W356">
        <v>0.17492650000000001</v>
      </c>
      <c r="X356">
        <v>0.98320479999999999</v>
      </c>
      <c r="Y356">
        <v>9.2801289999999995E-2</v>
      </c>
      <c r="Z356">
        <v>-2.3592270000000002E-3</v>
      </c>
      <c r="AA356">
        <v>0.99568190000000001</v>
      </c>
      <c r="AB356">
        <v>26</v>
      </c>
      <c r="AC356">
        <v>18.938600000000001</v>
      </c>
      <c r="AD356">
        <v>-1.0813712088730001</v>
      </c>
      <c r="AE356">
        <v>-1.8079000000000101</v>
      </c>
      <c r="AF356">
        <v>1.78725659643386</v>
      </c>
      <c r="AG356">
        <v>-1.0813712088730001</v>
      </c>
      <c r="AH356">
        <v>18.8790186255615</v>
      </c>
      <c r="AI356">
        <v>93.263701977986997</v>
      </c>
      <c r="AJ356">
        <v>84.591987025308995</v>
      </c>
      <c r="AK356">
        <v>18.994235812403002</v>
      </c>
      <c r="AL356">
        <v>79.925618330869796</v>
      </c>
      <c r="AM356">
        <v>86.9698159685082</v>
      </c>
      <c r="AN356">
        <v>0.99999992363620205</v>
      </c>
    </row>
    <row r="357" spans="1:40" x14ac:dyDescent="0.25">
      <c r="A357" t="str">
        <f>"20190303170504063"</f>
        <v>20190303170504063</v>
      </c>
      <c r="B357" t="str">
        <f>"1551603904055180"</f>
        <v>1551603904055180</v>
      </c>
      <c r="C357" t="s">
        <v>40</v>
      </c>
      <c r="D357">
        <v>5.3405060000000004</v>
      </c>
      <c r="E357">
        <v>0.52008569999999998</v>
      </c>
      <c r="F357" t="s">
        <v>41</v>
      </c>
      <c r="G357">
        <v>-378.58499999999998</v>
      </c>
      <c r="H357" s="1">
        <v>-1.6531150000000001E-6</v>
      </c>
      <c r="I357">
        <v>365.16070000000002</v>
      </c>
      <c r="J357">
        <v>-398.48630000000003</v>
      </c>
      <c r="K357">
        <v>1.083137</v>
      </c>
      <c r="L357">
        <v>367.05770000000001</v>
      </c>
      <c r="M357">
        <v>0.99998860000000001</v>
      </c>
      <c r="N357">
        <v>4.7323080000000002E-3</v>
      </c>
      <c r="O357">
        <v>-7.8393630000000005E-4</v>
      </c>
      <c r="P357">
        <v>0.98230910000000005</v>
      </c>
      <c r="Q357">
        <v>0.1797764</v>
      </c>
      <c r="R357">
        <v>-5.2437419999999998E-2</v>
      </c>
      <c r="S357">
        <v>3.068085</v>
      </c>
      <c r="T357">
        <v>-0.16445409999999999</v>
      </c>
      <c r="U357">
        <v>-0.28851320000000003</v>
      </c>
      <c r="V357">
        <v>5.1674209999999998E-2</v>
      </c>
      <c r="W357">
        <v>0.17512369999999999</v>
      </c>
      <c r="X357">
        <v>0.98318939999999999</v>
      </c>
      <c r="Y357">
        <v>9.272445E-2</v>
      </c>
      <c r="Z357">
        <v>-2.2122280000000001E-3</v>
      </c>
      <c r="AA357">
        <v>0.9956893</v>
      </c>
      <c r="AB357">
        <v>26</v>
      </c>
      <c r="AC357">
        <v>19.901299999999999</v>
      </c>
      <c r="AD357">
        <v>-1.083138653115</v>
      </c>
      <c r="AE357">
        <v>-1.89699999999999</v>
      </c>
      <c r="AF357">
        <v>1.8758912776015899</v>
      </c>
      <c r="AG357">
        <v>-1.083138653115</v>
      </c>
      <c r="AH357">
        <v>19.844528092233499</v>
      </c>
      <c r="AI357">
        <v>93.110335510025493</v>
      </c>
      <c r="AJ357">
        <v>84.599911070219306</v>
      </c>
      <c r="AK357">
        <v>19.962400973597799</v>
      </c>
      <c r="AL357">
        <v>79.914142884748799</v>
      </c>
      <c r="AM357">
        <v>86.991431651275093</v>
      </c>
      <c r="AN357">
        <v>0.99999996527658597</v>
      </c>
    </row>
    <row r="358" spans="1:40" x14ac:dyDescent="0.25">
      <c r="A358" t="str">
        <f>"20190303170504085"</f>
        <v>20190303170504085</v>
      </c>
      <c r="B358" t="str">
        <f>"1551603904074701"</f>
        <v>1551603904074701</v>
      </c>
      <c r="C358" t="s">
        <v>40</v>
      </c>
      <c r="D358">
        <v>5.4117410000000001</v>
      </c>
      <c r="E358">
        <v>0.52011439999999998</v>
      </c>
      <c r="F358" t="s">
        <v>41</v>
      </c>
      <c r="G358">
        <v>-377.8768</v>
      </c>
      <c r="H358" s="1">
        <v>-1.90365E-6</v>
      </c>
      <c r="I358">
        <v>365.12490000000003</v>
      </c>
      <c r="J358">
        <v>-398.23559999999998</v>
      </c>
      <c r="K358">
        <v>1.0852250000000001</v>
      </c>
      <c r="L358">
        <v>367.0575</v>
      </c>
      <c r="M358">
        <v>0.99999090000000002</v>
      </c>
      <c r="N358">
        <v>4.242521E-3</v>
      </c>
      <c r="O358">
        <v>-7.8308730000000001E-4</v>
      </c>
      <c r="P358">
        <v>0.98242490000000005</v>
      </c>
      <c r="Q358">
        <v>0.17942169999999999</v>
      </c>
      <c r="R358">
        <v>-5.1473949999999997E-2</v>
      </c>
      <c r="S358">
        <v>3.0681759999999998</v>
      </c>
      <c r="T358">
        <v>-0.16124810000000001</v>
      </c>
      <c r="U358">
        <v>-0.28771970000000002</v>
      </c>
      <c r="V358">
        <v>5.0711449999999998E-2</v>
      </c>
      <c r="W358">
        <v>0.17524999999999999</v>
      </c>
      <c r="X358">
        <v>0.98321709999999995</v>
      </c>
      <c r="Y358">
        <v>9.2471200000000003E-2</v>
      </c>
      <c r="Z358">
        <v>-2.1818760000000001E-3</v>
      </c>
      <c r="AA358">
        <v>0.99571299999999996</v>
      </c>
      <c r="AB358">
        <v>26</v>
      </c>
      <c r="AC358">
        <v>20.358799999999899</v>
      </c>
      <c r="AD358">
        <v>-1.08522690365</v>
      </c>
      <c r="AE358">
        <v>-1.9325999999999799</v>
      </c>
      <c r="AF358">
        <v>1.9112743001919601</v>
      </c>
      <c r="AG358">
        <v>-1.08522690365</v>
      </c>
      <c r="AH358">
        <v>20.303132472629201</v>
      </c>
      <c r="AI358">
        <v>93.046174955597493</v>
      </c>
      <c r="AJ358">
        <v>84.622200171321893</v>
      </c>
      <c r="AK358">
        <v>20.421750049496499</v>
      </c>
      <c r="AL358">
        <v>79.906793518346007</v>
      </c>
      <c r="AM358">
        <v>87.047468235622702</v>
      </c>
      <c r="AN358">
        <v>1.0000000396967501</v>
      </c>
    </row>
    <row r="359" spans="1:40" x14ac:dyDescent="0.25">
      <c r="A359" t="str">
        <f>"20190303170504108"</f>
        <v>20190303170504108</v>
      </c>
      <c r="B359" t="str">
        <f>"1551603904095101"</f>
        <v>1551603904095101</v>
      </c>
      <c r="C359" t="s">
        <v>40</v>
      </c>
      <c r="D359">
        <v>5.415883</v>
      </c>
      <c r="E359">
        <v>0.52016249999999997</v>
      </c>
      <c r="F359" t="s">
        <v>41</v>
      </c>
      <c r="G359">
        <v>-377.6653</v>
      </c>
      <c r="H359" s="1">
        <v>-1.9706639999999999E-6</v>
      </c>
      <c r="I359">
        <v>365.14350000000002</v>
      </c>
      <c r="J359">
        <v>-397.9683</v>
      </c>
      <c r="K359">
        <v>1.0877129999999999</v>
      </c>
      <c r="L359">
        <v>367.0573</v>
      </c>
      <c r="M359">
        <v>0.99999280000000002</v>
      </c>
      <c r="N359">
        <v>3.738398E-3</v>
      </c>
      <c r="O359">
        <v>-7.826892E-4</v>
      </c>
      <c r="P359">
        <v>0.98265469999999999</v>
      </c>
      <c r="Q359">
        <v>0.17839920000000001</v>
      </c>
      <c r="R359">
        <v>-5.0634310000000002E-2</v>
      </c>
      <c r="S359">
        <v>3.068298</v>
      </c>
      <c r="T359">
        <v>-0.16187379999999901</v>
      </c>
      <c r="U359">
        <v>-0.28549190000000002</v>
      </c>
      <c r="V359">
        <v>4.9871930000000002E-2</v>
      </c>
      <c r="W359">
        <v>0.1747223</v>
      </c>
      <c r="X359">
        <v>0.9833539</v>
      </c>
      <c r="Y359">
        <v>9.1749949999999997E-2</v>
      </c>
      <c r="Z359">
        <v>-2.1972670000000001E-3</v>
      </c>
      <c r="AA359">
        <v>0.99577959999999999</v>
      </c>
      <c r="AB359">
        <v>26</v>
      </c>
      <c r="AC359">
        <v>20.303000000000001</v>
      </c>
      <c r="AD359">
        <v>-1.0877149706639999</v>
      </c>
      <c r="AE359">
        <v>-1.91379999999998</v>
      </c>
      <c r="AF359">
        <v>1.8925243108788701</v>
      </c>
      <c r="AG359">
        <v>-1.0877149706639999</v>
      </c>
      <c r="AH359">
        <v>20.246891191518099</v>
      </c>
      <c r="AI359">
        <v>93.061799309032693</v>
      </c>
      <c r="AJ359">
        <v>84.659945467246004</v>
      </c>
      <c r="AK359">
        <v>20.364218007226501</v>
      </c>
      <c r="AL359">
        <v>79.937501825407395</v>
      </c>
      <c r="AM359">
        <v>87.096665840594497</v>
      </c>
      <c r="AN359">
        <v>0.99999999208221202</v>
      </c>
    </row>
    <row r="360" spans="1:40" x14ac:dyDescent="0.25">
      <c r="A360" t="str">
        <f>"20190303170504132"</f>
        <v>20190303170504132</v>
      </c>
      <c r="B360" t="str">
        <f>"1551603904124382"</f>
        <v>1551603904124382</v>
      </c>
      <c r="C360" t="s">
        <v>40</v>
      </c>
      <c r="D360">
        <v>5.4116629999999999</v>
      </c>
      <c r="E360">
        <v>0.52018799999999998</v>
      </c>
      <c r="F360" t="s">
        <v>41</v>
      </c>
      <c r="G360">
        <v>-377.6626</v>
      </c>
      <c r="H360" s="1">
        <v>-1.9615620000000002E-6</v>
      </c>
      <c r="I360">
        <v>365.18119999999999</v>
      </c>
      <c r="J360">
        <v>-397.69260000000003</v>
      </c>
      <c r="K360">
        <v>1.0903510000000001</v>
      </c>
      <c r="L360">
        <v>367.05709999999999</v>
      </c>
      <c r="M360">
        <v>0.99999300000000002</v>
      </c>
      <c r="N360">
        <v>3.6617049999999999E-3</v>
      </c>
      <c r="O360">
        <v>-7.8243009999999903E-4</v>
      </c>
      <c r="P360">
        <v>0.98271070000000005</v>
      </c>
      <c r="Q360">
        <v>0.1781693</v>
      </c>
      <c r="R360">
        <v>-5.0355770000000001E-2</v>
      </c>
      <c r="S360">
        <v>3.0681759999999998</v>
      </c>
      <c r="T360">
        <v>-0.164353</v>
      </c>
      <c r="U360">
        <v>-0.2834778</v>
      </c>
      <c r="V360">
        <v>4.9593600000000002E-2</v>
      </c>
      <c r="W360">
        <v>0.1745678</v>
      </c>
      <c r="X360">
        <v>0.98339540000000003</v>
      </c>
      <c r="Y360">
        <v>9.1102630000000004E-2</v>
      </c>
      <c r="Z360">
        <v>-2.2212180000000001E-3</v>
      </c>
      <c r="AA360">
        <v>0.99583909999999998</v>
      </c>
      <c r="AB360">
        <v>26</v>
      </c>
      <c r="AC360">
        <v>20.03</v>
      </c>
      <c r="AD360">
        <v>-1.090352961562</v>
      </c>
      <c r="AE360">
        <v>-1.8758999999999999</v>
      </c>
      <c r="AF360">
        <v>1.8547788108857399</v>
      </c>
      <c r="AG360">
        <v>-1.090352961562</v>
      </c>
      <c r="AH360">
        <v>19.972791324260701</v>
      </c>
      <c r="AI360">
        <v>93.111423527651795</v>
      </c>
      <c r="AJ360">
        <v>84.694428291836502</v>
      </c>
      <c r="AK360">
        <v>20.0883415766599</v>
      </c>
      <c r="AL360">
        <v>79.946492042607503</v>
      </c>
      <c r="AM360">
        <v>87.112963185943997</v>
      </c>
      <c r="AN360">
        <v>0.99999997734947899</v>
      </c>
    </row>
    <row r="361" spans="1:40" x14ac:dyDescent="0.25">
      <c r="A361" t="str">
        <f>"20190303170504153"</f>
        <v>20190303170504153</v>
      </c>
      <c r="B361" t="str">
        <f>"1551603904144877"</f>
        <v>1551603904144877</v>
      </c>
      <c r="C361" t="s">
        <v>40</v>
      </c>
      <c r="D361">
        <v>5.4253910000000003</v>
      </c>
      <c r="E361">
        <v>0.52018799999999998</v>
      </c>
      <c r="F361" t="s">
        <v>41</v>
      </c>
      <c r="G361">
        <v>-377.36590000000001</v>
      </c>
      <c r="H361" s="1">
        <v>-2.0632290000000002E-6</v>
      </c>
      <c r="I361">
        <v>365.17849999999999</v>
      </c>
      <c r="J361">
        <v>-397.4307</v>
      </c>
      <c r="K361">
        <v>1.092989</v>
      </c>
      <c r="L361">
        <v>367.05689999999998</v>
      </c>
      <c r="M361">
        <v>0.99999369999999999</v>
      </c>
      <c r="N361">
        <v>3.483168E-3</v>
      </c>
      <c r="O361">
        <v>-7.8199599999999997E-4</v>
      </c>
      <c r="P361">
        <v>0.98267159999999998</v>
      </c>
      <c r="Q361">
        <v>0.17853520000000001</v>
      </c>
      <c r="R361">
        <v>-4.9821789999999998E-2</v>
      </c>
      <c r="S361">
        <v>3.0681150000000001</v>
      </c>
      <c r="T361">
        <v>-0.16457759999999999</v>
      </c>
      <c r="U361">
        <v>-0.28353879999999998</v>
      </c>
      <c r="V361">
        <v>4.9059930000000002E-2</v>
      </c>
      <c r="W361">
        <v>0.1751096</v>
      </c>
      <c r="X361">
        <v>0.98332580000000003</v>
      </c>
      <c r="Y361">
        <v>9.1123689999999993E-2</v>
      </c>
      <c r="Z361">
        <v>-2.233372E-3</v>
      </c>
      <c r="AA361">
        <v>0.99583710000000003</v>
      </c>
      <c r="AB361">
        <v>26</v>
      </c>
      <c r="AC361">
        <v>20.064799999999899</v>
      </c>
      <c r="AD361">
        <v>-1.0929910632290001</v>
      </c>
      <c r="AE361">
        <v>-1.8783999999999901</v>
      </c>
      <c r="AF361">
        <v>1.8572455863648301</v>
      </c>
      <c r="AG361">
        <v>-1.0929910632290001</v>
      </c>
      <c r="AH361">
        <v>20.007410288173599</v>
      </c>
      <c r="AI361">
        <v>93.113561355946203</v>
      </c>
      <c r="AJ361">
        <v>84.696552405148395</v>
      </c>
      <c r="AK361">
        <v>20.123132387172799</v>
      </c>
      <c r="AL361">
        <v>79.9149631653043</v>
      </c>
      <c r="AM361">
        <v>87.143776666932595</v>
      </c>
      <c r="AN361">
        <v>0.99999993884469995</v>
      </c>
    </row>
    <row r="362" spans="1:40" x14ac:dyDescent="0.25">
      <c r="A362" t="str">
        <f>"20190303170504176"</f>
        <v>20190303170504176</v>
      </c>
      <c r="B362" t="str">
        <f>"1551603904164397"</f>
        <v>1551603904164397</v>
      </c>
      <c r="C362" t="s">
        <v>40</v>
      </c>
      <c r="D362">
        <v>5.4832970000000003</v>
      </c>
      <c r="E362">
        <v>0.52020200000000005</v>
      </c>
      <c r="F362" t="s">
        <v>41</v>
      </c>
      <c r="G362">
        <v>-376.87079999999997</v>
      </c>
      <c r="H362" s="1">
        <v>-2.2342149999999999E-6</v>
      </c>
      <c r="I362">
        <v>365.16919999999999</v>
      </c>
      <c r="J362">
        <v>-397.16390000000001</v>
      </c>
      <c r="K362">
        <v>1.0958129999999999</v>
      </c>
      <c r="L362">
        <v>367.05669999999998</v>
      </c>
      <c r="M362">
        <v>0.99999559999999998</v>
      </c>
      <c r="N362">
        <v>2.885538E-3</v>
      </c>
      <c r="O362">
        <v>-7.810572E-4</v>
      </c>
      <c r="P362">
        <v>0.98269439999999997</v>
      </c>
      <c r="Q362">
        <v>0.178455</v>
      </c>
      <c r="R362">
        <v>-4.9653849999999999E-2</v>
      </c>
      <c r="S362">
        <v>3.068298</v>
      </c>
      <c r="T362">
        <v>-0.16311400000000001</v>
      </c>
      <c r="U362">
        <v>-0.28170780000000001</v>
      </c>
      <c r="V362">
        <v>4.8893239999999998E-2</v>
      </c>
      <c r="W362">
        <v>0.17561660000000001</v>
      </c>
      <c r="X362">
        <v>0.9832438</v>
      </c>
      <c r="Y362">
        <v>9.0531420000000001E-2</v>
      </c>
      <c r="Z362">
        <v>-2.2250099999999999E-3</v>
      </c>
      <c r="AA362">
        <v>0.99589110000000003</v>
      </c>
      <c r="AB362">
        <v>27</v>
      </c>
      <c r="AC362">
        <v>20.293099999999999</v>
      </c>
      <c r="AD362">
        <v>-1.0958152342149901</v>
      </c>
      <c r="AE362">
        <v>-1.88749999999998</v>
      </c>
      <c r="AF362">
        <v>1.86625408645215</v>
      </c>
      <c r="AG362">
        <v>-1.0958152342149901</v>
      </c>
      <c r="AH362">
        <v>20.236067104458101</v>
      </c>
      <c r="AI362">
        <v>93.086557458401103</v>
      </c>
      <c r="AJ362">
        <v>84.730850264230497</v>
      </c>
      <c r="AK362">
        <v>20.351464989009202</v>
      </c>
      <c r="AL362">
        <v>79.885458153665695</v>
      </c>
      <c r="AM362">
        <v>87.153228211948701</v>
      </c>
      <c r="AN362">
        <v>1.0000000546758401</v>
      </c>
    </row>
    <row r="363" spans="1:40" x14ac:dyDescent="0.25">
      <c r="A363" t="str">
        <f>"20190303170504196"</f>
        <v>20190303170504196</v>
      </c>
      <c r="B363" t="str">
        <f>"1551603904184893"</f>
        <v>1551603904184893</v>
      </c>
      <c r="C363" t="s">
        <v>40</v>
      </c>
      <c r="D363">
        <v>5.4550400000000003</v>
      </c>
      <c r="E363">
        <v>0.52020420000000001</v>
      </c>
      <c r="F363" t="s">
        <v>41</v>
      </c>
      <c r="G363">
        <v>-376.55220000000003</v>
      </c>
      <c r="H363" s="1">
        <v>-2.3437180000000002E-6</v>
      </c>
      <c r="I363">
        <v>365.16500000000002</v>
      </c>
      <c r="J363">
        <v>-396.90960000000001</v>
      </c>
      <c r="K363">
        <v>1.0985</v>
      </c>
      <c r="L363">
        <v>367.05650000000003</v>
      </c>
      <c r="M363">
        <v>0.99999769999999999</v>
      </c>
      <c r="N363">
        <v>2.021737E-3</v>
      </c>
      <c r="O363">
        <v>-7.8049239999999995E-4</v>
      </c>
      <c r="P363">
        <v>0.98294780000000004</v>
      </c>
      <c r="Q363">
        <v>0.1772165</v>
      </c>
      <c r="R363">
        <v>-4.9070460000000003E-2</v>
      </c>
      <c r="S363">
        <v>3.0682680000000002</v>
      </c>
      <c r="T363">
        <v>-0.16312380000000001</v>
      </c>
      <c r="U363">
        <v>-0.28158569999999999</v>
      </c>
      <c r="V363">
        <v>4.8310039999999999E-2</v>
      </c>
      <c r="W363">
        <v>0.17522699999999999</v>
      </c>
      <c r="X363">
        <v>0.9833421</v>
      </c>
      <c r="Y363">
        <v>9.0491530000000001E-2</v>
      </c>
      <c r="Z363">
        <v>-2.2640749999999999E-3</v>
      </c>
      <c r="AA363">
        <v>0.99589470000000002</v>
      </c>
      <c r="AB363">
        <v>27</v>
      </c>
      <c r="AC363">
        <v>20.357399999999899</v>
      </c>
      <c r="AD363">
        <v>-1.0985023437179999</v>
      </c>
      <c r="AE363">
        <v>-1.8915</v>
      </c>
      <c r="AF363">
        <v>1.87021157702154</v>
      </c>
      <c r="AG363">
        <v>-1.0985023437179999</v>
      </c>
      <c r="AH363">
        <v>20.300266292214001</v>
      </c>
      <c r="AI363">
        <v>93.084372556713802</v>
      </c>
      <c r="AJ363">
        <v>84.736344617994206</v>
      </c>
      <c r="AK363">
        <v>20.4158078526611</v>
      </c>
      <c r="AL363">
        <v>79.908131868863094</v>
      </c>
      <c r="AM363">
        <v>87.187410463663198</v>
      </c>
      <c r="AN363">
        <v>1.0000000235630999</v>
      </c>
    </row>
    <row r="364" spans="1:40" x14ac:dyDescent="0.25">
      <c r="A364" t="str">
        <f>"20190303170504219"</f>
        <v>20190303170504219</v>
      </c>
      <c r="B364" t="str">
        <f>"1551603904204413"</f>
        <v>1551603904204413</v>
      </c>
      <c r="C364" t="s">
        <v>40</v>
      </c>
      <c r="D364">
        <v>5.4394049999999998</v>
      </c>
      <c r="E364">
        <v>0.52020350000000004</v>
      </c>
      <c r="F364" t="s">
        <v>41</v>
      </c>
      <c r="G364">
        <v>-376.70350000000002</v>
      </c>
      <c r="H364" s="1">
        <v>-2.2798530000000002E-6</v>
      </c>
      <c r="I364">
        <v>365.21159999999998</v>
      </c>
      <c r="J364">
        <v>-396.64519999999999</v>
      </c>
      <c r="K364">
        <v>1.1011709999999999</v>
      </c>
      <c r="L364">
        <v>367.05630000000002</v>
      </c>
      <c r="M364">
        <v>0.99999919999999998</v>
      </c>
      <c r="N364">
        <v>1.0270189999999999E-3</v>
      </c>
      <c r="O364">
        <v>-7.8011159999999999E-4</v>
      </c>
      <c r="P364">
        <v>0.98324330000000004</v>
      </c>
      <c r="Q364">
        <v>0.1756501</v>
      </c>
      <c r="R364">
        <v>-4.8783390000000003E-2</v>
      </c>
      <c r="S364">
        <v>3.0681150000000001</v>
      </c>
      <c r="T364">
        <v>-0.166797</v>
      </c>
      <c r="U364">
        <v>-0.2801208</v>
      </c>
      <c r="V364">
        <v>4.8022960000000003E-2</v>
      </c>
      <c r="W364">
        <v>0.174638299999999</v>
      </c>
      <c r="X364">
        <v>0.98346080000000002</v>
      </c>
      <c r="Y364">
        <v>9.0017420000000001E-2</v>
      </c>
      <c r="Z364">
        <v>-2.3505710000000001E-3</v>
      </c>
      <c r="AA364">
        <v>0.99593739999999997</v>
      </c>
      <c r="AB364">
        <v>27</v>
      </c>
      <c r="AC364">
        <v>19.941699999999901</v>
      </c>
      <c r="AD364">
        <v>-1.1011732798529901</v>
      </c>
      <c r="AE364">
        <v>-1.84470000000004</v>
      </c>
      <c r="AF364">
        <v>1.82362923478171</v>
      </c>
      <c r="AG364">
        <v>-1.1011732798529901</v>
      </c>
      <c r="AH364">
        <v>19.883019946101701</v>
      </c>
      <c r="AI364">
        <v>93.156728013174003</v>
      </c>
      <c r="AJ364">
        <v>84.759611811316006</v>
      </c>
      <c r="AK364">
        <v>19.996816955587999</v>
      </c>
      <c r="AL364">
        <v>79.942389322332104</v>
      </c>
      <c r="AM364">
        <v>87.204434457014401</v>
      </c>
      <c r="AN364">
        <v>0.99999994282534399</v>
      </c>
    </row>
    <row r="365" spans="1:40" x14ac:dyDescent="0.25">
      <c r="A365" t="str">
        <f>"20190303170504242"</f>
        <v>20190303170504242</v>
      </c>
      <c r="B365" t="str">
        <f>"1551603904234670"</f>
        <v>1551603904234670</v>
      </c>
      <c r="C365" t="s">
        <v>40</v>
      </c>
      <c r="D365">
        <v>5.4459879999999998</v>
      </c>
      <c r="E365">
        <v>0.5202253</v>
      </c>
      <c r="F365" t="s">
        <v>41</v>
      </c>
      <c r="G365">
        <v>-376.959</v>
      </c>
      <c r="H365" s="1">
        <v>-2.1793800000000001E-6</v>
      </c>
      <c r="I365">
        <v>365.26249999999999</v>
      </c>
      <c r="J365">
        <v>-396.35719999999998</v>
      </c>
      <c r="K365">
        <v>1.1038509999999999</v>
      </c>
      <c r="L365">
        <v>367.05610000000001</v>
      </c>
      <c r="M365">
        <v>0.99999970000000005</v>
      </c>
      <c r="N365" s="1">
        <v>-5.0058039999999997E-5</v>
      </c>
      <c r="O365">
        <v>-7.7986910000000002E-4</v>
      </c>
      <c r="P365">
        <v>0.98350749999999998</v>
      </c>
      <c r="Q365">
        <v>0.17431469999999999</v>
      </c>
      <c r="R365">
        <v>-4.8245820000000002E-2</v>
      </c>
      <c r="S365">
        <v>3.0679630000000002</v>
      </c>
      <c r="T365">
        <v>-0.17160929999999999</v>
      </c>
      <c r="U365">
        <v>-0.27954099999999998</v>
      </c>
      <c r="V365">
        <v>4.7485090000000001E-2</v>
      </c>
      <c r="W365">
        <v>0.17436219999999999</v>
      </c>
      <c r="X365">
        <v>0.98353590000000002</v>
      </c>
      <c r="Y365">
        <v>8.9825420000000003E-2</v>
      </c>
      <c r="Z365">
        <v>-2.4638899999999998E-3</v>
      </c>
      <c r="AA365">
        <v>0.99595449999999996</v>
      </c>
      <c r="AB365">
        <v>27</v>
      </c>
      <c r="AC365">
        <v>19.3981999999999</v>
      </c>
      <c r="AD365">
        <v>-1.1038531793799999</v>
      </c>
      <c r="AE365">
        <v>-1.7936000000000201</v>
      </c>
      <c r="AF365">
        <v>1.7727794964715</v>
      </c>
      <c r="AG365">
        <v>-1.1038531793799999</v>
      </c>
      <c r="AH365">
        <v>19.337505527969</v>
      </c>
      <c r="AI365">
        <v>93.253486324023399</v>
      </c>
      <c r="AJ365">
        <v>84.762010260417</v>
      </c>
      <c r="AK365">
        <v>19.4499449621064</v>
      </c>
      <c r="AL365">
        <v>79.958455141364396</v>
      </c>
      <c r="AM365">
        <v>87.235907445801203</v>
      </c>
      <c r="AN365">
        <v>0.99999993857497704</v>
      </c>
    </row>
    <row r="366" spans="1:40" x14ac:dyDescent="0.25">
      <c r="A366" t="str">
        <f>"20190303170504264"</f>
        <v>20190303170504264</v>
      </c>
      <c r="B366" t="str">
        <f>"1551603904255165"</f>
        <v>1551603904255165</v>
      </c>
      <c r="C366" t="s">
        <v>40</v>
      </c>
      <c r="D366">
        <v>5.4581670000000004</v>
      </c>
      <c r="E366">
        <v>0.52018980000000004</v>
      </c>
      <c r="F366" t="s">
        <v>41</v>
      </c>
      <c r="G366">
        <v>-377.02890000000002</v>
      </c>
      <c r="H366" s="1">
        <v>-2.1452650000000001E-6</v>
      </c>
      <c r="I366">
        <v>365.30130000000003</v>
      </c>
      <c r="J366">
        <v>-396.0958</v>
      </c>
      <c r="K366">
        <v>1.106055</v>
      </c>
      <c r="L366">
        <v>367.05590000000001</v>
      </c>
      <c r="M366">
        <v>0.99999919999999998</v>
      </c>
      <c r="N366">
        <v>-1.0104409999999999E-3</v>
      </c>
      <c r="O366">
        <v>-7.7942599999999995E-4</v>
      </c>
      <c r="P366">
        <v>0.98368469999999997</v>
      </c>
      <c r="Q366">
        <v>0.17334630000000001</v>
      </c>
      <c r="R366">
        <v>-4.8120280000000001E-2</v>
      </c>
      <c r="S366">
        <v>3.0677189999999999</v>
      </c>
      <c r="T366">
        <v>-0.1751983</v>
      </c>
      <c r="U366">
        <v>-0.27850340000000001</v>
      </c>
      <c r="V366">
        <v>4.7360039999999999E-2</v>
      </c>
      <c r="W366">
        <v>0.17433870000000001</v>
      </c>
      <c r="X366">
        <v>0.98354609999999998</v>
      </c>
      <c r="Y366">
        <v>8.9491109999999999E-2</v>
      </c>
      <c r="Z366">
        <v>-2.5498669999999999E-3</v>
      </c>
      <c r="AA366">
        <v>0.99598439999999999</v>
      </c>
      <c r="AB366">
        <v>27</v>
      </c>
      <c r="AC366">
        <v>19.066899999999901</v>
      </c>
      <c r="AD366">
        <v>-1.1060571452650001</v>
      </c>
      <c r="AE366">
        <v>-1.75459999999998</v>
      </c>
      <c r="AF366">
        <v>1.73395233623941</v>
      </c>
      <c r="AG366">
        <v>-1.1060571452650001</v>
      </c>
      <c r="AH366">
        <v>19.0048460506178</v>
      </c>
      <c r="AI366">
        <v>93.317035789136497</v>
      </c>
      <c r="AJ366">
        <v>84.786916316533095</v>
      </c>
      <c r="AK366">
        <v>19.1158082884461</v>
      </c>
      <c r="AL366">
        <v>79.9598225833236</v>
      </c>
      <c r="AM366">
        <v>87.243203869678993</v>
      </c>
      <c r="AN366">
        <v>0.99999994326584896</v>
      </c>
    </row>
    <row r="367" spans="1:40" x14ac:dyDescent="0.25">
      <c r="A367" t="str">
        <f>"20190303170504286"</f>
        <v>20190303170504286</v>
      </c>
      <c r="B367" t="str">
        <f>"1551603904274685"</f>
        <v>1551603904274685</v>
      </c>
      <c r="C367" t="s">
        <v>40</v>
      </c>
      <c r="D367">
        <v>5.5132750000000001</v>
      </c>
      <c r="E367">
        <v>0.52014020000000005</v>
      </c>
      <c r="F367" t="s">
        <v>41</v>
      </c>
      <c r="G367">
        <v>-376.92570000000001</v>
      </c>
      <c r="H367" s="1">
        <v>-2.17491E-6</v>
      </c>
      <c r="I367">
        <v>365.32190000000003</v>
      </c>
      <c r="J367">
        <v>-395.83010000000002</v>
      </c>
      <c r="K367">
        <v>1.108085</v>
      </c>
      <c r="L367">
        <v>367.0557</v>
      </c>
      <c r="M367">
        <v>0.9999979</v>
      </c>
      <c r="N367">
        <v>-1.9772729999999999E-3</v>
      </c>
      <c r="O367">
        <v>-7.7933099999999997E-4</v>
      </c>
      <c r="P367">
        <v>0.98392040000000003</v>
      </c>
      <c r="Q367">
        <v>0.1720766</v>
      </c>
      <c r="R367">
        <v>-4.7858379999999999E-2</v>
      </c>
      <c r="S367">
        <v>3.0673520000000001</v>
      </c>
      <c r="T367">
        <v>-0.1769761</v>
      </c>
      <c r="U367">
        <v>-0.2774353</v>
      </c>
      <c r="V367">
        <v>4.7097880000000002E-2</v>
      </c>
      <c r="W367">
        <v>0.17401989999999901</v>
      </c>
      <c r="X367">
        <v>0.98361520000000002</v>
      </c>
      <c r="Y367">
        <v>8.9152980000000007E-2</v>
      </c>
      <c r="Z367">
        <v>-2.609653E-3</v>
      </c>
      <c r="AA367">
        <v>0.99601450000000002</v>
      </c>
      <c r="AB367">
        <v>27</v>
      </c>
      <c r="AC367">
        <v>18.904399999999999</v>
      </c>
      <c r="AD367">
        <v>-1.1080871749099901</v>
      </c>
      <c r="AE367">
        <v>-1.73379999999997</v>
      </c>
      <c r="AF367">
        <v>1.7132295257948</v>
      </c>
      <c r="AG367">
        <v>-1.1080871749099901</v>
      </c>
      <c r="AH367">
        <v>18.8415505074659</v>
      </c>
      <c r="AI367">
        <v>93.351938819482598</v>
      </c>
      <c r="AJ367">
        <v>84.804481419361906</v>
      </c>
      <c r="AK367">
        <v>18.9517027762849</v>
      </c>
      <c r="AL367">
        <v>79.9783725887538</v>
      </c>
      <c r="AM367">
        <v>87.258632984307596</v>
      </c>
      <c r="AN367">
        <v>0.99999999878377199</v>
      </c>
    </row>
    <row r="368" spans="1:40" x14ac:dyDescent="0.25">
      <c r="A368" t="str">
        <f>"20190303170504308"</f>
        <v>20190303170504308</v>
      </c>
      <c r="B368" t="str">
        <f>"1551603904295181"</f>
        <v>1551603904295181</v>
      </c>
      <c r="C368" t="s">
        <v>40</v>
      </c>
      <c r="D368">
        <v>5.4244719999999997</v>
      </c>
      <c r="E368">
        <v>0.52012029999999998</v>
      </c>
      <c r="F368" t="s">
        <v>41</v>
      </c>
      <c r="G368">
        <v>-376.8938</v>
      </c>
      <c r="H368" s="1">
        <v>-2.1773260000000002E-6</v>
      </c>
      <c r="I368">
        <v>365.35359999999997</v>
      </c>
      <c r="J368">
        <v>-395.55790000000002</v>
      </c>
      <c r="K368">
        <v>1.1099270000000001</v>
      </c>
      <c r="L368">
        <v>367.05549999999999</v>
      </c>
      <c r="M368">
        <v>0.99999550000000004</v>
      </c>
      <c r="N368">
        <v>-2.9359799999999999E-3</v>
      </c>
      <c r="O368">
        <v>-7.7897549999999996E-4</v>
      </c>
      <c r="P368">
        <v>0.98412670000000002</v>
      </c>
      <c r="Q368">
        <v>0.17080989999999999</v>
      </c>
      <c r="R368">
        <v>-4.8153880000000003E-2</v>
      </c>
      <c r="S368">
        <v>3.066986</v>
      </c>
      <c r="T368">
        <v>-0.17946889999999999</v>
      </c>
      <c r="U368">
        <v>-0.2756653</v>
      </c>
      <c r="V368">
        <v>4.7393579999999998E-2</v>
      </c>
      <c r="W368">
        <v>0.17369679999999901</v>
      </c>
      <c r="X368">
        <v>0.98365809999999998</v>
      </c>
      <c r="Y368">
        <v>8.8588009999999995E-2</v>
      </c>
      <c r="Z368">
        <v>-2.6717659999999999E-3</v>
      </c>
      <c r="AA368">
        <v>0.99606479999999997</v>
      </c>
      <c r="AB368">
        <v>27</v>
      </c>
      <c r="AC368">
        <v>18.664100000000001</v>
      </c>
      <c r="AD368">
        <v>-1.109929177326</v>
      </c>
      <c r="AE368">
        <v>-1.70190000000002</v>
      </c>
      <c r="AF368">
        <v>1.6814630507463899</v>
      </c>
      <c r="AG368">
        <v>-1.109929177326</v>
      </c>
      <c r="AH368">
        <v>18.600182555964999</v>
      </c>
      <c r="AI368">
        <v>93.401126619867199</v>
      </c>
      <c r="AJ368">
        <v>84.834482084140603</v>
      </c>
      <c r="AK368">
        <v>18.708983186825801</v>
      </c>
      <c r="AL368">
        <v>79.997171093506594</v>
      </c>
      <c r="AM368">
        <v>87.241568171316899</v>
      </c>
      <c r="AN368">
        <v>0.99999999372553305</v>
      </c>
    </row>
    <row r="369" spans="1:40" x14ac:dyDescent="0.25">
      <c r="A369" t="str">
        <f>"20190303170504332"</f>
        <v>20190303170504332</v>
      </c>
      <c r="B369" t="str">
        <f>"1551603904324462"</f>
        <v>1551603904324462</v>
      </c>
      <c r="C369" t="s">
        <v>40</v>
      </c>
      <c r="D369">
        <v>5.4855739999999997</v>
      </c>
      <c r="E369">
        <v>0.52024329999999996</v>
      </c>
      <c r="F369" t="s">
        <v>41</v>
      </c>
      <c r="G369">
        <v>-377.03750000000002</v>
      </c>
      <c r="H369" s="1">
        <v>-2.1194290000000002E-6</v>
      </c>
      <c r="I369">
        <v>365.38729999999998</v>
      </c>
      <c r="J369">
        <v>-395.27289999999999</v>
      </c>
      <c r="K369">
        <v>1.1116280000000001</v>
      </c>
      <c r="L369">
        <v>367.05520000000001</v>
      </c>
      <c r="M369">
        <v>0.99999210000000005</v>
      </c>
      <c r="N369">
        <v>-3.8940590000000001E-3</v>
      </c>
      <c r="O369">
        <v>-7.7883949999999998E-4</v>
      </c>
      <c r="P369">
        <v>0.98425669999999998</v>
      </c>
      <c r="Q369">
        <v>0.169965</v>
      </c>
      <c r="R369">
        <v>-4.8487000000000002E-2</v>
      </c>
      <c r="S369">
        <v>3.0667420000000001</v>
      </c>
      <c r="T369">
        <v>-0.18379019999999999</v>
      </c>
      <c r="U369">
        <v>-0.27621459999999998</v>
      </c>
      <c r="V369">
        <v>4.7726579999999998E-2</v>
      </c>
      <c r="W369">
        <v>0.173794899999999</v>
      </c>
      <c r="X369">
        <v>0.98362470000000002</v>
      </c>
      <c r="Y369">
        <v>8.8761800000000002E-2</v>
      </c>
      <c r="Z369">
        <v>-2.7818349999999999E-3</v>
      </c>
      <c r="AA369">
        <v>0.99604899999999996</v>
      </c>
      <c r="AB369">
        <v>27</v>
      </c>
      <c r="AC369">
        <v>18.235399999999899</v>
      </c>
      <c r="AD369">
        <v>-1.1116301194289999</v>
      </c>
      <c r="AE369">
        <v>-1.6679000000000299</v>
      </c>
      <c r="AF369">
        <v>1.6476249574201001</v>
      </c>
      <c r="AG369">
        <v>-1.1116301194289999</v>
      </c>
      <c r="AH369">
        <v>18.169732735658801</v>
      </c>
      <c r="AI369">
        <v>93.486740002386995</v>
      </c>
      <c r="AJ369">
        <v>84.818609752457107</v>
      </c>
      <c r="AK369">
        <v>18.278117441574899</v>
      </c>
      <c r="AL369">
        <v>79.991463855732704</v>
      </c>
      <c r="AM369">
        <v>87.222122765187905</v>
      </c>
      <c r="AN369">
        <v>1.00000002207729</v>
      </c>
    </row>
    <row r="370" spans="1:40" x14ac:dyDescent="0.25">
      <c r="A370" t="str">
        <f>"20190303170504353"</f>
        <v>20190303170504353</v>
      </c>
      <c r="B370" t="str">
        <f>"1551603904344957"</f>
        <v>1551603904344957</v>
      </c>
      <c r="C370" t="s">
        <v>40</v>
      </c>
      <c r="D370">
        <v>5.4729599999999996</v>
      </c>
      <c r="E370">
        <v>0.52030569999999998</v>
      </c>
      <c r="F370" t="s">
        <v>41</v>
      </c>
      <c r="G370">
        <v>-376.96140000000003</v>
      </c>
      <c r="H370" s="1">
        <v>-2.1424220000000002E-6</v>
      </c>
      <c r="I370">
        <v>365.39830000000001</v>
      </c>
      <c r="J370">
        <v>-395.00830000000002</v>
      </c>
      <c r="K370">
        <v>1.11302099999999</v>
      </c>
      <c r="L370">
        <v>367.05509999999998</v>
      </c>
      <c r="M370">
        <v>0.99998849999999995</v>
      </c>
      <c r="N370">
        <v>-4.745984E-3</v>
      </c>
      <c r="O370">
        <v>-7.7878629999999995E-4</v>
      </c>
      <c r="P370">
        <v>0.98447209999999996</v>
      </c>
      <c r="Q370">
        <v>0.16857249999999999</v>
      </c>
      <c r="R370">
        <v>-4.8970609999999998E-2</v>
      </c>
      <c r="S370">
        <v>3.0664669999999998</v>
      </c>
      <c r="T370">
        <v>-0.1861544</v>
      </c>
      <c r="U370">
        <v>-0.27746579999999998</v>
      </c>
      <c r="V370">
        <v>4.8210290000000003E-2</v>
      </c>
      <c r="W370">
        <v>0.17324129999999999</v>
      </c>
      <c r="X370">
        <v>0.98369870000000004</v>
      </c>
      <c r="Y370">
        <v>8.9165629999999996E-2</v>
      </c>
      <c r="Z370">
        <v>-2.8672569999999998E-3</v>
      </c>
      <c r="AA370">
        <v>0.99601269999999997</v>
      </c>
      <c r="AB370">
        <v>27</v>
      </c>
      <c r="AC370">
        <v>18.046899999999901</v>
      </c>
      <c r="AD370">
        <v>-1.1130231424219901</v>
      </c>
      <c r="AE370">
        <v>-1.6567999999999701</v>
      </c>
      <c r="AF370">
        <v>1.63657170515352</v>
      </c>
      <c r="AG370">
        <v>-1.1130231424219901</v>
      </c>
      <c r="AH370">
        <v>17.980365006347899</v>
      </c>
      <c r="AI370">
        <v>93.527666255765993</v>
      </c>
      <c r="AJ370">
        <v>84.799272152015902</v>
      </c>
      <c r="AK370">
        <v>18.088966615679801</v>
      </c>
      <c r="AL370">
        <v>80.023670701420897</v>
      </c>
      <c r="AM370">
        <v>87.194224431149706</v>
      </c>
      <c r="AN370">
        <v>0.999999956234631</v>
      </c>
    </row>
    <row r="371" spans="1:40" x14ac:dyDescent="0.25">
      <c r="A371" t="str">
        <f>"20190303170504376"</f>
        <v>20190303170504376</v>
      </c>
      <c r="B371" t="str">
        <f>"1551603904364477"</f>
        <v>1551603904364477</v>
      </c>
      <c r="C371" t="s">
        <v>40</v>
      </c>
      <c r="D371">
        <v>5.5162789999999999</v>
      </c>
      <c r="E371">
        <v>0.52041579999999998</v>
      </c>
      <c r="F371" t="s">
        <v>41</v>
      </c>
      <c r="G371">
        <v>-377.08260000000001</v>
      </c>
      <c r="H371" s="1">
        <v>-2.095068E-6</v>
      </c>
      <c r="I371">
        <v>365.42129999999997</v>
      </c>
      <c r="J371">
        <v>-394.74329999999998</v>
      </c>
      <c r="K371">
        <v>1.114241</v>
      </c>
      <c r="L371">
        <v>367.0548</v>
      </c>
      <c r="M371">
        <v>0.99998430000000005</v>
      </c>
      <c r="N371">
        <v>-5.5704689999999998E-3</v>
      </c>
      <c r="O371">
        <v>-7.7878020000000004E-4</v>
      </c>
      <c r="P371">
        <v>0.98460559999999997</v>
      </c>
      <c r="Q371">
        <v>0.16756889999999999</v>
      </c>
      <c r="R371">
        <v>-4.9731280000000003E-2</v>
      </c>
      <c r="S371">
        <v>3.0660099999999999</v>
      </c>
      <c r="T371">
        <v>-0.1903706</v>
      </c>
      <c r="U371">
        <v>-0.27941890000000003</v>
      </c>
      <c r="V371">
        <v>4.897054E-2</v>
      </c>
      <c r="W371">
        <v>0.1730497</v>
      </c>
      <c r="X371">
        <v>0.98369490000000004</v>
      </c>
      <c r="Y371">
        <v>8.9796899999999999E-2</v>
      </c>
      <c r="Z371">
        <v>-2.9863519999999998E-3</v>
      </c>
      <c r="AA371">
        <v>0.99595560000000005</v>
      </c>
      <c r="AB371">
        <v>27</v>
      </c>
      <c r="AC371">
        <v>17.660699999999899</v>
      </c>
      <c r="AD371">
        <v>-1.114243095068</v>
      </c>
      <c r="AE371">
        <v>-1.6335000000000199</v>
      </c>
      <c r="AF371">
        <v>1.61337781934427</v>
      </c>
      <c r="AG371">
        <v>-1.114243095068</v>
      </c>
      <c r="AH371">
        <v>17.592532697258299</v>
      </c>
      <c r="AI371">
        <v>93.6089484480745</v>
      </c>
      <c r="AJ371">
        <v>84.760169537630304</v>
      </c>
      <c r="AK371">
        <v>17.701461305975901</v>
      </c>
      <c r="AL371">
        <v>80.034817206218307</v>
      </c>
      <c r="AM371">
        <v>87.150040268044094</v>
      </c>
      <c r="AN371">
        <v>0.999999984371995</v>
      </c>
    </row>
    <row r="372" spans="1:40" x14ac:dyDescent="0.25">
      <c r="A372" t="str">
        <f>"20190303170504397"</f>
        <v>20190303170504397</v>
      </c>
      <c r="B372" t="str">
        <f>"1551603904384973"</f>
        <v>1551603904384973</v>
      </c>
      <c r="C372" t="s">
        <v>40</v>
      </c>
      <c r="D372">
        <v>5.4741059999999999</v>
      </c>
      <c r="E372">
        <v>0.52046599999999998</v>
      </c>
      <c r="F372" t="s">
        <v>41</v>
      </c>
      <c r="G372">
        <v>-377.07100000000003</v>
      </c>
      <c r="H372" s="1">
        <v>-2.0970099999999998E-6</v>
      </c>
      <c r="I372">
        <v>365.42880000000002</v>
      </c>
      <c r="J372">
        <v>-394.48450000000003</v>
      </c>
      <c r="K372">
        <v>1.1152869999999999</v>
      </c>
      <c r="L372">
        <v>367.05459999999999</v>
      </c>
      <c r="M372">
        <v>0.99997950000000002</v>
      </c>
      <c r="N372">
        <v>-6.3596520000000004E-3</v>
      </c>
      <c r="O372">
        <v>-7.7888149999999999E-4</v>
      </c>
      <c r="P372">
        <v>0.98456900000000003</v>
      </c>
      <c r="Q372">
        <v>0.1675141</v>
      </c>
      <c r="R372">
        <v>-5.0627350000000002E-2</v>
      </c>
      <c r="S372">
        <v>3.0655519999999998</v>
      </c>
      <c r="T372">
        <v>-0.1932827</v>
      </c>
      <c r="U372">
        <v>-0.2820435</v>
      </c>
      <c r="V372">
        <v>4.986674E-2</v>
      </c>
      <c r="W372">
        <v>0.17377100000000001</v>
      </c>
      <c r="X372">
        <v>0.98352269999999997</v>
      </c>
      <c r="Y372">
        <v>9.0646160000000003E-2</v>
      </c>
      <c r="Z372">
        <v>-3.0939269999999998E-3</v>
      </c>
      <c r="AA372">
        <v>0.99587829999999999</v>
      </c>
      <c r="AB372">
        <v>27</v>
      </c>
      <c r="AC372">
        <v>17.413499999999999</v>
      </c>
      <c r="AD372">
        <v>-1.11528909701</v>
      </c>
      <c r="AE372">
        <v>-1.6257999999999599</v>
      </c>
      <c r="AF372">
        <v>1.6057063839569801</v>
      </c>
      <c r="AG372">
        <v>-1.11528909701</v>
      </c>
      <c r="AH372">
        <v>17.344228680643599</v>
      </c>
      <c r="AI372">
        <v>93.663611802536295</v>
      </c>
      <c r="AJ372">
        <v>84.710707229516103</v>
      </c>
      <c r="AK372">
        <v>17.454066325296498</v>
      </c>
      <c r="AL372">
        <v>79.992853925437899</v>
      </c>
      <c r="AM372">
        <v>87.097464853222107</v>
      </c>
      <c r="AN372">
        <v>0.99999997680725805</v>
      </c>
    </row>
    <row r="373" spans="1:40" x14ac:dyDescent="0.25">
      <c r="A373" t="str">
        <f>"20190303170504420"</f>
        <v>20190303170504420</v>
      </c>
      <c r="B373" t="str">
        <f>"1551603904415229"</f>
        <v>1551603904415229</v>
      </c>
      <c r="C373" t="s">
        <v>40</v>
      </c>
      <c r="D373">
        <v>5.5135500000000004</v>
      </c>
      <c r="E373">
        <v>0.52035710000000002</v>
      </c>
      <c r="F373" t="s">
        <v>41</v>
      </c>
      <c r="G373">
        <v>-376.78960000000001</v>
      </c>
      <c r="H373" s="1">
        <v>-2.1984509999999999E-6</v>
      </c>
      <c r="I373">
        <v>365.40750000000003</v>
      </c>
      <c r="J373">
        <v>-394.21550000000002</v>
      </c>
      <c r="K373">
        <v>1.1162350000000001</v>
      </c>
      <c r="L373">
        <v>367.05439999999999</v>
      </c>
      <c r="M373">
        <v>0.99997409999999998</v>
      </c>
      <c r="N373">
        <v>-7.1705969999999999E-3</v>
      </c>
      <c r="O373">
        <v>-7.7877670000000003E-4</v>
      </c>
      <c r="P373">
        <v>0.98477079999999995</v>
      </c>
      <c r="Q373">
        <v>0.16591879999999901</v>
      </c>
      <c r="R373">
        <v>-5.193851E-2</v>
      </c>
      <c r="S373">
        <v>3.0652159999999999</v>
      </c>
      <c r="T373">
        <v>-0.19319629999999999</v>
      </c>
      <c r="U373">
        <v>-0.28530879999999997</v>
      </c>
      <c r="V373">
        <v>5.1177769999999997E-2</v>
      </c>
      <c r="W373">
        <v>0.17297409999999999</v>
      </c>
      <c r="X373">
        <v>0.98359580000000002</v>
      </c>
      <c r="Y373">
        <v>9.1703519999999997E-2</v>
      </c>
      <c r="Z373">
        <v>-3.1673949999999999E-3</v>
      </c>
      <c r="AA373">
        <v>0.99578129999999998</v>
      </c>
      <c r="AB373">
        <v>27</v>
      </c>
      <c r="AC373">
        <v>17.425899999999999</v>
      </c>
      <c r="AD373">
        <v>-1.116237198451</v>
      </c>
      <c r="AE373">
        <v>-1.6468999999999501</v>
      </c>
      <c r="AF373">
        <v>1.62671263334687</v>
      </c>
      <c r="AG373">
        <v>-1.116237198451</v>
      </c>
      <c r="AH373">
        <v>17.356590253976101</v>
      </c>
      <c r="AI373">
        <v>93.663727217593802</v>
      </c>
      <c r="AJ373">
        <v>84.645705442102994</v>
      </c>
      <c r="AK373">
        <v>17.468354379251501</v>
      </c>
      <c r="AL373">
        <v>80.039214748581003</v>
      </c>
      <c r="AM373">
        <v>87.021511905497107</v>
      </c>
      <c r="AN373">
        <v>0.99999995059530999</v>
      </c>
    </row>
    <row r="374" spans="1:40" x14ac:dyDescent="0.25">
      <c r="A374" t="str">
        <f>"20190303170504443"</f>
        <v>20190303170504443</v>
      </c>
      <c r="B374" t="str">
        <f>"1551603904434749"</f>
        <v>1551603904434749</v>
      </c>
      <c r="C374" t="s">
        <v>40</v>
      </c>
      <c r="D374">
        <v>5.4690539999999999</v>
      </c>
      <c r="E374">
        <v>0.52029369999999997</v>
      </c>
      <c r="F374" t="s">
        <v>41</v>
      </c>
      <c r="G374">
        <v>-376.8673</v>
      </c>
      <c r="H374" s="1">
        <v>-2.1678790000000001E-6</v>
      </c>
      <c r="I374">
        <v>365.42290000000003</v>
      </c>
      <c r="J374">
        <v>-393.92779999999999</v>
      </c>
      <c r="K374">
        <v>1.11712099999999</v>
      </c>
      <c r="L374">
        <v>367.05419999999998</v>
      </c>
      <c r="M374">
        <v>0.99996759999999996</v>
      </c>
      <c r="N374">
        <v>-8.0283730000000001E-3</v>
      </c>
      <c r="O374">
        <v>-7.7871199999999998E-4</v>
      </c>
      <c r="P374">
        <v>0.98504840000000005</v>
      </c>
      <c r="Q374">
        <v>0.16385179999999999</v>
      </c>
      <c r="R374">
        <v>-5.322379E-2</v>
      </c>
      <c r="S374">
        <v>3.0644230000000001</v>
      </c>
      <c r="T374">
        <v>-0.1971736</v>
      </c>
      <c r="U374">
        <v>-0.28817749999999998</v>
      </c>
      <c r="V374">
        <v>5.2463000000000003E-2</v>
      </c>
      <c r="W374">
        <v>0.1717533</v>
      </c>
      <c r="X374">
        <v>0.98374209999999995</v>
      </c>
      <c r="Y374">
        <v>9.2638760000000001E-2</v>
      </c>
      <c r="Z374">
        <v>-3.300121E-3</v>
      </c>
      <c r="AA374">
        <v>0.99569430000000003</v>
      </c>
      <c r="AB374">
        <v>27</v>
      </c>
      <c r="AC374">
        <v>17.060499999999902</v>
      </c>
      <c r="AD374">
        <v>-1.1171231678789999</v>
      </c>
      <c r="AE374">
        <v>-1.63129999999995</v>
      </c>
      <c r="AF374">
        <v>1.6111683363817699</v>
      </c>
      <c r="AG374">
        <v>-1.1171231678789999</v>
      </c>
      <c r="AH374">
        <v>16.989579912018499</v>
      </c>
      <c r="AI374">
        <v>93.745223634152893</v>
      </c>
      <c r="AJ374">
        <v>84.582685488477495</v>
      </c>
      <c r="AK374">
        <v>17.1023288813902</v>
      </c>
      <c r="AL374">
        <v>80.110225118337596</v>
      </c>
      <c r="AM374">
        <v>86.947305966038797</v>
      </c>
      <c r="AN374">
        <v>1.00000004087114</v>
      </c>
    </row>
    <row r="375" spans="1:40" x14ac:dyDescent="0.25">
      <c r="A375" t="str">
        <f>"20190303170504456"</f>
        <v>20190303170504456</v>
      </c>
      <c r="B375" t="str">
        <f>"1551603904444510"</f>
        <v>1551603904444510</v>
      </c>
      <c r="C375" t="s">
        <v>40</v>
      </c>
      <c r="D375">
        <v>5.492076</v>
      </c>
      <c r="E375">
        <v>0.52024759999999903</v>
      </c>
      <c r="F375" t="s">
        <v>42</v>
      </c>
      <c r="G375">
        <v>-392.94560000000001</v>
      </c>
      <c r="H375">
        <v>1.0521049999999901</v>
      </c>
      <c r="I375">
        <v>366.96039999999999</v>
      </c>
      <c r="J375">
        <v>-393.77159999999998</v>
      </c>
      <c r="K375">
        <v>1.1175330000000001</v>
      </c>
      <c r="L375">
        <v>367.05410000000001</v>
      </c>
      <c r="M375">
        <v>0.99996379999999996</v>
      </c>
      <c r="N375">
        <v>-8.4808119999999904E-3</v>
      </c>
      <c r="O375">
        <v>-7.7856009999999903E-4</v>
      </c>
      <c r="P375">
        <v>0.98508850000000003</v>
      </c>
      <c r="Q375">
        <v>0.16336030000000001</v>
      </c>
      <c r="R375">
        <v>-5.3981639999999997E-2</v>
      </c>
      <c r="S375">
        <v>3.063507</v>
      </c>
      <c r="T375">
        <v>-0.2028953</v>
      </c>
      <c r="U375">
        <v>-0.29199219999999998</v>
      </c>
      <c r="V375">
        <v>5.3221129999999998E-2</v>
      </c>
      <c r="W375">
        <v>0.17170729999999901</v>
      </c>
      <c r="X375">
        <v>0.98370939999999996</v>
      </c>
      <c r="Y375">
        <v>9.3879050000000006E-2</v>
      </c>
      <c r="Z375">
        <v>-3.453064E-3</v>
      </c>
      <c r="AA375">
        <v>0.99557759999999995</v>
      </c>
      <c r="AB375">
        <v>27</v>
      </c>
      <c r="AC375">
        <v>0.82599999999996498</v>
      </c>
      <c r="AD375">
        <v>-6.5428E-2</v>
      </c>
      <c r="AE375">
        <v>-9.3700000000012496E-2</v>
      </c>
      <c r="AF375">
        <v>9.2483955474919596E-2</v>
      </c>
      <c r="AG375">
        <v>-6.5428E-2</v>
      </c>
      <c r="AH375">
        <v>0.82098700582055195</v>
      </c>
      <c r="AI375">
        <v>94.527998697059203</v>
      </c>
      <c r="AJ375">
        <v>83.572742357998706</v>
      </c>
      <c r="AK375">
        <v>0.82876641397349204</v>
      </c>
      <c r="AL375">
        <v>80.112900406465101</v>
      </c>
      <c r="AM375">
        <v>86.903174740506799</v>
      </c>
      <c r="AN375">
        <v>1.0000000346000599</v>
      </c>
    </row>
    <row r="376" spans="1:40" x14ac:dyDescent="0.25">
      <c r="A376" t="str">
        <f>"20190303170504475"</f>
        <v>20190303170504475</v>
      </c>
      <c r="B376" t="str">
        <f>"1551603904465005"</f>
        <v>1551603904465005</v>
      </c>
      <c r="C376" t="s">
        <v>40</v>
      </c>
      <c r="D376">
        <v>5.4799300000000004</v>
      </c>
      <c r="E376">
        <v>0.52016989999999996</v>
      </c>
      <c r="F376" t="s">
        <v>41</v>
      </c>
      <c r="G376">
        <v>-376.98700000000002</v>
      </c>
      <c r="H376" s="1">
        <v>-2.1217680000000001E-6</v>
      </c>
      <c r="I376">
        <v>365.44310000000002</v>
      </c>
      <c r="J376">
        <v>-393.54270000000002</v>
      </c>
      <c r="K376">
        <v>1.1180859999999999</v>
      </c>
      <c r="L376">
        <v>367.0539</v>
      </c>
      <c r="M376">
        <v>0.99995820000000002</v>
      </c>
      <c r="N376">
        <v>-9.1215410000000004E-3</v>
      </c>
      <c r="O376">
        <v>-7.7852889999999999E-4</v>
      </c>
      <c r="P376">
        <v>0.98522659999999995</v>
      </c>
      <c r="Q376">
        <v>0.16216729999999999</v>
      </c>
      <c r="R376">
        <v>-5.5048670000000001E-2</v>
      </c>
      <c r="S376">
        <v>3.0631409999999999</v>
      </c>
      <c r="T376">
        <v>-0.20394680000000001</v>
      </c>
      <c r="U376">
        <v>-0.29397579999999901</v>
      </c>
      <c r="V376">
        <v>5.428794E-2</v>
      </c>
      <c r="W376">
        <v>0.1711454</v>
      </c>
      <c r="X376">
        <v>0.98374899999999998</v>
      </c>
      <c r="Y376">
        <v>9.4523270000000006E-2</v>
      </c>
      <c r="Z376">
        <v>-3.5241169999999998E-3</v>
      </c>
      <c r="AA376">
        <v>0.99551639999999997</v>
      </c>
      <c r="AB376">
        <v>27</v>
      </c>
      <c r="AC376">
        <v>16.555700000000002</v>
      </c>
      <c r="AD376">
        <v>-1.1180881217679901</v>
      </c>
      <c r="AE376">
        <v>-1.61079999999998</v>
      </c>
      <c r="AF376">
        <v>1.5907226890299999</v>
      </c>
      <c r="AG376">
        <v>-1.1180881217679901</v>
      </c>
      <c r="AH376">
        <v>16.482478021509699</v>
      </c>
      <c r="AI376">
        <v>93.862818272757593</v>
      </c>
      <c r="AJ376">
        <v>84.487461311322207</v>
      </c>
      <c r="AK376">
        <v>16.5967647886865</v>
      </c>
      <c r="AL376">
        <v>80.145578414194205</v>
      </c>
      <c r="AM376">
        <v>86.841350689034797</v>
      </c>
      <c r="AN376">
        <v>1.0000000116858001</v>
      </c>
    </row>
    <row r="377" spans="1:40" x14ac:dyDescent="0.25">
      <c r="A377" t="str">
        <f>"20190303170504498"</f>
        <v>20190303170504498</v>
      </c>
      <c r="B377" t="str">
        <f>"1551603904484525"</f>
        <v>1551603904484525</v>
      </c>
      <c r="C377" t="s">
        <v>40</v>
      </c>
      <c r="D377">
        <v>5.7015190000000002</v>
      </c>
      <c r="E377">
        <v>0.52013739999999997</v>
      </c>
      <c r="F377" t="s">
        <v>41</v>
      </c>
      <c r="G377">
        <v>-376.98869999999999</v>
      </c>
      <c r="H377" s="1">
        <v>-2.1203050000000002E-6</v>
      </c>
      <c r="I377">
        <v>365.44639999999998</v>
      </c>
      <c r="J377">
        <v>-393.27710000000002</v>
      </c>
      <c r="K377">
        <v>1.11864599999999</v>
      </c>
      <c r="L377">
        <v>367.05369999999999</v>
      </c>
      <c r="M377">
        <v>0.99995160000000005</v>
      </c>
      <c r="N377">
        <v>-9.8157959999999999E-3</v>
      </c>
      <c r="O377">
        <v>-7.7848890000000001E-4</v>
      </c>
      <c r="P377">
        <v>0.98526020000000003</v>
      </c>
      <c r="Q377">
        <v>0.161736299999999</v>
      </c>
      <c r="R377">
        <v>-5.5715359999999998E-2</v>
      </c>
      <c r="S377">
        <v>3.0624389999999999</v>
      </c>
      <c r="T377">
        <v>-0.2068431</v>
      </c>
      <c r="U377">
        <v>-0.2973633</v>
      </c>
      <c r="V377">
        <v>5.4954530000000001E-2</v>
      </c>
      <c r="W377">
        <v>0.1713982</v>
      </c>
      <c r="X377">
        <v>0.98366799999999999</v>
      </c>
      <c r="Y377">
        <v>9.5624479999999998E-2</v>
      </c>
      <c r="Z377">
        <v>-3.6443700000000001E-3</v>
      </c>
      <c r="AA377">
        <v>0.99541080000000004</v>
      </c>
      <c r="AB377">
        <v>27</v>
      </c>
      <c r="AC377">
        <v>16.288399999999999</v>
      </c>
      <c r="AD377">
        <v>-1.1186481203049901</v>
      </c>
      <c r="AE377">
        <v>-1.6073</v>
      </c>
      <c r="AF377">
        <v>1.5872045290526799</v>
      </c>
      <c r="AG377">
        <v>-1.1186481203049901</v>
      </c>
      <c r="AH377">
        <v>16.2139091459931</v>
      </c>
      <c r="AI377">
        <v>93.928043388960504</v>
      </c>
      <c r="AJ377">
        <v>84.409041448393793</v>
      </c>
      <c r="AK377">
        <v>16.329771634307299</v>
      </c>
      <c r="AL377">
        <v>80.130877077688694</v>
      </c>
      <c r="AM377">
        <v>86.802383553695705</v>
      </c>
      <c r="AN377">
        <v>1.00000003877737</v>
      </c>
    </row>
    <row r="378" spans="1:40" x14ac:dyDescent="0.25">
      <c r="A378" t="str">
        <f>"20190303170504513"</f>
        <v>20190303170504513</v>
      </c>
      <c r="B378" t="str">
        <f>"1551603904505021"</f>
        <v>1551603904505021</v>
      </c>
      <c r="C378" t="s">
        <v>40</v>
      </c>
      <c r="D378">
        <v>5.4461389999999996</v>
      </c>
      <c r="E378">
        <v>0.52005270000000003</v>
      </c>
      <c r="F378" t="s">
        <v>41</v>
      </c>
      <c r="G378">
        <v>-376.78890000000001</v>
      </c>
      <c r="H378" s="1">
        <v>-2.1896289999999999E-6</v>
      </c>
      <c r="I378">
        <v>365.44150000000002</v>
      </c>
      <c r="J378">
        <v>-393.10239999999999</v>
      </c>
      <c r="K378">
        <v>1.118967</v>
      </c>
      <c r="L378">
        <v>367.05360000000002</v>
      </c>
      <c r="M378">
        <v>0.99994740000000004</v>
      </c>
      <c r="N378">
        <v>-1.0236479999999999E-2</v>
      </c>
      <c r="O378">
        <v>-7.7869729999999996E-4</v>
      </c>
      <c r="P378">
        <v>0.98519889999999999</v>
      </c>
      <c r="Q378">
        <v>0.16210759999999999</v>
      </c>
      <c r="R378">
        <v>-5.57181E-2</v>
      </c>
      <c r="S378">
        <v>3.0620419999999999</v>
      </c>
      <c r="T378">
        <v>-0.2077447</v>
      </c>
      <c r="U378">
        <v>-0.29937740000000002</v>
      </c>
      <c r="V378">
        <v>5.4957270000000003E-2</v>
      </c>
      <c r="W378">
        <v>0.17218259999999999</v>
      </c>
      <c r="X378">
        <v>0.98353080000000004</v>
      </c>
      <c r="Y378">
        <v>9.6280080000000004E-2</v>
      </c>
      <c r="Z378">
        <v>-3.7045020000000001E-3</v>
      </c>
      <c r="AA378">
        <v>0.99534739999999999</v>
      </c>
      <c r="AB378">
        <v>27</v>
      </c>
      <c r="AC378">
        <v>16.313499999999902</v>
      </c>
      <c r="AD378">
        <v>-1.1189691896289999</v>
      </c>
      <c r="AE378">
        <v>-1.6120999999999901</v>
      </c>
      <c r="AF378">
        <v>1.59197805129771</v>
      </c>
      <c r="AG378">
        <v>-1.1189691896289999</v>
      </c>
      <c r="AH378">
        <v>16.239087535994798</v>
      </c>
      <c r="AI378">
        <v>93.923040256606498</v>
      </c>
      <c r="AJ378">
        <v>84.400972927397007</v>
      </c>
      <c r="AK378">
        <v>16.355257569505198</v>
      </c>
      <c r="AL378">
        <v>80.085255575322705</v>
      </c>
      <c r="AM378">
        <v>86.801779297871605</v>
      </c>
      <c r="AN378">
        <v>0.99999999190862598</v>
      </c>
    </row>
    <row r="379" spans="1:40" x14ac:dyDescent="0.25">
      <c r="A379" t="str">
        <f>"20190303170504535"</f>
        <v>20190303170504535</v>
      </c>
      <c r="B379" t="str">
        <f>"1551603904525521"</f>
        <v>1551603904525521</v>
      </c>
      <c r="C379" t="s">
        <v>40</v>
      </c>
      <c r="D379">
        <v>5.6430170000000004</v>
      </c>
      <c r="E379">
        <v>0.51994659999999904</v>
      </c>
      <c r="F379" t="s">
        <v>41</v>
      </c>
      <c r="G379">
        <v>-376.45249999999999</v>
      </c>
      <c r="H379" s="1">
        <v>-2.3077919999999999E-6</v>
      </c>
      <c r="I379">
        <v>365.42770000000002</v>
      </c>
      <c r="J379">
        <v>-392.83249999999998</v>
      </c>
      <c r="K379">
        <v>1.1193919999999999</v>
      </c>
      <c r="L379">
        <v>367.05340000000001</v>
      </c>
      <c r="M379">
        <v>0.99994099999999997</v>
      </c>
      <c r="N379">
        <v>-1.083395E-2</v>
      </c>
      <c r="O379">
        <v>-7.7851630000000003E-4</v>
      </c>
      <c r="P379">
        <v>0.9850757</v>
      </c>
      <c r="Q379">
        <v>0.16292760000000001</v>
      </c>
      <c r="R379">
        <v>-5.5503440000000001E-2</v>
      </c>
      <c r="S379">
        <v>3.0619809999999998</v>
      </c>
      <c r="T379">
        <v>-0.20578160000000001</v>
      </c>
      <c r="U379">
        <v>-0.29898069999999999</v>
      </c>
      <c r="V379">
        <v>5.4742869999999999E-2</v>
      </c>
      <c r="W379">
        <v>0.17358879999999999</v>
      </c>
      <c r="X379">
        <v>0.98329560000000005</v>
      </c>
      <c r="Y379">
        <v>9.6157220000000002E-2</v>
      </c>
      <c r="Z379">
        <v>-3.6989480000000001E-3</v>
      </c>
      <c r="AA379">
        <v>0.99535929999999995</v>
      </c>
      <c r="AB379">
        <v>27</v>
      </c>
      <c r="AC379">
        <v>16.3799999999999</v>
      </c>
      <c r="AD379">
        <v>-1.1193943077920001</v>
      </c>
      <c r="AE379">
        <v>-1.6256999999999899</v>
      </c>
      <c r="AF379">
        <v>1.6055216435040101</v>
      </c>
      <c r="AG379">
        <v>-1.1193943077920001</v>
      </c>
      <c r="AH379">
        <v>16.305851455580999</v>
      </c>
      <c r="AI379">
        <v>93.908344337609194</v>
      </c>
      <c r="AJ379">
        <v>84.376616663235794</v>
      </c>
      <c r="AK379">
        <v>16.422896670671399</v>
      </c>
      <c r="AL379">
        <v>80.003455009951196</v>
      </c>
      <c r="AM379">
        <v>86.813470035092607</v>
      </c>
      <c r="AN379">
        <v>1.0000000451403099</v>
      </c>
    </row>
    <row r="380" spans="1:40" x14ac:dyDescent="0.25">
      <c r="A380" t="str">
        <f>"20190303170504555"</f>
        <v>20190303170504555</v>
      </c>
      <c r="B380" t="str">
        <f>"1551603904545037"</f>
        <v>1551603904545037</v>
      </c>
      <c r="C380" t="s">
        <v>40</v>
      </c>
      <c r="D380">
        <v>5.4909280000000003</v>
      </c>
      <c r="E380">
        <v>0.5198855</v>
      </c>
      <c r="F380" t="s">
        <v>41</v>
      </c>
      <c r="G380">
        <v>-375.87810000000002</v>
      </c>
      <c r="H380" s="1">
        <v>-2.509269E-6</v>
      </c>
      <c r="I380">
        <v>365.4051</v>
      </c>
      <c r="J380">
        <v>-392.58909999999997</v>
      </c>
      <c r="K380">
        <v>1.1197109999999999</v>
      </c>
      <c r="L380">
        <v>367.0532</v>
      </c>
      <c r="M380">
        <v>0.99993569999999998</v>
      </c>
      <c r="N380">
        <v>-1.131715E-2</v>
      </c>
      <c r="O380">
        <v>-7.7845819999999995E-4</v>
      </c>
      <c r="P380">
        <v>0.98529580000000005</v>
      </c>
      <c r="Q380">
        <v>0.161904399999999</v>
      </c>
      <c r="R380">
        <v>-5.4582360000000003E-2</v>
      </c>
      <c r="S380">
        <v>3.062103</v>
      </c>
      <c r="T380">
        <v>-0.20217060000000001</v>
      </c>
      <c r="U380">
        <v>-0.2976685</v>
      </c>
      <c r="V380">
        <v>5.38217E-2</v>
      </c>
      <c r="W380">
        <v>0.17304359999999999</v>
      </c>
      <c r="X380">
        <v>0.9834425</v>
      </c>
      <c r="Y380">
        <v>9.5738409999999996E-2</v>
      </c>
      <c r="Z380">
        <v>-3.6509350000000001E-3</v>
      </c>
      <c r="AA380">
        <v>0.99539979999999995</v>
      </c>
      <c r="AB380">
        <v>27</v>
      </c>
      <c r="AC380">
        <v>16.710999999999899</v>
      </c>
      <c r="AD380">
        <v>-1.119713509269</v>
      </c>
      <c r="AE380">
        <v>-1.6480999999999899</v>
      </c>
      <c r="AF380">
        <v>1.6278518289763999</v>
      </c>
      <c r="AG380">
        <v>-1.119713509269</v>
      </c>
      <c r="AH380">
        <v>16.638298042480599</v>
      </c>
      <c r="AI380">
        <v>93.831808559797906</v>
      </c>
      <c r="AJ380">
        <v>84.412100319816901</v>
      </c>
      <c r="AK380">
        <v>16.755196855613399</v>
      </c>
      <c r="AL380">
        <v>80.035172290260903</v>
      </c>
      <c r="AM380">
        <v>86.867449781358005</v>
      </c>
      <c r="AN380">
        <v>1.00000000684905</v>
      </c>
    </row>
    <row r="381" spans="1:40" x14ac:dyDescent="0.25">
      <c r="A381" t="str">
        <f>"20190303170504576"</f>
        <v>20190303170504576</v>
      </c>
      <c r="B381" t="str">
        <f>"1551603904564557"</f>
        <v>1551603904564557</v>
      </c>
      <c r="C381" t="s">
        <v>40</v>
      </c>
      <c r="D381">
        <v>5.4621209999999998</v>
      </c>
      <c r="E381">
        <v>0.51979900000000001</v>
      </c>
      <c r="F381" t="s">
        <v>41</v>
      </c>
      <c r="G381">
        <v>-375.83030000000002</v>
      </c>
      <c r="H381" s="1">
        <v>-2.5152819999999998E-6</v>
      </c>
      <c r="I381">
        <v>365.4436</v>
      </c>
      <c r="J381">
        <v>-392.3503</v>
      </c>
      <c r="K381">
        <v>1.119966</v>
      </c>
      <c r="L381">
        <v>367.053</v>
      </c>
      <c r="M381">
        <v>0.99993080000000001</v>
      </c>
      <c r="N381">
        <v>-1.1742549999999999E-2</v>
      </c>
      <c r="O381">
        <v>-7.7829500000000003E-4</v>
      </c>
      <c r="P381">
        <v>0.98541500000000004</v>
      </c>
      <c r="Q381">
        <v>0.16131899999999999</v>
      </c>
      <c r="R381">
        <v>-5.4160939999999998E-2</v>
      </c>
      <c r="S381">
        <v>3.0621640000000001</v>
      </c>
      <c r="T381">
        <v>-0.20459289999999999</v>
      </c>
      <c r="U381">
        <v>-0.29409790000000002</v>
      </c>
      <c r="V381">
        <v>5.3400370000000003E-2</v>
      </c>
      <c r="W381">
        <v>0.172877799999999</v>
      </c>
      <c r="X381">
        <v>0.9834946</v>
      </c>
      <c r="Y381">
        <v>9.4582920000000001E-2</v>
      </c>
      <c r="Z381">
        <v>-3.6635790000000001E-3</v>
      </c>
      <c r="AA381">
        <v>0.99551020000000001</v>
      </c>
      <c r="AB381">
        <v>27</v>
      </c>
      <c r="AC381">
        <v>16.5199999999999</v>
      </c>
      <c r="AD381">
        <v>-1.119968515282</v>
      </c>
      <c r="AE381">
        <v>-1.6094000000000499</v>
      </c>
      <c r="AF381">
        <v>1.5893052284695799</v>
      </c>
      <c r="AG381">
        <v>-1.119968515282</v>
      </c>
      <c r="AH381">
        <v>16.4463688221796</v>
      </c>
      <c r="AI381">
        <v>93.877717949151005</v>
      </c>
      <c r="AJ381">
        <v>84.480325341832199</v>
      </c>
      <c r="AK381">
        <v>16.560895749313399</v>
      </c>
      <c r="AL381">
        <v>80.0448170303452</v>
      </c>
      <c r="AM381">
        <v>86.892088241359303</v>
      </c>
      <c r="AN381">
        <v>0.99999998073906804</v>
      </c>
    </row>
    <row r="382" spans="1:40" x14ac:dyDescent="0.25">
      <c r="A382" t="str">
        <f>"20190303170504589"</f>
        <v>20190303170504589</v>
      </c>
      <c r="B382" t="str">
        <f>"1551603904585053"</f>
        <v>1551603904585053</v>
      </c>
      <c r="C382" t="s">
        <v>40</v>
      </c>
      <c r="D382">
        <v>5.4926329999999997</v>
      </c>
      <c r="E382">
        <v>0.51973000000000003</v>
      </c>
      <c r="F382" t="s">
        <v>41</v>
      </c>
      <c r="G382">
        <v>-375.65620000000001</v>
      </c>
      <c r="H382" s="1">
        <v>-2.5827619999999999E-6</v>
      </c>
      <c r="I382">
        <v>365.46159999999998</v>
      </c>
      <c r="J382">
        <v>-392.18169999999998</v>
      </c>
      <c r="K382">
        <v>1.1201209999999999</v>
      </c>
      <c r="L382">
        <v>367.05290000000002</v>
      </c>
      <c r="M382">
        <v>0.99992749999999997</v>
      </c>
      <c r="N382">
        <v>-1.20161E-2</v>
      </c>
      <c r="O382">
        <v>-7.7849379999999995E-4</v>
      </c>
      <c r="P382">
        <v>0.98562720000000004</v>
      </c>
      <c r="Q382">
        <v>0.16025599999999901</v>
      </c>
      <c r="R382">
        <v>-5.345478E-2</v>
      </c>
      <c r="S382">
        <v>3.0619809999999998</v>
      </c>
      <c r="T382">
        <v>-0.20542009999999999</v>
      </c>
      <c r="U382">
        <v>-0.29187010000000002</v>
      </c>
      <c r="V382">
        <v>5.2693749999999998E-2</v>
      </c>
      <c r="W382">
        <v>0.1720864</v>
      </c>
      <c r="X382">
        <v>0.98367150000000003</v>
      </c>
      <c r="Y382">
        <v>9.3869750000000002E-2</v>
      </c>
      <c r="Z382">
        <v>-3.6613990000000001E-3</v>
      </c>
      <c r="AA382">
        <v>0.99557779999999996</v>
      </c>
      <c r="AB382">
        <v>27</v>
      </c>
      <c r="AC382">
        <v>16.525499999999901</v>
      </c>
      <c r="AD382">
        <v>-1.120123582762</v>
      </c>
      <c r="AE382">
        <v>-1.5913000000000399</v>
      </c>
      <c r="AF382">
        <v>1.57128092134563</v>
      </c>
      <c r="AG382">
        <v>-1.120123582762</v>
      </c>
      <c r="AH382">
        <v>16.451843041327699</v>
      </c>
      <c r="AI382">
        <v>93.877381641533702</v>
      </c>
      <c r="AJ382">
        <v>84.544348842135506</v>
      </c>
      <c r="AK382">
        <v>16.564623147869298</v>
      </c>
      <c r="AL382">
        <v>80.090850931179205</v>
      </c>
      <c r="AM382">
        <v>86.933685109427799</v>
      </c>
      <c r="AN382">
        <v>0.99999999013313601</v>
      </c>
    </row>
    <row r="383" spans="1:40" x14ac:dyDescent="0.25">
      <c r="A383" t="str">
        <f>"20190303170504610"</f>
        <v>20190303170504610</v>
      </c>
      <c r="B383" t="str">
        <f>"1551603904594814"</f>
        <v>1551603904594814</v>
      </c>
      <c r="C383" t="s">
        <v>40</v>
      </c>
      <c r="D383">
        <v>5.4846870000000001</v>
      </c>
      <c r="E383">
        <v>0.51970559999999999</v>
      </c>
      <c r="F383" t="s">
        <v>41</v>
      </c>
      <c r="G383">
        <v>-375.66899999999998</v>
      </c>
      <c r="H383" s="1">
        <v>-2.5727060000000001E-6</v>
      </c>
      <c r="I383">
        <v>365.48739999999998</v>
      </c>
      <c r="J383">
        <v>-391.94110000000001</v>
      </c>
      <c r="K383">
        <v>1.1203019999999999</v>
      </c>
      <c r="L383">
        <v>367.05270000000002</v>
      </c>
      <c r="M383">
        <v>0.99992329999999996</v>
      </c>
      <c r="N383">
        <v>-1.236903E-2</v>
      </c>
      <c r="O383">
        <v>-7.7862459999999999E-4</v>
      </c>
      <c r="P383">
        <v>0.98606360000000004</v>
      </c>
      <c r="Q383">
        <v>0.15789300000000001</v>
      </c>
      <c r="R383">
        <v>-5.24284E-2</v>
      </c>
      <c r="S383">
        <v>3.0617679999999998</v>
      </c>
      <c r="T383">
        <v>-0.2076913</v>
      </c>
      <c r="U383">
        <v>-0.29025269999999997</v>
      </c>
      <c r="V383">
        <v>5.1666879999999998E-2</v>
      </c>
      <c r="W383">
        <v>0.17007610000000001</v>
      </c>
      <c r="X383">
        <v>0.98407549999999999</v>
      </c>
      <c r="Y383">
        <v>9.3350139999999998E-2</v>
      </c>
      <c r="Z383">
        <v>-3.6918430000000002E-3</v>
      </c>
      <c r="AA383">
        <v>0.99562649999999997</v>
      </c>
      <c r="AB383">
        <v>27</v>
      </c>
      <c r="AC383">
        <v>16.272099999999899</v>
      </c>
      <c r="AD383">
        <v>-1.1203045727059999</v>
      </c>
      <c r="AE383">
        <v>-1.5653000000000299</v>
      </c>
      <c r="AF383">
        <v>1.5453706928195401</v>
      </c>
      <c r="AG383">
        <v>-1.1203045727059999</v>
      </c>
      <c r="AH383">
        <v>16.197241773331299</v>
      </c>
      <c r="AI383">
        <v>93.938810015372198</v>
      </c>
      <c r="AJ383">
        <v>84.549935795455198</v>
      </c>
      <c r="AK383">
        <v>16.309319237098801</v>
      </c>
      <c r="AL383">
        <v>80.207755984057997</v>
      </c>
      <c r="AM383">
        <v>86.994561314360496</v>
      </c>
      <c r="AN383">
        <v>0.99999996799019597</v>
      </c>
    </row>
    <row r="384" spans="1:40" x14ac:dyDescent="0.25">
      <c r="A384" t="str">
        <f>"20190303170504632"</f>
        <v>20190303170504632</v>
      </c>
      <c r="B384" t="str">
        <f>"1551603904625069"</f>
        <v>1551603904625069</v>
      </c>
      <c r="C384" t="s">
        <v>40</v>
      </c>
      <c r="D384">
        <v>5.5061109999999998</v>
      </c>
      <c r="E384">
        <v>0.51963909999999902</v>
      </c>
      <c r="F384" t="s">
        <v>41</v>
      </c>
      <c r="G384">
        <v>-375.91460000000001</v>
      </c>
      <c r="H384" s="1">
        <v>-2.4620779999999999E-6</v>
      </c>
      <c r="I384">
        <v>365.53579999999999</v>
      </c>
      <c r="J384">
        <v>-391.66980000000001</v>
      </c>
      <c r="K384">
        <v>1.120492</v>
      </c>
      <c r="L384">
        <v>367.05250000000001</v>
      </c>
      <c r="M384">
        <v>0.99991890000000005</v>
      </c>
      <c r="N384">
        <v>-1.271945E-2</v>
      </c>
      <c r="O384">
        <v>-7.7868259999999895E-4</v>
      </c>
      <c r="P384">
        <v>0.98628249999999995</v>
      </c>
      <c r="Q384">
        <v>0.15654219999999999</v>
      </c>
      <c r="R384">
        <v>-5.2361539999999998E-2</v>
      </c>
      <c r="S384">
        <v>3.0612490000000001</v>
      </c>
      <c r="T384">
        <v>-0.2139897</v>
      </c>
      <c r="U384">
        <v>-0.28973389999999999</v>
      </c>
      <c r="V384">
        <v>5.1599909999999999E-2</v>
      </c>
      <c r="W384">
        <v>0.16907269999999999</v>
      </c>
      <c r="X384">
        <v>0.98425189999999996</v>
      </c>
      <c r="Y384">
        <v>9.3183769999999999E-2</v>
      </c>
      <c r="Z384">
        <v>-3.7961510000000002E-3</v>
      </c>
      <c r="AA384">
        <v>0.99564169999999996</v>
      </c>
      <c r="AB384">
        <v>26</v>
      </c>
      <c r="AC384">
        <v>15.7552</v>
      </c>
      <c r="AD384">
        <v>-1.120494462078</v>
      </c>
      <c r="AE384">
        <v>-1.5167000000000099</v>
      </c>
      <c r="AF384">
        <v>1.4969284321613701</v>
      </c>
      <c r="AG384">
        <v>-1.120494462078</v>
      </c>
      <c r="AH384">
        <v>15.677807436271801</v>
      </c>
      <c r="AI384">
        <v>94.069538673497206</v>
      </c>
      <c r="AJ384">
        <v>84.545891539648196</v>
      </c>
      <c r="AK384">
        <v>15.788918537359701</v>
      </c>
      <c r="AL384">
        <v>80.266091400086395</v>
      </c>
      <c r="AM384">
        <v>86.9989867620707</v>
      </c>
      <c r="AN384">
        <v>0.99999996562545301</v>
      </c>
    </row>
    <row r="385" spans="1:40" x14ac:dyDescent="0.25">
      <c r="A385" t="str">
        <f>"20190303170504647"</f>
        <v>20190303170504647</v>
      </c>
      <c r="B385" t="str">
        <f>"1551603904634829"</f>
        <v>1551603904634829</v>
      </c>
      <c r="C385" t="s">
        <v>40</v>
      </c>
      <c r="D385">
        <v>5.4578340000000001</v>
      </c>
      <c r="E385">
        <v>0.51962390000000003</v>
      </c>
      <c r="F385" t="s">
        <v>41</v>
      </c>
      <c r="G385">
        <v>-375.87439999999998</v>
      </c>
      <c r="H385" s="1">
        <v>-2.4701409999999999E-6</v>
      </c>
      <c r="I385">
        <v>365.56880000000001</v>
      </c>
      <c r="J385">
        <v>-391.5043</v>
      </c>
      <c r="K385">
        <v>1.1205959999999999</v>
      </c>
      <c r="L385">
        <v>367.05239999999998</v>
      </c>
      <c r="M385">
        <v>0.99991629999999998</v>
      </c>
      <c r="N385">
        <v>-1.291253E-2</v>
      </c>
      <c r="O385">
        <v>-7.7861179999999996E-4</v>
      </c>
      <c r="P385">
        <v>0.98629770000000005</v>
      </c>
      <c r="Q385">
        <v>0.15641569999999999</v>
      </c>
      <c r="R385">
        <v>-5.2451959999999999E-2</v>
      </c>
      <c r="S385">
        <v>3.0609130000000002</v>
      </c>
      <c r="T385">
        <v>-0.21713470000000001</v>
      </c>
      <c r="U385">
        <v>-0.28750609999999999</v>
      </c>
      <c r="V385">
        <v>5.169033E-2</v>
      </c>
      <c r="W385">
        <v>0.16913719999999999</v>
      </c>
      <c r="X385">
        <v>0.98423609999999995</v>
      </c>
      <c r="Y385">
        <v>9.2469949999999995E-2</v>
      </c>
      <c r="Z385">
        <v>-3.8227339999999999E-3</v>
      </c>
      <c r="AA385">
        <v>0.99570820000000004</v>
      </c>
      <c r="AB385">
        <v>26</v>
      </c>
      <c r="AC385">
        <v>15.629899999999999</v>
      </c>
      <c r="AD385">
        <v>-1.1205984701409999</v>
      </c>
      <c r="AE385">
        <v>-1.4835999999999601</v>
      </c>
      <c r="AF385">
        <v>1.46397087167881</v>
      </c>
      <c r="AG385">
        <v>-1.1205984701409999</v>
      </c>
      <c r="AH385">
        <v>15.551823448153399</v>
      </c>
      <c r="AI385">
        <v>94.1032900998092</v>
      </c>
      <c r="AJ385">
        <v>84.622309157612705</v>
      </c>
      <c r="AK385">
        <v>15.660720424263401</v>
      </c>
      <c r="AL385">
        <v>80.262342076233395</v>
      </c>
      <c r="AM385">
        <v>86.993689467357299</v>
      </c>
      <c r="AN385">
        <v>0.99999999159127895</v>
      </c>
    </row>
    <row r="386" spans="1:40" x14ac:dyDescent="0.25">
      <c r="A386" t="str">
        <f>"20190303170504666"</f>
        <v>20190303170504666</v>
      </c>
      <c r="B386" t="str">
        <f>"1551603904655326"</f>
        <v>1551603904655326</v>
      </c>
      <c r="C386" t="s">
        <v>40</v>
      </c>
      <c r="D386">
        <v>5.5333350000000001</v>
      </c>
      <c r="E386">
        <v>0.5196288</v>
      </c>
      <c r="F386" t="s">
        <v>41</v>
      </c>
      <c r="G386">
        <v>-375.70249999999999</v>
      </c>
      <c r="H386" s="1">
        <v>-2.544033E-6</v>
      </c>
      <c r="I386">
        <v>365.56799999999998</v>
      </c>
      <c r="J386">
        <v>-391.28649999999999</v>
      </c>
      <c r="K386">
        <v>1.1207180000000001</v>
      </c>
      <c r="L386">
        <v>367.05220000000003</v>
      </c>
      <c r="M386">
        <v>0.99991350000000001</v>
      </c>
      <c r="N386">
        <v>-1.3141709999999999E-2</v>
      </c>
      <c r="O386">
        <v>-7.7832029999999998E-4</v>
      </c>
      <c r="P386">
        <v>0.98629310000000003</v>
      </c>
      <c r="Q386">
        <v>0.15629899999999999</v>
      </c>
      <c r="R386">
        <v>-5.2886509999999998E-2</v>
      </c>
      <c r="S386">
        <v>3.0608520000000001</v>
      </c>
      <c r="T386">
        <v>-0.21706210000000001</v>
      </c>
      <c r="U386">
        <v>-0.28750609999999999</v>
      </c>
      <c r="V386">
        <v>5.2125060000000001E-2</v>
      </c>
      <c r="W386">
        <v>0.1692457</v>
      </c>
      <c r="X386">
        <v>0.98419449999999997</v>
      </c>
      <c r="Y386">
        <v>9.247147E-2</v>
      </c>
      <c r="Z386">
        <v>-3.8326229999999998E-3</v>
      </c>
      <c r="AA386">
        <v>0.99570789999999998</v>
      </c>
      <c r="AB386">
        <v>26</v>
      </c>
      <c r="AC386">
        <v>15.584</v>
      </c>
      <c r="AD386">
        <v>-1.1207205440329999</v>
      </c>
      <c r="AE386">
        <v>-1.48419999999998</v>
      </c>
      <c r="AF386">
        <v>1.4645629056649301</v>
      </c>
      <c r="AG386">
        <v>-1.1207205440329999</v>
      </c>
      <c r="AH386">
        <v>15.5056800271424</v>
      </c>
      <c r="AI386">
        <v>94.115783956282201</v>
      </c>
      <c r="AJ386">
        <v>84.604231585764396</v>
      </c>
      <c r="AK386">
        <v>15.614963085021699</v>
      </c>
      <c r="AL386">
        <v>80.256034350522199</v>
      </c>
      <c r="AM386">
        <v>86.968324630048798</v>
      </c>
      <c r="AN386">
        <v>0.99999997133937102</v>
      </c>
    </row>
    <row r="387" spans="1:40" x14ac:dyDescent="0.25">
      <c r="A387" t="str">
        <f>"20190303170504677"</f>
        <v>20190303170504677</v>
      </c>
      <c r="B387" t="str">
        <f>"1551603904665085"</f>
        <v>1551603904665085</v>
      </c>
      <c r="C387" t="s">
        <v>40</v>
      </c>
      <c r="D387">
        <v>5.5565889999999998</v>
      </c>
      <c r="E387">
        <v>0.53446050000000001</v>
      </c>
      <c r="F387" t="s">
        <v>41</v>
      </c>
      <c r="G387">
        <v>-375.48050000000001</v>
      </c>
      <c r="H387" s="1">
        <v>-2.6406479999999998E-6</v>
      </c>
      <c r="I387">
        <v>365.56020000000001</v>
      </c>
      <c r="J387">
        <v>-391.13580000000002</v>
      </c>
      <c r="K387">
        <v>1.120784</v>
      </c>
      <c r="L387">
        <v>367.0521</v>
      </c>
      <c r="M387">
        <v>0.99991149999999995</v>
      </c>
      <c r="N387">
        <v>-1.3284310000000001E-2</v>
      </c>
      <c r="O387">
        <v>-7.7831099999999996E-4</v>
      </c>
      <c r="P387">
        <v>0.98632070000000005</v>
      </c>
      <c r="Q387">
        <v>0.15614629999999999</v>
      </c>
      <c r="R387">
        <v>-5.2819100000000001E-2</v>
      </c>
      <c r="S387">
        <v>3.0606080000000002</v>
      </c>
      <c r="T387">
        <v>-0.2170115</v>
      </c>
      <c r="U387">
        <v>-0.28887940000000001</v>
      </c>
      <c r="V387">
        <v>5.2057930000000002E-2</v>
      </c>
      <c r="W387">
        <v>0.16923350000000001</v>
      </c>
      <c r="X387">
        <v>0.98420019999999997</v>
      </c>
      <c r="Y387">
        <v>9.2919970000000005E-2</v>
      </c>
      <c r="Z387">
        <v>-3.8576420000000001E-3</v>
      </c>
      <c r="AA387">
        <v>0.9956661</v>
      </c>
      <c r="AB387">
        <v>26</v>
      </c>
      <c r="AC387">
        <v>15.6553</v>
      </c>
      <c r="AD387">
        <v>-1.120786640648</v>
      </c>
      <c r="AE387">
        <v>-1.49189999999998</v>
      </c>
      <c r="AF387">
        <v>1.47223597340351</v>
      </c>
      <c r="AG387">
        <v>-1.120786640648</v>
      </c>
      <c r="AH387">
        <v>15.5773358349175</v>
      </c>
      <c r="AI387">
        <v>94.097134536647403</v>
      </c>
      <c r="AJ387">
        <v>84.600932534506796</v>
      </c>
      <c r="AK387">
        <v>15.6868426768755</v>
      </c>
      <c r="AL387">
        <v>80.256744065060602</v>
      </c>
      <c r="AM387">
        <v>86.972239249624806</v>
      </c>
      <c r="AN387">
        <v>1.0000000196390799</v>
      </c>
    </row>
    <row r="388" spans="1:40" x14ac:dyDescent="0.25">
      <c r="A388" t="str">
        <f>"20190303170504699"</f>
        <v>20190303170504699</v>
      </c>
      <c r="B388" t="str">
        <f>"1551603904695341"</f>
        <v>1551603904695341</v>
      </c>
      <c r="C388" t="s">
        <v>40</v>
      </c>
      <c r="D388">
        <v>5.526179</v>
      </c>
      <c r="E388">
        <v>0.53866040000000004</v>
      </c>
      <c r="F388" t="s">
        <v>42</v>
      </c>
      <c r="G388">
        <v>-390.36009999999999</v>
      </c>
      <c r="H388">
        <v>1.0256540000000001</v>
      </c>
      <c r="I388">
        <v>366.95139999999998</v>
      </c>
      <c r="J388">
        <v>-390.8974</v>
      </c>
      <c r="K388">
        <v>1.1208830000000001</v>
      </c>
      <c r="L388">
        <v>367.05189999999999</v>
      </c>
      <c r="M388">
        <v>0.99990869999999998</v>
      </c>
      <c r="N388">
        <v>-1.34897E-2</v>
      </c>
      <c r="O388">
        <v>-7.7813920000000003E-4</v>
      </c>
      <c r="P388">
        <v>0.98632540000000002</v>
      </c>
      <c r="Q388">
        <v>0.15619849999999999</v>
      </c>
      <c r="R388">
        <v>-5.2579899999999999E-2</v>
      </c>
      <c r="S388">
        <v>3.0799259999999999</v>
      </c>
      <c r="T388">
        <v>-0.37770959999999998</v>
      </c>
      <c r="U388">
        <v>-0.40054319999999999</v>
      </c>
      <c r="V388">
        <v>5.1818669999999997E-2</v>
      </c>
      <c r="W388">
        <v>0.16948820000000001</v>
      </c>
      <c r="X388">
        <v>0.98416899999999996</v>
      </c>
      <c r="Y388">
        <v>0.1271544</v>
      </c>
      <c r="Z388">
        <v>-8.5160640000000003E-3</v>
      </c>
      <c r="AA388">
        <v>0.99184640000000002</v>
      </c>
      <c r="AB388">
        <v>26</v>
      </c>
      <c r="AC388">
        <v>0.53730000000001599</v>
      </c>
      <c r="AD388">
        <v>-9.5228999999999994E-2</v>
      </c>
      <c r="AE388">
        <v>-0.10050000000001</v>
      </c>
      <c r="AF388">
        <v>9.7133750245222694E-2</v>
      </c>
      <c r="AG388">
        <v>-9.5228999999999994E-2</v>
      </c>
      <c r="AH388">
        <v>0.52154862898593102</v>
      </c>
      <c r="AI388">
        <v>100.176354060036</v>
      </c>
      <c r="AJ388">
        <v>79.450044812167107</v>
      </c>
      <c r="AK388">
        <v>0.53899582584172701</v>
      </c>
      <c r="AL388">
        <v>80.241936956476295</v>
      </c>
      <c r="AM388">
        <v>86.986033856487595</v>
      </c>
      <c r="AN388">
        <v>1.0000000225304</v>
      </c>
    </row>
    <row r="389" spans="1:40" x14ac:dyDescent="0.25">
      <c r="A389" t="str">
        <f>"20190303170504724"</f>
        <v>20190303170504724</v>
      </c>
      <c r="B389" t="str">
        <f>"1551603904714861"</f>
        <v>1551603904714861</v>
      </c>
      <c r="C389" t="s">
        <v>40</v>
      </c>
      <c r="D389">
        <v>5.4743149999999998</v>
      </c>
      <c r="E389">
        <v>0.5396455</v>
      </c>
      <c r="F389" t="s">
        <v>42</v>
      </c>
      <c r="G389">
        <v>-390.14330000000001</v>
      </c>
      <c r="H389">
        <v>0.98958380000000001</v>
      </c>
      <c r="I389">
        <v>366.94779999999997</v>
      </c>
      <c r="J389">
        <v>-390.60559999999998</v>
      </c>
      <c r="K389">
        <v>1.120987</v>
      </c>
      <c r="L389">
        <v>367.05169999999998</v>
      </c>
      <c r="M389">
        <v>0.99990590000000001</v>
      </c>
      <c r="N389">
        <v>-1.370915E-2</v>
      </c>
      <c r="O389">
        <v>-7.7832339999999996E-4</v>
      </c>
      <c r="P389">
        <v>0.9862204</v>
      </c>
      <c r="Q389">
        <v>0.1567674</v>
      </c>
      <c r="R389">
        <v>-5.2854760000000001E-2</v>
      </c>
      <c r="S389">
        <v>3.1044309999999999</v>
      </c>
      <c r="T389">
        <v>-0.54064749999999995</v>
      </c>
      <c r="U389">
        <v>-0.4273071</v>
      </c>
      <c r="V389">
        <v>5.2093500000000001E-2</v>
      </c>
      <c r="W389">
        <v>0.17027200000000001</v>
      </c>
      <c r="X389">
        <v>0.98401919999999998</v>
      </c>
      <c r="Y389">
        <v>0.13346559999999999</v>
      </c>
      <c r="Z389">
        <v>-1.228508E-2</v>
      </c>
      <c r="AA389">
        <v>0.99097729999999995</v>
      </c>
      <c r="AB389">
        <v>26</v>
      </c>
      <c r="AC389">
        <v>0.46229999999997001</v>
      </c>
      <c r="AD389">
        <v>-0.1314032</v>
      </c>
      <c r="AE389">
        <v>-0.10390000000001</v>
      </c>
      <c r="AF389">
        <v>9.6145864208812604E-2</v>
      </c>
      <c r="AG389">
        <v>-0.1314032</v>
      </c>
      <c r="AH389">
        <v>0.42936010860892698</v>
      </c>
      <c r="AI389">
        <v>106.62815864417701</v>
      </c>
      <c r="AJ389">
        <v>77.378076914510103</v>
      </c>
      <c r="AK389">
        <v>0.45919596147981301</v>
      </c>
      <c r="AL389">
        <v>80.196366277333397</v>
      </c>
      <c r="AM389">
        <v>86.969618036808697</v>
      </c>
      <c r="AN389">
        <v>1.0000000363474399</v>
      </c>
    </row>
    <row r="390" spans="1:40" x14ac:dyDescent="0.25">
      <c r="A390" t="str">
        <f>"20190303170504745"</f>
        <v>20190303170504745</v>
      </c>
      <c r="B390" t="str">
        <f>"1551603904735358"</f>
        <v>1551603904735358</v>
      </c>
      <c r="C390" t="s">
        <v>40</v>
      </c>
      <c r="D390">
        <v>5.4802</v>
      </c>
      <c r="E390">
        <v>0.53986610000000002</v>
      </c>
      <c r="F390" t="s">
        <v>42</v>
      </c>
      <c r="G390">
        <v>-389.69529999999997</v>
      </c>
      <c r="H390">
        <v>0.94771249999999996</v>
      </c>
      <c r="I390">
        <v>366.9246</v>
      </c>
      <c r="J390">
        <v>-390.35520000000002</v>
      </c>
      <c r="K390">
        <v>1.121065</v>
      </c>
      <c r="L390">
        <v>367.05149999999998</v>
      </c>
      <c r="M390">
        <v>0.99990349999999995</v>
      </c>
      <c r="N390">
        <v>-1.386971E-2</v>
      </c>
      <c r="O390">
        <v>-7.7824100000000005E-4</v>
      </c>
      <c r="P390">
        <v>0.98608419999999997</v>
      </c>
      <c r="Q390">
        <v>0.1575539</v>
      </c>
      <c r="R390">
        <v>-5.3055999999999902E-2</v>
      </c>
      <c r="S390">
        <v>3.1128849999999999</v>
      </c>
      <c r="T390">
        <v>-0.59271850000000004</v>
      </c>
      <c r="U390">
        <v>-0.43322749999999999</v>
      </c>
      <c r="V390">
        <v>5.2295069999999999E-2</v>
      </c>
      <c r="W390">
        <v>0.17121400000000001</v>
      </c>
      <c r="X390">
        <v>0.98384499999999997</v>
      </c>
      <c r="Y390">
        <v>0.13453470000000001</v>
      </c>
      <c r="Z390">
        <v>-1.344567E-2</v>
      </c>
      <c r="AA390">
        <v>0.99081770000000002</v>
      </c>
      <c r="AB390">
        <v>26</v>
      </c>
      <c r="AC390">
        <v>0.65990000000005</v>
      </c>
      <c r="AD390">
        <v>-0.17335249999999999</v>
      </c>
      <c r="AE390">
        <v>-0.126899999999977</v>
      </c>
      <c r="AF390">
        <v>0.118500411491908</v>
      </c>
      <c r="AG390">
        <v>-0.17335249999999999</v>
      </c>
      <c r="AH390">
        <v>0.61881762841737598</v>
      </c>
      <c r="AI390">
        <v>105.383484792136</v>
      </c>
      <c r="AJ390">
        <v>79.159389197371098</v>
      </c>
      <c r="AK390">
        <v>0.65347432544829798</v>
      </c>
      <c r="AL390">
        <v>80.141588884549904</v>
      </c>
      <c r="AM390">
        <v>86.957376672063305</v>
      </c>
      <c r="AN390">
        <v>0.99999999608365198</v>
      </c>
    </row>
    <row r="391" spans="1:40" x14ac:dyDescent="0.25">
      <c r="A391" t="str">
        <f>"20190303170504765"</f>
        <v>20190303170504765</v>
      </c>
      <c r="B391" t="str">
        <f>"1551603904754877"</f>
        <v>1551603904754877</v>
      </c>
      <c r="C391" t="s">
        <v>40</v>
      </c>
      <c r="D391">
        <v>5.4887649999999999</v>
      </c>
      <c r="E391">
        <v>0.54014069999999903</v>
      </c>
      <c r="F391" t="s">
        <v>42</v>
      </c>
      <c r="G391">
        <v>-389.464</v>
      </c>
      <c r="H391">
        <v>0.94415389999999999</v>
      </c>
      <c r="I391">
        <v>366.9273</v>
      </c>
      <c r="J391">
        <v>-390.11660000000001</v>
      </c>
      <c r="K391">
        <v>1.1211230000000001</v>
      </c>
      <c r="L391">
        <v>367.05130000000003</v>
      </c>
      <c r="M391">
        <v>0.99990159999999995</v>
      </c>
      <c r="N391">
        <v>-1.400357E-2</v>
      </c>
      <c r="O391">
        <v>-7.7834149999999995E-4</v>
      </c>
      <c r="P391">
        <v>0.98593489999999995</v>
      </c>
      <c r="Q391">
        <v>0.15830420000000001</v>
      </c>
      <c r="R391">
        <v>-5.3592859999999999E-2</v>
      </c>
      <c r="S391">
        <v>3.1178889999999999</v>
      </c>
      <c r="T391">
        <v>-0.61902239999999997</v>
      </c>
      <c r="U391">
        <v>-0.4336853</v>
      </c>
      <c r="V391">
        <v>5.2831879999999998E-2</v>
      </c>
      <c r="W391">
        <v>0.17209389999999999</v>
      </c>
      <c r="X391">
        <v>0.98366279999999995</v>
      </c>
      <c r="Y391">
        <v>0.1342525</v>
      </c>
      <c r="Z391">
        <v>-1.394949E-2</v>
      </c>
      <c r="AA391">
        <v>0.99084899999999998</v>
      </c>
      <c r="AB391">
        <v>26</v>
      </c>
      <c r="AC391">
        <v>0.65260000000000595</v>
      </c>
      <c r="AD391">
        <v>-0.17696909999999899</v>
      </c>
      <c r="AE391">
        <v>-0.12400000000002299</v>
      </c>
      <c r="AF391">
        <v>0.115308119988071</v>
      </c>
      <c r="AG391">
        <v>-0.17696909999999899</v>
      </c>
      <c r="AH391">
        <v>0.60944195928407496</v>
      </c>
      <c r="AI391">
        <v>105.924347849044</v>
      </c>
      <c r="AJ391">
        <v>79.286124552131696</v>
      </c>
      <c r="AK391">
        <v>0.64500660975373303</v>
      </c>
      <c r="AL391">
        <v>80.090414914053397</v>
      </c>
      <c r="AM391">
        <v>86.925635413139105</v>
      </c>
      <c r="AN391">
        <v>1.0000000110326901</v>
      </c>
    </row>
    <row r="392" spans="1:40" x14ac:dyDescent="0.25">
      <c r="A392" t="str">
        <f>"20190303170504779"</f>
        <v>20190303170504779</v>
      </c>
      <c r="B392" t="str">
        <f>"1551603904775374"</f>
        <v>1551603904775374</v>
      </c>
      <c r="C392" t="s">
        <v>40</v>
      </c>
      <c r="D392">
        <v>5.569083</v>
      </c>
      <c r="E392">
        <v>0.5399583</v>
      </c>
      <c r="F392" t="s">
        <v>42</v>
      </c>
      <c r="G392">
        <v>-389.23270000000002</v>
      </c>
      <c r="H392">
        <v>0.94095459999999997</v>
      </c>
      <c r="I392">
        <v>366.9271</v>
      </c>
      <c r="J392">
        <v>-389.9547</v>
      </c>
      <c r="K392">
        <v>1.1211500000000001</v>
      </c>
      <c r="L392">
        <v>367.05110000000002</v>
      </c>
      <c r="M392">
        <v>0.99990060000000003</v>
      </c>
      <c r="N392">
        <v>-1.4084630000000001E-2</v>
      </c>
      <c r="O392">
        <v>-7.7843520000000002E-4</v>
      </c>
      <c r="P392">
        <v>0.98593059999999999</v>
      </c>
      <c r="Q392">
        <v>0.15827069999999999</v>
      </c>
      <c r="R392">
        <v>-5.3770070000000003E-2</v>
      </c>
      <c r="S392">
        <v>3.121216</v>
      </c>
      <c r="T392">
        <v>-0.63635050000000004</v>
      </c>
      <c r="U392">
        <v>-0.43713380000000002</v>
      </c>
      <c r="V392">
        <v>5.3009260000000002E-2</v>
      </c>
      <c r="W392">
        <v>0.17213989999999901</v>
      </c>
      <c r="X392">
        <v>0.9836452</v>
      </c>
      <c r="Y392">
        <v>0.13502159999999999</v>
      </c>
      <c r="Z392">
        <v>-1.4379889999999999E-2</v>
      </c>
      <c r="AA392">
        <v>0.99073829999999996</v>
      </c>
      <c r="AB392">
        <v>26</v>
      </c>
      <c r="AC392">
        <v>0.72199999999997999</v>
      </c>
      <c r="AD392">
        <v>-0.18019540000000001</v>
      </c>
      <c r="AE392">
        <v>-0.12400000000002299</v>
      </c>
      <c r="AF392">
        <v>0.11639542164778</v>
      </c>
      <c r="AG392">
        <v>-0.18019540000000001</v>
      </c>
      <c r="AH392">
        <v>0.68089882647669897</v>
      </c>
      <c r="AI392">
        <v>104.620333186926</v>
      </c>
      <c r="AJ392">
        <v>80.299406942573597</v>
      </c>
      <c r="AK392">
        <v>0.71389179030093297</v>
      </c>
      <c r="AL392">
        <v>80.087739301056502</v>
      </c>
      <c r="AM392">
        <v>86.915278225208198</v>
      </c>
      <c r="AN392">
        <v>1.0000000031503899</v>
      </c>
    </row>
    <row r="393" spans="1:40" x14ac:dyDescent="0.25">
      <c r="A393" t="str">
        <f>"20190303170504800"</f>
        <v>20190303170504800</v>
      </c>
      <c r="B393" t="str">
        <f>"1551603904794894"</f>
        <v>1551603904794894</v>
      </c>
      <c r="C393" t="s">
        <v>40</v>
      </c>
      <c r="D393">
        <v>5.5279290000000003</v>
      </c>
      <c r="E393">
        <v>0.5399484</v>
      </c>
      <c r="F393" t="s">
        <v>42</v>
      </c>
      <c r="G393">
        <v>-389.2201</v>
      </c>
      <c r="H393">
        <v>0.96846770000000004</v>
      </c>
      <c r="I393">
        <v>366.94830000000002</v>
      </c>
      <c r="J393">
        <v>-389.71859999999998</v>
      </c>
      <c r="K393">
        <v>1.1211960000000001</v>
      </c>
      <c r="L393">
        <v>367.05099999999999</v>
      </c>
      <c r="M393">
        <v>0.99989910000000004</v>
      </c>
      <c r="N393">
        <v>-1.4190960000000001E-2</v>
      </c>
      <c r="O393">
        <v>-7.7859269999999996E-4</v>
      </c>
      <c r="P393">
        <v>0.98598529999999995</v>
      </c>
      <c r="Q393">
        <v>0.15777949999999999</v>
      </c>
      <c r="R393">
        <v>-5.4210059999999997E-2</v>
      </c>
      <c r="S393">
        <v>3.1232600000000001</v>
      </c>
      <c r="T393">
        <v>-0.64932849999999998</v>
      </c>
      <c r="U393">
        <v>-0.43539430000000001</v>
      </c>
      <c r="V393">
        <v>5.3448860000000001E-2</v>
      </c>
      <c r="W393">
        <v>0.1717543</v>
      </c>
      <c r="X393">
        <v>0.98368880000000003</v>
      </c>
      <c r="Y393">
        <v>0.13429479999999999</v>
      </c>
      <c r="Z393">
        <v>-1.456752E-2</v>
      </c>
      <c r="AA393">
        <v>0.9908344</v>
      </c>
      <c r="AB393">
        <v>26</v>
      </c>
      <c r="AC393">
        <v>0.49849999999997802</v>
      </c>
      <c r="AD393">
        <v>-0.15272829999999901</v>
      </c>
      <c r="AE393">
        <v>-0.10269999999997</v>
      </c>
      <c r="AF393">
        <v>9.3860223545210494E-2</v>
      </c>
      <c r="AG393">
        <v>-0.15272829999999901</v>
      </c>
      <c r="AH393">
        <v>0.457394089332188</v>
      </c>
      <c r="AI393">
        <v>108.11259744022399</v>
      </c>
      <c r="AJ393">
        <v>78.403521828211396</v>
      </c>
      <c r="AK393">
        <v>0.49126879418590003</v>
      </c>
      <c r="AL393">
        <v>80.110166427403399</v>
      </c>
      <c r="AM393">
        <v>86.889884568838596</v>
      </c>
      <c r="AN393">
        <v>0.99999998772461396</v>
      </c>
    </row>
    <row r="394" spans="1:40" x14ac:dyDescent="0.25">
      <c r="A394" t="str">
        <f>"20190303170504824"</f>
        <v>20190303170504824</v>
      </c>
      <c r="B394" t="str">
        <f>"1551603904815391"</f>
        <v>1551603904815391</v>
      </c>
      <c r="C394" t="s">
        <v>40</v>
      </c>
      <c r="D394">
        <v>5.5228449999999896</v>
      </c>
      <c r="E394">
        <v>0.54000760000000003</v>
      </c>
      <c r="F394" t="s">
        <v>42</v>
      </c>
      <c r="G394">
        <v>-388.98860000000002</v>
      </c>
      <c r="H394">
        <v>0.96683470000000005</v>
      </c>
      <c r="I394">
        <v>366.94880000000001</v>
      </c>
      <c r="J394">
        <v>-389.44439999999997</v>
      </c>
      <c r="K394">
        <v>1.1212409999999999</v>
      </c>
      <c r="L394">
        <v>367.05079999999998</v>
      </c>
      <c r="M394">
        <v>0.99989749999999999</v>
      </c>
      <c r="N394">
        <v>-1.429834E-2</v>
      </c>
      <c r="O394">
        <v>-7.7876339999999897E-4</v>
      </c>
      <c r="P394">
        <v>0.98604639999999999</v>
      </c>
      <c r="Q394">
        <v>0.157242299999999</v>
      </c>
      <c r="R394">
        <v>-5.465648E-2</v>
      </c>
      <c r="S394">
        <v>3.1243289999999999</v>
      </c>
      <c r="T394">
        <v>-0.66066380000000002</v>
      </c>
      <c r="U394">
        <v>-0.436554</v>
      </c>
      <c r="V394">
        <v>5.3895129999999999E-2</v>
      </c>
      <c r="W394">
        <v>0.17132349999999999</v>
      </c>
      <c r="X394">
        <v>0.98373960000000005</v>
      </c>
      <c r="Y394">
        <v>0.1345037</v>
      </c>
      <c r="Z394">
        <v>-1.482579E-2</v>
      </c>
      <c r="AA394">
        <v>0.99080219999999997</v>
      </c>
      <c r="AB394">
        <v>26</v>
      </c>
      <c r="AC394">
        <v>0.45579999999995302</v>
      </c>
      <c r="AD394">
        <v>-0.1544063</v>
      </c>
      <c r="AE394">
        <v>-0.101999999999975</v>
      </c>
      <c r="AF394">
        <v>9.1631090616695998E-2</v>
      </c>
      <c r="AG394">
        <v>-0.1544063</v>
      </c>
      <c r="AH394">
        <v>0.41096688595929898</v>
      </c>
      <c r="AI394">
        <v>110.138496083223</v>
      </c>
      <c r="AJ394">
        <v>77.430662116448801</v>
      </c>
      <c r="AK394">
        <v>0.44847669237361498</v>
      </c>
      <c r="AL394">
        <v>80.1352210806334</v>
      </c>
      <c r="AM394">
        <v>86.864129971937899</v>
      </c>
      <c r="AN394">
        <v>1.0000000136490601</v>
      </c>
    </row>
    <row r="395" spans="1:40" x14ac:dyDescent="0.25">
      <c r="A395" t="str">
        <f>"20190303170504854"</f>
        <v>20190303170504854</v>
      </c>
      <c r="B395" t="str">
        <f>"1551603904844669"</f>
        <v>1551603904844669</v>
      </c>
      <c r="C395" t="s">
        <v>40</v>
      </c>
      <c r="D395">
        <v>5.5147170000000001</v>
      </c>
      <c r="E395">
        <v>0.54010380000000002</v>
      </c>
      <c r="F395" t="s">
        <v>42</v>
      </c>
      <c r="G395">
        <v>-388.54320000000001</v>
      </c>
      <c r="H395">
        <v>0.92817740000000004</v>
      </c>
      <c r="I395">
        <v>366.92430000000002</v>
      </c>
      <c r="J395">
        <v>-389.0795</v>
      </c>
      <c r="K395">
        <v>1.1212899999999999</v>
      </c>
      <c r="L395">
        <v>367.0505</v>
      </c>
      <c r="M395">
        <v>0.9998958</v>
      </c>
      <c r="N395">
        <v>-1.441516E-2</v>
      </c>
      <c r="O395">
        <v>-7.7876979999999996E-4</v>
      </c>
      <c r="P395">
        <v>0.98602749999999995</v>
      </c>
      <c r="Q395">
        <v>0.1576399</v>
      </c>
      <c r="R395">
        <v>-5.384916E-2</v>
      </c>
      <c r="S395">
        <v>3.1249690000000001</v>
      </c>
      <c r="T395">
        <v>-0.66949769999999997</v>
      </c>
      <c r="U395">
        <v>-0.43811040000000001</v>
      </c>
      <c r="V395">
        <v>5.308769E-2</v>
      </c>
      <c r="W395">
        <v>0.1718355</v>
      </c>
      <c r="X395">
        <v>0.98369419999999996</v>
      </c>
      <c r="Y395">
        <v>0.13487080000000001</v>
      </c>
      <c r="Z395">
        <v>-1.505332E-2</v>
      </c>
      <c r="AA395">
        <v>0.99074879999999999</v>
      </c>
      <c r="AB395">
        <v>26</v>
      </c>
      <c r="AC395">
        <v>0.53629999999998201</v>
      </c>
      <c r="AD395">
        <v>-0.1931126</v>
      </c>
      <c r="AE395">
        <v>-0.12619999999998299</v>
      </c>
      <c r="AF395">
        <v>0.112019857071694</v>
      </c>
      <c r="AG395">
        <v>-0.1931126</v>
      </c>
      <c r="AH395">
        <v>0.47770838046342901</v>
      </c>
      <c r="AI395">
        <v>111.483204919268</v>
      </c>
      <c r="AJ395">
        <v>76.802914003225595</v>
      </c>
      <c r="AK395">
        <v>0.52730088319868695</v>
      </c>
      <c r="AL395">
        <v>80.105444025108895</v>
      </c>
      <c r="AM395">
        <v>86.910876636009306</v>
      </c>
      <c r="AN395">
        <v>1.0000000105017099</v>
      </c>
    </row>
    <row r="396" spans="1:40" x14ac:dyDescent="0.25">
      <c r="A396" t="str">
        <f>"20190303170504877"</f>
        <v>20190303170504877</v>
      </c>
      <c r="B396" t="str">
        <f>"1551603904865166"</f>
        <v>1551603904865166</v>
      </c>
      <c r="C396" t="s">
        <v>40</v>
      </c>
      <c r="D396">
        <v>5.530627</v>
      </c>
      <c r="E396">
        <v>0.54022239999999999</v>
      </c>
      <c r="F396" t="s">
        <v>42</v>
      </c>
      <c r="G396">
        <v>-388.30090000000001</v>
      </c>
      <c r="H396">
        <v>0.95312459999999999</v>
      </c>
      <c r="I396">
        <v>366.94130000000001</v>
      </c>
      <c r="J396">
        <v>-388.81880000000001</v>
      </c>
      <c r="K396">
        <v>1.121326</v>
      </c>
      <c r="L396">
        <v>367.05029999999999</v>
      </c>
      <c r="M396">
        <v>0.99989490000000003</v>
      </c>
      <c r="N396">
        <v>-1.448554E-2</v>
      </c>
      <c r="O396">
        <v>-7.7892199999999895E-4</v>
      </c>
      <c r="P396">
        <v>0.98596110000000003</v>
      </c>
      <c r="Q396">
        <v>0.15831609999999999</v>
      </c>
      <c r="R396">
        <v>-5.3074490000000002E-2</v>
      </c>
      <c r="S396">
        <v>3.126617</v>
      </c>
      <c r="T396">
        <v>-0.67529519999999998</v>
      </c>
      <c r="U396">
        <v>-0.43713380000000002</v>
      </c>
      <c r="V396">
        <v>5.231301E-2</v>
      </c>
      <c r="W396">
        <v>0.17257999999999901</v>
      </c>
      <c r="X396">
        <v>0.98360530000000002</v>
      </c>
      <c r="Y396">
        <v>0.1344542</v>
      </c>
      <c r="Z396">
        <v>-1.5123060000000001E-2</v>
      </c>
      <c r="AA396">
        <v>0.99080440000000003</v>
      </c>
      <c r="AB396">
        <v>26</v>
      </c>
      <c r="AC396">
        <v>0.51789999999999703</v>
      </c>
      <c r="AD396">
        <v>-0.1682014</v>
      </c>
      <c r="AE396">
        <v>-0.10899999999998</v>
      </c>
      <c r="AF396">
        <v>9.8633972581554402E-2</v>
      </c>
      <c r="AG396">
        <v>-0.1682014</v>
      </c>
      <c r="AH396">
        <v>0.47046529304002399</v>
      </c>
      <c r="AI396">
        <v>109.285657510511</v>
      </c>
      <c r="AJ396">
        <v>78.159320966313203</v>
      </c>
      <c r="AK396">
        <v>0.50927199359911202</v>
      </c>
      <c r="AL396">
        <v>80.062139749111097</v>
      </c>
      <c r="AM396">
        <v>86.955594520300195</v>
      </c>
      <c r="AN396">
        <v>0.99999994680167303</v>
      </c>
    </row>
    <row r="397" spans="1:40" x14ac:dyDescent="0.25">
      <c r="A397" t="str">
        <f>"20190303170504900"</f>
        <v>20190303170504900</v>
      </c>
      <c r="B397" t="str">
        <f>"1551603904884686"</f>
        <v>1551603904884686</v>
      </c>
      <c r="C397" t="s">
        <v>40</v>
      </c>
      <c r="D397">
        <v>5.5821769999999997</v>
      </c>
      <c r="E397">
        <v>0.54025619999999996</v>
      </c>
      <c r="F397" t="s">
        <v>42</v>
      </c>
      <c r="G397">
        <v>-388.0677</v>
      </c>
      <c r="H397">
        <v>0.95880120000000002</v>
      </c>
      <c r="I397">
        <v>366.94560000000001</v>
      </c>
      <c r="J397">
        <v>-388.56389999999999</v>
      </c>
      <c r="K397">
        <v>1.121356</v>
      </c>
      <c r="L397">
        <v>367.05009999999999</v>
      </c>
      <c r="M397">
        <v>0.99989399999999995</v>
      </c>
      <c r="N397">
        <v>-1.4544390000000001E-2</v>
      </c>
      <c r="O397">
        <v>-7.7887319999999998E-4</v>
      </c>
      <c r="P397">
        <v>0.98592089999999999</v>
      </c>
      <c r="Q397">
        <v>0.1588321</v>
      </c>
      <c r="R397">
        <v>-5.2274599999999997E-2</v>
      </c>
      <c r="S397">
        <v>3.1279910000000002</v>
      </c>
      <c r="T397">
        <v>-0.67690660000000002</v>
      </c>
      <c r="U397">
        <v>-0.43548579999999998</v>
      </c>
      <c r="V397">
        <v>5.151331E-2</v>
      </c>
      <c r="W397">
        <v>0.17315349999999999</v>
      </c>
      <c r="X397">
        <v>0.98354680000000005</v>
      </c>
      <c r="Y397">
        <v>0.1338831</v>
      </c>
      <c r="Z397">
        <v>-1.508954E-2</v>
      </c>
      <c r="AA397">
        <v>0.99088220000000005</v>
      </c>
      <c r="AB397">
        <v>26</v>
      </c>
      <c r="AC397">
        <v>0.49619999999998698</v>
      </c>
      <c r="AD397">
        <v>-0.1625548</v>
      </c>
      <c r="AE397">
        <v>-0.104499999999973</v>
      </c>
      <c r="AF397">
        <v>9.4411403461288804E-2</v>
      </c>
      <c r="AG397">
        <v>-0.1625548</v>
      </c>
      <c r="AH397">
        <v>0.45003416082416497</v>
      </c>
      <c r="AI397">
        <v>109.469016774919</v>
      </c>
      <c r="AJ397">
        <v>78.151899311146707</v>
      </c>
      <c r="AK397">
        <v>0.48771746125731502</v>
      </c>
      <c r="AL397">
        <v>80.028779224510998</v>
      </c>
      <c r="AM397">
        <v>87.001870280829706</v>
      </c>
      <c r="AN397">
        <v>1.0000000317298201</v>
      </c>
    </row>
    <row r="398" spans="1:40" x14ac:dyDescent="0.25">
      <c r="A398" t="str">
        <f>"20190303170504925"</f>
        <v>20190303170504925</v>
      </c>
      <c r="B398" t="str">
        <f>"1551603904914941"</f>
        <v>1551603904914941</v>
      </c>
      <c r="C398" t="s">
        <v>40</v>
      </c>
      <c r="D398">
        <v>5.5944710000000004</v>
      </c>
      <c r="E398">
        <v>0.54038549999999996</v>
      </c>
      <c r="F398" t="s">
        <v>42</v>
      </c>
      <c r="G398">
        <v>-387.83530000000002</v>
      </c>
      <c r="H398">
        <v>0.96355679999999999</v>
      </c>
      <c r="I398">
        <v>366.9486</v>
      </c>
      <c r="J398">
        <v>-388.28429999999997</v>
      </c>
      <c r="K398">
        <v>1.121386</v>
      </c>
      <c r="L398">
        <v>367.04989999999998</v>
      </c>
      <c r="M398">
        <v>0.99989320000000004</v>
      </c>
      <c r="N398">
        <v>-1.459938E-2</v>
      </c>
      <c r="O398">
        <v>-7.7891709999999999E-4</v>
      </c>
      <c r="P398">
        <v>0.98582999999999998</v>
      </c>
      <c r="Q398">
        <v>0.1595355</v>
      </c>
      <c r="R398">
        <v>-5.1843849999999997E-2</v>
      </c>
      <c r="S398">
        <v>3.1290279999999999</v>
      </c>
      <c r="T398">
        <v>-0.67779860000000003</v>
      </c>
      <c r="U398">
        <v>-0.43396000000000001</v>
      </c>
      <c r="V398">
        <v>5.1082639999999999E-2</v>
      </c>
      <c r="W398">
        <v>0.17390949999999999</v>
      </c>
      <c r="X398">
        <v>0.98343579999999997</v>
      </c>
      <c r="Y398">
        <v>0.1333695</v>
      </c>
      <c r="Z398">
        <v>-1.5048829999999999E-2</v>
      </c>
      <c r="AA398">
        <v>0.9909521</v>
      </c>
      <c r="AB398">
        <v>26</v>
      </c>
      <c r="AC398">
        <v>0.44899999999995499</v>
      </c>
      <c r="AD398">
        <v>-0.157829199999999</v>
      </c>
      <c r="AE398">
        <v>-0.10129999999998</v>
      </c>
      <c r="AF398">
        <v>9.0329570788869898E-2</v>
      </c>
      <c r="AG398">
        <v>-0.157829199999999</v>
      </c>
      <c r="AH398">
        <v>0.401832723835369</v>
      </c>
      <c r="AI398">
        <v>110.967354512029</v>
      </c>
      <c r="AJ398">
        <v>77.330853175440694</v>
      </c>
      <c r="AK398">
        <v>0.44106578384237999</v>
      </c>
      <c r="AL398">
        <v>79.984795610372998</v>
      </c>
      <c r="AM398">
        <v>87.026555604357597</v>
      </c>
      <c r="AN398">
        <v>0.99999996151062898</v>
      </c>
    </row>
    <row r="399" spans="1:40" x14ac:dyDescent="0.25">
      <c r="A399" t="str">
        <f>"20190303170504955"</f>
        <v>20190303170504955</v>
      </c>
      <c r="B399" t="str">
        <f>"1551603904945198"</f>
        <v>1551603904945198</v>
      </c>
      <c r="C399" t="s">
        <v>40</v>
      </c>
      <c r="D399">
        <v>5.6182359999999996</v>
      </c>
      <c r="E399">
        <v>0.54044989999999904</v>
      </c>
      <c r="F399" t="s">
        <v>42</v>
      </c>
      <c r="G399">
        <v>-387.39280000000002</v>
      </c>
      <c r="H399">
        <v>0.92808029999999997</v>
      </c>
      <c r="I399">
        <v>366.92590000000001</v>
      </c>
      <c r="J399">
        <v>-387.92309999999998</v>
      </c>
      <c r="K399">
        <v>1.121424</v>
      </c>
      <c r="L399">
        <v>367.0496</v>
      </c>
      <c r="M399">
        <v>0.99989240000000001</v>
      </c>
      <c r="N399">
        <v>-1.465663E-2</v>
      </c>
      <c r="O399">
        <v>-7.7897899999999996E-4</v>
      </c>
      <c r="P399">
        <v>0.9858133</v>
      </c>
      <c r="Q399">
        <v>0.159831</v>
      </c>
      <c r="R399">
        <v>-5.1249910000000003E-2</v>
      </c>
      <c r="S399">
        <v>3.1301269999999999</v>
      </c>
      <c r="T399">
        <v>-0.67883369999999998</v>
      </c>
      <c r="U399">
        <v>-0.43423460000000003</v>
      </c>
      <c r="V399">
        <v>5.0488539999999998E-2</v>
      </c>
      <c r="W399">
        <v>0.1742612</v>
      </c>
      <c r="X399">
        <v>0.98340430000000001</v>
      </c>
      <c r="Y399">
        <v>0.13339860000000001</v>
      </c>
      <c r="Z399">
        <v>-1.5072199999999999E-2</v>
      </c>
      <c r="AA399">
        <v>0.99094780000000005</v>
      </c>
      <c r="AB399">
        <v>26</v>
      </c>
      <c r="AC399">
        <v>0.53029999999995403</v>
      </c>
      <c r="AD399">
        <v>-0.19334370000000001</v>
      </c>
      <c r="AE399">
        <v>-0.123699999999985</v>
      </c>
      <c r="AF399">
        <v>0.10948430939228</v>
      </c>
      <c r="AG399">
        <v>-0.19334370000000001</v>
      </c>
      <c r="AH399">
        <v>0.47101596128370998</v>
      </c>
      <c r="AI399">
        <v>111.792675702262</v>
      </c>
      <c r="AJ399">
        <v>76.914371819232898</v>
      </c>
      <c r="AK399">
        <v>0.52079231572366003</v>
      </c>
      <c r="AL399">
        <v>79.964332993766902</v>
      </c>
      <c r="AM399">
        <v>87.060982325705098</v>
      </c>
      <c r="AN399">
        <v>1.0000000378776299</v>
      </c>
    </row>
    <row r="400" spans="1:40" x14ac:dyDescent="0.25">
      <c r="A400" t="str">
        <f>"20190303170504978"</f>
        <v>20190303170504978</v>
      </c>
      <c r="B400" t="str">
        <f>"1551603904964717"</f>
        <v>1551603904964717</v>
      </c>
      <c r="C400" t="s">
        <v>40</v>
      </c>
      <c r="D400">
        <v>5.6772819999999999</v>
      </c>
      <c r="E400">
        <v>0.540502699999999</v>
      </c>
      <c r="F400" t="s">
        <v>42</v>
      </c>
      <c r="G400">
        <v>-387.15230000000003</v>
      </c>
      <c r="H400">
        <v>0.9537059</v>
      </c>
      <c r="I400">
        <v>366.94290000000001</v>
      </c>
      <c r="J400">
        <v>-387.66989999999998</v>
      </c>
      <c r="K400">
        <v>1.1214440000000001</v>
      </c>
      <c r="L400">
        <v>367.04939999999999</v>
      </c>
      <c r="M400">
        <v>0.9998918</v>
      </c>
      <c r="N400">
        <v>-1.469E-2</v>
      </c>
      <c r="O400">
        <v>-7.7886669999999896E-4</v>
      </c>
      <c r="P400">
        <v>0.98579000000000006</v>
      </c>
      <c r="Q400">
        <v>0.16009470000000001</v>
      </c>
      <c r="R400">
        <v>-5.087026E-2</v>
      </c>
      <c r="S400">
        <v>3.1311040000000001</v>
      </c>
      <c r="T400">
        <v>-0.68130369999999996</v>
      </c>
      <c r="U400">
        <v>-0.43307499999999999</v>
      </c>
      <c r="V400">
        <v>5.0109140000000003E-2</v>
      </c>
      <c r="W400">
        <v>0.17455709999999999</v>
      </c>
      <c r="X400">
        <v>0.9833712</v>
      </c>
      <c r="Y400">
        <v>0.132985299999999</v>
      </c>
      <c r="Z400">
        <v>-1.5073359999999999E-2</v>
      </c>
      <c r="AA400">
        <v>0.99100339999999998</v>
      </c>
      <c r="AB400">
        <v>26</v>
      </c>
      <c r="AC400">
        <v>0.51759999999995898</v>
      </c>
      <c r="AD400">
        <v>-0.1677381</v>
      </c>
      <c r="AE400">
        <v>-0.106499999999982</v>
      </c>
      <c r="AF400">
        <v>9.6385454596591993E-2</v>
      </c>
      <c r="AG400">
        <v>-0.1677381</v>
      </c>
      <c r="AH400">
        <v>0.47029788108264797</v>
      </c>
      <c r="AI400">
        <v>109.259471361045</v>
      </c>
      <c r="AJ400">
        <v>78.417868128785202</v>
      </c>
      <c r="AK400">
        <v>0.50853350233807704</v>
      </c>
      <c r="AL400">
        <v>79.9471150194437</v>
      </c>
      <c r="AM400">
        <v>87.082931497746301</v>
      </c>
      <c r="AN400">
        <v>1.00000001203069</v>
      </c>
    </row>
    <row r="401" spans="1:40" x14ac:dyDescent="0.25">
      <c r="A401" t="str">
        <f>"20190303170505000"</f>
        <v>20190303170505000</v>
      </c>
      <c r="B401" t="str">
        <f>"1551603904994973"</f>
        <v>1551603904994973</v>
      </c>
      <c r="C401" t="s">
        <v>40</v>
      </c>
      <c r="D401">
        <v>5.6437569999999999</v>
      </c>
      <c r="E401">
        <v>0.52497329999999998</v>
      </c>
      <c r="F401" t="s">
        <v>42</v>
      </c>
      <c r="G401">
        <v>-386.92169999999999</v>
      </c>
      <c r="H401">
        <v>0.95854139999999999</v>
      </c>
      <c r="I401">
        <v>366.94569999999999</v>
      </c>
      <c r="J401">
        <v>-387.40629999999999</v>
      </c>
      <c r="K401">
        <v>1.121459</v>
      </c>
      <c r="L401">
        <v>367.04919999999998</v>
      </c>
      <c r="M401">
        <v>0.99989150000000004</v>
      </c>
      <c r="N401">
        <v>-1.4719329999999999E-2</v>
      </c>
      <c r="O401">
        <v>-7.7908280000000001E-4</v>
      </c>
      <c r="P401">
        <v>0.98567039999999995</v>
      </c>
      <c r="Q401">
        <v>0.16088559999999999</v>
      </c>
      <c r="R401">
        <v>-5.0695480000000001E-2</v>
      </c>
      <c r="S401">
        <v>3.1317140000000001</v>
      </c>
      <c r="T401">
        <v>-0.68204240000000005</v>
      </c>
      <c r="U401">
        <v>-0.43212889999999998</v>
      </c>
      <c r="V401">
        <v>4.993409E-2</v>
      </c>
      <c r="W401">
        <v>0.17537529999999901</v>
      </c>
      <c r="X401">
        <v>0.98323450000000001</v>
      </c>
      <c r="Y401">
        <v>0.1326668</v>
      </c>
      <c r="Z401">
        <v>-1.505134E-2</v>
      </c>
      <c r="AA401">
        <v>0.99104639999999999</v>
      </c>
      <c r="AB401">
        <v>26</v>
      </c>
      <c r="AC401">
        <v>0.48459999999999998</v>
      </c>
      <c r="AD401">
        <v>-0.162917599999999</v>
      </c>
      <c r="AE401">
        <v>-0.103499999999996</v>
      </c>
      <c r="AF401">
        <v>9.3062942199560295E-2</v>
      </c>
      <c r="AG401">
        <v>-0.162917599999999</v>
      </c>
      <c r="AH401">
        <v>0.43740060314903201</v>
      </c>
      <c r="AI401">
        <v>110.017342090074</v>
      </c>
      <c r="AJ401">
        <v>77.988648926877204</v>
      </c>
      <c r="AK401">
        <v>0.47594342440644799</v>
      </c>
      <c r="AL401">
        <v>79.899500973257801</v>
      </c>
      <c r="AM401">
        <v>87.0927009473711</v>
      </c>
      <c r="AN401">
        <v>0.99999999559223396</v>
      </c>
    </row>
    <row r="402" spans="1:40" x14ac:dyDescent="0.25">
      <c r="A402" t="str">
        <f>"20190303170505024"</f>
        <v>20190303170505024</v>
      </c>
      <c r="B402" t="str">
        <f>"1551603905014495"</f>
        <v>1551603905014495</v>
      </c>
      <c r="C402" t="s">
        <v>40</v>
      </c>
      <c r="D402">
        <v>5.6446730000000001</v>
      </c>
      <c r="E402">
        <v>0.52052209999999999</v>
      </c>
      <c r="F402" t="s">
        <v>42</v>
      </c>
      <c r="G402">
        <v>-386.68360000000001</v>
      </c>
      <c r="H402">
        <v>0.97993269999999999</v>
      </c>
      <c r="I402">
        <v>366.97710000000001</v>
      </c>
      <c r="J402">
        <v>-387.14699999999999</v>
      </c>
      <c r="K402">
        <v>1.1214759999999999</v>
      </c>
      <c r="L402">
        <v>367.0489</v>
      </c>
      <c r="M402">
        <v>0.99989090000000003</v>
      </c>
      <c r="N402">
        <v>-1.4743269999999999E-2</v>
      </c>
      <c r="O402">
        <v>-7.7914039999999905E-4</v>
      </c>
      <c r="P402">
        <v>0.98561880000000002</v>
      </c>
      <c r="Q402">
        <v>0.16114020000000001</v>
      </c>
      <c r="R402">
        <v>-5.0885590000000001E-2</v>
      </c>
      <c r="S402">
        <v>3.1275940000000002</v>
      </c>
      <c r="T402">
        <v>-0.61254849999999905</v>
      </c>
      <c r="U402">
        <v>-0.31069950000000002</v>
      </c>
      <c r="V402">
        <v>5.0124299999999997E-2</v>
      </c>
      <c r="W402">
        <v>0.175652799999999</v>
      </c>
      <c r="X402">
        <v>0.98317529999999997</v>
      </c>
      <c r="Y402">
        <v>9.6143119999999999E-2</v>
      </c>
      <c r="Z402">
        <v>-9.8822890000000007E-3</v>
      </c>
      <c r="AA402">
        <v>0.99531849999999999</v>
      </c>
      <c r="AB402">
        <v>26</v>
      </c>
      <c r="AC402">
        <v>0.463399999999978</v>
      </c>
      <c r="AD402">
        <v>-0.14154330000000001</v>
      </c>
      <c r="AE402">
        <v>-7.1799999999996006E-2</v>
      </c>
      <c r="AF402">
        <v>6.5473616633017095E-2</v>
      </c>
      <c r="AG402">
        <v>-0.14154330000000001</v>
      </c>
      <c r="AH402">
        <v>0.424756458198293</v>
      </c>
      <c r="AI402">
        <v>108.22900487720401</v>
      </c>
      <c r="AJ402">
        <v>81.237173377780294</v>
      </c>
      <c r="AK402">
        <v>0.45248132451080902</v>
      </c>
      <c r="AL402">
        <v>79.883350850481904</v>
      </c>
      <c r="AM402">
        <v>87.081470090675595</v>
      </c>
      <c r="AN402">
        <v>1.0000000110642</v>
      </c>
    </row>
    <row r="403" spans="1:40" x14ac:dyDescent="0.25">
      <c r="A403" t="str">
        <f>"20190303170505045"</f>
        <v>20190303170505045</v>
      </c>
      <c r="B403" t="str">
        <f>"1551603905034989"</f>
        <v>1551603905034989</v>
      </c>
      <c r="C403" t="s">
        <v>40</v>
      </c>
      <c r="D403">
        <v>5.6372530000000003</v>
      </c>
      <c r="E403">
        <v>0.51940339999999996</v>
      </c>
      <c r="F403" t="s">
        <v>42</v>
      </c>
      <c r="G403">
        <v>-386.23070000000001</v>
      </c>
      <c r="H403">
        <v>0.97649529999999995</v>
      </c>
      <c r="I403">
        <v>366.96589999999998</v>
      </c>
      <c r="J403">
        <v>-386.89780000000002</v>
      </c>
      <c r="K403">
        <v>1.121481</v>
      </c>
      <c r="L403">
        <v>367.04880000000003</v>
      </c>
      <c r="M403">
        <v>0.99989070000000002</v>
      </c>
      <c r="N403">
        <v>-1.476237E-2</v>
      </c>
      <c r="O403">
        <v>-7.7904299999999999E-4</v>
      </c>
      <c r="P403">
        <v>0.98563599999999996</v>
      </c>
      <c r="Q403">
        <v>0.16096559999999999</v>
      </c>
      <c r="R403">
        <v>-5.1107010000000001E-2</v>
      </c>
      <c r="S403">
        <v>3.1097410000000001</v>
      </c>
      <c r="T403">
        <v>-0.49216910000000003</v>
      </c>
      <c r="U403">
        <v>-0.28094479999999999</v>
      </c>
      <c r="V403">
        <v>5.0345729999999998E-2</v>
      </c>
      <c r="W403">
        <v>0.17549690000000001</v>
      </c>
      <c r="X403">
        <v>0.98319179999999995</v>
      </c>
      <c r="Y403">
        <v>8.8018890000000002E-2</v>
      </c>
      <c r="Z403">
        <v>-7.4528800000000003E-3</v>
      </c>
      <c r="AA403">
        <v>0.9960909</v>
      </c>
      <c r="AB403">
        <v>25</v>
      </c>
      <c r="AC403">
        <v>0.66710000000000402</v>
      </c>
      <c r="AD403">
        <v>-0.144985699999999</v>
      </c>
      <c r="AE403">
        <v>-8.2900000000051904E-2</v>
      </c>
      <c r="AF403">
        <v>7.8718461166970705E-2</v>
      </c>
      <c r="AG403">
        <v>-0.144985699999999</v>
      </c>
      <c r="AH403">
        <v>0.63750928074175495</v>
      </c>
      <c r="AI403">
        <v>102.719154980524</v>
      </c>
      <c r="AJ403">
        <v>82.960854262658899</v>
      </c>
      <c r="AK403">
        <v>0.65851008524156696</v>
      </c>
      <c r="AL403">
        <v>79.892423941089802</v>
      </c>
      <c r="AM403">
        <v>87.068648688233097</v>
      </c>
      <c r="AN403">
        <v>0.99999998501304099</v>
      </c>
    </row>
    <row r="404" spans="1:40" x14ac:dyDescent="0.25">
      <c r="A404" t="str">
        <f>"20190303170505067"</f>
        <v>20190303170505067</v>
      </c>
      <c r="B404" t="str">
        <f>"1551603905054510"</f>
        <v>1551603905054510</v>
      </c>
      <c r="C404" t="s">
        <v>40</v>
      </c>
      <c r="D404">
        <v>6.0911869999999997</v>
      </c>
      <c r="E404">
        <v>0.51921099999999998</v>
      </c>
      <c r="F404" t="s">
        <v>42</v>
      </c>
      <c r="G404">
        <v>-385.9898</v>
      </c>
      <c r="H404">
        <v>1.0053299999999901</v>
      </c>
      <c r="I404">
        <v>366.9674</v>
      </c>
      <c r="J404">
        <v>-386.66050000000001</v>
      </c>
      <c r="K404">
        <v>1.12148799999999</v>
      </c>
      <c r="L404">
        <v>367.04860000000002</v>
      </c>
      <c r="M404">
        <v>0.99989059999999996</v>
      </c>
      <c r="N404">
        <v>-1.477758E-2</v>
      </c>
      <c r="O404">
        <v>-7.7939389999999995E-4</v>
      </c>
      <c r="P404">
        <v>0.98572930000000003</v>
      </c>
      <c r="Q404">
        <v>0.16047600000000001</v>
      </c>
      <c r="R404">
        <v>-5.0845840000000003E-2</v>
      </c>
      <c r="S404">
        <v>3.094055</v>
      </c>
      <c r="T404">
        <v>-0.39587159999999999</v>
      </c>
      <c r="U404">
        <v>-0.27648929999999999</v>
      </c>
      <c r="V404">
        <v>5.0084179999999999E-2</v>
      </c>
      <c r="W404">
        <v>0.1750237</v>
      </c>
      <c r="X404">
        <v>0.98328950000000004</v>
      </c>
      <c r="Y404">
        <v>8.7445200000000001E-2</v>
      </c>
      <c r="Z404">
        <v>-6.1231509999999899E-3</v>
      </c>
      <c r="AA404">
        <v>0.99615050000000005</v>
      </c>
      <c r="AB404">
        <v>25</v>
      </c>
      <c r="AC404">
        <v>0.67070000000000995</v>
      </c>
      <c r="AD404">
        <v>-0.116157999999999</v>
      </c>
      <c r="AE404">
        <v>-8.1200000000023906E-2</v>
      </c>
      <c r="AF404">
        <v>7.8360740363862494E-2</v>
      </c>
      <c r="AG404">
        <v>-0.116157999999999</v>
      </c>
      <c r="AH404">
        <v>0.65150384672105999</v>
      </c>
      <c r="AI404">
        <v>100.03830032695799</v>
      </c>
      <c r="AJ404">
        <v>83.141597747674098</v>
      </c>
      <c r="AK404">
        <v>0.666401042081051</v>
      </c>
      <c r="AL404">
        <v>79.919962499896698</v>
      </c>
      <c r="AM404">
        <v>87.084140182803793</v>
      </c>
      <c r="AN404">
        <v>0.99999998072910601</v>
      </c>
    </row>
    <row r="405" spans="1:40" x14ac:dyDescent="0.25">
      <c r="A405" t="str">
        <f>"20190303170505089"</f>
        <v>20190303170505089</v>
      </c>
      <c r="B405" t="str">
        <f>"1551603905084766"</f>
        <v>1551603905084766</v>
      </c>
      <c r="C405" t="s">
        <v>40</v>
      </c>
      <c r="D405">
        <v>5.6371820000000001</v>
      </c>
      <c r="E405">
        <v>0.51925100000000002</v>
      </c>
      <c r="F405" t="s">
        <v>42</v>
      </c>
      <c r="G405">
        <v>-385.75639999999999</v>
      </c>
      <c r="H405">
        <v>1.0198179999999999</v>
      </c>
      <c r="I405">
        <v>366.96789999999999</v>
      </c>
      <c r="J405">
        <v>-386.399</v>
      </c>
      <c r="K405">
        <v>1.1214949999999999</v>
      </c>
      <c r="L405">
        <v>367.04829999999998</v>
      </c>
      <c r="M405">
        <v>0.99989039999999996</v>
      </c>
      <c r="N405">
        <v>-1.479133E-2</v>
      </c>
      <c r="O405">
        <v>-7.7913799999999997E-4</v>
      </c>
      <c r="P405">
        <v>0.98581319999999995</v>
      </c>
      <c r="Q405">
        <v>0.1600394</v>
      </c>
      <c r="R405">
        <v>-5.0595080000000001E-2</v>
      </c>
      <c r="S405">
        <v>3.085785</v>
      </c>
      <c r="T405">
        <v>-0.34711379999999997</v>
      </c>
      <c r="U405">
        <v>-0.275177</v>
      </c>
      <c r="V405">
        <v>4.9833679999999998E-2</v>
      </c>
      <c r="W405">
        <v>0.17460209999999901</v>
      </c>
      <c r="X405">
        <v>0.98337719999999995</v>
      </c>
      <c r="Y405">
        <v>8.7430789999999994E-2</v>
      </c>
      <c r="Z405">
        <v>-5.4668700000000004E-3</v>
      </c>
      <c r="AA405">
        <v>0.99615560000000003</v>
      </c>
      <c r="AB405">
        <v>25</v>
      </c>
      <c r="AC405">
        <v>0.64260000000001505</v>
      </c>
      <c r="AD405">
        <v>-0.101677</v>
      </c>
      <c r="AE405">
        <v>-8.0399999999997293E-2</v>
      </c>
      <c r="AF405">
        <v>7.7977105744977598E-2</v>
      </c>
      <c r="AG405">
        <v>-0.101677</v>
      </c>
      <c r="AH405">
        <v>0.62720188469938998</v>
      </c>
      <c r="AI405">
        <v>99.139071630901697</v>
      </c>
      <c r="AJ405">
        <v>82.913045646202406</v>
      </c>
      <c r="AK405">
        <v>0.64015689133198495</v>
      </c>
      <c r="AL405">
        <v>79.944496407532299</v>
      </c>
      <c r="AM405">
        <v>87.098957410461793</v>
      </c>
      <c r="AN405">
        <v>1.0000000032332901</v>
      </c>
    </row>
    <row r="406" spans="1:40" x14ac:dyDescent="0.25">
      <c r="A406" t="str">
        <f>"20190303170505115"</f>
        <v>20190303170505115</v>
      </c>
      <c r="B406" t="str">
        <f>"1551603905105262"</f>
        <v>1551603905105262</v>
      </c>
      <c r="C406" t="s">
        <v>40</v>
      </c>
      <c r="D406">
        <v>5.6529509999999998</v>
      </c>
      <c r="E406">
        <v>0.51933689999999999</v>
      </c>
      <c r="F406" t="s">
        <v>42</v>
      </c>
      <c r="G406">
        <v>-385.524</v>
      </c>
      <c r="H406">
        <v>1.0332939999999999</v>
      </c>
      <c r="I406">
        <v>366.96969999999999</v>
      </c>
      <c r="J406">
        <v>-386.10610000000003</v>
      </c>
      <c r="K406">
        <v>1.121505</v>
      </c>
      <c r="L406">
        <v>367.04809999999998</v>
      </c>
      <c r="M406">
        <v>0.99989030000000001</v>
      </c>
      <c r="N406">
        <v>-1.480355E-2</v>
      </c>
      <c r="O406">
        <v>-7.7922859999999996E-4</v>
      </c>
      <c r="P406">
        <v>0.98576799999999998</v>
      </c>
      <c r="Q406">
        <v>0.1603154</v>
      </c>
      <c r="R406">
        <v>-5.0603820000000001E-2</v>
      </c>
      <c r="S406">
        <v>3.0794679999999999</v>
      </c>
      <c r="T406">
        <v>-0.310612</v>
      </c>
      <c r="U406">
        <v>-0.27545170000000002</v>
      </c>
      <c r="V406">
        <v>4.984239E-2</v>
      </c>
      <c r="W406">
        <v>0.17488899999999999</v>
      </c>
      <c r="X406">
        <v>0.98332580000000003</v>
      </c>
      <c r="Y406">
        <v>8.7811070000000005E-2</v>
      </c>
      <c r="Z406">
        <v>-4.9950189999999998E-3</v>
      </c>
      <c r="AA406">
        <v>0.99612460000000003</v>
      </c>
      <c r="AB406">
        <v>25</v>
      </c>
      <c r="AC406">
        <v>0.58210000000002504</v>
      </c>
      <c r="AD406">
        <v>-8.8210999999999803E-2</v>
      </c>
      <c r="AE406">
        <v>-7.8399999999987799E-2</v>
      </c>
      <c r="AF406">
        <v>7.6227036910434198E-2</v>
      </c>
      <c r="AG406">
        <v>-8.8210999999999803E-2</v>
      </c>
      <c r="AH406">
        <v>0.569319911801344</v>
      </c>
      <c r="AI406">
        <v>98.730738478646202</v>
      </c>
      <c r="AJ406">
        <v>82.373942888751799</v>
      </c>
      <c r="AK406">
        <v>0.58113415288609105</v>
      </c>
      <c r="AL406">
        <v>79.927801619843294</v>
      </c>
      <c r="AM406">
        <v>87.098299819222603</v>
      </c>
      <c r="AN406">
        <v>1.0000000275537699</v>
      </c>
    </row>
    <row r="407" spans="1:40" x14ac:dyDescent="0.25">
      <c r="A407" t="str">
        <f>"20190303170505136"</f>
        <v>20190303170505136</v>
      </c>
      <c r="B407" t="str">
        <f>"1551603905124782"</f>
        <v>1551603905124782</v>
      </c>
      <c r="C407" t="s">
        <v>40</v>
      </c>
      <c r="D407">
        <v>5.669537</v>
      </c>
      <c r="E407">
        <v>0.5194531</v>
      </c>
      <c r="F407" t="s">
        <v>42</v>
      </c>
      <c r="G407">
        <v>-385.29320000000001</v>
      </c>
      <c r="H407">
        <v>1.044028</v>
      </c>
      <c r="I407">
        <v>366.97460000000001</v>
      </c>
      <c r="J407">
        <v>-385.8741</v>
      </c>
      <c r="K407">
        <v>1.1215120000000001</v>
      </c>
      <c r="L407">
        <v>367.04790000000003</v>
      </c>
      <c r="M407">
        <v>0.9998901</v>
      </c>
      <c r="N407">
        <v>-1.4811100000000001E-2</v>
      </c>
      <c r="O407">
        <v>-7.790462E-4</v>
      </c>
      <c r="P407">
        <v>0.98568219999999995</v>
      </c>
      <c r="Q407">
        <v>0.160686299999999</v>
      </c>
      <c r="R407">
        <v>-5.109433E-2</v>
      </c>
      <c r="S407">
        <v>3.0767519999999999</v>
      </c>
      <c r="T407">
        <v>-0.29344629999999999</v>
      </c>
      <c r="U407">
        <v>-0.27740479999999901</v>
      </c>
      <c r="V407">
        <v>5.0332960000000003E-2</v>
      </c>
      <c r="W407">
        <v>0.17526639999999999</v>
      </c>
      <c r="X407">
        <v>0.98323360000000004</v>
      </c>
      <c r="Y407">
        <v>8.8562569999999993E-2</v>
      </c>
      <c r="Z407">
        <v>-4.8017449999999996E-3</v>
      </c>
      <c r="AA407">
        <v>0.99605909999999998</v>
      </c>
      <c r="AB407">
        <v>25</v>
      </c>
      <c r="AC407">
        <v>0.58089999999998498</v>
      </c>
      <c r="AD407">
        <v>-7.7484000000000094E-2</v>
      </c>
      <c r="AE407">
        <v>-7.3300000000017407E-2</v>
      </c>
      <c r="AF407">
        <v>7.1593561361524005E-2</v>
      </c>
      <c r="AG407">
        <v>-7.7484000000000094E-2</v>
      </c>
      <c r="AH407">
        <v>0.570957744592686</v>
      </c>
      <c r="AI407">
        <v>97.668997024164796</v>
      </c>
      <c r="AJ407">
        <v>82.852867559487294</v>
      </c>
      <c r="AK407">
        <v>0.58062221314275797</v>
      </c>
      <c r="AL407">
        <v>79.905838843623101</v>
      </c>
      <c r="AM407">
        <v>87.069515289067894</v>
      </c>
      <c r="AN407">
        <v>1.00000001500014</v>
      </c>
    </row>
    <row r="408" spans="1:40" x14ac:dyDescent="0.25">
      <c r="A408" t="str">
        <f>"20190303170505158"</f>
        <v>20190303170505158</v>
      </c>
      <c r="B408" t="str">
        <f>"1551603905145278"</f>
        <v>1551603905145278</v>
      </c>
      <c r="C408" t="s">
        <v>40</v>
      </c>
      <c r="D408">
        <v>5.6660050000000002</v>
      </c>
      <c r="E408">
        <v>0.51957359999999997</v>
      </c>
      <c r="F408" t="s">
        <v>42</v>
      </c>
      <c r="G408">
        <v>-385.06490000000002</v>
      </c>
      <c r="H408">
        <v>1.0477369999999999</v>
      </c>
      <c r="I408">
        <v>366.97390000000001</v>
      </c>
      <c r="J408">
        <v>-385.62700000000001</v>
      </c>
      <c r="K408">
        <v>1.1215219999999999</v>
      </c>
      <c r="L408">
        <v>367.04770000000002</v>
      </c>
      <c r="M408">
        <v>0.99988999999999995</v>
      </c>
      <c r="N408">
        <v>-1.481731E-2</v>
      </c>
      <c r="O408">
        <v>-7.7933059999999897E-4</v>
      </c>
      <c r="P408">
        <v>0.98553449999999998</v>
      </c>
      <c r="Q408">
        <v>0.1613338</v>
      </c>
      <c r="R408">
        <v>-5.1899649999999999E-2</v>
      </c>
      <c r="S408">
        <v>3.0747680000000002</v>
      </c>
      <c r="T408">
        <v>-0.2805301</v>
      </c>
      <c r="U408">
        <v>-0.27999879999999999</v>
      </c>
      <c r="V408">
        <v>5.1138210000000003E-2</v>
      </c>
      <c r="W408">
        <v>0.17591799999999999</v>
      </c>
      <c r="X408">
        <v>0.9830757</v>
      </c>
      <c r="Y408">
        <v>8.9485019999999998E-2</v>
      </c>
      <c r="Z408">
        <v>-4.6719680000000003E-3</v>
      </c>
      <c r="AA408">
        <v>0.99597720000000001</v>
      </c>
      <c r="AB408">
        <v>25</v>
      </c>
      <c r="AC408">
        <v>0.56209999999992899</v>
      </c>
      <c r="AD408">
        <v>-7.3784999999999698E-2</v>
      </c>
      <c r="AE408">
        <v>-7.3800000000005597E-2</v>
      </c>
      <c r="AF408">
        <v>7.2139893869511196E-2</v>
      </c>
      <c r="AG408">
        <v>-7.3784999999999698E-2</v>
      </c>
      <c r="AH408">
        <v>0.55279360788806198</v>
      </c>
      <c r="AI408">
        <v>97.539522431192907</v>
      </c>
      <c r="AJ408">
        <v>82.564884456574802</v>
      </c>
      <c r="AK408">
        <v>0.56234256768841995</v>
      </c>
      <c r="AL408">
        <v>79.867916014486795</v>
      </c>
      <c r="AM408">
        <v>87.022238380015295</v>
      </c>
      <c r="AN408">
        <v>1.0000000455882401</v>
      </c>
    </row>
    <row r="409" spans="1:40" x14ac:dyDescent="0.25">
      <c r="A409" t="str">
        <f>"20190303170505179"</f>
        <v>20190303170505179</v>
      </c>
      <c r="B409" t="str">
        <f>"1551603905164798"</f>
        <v>1551603905164798</v>
      </c>
      <c r="C409" t="s">
        <v>40</v>
      </c>
      <c r="D409">
        <v>5.6572570000000004</v>
      </c>
      <c r="E409">
        <v>0.51960649999999997</v>
      </c>
      <c r="F409" t="s">
        <v>42</v>
      </c>
      <c r="G409">
        <v>-384.83609999999999</v>
      </c>
      <c r="H409">
        <v>1.052508</v>
      </c>
      <c r="I409">
        <v>366.97430000000003</v>
      </c>
      <c r="J409">
        <v>-385.39010000000002</v>
      </c>
      <c r="K409">
        <v>1.1215219999999999</v>
      </c>
      <c r="L409">
        <v>367.04750000000001</v>
      </c>
      <c r="M409">
        <v>0.9998899</v>
      </c>
      <c r="N409">
        <v>-1.482172E-2</v>
      </c>
      <c r="O409">
        <v>-7.7912490000000005E-4</v>
      </c>
      <c r="P409">
        <v>0.98545499999999997</v>
      </c>
      <c r="Q409">
        <v>0.1617537</v>
      </c>
      <c r="R409">
        <v>-5.2098539999999999E-2</v>
      </c>
      <c r="S409">
        <v>3.072937</v>
      </c>
      <c r="T409">
        <v>-0.26832129999999998</v>
      </c>
      <c r="U409">
        <v>-0.28454590000000002</v>
      </c>
      <c r="V409">
        <v>5.1337319999999999E-2</v>
      </c>
      <c r="W409">
        <v>0.17634040000000001</v>
      </c>
      <c r="X409">
        <v>0.98298960000000002</v>
      </c>
      <c r="Y409">
        <v>9.1026709999999997E-2</v>
      </c>
      <c r="Z409">
        <v>-4.5794490000000002E-3</v>
      </c>
      <c r="AA409">
        <v>0.99583790000000005</v>
      </c>
      <c r="AB409">
        <v>25</v>
      </c>
      <c r="AC409">
        <v>0.55400000000003002</v>
      </c>
      <c r="AD409">
        <v>-6.9013999999999895E-2</v>
      </c>
      <c r="AE409">
        <v>-7.3199999999985693E-2</v>
      </c>
      <c r="AF409">
        <v>7.1675078092066705E-2</v>
      </c>
      <c r="AG409">
        <v>-6.9013999999999895E-2</v>
      </c>
      <c r="AH409">
        <v>0.545733129032419</v>
      </c>
      <c r="AI409">
        <v>97.146695102377095</v>
      </c>
      <c r="AJ409">
        <v>82.517756414076004</v>
      </c>
      <c r="AK409">
        <v>0.55472957117772104</v>
      </c>
      <c r="AL409">
        <v>79.843329512766402</v>
      </c>
      <c r="AM409">
        <v>87.010403895778893</v>
      </c>
      <c r="AN409">
        <v>1.00000000540255</v>
      </c>
    </row>
    <row r="410" spans="1:40" x14ac:dyDescent="0.25">
      <c r="A410" t="str">
        <f>"20190303170505202"</f>
        <v>20190303170505202</v>
      </c>
      <c r="B410" t="str">
        <f>"1551603905195054"</f>
        <v>1551603905195054</v>
      </c>
      <c r="C410" t="s">
        <v>40</v>
      </c>
      <c r="D410">
        <v>5.8790589999999998</v>
      </c>
      <c r="E410">
        <v>0.51958459999999995</v>
      </c>
      <c r="F410" t="s">
        <v>41</v>
      </c>
      <c r="G410">
        <v>-372.09050000000002</v>
      </c>
      <c r="H410" s="1">
        <v>-4.0502940000000003E-6</v>
      </c>
      <c r="I410">
        <v>365.81200000000001</v>
      </c>
      <c r="J410">
        <v>-385.13010000000003</v>
      </c>
      <c r="K410">
        <v>1.121521</v>
      </c>
      <c r="L410">
        <v>367.04730000000001</v>
      </c>
      <c r="M410">
        <v>0.9998899</v>
      </c>
      <c r="N410">
        <v>-1.4825110000000001E-2</v>
      </c>
      <c r="O410">
        <v>-7.7938849999999995E-4</v>
      </c>
      <c r="P410">
        <v>0.98554549999999996</v>
      </c>
      <c r="Q410">
        <v>0.16117899999999999</v>
      </c>
      <c r="R410">
        <v>-5.2168689999999997E-2</v>
      </c>
      <c r="S410">
        <v>3.0717159999999999</v>
      </c>
      <c r="T410">
        <v>-0.25902889999999901</v>
      </c>
      <c r="U410">
        <v>-0.28533940000000002</v>
      </c>
      <c r="V410">
        <v>5.1407260000000003E-2</v>
      </c>
      <c r="W410">
        <v>0.1757706</v>
      </c>
      <c r="X410">
        <v>0.98308799999999996</v>
      </c>
      <c r="Y410">
        <v>9.1341469999999994E-2</v>
      </c>
      <c r="Z410">
        <v>-4.4622569999999999E-3</v>
      </c>
      <c r="AA410">
        <v>0.99580959999999996</v>
      </c>
      <c r="AB410">
        <v>25</v>
      </c>
      <c r="AC410">
        <v>13.0396</v>
      </c>
      <c r="AD410">
        <v>-1.121525050294</v>
      </c>
      <c r="AE410">
        <v>-1.23530000000005</v>
      </c>
      <c r="AF410">
        <v>1.2162185527667</v>
      </c>
      <c r="AG410">
        <v>-1.121525050294</v>
      </c>
      <c r="AH410">
        <v>12.9456443615015</v>
      </c>
      <c r="AI410">
        <v>94.929764867659898</v>
      </c>
      <c r="AJ410">
        <v>84.632924366422102</v>
      </c>
      <c r="AK410">
        <v>13.050927704228799</v>
      </c>
      <c r="AL410">
        <v>79.876494757600298</v>
      </c>
      <c r="AM410">
        <v>87.006637486958596</v>
      </c>
      <c r="AN410">
        <v>1.0000000129745299</v>
      </c>
    </row>
    <row r="411" spans="1:40" x14ac:dyDescent="0.25">
      <c r="A411" t="str">
        <f>"20190303170505224"</f>
        <v>20190303170505224</v>
      </c>
      <c r="B411" t="str">
        <f>"1551603905214574"</f>
        <v>1551603905214574</v>
      </c>
      <c r="C411" t="s">
        <v>40</v>
      </c>
      <c r="D411">
        <v>5.7163599999999999</v>
      </c>
      <c r="E411">
        <v>0.51963599999999999</v>
      </c>
      <c r="F411" t="s">
        <v>41</v>
      </c>
      <c r="G411">
        <v>-371.6026</v>
      </c>
      <c r="H411" s="1">
        <v>-4.2638770000000004E-6</v>
      </c>
      <c r="I411">
        <v>365.7878</v>
      </c>
      <c r="J411">
        <v>-384.88979999999998</v>
      </c>
      <c r="K411">
        <v>1.1215269999999999</v>
      </c>
      <c r="L411">
        <v>367.0471</v>
      </c>
      <c r="M411">
        <v>0.99988980000000005</v>
      </c>
      <c r="N411">
        <v>-1.482696E-2</v>
      </c>
      <c r="O411">
        <v>-7.7916399999999897E-4</v>
      </c>
      <c r="P411">
        <v>0.98553789999999997</v>
      </c>
      <c r="Q411">
        <v>0.16125519999999999</v>
      </c>
      <c r="R411">
        <v>-5.2070730000000003E-2</v>
      </c>
      <c r="S411">
        <v>3.0705260000000001</v>
      </c>
      <c r="T411">
        <v>-0.25456790000000001</v>
      </c>
      <c r="U411">
        <v>-0.28585820000000001</v>
      </c>
      <c r="V411">
        <v>5.1309519999999997E-2</v>
      </c>
      <c r="W411">
        <v>0.17584900000000001</v>
      </c>
      <c r="X411">
        <v>0.98307909999999998</v>
      </c>
      <c r="Y411">
        <v>9.1554780000000002E-2</v>
      </c>
      <c r="Z411">
        <v>-4.4093969999999998E-3</v>
      </c>
      <c r="AA411">
        <v>0.99579030000000002</v>
      </c>
      <c r="AB411">
        <v>25</v>
      </c>
      <c r="AC411">
        <v>13.287199999999901</v>
      </c>
      <c r="AD411">
        <v>-1.1215312638770001</v>
      </c>
      <c r="AE411">
        <v>-1.2592999999999901</v>
      </c>
      <c r="AF411">
        <v>1.2401884794262199</v>
      </c>
      <c r="AG411">
        <v>-1.1215312638770001</v>
      </c>
      <c r="AH411">
        <v>13.1950060433854</v>
      </c>
      <c r="AI411">
        <v>94.837055729648696</v>
      </c>
      <c r="AJ411">
        <v>84.630587718262703</v>
      </c>
      <c r="AK411">
        <v>13.3005294753755</v>
      </c>
      <c r="AL411">
        <v>79.871931841093001</v>
      </c>
      <c r="AM411">
        <v>87.012291410916703</v>
      </c>
      <c r="AN411">
        <v>1.0000000272502101</v>
      </c>
    </row>
    <row r="412" spans="1:40" x14ac:dyDescent="0.25">
      <c r="A412" t="str">
        <f>"20190303170505245"</f>
        <v>20190303170505245</v>
      </c>
      <c r="B412" t="str">
        <f>"1551603905235071"</f>
        <v>1551603905235071</v>
      </c>
      <c r="C412" t="s">
        <v>40</v>
      </c>
      <c r="D412">
        <v>5.7090019999999999</v>
      </c>
      <c r="E412">
        <v>0.51961820000000003</v>
      </c>
      <c r="F412" t="s">
        <v>42</v>
      </c>
      <c r="G412">
        <v>-383.94880000000001</v>
      </c>
      <c r="H412">
        <v>1.044691</v>
      </c>
      <c r="I412">
        <v>366.95920000000001</v>
      </c>
      <c r="J412">
        <v>-384.64949999999999</v>
      </c>
      <c r="K412">
        <v>1.1215389999999901</v>
      </c>
      <c r="L412">
        <v>367.04689999999999</v>
      </c>
      <c r="M412">
        <v>0.99988980000000005</v>
      </c>
      <c r="N412">
        <v>-1.48278E-2</v>
      </c>
      <c r="O412">
        <v>-7.7917030000000003E-4</v>
      </c>
      <c r="P412">
        <v>0.98545349999999998</v>
      </c>
      <c r="Q412">
        <v>0.16177710000000001</v>
      </c>
      <c r="R412">
        <v>-5.2054009999999998E-2</v>
      </c>
      <c r="S412">
        <v>3.0698850000000002</v>
      </c>
      <c r="T412">
        <v>-0.25068990000000002</v>
      </c>
      <c r="U412">
        <v>-0.28652949999999999</v>
      </c>
      <c r="V412">
        <v>5.1292860000000003E-2</v>
      </c>
      <c r="W412">
        <v>0.17637</v>
      </c>
      <c r="X412">
        <v>0.98298660000000004</v>
      </c>
      <c r="Y412">
        <v>9.1798980000000002E-2</v>
      </c>
      <c r="Z412">
        <v>-4.365453E-3</v>
      </c>
      <c r="AA412">
        <v>0.99576799999999999</v>
      </c>
      <c r="AB412">
        <v>25</v>
      </c>
      <c r="AC412">
        <v>0.700699999999983</v>
      </c>
      <c r="AD412">
        <v>-7.6847999999999805E-2</v>
      </c>
      <c r="AE412">
        <v>-8.7699999999983902E-2</v>
      </c>
      <c r="AF412">
        <v>8.6133891792413403E-2</v>
      </c>
      <c r="AG412">
        <v>-7.6847999999999805E-2</v>
      </c>
      <c r="AH412">
        <v>0.69256628051004698</v>
      </c>
      <c r="AI412">
        <v>96.283689352510805</v>
      </c>
      <c r="AJ412">
        <v>82.910574383683596</v>
      </c>
      <c r="AK412">
        <v>0.70212015732268296</v>
      </c>
      <c r="AL412">
        <v>79.841606447115197</v>
      </c>
      <c r="AM412">
        <v>87.012979205214094</v>
      </c>
      <c r="AN412">
        <v>0.99999999508326898</v>
      </c>
    </row>
    <row r="413" spans="1:40" x14ac:dyDescent="0.25">
      <c r="A413" t="str">
        <f>"20190303170505268"</f>
        <v>20190303170505268</v>
      </c>
      <c r="B413" t="str">
        <f>"1551603905254590"</f>
        <v>1551603905254590</v>
      </c>
      <c r="C413" t="s">
        <v>40</v>
      </c>
      <c r="D413">
        <v>5.7146660000000002</v>
      </c>
      <c r="E413">
        <v>0.51964869999999996</v>
      </c>
      <c r="F413" t="s">
        <v>42</v>
      </c>
      <c r="G413">
        <v>-383.72379999999998</v>
      </c>
      <c r="H413">
        <v>1.0476080000000001</v>
      </c>
      <c r="I413">
        <v>366.96</v>
      </c>
      <c r="J413">
        <v>-384.40050000000002</v>
      </c>
      <c r="K413">
        <v>1.1215469999999901</v>
      </c>
      <c r="L413">
        <v>367.04669999999999</v>
      </c>
      <c r="M413">
        <v>0.9998899</v>
      </c>
      <c r="N413">
        <v>-1.4827750000000001E-2</v>
      </c>
      <c r="O413">
        <v>-7.7940810000000002E-4</v>
      </c>
      <c r="P413">
        <v>0.98524369999999994</v>
      </c>
      <c r="Q413">
        <v>0.16306119999999999</v>
      </c>
      <c r="R413">
        <v>-5.2019629999999997E-2</v>
      </c>
      <c r="S413">
        <v>3.0693969999999999</v>
      </c>
      <c r="T413">
        <v>-0.2453746</v>
      </c>
      <c r="U413">
        <v>-0.28701779999999999</v>
      </c>
      <c r="V413">
        <v>5.1258499999999999E-2</v>
      </c>
      <c r="W413">
        <v>0.17765120000000001</v>
      </c>
      <c r="X413">
        <v>0.98275760000000001</v>
      </c>
      <c r="Y413">
        <v>9.1983410000000002E-2</v>
      </c>
      <c r="Z413">
        <v>-4.2970730000000002E-3</v>
      </c>
      <c r="AA413">
        <v>0.99575130000000001</v>
      </c>
      <c r="AB413">
        <v>25</v>
      </c>
      <c r="AC413">
        <v>0.67670000000003905</v>
      </c>
      <c r="AD413">
        <v>-7.3938999999999699E-2</v>
      </c>
      <c r="AE413">
        <v>-8.6700000000007493E-2</v>
      </c>
      <c r="AF413">
        <v>8.5172073732572601E-2</v>
      </c>
      <c r="AG413">
        <v>-7.3938999999999699E-2</v>
      </c>
      <c r="AH413">
        <v>0.66891046902740803</v>
      </c>
      <c r="AI413">
        <v>96.257549850916007</v>
      </c>
      <c r="AJ413">
        <v>82.743601206058798</v>
      </c>
      <c r="AK413">
        <v>0.67835276474661299</v>
      </c>
      <c r="AL413">
        <v>79.767020756342703</v>
      </c>
      <c r="AM413">
        <v>87.014282222015098</v>
      </c>
      <c r="AN413">
        <v>0.99999994152072302</v>
      </c>
    </row>
    <row r="414" spans="1:40" x14ac:dyDescent="0.25">
      <c r="A414" t="str">
        <f>"20190303170505292"</f>
        <v>20190303170505292</v>
      </c>
      <c r="B414" t="str">
        <f>"1551603905284846"</f>
        <v>1551603905284846</v>
      </c>
      <c r="C414" t="s">
        <v>40</v>
      </c>
      <c r="D414">
        <v>5.7772290000000002</v>
      </c>
      <c r="E414">
        <v>0.51959009999999894</v>
      </c>
      <c r="F414" t="s">
        <v>42</v>
      </c>
      <c r="G414">
        <v>-383.4984</v>
      </c>
      <c r="H414">
        <v>1.05148</v>
      </c>
      <c r="I414">
        <v>366.9622</v>
      </c>
      <c r="J414">
        <v>-384.1345</v>
      </c>
      <c r="K414">
        <v>1.1215550000000001</v>
      </c>
      <c r="L414">
        <v>367.04640000000001</v>
      </c>
      <c r="M414">
        <v>0.9998899</v>
      </c>
      <c r="N414">
        <v>-1.4826819999999999E-2</v>
      </c>
      <c r="O414">
        <v>-7.7940119999999995E-4</v>
      </c>
      <c r="P414">
        <v>0.98514250000000003</v>
      </c>
      <c r="Q414">
        <v>0.16355049999999999</v>
      </c>
      <c r="R414">
        <v>-5.2397979999999997E-2</v>
      </c>
      <c r="S414">
        <v>3.0692750000000002</v>
      </c>
      <c r="T414">
        <v>-0.2385323</v>
      </c>
      <c r="U414">
        <v>-0.28659059999999997</v>
      </c>
      <c r="V414">
        <v>5.1637009999999997E-2</v>
      </c>
      <c r="W414">
        <v>0.178137299999999</v>
      </c>
      <c r="X414">
        <v>0.98264989999999997</v>
      </c>
      <c r="Y414">
        <v>9.1867480000000001E-2</v>
      </c>
      <c r="Z414">
        <v>-4.191668E-3</v>
      </c>
      <c r="AA414">
        <v>0.99576240000000005</v>
      </c>
      <c r="AB414">
        <v>25</v>
      </c>
      <c r="AC414">
        <v>0.636099999999999</v>
      </c>
      <c r="AD414">
        <v>-7.0074999999999804E-2</v>
      </c>
      <c r="AE414">
        <v>-8.4200000000009795E-2</v>
      </c>
      <c r="AF414">
        <v>8.2717569130785207E-2</v>
      </c>
      <c r="AG414">
        <v>-7.0074999999999804E-2</v>
      </c>
      <c r="AH414">
        <v>0.628667314610029</v>
      </c>
      <c r="AI414">
        <v>96.306362941306404</v>
      </c>
      <c r="AJ414">
        <v>82.504304905150406</v>
      </c>
      <c r="AK414">
        <v>0.63794615315627601</v>
      </c>
      <c r="AL414">
        <v>79.738718981411097</v>
      </c>
      <c r="AM414">
        <v>86.991945965820406</v>
      </c>
      <c r="AN414">
        <v>1.00000005221151</v>
      </c>
    </row>
    <row r="415" spans="1:40" x14ac:dyDescent="0.25">
      <c r="A415" t="str">
        <f>"20190303170505314"</f>
        <v>20190303170505314</v>
      </c>
      <c r="B415" t="str">
        <f>"1551603905305343"</f>
        <v>1551603905305343</v>
      </c>
      <c r="C415" t="s">
        <v>40</v>
      </c>
      <c r="D415">
        <v>10.084490000000001</v>
      </c>
      <c r="E415">
        <v>0.51957370000000003</v>
      </c>
      <c r="F415" t="s">
        <v>41</v>
      </c>
      <c r="G415">
        <v>-369.42599999999999</v>
      </c>
      <c r="H415" s="1">
        <v>-1.229405E-6</v>
      </c>
      <c r="I415">
        <v>365.67750000000001</v>
      </c>
      <c r="J415">
        <v>-383.89179999999999</v>
      </c>
      <c r="K415">
        <v>1.1215539999999999</v>
      </c>
      <c r="L415">
        <v>367.04629999999997</v>
      </c>
      <c r="M415">
        <v>0.99988980000000005</v>
      </c>
      <c r="N415">
        <v>-1.4825299999999901E-2</v>
      </c>
      <c r="O415">
        <v>-7.7938979999999996E-4</v>
      </c>
      <c r="P415">
        <v>0.98533300000000001</v>
      </c>
      <c r="Q415">
        <v>0.1624871</v>
      </c>
      <c r="R415">
        <v>-5.2125299999999999E-2</v>
      </c>
      <c r="S415">
        <v>3.0689389999999999</v>
      </c>
      <c r="T415">
        <v>-0.234013</v>
      </c>
      <c r="U415">
        <v>-0.28561399999999998</v>
      </c>
      <c r="V415">
        <v>5.1363979999999997E-2</v>
      </c>
      <c r="W415">
        <v>0.17707539999999999</v>
      </c>
      <c r="X415">
        <v>0.98285599999999995</v>
      </c>
      <c r="Y415">
        <v>9.1575589999999998E-2</v>
      </c>
      <c r="Z415">
        <v>-4.1126560000000001E-3</v>
      </c>
      <c r="AA415">
        <v>0.99578960000000005</v>
      </c>
      <c r="AB415">
        <v>25</v>
      </c>
      <c r="AC415">
        <v>14.4658</v>
      </c>
      <c r="AD415">
        <v>-1.121555229405</v>
      </c>
      <c r="AE415">
        <v>-1.36879999999996</v>
      </c>
      <c r="AF415">
        <v>1.34948390531897</v>
      </c>
      <c r="AG415">
        <v>-1.121555229405</v>
      </c>
      <c r="AH415">
        <v>14.3811824755727</v>
      </c>
      <c r="AI415">
        <v>94.439913399572106</v>
      </c>
      <c r="AJ415">
        <v>84.639245994382804</v>
      </c>
      <c r="AK415">
        <v>14.4878363580985</v>
      </c>
      <c r="AL415">
        <v>79.800543096773495</v>
      </c>
      <c r="AM415">
        <v>87.008448337115695</v>
      </c>
      <c r="AN415">
        <v>0.99999993623129801</v>
      </c>
    </row>
    <row r="416" spans="1:40" x14ac:dyDescent="0.25">
      <c r="A416" t="str">
        <f>"20190303170505335"</f>
        <v>20190303170505335</v>
      </c>
      <c r="B416" t="str">
        <f>"1551603905324862"</f>
        <v>1551603905324862</v>
      </c>
      <c r="C416" t="s">
        <v>40</v>
      </c>
      <c r="D416">
        <v>5.7528100000000002</v>
      </c>
      <c r="E416">
        <v>0.51958179999999998</v>
      </c>
      <c r="F416" t="s">
        <v>41</v>
      </c>
      <c r="G416">
        <v>-369.2543</v>
      </c>
      <c r="H416" s="1">
        <v>-1.2858850000000001E-6</v>
      </c>
      <c r="I416">
        <v>365.6848</v>
      </c>
      <c r="J416">
        <v>-383.65629999999999</v>
      </c>
      <c r="K416">
        <v>1.1215539999999999</v>
      </c>
      <c r="L416">
        <v>367.04610000000002</v>
      </c>
      <c r="M416">
        <v>0.99988980000000005</v>
      </c>
      <c r="N416">
        <v>-1.482326E-2</v>
      </c>
      <c r="O416">
        <v>-7.7937459999999998E-4</v>
      </c>
      <c r="P416">
        <v>0.98552459999999997</v>
      </c>
      <c r="Q416">
        <v>0.16124530000000001</v>
      </c>
      <c r="R416">
        <v>-5.2358700000000001E-2</v>
      </c>
      <c r="S416">
        <v>3.0683590000000001</v>
      </c>
      <c r="T416">
        <v>-0.23510300000000001</v>
      </c>
      <c r="U416">
        <v>-0.28536990000000001</v>
      </c>
      <c r="V416">
        <v>5.1597129999999998E-2</v>
      </c>
      <c r="W416">
        <v>0.17583489999999999</v>
      </c>
      <c r="X416">
        <v>0.98306660000000001</v>
      </c>
      <c r="Y416">
        <v>9.1511850000000006E-2</v>
      </c>
      <c r="Z416">
        <v>-4.1262030000000002E-3</v>
      </c>
      <c r="AA416">
        <v>0.9957954</v>
      </c>
      <c r="AB416">
        <v>25</v>
      </c>
      <c r="AC416">
        <v>14.4019999999999</v>
      </c>
      <c r="AD416">
        <v>-1.121555285885</v>
      </c>
      <c r="AE416">
        <v>-1.3613000000000199</v>
      </c>
      <c r="AF416">
        <v>1.3420072518086601</v>
      </c>
      <c r="AG416">
        <v>-1.121555285885</v>
      </c>
      <c r="AH416">
        <v>14.3169999655435</v>
      </c>
      <c r="AI416">
        <v>94.459779387303499</v>
      </c>
      <c r="AJ416">
        <v>84.645013974345503</v>
      </c>
      <c r="AK416">
        <v>14.4234308587304</v>
      </c>
      <c r="AL416">
        <v>79.872752812984999</v>
      </c>
      <c r="AM416">
        <v>86.995536596602705</v>
      </c>
      <c r="AN416">
        <v>1.0000000579588999</v>
      </c>
    </row>
    <row r="417" spans="1:40" x14ac:dyDescent="0.25">
      <c r="A417" t="str">
        <f>"20190303170505359"</f>
        <v>20190303170505359</v>
      </c>
      <c r="B417" t="str">
        <f>"1551603905345358"</f>
        <v>1551603905345358</v>
      </c>
      <c r="C417" t="s">
        <v>40</v>
      </c>
      <c r="D417">
        <v>5.9280099999999996</v>
      </c>
      <c r="E417">
        <v>0.51952390000000004</v>
      </c>
      <c r="F417" t="s">
        <v>41</v>
      </c>
      <c r="G417">
        <v>-369.1705</v>
      </c>
      <c r="H417" s="1">
        <v>-1.311711E-6</v>
      </c>
      <c r="I417">
        <v>365.69499999999999</v>
      </c>
      <c r="J417">
        <v>-383.3938</v>
      </c>
      <c r="K417">
        <v>1.1215520000000001</v>
      </c>
      <c r="L417">
        <v>367.04579999999999</v>
      </c>
      <c r="M417">
        <v>0.9998899</v>
      </c>
      <c r="N417">
        <v>-1.4820430000000001E-2</v>
      </c>
      <c r="O417">
        <v>-7.7947279999999997E-4</v>
      </c>
      <c r="P417">
        <v>0.98550610000000005</v>
      </c>
      <c r="Q417">
        <v>0.16105620000000001</v>
      </c>
      <c r="R417">
        <v>-5.3277619999999998E-2</v>
      </c>
      <c r="S417">
        <v>3.0677189999999999</v>
      </c>
      <c r="T417">
        <v>-0.23751369999999999</v>
      </c>
      <c r="U417">
        <v>-0.28610229999999998</v>
      </c>
      <c r="V417">
        <v>5.2516060000000003E-2</v>
      </c>
      <c r="W417">
        <v>0.17564289999999999</v>
      </c>
      <c r="X417">
        <v>0.98305220000000004</v>
      </c>
      <c r="Y417">
        <v>9.1759679999999996E-2</v>
      </c>
      <c r="Z417">
        <v>-4.1732829999999999E-3</v>
      </c>
      <c r="AA417">
        <v>0.9957724</v>
      </c>
      <c r="AB417">
        <v>25</v>
      </c>
      <c r="AC417">
        <v>14.223299999999901</v>
      </c>
      <c r="AD417">
        <v>-1.1215533117109999</v>
      </c>
      <c r="AE417">
        <v>-1.35079999999999</v>
      </c>
      <c r="AF417">
        <v>1.3315066154828299</v>
      </c>
      <c r="AG417">
        <v>-1.1215533117109999</v>
      </c>
      <c r="AH417">
        <v>14.1372315025825</v>
      </c>
      <c r="AI417">
        <v>94.5160605501502</v>
      </c>
      <c r="AJ417">
        <v>84.619503721525504</v>
      </c>
      <c r="AK417">
        <v>14.2440200173861</v>
      </c>
      <c r="AL417">
        <v>79.883926886733406</v>
      </c>
      <c r="AM417">
        <v>86.942083926483093</v>
      </c>
      <c r="AN417">
        <v>0.99999999640158599</v>
      </c>
    </row>
    <row r="418" spans="1:40" x14ac:dyDescent="0.25">
      <c r="A418" t="str">
        <f>"20190303170505381"</f>
        <v>20190303170505381</v>
      </c>
      <c r="B418" t="str">
        <f>"1551603905374640"</f>
        <v>1551603905374640</v>
      </c>
      <c r="C418" t="s">
        <v>40</v>
      </c>
      <c r="D418">
        <v>6.129931</v>
      </c>
      <c r="E418">
        <v>0.51948359999999905</v>
      </c>
      <c r="F418" t="s">
        <v>41</v>
      </c>
      <c r="G418">
        <v>-368.88049999999998</v>
      </c>
      <c r="H418" s="1">
        <v>-1.4145570000000001E-6</v>
      </c>
      <c r="I418">
        <v>365.67939999999999</v>
      </c>
      <c r="J418">
        <v>-383.15320000000003</v>
      </c>
      <c r="K418">
        <v>1.121556</v>
      </c>
      <c r="L418">
        <v>367.04570000000001</v>
      </c>
      <c r="M418">
        <v>0.99988999999999995</v>
      </c>
      <c r="N418">
        <v>-1.481741E-2</v>
      </c>
      <c r="O418">
        <v>-7.7968890000000004E-4</v>
      </c>
      <c r="P418">
        <v>0.98536840000000003</v>
      </c>
      <c r="Q418">
        <v>0.16170229999999999</v>
      </c>
      <c r="R418">
        <v>-5.387053E-2</v>
      </c>
      <c r="S418">
        <v>3.0672000000000001</v>
      </c>
      <c r="T418">
        <v>-0.23702380000000001</v>
      </c>
      <c r="U418">
        <v>-0.28875729999999999</v>
      </c>
      <c r="V418">
        <v>5.3108860000000001E-2</v>
      </c>
      <c r="W418">
        <v>0.1762841</v>
      </c>
      <c r="X418">
        <v>0.98290560000000005</v>
      </c>
      <c r="Y418">
        <v>9.2627559999999998E-2</v>
      </c>
      <c r="Z418">
        <v>-4.2063070000000003E-3</v>
      </c>
      <c r="AA418">
        <v>0.99569200000000002</v>
      </c>
      <c r="AB418">
        <v>25</v>
      </c>
      <c r="AC418">
        <v>14.2727</v>
      </c>
      <c r="AD418">
        <v>-1.121557414557</v>
      </c>
      <c r="AE418">
        <v>-1.3663000000000201</v>
      </c>
      <c r="AF418">
        <v>1.3469284592484301</v>
      </c>
      <c r="AG418">
        <v>-1.121557414557</v>
      </c>
      <c r="AH418">
        <v>14.186953379218799</v>
      </c>
      <c r="AI418">
        <v>94.499996412616895</v>
      </c>
      <c r="AJ418">
        <v>84.576518048919198</v>
      </c>
      <c r="AK418">
        <v>14.294815615900999</v>
      </c>
      <c r="AL418">
        <v>79.846606821800293</v>
      </c>
      <c r="AM418">
        <v>86.907172535650503</v>
      </c>
      <c r="AN418">
        <v>1.0000000267173299</v>
      </c>
    </row>
    <row r="419" spans="1:40" x14ac:dyDescent="0.25">
      <c r="A419" t="str">
        <f>"20190303170505402"</f>
        <v>20190303170505402</v>
      </c>
      <c r="B419" t="str">
        <f>"1551603905395136"</f>
        <v>1551603905395136</v>
      </c>
      <c r="C419" t="s">
        <v>40</v>
      </c>
      <c r="D419">
        <v>5.9334670000000003</v>
      </c>
      <c r="E419">
        <v>0.51936269999999995</v>
      </c>
      <c r="F419" t="s">
        <v>41</v>
      </c>
      <c r="G419">
        <v>-368.38490000000002</v>
      </c>
      <c r="H419" s="1">
        <v>-1.5915140000000001E-6</v>
      </c>
      <c r="I419">
        <v>365.64819999999997</v>
      </c>
      <c r="J419">
        <v>-382.91379999999998</v>
      </c>
      <c r="K419">
        <v>1.1215520000000001</v>
      </c>
      <c r="L419">
        <v>367.04539999999997</v>
      </c>
      <c r="M419">
        <v>0.99988999999999995</v>
      </c>
      <c r="N419">
        <v>-1.4814020000000001E-2</v>
      </c>
      <c r="O419">
        <v>-7.7966389999999997E-4</v>
      </c>
      <c r="P419">
        <v>0.98524299999999998</v>
      </c>
      <c r="Q419">
        <v>0.16226479999999999</v>
      </c>
      <c r="R419">
        <v>-5.4468370000000002E-2</v>
      </c>
      <c r="S419">
        <v>3.0668950000000001</v>
      </c>
      <c r="T419">
        <v>-0.23290849999999999</v>
      </c>
      <c r="U419">
        <v>-0.2901917</v>
      </c>
      <c r="V419">
        <v>5.3707049999999999E-2</v>
      </c>
      <c r="W419">
        <v>0.17684079999999999</v>
      </c>
      <c r="X419">
        <v>0.98277309999999996</v>
      </c>
      <c r="Y419">
        <v>9.3106990000000001E-2</v>
      </c>
      <c r="Z419">
        <v>-4.1674009999999899E-3</v>
      </c>
      <c r="AA419">
        <v>0.99564739999999996</v>
      </c>
      <c r="AB419">
        <v>25</v>
      </c>
      <c r="AC419">
        <v>14.528899999999901</v>
      </c>
      <c r="AD419">
        <v>-1.121553591514</v>
      </c>
      <c r="AE419">
        <v>-1.39719999999999</v>
      </c>
      <c r="AF419">
        <v>1.3777359528934101</v>
      </c>
      <c r="AG419">
        <v>-1.121553591514</v>
      </c>
      <c r="AH419">
        <v>14.4446976022972</v>
      </c>
      <c r="AI419">
        <v>94.419824562960201</v>
      </c>
      <c r="AJ419">
        <v>84.551607882341301</v>
      </c>
      <c r="AK419">
        <v>14.5535331667724</v>
      </c>
      <c r="AL419">
        <v>79.814201296758299</v>
      </c>
      <c r="AM419">
        <v>86.871984512038395</v>
      </c>
      <c r="AN419">
        <v>1.00000004092397</v>
      </c>
    </row>
    <row r="420" spans="1:40" x14ac:dyDescent="0.25">
      <c r="A420" t="str">
        <f>"20190303170505425"</f>
        <v>20190303170505425</v>
      </c>
      <c r="B420" t="str">
        <f>"1551603905414654"</f>
        <v>1551603905414654</v>
      </c>
      <c r="C420" t="s">
        <v>40</v>
      </c>
      <c r="D420">
        <v>5.9426459999999999</v>
      </c>
      <c r="E420">
        <v>0.5195379</v>
      </c>
      <c r="F420" t="s">
        <v>41</v>
      </c>
      <c r="G420">
        <v>-368.00150000000002</v>
      </c>
      <c r="H420" s="1">
        <v>-1.7274029999999901E-6</v>
      </c>
      <c r="I420">
        <v>365.6277</v>
      </c>
      <c r="J420">
        <v>-382.67270000000002</v>
      </c>
      <c r="K420">
        <v>1.121556</v>
      </c>
      <c r="L420">
        <v>367.04520000000002</v>
      </c>
      <c r="M420">
        <v>0.9998901</v>
      </c>
      <c r="N420">
        <v>-1.481029E-2</v>
      </c>
      <c r="O420">
        <v>-7.7975549999999999E-4</v>
      </c>
      <c r="P420">
        <v>0.98530379999999995</v>
      </c>
      <c r="Q420">
        <v>0.16192309999999999</v>
      </c>
      <c r="R420">
        <v>-5.4383609999999999E-2</v>
      </c>
      <c r="S420">
        <v>3.0668030000000002</v>
      </c>
      <c r="T420">
        <v>-0.23065269999999999</v>
      </c>
      <c r="U420">
        <v>-0.29153440000000003</v>
      </c>
      <c r="V420">
        <v>5.3621969999999998E-2</v>
      </c>
      <c r="W420">
        <v>0.17649679999999901</v>
      </c>
      <c r="X420">
        <v>0.98283949999999998</v>
      </c>
      <c r="Y420">
        <v>9.3545829999999996E-2</v>
      </c>
      <c r="Z420">
        <v>-4.1534969999999999E-3</v>
      </c>
      <c r="AA420">
        <v>0.99560630000000006</v>
      </c>
      <c r="AB420">
        <v>25</v>
      </c>
      <c r="AC420">
        <v>14.671200000000001</v>
      </c>
      <c r="AD420">
        <v>-1.121557727403</v>
      </c>
      <c r="AE420">
        <v>-1.41750000000001</v>
      </c>
      <c r="AF420">
        <v>1.3979641891702199</v>
      </c>
      <c r="AG420">
        <v>-1.121557727403</v>
      </c>
      <c r="AH420">
        <v>14.5878377548666</v>
      </c>
      <c r="AI420">
        <v>94.376455185001106</v>
      </c>
      <c r="AJ420">
        <v>84.526015523307606</v>
      </c>
      <c r="AK420">
        <v>14.6975238041111</v>
      </c>
      <c r="AL420">
        <v>79.834225188665897</v>
      </c>
      <c r="AM420">
        <v>86.877140514413895</v>
      </c>
      <c r="AN420">
        <v>0.99999995941858399</v>
      </c>
    </row>
    <row r="421" spans="1:40" x14ac:dyDescent="0.25">
      <c r="A421" t="str">
        <f>"20190303170505446"</f>
        <v>20190303170505446</v>
      </c>
      <c r="B421" t="str">
        <f>"1551603905435150"</f>
        <v>1551603905435150</v>
      </c>
      <c r="C421" t="s">
        <v>40</v>
      </c>
      <c r="D421">
        <v>5.8165950000000004</v>
      </c>
      <c r="E421">
        <v>0.51956119999999995</v>
      </c>
      <c r="F421" t="s">
        <v>42</v>
      </c>
      <c r="G421">
        <v>-381.73090000000002</v>
      </c>
      <c r="H421">
        <v>1.0516270000000001</v>
      </c>
      <c r="I421">
        <v>366.95519999999999</v>
      </c>
      <c r="J421">
        <v>-382.43560000000002</v>
      </c>
      <c r="K421">
        <v>1.1215580000000001</v>
      </c>
      <c r="L421">
        <v>367.04500000000002</v>
      </c>
      <c r="M421">
        <v>0.99988999999999995</v>
      </c>
      <c r="N421">
        <v>-1.4806349999999999E-2</v>
      </c>
      <c r="O421">
        <v>-7.793686E-4</v>
      </c>
      <c r="P421">
        <v>0.98535600000000001</v>
      </c>
      <c r="Q421">
        <v>0.16151559999999901</v>
      </c>
      <c r="R421">
        <v>-5.4647800000000003E-2</v>
      </c>
      <c r="S421">
        <v>3.0659179999999999</v>
      </c>
      <c r="T421">
        <v>-0.2275867</v>
      </c>
      <c r="U421">
        <v>-0.29333500000000001</v>
      </c>
      <c r="V421">
        <v>5.3886339999999998E-2</v>
      </c>
      <c r="W421">
        <v>0.17608650000000001</v>
      </c>
      <c r="X421">
        <v>0.98289870000000001</v>
      </c>
      <c r="Y421">
        <v>9.4158140000000001E-2</v>
      </c>
      <c r="Z421">
        <v>-4.1357119999999997E-3</v>
      </c>
      <c r="AA421">
        <v>0.99554869999999995</v>
      </c>
      <c r="AB421">
        <v>24</v>
      </c>
      <c r="AC421">
        <v>0.70470000000000199</v>
      </c>
      <c r="AD421">
        <v>-6.9930999999999896E-2</v>
      </c>
      <c r="AE421">
        <v>-8.9800000000025096E-2</v>
      </c>
      <c r="AF421">
        <v>8.8394129536154803E-2</v>
      </c>
      <c r="AG421">
        <v>-6.9930999999999896E-2</v>
      </c>
      <c r="AH421">
        <v>0.698005923757403</v>
      </c>
      <c r="AI421">
        <v>95.676157211983195</v>
      </c>
      <c r="AJ421">
        <v>82.782591250625401</v>
      </c>
      <c r="AK421">
        <v>0.70704747824872405</v>
      </c>
      <c r="AL421">
        <v>79.858108356310595</v>
      </c>
      <c r="AM421">
        <v>86.861963356950099</v>
      </c>
      <c r="AN421">
        <v>1.0000000237912601</v>
      </c>
    </row>
    <row r="422" spans="1:40" x14ac:dyDescent="0.25">
      <c r="A422" t="str">
        <f>"20190303170505460"</f>
        <v>20190303170505460</v>
      </c>
      <c r="B422" t="str">
        <f>"1551603905454670"</f>
        <v>1551603905454670</v>
      </c>
      <c r="C422" t="s">
        <v>40</v>
      </c>
      <c r="D422">
        <v>5.7907830000000002</v>
      </c>
      <c r="E422">
        <v>0.51959509999999998</v>
      </c>
      <c r="F422" t="s">
        <v>41</v>
      </c>
      <c r="G422">
        <v>-367.09440000000001</v>
      </c>
      <c r="H422" s="1">
        <v>-2.050871E-6</v>
      </c>
      <c r="I422">
        <v>365.57229999999998</v>
      </c>
      <c r="J422">
        <v>-382.28149999999999</v>
      </c>
      <c r="K422">
        <v>1.121559</v>
      </c>
      <c r="L422">
        <v>367.04489999999998</v>
      </c>
      <c r="M422">
        <v>0.9998901</v>
      </c>
      <c r="N422">
        <v>-1.480368E-2</v>
      </c>
      <c r="O422">
        <v>-7.7958710000000002E-4</v>
      </c>
      <c r="P422">
        <v>0.98529800000000001</v>
      </c>
      <c r="Q422">
        <v>0.16176219999999999</v>
      </c>
      <c r="R422">
        <v>-5.496442E-2</v>
      </c>
      <c r="S422">
        <v>3.0650019999999998</v>
      </c>
      <c r="T422">
        <v>-0.22407350000000001</v>
      </c>
      <c r="U422">
        <v>-0.29421999999999998</v>
      </c>
      <c r="V422">
        <v>5.420291E-2</v>
      </c>
      <c r="W422">
        <v>0.17632919999999999</v>
      </c>
      <c r="X422">
        <v>0.98283770000000004</v>
      </c>
      <c r="Y422">
        <v>9.4478380000000001E-2</v>
      </c>
      <c r="Z422">
        <v>-4.0978259999999997E-3</v>
      </c>
      <c r="AA422">
        <v>0.99551849999999997</v>
      </c>
      <c r="AB422">
        <v>24</v>
      </c>
      <c r="AC422">
        <v>15.1870999999999</v>
      </c>
      <c r="AD422">
        <v>-1.1215610508710001</v>
      </c>
      <c r="AE422">
        <v>-1.4725999999999999</v>
      </c>
      <c r="AF422">
        <v>1.4529085764929299</v>
      </c>
      <c r="AG422">
        <v>-1.1215610508710001</v>
      </c>
      <c r="AH422">
        <v>15.106623008051301</v>
      </c>
      <c r="AI422">
        <v>94.226588935401693</v>
      </c>
      <c r="AJ422">
        <v>84.506365131978498</v>
      </c>
      <c r="AK422">
        <v>15.2177166891049</v>
      </c>
      <c r="AL422">
        <v>79.843980804496994</v>
      </c>
      <c r="AM422">
        <v>86.843369765001995</v>
      </c>
      <c r="AN422">
        <v>0.99999994338319698</v>
      </c>
    </row>
    <row r="423" spans="1:40" x14ac:dyDescent="0.25">
      <c r="A423" t="str">
        <f>"20190303170505481"</f>
        <v>20190303170505481</v>
      </c>
      <c r="B423" t="str">
        <f>"1551603905475167"</f>
        <v>1551603905475167</v>
      </c>
      <c r="C423" t="s">
        <v>40</v>
      </c>
      <c r="D423">
        <v>5.8121320000000001</v>
      </c>
      <c r="E423">
        <v>0.51965499999999998</v>
      </c>
      <c r="F423" t="s">
        <v>41</v>
      </c>
      <c r="G423">
        <v>-366.5172</v>
      </c>
      <c r="H423" s="1">
        <v>-2.2599090000000002E-6</v>
      </c>
      <c r="I423">
        <v>365.52480000000003</v>
      </c>
      <c r="J423">
        <v>-382.0634</v>
      </c>
      <c r="K423">
        <v>1.1215660000000001</v>
      </c>
      <c r="L423">
        <v>367.04469999999998</v>
      </c>
      <c r="M423">
        <v>0.99989030000000001</v>
      </c>
      <c r="N423">
        <v>-1.4799730000000001E-2</v>
      </c>
      <c r="O423">
        <v>-7.7967689999999996E-4</v>
      </c>
      <c r="P423">
        <v>0.984989</v>
      </c>
      <c r="Q423">
        <v>0.16342599999999999</v>
      </c>
      <c r="R423">
        <v>-5.5576340000000002E-2</v>
      </c>
      <c r="S423">
        <v>3.0640260000000001</v>
      </c>
      <c r="T423">
        <v>-0.21799109999999999</v>
      </c>
      <c r="U423">
        <v>-0.2954407</v>
      </c>
      <c r="V423">
        <v>5.4815129999999997E-2</v>
      </c>
      <c r="W423">
        <v>0.17798439999999999</v>
      </c>
      <c r="X423">
        <v>0.98250539999999997</v>
      </c>
      <c r="Y423">
        <v>9.491463E-2</v>
      </c>
      <c r="Z423">
        <v>-4.0256440000000001E-3</v>
      </c>
      <c r="AA423">
        <v>0.99547730000000001</v>
      </c>
      <c r="AB423">
        <v>24</v>
      </c>
      <c r="AC423">
        <v>15.546200000000001</v>
      </c>
      <c r="AD423">
        <v>-1.121568259909</v>
      </c>
      <c r="AE423">
        <v>-1.5198999999999401</v>
      </c>
      <c r="AF423">
        <v>1.5000437106598601</v>
      </c>
      <c r="AG423">
        <v>-1.121568259909</v>
      </c>
      <c r="AH423">
        <v>15.467636900689101</v>
      </c>
      <c r="AI423">
        <v>94.1279961948634</v>
      </c>
      <c r="AJ423">
        <v>84.460805962241196</v>
      </c>
      <c r="AK423">
        <v>15.5806237932595</v>
      </c>
      <c r="AL423">
        <v>79.7476212677376</v>
      </c>
      <c r="AM423">
        <v>86.806711635999406</v>
      </c>
      <c r="AN423">
        <v>1.00000000307471</v>
      </c>
    </row>
    <row r="424" spans="1:40" x14ac:dyDescent="0.25">
      <c r="A424" t="str">
        <f>"20190303170505493"</f>
        <v>20190303170505493</v>
      </c>
      <c r="B424" t="str">
        <f>"1551603905484926"</f>
        <v>1551603905484926</v>
      </c>
      <c r="C424" t="s">
        <v>40</v>
      </c>
      <c r="D424">
        <v>5.8225150000000001</v>
      </c>
      <c r="E424">
        <v>0.5196596</v>
      </c>
      <c r="F424" t="s">
        <v>41</v>
      </c>
      <c r="G424">
        <v>-365.49900000000002</v>
      </c>
      <c r="H424" s="1">
        <v>-2.655743E-6</v>
      </c>
      <c r="I424">
        <v>365.43040000000002</v>
      </c>
      <c r="J424">
        <v>-381.92349999999999</v>
      </c>
      <c r="K424">
        <v>1.1215710000000001</v>
      </c>
      <c r="L424">
        <v>367.0446</v>
      </c>
      <c r="M424">
        <v>0.99989039999999996</v>
      </c>
      <c r="N424">
        <v>-1.479716E-2</v>
      </c>
      <c r="O424">
        <v>-7.7989619999999896E-4</v>
      </c>
      <c r="P424">
        <v>0.98485520000000004</v>
      </c>
      <c r="Q424">
        <v>0.16411389999999901</v>
      </c>
      <c r="R424">
        <v>-5.5923849999999997E-2</v>
      </c>
      <c r="S424">
        <v>3.0632929999999998</v>
      </c>
      <c r="T424">
        <v>-0.20741329999999999</v>
      </c>
      <c r="U424">
        <v>-0.29852289999999998</v>
      </c>
      <c r="V424">
        <v>5.5162410000000002E-2</v>
      </c>
      <c r="W424">
        <v>0.17866750000000001</v>
      </c>
      <c r="X424">
        <v>0.98236199999999996</v>
      </c>
      <c r="Y424">
        <v>9.5951239999999993E-2</v>
      </c>
      <c r="Z424">
        <v>-3.9085209999999999E-3</v>
      </c>
      <c r="AA424">
        <v>0.9953784</v>
      </c>
      <c r="AB424">
        <v>24</v>
      </c>
      <c r="AC424">
        <v>16.424499999999899</v>
      </c>
      <c r="AD424">
        <v>-1.1215736557429901</v>
      </c>
      <c r="AE424">
        <v>-1.6141999999999801</v>
      </c>
      <c r="AF424">
        <v>1.5940267650947499</v>
      </c>
      <c r="AG424">
        <v>-1.1215736557429901</v>
      </c>
      <c r="AH424">
        <v>16.350241220227499</v>
      </c>
      <c r="AI424">
        <v>93.9056979486448</v>
      </c>
      <c r="AJ424">
        <v>84.431685563941897</v>
      </c>
      <c r="AK424">
        <v>16.466002452104799</v>
      </c>
      <c r="AL424">
        <v>79.707845276131096</v>
      </c>
      <c r="AM424">
        <v>86.786054793914403</v>
      </c>
      <c r="AN424">
        <v>1.0000000330386201</v>
      </c>
    </row>
    <row r="425" spans="1:40" x14ac:dyDescent="0.25">
      <c r="A425" t="str">
        <f>"20190303170505506"</f>
        <v>20190303170505506</v>
      </c>
      <c r="B425" t="str">
        <f>"1551603905494687"</f>
        <v>1551603905494687</v>
      </c>
      <c r="C425" t="s">
        <v>40</v>
      </c>
      <c r="D425">
        <v>5.7700360000000002</v>
      </c>
      <c r="E425">
        <v>0.51967390000000002</v>
      </c>
      <c r="F425" t="s">
        <v>41</v>
      </c>
      <c r="G425">
        <v>-364.99450000000002</v>
      </c>
      <c r="H425" s="1">
        <v>-2.8803460000000002E-6</v>
      </c>
      <c r="I425">
        <v>365.3843</v>
      </c>
      <c r="J425">
        <v>-381.78559999999999</v>
      </c>
      <c r="K425">
        <v>1.121575</v>
      </c>
      <c r="L425">
        <v>367.04450000000003</v>
      </c>
      <c r="M425">
        <v>0.99989030000000001</v>
      </c>
      <c r="N425">
        <v>-1.479459E-2</v>
      </c>
      <c r="O425">
        <v>-7.7987710000000003E-4</v>
      </c>
      <c r="P425">
        <v>0.98466759999999998</v>
      </c>
      <c r="Q425">
        <v>0.1650065</v>
      </c>
      <c r="R425">
        <v>-5.6591919999999997E-2</v>
      </c>
      <c r="S425">
        <v>3.0629270000000002</v>
      </c>
      <c r="T425">
        <v>-0.2029223</v>
      </c>
      <c r="U425">
        <v>-0.3003845</v>
      </c>
      <c r="V425">
        <v>5.5830780000000003E-2</v>
      </c>
      <c r="W425">
        <v>0.17955460000000001</v>
      </c>
      <c r="X425">
        <v>0.98216239999999999</v>
      </c>
      <c r="Y425">
        <v>9.6570580000000003E-2</v>
      </c>
      <c r="Z425">
        <v>-3.8649040000000002E-3</v>
      </c>
      <c r="AA425">
        <v>0.9953187</v>
      </c>
      <c r="AB425">
        <v>24</v>
      </c>
      <c r="AC425">
        <v>16.791099999999901</v>
      </c>
      <c r="AD425">
        <v>-1.1215778803459999</v>
      </c>
      <c r="AE425">
        <v>-1.6602000000000301</v>
      </c>
      <c r="AF425">
        <v>1.63985734727221</v>
      </c>
      <c r="AG425">
        <v>-1.1215778803459999</v>
      </c>
      <c r="AH425">
        <v>16.718518898500701</v>
      </c>
      <c r="AI425">
        <v>93.819715624409795</v>
      </c>
      <c r="AJ425">
        <v>84.397989688472705</v>
      </c>
      <c r="AK425">
        <v>16.836149893031099</v>
      </c>
      <c r="AL425">
        <v>79.656181933880603</v>
      </c>
      <c r="AM425">
        <v>86.746536828177994</v>
      </c>
      <c r="AN425">
        <v>0.99999995517516305</v>
      </c>
    </row>
    <row r="426" spans="1:40" x14ac:dyDescent="0.25">
      <c r="A426" t="str">
        <f>"20190303170505527"</f>
        <v>20190303170505527</v>
      </c>
      <c r="B426" t="str">
        <f>"1551603905515183"</f>
        <v>1551603905515183</v>
      </c>
      <c r="C426" t="s">
        <v>40</v>
      </c>
      <c r="D426">
        <v>5.7870839999999903</v>
      </c>
      <c r="E426">
        <v>0.51962770000000003</v>
      </c>
      <c r="F426" t="s">
        <v>41</v>
      </c>
      <c r="G426">
        <v>-364.4144</v>
      </c>
      <c r="H426" s="1">
        <v>-3.1398469999999998E-6</v>
      </c>
      <c r="I426">
        <v>365.32440000000003</v>
      </c>
      <c r="J426">
        <v>-381.56310000000002</v>
      </c>
      <c r="K426">
        <v>1.121578</v>
      </c>
      <c r="L426">
        <v>367.04430000000002</v>
      </c>
      <c r="M426">
        <v>0.99989030000000001</v>
      </c>
      <c r="N426">
        <v>-1.4790360000000001E-2</v>
      </c>
      <c r="O426">
        <v>-7.7984599999999995E-4</v>
      </c>
      <c r="P426">
        <v>0.98458129999999999</v>
      </c>
      <c r="Q426">
        <v>0.1652313</v>
      </c>
      <c r="R426">
        <v>-5.7432690000000002E-2</v>
      </c>
      <c r="S426">
        <v>3.0624389999999999</v>
      </c>
      <c r="T426">
        <v>-0.19772609999999999</v>
      </c>
      <c r="U426">
        <v>-0.30322270000000001</v>
      </c>
      <c r="V426">
        <v>5.6671600000000003E-2</v>
      </c>
      <c r="W426">
        <v>0.1797742</v>
      </c>
      <c r="X426">
        <v>0.98207409999999995</v>
      </c>
      <c r="Y426">
        <v>9.7508839999999999E-2</v>
      </c>
      <c r="Z426">
        <v>-3.8220369999999999E-3</v>
      </c>
      <c r="AA426">
        <v>0.99522730000000004</v>
      </c>
      <c r="AB426">
        <v>24</v>
      </c>
      <c r="AC426">
        <v>17.148700000000002</v>
      </c>
      <c r="AD426">
        <v>-1.1215811398469999</v>
      </c>
      <c r="AE426">
        <v>-1.71989999999999</v>
      </c>
      <c r="AF426">
        <v>1.6993280319967701</v>
      </c>
      <c r="AG426">
        <v>-1.1215811398469999</v>
      </c>
      <c r="AH426">
        <v>17.077712253272999</v>
      </c>
      <c r="AI426">
        <v>93.739099471206401</v>
      </c>
      <c r="AJ426">
        <v>84.317454709219405</v>
      </c>
      <c r="AK426">
        <v>17.198660291405901</v>
      </c>
      <c r="AL426">
        <v>79.643391974376797</v>
      </c>
      <c r="AM426">
        <v>86.6973505573594</v>
      </c>
      <c r="AN426">
        <v>0.99999998556150405</v>
      </c>
    </row>
    <row r="427" spans="1:40" x14ac:dyDescent="0.25">
      <c r="A427" t="str">
        <f>"20190303170505549"</f>
        <v>20190303170505549</v>
      </c>
      <c r="B427" t="str">
        <f>"1551603905534703"</f>
        <v>1551603905534703</v>
      </c>
      <c r="C427" t="s">
        <v>40</v>
      </c>
      <c r="D427">
        <v>5.7930929999999998</v>
      </c>
      <c r="E427">
        <v>0.51961309999999905</v>
      </c>
      <c r="F427" t="s">
        <v>41</v>
      </c>
      <c r="G427">
        <v>-363.77050000000003</v>
      </c>
      <c r="H427" s="1">
        <v>-3.4254610000000001E-6</v>
      </c>
      <c r="I427">
        <v>365.2713</v>
      </c>
      <c r="J427">
        <v>-381.33109999999999</v>
      </c>
      <c r="K427">
        <v>1.121578</v>
      </c>
      <c r="L427">
        <v>367.04410000000001</v>
      </c>
      <c r="M427">
        <v>0.99989050000000002</v>
      </c>
      <c r="N427">
        <v>-1.478585E-2</v>
      </c>
      <c r="O427">
        <v>-7.79932E-4</v>
      </c>
      <c r="P427">
        <v>0.98467210000000005</v>
      </c>
      <c r="Q427">
        <v>0.16471050000000001</v>
      </c>
      <c r="R427">
        <v>-5.737242E-2</v>
      </c>
      <c r="S427">
        <v>3.0615540000000001</v>
      </c>
      <c r="T427">
        <v>-0.19298889999999999</v>
      </c>
      <c r="U427">
        <v>-0.30505369999999998</v>
      </c>
      <c r="V427">
        <v>5.6611120000000001E-2</v>
      </c>
      <c r="W427">
        <v>0.1792502</v>
      </c>
      <c r="X427">
        <v>0.98217339999999997</v>
      </c>
      <c r="Y427">
        <v>9.8135310000000003E-2</v>
      </c>
      <c r="Z427">
        <v>-3.7730860000000001E-3</v>
      </c>
      <c r="AA427">
        <v>0.99516590000000005</v>
      </c>
      <c r="AB427">
        <v>24</v>
      </c>
      <c r="AC427">
        <v>17.560599999999901</v>
      </c>
      <c r="AD427">
        <v>-1.1215814254609999</v>
      </c>
      <c r="AE427">
        <v>-1.7728000000000099</v>
      </c>
      <c r="AF427">
        <v>1.75202699652294</v>
      </c>
      <c r="AG427">
        <v>-1.1215814254609999</v>
      </c>
      <c r="AH427">
        <v>17.491345327712999</v>
      </c>
      <c r="AI427">
        <v>93.650683239484806</v>
      </c>
      <c r="AJ427">
        <v>84.280026084567595</v>
      </c>
      <c r="AK427">
        <v>17.614616228115601</v>
      </c>
      <c r="AL427">
        <v>79.673911081428301</v>
      </c>
      <c r="AM427">
        <v>86.701200172506603</v>
      </c>
      <c r="AN427">
        <v>1.00000002038762</v>
      </c>
    </row>
    <row r="428" spans="1:40" x14ac:dyDescent="0.25">
      <c r="A428" t="str">
        <f>"20190303170505572"</f>
        <v>20190303170505572</v>
      </c>
      <c r="B428" t="str">
        <f>"1551603905555198"</f>
        <v>1551603905555198</v>
      </c>
      <c r="C428" t="s">
        <v>40</v>
      </c>
      <c r="D428">
        <v>5.8106220000000004</v>
      </c>
      <c r="E428">
        <v>0.51957039999999999</v>
      </c>
      <c r="F428" t="s">
        <v>41</v>
      </c>
      <c r="G428">
        <v>-363.36</v>
      </c>
      <c r="H428" s="1">
        <v>-3.6045579999999999E-6</v>
      </c>
      <c r="I428">
        <v>365.25459999999998</v>
      </c>
      <c r="J428">
        <v>-381.07709999999997</v>
      </c>
      <c r="K428">
        <v>1.1215820000000001</v>
      </c>
      <c r="L428">
        <v>367.04390000000001</v>
      </c>
      <c r="M428">
        <v>0.99989050000000002</v>
      </c>
      <c r="N428">
        <v>-1.478084E-2</v>
      </c>
      <c r="O428">
        <v>-7.7977579999999997E-4</v>
      </c>
      <c r="P428">
        <v>0.98466589999999998</v>
      </c>
      <c r="Q428">
        <v>0.16484099999999999</v>
      </c>
      <c r="R428">
        <v>-5.7101390000000002E-2</v>
      </c>
      <c r="S428">
        <v>3.0609440000000001</v>
      </c>
      <c r="T428">
        <v>-0.19103319999999999</v>
      </c>
      <c r="U428">
        <v>-0.30477910000000002</v>
      </c>
      <c r="V428">
        <v>5.6340479999999998E-2</v>
      </c>
      <c r="W428">
        <v>0.1793759</v>
      </c>
      <c r="X428">
        <v>0.98216599999999998</v>
      </c>
      <c r="Y428">
        <v>9.8071050000000007E-2</v>
      </c>
      <c r="Z428">
        <v>-3.7402799999999999E-3</v>
      </c>
      <c r="AA428">
        <v>0.99517239999999996</v>
      </c>
      <c r="AB428">
        <v>24</v>
      </c>
      <c r="AC428">
        <v>17.717099999999899</v>
      </c>
      <c r="AD428">
        <v>-1.1215856045579999</v>
      </c>
      <c r="AE428">
        <v>-1.7893000000000201</v>
      </c>
      <c r="AF428">
        <v>1.7684669081822399</v>
      </c>
      <c r="AG428">
        <v>-1.1215856045579999</v>
      </c>
      <c r="AH428">
        <v>17.6484768641538</v>
      </c>
      <c r="AI428">
        <v>93.618265694851701</v>
      </c>
      <c r="AJ428">
        <v>84.277773630212906</v>
      </c>
      <c r="AK428">
        <v>17.772286434172202</v>
      </c>
      <c r="AL428">
        <v>79.666590212155199</v>
      </c>
      <c r="AM428">
        <v>86.716911437897494</v>
      </c>
      <c r="AN428">
        <v>1.0000000073717199</v>
      </c>
    </row>
    <row r="429" spans="1:40" x14ac:dyDescent="0.25">
      <c r="A429" t="str">
        <f>"20190303170505593"</f>
        <v>20190303170505593</v>
      </c>
      <c r="B429" t="str">
        <f>"1551603905584478"</f>
        <v>1551603905584478</v>
      </c>
      <c r="C429" t="s">
        <v>40</v>
      </c>
      <c r="D429">
        <v>5.8113429999999999</v>
      </c>
      <c r="E429">
        <v>0.51948739999999904</v>
      </c>
      <c r="F429" t="s">
        <v>41</v>
      </c>
      <c r="G429">
        <v>-362.84870000000001</v>
      </c>
      <c r="H429" s="1">
        <v>-3.8261279999999996E-6</v>
      </c>
      <c r="I429">
        <v>365.24200000000002</v>
      </c>
      <c r="J429">
        <v>-380.84829999999999</v>
      </c>
      <c r="K429">
        <v>1.1215839999999999</v>
      </c>
      <c r="L429">
        <v>367.0437</v>
      </c>
      <c r="M429">
        <v>0.99989059999999996</v>
      </c>
      <c r="N429">
        <v>-1.4776310000000001E-2</v>
      </c>
      <c r="O429">
        <v>-7.7974229999999895E-4</v>
      </c>
      <c r="P429">
        <v>0.98447949999999995</v>
      </c>
      <c r="Q429">
        <v>0.16588729999999999</v>
      </c>
      <c r="R429">
        <v>-5.7287230000000001E-2</v>
      </c>
      <c r="S429">
        <v>3.0606990000000001</v>
      </c>
      <c r="T429">
        <v>-0.18832160000000001</v>
      </c>
      <c r="U429">
        <v>-0.30252079999999998</v>
      </c>
      <c r="V429">
        <v>5.6526510000000002E-2</v>
      </c>
      <c r="W429">
        <v>0.18041489999999999</v>
      </c>
      <c r="X429">
        <v>0.98196499999999998</v>
      </c>
      <c r="Y429">
        <v>9.7359319999999999E-2</v>
      </c>
      <c r="Z429">
        <v>-3.6707279999999998E-3</v>
      </c>
      <c r="AA429">
        <v>0.99524250000000003</v>
      </c>
      <c r="AB429">
        <v>24</v>
      </c>
      <c r="AC429">
        <v>17.999599999999901</v>
      </c>
      <c r="AD429">
        <v>-1.1215878261279999</v>
      </c>
      <c r="AE429">
        <v>-1.8017000000000301</v>
      </c>
      <c r="AF429">
        <v>1.7808169727530201</v>
      </c>
      <c r="AG429">
        <v>-1.1215878261279999</v>
      </c>
      <c r="AH429">
        <v>17.932064275056099</v>
      </c>
      <c r="AI429">
        <v>93.561514314205894</v>
      </c>
      <c r="AJ429">
        <v>84.328603860588203</v>
      </c>
      <c r="AK429">
        <v>18.0551432424921</v>
      </c>
      <c r="AL429">
        <v>79.606072746970696</v>
      </c>
      <c r="AM429">
        <v>86.705422125216799</v>
      </c>
      <c r="AN429">
        <v>1.0000000218498899</v>
      </c>
    </row>
    <row r="430" spans="1:40" x14ac:dyDescent="0.25">
      <c r="A430" t="str">
        <f>"20190303170505616"</f>
        <v>20190303170505616</v>
      </c>
      <c r="B430" t="str">
        <f>"1551603905605190"</f>
        <v>1551603905605190</v>
      </c>
      <c r="C430" t="s">
        <v>40</v>
      </c>
      <c r="D430">
        <v>5.80565</v>
      </c>
      <c r="E430">
        <v>0.51944480000000004</v>
      </c>
      <c r="F430" t="s">
        <v>41</v>
      </c>
      <c r="G430">
        <v>-361.82859999999999</v>
      </c>
      <c r="H430" s="1">
        <v>-4.2780600000000003E-6</v>
      </c>
      <c r="I430">
        <v>365.16120000000001</v>
      </c>
      <c r="J430">
        <v>-380.5994</v>
      </c>
      <c r="K430">
        <v>1.1215900000000001</v>
      </c>
      <c r="L430">
        <v>367.04349999999999</v>
      </c>
      <c r="M430">
        <v>0.99989059999999996</v>
      </c>
      <c r="N430">
        <v>-1.477112E-2</v>
      </c>
      <c r="O430">
        <v>-7.7765959999999998E-4</v>
      </c>
      <c r="P430">
        <v>0.98427260000000005</v>
      </c>
      <c r="Q430">
        <v>0.16716639999999999</v>
      </c>
      <c r="R430">
        <v>-5.7121980000000003E-2</v>
      </c>
      <c r="S430">
        <v>3.0600890000000001</v>
      </c>
      <c r="T430">
        <v>-0.18045259999999999</v>
      </c>
      <c r="U430">
        <v>-0.30285640000000003</v>
      </c>
      <c r="V430">
        <v>5.6363030000000001E-2</v>
      </c>
      <c r="W430">
        <v>0.18168570000000001</v>
      </c>
      <c r="X430">
        <v>0.9817401</v>
      </c>
      <c r="Y430">
        <v>9.7505229999999998E-2</v>
      </c>
      <c r="Z430">
        <v>-3.5538969999999999E-3</v>
      </c>
      <c r="AA430">
        <v>0.99522860000000002</v>
      </c>
      <c r="AB430">
        <v>24</v>
      </c>
      <c r="AC430">
        <v>18.770800000000001</v>
      </c>
      <c r="AD430">
        <v>-1.1215942780599999</v>
      </c>
      <c r="AE430">
        <v>-1.8822999999999801</v>
      </c>
      <c r="AF430">
        <v>1.8611219145051501</v>
      </c>
      <c r="AG430">
        <v>-1.1215942780599999</v>
      </c>
      <c r="AH430">
        <v>18.7061364539591</v>
      </c>
      <c r="AI430">
        <v>93.414450776270996</v>
      </c>
      <c r="AJ430">
        <v>84.318193063908296</v>
      </c>
      <c r="AK430">
        <v>18.831922088288401</v>
      </c>
      <c r="AL430">
        <v>79.532038096024607</v>
      </c>
      <c r="AM430">
        <v>86.714178551987501</v>
      </c>
      <c r="AN430">
        <v>1.0000000543416301</v>
      </c>
    </row>
    <row r="431" spans="1:40" x14ac:dyDescent="0.25">
      <c r="A431" t="str">
        <f>"20190303170505637"</f>
        <v>20190303170505637</v>
      </c>
      <c r="B431" t="str">
        <f>"1551603905624710"</f>
        <v>1551603905624710</v>
      </c>
      <c r="C431" t="s">
        <v>40</v>
      </c>
      <c r="D431">
        <v>5.7382179999999998</v>
      </c>
      <c r="E431">
        <v>0.51944990000000002</v>
      </c>
      <c r="F431" t="s">
        <v>41</v>
      </c>
      <c r="G431">
        <v>-360.89</v>
      </c>
      <c r="H431" s="1">
        <v>-4.692601E-6</v>
      </c>
      <c r="I431">
        <v>365.09440000000001</v>
      </c>
      <c r="J431">
        <v>-380.37389999999999</v>
      </c>
      <c r="K431">
        <v>1.1215949999999999</v>
      </c>
      <c r="L431">
        <v>367.04329999999999</v>
      </c>
      <c r="M431">
        <v>0.99989070000000002</v>
      </c>
      <c r="N431">
        <v>-1.4766130000000001E-2</v>
      </c>
      <c r="O431">
        <v>-7.6825039999999997E-4</v>
      </c>
      <c r="P431">
        <v>0.98416840000000005</v>
      </c>
      <c r="Q431">
        <v>0.16780929999999999</v>
      </c>
      <c r="R431">
        <v>-5.7035460000000003E-2</v>
      </c>
      <c r="S431">
        <v>3.0599059999999998</v>
      </c>
      <c r="T431">
        <v>-0.17412729999999901</v>
      </c>
      <c r="U431">
        <v>-0.30258180000000001</v>
      </c>
      <c r="V431">
        <v>5.6283979999999997E-2</v>
      </c>
      <c r="W431">
        <v>0.1823225</v>
      </c>
      <c r="X431">
        <v>0.98162649999999996</v>
      </c>
      <c r="Y431">
        <v>9.7445030000000002E-2</v>
      </c>
      <c r="Z431">
        <v>-3.4533390000000001E-3</v>
      </c>
      <c r="AA431">
        <v>0.99523490000000003</v>
      </c>
      <c r="AB431">
        <v>24</v>
      </c>
      <c r="AC431">
        <v>19.483899999999998</v>
      </c>
      <c r="AD431">
        <v>-1.1215996926009999</v>
      </c>
      <c r="AE431">
        <v>-1.9488999999999801</v>
      </c>
      <c r="AF431">
        <v>1.9276048928766001</v>
      </c>
      <c r="AG431">
        <v>-1.1215996926009999</v>
      </c>
      <c r="AH431">
        <v>19.421670018243201</v>
      </c>
      <c r="AI431">
        <v>93.289031039448503</v>
      </c>
      <c r="AJ431">
        <v>84.331944280545699</v>
      </c>
      <c r="AK431">
        <v>19.5492944320508</v>
      </c>
      <c r="AL431">
        <v>79.494931638696599</v>
      </c>
      <c r="AM431">
        <v>86.718397995782098</v>
      </c>
      <c r="AN431">
        <v>0.99999998295657</v>
      </c>
    </row>
    <row r="432" spans="1:40" x14ac:dyDescent="0.25">
      <c r="A432" t="str">
        <f>"20190303170505660"</f>
        <v>20190303170505660</v>
      </c>
      <c r="B432" t="str">
        <f>"1551603905654967"</f>
        <v>1551603905654967</v>
      </c>
      <c r="C432" t="s">
        <v>40</v>
      </c>
      <c r="D432">
        <v>5.7975219999999998</v>
      </c>
      <c r="E432">
        <v>0.51945779999999997</v>
      </c>
      <c r="F432" t="s">
        <v>41</v>
      </c>
      <c r="G432">
        <v>-360.27280000000002</v>
      </c>
      <c r="H432" s="1">
        <v>-4.9644749999999996E-6</v>
      </c>
      <c r="I432">
        <v>365.05419999999998</v>
      </c>
      <c r="J432">
        <v>-380.12740000000002</v>
      </c>
      <c r="K432">
        <v>1.121605</v>
      </c>
      <c r="L432">
        <v>367.04309999999998</v>
      </c>
      <c r="M432">
        <v>0.99989090000000003</v>
      </c>
      <c r="N432">
        <v>-1.4760509999999999E-2</v>
      </c>
      <c r="O432">
        <v>-7.4119319999999998E-4</v>
      </c>
      <c r="P432">
        <v>0.98408929999999994</v>
      </c>
      <c r="Q432">
        <v>0.16804279999999999</v>
      </c>
      <c r="R432">
        <v>-5.7707599999999998E-2</v>
      </c>
      <c r="S432">
        <v>3.0598139999999998</v>
      </c>
      <c r="T432">
        <v>-0.17073039999999901</v>
      </c>
      <c r="U432">
        <v>-0.3027649</v>
      </c>
      <c r="V432">
        <v>5.6978029999999999E-2</v>
      </c>
      <c r="W432">
        <v>0.18255080000000001</v>
      </c>
      <c r="X432">
        <v>0.98154399999999997</v>
      </c>
      <c r="Y432">
        <v>9.7540450000000001E-2</v>
      </c>
      <c r="Z432">
        <v>-3.404593E-3</v>
      </c>
      <c r="AA432">
        <v>0.99522569999999999</v>
      </c>
      <c r="AB432">
        <v>24</v>
      </c>
      <c r="AC432">
        <v>19.854600000000001</v>
      </c>
      <c r="AD432">
        <v>-1.1216099644749999</v>
      </c>
      <c r="AE432">
        <v>-1.9888999999999999</v>
      </c>
      <c r="AF432">
        <v>1.9679638783434901</v>
      </c>
      <c r="AG432">
        <v>-1.1216099644749999</v>
      </c>
      <c r="AH432">
        <v>19.793530228502298</v>
      </c>
      <c r="AI432">
        <v>93.227346268478996</v>
      </c>
      <c r="AJ432">
        <v>84.322050143143997</v>
      </c>
      <c r="AK432">
        <v>19.922718932051101</v>
      </c>
      <c r="AL432">
        <v>79.481627466868503</v>
      </c>
      <c r="AM432">
        <v>86.677743333501894</v>
      </c>
      <c r="AN432">
        <v>0.99999995720965895</v>
      </c>
    </row>
    <row r="433" spans="1:40" x14ac:dyDescent="0.25">
      <c r="A433" t="str">
        <f>"20190303170505684"</f>
        <v>20190303170505684</v>
      </c>
      <c r="B433" t="str">
        <f>"1551603905674486"</f>
        <v>1551603905674486</v>
      </c>
      <c r="C433" t="s">
        <v>40</v>
      </c>
      <c r="D433">
        <v>5.7873849999999996</v>
      </c>
      <c r="E433">
        <v>0.51944609999999902</v>
      </c>
      <c r="F433" t="s">
        <v>41</v>
      </c>
      <c r="G433">
        <v>-359.72239999999999</v>
      </c>
      <c r="H433" s="1">
        <v>-1.3057090000000001E-6</v>
      </c>
      <c r="I433">
        <v>365.01170000000002</v>
      </c>
      <c r="J433">
        <v>-379.87990000000002</v>
      </c>
      <c r="K433">
        <v>1.1216219999999999</v>
      </c>
      <c r="L433">
        <v>367.04300000000001</v>
      </c>
      <c r="M433">
        <v>0.99989090000000003</v>
      </c>
      <c r="N433">
        <v>-1.475479E-2</v>
      </c>
      <c r="O433">
        <v>-6.8682119999999996E-4</v>
      </c>
      <c r="P433">
        <v>0.98398730000000001</v>
      </c>
      <c r="Q433">
        <v>0.16822290000000001</v>
      </c>
      <c r="R433">
        <v>-5.8904480000000002E-2</v>
      </c>
      <c r="S433">
        <v>3.0593870000000001</v>
      </c>
      <c r="T433">
        <v>-0.16816500000000001</v>
      </c>
      <c r="U433">
        <v>-0.30456539999999999</v>
      </c>
      <c r="V433">
        <v>5.8220439999999998E-2</v>
      </c>
      <c r="W433">
        <v>0.1827261</v>
      </c>
      <c r="X433">
        <v>0.98143849999999999</v>
      </c>
      <c r="Y433">
        <v>9.8191920000000002E-2</v>
      </c>
      <c r="Z433">
        <v>-3.389371E-3</v>
      </c>
      <c r="AA433">
        <v>0.99516170000000004</v>
      </c>
      <c r="AB433">
        <v>24</v>
      </c>
      <c r="AC433">
        <v>20.157499999999999</v>
      </c>
      <c r="AD433">
        <v>-1.1216233057089999</v>
      </c>
      <c r="AE433">
        <v>-2.0312999999999799</v>
      </c>
      <c r="AF433">
        <v>2.0112887828029802</v>
      </c>
      <c r="AG433">
        <v>-1.1216233057089999</v>
      </c>
      <c r="AH433">
        <v>20.097292014762498</v>
      </c>
      <c r="AI433">
        <v>93.178500280615594</v>
      </c>
      <c r="AJ433">
        <v>84.285004676333998</v>
      </c>
      <c r="AK433">
        <v>20.228802923909701</v>
      </c>
      <c r="AL433">
        <v>79.471412019080304</v>
      </c>
      <c r="AM433">
        <v>86.605104845147395</v>
      </c>
      <c r="AN433">
        <v>0.99999998826862602</v>
      </c>
    </row>
    <row r="434" spans="1:40" x14ac:dyDescent="0.25">
      <c r="A434" t="str">
        <f>"20190303170505704"</f>
        <v>20190303170505704</v>
      </c>
      <c r="B434" t="str">
        <f>"1551603905694983"</f>
        <v>1551603905694983</v>
      </c>
      <c r="C434" t="s">
        <v>40</v>
      </c>
      <c r="D434">
        <v>5.7940360000000002</v>
      </c>
      <c r="E434">
        <v>0.51943059999999996</v>
      </c>
      <c r="F434" t="s">
        <v>41</v>
      </c>
      <c r="G434">
        <v>-359.15480000000002</v>
      </c>
      <c r="H434" s="1">
        <v>-1.513049E-6</v>
      </c>
      <c r="I434">
        <v>364.95830000000001</v>
      </c>
      <c r="J434">
        <v>-379.65309999999999</v>
      </c>
      <c r="K434">
        <v>1.1216619999999999</v>
      </c>
      <c r="L434">
        <v>367.04289999999997</v>
      </c>
      <c r="M434">
        <v>0.99989119999999998</v>
      </c>
      <c r="N434">
        <v>-1.474954E-2</v>
      </c>
      <c r="O434">
        <v>-6.0243120000000002E-4</v>
      </c>
      <c r="P434">
        <v>0.98375060000000003</v>
      </c>
      <c r="Q434">
        <v>0.16918839999999999</v>
      </c>
      <c r="R434">
        <v>-6.0084659999999998E-2</v>
      </c>
      <c r="S434">
        <v>3.0586850000000001</v>
      </c>
      <c r="T434">
        <v>-0.1655327</v>
      </c>
      <c r="U434">
        <v>-0.30764770000000002</v>
      </c>
      <c r="V434">
        <v>5.9472730000000001E-2</v>
      </c>
      <c r="W434">
        <v>0.18368660000000001</v>
      </c>
      <c r="X434">
        <v>0.9811841</v>
      </c>
      <c r="Y434">
        <v>9.9294259999999995E-2</v>
      </c>
      <c r="Z434">
        <v>-3.3893360000000002E-3</v>
      </c>
      <c r="AA434">
        <v>0.9950523</v>
      </c>
      <c r="AB434">
        <v>24</v>
      </c>
      <c r="AC434">
        <v>20.498299999999901</v>
      </c>
      <c r="AD434">
        <v>-1.121663513049</v>
      </c>
      <c r="AE434">
        <v>-2.08459999999996</v>
      </c>
      <c r="AF434">
        <v>2.0661262724693201</v>
      </c>
      <c r="AG434">
        <v>-1.121663513049</v>
      </c>
      <c r="AH434">
        <v>20.438979083525901</v>
      </c>
      <c r="AI434">
        <v>93.125268317363293</v>
      </c>
      <c r="AJ434">
        <v>84.227718586615893</v>
      </c>
      <c r="AK434">
        <v>20.573742313616702</v>
      </c>
      <c r="AL434">
        <v>79.415432110641405</v>
      </c>
      <c r="AM434">
        <v>86.5313619063907</v>
      </c>
      <c r="AN434">
        <v>1.00000000536301</v>
      </c>
    </row>
    <row r="435" spans="1:40" x14ac:dyDescent="0.25">
      <c r="A435" t="str">
        <f>"20190303170505718"</f>
        <v>20190303170505718</v>
      </c>
      <c r="B435" t="str">
        <f>"1551603905704742"</f>
        <v>1551603905704742</v>
      </c>
      <c r="C435" t="s">
        <v>40</v>
      </c>
      <c r="D435">
        <v>5.7872029999999999</v>
      </c>
      <c r="E435">
        <v>0.5194202</v>
      </c>
      <c r="F435" t="s">
        <v>41</v>
      </c>
      <c r="G435">
        <v>-358.29020000000003</v>
      </c>
      <c r="H435" s="1">
        <v>-1.8288500000000001E-6</v>
      </c>
      <c r="I435">
        <v>364.87740000000002</v>
      </c>
      <c r="J435">
        <v>-379.50909999999999</v>
      </c>
      <c r="K435">
        <v>1.1216839999999999</v>
      </c>
      <c r="L435">
        <v>367.04289999999997</v>
      </c>
      <c r="M435">
        <v>0.99989119999999998</v>
      </c>
      <c r="N435">
        <v>-1.4746199999999999E-2</v>
      </c>
      <c r="O435">
        <v>-5.3178609999999995E-4</v>
      </c>
      <c r="P435">
        <v>0.9835081</v>
      </c>
      <c r="Q435">
        <v>0.17021600000000001</v>
      </c>
      <c r="R435">
        <v>-6.1143639999999999E-2</v>
      </c>
      <c r="S435">
        <v>3.0582280000000002</v>
      </c>
      <c r="T435">
        <v>-0.16057149999999901</v>
      </c>
      <c r="U435">
        <v>-0.30999759999999998</v>
      </c>
      <c r="V435">
        <v>6.0593809999999998E-2</v>
      </c>
      <c r="W435">
        <v>0.18470980000000001</v>
      </c>
      <c r="X435">
        <v>0.9809234</v>
      </c>
      <c r="Y435">
        <v>0.10014430000000001</v>
      </c>
      <c r="Z435">
        <v>-3.3414500000000001E-3</v>
      </c>
      <c r="AA435">
        <v>0.9949673</v>
      </c>
      <c r="AB435">
        <v>24</v>
      </c>
      <c r="AC435">
        <v>21.218899999999898</v>
      </c>
      <c r="AD435">
        <v>-1.12168582885</v>
      </c>
      <c r="AE435">
        <v>-2.16549999999995</v>
      </c>
      <c r="AF435">
        <v>2.1482731849793102</v>
      </c>
      <c r="AG435">
        <v>-1.12168582885</v>
      </c>
      <c r="AH435">
        <v>21.161523391844099</v>
      </c>
      <c r="AI435">
        <v>93.018689153253703</v>
      </c>
      <c r="AJ435">
        <v>84.203312302290598</v>
      </c>
      <c r="AK435">
        <v>21.299843404107602</v>
      </c>
      <c r="AL435">
        <v>79.355786617010097</v>
      </c>
      <c r="AM435">
        <v>86.465204323454898</v>
      </c>
      <c r="AN435">
        <v>1.00000001834695</v>
      </c>
    </row>
    <row r="436" spans="1:40" x14ac:dyDescent="0.25">
      <c r="A436" t="str">
        <f>"20190303170505737"</f>
        <v>20190303170505737</v>
      </c>
      <c r="B436" t="str">
        <f>"1551603905725239"</f>
        <v>1551603905725239</v>
      </c>
      <c r="C436" t="s">
        <v>40</v>
      </c>
      <c r="D436">
        <v>5.7525950000000003</v>
      </c>
      <c r="E436">
        <v>0.51935949999999997</v>
      </c>
      <c r="F436" t="s">
        <v>41</v>
      </c>
      <c r="G436">
        <v>-357.5804</v>
      </c>
      <c r="H436" s="1">
        <v>-2.092253E-6</v>
      </c>
      <c r="I436">
        <v>364.7953</v>
      </c>
      <c r="J436">
        <v>-379.3</v>
      </c>
      <c r="K436">
        <v>1.1217189999999999</v>
      </c>
      <c r="L436">
        <v>367.04289999999997</v>
      </c>
      <c r="M436">
        <v>0.99989130000000004</v>
      </c>
      <c r="N436">
        <v>-1.474136E-2</v>
      </c>
      <c r="O436">
        <v>-4.0651279999999999E-4</v>
      </c>
      <c r="P436">
        <v>0.98319730000000005</v>
      </c>
      <c r="Q436">
        <v>0.1712957</v>
      </c>
      <c r="R436">
        <v>-6.3093040000000003E-2</v>
      </c>
      <c r="S436">
        <v>3.057922</v>
      </c>
      <c r="T436">
        <v>-0.15641629999999901</v>
      </c>
      <c r="U436">
        <v>-0.31341550000000001</v>
      </c>
      <c r="V436">
        <v>6.2655559999999999E-2</v>
      </c>
      <c r="W436">
        <v>0.18578420000000001</v>
      </c>
      <c r="X436">
        <v>0.98059090000000004</v>
      </c>
      <c r="Y436">
        <v>0.1013853</v>
      </c>
      <c r="Z436">
        <v>-3.319682E-3</v>
      </c>
      <c r="AA436">
        <v>0.99484170000000005</v>
      </c>
      <c r="AB436">
        <v>24</v>
      </c>
      <c r="AC436">
        <v>21.7196</v>
      </c>
      <c r="AD436">
        <v>-1.1217210922530001</v>
      </c>
      <c r="AE436">
        <v>-2.2475999999999701</v>
      </c>
      <c r="AF436">
        <v>2.2328769870726202</v>
      </c>
      <c r="AG436">
        <v>-1.1217210922530001</v>
      </c>
      <c r="AH436">
        <v>21.663342322321501</v>
      </c>
      <c r="AI436">
        <v>92.948517355518007</v>
      </c>
      <c r="AJ436">
        <v>84.115208858585504</v>
      </c>
      <c r="AK436">
        <v>21.806980497590398</v>
      </c>
      <c r="AL436">
        <v>79.293143615405995</v>
      </c>
      <c r="AM436">
        <v>86.344014986931199</v>
      </c>
      <c r="AN436">
        <v>1.00000000066568</v>
      </c>
    </row>
    <row r="437" spans="1:40" x14ac:dyDescent="0.25">
      <c r="A437" t="str">
        <f>"20190303170505762"</f>
        <v>20190303170505762</v>
      </c>
      <c r="B437" t="str">
        <f>"1551603905754518"</f>
        <v>1551603905754518</v>
      </c>
      <c r="C437" t="s">
        <v>40</v>
      </c>
      <c r="D437">
        <v>5.8150639999999996</v>
      </c>
      <c r="E437">
        <v>0.51933689999999999</v>
      </c>
      <c r="F437" t="s">
        <v>41</v>
      </c>
      <c r="G437">
        <v>-356.59449999999998</v>
      </c>
      <c r="H437" s="1">
        <v>-2.4600210000000001E-6</v>
      </c>
      <c r="I437">
        <v>364.67399999999998</v>
      </c>
      <c r="J437">
        <v>-379.0421</v>
      </c>
      <c r="K437">
        <v>1.1217520000000001</v>
      </c>
      <c r="L437">
        <v>367.04300000000001</v>
      </c>
      <c r="M437">
        <v>0.99989150000000004</v>
      </c>
      <c r="N437">
        <v>-1.473526E-2</v>
      </c>
      <c r="O437">
        <v>-2.0493599999999999E-4</v>
      </c>
      <c r="P437">
        <v>0.98295140000000003</v>
      </c>
      <c r="Q437">
        <v>0.17207600000000001</v>
      </c>
      <c r="R437">
        <v>-6.4781210000000006E-2</v>
      </c>
      <c r="S437">
        <v>3.0570979999999999</v>
      </c>
      <c r="T437">
        <v>-0.151029</v>
      </c>
      <c r="U437">
        <v>-0.31893919999999998</v>
      </c>
      <c r="V437">
        <v>6.4527249999999994E-2</v>
      </c>
      <c r="W437">
        <v>0.18655959999999999</v>
      </c>
      <c r="X437">
        <v>0.98032220000000003</v>
      </c>
      <c r="Y437">
        <v>0.1033982</v>
      </c>
      <c r="Z437">
        <v>-3.3030450000000001E-3</v>
      </c>
      <c r="AA437">
        <v>0.99463460000000004</v>
      </c>
      <c r="AB437">
        <v>24</v>
      </c>
      <c r="AC437">
        <v>22.447600000000001</v>
      </c>
      <c r="AD437">
        <v>-1.1217544600210001</v>
      </c>
      <c r="AE437">
        <v>-2.36899999999997</v>
      </c>
      <c r="AF437">
        <v>2.3585741413658599</v>
      </c>
      <c r="AG437">
        <v>-1.1217544600210001</v>
      </c>
      <c r="AH437">
        <v>22.3927814525257</v>
      </c>
      <c r="AI437">
        <v>92.852054029184998</v>
      </c>
      <c r="AJ437">
        <v>83.987351851222797</v>
      </c>
      <c r="AK437">
        <v>22.544575095341202</v>
      </c>
      <c r="AL437">
        <v>79.247925199134102</v>
      </c>
      <c r="AM437">
        <v>86.234081491689906</v>
      </c>
      <c r="AN437">
        <v>0.99999993307877899</v>
      </c>
    </row>
    <row r="438" spans="1:40" x14ac:dyDescent="0.25">
      <c r="A438" t="str">
        <f>"20190303170505783"</f>
        <v>20190303170505783</v>
      </c>
      <c r="B438" t="str">
        <f>"1551603905775015"</f>
        <v>1551603905775015</v>
      </c>
      <c r="C438" t="s">
        <v>40</v>
      </c>
      <c r="D438">
        <v>5.7390309999999998</v>
      </c>
      <c r="E438">
        <v>0.51939449999999998</v>
      </c>
      <c r="F438" t="s">
        <v>41</v>
      </c>
      <c r="G438">
        <v>-355.64269999999999</v>
      </c>
      <c r="H438" s="1">
        <v>-2.8131300000000002E-6</v>
      </c>
      <c r="I438">
        <v>364.56420000000003</v>
      </c>
      <c r="J438">
        <v>-378.8159</v>
      </c>
      <c r="K438">
        <v>1.12178</v>
      </c>
      <c r="L438">
        <v>367.04320000000001</v>
      </c>
      <c r="M438">
        <v>0.99989159999999999</v>
      </c>
      <c r="N438">
        <v>-1.473003E-2</v>
      </c>
      <c r="O438" s="1">
        <v>1.9631570000000002E-5</v>
      </c>
      <c r="P438">
        <v>0.98279700000000003</v>
      </c>
      <c r="Q438">
        <v>0.17259160000000001</v>
      </c>
      <c r="R438">
        <v>-6.5745200000000004E-2</v>
      </c>
      <c r="S438">
        <v>3.0563349999999998</v>
      </c>
      <c r="T438">
        <v>-0.14651810000000001</v>
      </c>
      <c r="U438">
        <v>-0.32376100000000002</v>
      </c>
      <c r="V438">
        <v>6.5699259999999995E-2</v>
      </c>
      <c r="W438">
        <v>0.1870725</v>
      </c>
      <c r="X438">
        <v>0.98014659999999998</v>
      </c>
      <c r="Y438">
        <v>0.1052047</v>
      </c>
      <c r="Z438">
        <v>-3.2915090000000002E-3</v>
      </c>
      <c r="AA438">
        <v>0.99444509999999997</v>
      </c>
      <c r="AB438">
        <v>24</v>
      </c>
      <c r="AC438">
        <v>23.173200000000001</v>
      </c>
      <c r="AD438">
        <v>-1.1217828131299901</v>
      </c>
      <c r="AE438">
        <v>-2.4789999999999801</v>
      </c>
      <c r="AF438">
        <v>2.4737236526350999</v>
      </c>
      <c r="AG438">
        <v>-1.1217828131299901</v>
      </c>
      <c r="AH438">
        <v>23.119586001777801</v>
      </c>
      <c r="AI438">
        <v>92.762122212380902</v>
      </c>
      <c r="AJ438">
        <v>83.892765306820195</v>
      </c>
      <c r="AK438">
        <v>23.278594508325501</v>
      </c>
      <c r="AL438">
        <v>79.218011582912894</v>
      </c>
      <c r="AM438">
        <v>86.165198368696807</v>
      </c>
      <c r="AN438">
        <v>0.99999993525617603</v>
      </c>
    </row>
    <row r="439" spans="1:40" x14ac:dyDescent="0.25">
      <c r="A439" t="str">
        <f>"20190303170505797"</f>
        <v>20190303170505797</v>
      </c>
      <c r="B439" t="str">
        <f>"1551603905784775"</f>
        <v>1551603905784775</v>
      </c>
      <c r="C439" t="s">
        <v>40</v>
      </c>
      <c r="D439">
        <v>5.7592650000000001</v>
      </c>
      <c r="E439">
        <v>0.51939079999999904</v>
      </c>
      <c r="F439" t="s">
        <v>41</v>
      </c>
      <c r="G439">
        <v>-355.21969999999999</v>
      </c>
      <c r="H439" s="1">
        <v>-2.9687609999999998E-6</v>
      </c>
      <c r="I439">
        <v>364.52030000000002</v>
      </c>
      <c r="J439">
        <v>-378.67</v>
      </c>
      <c r="K439">
        <v>1.1217969999999999</v>
      </c>
      <c r="L439">
        <v>367.04340000000002</v>
      </c>
      <c r="M439">
        <v>0.99989159999999999</v>
      </c>
      <c r="N439">
        <v>-1.4726650000000001E-2</v>
      </c>
      <c r="O439">
        <v>1.8515010000000001E-4</v>
      </c>
      <c r="P439">
        <v>0.98269490000000004</v>
      </c>
      <c r="Q439">
        <v>0.17309449999999901</v>
      </c>
      <c r="R439">
        <v>-6.5948300000000001E-2</v>
      </c>
      <c r="S439">
        <v>3.0561829999999999</v>
      </c>
      <c r="T439">
        <v>-0.14529239999999999</v>
      </c>
      <c r="U439">
        <v>-0.32675169999999998</v>
      </c>
      <c r="V439">
        <v>6.6057539999999998E-2</v>
      </c>
      <c r="W439">
        <v>0.1875733</v>
      </c>
      <c r="X439">
        <v>0.98002690000000003</v>
      </c>
      <c r="Y439">
        <v>0.10633720000000001</v>
      </c>
      <c r="Z439">
        <v>-3.310959E-3</v>
      </c>
      <c r="AA439">
        <v>0.9943246</v>
      </c>
      <c r="AB439">
        <v>24</v>
      </c>
      <c r="AC439">
        <v>23.450299999999999</v>
      </c>
      <c r="AD439">
        <v>-1.1217999687610001</v>
      </c>
      <c r="AE439">
        <v>-2.5230999999999901</v>
      </c>
      <c r="AF439">
        <v>2.5217375207374699</v>
      </c>
      <c r="AG439">
        <v>-1.1217999687610001</v>
      </c>
      <c r="AH439">
        <v>23.396903387638002</v>
      </c>
      <c r="AI439">
        <v>92.729248169574504</v>
      </c>
      <c r="AJ439">
        <v>83.848360934251005</v>
      </c>
      <c r="AK439">
        <v>23.559131635607301</v>
      </c>
      <c r="AL439">
        <v>79.188801846488204</v>
      </c>
      <c r="AM439">
        <v>86.143879315127805</v>
      </c>
      <c r="AN439">
        <v>1.00000003309367</v>
      </c>
    </row>
    <row r="440" spans="1:40" x14ac:dyDescent="0.25">
      <c r="A440" t="str">
        <f>"20190303170505817"</f>
        <v>20190303170505817</v>
      </c>
      <c r="B440" t="str">
        <f>"1551603905805272"</f>
        <v>1551603905805272</v>
      </c>
      <c r="C440" t="s">
        <v>40</v>
      </c>
      <c r="D440">
        <v>5.7392050000000001</v>
      </c>
      <c r="E440">
        <v>0.51941389999999998</v>
      </c>
      <c r="F440" t="s">
        <v>41</v>
      </c>
      <c r="G440">
        <v>-354.8442</v>
      </c>
      <c r="H440" s="1">
        <v>-3.1045999999999999E-6</v>
      </c>
      <c r="I440">
        <v>364.49009999999998</v>
      </c>
      <c r="J440">
        <v>-378.46499999999997</v>
      </c>
      <c r="K440">
        <v>1.121821</v>
      </c>
      <c r="L440">
        <v>367.0437</v>
      </c>
      <c r="M440">
        <v>0.99989170000000005</v>
      </c>
      <c r="N440">
        <v>-1.4721959999999999E-2</v>
      </c>
      <c r="O440">
        <v>4.3170939999999998E-4</v>
      </c>
      <c r="P440">
        <v>0.98259739999999995</v>
      </c>
      <c r="Q440">
        <v>0.17344799999999999</v>
      </c>
      <c r="R440">
        <v>-6.6473359999999995E-2</v>
      </c>
      <c r="S440">
        <v>3.0561829999999999</v>
      </c>
      <c r="T440">
        <v>-0.14389460000000001</v>
      </c>
      <c r="U440">
        <v>-0.32751459999999999</v>
      </c>
      <c r="V440">
        <v>6.6816669999999995E-2</v>
      </c>
      <c r="W440">
        <v>0.18792310000000001</v>
      </c>
      <c r="X440">
        <v>0.97990829999999995</v>
      </c>
      <c r="Y440">
        <v>0.1068296</v>
      </c>
      <c r="Z440">
        <v>-3.3095249999999998E-3</v>
      </c>
      <c r="AA440">
        <v>0.99427180000000004</v>
      </c>
      <c r="AB440">
        <v>24</v>
      </c>
      <c r="AC440">
        <v>23.6207999999999</v>
      </c>
      <c r="AD440">
        <v>-1.1218241045999999</v>
      </c>
      <c r="AE440">
        <v>-2.5536000000000101</v>
      </c>
      <c r="AF440">
        <v>2.5580948287714902</v>
      </c>
      <c r="AG440">
        <v>-1.1218241045999999</v>
      </c>
      <c r="AH440">
        <v>23.567151511854298</v>
      </c>
      <c r="AI440">
        <v>92.709398877016397</v>
      </c>
      <c r="AJ440">
        <v>83.805087100807</v>
      </c>
      <c r="AK440">
        <v>23.732108394690702</v>
      </c>
      <c r="AL440">
        <v>79.1683956611393</v>
      </c>
      <c r="AM440">
        <v>86.099230363280299</v>
      </c>
      <c r="AN440">
        <v>0.99999991765619101</v>
      </c>
    </row>
    <row r="441" spans="1:40" x14ac:dyDescent="0.25">
      <c r="A441" t="str">
        <f>"20190303170505838"</f>
        <v>20190303170505838</v>
      </c>
      <c r="B441" t="str">
        <f>"1551603905824791"</f>
        <v>1551603905824791</v>
      </c>
      <c r="C441" t="s">
        <v>40</v>
      </c>
      <c r="D441">
        <v>5.769069</v>
      </c>
      <c r="E441">
        <v>0.51940940000000002</v>
      </c>
      <c r="F441" t="s">
        <v>41</v>
      </c>
      <c r="G441">
        <v>-354.46749999999997</v>
      </c>
      <c r="H441" s="1">
        <v>-3.271971E-6</v>
      </c>
      <c r="I441">
        <v>364.45119999999997</v>
      </c>
      <c r="J441">
        <v>-378.24220000000003</v>
      </c>
      <c r="K441">
        <v>1.121839</v>
      </c>
      <c r="L441">
        <v>367.04410000000001</v>
      </c>
      <c r="M441">
        <v>0.99989150000000004</v>
      </c>
      <c r="N441">
        <v>-1.471684E-2</v>
      </c>
      <c r="O441">
        <v>7.1596089999999995E-4</v>
      </c>
      <c r="P441">
        <v>0.98254070000000004</v>
      </c>
      <c r="Q441">
        <v>0.17380190000000001</v>
      </c>
      <c r="R441">
        <v>-6.6386379999999995E-2</v>
      </c>
      <c r="S441">
        <v>3.0560299999999998</v>
      </c>
      <c r="T441">
        <v>-0.14286090000000001</v>
      </c>
      <c r="U441">
        <v>-0.33013920000000002</v>
      </c>
      <c r="V441">
        <v>6.7003060000000003E-2</v>
      </c>
      <c r="W441">
        <v>0.188273</v>
      </c>
      <c r="X441">
        <v>0.97982849999999999</v>
      </c>
      <c r="Y441">
        <v>0.10796169999999999</v>
      </c>
      <c r="Z441">
        <v>-3.3349669999999999E-3</v>
      </c>
      <c r="AA441">
        <v>0.99414939999999996</v>
      </c>
      <c r="AB441">
        <v>24</v>
      </c>
      <c r="AC441">
        <v>23.774699999999999</v>
      </c>
      <c r="AD441">
        <v>-1.1218422719709999</v>
      </c>
      <c r="AE441">
        <v>-2.5929000000000402</v>
      </c>
      <c r="AF441">
        <v>2.6041927115767201</v>
      </c>
      <c r="AG441">
        <v>-1.1218422719709999</v>
      </c>
      <c r="AH441">
        <v>23.720642784153</v>
      </c>
      <c r="AI441">
        <v>92.691576492828503</v>
      </c>
      <c r="AJ441">
        <v>83.734820742252893</v>
      </c>
      <c r="AK441">
        <v>23.8895216330423</v>
      </c>
      <c r="AL441">
        <v>79.147984539653606</v>
      </c>
      <c r="AM441">
        <v>86.088065029522994</v>
      </c>
      <c r="AN441">
        <v>1.0000000109953</v>
      </c>
    </row>
    <row r="442" spans="1:40" x14ac:dyDescent="0.25">
      <c r="A442" t="str">
        <f>"20190303170505861"</f>
        <v>20190303170505861</v>
      </c>
      <c r="B442" t="str">
        <f>"1551603905855047"</f>
        <v>1551603905855047</v>
      </c>
      <c r="C442" t="s">
        <v>40</v>
      </c>
      <c r="D442">
        <v>5.7705159999999998</v>
      </c>
      <c r="E442">
        <v>0.51938869999999904</v>
      </c>
      <c r="F442" t="s">
        <v>41</v>
      </c>
      <c r="G442">
        <v>-354.08760000000001</v>
      </c>
      <c r="H442" s="1">
        <v>-3.4379810000000001E-6</v>
      </c>
      <c r="I442">
        <v>364.43400000000003</v>
      </c>
      <c r="J442">
        <v>-377.99160000000001</v>
      </c>
      <c r="K442">
        <v>1.121845</v>
      </c>
      <c r="L442">
        <v>367.0446</v>
      </c>
      <c r="M442">
        <v>0.99989130000000004</v>
      </c>
      <c r="N442">
        <v>-1.471097E-2</v>
      </c>
      <c r="O442">
        <v>1.0478379999999999E-3</v>
      </c>
      <c r="P442">
        <v>0.98244640000000005</v>
      </c>
      <c r="Q442">
        <v>0.17454790000000001</v>
      </c>
      <c r="R442">
        <v>-6.5822469999999994E-2</v>
      </c>
      <c r="S442">
        <v>3.0560610000000001</v>
      </c>
      <c r="T442">
        <v>-0.1419358</v>
      </c>
      <c r="U442">
        <v>-0.33023069999999999</v>
      </c>
      <c r="V442">
        <v>6.6762440000000006E-2</v>
      </c>
      <c r="W442">
        <v>0.1890124</v>
      </c>
      <c r="X442">
        <v>0.97970250000000003</v>
      </c>
      <c r="Y442">
        <v>0.10832120000000001</v>
      </c>
      <c r="Z442">
        <v>-3.3396020000000001E-3</v>
      </c>
      <c r="AA442">
        <v>0.9941103</v>
      </c>
      <c r="AB442">
        <v>24</v>
      </c>
      <c r="AC442">
        <v>23.904</v>
      </c>
      <c r="AD442">
        <v>-1.1218484379809901</v>
      </c>
      <c r="AE442">
        <v>-2.6105999999999701</v>
      </c>
      <c r="AF442">
        <v>2.6299245106982698</v>
      </c>
      <c r="AG442">
        <v>-1.1218484379809901</v>
      </c>
      <c r="AH442">
        <v>23.849340700203101</v>
      </c>
      <c r="AI442">
        <v>92.676946473026007</v>
      </c>
      <c r="AJ442">
        <v>83.707280065066001</v>
      </c>
      <c r="AK442">
        <v>24.020118623440101</v>
      </c>
      <c r="AL442">
        <v>79.104844835667294</v>
      </c>
      <c r="AM442">
        <v>86.101570335714598</v>
      </c>
      <c r="AN442">
        <v>0.99999994962738004</v>
      </c>
    </row>
    <row r="443" spans="1:40" x14ac:dyDescent="0.25">
      <c r="A443" t="str">
        <f>"20190303170505883"</f>
        <v>20190303170505883</v>
      </c>
      <c r="B443" t="str">
        <f>"1551603905874566"</f>
        <v>1551603905874566</v>
      </c>
      <c r="C443" t="s">
        <v>40</v>
      </c>
      <c r="D443">
        <v>5.7166350000000001</v>
      </c>
      <c r="E443">
        <v>0.51936640000000001</v>
      </c>
      <c r="F443" t="s">
        <v>41</v>
      </c>
      <c r="G443">
        <v>-353.51929999999999</v>
      </c>
      <c r="H443" s="1">
        <v>-3.6860899999999999E-6</v>
      </c>
      <c r="I443">
        <v>364.40960000000001</v>
      </c>
      <c r="J443">
        <v>-377.76420000000002</v>
      </c>
      <c r="K443">
        <v>1.1218429999999999</v>
      </c>
      <c r="L443">
        <v>367.04520000000002</v>
      </c>
      <c r="M443">
        <v>0.99989099999999997</v>
      </c>
      <c r="N443">
        <v>-1.470553E-2</v>
      </c>
      <c r="O443">
        <v>1.355329E-3</v>
      </c>
      <c r="P443">
        <v>0.98238559999999997</v>
      </c>
      <c r="Q443">
        <v>0.17497929999999901</v>
      </c>
      <c r="R443">
        <v>-6.5582459999999995E-2</v>
      </c>
      <c r="S443">
        <v>3.0564580000000001</v>
      </c>
      <c r="T443">
        <v>-0.1401126</v>
      </c>
      <c r="U443">
        <v>-0.32910159999999899</v>
      </c>
      <c r="V443">
        <v>6.6825060000000006E-2</v>
      </c>
      <c r="W443">
        <v>0.18943699999999999</v>
      </c>
      <c r="X443">
        <v>0.9796163</v>
      </c>
      <c r="Y443">
        <v>0.1082535</v>
      </c>
      <c r="Z443">
        <v>-3.3137140000000002E-3</v>
      </c>
      <c r="AA443">
        <v>0.99411780000000005</v>
      </c>
      <c r="AB443">
        <v>24</v>
      </c>
      <c r="AC443">
        <v>24.244900000000001</v>
      </c>
      <c r="AD443">
        <v>-1.1218466860899901</v>
      </c>
      <c r="AE443">
        <v>-2.6356000000000099</v>
      </c>
      <c r="AF443">
        <v>2.6628262965606901</v>
      </c>
      <c r="AG443">
        <v>-1.1218466860899901</v>
      </c>
      <c r="AH443">
        <v>24.190117949196001</v>
      </c>
      <c r="AI443">
        <v>92.639340156892899</v>
      </c>
      <c r="AJ443">
        <v>83.7182239073869</v>
      </c>
      <c r="AK443">
        <v>24.362080992164</v>
      </c>
      <c r="AL443">
        <v>79.080070342523697</v>
      </c>
      <c r="AM443">
        <v>86.097582787487795</v>
      </c>
      <c r="AN443">
        <v>1.0000000304193399</v>
      </c>
    </row>
    <row r="444" spans="1:40" x14ac:dyDescent="0.25">
      <c r="A444" t="str">
        <f>"20190303170505904"</f>
        <v>20190303170505904</v>
      </c>
      <c r="B444" t="str">
        <f>"1551603905895063"</f>
        <v>1551603905895063</v>
      </c>
      <c r="C444" t="s">
        <v>40</v>
      </c>
      <c r="D444">
        <v>5.73461</v>
      </c>
      <c r="E444">
        <v>0.51932599999999995</v>
      </c>
      <c r="F444" t="s">
        <v>41</v>
      </c>
      <c r="G444">
        <v>-353.1001</v>
      </c>
      <c r="H444" s="1">
        <v>-3.8670880000000003E-6</v>
      </c>
      <c r="I444">
        <v>364.40320000000003</v>
      </c>
      <c r="J444">
        <v>-377.54250000000002</v>
      </c>
      <c r="K444">
        <v>1.1218410000000001</v>
      </c>
      <c r="L444">
        <v>367.04590000000002</v>
      </c>
      <c r="M444">
        <v>0.99989070000000002</v>
      </c>
      <c r="N444">
        <v>-1.470022E-2</v>
      </c>
      <c r="O444">
        <v>1.653248E-3</v>
      </c>
      <c r="P444">
        <v>0.98242879999999999</v>
      </c>
      <c r="Q444">
        <v>0.17480619999999999</v>
      </c>
      <c r="R444">
        <v>-6.5398040000000005E-2</v>
      </c>
      <c r="S444">
        <v>3.0566710000000001</v>
      </c>
      <c r="T444">
        <v>-0.13903209999999999</v>
      </c>
      <c r="U444">
        <v>-0.32742310000000002</v>
      </c>
      <c r="V444">
        <v>6.69352E-2</v>
      </c>
      <c r="W444">
        <v>0.1892587</v>
      </c>
      <c r="X444">
        <v>0.97964320000000005</v>
      </c>
      <c r="Y444">
        <v>0.1080049</v>
      </c>
      <c r="Z444">
        <v>-3.2954439999999998E-3</v>
      </c>
      <c r="AA444">
        <v>0.9941449</v>
      </c>
      <c r="AB444">
        <v>23</v>
      </c>
      <c r="AC444">
        <v>24.442399999999999</v>
      </c>
      <c r="AD444">
        <v>-1.1218448670879999</v>
      </c>
      <c r="AE444">
        <v>-2.6426999999999898</v>
      </c>
      <c r="AF444">
        <v>2.6775348316601599</v>
      </c>
      <c r="AG444">
        <v>-1.1218448670879999</v>
      </c>
      <c r="AH444">
        <v>24.387217069820199</v>
      </c>
      <c r="AI444">
        <v>92.618115768151398</v>
      </c>
      <c r="AJ444">
        <v>83.734445492469604</v>
      </c>
      <c r="AK444">
        <v>24.559399119096799</v>
      </c>
      <c r="AL444">
        <v>79.090473918745204</v>
      </c>
      <c r="AM444">
        <v>86.091277807462404</v>
      </c>
      <c r="AN444">
        <v>0.99999998791548494</v>
      </c>
    </row>
    <row r="445" spans="1:40" x14ac:dyDescent="0.25">
      <c r="A445" t="str">
        <f>"20190303170505938"</f>
        <v>20190303170505938</v>
      </c>
      <c r="B445" t="str">
        <f>"1551603905925318"</f>
        <v>1551603905925318</v>
      </c>
      <c r="C445" t="s">
        <v>40</v>
      </c>
      <c r="D445">
        <v>5.7278200000000004</v>
      </c>
      <c r="E445">
        <v>0.49275219999999997</v>
      </c>
      <c r="F445" t="s">
        <v>41</v>
      </c>
      <c r="G445">
        <v>-352.97730000000001</v>
      </c>
      <c r="H445" s="1">
        <v>-3.9134499999999998E-6</v>
      </c>
      <c r="I445">
        <v>364.43869999999998</v>
      </c>
      <c r="J445">
        <v>-377.19400000000002</v>
      </c>
      <c r="K445">
        <v>1.1218300000000001</v>
      </c>
      <c r="L445">
        <v>367.04700000000003</v>
      </c>
      <c r="M445">
        <v>0.9998899</v>
      </c>
      <c r="N445">
        <v>-1.469206E-2</v>
      </c>
      <c r="O445">
        <v>2.1114660000000002E-3</v>
      </c>
      <c r="P445">
        <v>0.98244229999999999</v>
      </c>
      <c r="Q445">
        <v>0.1748652</v>
      </c>
      <c r="R445">
        <v>-6.5032999999999994E-2</v>
      </c>
      <c r="S445">
        <v>3.056915</v>
      </c>
      <c r="T445">
        <v>-0.139602799999999</v>
      </c>
      <c r="U445">
        <v>-0.32443240000000001</v>
      </c>
      <c r="V445">
        <v>6.7023490000000005E-2</v>
      </c>
      <c r="W445">
        <v>0.18930830000000001</v>
      </c>
      <c r="X445">
        <v>0.97962760000000004</v>
      </c>
      <c r="Y445">
        <v>0.1074898</v>
      </c>
      <c r="Z445">
        <v>-3.3038780000000001E-3</v>
      </c>
      <c r="AA445">
        <v>0.99420070000000005</v>
      </c>
      <c r="AB445">
        <v>23</v>
      </c>
      <c r="AC445">
        <v>24.216699999999999</v>
      </c>
      <c r="AD445">
        <v>-1.1218339134499999</v>
      </c>
      <c r="AE445">
        <v>-2.6082999999999799</v>
      </c>
      <c r="AF445">
        <v>2.6538027205797001</v>
      </c>
      <c r="AG445">
        <v>-1.1218339134499999</v>
      </c>
      <c r="AH445">
        <v>24.159885823032699</v>
      </c>
      <c r="AI445">
        <v>92.642675724790394</v>
      </c>
      <c r="AJ445">
        <v>83.731569914434303</v>
      </c>
      <c r="AK445">
        <v>24.331076079596201</v>
      </c>
      <c r="AL445">
        <v>79.087579946486699</v>
      </c>
      <c r="AM445">
        <v>86.086075939444797</v>
      </c>
      <c r="AN445">
        <v>1.0000000076712099</v>
      </c>
    </row>
    <row r="446" spans="1:40" x14ac:dyDescent="0.25">
      <c r="A446" t="str">
        <f>"20190303170505963"</f>
        <v>20190303170505963</v>
      </c>
      <c r="B446" t="str">
        <f>"1551603905954598"</f>
        <v>1551603905954598</v>
      </c>
      <c r="C446" t="s">
        <v>40</v>
      </c>
      <c r="D446">
        <v>5.6768029999999996</v>
      </c>
      <c r="E446">
        <v>0.48958580000000002</v>
      </c>
      <c r="F446" t="s">
        <v>41</v>
      </c>
      <c r="G446">
        <v>-339.17520000000002</v>
      </c>
      <c r="H446" s="1">
        <v>-1.322928E-6</v>
      </c>
      <c r="I446">
        <v>365.64690000000002</v>
      </c>
      <c r="J446">
        <v>-376.9393</v>
      </c>
      <c r="K446">
        <v>1.1218300000000001</v>
      </c>
      <c r="L446">
        <v>367.04790000000003</v>
      </c>
      <c r="M446">
        <v>0.99988929999999998</v>
      </c>
      <c r="N446">
        <v>-1.4685989999999999E-2</v>
      </c>
      <c r="O446">
        <v>2.4374570000000001E-3</v>
      </c>
      <c r="P446">
        <v>0.98240519999999998</v>
      </c>
      <c r="Q446">
        <v>0.17469970000000001</v>
      </c>
      <c r="R446">
        <v>-6.6034599999999999E-2</v>
      </c>
      <c r="S446">
        <v>3.0622250000000002</v>
      </c>
      <c r="T446">
        <v>-9.0357779999999999E-2</v>
      </c>
      <c r="U446">
        <v>-0.1127625</v>
      </c>
      <c r="V446">
        <v>6.8347119999999997E-2</v>
      </c>
      <c r="W446">
        <v>0.18913550000000001</v>
      </c>
      <c r="X446">
        <v>0.97956949999999998</v>
      </c>
      <c r="Y446">
        <v>3.920891E-2</v>
      </c>
      <c r="Z446">
        <v>-9.0237040000000002E-4</v>
      </c>
      <c r="AA446">
        <v>0.99923059999999997</v>
      </c>
      <c r="AB446">
        <v>23</v>
      </c>
      <c r="AC446">
        <v>37.7640999999999</v>
      </c>
      <c r="AD446">
        <v>-1.1218313229279999</v>
      </c>
      <c r="AE446">
        <v>-1.40100000000001</v>
      </c>
      <c r="AF446">
        <v>1.49173952786541</v>
      </c>
      <c r="AG446">
        <v>-1.1218313229279999</v>
      </c>
      <c r="AH446">
        <v>37.727325312413697</v>
      </c>
      <c r="AI446">
        <v>91.701873207649598</v>
      </c>
      <c r="AJ446">
        <v>87.735702749953404</v>
      </c>
      <c r="AK446">
        <v>37.7734677725621</v>
      </c>
      <c r="AL446">
        <v>79.097662568687099</v>
      </c>
      <c r="AM446">
        <v>86.008792263682096</v>
      </c>
      <c r="AN446">
        <v>0.99999998575139704</v>
      </c>
    </row>
    <row r="447" spans="1:40" x14ac:dyDescent="0.25">
      <c r="A447" t="str">
        <f>"20190303170505985"</f>
        <v>20190303170505985</v>
      </c>
      <c r="B447" t="str">
        <f>"1551603905975095"</f>
        <v>1551603905975095</v>
      </c>
      <c r="C447" t="s">
        <v>40</v>
      </c>
      <c r="D447">
        <v>5.8794620000000002</v>
      </c>
      <c r="E447">
        <v>0.4877592</v>
      </c>
      <c r="F447" t="s">
        <v>41</v>
      </c>
      <c r="G447">
        <v>-340.0102</v>
      </c>
      <c r="H447" s="1">
        <v>-5.3505270000000004E-6</v>
      </c>
      <c r="I447">
        <v>365.96440000000001</v>
      </c>
      <c r="J447">
        <v>-376.70769999999999</v>
      </c>
      <c r="K447">
        <v>1.121829</v>
      </c>
      <c r="L447">
        <v>367.04880000000003</v>
      </c>
      <c r="M447">
        <v>0.99988860000000002</v>
      </c>
      <c r="N447">
        <v>-1.4680459999999999E-2</v>
      </c>
      <c r="O447">
        <v>2.727157E-3</v>
      </c>
      <c r="P447">
        <v>0.98234359999999998</v>
      </c>
      <c r="Q447">
        <v>0.17474979999999901</v>
      </c>
      <c r="R447">
        <v>-6.6809450000000006E-2</v>
      </c>
      <c r="S447">
        <v>3.0642399999999999</v>
      </c>
      <c r="T447">
        <v>-9.3085769999999998E-2</v>
      </c>
      <c r="U447">
        <v>-8.9904789999999998E-2</v>
      </c>
      <c r="V447">
        <v>6.9408239999999996E-2</v>
      </c>
      <c r="W447">
        <v>0.18917909999999999</v>
      </c>
      <c r="X447">
        <v>0.97948650000000004</v>
      </c>
      <c r="Y447">
        <v>3.203131E-2</v>
      </c>
      <c r="Z447">
        <v>-7.6435449999999905E-4</v>
      </c>
      <c r="AA447">
        <v>0.9994866</v>
      </c>
      <c r="AB447">
        <v>23</v>
      </c>
      <c r="AC447">
        <v>36.697499999999899</v>
      </c>
      <c r="AD447">
        <v>-1.1218343505270001</v>
      </c>
      <c r="AE447">
        <v>-1.08440000000001</v>
      </c>
      <c r="AF447">
        <v>1.18338166980574</v>
      </c>
      <c r="AG447">
        <v>-1.1218343505270001</v>
      </c>
      <c r="AH447">
        <v>36.660176399376397</v>
      </c>
      <c r="AI447">
        <v>91.751843500109004</v>
      </c>
      <c r="AJ447">
        <v>88.151148007849102</v>
      </c>
      <c r="AK447">
        <v>36.696422688320098</v>
      </c>
      <c r="AL447">
        <v>79.095118919294407</v>
      </c>
      <c r="AM447">
        <v>85.946689590215897</v>
      </c>
      <c r="AN447">
        <v>1.0000000196694701</v>
      </c>
    </row>
    <row r="448" spans="1:40" x14ac:dyDescent="0.25">
      <c r="A448" t="str">
        <f>"20190303170506007"</f>
        <v>20190303170506007</v>
      </c>
      <c r="B448" t="str">
        <f>"1551603905994614"</f>
        <v>1551603905994614</v>
      </c>
      <c r="C448" t="s">
        <v>40</v>
      </c>
      <c r="D448">
        <v>5.6336050000000002</v>
      </c>
      <c r="E448">
        <v>0.48648659999999999</v>
      </c>
      <c r="F448" t="s">
        <v>41</v>
      </c>
      <c r="G448">
        <v>-340.25310000000002</v>
      </c>
      <c r="H448" s="1">
        <v>-5.2075969999999899E-6</v>
      </c>
      <c r="I448">
        <v>366.12299999999999</v>
      </c>
      <c r="J448">
        <v>-376.47989999999999</v>
      </c>
      <c r="K448">
        <v>1.12182</v>
      </c>
      <c r="L448">
        <v>367.0498</v>
      </c>
      <c r="M448">
        <v>0.99988779999999999</v>
      </c>
      <c r="N448">
        <v>-1.4674970000000001E-2</v>
      </c>
      <c r="O448">
        <v>3.0055070000000001E-3</v>
      </c>
      <c r="P448">
        <v>0.98237969999999997</v>
      </c>
      <c r="Q448">
        <v>0.17450940000000001</v>
      </c>
      <c r="R448">
        <v>-6.6906679999999996E-2</v>
      </c>
      <c r="S448">
        <v>3.0653990000000002</v>
      </c>
      <c r="T448">
        <v>-9.4332700000000005E-2</v>
      </c>
      <c r="U448">
        <v>-7.7850340000000004E-2</v>
      </c>
      <c r="V448">
        <v>6.9781469999999998E-2</v>
      </c>
      <c r="W448">
        <v>0.18893280000000001</v>
      </c>
      <c r="X448">
        <v>0.97950749999999998</v>
      </c>
      <c r="Y448">
        <v>2.837282E-2</v>
      </c>
      <c r="Z448">
        <v>-6.9305129999999997E-4</v>
      </c>
      <c r="AA448">
        <v>0.99959719999999996</v>
      </c>
      <c r="AB448">
        <v>23</v>
      </c>
      <c r="AC448">
        <v>36.226799999999898</v>
      </c>
      <c r="AD448">
        <v>-1.1218252075970001</v>
      </c>
      <c r="AE448">
        <v>-0.92679999999995699</v>
      </c>
      <c r="AF448">
        <v>1.03469587990462</v>
      </c>
      <c r="AG448">
        <v>-1.1218252075970001</v>
      </c>
      <c r="AH448">
        <v>36.189170075920401</v>
      </c>
      <c r="AI448">
        <v>91.774813927271595</v>
      </c>
      <c r="AJ448">
        <v>88.362284608623995</v>
      </c>
      <c r="AK448">
        <v>36.2213351237111</v>
      </c>
      <c r="AL448">
        <v>79.109489811473495</v>
      </c>
      <c r="AM448">
        <v>85.925053966023597</v>
      </c>
      <c r="AN448">
        <v>0.99999999951372498</v>
      </c>
    </row>
    <row r="449" spans="1:40" x14ac:dyDescent="0.25">
      <c r="A449" t="str">
        <f>"20190303170506027"</f>
        <v>20190303170506027</v>
      </c>
      <c r="B449" t="str">
        <f>"1551603906015111"</f>
        <v>1551603906015111</v>
      </c>
      <c r="C449" t="s">
        <v>40</v>
      </c>
      <c r="D449">
        <v>5.7257980000000002</v>
      </c>
      <c r="E449">
        <v>0.48615540000000002</v>
      </c>
      <c r="F449" t="s">
        <v>41</v>
      </c>
      <c r="G449">
        <v>-342.04419999999999</v>
      </c>
      <c r="H449" s="1">
        <v>-4.3330860000000001E-6</v>
      </c>
      <c r="I449">
        <v>366.27980000000002</v>
      </c>
      <c r="J449">
        <v>-376.2636</v>
      </c>
      <c r="K449">
        <v>1.121812</v>
      </c>
      <c r="L449">
        <v>367.05079999999998</v>
      </c>
      <c r="M449">
        <v>0.99988719999999998</v>
      </c>
      <c r="N449">
        <v>-1.4669720000000001E-2</v>
      </c>
      <c r="O449">
        <v>3.264168E-3</v>
      </c>
      <c r="P449">
        <v>0.98240939999999999</v>
      </c>
      <c r="Q449">
        <v>0.17450360000000001</v>
      </c>
      <c r="R449">
        <v>-6.6486580000000003E-2</v>
      </c>
      <c r="S449">
        <v>3.0668950000000001</v>
      </c>
      <c r="T449">
        <v>-9.9911330000000007E-2</v>
      </c>
      <c r="U449">
        <v>-6.8572999999999995E-2</v>
      </c>
      <c r="V449">
        <v>6.9618109999999997E-2</v>
      </c>
      <c r="W449">
        <v>0.18892110000000001</v>
      </c>
      <c r="X449">
        <v>0.97952139999999999</v>
      </c>
      <c r="Y449">
        <v>2.5596890000000001E-2</v>
      </c>
      <c r="Z449">
        <v>-6.6305589999999897E-4</v>
      </c>
      <c r="AA449">
        <v>0.99967209999999995</v>
      </c>
      <c r="AB449">
        <v>23</v>
      </c>
      <c r="AC449">
        <v>34.2194</v>
      </c>
      <c r="AD449">
        <v>-1.121816333086</v>
      </c>
      <c r="AE449">
        <v>-0.77099999999995805</v>
      </c>
      <c r="AF449">
        <v>0.88175859762688302</v>
      </c>
      <c r="AG449">
        <v>-1.121816333086</v>
      </c>
      <c r="AH449">
        <v>34.179985152896997</v>
      </c>
      <c r="AI449">
        <v>91.879196911530798</v>
      </c>
      <c r="AJ449">
        <v>88.522239170316794</v>
      </c>
      <c r="AK449">
        <v>34.209755263110701</v>
      </c>
      <c r="AL449">
        <v>79.110172671472498</v>
      </c>
      <c r="AM449">
        <v>85.9346189805173</v>
      </c>
      <c r="AN449">
        <v>1.00000001816157</v>
      </c>
    </row>
    <row r="450" spans="1:40" x14ac:dyDescent="0.25">
      <c r="A450" t="str">
        <f>"20190303170506051"</f>
        <v>20190303170506051</v>
      </c>
      <c r="B450" t="str">
        <f>"1551603906045367"</f>
        <v>1551603906045367</v>
      </c>
      <c r="C450" t="s">
        <v>40</v>
      </c>
      <c r="D450">
        <v>5.939152</v>
      </c>
      <c r="E450">
        <v>0.48527989999999999</v>
      </c>
      <c r="F450" t="s">
        <v>41</v>
      </c>
      <c r="G450">
        <v>-340.78519999999997</v>
      </c>
      <c r="H450" s="1">
        <v>-4.925926E-6</v>
      </c>
      <c r="I450">
        <v>366.29270000000002</v>
      </c>
      <c r="J450">
        <v>-376.0301</v>
      </c>
      <c r="K450">
        <v>1.1217950000000001</v>
      </c>
      <c r="L450">
        <v>367.05180000000001</v>
      </c>
      <c r="M450">
        <v>0.99988619999999995</v>
      </c>
      <c r="N450">
        <v>-1.466405E-2</v>
      </c>
      <c r="O450">
        <v>3.5339920000000001E-3</v>
      </c>
      <c r="P450">
        <v>0.98254039999999998</v>
      </c>
      <c r="Q450">
        <v>0.1742766</v>
      </c>
      <c r="R450">
        <v>-6.5132410000000002E-2</v>
      </c>
      <c r="S450">
        <v>3.0664669999999998</v>
      </c>
      <c r="T450">
        <v>-9.6960900000000003E-2</v>
      </c>
      <c r="U450">
        <v>-6.5521239999999994E-2</v>
      </c>
      <c r="V450">
        <v>6.8533549999999999E-2</v>
      </c>
      <c r="W450">
        <v>0.1886883</v>
      </c>
      <c r="X450">
        <v>0.97964269999999998</v>
      </c>
      <c r="Y450">
        <v>2.4876860000000001E-2</v>
      </c>
      <c r="Z450">
        <v>-6.3554409999999997E-4</v>
      </c>
      <c r="AA450">
        <v>0.99969030000000003</v>
      </c>
      <c r="AB450">
        <v>23</v>
      </c>
      <c r="AC450">
        <v>35.244900000000001</v>
      </c>
      <c r="AD450">
        <v>-1.1217999259260001</v>
      </c>
      <c r="AE450">
        <v>-0.75909999999998901</v>
      </c>
      <c r="AF450">
        <v>0.88276996069088298</v>
      </c>
      <c r="AG450">
        <v>-1.1217999259260001</v>
      </c>
      <c r="AH450">
        <v>35.206347063825497</v>
      </c>
      <c r="AI450">
        <v>91.824457587279596</v>
      </c>
      <c r="AJ450">
        <v>88.563656802396906</v>
      </c>
      <c r="AK450">
        <v>35.2352748173736</v>
      </c>
      <c r="AL450">
        <v>79.1237548982443</v>
      </c>
      <c r="AM450">
        <v>85.998238866702806</v>
      </c>
      <c r="AN450">
        <v>0.99999997084789005</v>
      </c>
    </row>
    <row r="451" spans="1:40" x14ac:dyDescent="0.25">
      <c r="A451" t="str">
        <f>"20190303170506073"</f>
        <v>20190303170506073</v>
      </c>
      <c r="B451" t="str">
        <f>"1551603906064886"</f>
        <v>1551603906064886</v>
      </c>
      <c r="C451" t="s">
        <v>40</v>
      </c>
      <c r="D451">
        <v>5.6622839999999997</v>
      </c>
      <c r="E451">
        <v>0.48496020000000001</v>
      </c>
      <c r="F451" t="s">
        <v>41</v>
      </c>
      <c r="G451">
        <v>-340.7953</v>
      </c>
      <c r="H451" s="1">
        <v>-4.8974579999999901E-6</v>
      </c>
      <c r="I451">
        <v>366.4264</v>
      </c>
      <c r="J451">
        <v>-375.79430000000002</v>
      </c>
      <c r="K451">
        <v>1.1217900000000001</v>
      </c>
      <c r="L451">
        <v>367.053</v>
      </c>
      <c r="M451">
        <v>0.99988540000000004</v>
      </c>
      <c r="N451">
        <v>-1.4658330000000001E-2</v>
      </c>
      <c r="O451">
        <v>3.7922680000000001E-3</v>
      </c>
      <c r="P451">
        <v>0.98277680000000001</v>
      </c>
      <c r="Q451">
        <v>0.1737129</v>
      </c>
      <c r="R451">
        <v>-6.304013E-2</v>
      </c>
      <c r="S451">
        <v>3.066986</v>
      </c>
      <c r="T451">
        <v>-9.7646239999999995E-2</v>
      </c>
      <c r="U451">
        <v>-5.4443360000000003E-2</v>
      </c>
      <c r="V451">
        <v>6.6701109999999994E-2</v>
      </c>
      <c r="W451">
        <v>0.1881198</v>
      </c>
      <c r="X451">
        <v>0.97987849999999999</v>
      </c>
      <c r="Y451">
        <v>2.1524089999999999E-2</v>
      </c>
      <c r="Z451">
        <v>-5.6547889999999999E-4</v>
      </c>
      <c r="AA451">
        <v>0.9997682</v>
      </c>
      <c r="AB451">
        <v>23</v>
      </c>
      <c r="AC451">
        <v>34.999000000000002</v>
      </c>
      <c r="AD451">
        <v>-1.1217948974580001</v>
      </c>
      <c r="AE451">
        <v>-0.626600000000053</v>
      </c>
      <c r="AF451">
        <v>0.75855629036789995</v>
      </c>
      <c r="AG451">
        <v>-1.1217948974580001</v>
      </c>
      <c r="AH451">
        <v>34.960466891695901</v>
      </c>
      <c r="AI451">
        <v>91.837417078626501</v>
      </c>
      <c r="AJ451">
        <v>88.757017301472303</v>
      </c>
      <c r="AK451">
        <v>34.9866842773502</v>
      </c>
      <c r="AL451">
        <v>79.156921677534996</v>
      </c>
      <c r="AM451">
        <v>86.1058379429778</v>
      </c>
      <c r="AN451">
        <v>0.99999998599476103</v>
      </c>
    </row>
    <row r="452" spans="1:40" x14ac:dyDescent="0.25">
      <c r="A452" t="str">
        <f>"20190303170506093"</f>
        <v>20190303170506093</v>
      </c>
      <c r="B452" t="str">
        <f>"1551603906084407"</f>
        <v>1551603906084407</v>
      </c>
      <c r="C452" t="s">
        <v>40</v>
      </c>
      <c r="D452">
        <v>5.7649910000000002</v>
      </c>
      <c r="E452">
        <v>0.48453859999999899</v>
      </c>
      <c r="F452" t="s">
        <v>41</v>
      </c>
      <c r="G452">
        <v>-340.98869999999999</v>
      </c>
      <c r="H452" s="1">
        <v>-4.7865900000000002E-6</v>
      </c>
      <c r="I452">
        <v>366.53590000000003</v>
      </c>
      <c r="J452">
        <v>-375.5856</v>
      </c>
      <c r="K452">
        <v>1.1217809999999999</v>
      </c>
      <c r="L452">
        <v>367.05410000000001</v>
      </c>
      <c r="M452">
        <v>0.99988469999999996</v>
      </c>
      <c r="N452">
        <v>-1.465323E-2</v>
      </c>
      <c r="O452">
        <v>4.0062409999999998E-3</v>
      </c>
      <c r="P452">
        <v>0.98299340000000002</v>
      </c>
      <c r="Q452">
        <v>0.17320250000000001</v>
      </c>
      <c r="R452">
        <v>-6.1032250000000003E-2</v>
      </c>
      <c r="S452">
        <v>3.0671689999999998</v>
      </c>
      <c r="T452">
        <v>-9.8855970000000001E-2</v>
      </c>
      <c r="U452">
        <v>-4.5562739999999997E-2</v>
      </c>
      <c r="V452">
        <v>6.4910410000000002E-2</v>
      </c>
      <c r="W452">
        <v>0.1876051</v>
      </c>
      <c r="X452">
        <v>0.98009740000000001</v>
      </c>
      <c r="Y452">
        <v>1.88446E-2</v>
      </c>
      <c r="Z452">
        <v>-5.1210989999999896E-4</v>
      </c>
      <c r="AA452">
        <v>0.99982230000000005</v>
      </c>
      <c r="AB452">
        <v>23</v>
      </c>
      <c r="AC452">
        <v>34.596899999999998</v>
      </c>
      <c r="AD452">
        <v>-1.1217857865899901</v>
      </c>
      <c r="AE452">
        <v>-0.51819999999997801</v>
      </c>
      <c r="AF452">
        <v>0.65612457101836597</v>
      </c>
      <c r="AG452">
        <v>-1.1217857865899901</v>
      </c>
      <c r="AH452">
        <v>34.5582215587185</v>
      </c>
      <c r="AI452">
        <v>91.858876364851</v>
      </c>
      <c r="AJ452">
        <v>88.912309402559401</v>
      </c>
      <c r="AK452">
        <v>34.582648540925298</v>
      </c>
      <c r="AL452">
        <v>79.186946266441794</v>
      </c>
      <c r="AM452">
        <v>86.210918199281195</v>
      </c>
      <c r="AN452">
        <v>0.99999997417956799</v>
      </c>
    </row>
    <row r="453" spans="1:40" x14ac:dyDescent="0.25">
      <c r="A453" t="str">
        <f>"20190303170506117"</f>
        <v>20190303170506117</v>
      </c>
      <c r="B453" t="str">
        <f>"1551603906104903"</f>
        <v>1551603906104903</v>
      </c>
      <c r="C453" t="s">
        <v>40</v>
      </c>
      <c r="D453">
        <v>5.6949779999999999</v>
      </c>
      <c r="E453">
        <v>0.48453940000000001</v>
      </c>
      <c r="F453" t="s">
        <v>41</v>
      </c>
      <c r="G453">
        <v>-341.55419999999998</v>
      </c>
      <c r="H453" s="1">
        <v>-4.4988939999999997E-6</v>
      </c>
      <c r="I453">
        <v>366.6508</v>
      </c>
      <c r="J453">
        <v>-375.34930000000003</v>
      </c>
      <c r="K453">
        <v>1.1217619999999999</v>
      </c>
      <c r="L453">
        <v>367.05529999999999</v>
      </c>
      <c r="M453">
        <v>0.99988379999999999</v>
      </c>
      <c r="N453">
        <v>-1.4647429999999999E-2</v>
      </c>
      <c r="O453">
        <v>4.2306610000000001E-3</v>
      </c>
      <c r="P453">
        <v>0.98305589999999998</v>
      </c>
      <c r="Q453">
        <v>0.17334569999999999</v>
      </c>
      <c r="R453">
        <v>-5.9601460000000002E-2</v>
      </c>
      <c r="S453">
        <v>3.0674440000000001</v>
      </c>
      <c r="T453">
        <v>-0.1011131</v>
      </c>
      <c r="U453">
        <v>-3.6346440000000001E-2</v>
      </c>
      <c r="V453">
        <v>6.3707189999999997E-2</v>
      </c>
      <c r="W453">
        <v>0.1877405</v>
      </c>
      <c r="X453">
        <v>0.98015050000000004</v>
      </c>
      <c r="Y453">
        <v>1.6065659999999999E-2</v>
      </c>
      <c r="Z453">
        <v>-4.5987890000000003E-4</v>
      </c>
      <c r="AA453">
        <v>0.99987079999999995</v>
      </c>
      <c r="AB453">
        <v>23</v>
      </c>
      <c r="AC453">
        <v>33.795099999999998</v>
      </c>
      <c r="AD453">
        <v>-1.1217664988939999</v>
      </c>
      <c r="AE453">
        <v>-0.40449999999998398</v>
      </c>
      <c r="AF453">
        <v>0.54688486247511703</v>
      </c>
      <c r="AG453">
        <v>-1.1217664988939999</v>
      </c>
      <c r="AH453">
        <v>33.755899539010699</v>
      </c>
      <c r="AI453">
        <v>91.903087126489098</v>
      </c>
      <c r="AJ453">
        <v>89.071822885784997</v>
      </c>
      <c r="AK453">
        <v>33.778960860550796</v>
      </c>
      <c r="AL453">
        <v>79.179048932065896</v>
      </c>
      <c r="AM453">
        <v>86.281156936723093</v>
      </c>
      <c r="AN453">
        <v>1.0000000520240899</v>
      </c>
    </row>
    <row r="454" spans="1:40" x14ac:dyDescent="0.25">
      <c r="A454" t="str">
        <f>"20190303170506140"</f>
        <v>20190303170506140</v>
      </c>
      <c r="B454" t="str">
        <f>"1551603906135159"</f>
        <v>1551603906135159</v>
      </c>
      <c r="C454" t="s">
        <v>40</v>
      </c>
      <c r="D454">
        <v>5.7433920000000001</v>
      </c>
      <c r="E454">
        <v>0.48423709999999998</v>
      </c>
      <c r="F454" t="s">
        <v>41</v>
      </c>
      <c r="G454">
        <v>-341.16050000000001</v>
      </c>
      <c r="H454" s="1">
        <v>-4.6758579999999997E-6</v>
      </c>
      <c r="I454">
        <v>366.70249999999999</v>
      </c>
      <c r="J454">
        <v>-375.11250000000001</v>
      </c>
      <c r="K454">
        <v>1.121745</v>
      </c>
      <c r="L454">
        <v>367.05650000000003</v>
      </c>
      <c r="M454">
        <v>0.99988310000000002</v>
      </c>
      <c r="N454">
        <v>-1.4641609999999999E-2</v>
      </c>
      <c r="O454">
        <v>4.4359539999999998E-3</v>
      </c>
      <c r="P454">
        <v>0.98310090000000006</v>
      </c>
      <c r="Q454">
        <v>0.173152799999999</v>
      </c>
      <c r="R454">
        <v>-5.9424289999999998E-2</v>
      </c>
      <c r="S454">
        <v>3.0675050000000001</v>
      </c>
      <c r="T454">
        <v>-0.10064770000000001</v>
      </c>
      <c r="U454">
        <v>-3.1646729999999998E-2</v>
      </c>
      <c r="V454">
        <v>6.3738649999999994E-2</v>
      </c>
      <c r="W454">
        <v>0.18754000000000001</v>
      </c>
      <c r="X454">
        <v>0.98018680000000002</v>
      </c>
      <c r="Y454">
        <v>1.4740100000000001E-2</v>
      </c>
      <c r="Z454">
        <v>-4.3027069999999998E-4</v>
      </c>
      <c r="AA454">
        <v>0.99989130000000004</v>
      </c>
      <c r="AB454">
        <v>23</v>
      </c>
      <c r="AC454">
        <v>33.951999999999998</v>
      </c>
      <c r="AD454">
        <v>-1.1217496758579999</v>
      </c>
      <c r="AE454">
        <v>-0.354000000000041</v>
      </c>
      <c r="AF454">
        <v>0.50407197030377904</v>
      </c>
      <c r="AG454">
        <v>-1.1217496758579999</v>
      </c>
      <c r="AH454">
        <v>33.913080088277098</v>
      </c>
      <c r="AI454">
        <v>91.894284055133198</v>
      </c>
      <c r="AJ454">
        <v>89.148438602795594</v>
      </c>
      <c r="AK454">
        <v>33.935371103915003</v>
      </c>
      <c r="AL454">
        <v>79.190744068534997</v>
      </c>
      <c r="AM454">
        <v>86.279463051607294</v>
      </c>
      <c r="AN454">
        <v>1.00000001499903</v>
      </c>
    </row>
    <row r="455" spans="1:40" x14ac:dyDescent="0.25">
      <c r="A455" t="str">
        <f>"20190303170506164"</f>
        <v>20190303170506164</v>
      </c>
      <c r="B455" t="str">
        <f>"1551603906154679"</f>
        <v>1551603906154679</v>
      </c>
      <c r="C455" t="s">
        <v>40</v>
      </c>
      <c r="D455">
        <v>5.8142250000000004</v>
      </c>
      <c r="E455">
        <v>0.48414000000000001</v>
      </c>
      <c r="F455" t="s">
        <v>41</v>
      </c>
      <c r="G455">
        <v>-341.1592</v>
      </c>
      <c r="H455" s="1">
        <v>-4.6699650000000003E-6</v>
      </c>
      <c r="I455">
        <v>366.73899999999998</v>
      </c>
      <c r="J455">
        <v>-374.87130000000002</v>
      </c>
      <c r="K455">
        <v>1.121729</v>
      </c>
      <c r="L455">
        <v>367.05779999999999</v>
      </c>
      <c r="M455">
        <v>0.9998823</v>
      </c>
      <c r="N455">
        <v>-1.463572E-2</v>
      </c>
      <c r="O455">
        <v>4.624151E-3</v>
      </c>
      <c r="P455">
        <v>0.98308039999999997</v>
      </c>
      <c r="Q455">
        <v>0.17328679999999999</v>
      </c>
      <c r="R455">
        <v>-5.9369310000000002E-2</v>
      </c>
      <c r="S455">
        <v>3.067688</v>
      </c>
      <c r="T455">
        <v>-0.1013505</v>
      </c>
      <c r="U455">
        <v>-2.868652E-2</v>
      </c>
      <c r="V455">
        <v>6.3875059999999997E-2</v>
      </c>
      <c r="W455">
        <v>0.187666</v>
      </c>
      <c r="X455">
        <v>0.98015379999999996</v>
      </c>
      <c r="Y455">
        <v>1.3963349999999999E-2</v>
      </c>
      <c r="Z455">
        <v>-4.1788200000000001E-4</v>
      </c>
      <c r="AA455">
        <v>0.99990239999999997</v>
      </c>
      <c r="AB455">
        <v>23</v>
      </c>
      <c r="AC455">
        <v>33.7121</v>
      </c>
      <c r="AD455">
        <v>-1.121733669965</v>
      </c>
      <c r="AE455">
        <v>-0.31879999999995301</v>
      </c>
      <c r="AF455">
        <v>0.47417817376365201</v>
      </c>
      <c r="AG455">
        <v>-1.121733669965</v>
      </c>
      <c r="AH455">
        <v>33.672987317320903</v>
      </c>
      <c r="AI455">
        <v>91.907774964580497</v>
      </c>
      <c r="AJ455">
        <v>89.193222382330504</v>
      </c>
      <c r="AK455">
        <v>33.695002689408703</v>
      </c>
      <c r="AL455">
        <v>79.183394263861601</v>
      </c>
      <c r="AM455">
        <v>86.271397819383793</v>
      </c>
      <c r="AN455">
        <v>1.0000000112502201</v>
      </c>
    </row>
    <row r="456" spans="1:40" x14ac:dyDescent="0.25">
      <c r="A456" t="str">
        <f>"20190303170506186"</f>
        <v>20190303170506186</v>
      </c>
      <c r="B456" t="str">
        <f>"1551603906175175"</f>
        <v>1551603906175175</v>
      </c>
      <c r="C456" t="s">
        <v>40</v>
      </c>
      <c r="D456">
        <v>5.77522</v>
      </c>
      <c r="E456">
        <v>0.48401230000000001</v>
      </c>
      <c r="F456" t="s">
        <v>41</v>
      </c>
      <c r="G456">
        <v>-340.9588</v>
      </c>
      <c r="H456" s="1">
        <v>-4.7644679999999998E-6</v>
      </c>
      <c r="I456">
        <v>366.74040000000002</v>
      </c>
      <c r="J456">
        <v>-374.63830000000002</v>
      </c>
      <c r="K456">
        <v>1.1217189999999999</v>
      </c>
      <c r="L456">
        <v>367.0591</v>
      </c>
      <c r="M456">
        <v>0.99988140000000003</v>
      </c>
      <c r="N456">
        <v>-1.463006E-2</v>
      </c>
      <c r="O456">
        <v>4.7832250000000003E-3</v>
      </c>
      <c r="P456">
        <v>0.98299159999999997</v>
      </c>
      <c r="Q456">
        <v>0.1739646</v>
      </c>
      <c r="R456">
        <v>-5.8851800000000003E-2</v>
      </c>
      <c r="S456">
        <v>3.06778</v>
      </c>
      <c r="T456">
        <v>-0.10147390000000001</v>
      </c>
      <c r="U456">
        <v>-2.8717039999999999E-2</v>
      </c>
      <c r="V456">
        <v>6.3519190000000003E-2</v>
      </c>
      <c r="W456">
        <v>0.1883348</v>
      </c>
      <c r="X456">
        <v>0.98004869999999999</v>
      </c>
      <c r="Y456">
        <v>1.4131899999999999E-2</v>
      </c>
      <c r="Z456">
        <v>-4.2527750000000001E-4</v>
      </c>
      <c r="AA456">
        <v>0.99990000000000001</v>
      </c>
      <c r="AB456">
        <v>23</v>
      </c>
      <c r="AC456">
        <v>33.679499999999997</v>
      </c>
      <c r="AD456">
        <v>-1.121723764468</v>
      </c>
      <c r="AE456">
        <v>-0.318699999999978</v>
      </c>
      <c r="AF456">
        <v>0.47927863873829402</v>
      </c>
      <c r="AG456">
        <v>-1.121723764468</v>
      </c>
      <c r="AH456">
        <v>33.640276964623098</v>
      </c>
      <c r="AI456">
        <v>91.909607312017499</v>
      </c>
      <c r="AJ456">
        <v>89.183752694356599</v>
      </c>
      <c r="AK456">
        <v>33.662385632540598</v>
      </c>
      <c r="AL456">
        <v>79.144379804754394</v>
      </c>
      <c r="AM456">
        <v>86.291716513644303</v>
      </c>
      <c r="AN456">
        <v>1.00000006938049</v>
      </c>
    </row>
    <row r="457" spans="1:40" x14ac:dyDescent="0.25">
      <c r="A457" t="str">
        <f>"20190303170506208"</f>
        <v>20190303170506208</v>
      </c>
      <c r="B457" t="str">
        <f>"1551603906194695"</f>
        <v>1551603906194695</v>
      </c>
      <c r="C457" t="s">
        <v>40</v>
      </c>
      <c r="D457">
        <v>5.711824</v>
      </c>
      <c r="E457">
        <v>0.48385089999999997</v>
      </c>
      <c r="F457" t="s">
        <v>41</v>
      </c>
      <c r="G457">
        <v>-340.02</v>
      </c>
      <c r="H457" s="1">
        <v>-5.204596E-6</v>
      </c>
      <c r="I457">
        <v>366.76089999999999</v>
      </c>
      <c r="J457">
        <v>-374.42180000000002</v>
      </c>
      <c r="K457">
        <v>1.1217109999999999</v>
      </c>
      <c r="L457">
        <v>367.06029999999998</v>
      </c>
      <c r="M457">
        <v>0.99988100000000002</v>
      </c>
      <c r="N457">
        <v>-1.4624760000000001E-2</v>
      </c>
      <c r="O457">
        <v>4.9161140000000001E-3</v>
      </c>
      <c r="P457">
        <v>0.98318760000000005</v>
      </c>
      <c r="Q457">
        <v>0.17323559999999999</v>
      </c>
      <c r="R457">
        <v>-5.7721559999999998E-2</v>
      </c>
      <c r="S457">
        <v>3.0679630000000002</v>
      </c>
      <c r="T457">
        <v>-9.9410180000000001E-2</v>
      </c>
      <c r="U457">
        <v>-2.6428219999999999E-2</v>
      </c>
      <c r="V457">
        <v>6.2525269999999994E-2</v>
      </c>
      <c r="W457">
        <v>0.1876014</v>
      </c>
      <c r="X457">
        <v>0.98025320000000005</v>
      </c>
      <c r="Y457">
        <v>1.351922E-2</v>
      </c>
      <c r="Z457">
        <v>-4.0523220000000001E-4</v>
      </c>
      <c r="AA457">
        <v>0.99990849999999998</v>
      </c>
      <c r="AB457">
        <v>23</v>
      </c>
      <c r="AC457">
        <v>34.401800000000001</v>
      </c>
      <c r="AD457">
        <v>-1.1217162045960001</v>
      </c>
      <c r="AE457">
        <v>-0.29939999999999101</v>
      </c>
      <c r="AF457">
        <v>0.468040065946282</v>
      </c>
      <c r="AG457">
        <v>-1.1217162045960001</v>
      </c>
      <c r="AH457">
        <v>34.363380724627802</v>
      </c>
      <c r="AI457">
        <v>91.869456258411702</v>
      </c>
      <c r="AJ457">
        <v>89.219661693418104</v>
      </c>
      <c r="AK457">
        <v>34.3848693988025</v>
      </c>
      <c r="AL457">
        <v>79.187162543826105</v>
      </c>
      <c r="AM457">
        <v>86.350343433325506</v>
      </c>
      <c r="AN457">
        <v>1.0000000153903801</v>
      </c>
    </row>
    <row r="458" spans="1:40" x14ac:dyDescent="0.25">
      <c r="A458" t="str">
        <f>"20190303170506229"</f>
        <v>20190303170506229</v>
      </c>
      <c r="B458" t="str">
        <f>"1551603906215191"</f>
        <v>1551603906215191</v>
      </c>
      <c r="C458" t="s">
        <v>40</v>
      </c>
      <c r="D458">
        <v>5.8072800000000004</v>
      </c>
      <c r="E458">
        <v>0.48390840000000002</v>
      </c>
      <c r="F458" t="s">
        <v>41</v>
      </c>
      <c r="G458">
        <v>-340.72789999999998</v>
      </c>
      <c r="H458" s="1">
        <v>-4.8596479999999997E-6</v>
      </c>
      <c r="I458">
        <v>366.81900000000002</v>
      </c>
      <c r="J458">
        <v>-374.20890000000003</v>
      </c>
      <c r="K458">
        <v>1.1216969999999999</v>
      </c>
      <c r="L458">
        <v>367.06150000000002</v>
      </c>
      <c r="M458">
        <v>0.99988060000000001</v>
      </c>
      <c r="N458">
        <v>-1.461955E-2</v>
      </c>
      <c r="O458">
        <v>5.0326909999999997E-3</v>
      </c>
      <c r="P458">
        <v>0.98331219999999997</v>
      </c>
      <c r="Q458">
        <v>0.17261589999999999</v>
      </c>
      <c r="R458">
        <v>-5.7454369999999998E-2</v>
      </c>
      <c r="S458">
        <v>3.0680239999999999</v>
      </c>
      <c r="T458">
        <v>-0.10213899999999999</v>
      </c>
      <c r="U458">
        <v>-2.1972660000000001E-2</v>
      </c>
      <c r="V458">
        <v>6.2377450000000001E-2</v>
      </c>
      <c r="W458">
        <v>0.18697749999999999</v>
      </c>
      <c r="X458">
        <v>0.98038179999999997</v>
      </c>
      <c r="Y458">
        <v>1.218406E-2</v>
      </c>
      <c r="Z458">
        <v>-3.8578819999999999E-4</v>
      </c>
      <c r="AA458">
        <v>0.99992570000000003</v>
      </c>
      <c r="AB458">
        <v>23</v>
      </c>
      <c r="AC458">
        <v>33.481000000000002</v>
      </c>
      <c r="AD458">
        <v>-1.121701859648</v>
      </c>
      <c r="AE458">
        <v>-0.24250000000000599</v>
      </c>
      <c r="AF458">
        <v>0.410553650066807</v>
      </c>
      <c r="AG458">
        <v>-1.121701859648</v>
      </c>
      <c r="AH458">
        <v>33.441821317569598</v>
      </c>
      <c r="AI458">
        <v>91.920943804130204</v>
      </c>
      <c r="AJ458">
        <v>89.296634907214994</v>
      </c>
      <c r="AK458">
        <v>33.463146630252403</v>
      </c>
      <c r="AL458">
        <v>79.223553186374204</v>
      </c>
      <c r="AM458">
        <v>86.359424906423399</v>
      </c>
      <c r="AN458">
        <v>1.0000000027729901</v>
      </c>
    </row>
    <row r="459" spans="1:40" x14ac:dyDescent="0.25">
      <c r="A459" t="str">
        <f>"20190303170506251"</f>
        <v>20190303170506251</v>
      </c>
      <c r="B459" t="str">
        <f>"1551603906244471"</f>
        <v>1551603906244471</v>
      </c>
      <c r="C459" t="s">
        <v>40</v>
      </c>
      <c r="D459">
        <v>5.6588589999999996</v>
      </c>
      <c r="E459">
        <v>0.4837185</v>
      </c>
      <c r="F459" t="s">
        <v>41</v>
      </c>
      <c r="G459">
        <v>-341.04050000000001</v>
      </c>
      <c r="H459" s="1">
        <v>-4.7098479999999998E-6</v>
      </c>
      <c r="I459">
        <v>366.83049999999997</v>
      </c>
      <c r="J459">
        <v>-373.9778</v>
      </c>
      <c r="K459">
        <v>1.121685</v>
      </c>
      <c r="L459">
        <v>367.06279999999998</v>
      </c>
      <c r="M459">
        <v>0.99987999999999999</v>
      </c>
      <c r="N459">
        <v>-1.4613900000000001E-2</v>
      </c>
      <c r="O459">
        <v>5.1429860000000004E-3</v>
      </c>
      <c r="P459">
        <v>0.98344030000000004</v>
      </c>
      <c r="Q459">
        <v>0.17213339999999999</v>
      </c>
      <c r="R459">
        <v>-5.6703219999999999E-2</v>
      </c>
      <c r="S459">
        <v>3.067841</v>
      </c>
      <c r="T459">
        <v>-0.10374949999999999</v>
      </c>
      <c r="U459">
        <v>-2.1362300000000001E-2</v>
      </c>
      <c r="V459">
        <v>6.1740370000000003E-2</v>
      </c>
      <c r="W459">
        <v>0.1864893</v>
      </c>
      <c r="X459">
        <v>0.98051509999999997</v>
      </c>
      <c r="Y459">
        <v>1.20956E-2</v>
      </c>
      <c r="Z459">
        <v>-3.9161620000000003E-4</v>
      </c>
      <c r="AA459">
        <v>0.99992669999999995</v>
      </c>
      <c r="AB459">
        <v>23</v>
      </c>
      <c r="AC459">
        <v>32.937299999999901</v>
      </c>
      <c r="AD459">
        <v>-1.1216897098479901</v>
      </c>
      <c r="AE459">
        <v>-0.232300000000009</v>
      </c>
      <c r="AF459">
        <v>0.401245761725674</v>
      </c>
      <c r="AG459">
        <v>-1.1216897098479901</v>
      </c>
      <c r="AH459">
        <v>32.897518013264801</v>
      </c>
      <c r="AI459">
        <v>91.952682994842803</v>
      </c>
      <c r="AJ459">
        <v>89.301207197984397</v>
      </c>
      <c r="AK459">
        <v>32.9190807496133</v>
      </c>
      <c r="AL459">
        <v>79.252025736864098</v>
      </c>
      <c r="AM459">
        <v>86.3969973394872</v>
      </c>
      <c r="AN459">
        <v>0.99999999681511798</v>
      </c>
    </row>
    <row r="460" spans="1:40" x14ac:dyDescent="0.25">
      <c r="A460" t="str">
        <f>"20190303170506274"</f>
        <v>20190303170506274</v>
      </c>
      <c r="B460" t="str">
        <f>"1551603906264966"</f>
        <v>1551603906264966</v>
      </c>
      <c r="C460" t="s">
        <v>40</v>
      </c>
      <c r="D460">
        <v>5.6759060000000003</v>
      </c>
      <c r="E460">
        <v>0.4835815</v>
      </c>
      <c r="F460" t="s">
        <v>41</v>
      </c>
      <c r="G460">
        <v>-341.0872</v>
      </c>
      <c r="H460" s="1">
        <v>-4.6798069999999996E-6</v>
      </c>
      <c r="I460">
        <v>366.87540000000001</v>
      </c>
      <c r="J460">
        <v>-373.75189999999998</v>
      </c>
      <c r="K460">
        <v>1.1216729999999999</v>
      </c>
      <c r="L460">
        <v>367.0641</v>
      </c>
      <c r="M460">
        <v>0.99987979999999999</v>
      </c>
      <c r="N460">
        <v>-1.4608380000000001E-2</v>
      </c>
      <c r="O460">
        <v>5.2332940000000003E-3</v>
      </c>
      <c r="P460">
        <v>0.98345660000000001</v>
      </c>
      <c r="Q460">
        <v>0.172057399999999</v>
      </c>
      <c r="R460">
        <v>-5.6654309999999999E-2</v>
      </c>
      <c r="S460">
        <v>3.0677490000000001</v>
      </c>
      <c r="T460">
        <v>-0.1046218</v>
      </c>
      <c r="U460">
        <v>-1.748657E-2</v>
      </c>
      <c r="V460">
        <v>6.1785649999999998E-2</v>
      </c>
      <c r="W460">
        <v>0.1864064</v>
      </c>
      <c r="X460">
        <v>0.98052799999999996</v>
      </c>
      <c r="Y460">
        <v>1.092366E-2</v>
      </c>
      <c r="Z460">
        <v>-3.6802090000000003E-4</v>
      </c>
      <c r="AA460">
        <v>0.9999403</v>
      </c>
      <c r="AB460">
        <v>23</v>
      </c>
      <c r="AC460">
        <v>32.664699999999897</v>
      </c>
      <c r="AD460">
        <v>-1.1216776798069901</v>
      </c>
      <c r="AE460">
        <v>-0.18869999999998299</v>
      </c>
      <c r="AF460">
        <v>0.35923601372098701</v>
      </c>
      <c r="AG460">
        <v>-1.1216776798069901</v>
      </c>
      <c r="AH460">
        <v>32.624795865678301</v>
      </c>
      <c r="AI460">
        <v>91.968999329128096</v>
      </c>
      <c r="AJ460">
        <v>89.369133963937003</v>
      </c>
      <c r="AK460">
        <v>32.646049019875498</v>
      </c>
      <c r="AL460">
        <v>79.256860210892</v>
      </c>
      <c r="AM460">
        <v>86.394409199520496</v>
      </c>
      <c r="AN460">
        <v>0.99999998564544101</v>
      </c>
    </row>
    <row r="461" spans="1:40" x14ac:dyDescent="0.25">
      <c r="A461" t="str">
        <f>"20190303170506296"</f>
        <v>20190303170506296</v>
      </c>
      <c r="B461" t="str">
        <f>"1551603906284487"</f>
        <v>1551603906284487</v>
      </c>
      <c r="C461" t="s">
        <v>40</v>
      </c>
      <c r="D461">
        <v>5.6884589999999999</v>
      </c>
      <c r="E461">
        <v>0.4834272</v>
      </c>
      <c r="F461" t="s">
        <v>41</v>
      </c>
      <c r="G461">
        <v>-340.84410000000003</v>
      </c>
      <c r="H461" s="1">
        <v>-4.7927010000000001E-6</v>
      </c>
      <c r="I461">
        <v>366.887</v>
      </c>
      <c r="J461">
        <v>-373.536</v>
      </c>
      <c r="K461">
        <v>1.1216619999999999</v>
      </c>
      <c r="L461">
        <v>367.06529999999998</v>
      </c>
      <c r="M461">
        <v>0.99987939999999997</v>
      </c>
      <c r="N461">
        <v>-1.4603059999999999E-2</v>
      </c>
      <c r="O461">
        <v>5.3033910000000002E-3</v>
      </c>
      <c r="P461">
        <v>0.98341889999999998</v>
      </c>
      <c r="Q461">
        <v>0.17235989999999901</v>
      </c>
      <c r="R461">
        <v>-5.6389719999999997E-2</v>
      </c>
      <c r="S461">
        <v>3.067841</v>
      </c>
      <c r="T461">
        <v>-0.1045687</v>
      </c>
      <c r="U461">
        <v>-1.6510009999999999E-2</v>
      </c>
      <c r="V461">
        <v>6.1595129999999998E-2</v>
      </c>
      <c r="W461">
        <v>0.18670110000000001</v>
      </c>
      <c r="X461">
        <v>0.98048389999999996</v>
      </c>
      <c r="Y461">
        <v>1.0675499999999999E-2</v>
      </c>
      <c r="Z461">
        <v>-3.6314829999999998E-4</v>
      </c>
      <c r="AA461">
        <v>0.99994300000000003</v>
      </c>
      <c r="AB461">
        <v>23</v>
      </c>
      <c r="AC461">
        <v>32.691899999999897</v>
      </c>
      <c r="AD461">
        <v>-1.121666792701</v>
      </c>
      <c r="AE461">
        <v>-0.17830000000003501</v>
      </c>
      <c r="AF461">
        <v>0.35128038086237801</v>
      </c>
      <c r="AG461">
        <v>-1.121666792701</v>
      </c>
      <c r="AH461">
        <v>32.652057851169602</v>
      </c>
      <c r="AI461">
        <v>91.967342985932802</v>
      </c>
      <c r="AJ461">
        <v>89.383619038838305</v>
      </c>
      <c r="AK461">
        <v>32.673206396311201</v>
      </c>
      <c r="AL461">
        <v>79.239673250018598</v>
      </c>
      <c r="AM461">
        <v>86.405336826090902</v>
      </c>
      <c r="AN461">
        <v>0.99999996947006697</v>
      </c>
    </row>
    <row r="462" spans="1:40" x14ac:dyDescent="0.25">
      <c r="A462" t="str">
        <f>"20190303170506317"</f>
        <v>20190303170506317</v>
      </c>
      <c r="B462" t="str">
        <f>"1551603906304984"</f>
        <v>1551603906304984</v>
      </c>
      <c r="C462" t="s">
        <v>40</v>
      </c>
      <c r="D462">
        <v>5.7709659999999996</v>
      </c>
      <c r="E462">
        <v>0.48332150000000001</v>
      </c>
      <c r="F462" t="s">
        <v>41</v>
      </c>
      <c r="G462">
        <v>-340.07850000000002</v>
      </c>
      <c r="H462" s="1">
        <v>-5.1509470000000003E-6</v>
      </c>
      <c r="I462">
        <v>366.9076</v>
      </c>
      <c r="J462">
        <v>-373.31040000000002</v>
      </c>
      <c r="K462">
        <v>1.121648</v>
      </c>
      <c r="L462">
        <v>367.06659999999999</v>
      </c>
      <c r="M462">
        <v>0.99987910000000002</v>
      </c>
      <c r="N462">
        <v>-1.4597509999999999E-2</v>
      </c>
      <c r="O462">
        <v>5.3591730000000001E-3</v>
      </c>
      <c r="P462">
        <v>0.98359439999999998</v>
      </c>
      <c r="Q462">
        <v>0.1713739</v>
      </c>
      <c r="R462">
        <v>-5.633345E-2</v>
      </c>
      <c r="S462">
        <v>3.0677490000000001</v>
      </c>
      <c r="T462">
        <v>-0.10284649999999999</v>
      </c>
      <c r="U462">
        <v>-1.446533E-2</v>
      </c>
      <c r="V462">
        <v>6.1600439999999999E-2</v>
      </c>
      <c r="W462">
        <v>0.18571019999999999</v>
      </c>
      <c r="X462">
        <v>0.98067179999999998</v>
      </c>
      <c r="Y462">
        <v>1.006578E-2</v>
      </c>
      <c r="Z462">
        <v>-3.4357449999999998E-4</v>
      </c>
      <c r="AA462">
        <v>0.99994930000000004</v>
      </c>
      <c r="AB462">
        <v>23</v>
      </c>
      <c r="AC462">
        <v>33.231900000000003</v>
      </c>
      <c r="AD462">
        <v>-1.121653150947</v>
      </c>
      <c r="AE462">
        <v>-0.15899999999999101</v>
      </c>
      <c r="AF462">
        <v>0.33672859490125301</v>
      </c>
      <c r="AG462">
        <v>-1.121653150947</v>
      </c>
      <c r="AH462">
        <v>33.1927575538909</v>
      </c>
      <c r="AI462">
        <v>91.935309034024101</v>
      </c>
      <c r="AJ462">
        <v>89.418774848815303</v>
      </c>
      <c r="AK462">
        <v>33.213410634396404</v>
      </c>
      <c r="AL462">
        <v>79.297458976346604</v>
      </c>
      <c r="AM462">
        <v>86.405714752448702</v>
      </c>
      <c r="AN462">
        <v>1.00000003595373</v>
      </c>
    </row>
    <row r="463" spans="1:40" x14ac:dyDescent="0.25">
      <c r="A463" t="str">
        <f>"20190303170506342"</f>
        <v>20190303170506342</v>
      </c>
      <c r="B463" t="str">
        <f>"1551603906335239"</f>
        <v>1551603906335239</v>
      </c>
      <c r="C463" t="s">
        <v>40</v>
      </c>
      <c r="D463">
        <v>5.6809820000000002</v>
      </c>
      <c r="E463">
        <v>0.43894709999999998</v>
      </c>
      <c r="F463" t="s">
        <v>41</v>
      </c>
      <c r="G463">
        <v>-340.71660000000003</v>
      </c>
      <c r="H463" s="1">
        <v>-4.8461460000000001E-6</v>
      </c>
      <c r="I463">
        <v>366.92529999999999</v>
      </c>
      <c r="J463">
        <v>-373.07139999999998</v>
      </c>
      <c r="K463">
        <v>1.121629</v>
      </c>
      <c r="L463">
        <v>367.06799999999998</v>
      </c>
      <c r="M463">
        <v>0.99987899999999996</v>
      </c>
      <c r="N463">
        <v>-1.4591639999999999E-2</v>
      </c>
      <c r="O463">
        <v>5.3993440000000004E-3</v>
      </c>
      <c r="P463">
        <v>0.98383149999999997</v>
      </c>
      <c r="Q463">
        <v>0.17009009999999999</v>
      </c>
      <c r="R463">
        <v>-5.6081680000000002E-2</v>
      </c>
      <c r="S463">
        <v>3.0676570000000001</v>
      </c>
      <c r="T463">
        <v>-0.1055677</v>
      </c>
      <c r="U463">
        <v>-1.330566E-2</v>
      </c>
      <c r="V463">
        <v>6.1395150000000002E-2</v>
      </c>
      <c r="W463">
        <v>0.18442249999999999</v>
      </c>
      <c r="X463">
        <v>0.98092760000000001</v>
      </c>
      <c r="Y463">
        <v>9.7279059999999997E-3</v>
      </c>
      <c r="Z463">
        <v>-3.453172E-4</v>
      </c>
      <c r="AA463">
        <v>0.99995259999999997</v>
      </c>
      <c r="AB463">
        <v>23</v>
      </c>
      <c r="AC463">
        <v>32.354799999999898</v>
      </c>
      <c r="AD463">
        <v>-1.121633846146</v>
      </c>
      <c r="AE463">
        <v>-0.14270000000004701</v>
      </c>
      <c r="AF463">
        <v>0.31703021506444801</v>
      </c>
      <c r="AG463">
        <v>-1.121633846146</v>
      </c>
      <c r="AH463">
        <v>32.314723294483201</v>
      </c>
      <c r="AI463">
        <v>91.987824770402895</v>
      </c>
      <c r="AJ463">
        <v>89.437906046962894</v>
      </c>
      <c r="AK463">
        <v>32.335737385145499</v>
      </c>
      <c r="AL463">
        <v>79.372535129353395</v>
      </c>
      <c r="AM463">
        <v>86.418593591983296</v>
      </c>
      <c r="AN463">
        <v>0.99999998969576598</v>
      </c>
    </row>
    <row r="464" spans="1:40" x14ac:dyDescent="0.25">
      <c r="A464" t="str">
        <f>"20190303170506366"</f>
        <v>20190303170506366</v>
      </c>
      <c r="B464" t="str">
        <f>"1551603906354759"</f>
        <v>1551603906354759</v>
      </c>
      <c r="C464" t="s">
        <v>40</v>
      </c>
      <c r="D464">
        <v>5.6132559999999998</v>
      </c>
      <c r="E464">
        <v>0.42367549999999998</v>
      </c>
      <c r="F464" t="s">
        <v>41</v>
      </c>
      <c r="G464">
        <v>-248.72</v>
      </c>
      <c r="H464">
        <v>7.9986470000000004E-2</v>
      </c>
      <c r="I464">
        <v>380.74939999999998</v>
      </c>
      <c r="J464">
        <v>-372.83730000000003</v>
      </c>
      <c r="K464">
        <v>1.1216189999999999</v>
      </c>
      <c r="L464">
        <v>367.06920000000002</v>
      </c>
      <c r="M464">
        <v>0.99987899999999996</v>
      </c>
      <c r="N464">
        <v>-1.4585900000000001E-2</v>
      </c>
      <c r="O464">
        <v>5.4197669999999998E-3</v>
      </c>
      <c r="P464">
        <v>0.9838635</v>
      </c>
      <c r="Q464">
        <v>0.17000199999999999</v>
      </c>
      <c r="R464">
        <v>-5.5788570000000003E-2</v>
      </c>
      <c r="S464">
        <v>3.0730590000000002</v>
      </c>
      <c r="T464">
        <v>-2.5741819999999999E-2</v>
      </c>
      <c r="U464">
        <v>0.33810420000000002</v>
      </c>
      <c r="V464">
        <v>6.1126680000000003E-2</v>
      </c>
      <c r="W464">
        <v>0.18432780000000001</v>
      </c>
      <c r="X464">
        <v>0.98096220000000001</v>
      </c>
      <c r="Y464">
        <v>-0.10396279999999999</v>
      </c>
      <c r="Z464">
        <v>1.228231E-3</v>
      </c>
      <c r="AA464">
        <v>0.99458040000000003</v>
      </c>
      <c r="AB464">
        <v>22</v>
      </c>
      <c r="AC464">
        <v>124.1173</v>
      </c>
      <c r="AD464">
        <v>-1.04163253</v>
      </c>
      <c r="AE464">
        <v>13.6801999999999</v>
      </c>
      <c r="AF464">
        <v>-13.006335611579001</v>
      </c>
      <c r="AG464">
        <v>-1.04163253</v>
      </c>
      <c r="AH464">
        <v>124.180986850298</v>
      </c>
      <c r="AI464">
        <v>90.477972476240495</v>
      </c>
      <c r="AJ464">
        <v>95.979184236744999</v>
      </c>
      <c r="AK464">
        <v>124.864595700633</v>
      </c>
      <c r="AL464">
        <v>79.3780560460158</v>
      </c>
      <c r="AM464">
        <v>86.434339392148402</v>
      </c>
      <c r="AN464">
        <v>1.0000000233447499</v>
      </c>
    </row>
    <row r="465" spans="1:40" x14ac:dyDescent="0.25">
      <c r="A465" t="str">
        <f>"20190303170506386"</f>
        <v>20190303170506386</v>
      </c>
      <c r="B465" t="str">
        <f>"1551603906375255"</f>
        <v>1551603906375255</v>
      </c>
      <c r="C465" t="s">
        <v>40</v>
      </c>
      <c r="D465">
        <v>5.5889829999999998</v>
      </c>
      <c r="E465">
        <v>0.41406349999999997</v>
      </c>
      <c r="F465" t="s">
        <v>44</v>
      </c>
      <c r="G465">
        <v>-206.9692</v>
      </c>
      <c r="H465">
        <v>1.2623819999999999</v>
      </c>
      <c r="I465">
        <v>391.87</v>
      </c>
      <c r="J465">
        <v>-372.6191</v>
      </c>
      <c r="K465">
        <v>1.12161</v>
      </c>
      <c r="L465">
        <v>367.07040000000001</v>
      </c>
      <c r="M465">
        <v>0.99987910000000002</v>
      </c>
      <c r="N465">
        <v>-1.458053E-2</v>
      </c>
      <c r="O465">
        <v>5.4252190000000002E-3</v>
      </c>
      <c r="P465">
        <v>0.98381629999999998</v>
      </c>
      <c r="Q465">
        <v>0.17023849999999999</v>
      </c>
      <c r="R465">
        <v>-5.5898070000000001E-2</v>
      </c>
      <c r="S465">
        <v>3.0747990000000001</v>
      </c>
      <c r="T465">
        <v>2.609372E-3</v>
      </c>
      <c r="U465">
        <v>0.45974730000000003</v>
      </c>
      <c r="V465">
        <v>6.1244769999999997E-2</v>
      </c>
      <c r="W465">
        <v>0.184557</v>
      </c>
      <c r="X465">
        <v>0.98091170000000005</v>
      </c>
      <c r="Y465">
        <v>-0.14251029999999901</v>
      </c>
      <c r="Z465">
        <v>1.067854E-3</v>
      </c>
      <c r="AA465">
        <v>0.98979280000000003</v>
      </c>
      <c r="AB465">
        <v>22</v>
      </c>
      <c r="AC465">
        <v>165.6499</v>
      </c>
      <c r="AD465">
        <v>0.14077199999999901</v>
      </c>
      <c r="AE465">
        <v>24.799600000000002</v>
      </c>
      <c r="AF465">
        <v>-23.900435655060999</v>
      </c>
      <c r="AG465">
        <v>0.14077199999999901</v>
      </c>
      <c r="AH465">
        <v>165.78190212504501</v>
      </c>
      <c r="AI465">
        <v>89.951845743530598</v>
      </c>
      <c r="AJ465">
        <v>98.203690004621507</v>
      </c>
      <c r="AK465">
        <v>167.49593939393199</v>
      </c>
      <c r="AL465">
        <v>79.364694210346002</v>
      </c>
      <c r="AM465">
        <v>86.427285305197501</v>
      </c>
      <c r="AN465">
        <v>0.99999998564912096</v>
      </c>
    </row>
    <row r="466" spans="1:40" x14ac:dyDescent="0.25">
      <c r="A466" t="str">
        <f>"20190303170506407"</f>
        <v>20190303170506407</v>
      </c>
      <c r="B466" t="str">
        <f>"1551603906394775"</f>
        <v>1551603906394775</v>
      </c>
      <c r="C466" t="s">
        <v>40</v>
      </c>
      <c r="D466">
        <v>5.5611259999999998</v>
      </c>
      <c r="E466">
        <v>0.40825410000000001</v>
      </c>
      <c r="F466" t="s">
        <v>44</v>
      </c>
      <c r="G466">
        <v>-234.27610000000001</v>
      </c>
      <c r="H466">
        <v>2.006157</v>
      </c>
      <c r="I466">
        <v>391.15550000000002</v>
      </c>
      <c r="J466">
        <v>-372.41860000000003</v>
      </c>
      <c r="K466">
        <v>1.1216109999999999</v>
      </c>
      <c r="L466">
        <v>367.07150000000001</v>
      </c>
      <c r="M466">
        <v>0.99987910000000002</v>
      </c>
      <c r="N466">
        <v>-1.4575589999999999E-2</v>
      </c>
      <c r="O466">
        <v>5.4226129999999997E-3</v>
      </c>
      <c r="P466">
        <v>0.9837766</v>
      </c>
      <c r="Q466">
        <v>0.1706675</v>
      </c>
      <c r="R466">
        <v>-5.5284489999999999E-2</v>
      </c>
      <c r="S466">
        <v>3.076355</v>
      </c>
      <c r="T466">
        <v>1.966977E-2</v>
      </c>
      <c r="U466">
        <v>0.53558349999999999</v>
      </c>
      <c r="V466">
        <v>6.0630440000000001E-2</v>
      </c>
      <c r="W466">
        <v>0.18498020000000001</v>
      </c>
      <c r="X466">
        <v>0.98087020000000003</v>
      </c>
      <c r="Y466">
        <v>-0.16617699999999999</v>
      </c>
      <c r="Z466">
        <v>8.0573509999999995E-4</v>
      </c>
      <c r="AA466">
        <v>0.98609559999999996</v>
      </c>
      <c r="AB466">
        <v>22</v>
      </c>
      <c r="AC466">
        <v>138.14250000000001</v>
      </c>
      <c r="AD466">
        <v>0.88454599999999906</v>
      </c>
      <c r="AE466">
        <v>24.084</v>
      </c>
      <c r="AF466">
        <v>-23.333544494942899</v>
      </c>
      <c r="AG466">
        <v>0.88454599999999906</v>
      </c>
      <c r="AH466">
        <v>138.26557891859699</v>
      </c>
      <c r="AI466">
        <v>89.6385690112905</v>
      </c>
      <c r="AJ466">
        <v>99.578917720305697</v>
      </c>
      <c r="AK466">
        <v>140.22341827960901</v>
      </c>
      <c r="AL466">
        <v>79.340022381364804</v>
      </c>
      <c r="AM466">
        <v>86.462881554279605</v>
      </c>
      <c r="AN466">
        <v>1.0000000369473301</v>
      </c>
    </row>
    <row r="467" spans="1:40" x14ac:dyDescent="0.25">
      <c r="A467" t="str">
        <f>"20190303170506431"</f>
        <v>20190303170506431</v>
      </c>
      <c r="B467" t="str">
        <f>"1551603906415271"</f>
        <v>1551603906415271</v>
      </c>
      <c r="C467" t="s">
        <v>40</v>
      </c>
      <c r="D467">
        <v>5.484413</v>
      </c>
      <c r="E467">
        <v>0.4045878</v>
      </c>
      <c r="F467" t="s">
        <v>45</v>
      </c>
      <c r="G467">
        <v>-245.17150000000001</v>
      </c>
      <c r="H467">
        <v>2.5032480000000001</v>
      </c>
      <c r="I467">
        <v>391.20440000000002</v>
      </c>
      <c r="J467">
        <v>-372.17869999999999</v>
      </c>
      <c r="K467">
        <v>1.1216090000000001</v>
      </c>
      <c r="L467">
        <v>367.07279999999997</v>
      </c>
      <c r="M467">
        <v>0.99987930000000003</v>
      </c>
      <c r="N467">
        <v>-1.456969E-2</v>
      </c>
      <c r="O467">
        <v>5.4142050000000001E-3</v>
      </c>
      <c r="P467">
        <v>0.98380400000000001</v>
      </c>
      <c r="Q467">
        <v>0.17069690000000001</v>
      </c>
      <c r="R467">
        <v>-5.4705280000000002E-2</v>
      </c>
      <c r="S467">
        <v>3.0764770000000001</v>
      </c>
      <c r="T467">
        <v>3.3404709999999997E-2</v>
      </c>
      <c r="U467">
        <v>0.58346560000000003</v>
      </c>
      <c r="V467">
        <v>6.0044269999999997E-2</v>
      </c>
      <c r="W467">
        <v>0.18500359999999999</v>
      </c>
      <c r="X467">
        <v>0.98090180000000005</v>
      </c>
      <c r="Y467">
        <v>-0.18101510000000001</v>
      </c>
      <c r="Z467">
        <v>4.9279629999999998E-4</v>
      </c>
      <c r="AA467">
        <v>0.98348020000000003</v>
      </c>
      <c r="AB467">
        <v>22</v>
      </c>
      <c r="AC467">
        <v>127.007199999999</v>
      </c>
      <c r="AD467">
        <v>1.3816389999999901</v>
      </c>
      <c r="AE467">
        <v>24.131599999999999</v>
      </c>
      <c r="AF467">
        <v>-23.4408529439444</v>
      </c>
      <c r="AG467">
        <v>1.3816389999999901</v>
      </c>
      <c r="AH467">
        <v>127.121485929811</v>
      </c>
      <c r="AI467">
        <v>89.387620060520106</v>
      </c>
      <c r="AJ467">
        <v>100.447822591394</v>
      </c>
      <c r="AK467">
        <v>129.27201823313899</v>
      </c>
      <c r="AL467">
        <v>79.338657647659105</v>
      </c>
      <c r="AM467">
        <v>86.497105119863804</v>
      </c>
      <c r="AN467">
        <v>0.99999999380801596</v>
      </c>
    </row>
    <row r="468" spans="1:40" x14ac:dyDescent="0.25">
      <c r="A468" t="str">
        <f>"20190303170506453"</f>
        <v>20190303170506453</v>
      </c>
      <c r="B468" t="str">
        <f>"1551603906444550"</f>
        <v>1551603906444550</v>
      </c>
      <c r="C468" t="s">
        <v>40</v>
      </c>
      <c r="D468">
        <v>5.4604920000000003</v>
      </c>
      <c r="E468">
        <v>0.40074389999999999</v>
      </c>
      <c r="F468" t="s">
        <v>45</v>
      </c>
      <c r="G468">
        <v>-248.5249</v>
      </c>
      <c r="H468">
        <v>2.8349440000000001</v>
      </c>
      <c r="I468">
        <v>391.75</v>
      </c>
      <c r="J468">
        <v>-371.95600000000002</v>
      </c>
      <c r="K468">
        <v>1.1216120000000001</v>
      </c>
      <c r="L468">
        <v>367.07400000000001</v>
      </c>
      <c r="M468">
        <v>0.99987919999999997</v>
      </c>
      <c r="N468">
        <v>-1.456413E-2</v>
      </c>
      <c r="O468">
        <v>5.4050039999999997E-3</v>
      </c>
      <c r="P468">
        <v>0.98383549999999997</v>
      </c>
      <c r="Q468">
        <v>0.17064670000000001</v>
      </c>
      <c r="R468">
        <v>-5.4288599999999999E-2</v>
      </c>
      <c r="S468">
        <v>3.076111</v>
      </c>
      <c r="T468">
        <v>4.2623040000000001E-2</v>
      </c>
      <c r="U468">
        <v>0.61389159999999998</v>
      </c>
      <c r="V468">
        <v>5.9618989999999997E-2</v>
      </c>
      <c r="W468">
        <v>0.1849488</v>
      </c>
      <c r="X468">
        <v>0.98093810000000004</v>
      </c>
      <c r="Y468">
        <v>-0.19040770000000001</v>
      </c>
      <c r="Z468">
        <v>2.4605519999999997E-4</v>
      </c>
      <c r="AA468">
        <v>0.9817051</v>
      </c>
      <c r="AB468">
        <v>22</v>
      </c>
      <c r="AC468">
        <v>123.43109999999901</v>
      </c>
      <c r="AD468">
        <v>1.7133319999999901</v>
      </c>
      <c r="AE468">
        <v>24.675999999999899</v>
      </c>
      <c r="AF468">
        <v>-24.003975724606399</v>
      </c>
      <c r="AG468">
        <v>1.7133319999999901</v>
      </c>
      <c r="AH468">
        <v>123.539795979893</v>
      </c>
      <c r="AI468">
        <v>89.220020064880899</v>
      </c>
      <c r="AJ468">
        <v>100.995652503271</v>
      </c>
      <c r="AK468">
        <v>125.86185898787301</v>
      </c>
      <c r="AL468">
        <v>79.341852866533401</v>
      </c>
      <c r="AM468">
        <v>86.521982603477596</v>
      </c>
      <c r="AN468">
        <v>1.00000001931083</v>
      </c>
    </row>
    <row r="469" spans="1:40" x14ac:dyDescent="0.25">
      <c r="A469" t="str">
        <f>"20190303170506466"</f>
        <v>20190303170506466</v>
      </c>
      <c r="B469" t="str">
        <f>"1551603906455287"</f>
        <v>1551603906455287</v>
      </c>
      <c r="C469" t="s">
        <v>40</v>
      </c>
      <c r="D469">
        <v>5.5059329999999997</v>
      </c>
      <c r="E469">
        <v>0.39978669999999999</v>
      </c>
      <c r="F469" t="s">
        <v>45</v>
      </c>
      <c r="G469">
        <v>-254.3854</v>
      </c>
      <c r="H469">
        <v>3.05118</v>
      </c>
      <c r="I469">
        <v>391.75</v>
      </c>
      <c r="J469">
        <v>-371.83580000000001</v>
      </c>
      <c r="K469">
        <v>1.121613</v>
      </c>
      <c r="L469">
        <v>367.07470000000001</v>
      </c>
      <c r="M469">
        <v>0.99987950000000003</v>
      </c>
      <c r="N469">
        <v>-1.456111E-2</v>
      </c>
      <c r="O469">
        <v>5.3994940000000003E-3</v>
      </c>
      <c r="P469">
        <v>0.98385670000000003</v>
      </c>
      <c r="Q469">
        <v>0.1706577</v>
      </c>
      <c r="R469">
        <v>-5.387115E-2</v>
      </c>
      <c r="S469">
        <v>3.0761409999999998</v>
      </c>
      <c r="T469">
        <v>5.0486330000000003E-2</v>
      </c>
      <c r="U469">
        <v>0.64562989999999998</v>
      </c>
      <c r="V469">
        <v>5.9195959999999999E-2</v>
      </c>
      <c r="W469">
        <v>0.18495719999999999</v>
      </c>
      <c r="X469">
        <v>0.98096209999999995</v>
      </c>
      <c r="Y469">
        <v>-0.20011979999999999</v>
      </c>
      <c r="Z469" s="1">
        <v>1.379312E-5</v>
      </c>
      <c r="AA469">
        <v>0.97977139999999996</v>
      </c>
      <c r="AB469">
        <v>22</v>
      </c>
      <c r="AC469">
        <v>117.4504</v>
      </c>
      <c r="AD469">
        <v>1.92956699999999</v>
      </c>
      <c r="AE469">
        <v>24.6753</v>
      </c>
      <c r="AF469">
        <v>-24.0344875106553</v>
      </c>
      <c r="AG469">
        <v>1.92956699999999</v>
      </c>
      <c r="AH469">
        <v>117.551549241394</v>
      </c>
      <c r="AI469">
        <v>89.078651806629594</v>
      </c>
      <c r="AJ469">
        <v>101.555383318201</v>
      </c>
      <c r="AK469">
        <v>119.99894394435</v>
      </c>
      <c r="AL469">
        <v>79.341362758223596</v>
      </c>
      <c r="AM469">
        <v>86.5466854251071</v>
      </c>
      <c r="AN469">
        <v>0.99999998457428496</v>
      </c>
    </row>
    <row r="470" spans="1:40" x14ac:dyDescent="0.25">
      <c r="A470" t="str">
        <f>"20190303170506485"</f>
        <v>20190303170506485</v>
      </c>
      <c r="B470" t="str">
        <f>"1551603906474807"</f>
        <v>1551603906474807</v>
      </c>
      <c r="C470" t="s">
        <v>40</v>
      </c>
      <c r="D470">
        <v>5.469843</v>
      </c>
      <c r="E470">
        <v>0.39820349999999999</v>
      </c>
      <c r="F470" t="s">
        <v>45</v>
      </c>
      <c r="G470">
        <v>-255.8177</v>
      </c>
      <c r="H470">
        <v>3.1144910000000001</v>
      </c>
      <c r="I470">
        <v>391.75</v>
      </c>
      <c r="J470">
        <v>-371.64449999999999</v>
      </c>
      <c r="K470">
        <v>1.1216170000000001</v>
      </c>
      <c r="L470">
        <v>367.07569999999998</v>
      </c>
      <c r="M470">
        <v>0.99987950000000003</v>
      </c>
      <c r="N470">
        <v>-1.4556400000000001E-2</v>
      </c>
      <c r="O470">
        <v>5.3921660000000003E-3</v>
      </c>
      <c r="P470">
        <v>0.98386689999999999</v>
      </c>
      <c r="Q470">
        <v>0.17076150000000001</v>
      </c>
      <c r="R470">
        <v>-5.3353490000000003E-2</v>
      </c>
      <c r="S470">
        <v>3.0759280000000002</v>
      </c>
      <c r="T470">
        <v>5.283678E-2</v>
      </c>
      <c r="U470">
        <v>0.65420529999999999</v>
      </c>
      <c r="V470">
        <v>5.8670310000000003E-2</v>
      </c>
      <c r="W470">
        <v>0.18505650000000001</v>
      </c>
      <c r="X470">
        <v>0.98097500000000004</v>
      </c>
      <c r="Y470">
        <v>-0.2027535</v>
      </c>
      <c r="Z470" s="1">
        <v>-6.0716410000000001E-5</v>
      </c>
      <c r="AA470">
        <v>0.97922980000000004</v>
      </c>
      <c r="AB470">
        <v>22</v>
      </c>
      <c r="AC470">
        <v>115.82680000000001</v>
      </c>
      <c r="AD470">
        <v>1.992874</v>
      </c>
      <c r="AE470">
        <v>24.674299999999999</v>
      </c>
      <c r="AF470">
        <v>-24.042509266536001</v>
      </c>
      <c r="AG470">
        <v>1.992874</v>
      </c>
      <c r="AH470">
        <v>115.925349713028</v>
      </c>
      <c r="AI470">
        <v>89.035642366044101</v>
      </c>
      <c r="AJ470">
        <v>101.716834332015</v>
      </c>
      <c r="AK470">
        <v>118.40903894846601</v>
      </c>
      <c r="AL470">
        <v>79.335573858129294</v>
      </c>
      <c r="AM470">
        <v>86.577321943270704</v>
      </c>
      <c r="AN470">
        <v>1.00000003204637</v>
      </c>
    </row>
    <row r="471" spans="1:40" x14ac:dyDescent="0.25">
      <c r="A471" t="str">
        <f>"20190303170506507"</f>
        <v>20190303170506507</v>
      </c>
      <c r="B471" t="str">
        <f>"1551603906495304"</f>
        <v>1551603906495304</v>
      </c>
      <c r="C471" t="s">
        <v>40</v>
      </c>
      <c r="D471">
        <v>5.4613959999999997</v>
      </c>
      <c r="E471">
        <v>0.39697890000000002</v>
      </c>
      <c r="F471" t="s">
        <v>45</v>
      </c>
      <c r="G471">
        <v>-258.10719999999998</v>
      </c>
      <c r="H471">
        <v>3.190391</v>
      </c>
      <c r="I471">
        <v>391.75</v>
      </c>
      <c r="J471">
        <v>-371.42419999999998</v>
      </c>
      <c r="K471">
        <v>1.1216189999999999</v>
      </c>
      <c r="L471">
        <v>367.07690000000002</v>
      </c>
      <c r="M471">
        <v>0.99987969999999904</v>
      </c>
      <c r="N471">
        <v>-1.455098E-2</v>
      </c>
      <c r="O471">
        <v>5.3853319999999996E-3</v>
      </c>
      <c r="P471">
        <v>0.98387650000000004</v>
      </c>
      <c r="Q471">
        <v>0.17088049999999999</v>
      </c>
      <c r="R471">
        <v>-5.279267E-2</v>
      </c>
      <c r="S471">
        <v>3.0757140000000001</v>
      </c>
      <c r="T471">
        <v>5.6043620000000002E-2</v>
      </c>
      <c r="U471">
        <v>0.66842650000000003</v>
      </c>
      <c r="V471">
        <v>5.8101960000000001E-2</v>
      </c>
      <c r="W471">
        <v>0.18517140000000001</v>
      </c>
      <c r="X471">
        <v>0.9809871</v>
      </c>
      <c r="Y471">
        <v>-0.20709759999999999</v>
      </c>
      <c r="Z471">
        <v>-1.6622499999999999E-4</v>
      </c>
      <c r="AA471">
        <v>0.97832030000000003</v>
      </c>
      <c r="AB471">
        <v>22</v>
      </c>
      <c r="AC471">
        <v>113.31699999999999</v>
      </c>
      <c r="AD471">
        <v>2.0687720000000001</v>
      </c>
      <c r="AE471">
        <v>24.673099999999899</v>
      </c>
      <c r="AF471">
        <v>-24.054773343285898</v>
      </c>
      <c r="AG471">
        <v>2.0687720000000001</v>
      </c>
      <c r="AH471">
        <v>113.412154025902</v>
      </c>
      <c r="AI471">
        <v>88.977709771924907</v>
      </c>
      <c r="AJ471">
        <v>101.974996224501</v>
      </c>
      <c r="AK471">
        <v>115.953562338463</v>
      </c>
      <c r="AL471">
        <v>79.328874315535501</v>
      </c>
      <c r="AM471">
        <v>86.610442077952797</v>
      </c>
      <c r="AN471">
        <v>0.99999998775010501</v>
      </c>
    </row>
    <row r="472" spans="1:40" x14ac:dyDescent="0.25">
      <c r="A472" t="str">
        <f>"20190303170506520"</f>
        <v>20190303170506520</v>
      </c>
      <c r="B472" t="str">
        <f>"1551603906505063"</f>
        <v>1551603906505063</v>
      </c>
      <c r="C472" t="s">
        <v>40</v>
      </c>
      <c r="D472">
        <v>5.4387819999999998</v>
      </c>
      <c r="E472">
        <v>0.39645809999999998</v>
      </c>
      <c r="F472" t="s">
        <v>45</v>
      </c>
      <c r="G472">
        <v>-259.87639999999999</v>
      </c>
      <c r="H472">
        <v>3.301094</v>
      </c>
      <c r="I472">
        <v>391.75</v>
      </c>
      <c r="J472">
        <v>-371.29599999999999</v>
      </c>
      <c r="K472">
        <v>1.121621</v>
      </c>
      <c r="L472">
        <v>367.07760000000002</v>
      </c>
      <c r="M472">
        <v>0.99987979999999999</v>
      </c>
      <c r="N472">
        <v>-1.4547829999999999E-2</v>
      </c>
      <c r="O472">
        <v>5.3825160000000004E-3</v>
      </c>
      <c r="P472">
        <v>0.98387069999999999</v>
      </c>
      <c r="Q472">
        <v>0.17098450000000001</v>
      </c>
      <c r="R472">
        <v>-5.2564300000000001E-2</v>
      </c>
      <c r="S472">
        <v>3.0752259999999998</v>
      </c>
      <c r="T472">
        <v>6.0086010000000002E-2</v>
      </c>
      <c r="U472">
        <v>0.68020630000000004</v>
      </c>
      <c r="V472">
        <v>5.7870159999999997E-2</v>
      </c>
      <c r="W472">
        <v>0.1852721</v>
      </c>
      <c r="X472">
        <v>0.98098180000000001</v>
      </c>
      <c r="Y472">
        <v>-0.2107038</v>
      </c>
      <c r="Z472">
        <v>-3.0135989999999999E-4</v>
      </c>
      <c r="AA472">
        <v>0.97754989999999997</v>
      </c>
      <c r="AB472">
        <v>22</v>
      </c>
      <c r="AC472">
        <v>111.4196</v>
      </c>
      <c r="AD472">
        <v>2.1794730000000002</v>
      </c>
      <c r="AE472">
        <v>24.6723999999999</v>
      </c>
      <c r="AF472">
        <v>-24.063484288419399</v>
      </c>
      <c r="AG472">
        <v>2.1794730000000002</v>
      </c>
      <c r="AH472">
        <v>111.510126445613</v>
      </c>
      <c r="AI472">
        <v>88.905481161758999</v>
      </c>
      <c r="AJ472">
        <v>102.17748752875301</v>
      </c>
      <c r="AK472">
        <v>114.097807509931</v>
      </c>
      <c r="AL472">
        <v>79.323003161908204</v>
      </c>
      <c r="AM472">
        <v>86.623915310380099</v>
      </c>
      <c r="AN472">
        <v>0.99999999919403704</v>
      </c>
    </row>
    <row r="473" spans="1:40" x14ac:dyDescent="0.25">
      <c r="A473" t="str">
        <f>"20190303170506543"</f>
        <v>20190303170506543</v>
      </c>
      <c r="B473" t="str">
        <f>"1551603906535319"</f>
        <v>1551603906535319</v>
      </c>
      <c r="C473" t="s">
        <v>40</v>
      </c>
      <c r="D473">
        <v>5.4033720000000001</v>
      </c>
      <c r="E473">
        <v>0.39523180000000002</v>
      </c>
      <c r="F473" t="s">
        <v>45</v>
      </c>
      <c r="G473">
        <v>-260.61700000000002</v>
      </c>
      <c r="H473">
        <v>3.3463620000000001</v>
      </c>
      <c r="I473">
        <v>391.75</v>
      </c>
      <c r="J473">
        <v>-371.0761</v>
      </c>
      <c r="K473">
        <v>1.121618</v>
      </c>
      <c r="L473">
        <v>367.0788</v>
      </c>
      <c r="M473">
        <v>0.99987979999999999</v>
      </c>
      <c r="N473">
        <v>-1.4542619999999999E-2</v>
      </c>
      <c r="O473">
        <v>5.3796080000000001E-3</v>
      </c>
      <c r="P473">
        <v>0.98383010000000004</v>
      </c>
      <c r="Q473">
        <v>0.17128360000000001</v>
      </c>
      <c r="R473">
        <v>-5.2347539999999998E-2</v>
      </c>
      <c r="S473">
        <v>3.075043</v>
      </c>
      <c r="T473">
        <v>6.1811690000000002E-2</v>
      </c>
      <c r="U473">
        <v>0.68548580000000003</v>
      </c>
      <c r="V473">
        <v>5.7649499999999999E-2</v>
      </c>
      <c r="W473">
        <v>0.18556590000000001</v>
      </c>
      <c r="X473">
        <v>0.98093929999999996</v>
      </c>
      <c r="Y473">
        <v>-0.2123168</v>
      </c>
      <c r="Z473">
        <v>-3.6107819999999999E-4</v>
      </c>
      <c r="AA473">
        <v>0.97720079999999998</v>
      </c>
      <c r="AB473">
        <v>22</v>
      </c>
      <c r="AC473">
        <v>110.459099999999</v>
      </c>
      <c r="AD473">
        <v>2.2247439999999998</v>
      </c>
      <c r="AE473">
        <v>24.671199999999999</v>
      </c>
      <c r="AF473">
        <v>-24.067254322758199</v>
      </c>
      <c r="AG473">
        <v>2.2247439999999998</v>
      </c>
      <c r="AH473">
        <v>110.547523328567</v>
      </c>
      <c r="AI473">
        <v>88.873472148913393</v>
      </c>
      <c r="AJ473">
        <v>102.28218523836701</v>
      </c>
      <c r="AK473">
        <v>113.158902126973</v>
      </c>
      <c r="AL473">
        <v>79.305873043105095</v>
      </c>
      <c r="AM473">
        <v>86.636613396945293</v>
      </c>
      <c r="AN473">
        <v>1.00000003918877</v>
      </c>
    </row>
    <row r="474" spans="1:40" x14ac:dyDescent="0.25">
      <c r="A474" t="str">
        <f>"20190303170506555"</f>
        <v>20190303170506555</v>
      </c>
      <c r="B474" t="str">
        <f>"1551603906545079"</f>
        <v>1551603906545079</v>
      </c>
      <c r="C474" t="s">
        <v>40</v>
      </c>
      <c r="D474">
        <v>5.4373769999999997</v>
      </c>
      <c r="E474">
        <v>0.39491579999999998</v>
      </c>
      <c r="F474" t="s">
        <v>45</v>
      </c>
      <c r="G474">
        <v>-261.94260000000003</v>
      </c>
      <c r="H474">
        <v>3.4190239999999998</v>
      </c>
      <c r="I474">
        <v>391.75</v>
      </c>
      <c r="J474">
        <v>-370.94889999999998</v>
      </c>
      <c r="K474">
        <v>1.1216189999999999</v>
      </c>
      <c r="L474">
        <v>367.0795</v>
      </c>
      <c r="M474">
        <v>0.99987999999999999</v>
      </c>
      <c r="N474">
        <v>-1.453958E-2</v>
      </c>
      <c r="O474">
        <v>5.3789299999999996E-3</v>
      </c>
      <c r="P474">
        <v>0.98387270000000004</v>
      </c>
      <c r="Q474">
        <v>0.171140299999999</v>
      </c>
      <c r="R474">
        <v>-5.2019309999999999E-2</v>
      </c>
      <c r="S474">
        <v>3.075043</v>
      </c>
      <c r="T474">
        <v>6.4734459999999994E-2</v>
      </c>
      <c r="U474">
        <v>0.69515990000000005</v>
      </c>
      <c r="V474">
        <v>5.7320530000000001E-2</v>
      </c>
      <c r="W474">
        <v>0.18542020000000001</v>
      </c>
      <c r="X474">
        <v>0.98098609999999997</v>
      </c>
      <c r="Y474">
        <v>-0.21524080000000001</v>
      </c>
      <c r="Z474">
        <v>-4.6369739999999998E-4</v>
      </c>
      <c r="AA474">
        <v>0.97656089999999995</v>
      </c>
      <c r="AB474">
        <v>22</v>
      </c>
      <c r="AC474">
        <v>109.006299999999</v>
      </c>
      <c r="AD474">
        <v>2.2974049999999901</v>
      </c>
      <c r="AE474">
        <v>24.670500000000001</v>
      </c>
      <c r="AF474">
        <v>-24.073571609071799</v>
      </c>
      <c r="AG474">
        <v>2.2974049999999901</v>
      </c>
      <c r="AH474">
        <v>109.0913411203</v>
      </c>
      <c r="AI474">
        <v>88.821895731114097</v>
      </c>
      <c r="AJ474">
        <v>102.444222333431</v>
      </c>
      <c r="AK474">
        <v>111.739588450901</v>
      </c>
      <c r="AL474">
        <v>79.314368167004005</v>
      </c>
      <c r="AM474">
        <v>86.655921657771401</v>
      </c>
      <c r="AN474">
        <v>1.00000001106036</v>
      </c>
    </row>
    <row r="475" spans="1:40" x14ac:dyDescent="0.25">
      <c r="A475" t="str">
        <f>"20190303170506570"</f>
        <v>20190303170506570</v>
      </c>
      <c r="B475" t="str">
        <f>"1551603906554839"</f>
        <v>1551603906554839</v>
      </c>
      <c r="C475" t="s">
        <v>40</v>
      </c>
      <c r="D475">
        <v>5.4117639999999998</v>
      </c>
      <c r="E475">
        <v>0.39459349999999999</v>
      </c>
      <c r="F475" t="s">
        <v>45</v>
      </c>
      <c r="G475">
        <v>-262.40010000000001</v>
      </c>
      <c r="H475">
        <v>3.418088</v>
      </c>
      <c r="I475">
        <v>391.75</v>
      </c>
      <c r="J475">
        <v>-370.80630000000002</v>
      </c>
      <c r="K475">
        <v>1.1216189999999999</v>
      </c>
      <c r="L475">
        <v>367.08019999999999</v>
      </c>
      <c r="M475">
        <v>0.99987990000000004</v>
      </c>
      <c r="N475">
        <v>-1.4536169999999999E-2</v>
      </c>
      <c r="O475">
        <v>5.3789709999999998E-3</v>
      </c>
      <c r="P475">
        <v>0.98387329999999995</v>
      </c>
      <c r="Q475">
        <v>0.171206</v>
      </c>
      <c r="R475">
        <v>-5.178895E-2</v>
      </c>
      <c r="S475">
        <v>3.0747680000000002</v>
      </c>
      <c r="T475">
        <v>6.5050839999999999E-2</v>
      </c>
      <c r="U475">
        <v>0.69882200000000005</v>
      </c>
      <c r="V475">
        <v>5.7089689999999998E-2</v>
      </c>
      <c r="W475">
        <v>0.18548249999999999</v>
      </c>
      <c r="X475">
        <v>0.98098779999999997</v>
      </c>
      <c r="Y475">
        <v>-0.21636530000000001</v>
      </c>
      <c r="Z475">
        <v>-4.7765209999999999E-4</v>
      </c>
      <c r="AA475">
        <v>0.97631239999999997</v>
      </c>
      <c r="AB475">
        <v>22</v>
      </c>
      <c r="AC475">
        <v>108.4062</v>
      </c>
      <c r="AD475">
        <v>2.2964689999999899</v>
      </c>
      <c r="AE475">
        <v>24.669799999999999</v>
      </c>
      <c r="AF475">
        <v>-24.075995287147599</v>
      </c>
      <c r="AG475">
        <v>2.2964689999999899</v>
      </c>
      <c r="AH475">
        <v>108.491054415593</v>
      </c>
      <c r="AI475">
        <v>88.816172036748796</v>
      </c>
      <c r="AJ475">
        <v>102.512134584877</v>
      </c>
      <c r="AK475">
        <v>111.154110167559</v>
      </c>
      <c r="AL475">
        <v>79.310735801739398</v>
      </c>
      <c r="AM475">
        <v>86.669364237405304</v>
      </c>
      <c r="AN475">
        <v>1.0000000271296901</v>
      </c>
    </row>
    <row r="476" spans="1:40" x14ac:dyDescent="0.25">
      <c r="A476" t="str">
        <f>"20190303170506587"</f>
        <v>20190303170506587</v>
      </c>
      <c r="B476" t="str">
        <f>"1551603906575336"</f>
        <v>1551603906575336</v>
      </c>
      <c r="C476" t="s">
        <v>40</v>
      </c>
      <c r="D476">
        <v>5.4320409999999999</v>
      </c>
      <c r="E476">
        <v>0.39404499999999998</v>
      </c>
      <c r="F476" t="s">
        <v>45</v>
      </c>
      <c r="G476">
        <v>-262.74650000000003</v>
      </c>
      <c r="H476">
        <v>3.4387129999999999</v>
      </c>
      <c r="I476">
        <v>391.75</v>
      </c>
      <c r="J476">
        <v>-370.64789999999999</v>
      </c>
      <c r="K476">
        <v>1.1216219999999999</v>
      </c>
      <c r="L476">
        <v>367.08109999999999</v>
      </c>
      <c r="M476">
        <v>0.99987999999999999</v>
      </c>
      <c r="N476">
        <v>-1.453232E-2</v>
      </c>
      <c r="O476">
        <v>5.379193E-3</v>
      </c>
      <c r="P476">
        <v>0.983873</v>
      </c>
      <c r="Q476">
        <v>0.17104049999999901</v>
      </c>
      <c r="R476">
        <v>-5.2340850000000001E-2</v>
      </c>
      <c r="S476">
        <v>3.074646</v>
      </c>
      <c r="T476">
        <v>6.592953E-2</v>
      </c>
      <c r="U476">
        <v>0.70193479999999997</v>
      </c>
      <c r="V476">
        <v>5.7641369999999997E-2</v>
      </c>
      <c r="W476">
        <v>0.1853138</v>
      </c>
      <c r="X476">
        <v>0.98098739999999995</v>
      </c>
      <c r="Y476">
        <v>-0.21731220000000001</v>
      </c>
      <c r="Z476">
        <v>-5.098158E-4</v>
      </c>
      <c r="AA476">
        <v>0.97610200000000003</v>
      </c>
      <c r="AB476">
        <v>22</v>
      </c>
      <c r="AC476">
        <v>107.901399999999</v>
      </c>
      <c r="AD476">
        <v>2.317091</v>
      </c>
      <c r="AE476">
        <v>24.668900000000001</v>
      </c>
      <c r="AF476">
        <v>-24.077507740559199</v>
      </c>
      <c r="AG476">
        <v>2.317091</v>
      </c>
      <c r="AH476">
        <v>107.985228634058</v>
      </c>
      <c r="AI476">
        <v>88.800218886890804</v>
      </c>
      <c r="AJ476">
        <v>102.569650417964</v>
      </c>
      <c r="AK476">
        <v>110.661216751167</v>
      </c>
      <c r="AL476">
        <v>79.320571893184194</v>
      </c>
      <c r="AM476">
        <v>86.637251141390806</v>
      </c>
      <c r="AN476">
        <v>1.0000000054823299</v>
      </c>
    </row>
    <row r="477" spans="1:40" x14ac:dyDescent="0.25">
      <c r="A477" t="str">
        <f>"20190303170506611"</f>
        <v>20190303170506611</v>
      </c>
      <c r="B477" t="str">
        <f>"1551603906594855"</f>
        <v>1551603906594855</v>
      </c>
      <c r="C477" t="s">
        <v>40</v>
      </c>
      <c r="D477">
        <v>5.4316709999999997</v>
      </c>
      <c r="E477">
        <v>0.39359379999999999</v>
      </c>
      <c r="F477" t="s">
        <v>45</v>
      </c>
      <c r="G477">
        <v>-263.00400000000002</v>
      </c>
      <c r="H477">
        <v>3.4601069999999998</v>
      </c>
      <c r="I477">
        <v>391.75</v>
      </c>
      <c r="J477">
        <v>-370.41199999999998</v>
      </c>
      <c r="K477">
        <v>1.1216280000000001</v>
      </c>
      <c r="L477">
        <v>367.08240000000001</v>
      </c>
      <c r="M477">
        <v>0.99987999999999999</v>
      </c>
      <c r="N477">
        <v>-1.4526290000000001E-2</v>
      </c>
      <c r="O477">
        <v>5.380269E-3</v>
      </c>
      <c r="P477">
        <v>0.98386430000000002</v>
      </c>
      <c r="Q477">
        <v>0.17082169999999999</v>
      </c>
      <c r="R477">
        <v>-5.3205830000000003E-2</v>
      </c>
      <c r="S477">
        <v>3.075043</v>
      </c>
      <c r="T477">
        <v>6.6803810000000005E-2</v>
      </c>
      <c r="U477">
        <v>0.70471189999999995</v>
      </c>
      <c r="V477">
        <v>5.8506929999999999E-2</v>
      </c>
      <c r="W477">
        <v>0.1850889</v>
      </c>
      <c r="X477">
        <v>0.98097860000000003</v>
      </c>
      <c r="Y477">
        <v>-0.2181206</v>
      </c>
      <c r="Z477">
        <v>-5.4153449999999896E-4</v>
      </c>
      <c r="AA477">
        <v>0.9759217</v>
      </c>
      <c r="AB477">
        <v>22</v>
      </c>
      <c r="AC477">
        <v>107.40799999999901</v>
      </c>
      <c r="AD477">
        <v>2.3384789999999902</v>
      </c>
      <c r="AE477">
        <v>24.6676</v>
      </c>
      <c r="AF477">
        <v>-24.078456226930101</v>
      </c>
      <c r="AG477">
        <v>2.3384789999999902</v>
      </c>
      <c r="AH477">
        <v>107.490777808282</v>
      </c>
      <c r="AI477">
        <v>88.783847105083794</v>
      </c>
      <c r="AJ477">
        <v>102.626101825063</v>
      </c>
      <c r="AK477">
        <v>110.179434796767</v>
      </c>
      <c r="AL477">
        <v>79.333684363411507</v>
      </c>
      <c r="AM477">
        <v>86.586843052600798</v>
      </c>
      <c r="AN477">
        <v>0.99999998770959697</v>
      </c>
    </row>
    <row r="478" spans="1:40" x14ac:dyDescent="0.25">
      <c r="A478" t="str">
        <f>"20190303170506631"</f>
        <v>20190303170506631</v>
      </c>
      <c r="B478" t="str">
        <f>"1551603906625111"</f>
        <v>1551603906625111</v>
      </c>
      <c r="C478" t="s">
        <v>40</v>
      </c>
      <c r="D478">
        <v>5.9038019999999998</v>
      </c>
      <c r="E478">
        <v>0.3938567</v>
      </c>
      <c r="F478" t="s">
        <v>45</v>
      </c>
      <c r="G478">
        <v>-262.76389999999998</v>
      </c>
      <c r="H478">
        <v>3.4665780000000002</v>
      </c>
      <c r="I478">
        <v>391.75</v>
      </c>
      <c r="J478">
        <v>-370.20460000000003</v>
      </c>
      <c r="K478">
        <v>1.1216269999999999</v>
      </c>
      <c r="L478">
        <v>367.08350000000002</v>
      </c>
      <c r="M478">
        <v>0.9998802</v>
      </c>
      <c r="N478">
        <v>-1.4520979999999999E-2</v>
      </c>
      <c r="O478">
        <v>5.381154E-3</v>
      </c>
      <c r="P478">
        <v>0.98373409999999994</v>
      </c>
      <c r="Q478">
        <v>0.17131270000000001</v>
      </c>
      <c r="R478">
        <v>-5.4029519999999998E-2</v>
      </c>
      <c r="S478">
        <v>3.0757140000000001</v>
      </c>
      <c r="T478">
        <v>6.7000509999999999E-2</v>
      </c>
      <c r="U478">
        <v>0.70480350000000003</v>
      </c>
      <c r="V478">
        <v>5.9330750000000002E-2</v>
      </c>
      <c r="W478">
        <v>0.1855724</v>
      </c>
      <c r="X478">
        <v>0.98083779999999998</v>
      </c>
      <c r="Y478">
        <v>-0.21810080000000001</v>
      </c>
      <c r="Z478">
        <v>-5.4811520000000002E-4</v>
      </c>
      <c r="AA478">
        <v>0.97592610000000002</v>
      </c>
      <c r="AB478">
        <v>22</v>
      </c>
      <c r="AC478">
        <v>107.44070000000001</v>
      </c>
      <c r="AD478">
        <v>2.344951</v>
      </c>
      <c r="AE478">
        <v>24.6664999999999</v>
      </c>
      <c r="AF478">
        <v>-24.0770319995965</v>
      </c>
      <c r="AG478">
        <v>2.344951</v>
      </c>
      <c r="AH478">
        <v>107.523237668032</v>
      </c>
      <c r="AI478">
        <v>88.780829307091693</v>
      </c>
      <c r="AJ478">
        <v>102.621689636708</v>
      </c>
      <c r="AK478">
        <v>110.210929148239</v>
      </c>
      <c r="AL478">
        <v>79.305493848700195</v>
      </c>
      <c r="AM478">
        <v>86.538403714748199</v>
      </c>
      <c r="AN478">
        <v>1.00000002172308</v>
      </c>
    </row>
    <row r="479" spans="1:40" x14ac:dyDescent="0.25">
      <c r="A479" t="str">
        <f>"20190303170506654"</f>
        <v>20190303170506654</v>
      </c>
      <c r="B479" t="str">
        <f>"1551603906644631"</f>
        <v>1551603906644631</v>
      </c>
      <c r="C479" t="s">
        <v>40</v>
      </c>
      <c r="D479">
        <v>5.9652799999999999</v>
      </c>
      <c r="E479">
        <v>0.45432840000000002</v>
      </c>
      <c r="F479" t="s">
        <v>45</v>
      </c>
      <c r="G479">
        <v>-261.80450000000002</v>
      </c>
      <c r="H479">
        <v>3.4756840000000002</v>
      </c>
      <c r="I479">
        <v>391.75</v>
      </c>
      <c r="J479">
        <v>-369.98719999999997</v>
      </c>
      <c r="K479">
        <v>1.121624</v>
      </c>
      <c r="L479">
        <v>367.08460000000002</v>
      </c>
      <c r="M479">
        <v>0.9998802</v>
      </c>
      <c r="N479">
        <v>-1.4515449999999999E-2</v>
      </c>
      <c r="O479">
        <v>5.3820369999999897E-3</v>
      </c>
      <c r="P479">
        <v>0.98362660000000002</v>
      </c>
      <c r="Q479">
        <v>0.17148160000000001</v>
      </c>
      <c r="R479">
        <v>-5.5432629999999997E-2</v>
      </c>
      <c r="S479">
        <v>3.076416</v>
      </c>
      <c r="T479">
        <v>6.6809419999999994E-2</v>
      </c>
      <c r="U479">
        <v>0.70004270000000002</v>
      </c>
      <c r="V479">
        <v>6.0733769999999999E-2</v>
      </c>
      <c r="W479">
        <v>0.1857346</v>
      </c>
      <c r="X479">
        <v>0.98072119999999996</v>
      </c>
      <c r="Y479">
        <v>-0.216616</v>
      </c>
      <c r="Z479">
        <v>-5.3750819999999998E-4</v>
      </c>
      <c r="AA479">
        <v>0.97625669999999998</v>
      </c>
      <c r="AB479">
        <v>22</v>
      </c>
      <c r="AC479">
        <v>108.182699999999</v>
      </c>
      <c r="AD479">
        <v>2.35406</v>
      </c>
      <c r="AE479">
        <v>24.665399999999899</v>
      </c>
      <c r="AF479">
        <v>-24.071903262917601</v>
      </c>
      <c r="AG479">
        <v>2.35406</v>
      </c>
      <c r="AH479">
        <v>108.265166564068</v>
      </c>
      <c r="AI479">
        <v>88.784070970569005</v>
      </c>
      <c r="AJ479">
        <v>102.535352191443</v>
      </c>
      <c r="AK479">
        <v>110.933964214429</v>
      </c>
      <c r="AL479">
        <v>79.296035841828896</v>
      </c>
      <c r="AM479">
        <v>86.456331797404502</v>
      </c>
      <c r="AN479">
        <v>1.0000000022925</v>
      </c>
    </row>
    <row r="480" spans="1:40" x14ac:dyDescent="0.25">
      <c r="A480" t="str">
        <f>"20190303170506675"</f>
        <v>20190303170506675</v>
      </c>
      <c r="B480" t="str">
        <f>"1551603906665127"</f>
        <v>1551603906665127</v>
      </c>
      <c r="C480" t="s">
        <v>40</v>
      </c>
      <c r="D480">
        <v>5.4666790000000001</v>
      </c>
      <c r="E480">
        <v>0.53228569999999997</v>
      </c>
      <c r="F480" t="s">
        <v>43</v>
      </c>
      <c r="G480">
        <v>-307.48360000000002</v>
      </c>
      <c r="H480">
        <v>-0.05</v>
      </c>
      <c r="I480">
        <v>371.52319999999997</v>
      </c>
      <c r="J480">
        <v>-369.78519999999997</v>
      </c>
      <c r="K480">
        <v>1.121623</v>
      </c>
      <c r="L480">
        <v>367.08569999999997</v>
      </c>
      <c r="M480">
        <v>0.99988030000000006</v>
      </c>
      <c r="N480">
        <v>-1.451032E-2</v>
      </c>
      <c r="O480">
        <v>5.3826159999999998E-3</v>
      </c>
      <c r="P480">
        <v>0.98350789999999999</v>
      </c>
      <c r="Q480">
        <v>0.1718605</v>
      </c>
      <c r="R480">
        <v>-5.6358480000000002E-2</v>
      </c>
      <c r="S480">
        <v>3.0722659999999999</v>
      </c>
      <c r="T480">
        <v>-5.7589290000000001E-2</v>
      </c>
      <c r="U480">
        <v>0.21817020000000001</v>
      </c>
      <c r="V480">
        <v>6.165938E-2</v>
      </c>
      <c r="W480">
        <v>0.18610660000000001</v>
      </c>
      <c r="X480">
        <v>0.98059289999999999</v>
      </c>
      <c r="Y480">
        <v>-6.5443440000000005E-2</v>
      </c>
      <c r="Z480">
        <v>1.065295E-3</v>
      </c>
      <c r="AA480">
        <v>0.99785570000000001</v>
      </c>
      <c r="AB480">
        <v>22</v>
      </c>
      <c r="AC480">
        <v>62.301599999999901</v>
      </c>
      <c r="AD480">
        <v>-1.1716229999999901</v>
      </c>
      <c r="AE480">
        <v>4.4375</v>
      </c>
      <c r="AF480">
        <v>-4.1006119541442896</v>
      </c>
      <c r="AG480">
        <v>-1.1716229999999901</v>
      </c>
      <c r="AH480">
        <v>62.302662847197702</v>
      </c>
      <c r="AI480">
        <v>91.075014457597206</v>
      </c>
      <c r="AJ480">
        <v>93.765639630191103</v>
      </c>
      <c r="AK480">
        <v>62.448454878437097</v>
      </c>
      <c r="AL480">
        <v>79.274343475915202</v>
      </c>
      <c r="AM480">
        <v>86.401996010595298</v>
      </c>
      <c r="AN480">
        <v>0.99999999061797695</v>
      </c>
    </row>
    <row r="481" spans="1:40" x14ac:dyDescent="0.25">
      <c r="A481" t="str">
        <f>"20190303170506689"</f>
        <v>20190303170506689</v>
      </c>
      <c r="B481" t="str">
        <f>"1551603906674888"</f>
        <v>1551603906674888</v>
      </c>
      <c r="C481" t="s">
        <v>40</v>
      </c>
      <c r="D481">
        <v>5.4437419999999896</v>
      </c>
      <c r="E481">
        <v>0.53806599999999905</v>
      </c>
      <c r="F481" t="s">
        <v>41</v>
      </c>
      <c r="G481">
        <v>-323.95460000000003</v>
      </c>
      <c r="H481" s="1">
        <v>-4.3421030000000002E-6</v>
      </c>
      <c r="I481">
        <v>360.9769</v>
      </c>
      <c r="J481">
        <v>-369.65300000000002</v>
      </c>
      <c r="K481">
        <v>1.121621</v>
      </c>
      <c r="L481">
        <v>367.08640000000003</v>
      </c>
      <c r="M481">
        <v>0.99988030000000006</v>
      </c>
      <c r="N481">
        <v>-1.4506959999999999E-2</v>
      </c>
      <c r="O481">
        <v>5.3831189999999996E-3</v>
      </c>
      <c r="P481">
        <v>0.98343899999999995</v>
      </c>
      <c r="Q481">
        <v>0.172152799999999</v>
      </c>
      <c r="R481">
        <v>-5.667026E-2</v>
      </c>
      <c r="S481">
        <v>3.0401310000000001</v>
      </c>
      <c r="T481">
        <v>-7.440186E-2</v>
      </c>
      <c r="U481">
        <v>-0.40521239999999997</v>
      </c>
      <c r="V481">
        <v>6.1971070000000003E-2</v>
      </c>
      <c r="W481">
        <v>0.18639420000000001</v>
      </c>
      <c r="X481">
        <v>0.98051860000000002</v>
      </c>
      <c r="Y481">
        <v>0.13738889999999901</v>
      </c>
      <c r="Z481">
        <v>-2.7281639999999999E-3</v>
      </c>
      <c r="AA481">
        <v>0.99051339999999999</v>
      </c>
      <c r="AB481">
        <v>22</v>
      </c>
      <c r="AC481">
        <v>45.6983999999999</v>
      </c>
      <c r="AD481">
        <v>-1.121625342103</v>
      </c>
      <c r="AE481">
        <v>-6.1095000000000201</v>
      </c>
      <c r="AF481">
        <v>6.3516781314040003</v>
      </c>
      <c r="AG481">
        <v>-1.121625342103</v>
      </c>
      <c r="AH481">
        <v>45.637836088116899</v>
      </c>
      <c r="AI481">
        <v>91.394420462542101</v>
      </c>
      <c r="AJ481">
        <v>82.076715430236604</v>
      </c>
      <c r="AK481">
        <v>46.091365149004098</v>
      </c>
      <c r="AL481">
        <v>79.257571498446097</v>
      </c>
      <c r="AM481">
        <v>86.383582842751906</v>
      </c>
      <c r="AN481">
        <v>0.99999996812827197</v>
      </c>
    </row>
    <row r="482" spans="1:40" x14ac:dyDescent="0.25">
      <c r="A482" t="str">
        <f>"20190303170506701"</f>
        <v>20190303170506701</v>
      </c>
      <c r="B482" t="str">
        <f>"1551603906695082"</f>
        <v>1551603906695082</v>
      </c>
      <c r="C482" t="s">
        <v>40</v>
      </c>
      <c r="D482">
        <v>5.4473260000000003</v>
      </c>
      <c r="E482">
        <v>0.54370629999999998</v>
      </c>
      <c r="F482" t="s">
        <v>41</v>
      </c>
      <c r="G482">
        <v>-323.15899999999999</v>
      </c>
      <c r="H482" s="1">
        <v>-4.8300289999999997E-6</v>
      </c>
      <c r="I482">
        <v>360.16059999999999</v>
      </c>
      <c r="J482">
        <v>-369.5163</v>
      </c>
      <c r="K482">
        <v>1.121624</v>
      </c>
      <c r="L482">
        <v>367.08710000000002</v>
      </c>
      <c r="M482">
        <v>0.9998804</v>
      </c>
      <c r="N482">
        <v>-1.4503490000000001E-2</v>
      </c>
      <c r="O482">
        <v>5.3835019999999897E-3</v>
      </c>
      <c r="P482">
        <v>0.98346979999999995</v>
      </c>
      <c r="Q482">
        <v>0.17190820000000001</v>
      </c>
      <c r="R482">
        <v>-5.6876179999999998E-2</v>
      </c>
      <c r="S482">
        <v>3.0372620000000001</v>
      </c>
      <c r="T482">
        <v>-7.3271160000000002E-2</v>
      </c>
      <c r="U482">
        <v>-0.45242310000000002</v>
      </c>
      <c r="V482">
        <v>6.2177530000000002E-2</v>
      </c>
      <c r="W482">
        <v>0.1861469</v>
      </c>
      <c r="X482">
        <v>0.9805526</v>
      </c>
      <c r="Y482">
        <v>0.1525849</v>
      </c>
      <c r="Z482">
        <v>-2.994526E-3</v>
      </c>
      <c r="AA482">
        <v>0.98828579999999999</v>
      </c>
      <c r="AB482">
        <v>22</v>
      </c>
      <c r="AC482">
        <v>46.357300000000002</v>
      </c>
      <c r="AD482">
        <v>-1.121628830029</v>
      </c>
      <c r="AE482">
        <v>-6.9265000000000301</v>
      </c>
      <c r="AF482">
        <v>7.1718836309080602</v>
      </c>
      <c r="AG482">
        <v>-1.121628830029</v>
      </c>
      <c r="AH482">
        <v>46.292826742376398</v>
      </c>
      <c r="AI482">
        <v>91.371591611416093</v>
      </c>
      <c r="AJ482">
        <v>81.193502772283196</v>
      </c>
      <c r="AK482">
        <v>46.858508019860402</v>
      </c>
      <c r="AL482">
        <v>79.271994115893307</v>
      </c>
      <c r="AM482">
        <v>86.371692162784299</v>
      </c>
      <c r="AN482">
        <v>1.0000000574916299</v>
      </c>
    </row>
    <row r="483" spans="1:40" x14ac:dyDescent="0.25">
      <c r="A483" t="str">
        <f>"20190303170506720"</f>
        <v>20190303170506720</v>
      </c>
      <c r="B483" t="str">
        <f>"1551603906714584"</f>
        <v>1551603906714584</v>
      </c>
      <c r="C483" t="s">
        <v>40</v>
      </c>
      <c r="D483">
        <v>5.4304769999999998</v>
      </c>
      <c r="E483">
        <v>0.54645529999999998</v>
      </c>
      <c r="F483" t="s">
        <v>41</v>
      </c>
      <c r="G483">
        <v>-326.4692</v>
      </c>
      <c r="H483" s="1">
        <v>-3.738396E-6</v>
      </c>
      <c r="I483">
        <v>360.02969999999999</v>
      </c>
      <c r="J483">
        <v>-369.34589999999997</v>
      </c>
      <c r="K483">
        <v>1.1216269999999999</v>
      </c>
      <c r="L483">
        <v>367.08800000000002</v>
      </c>
      <c r="M483">
        <v>0.99988049999999995</v>
      </c>
      <c r="N483">
        <v>-1.4499160000000001E-2</v>
      </c>
      <c r="O483">
        <v>5.3837119999999997E-3</v>
      </c>
      <c r="P483">
        <v>0.9834079</v>
      </c>
      <c r="Q483">
        <v>0.1720525</v>
      </c>
      <c r="R483">
        <v>-5.750773E-2</v>
      </c>
      <c r="S483">
        <v>3.0354610000000002</v>
      </c>
      <c r="T483">
        <v>-7.9091309999999998E-2</v>
      </c>
      <c r="U483">
        <v>-0.49765009999999998</v>
      </c>
      <c r="V483">
        <v>6.2809139999999999E-2</v>
      </c>
      <c r="W483">
        <v>0.18628600000000001</v>
      </c>
      <c r="X483">
        <v>0.98048590000000002</v>
      </c>
      <c r="Y483">
        <v>0.16700960000000001</v>
      </c>
      <c r="Z483">
        <v>-3.4419590000000001E-3</v>
      </c>
      <c r="AA483">
        <v>0.98594930000000003</v>
      </c>
      <c r="AB483">
        <v>22</v>
      </c>
      <c r="AC483">
        <v>42.8766999999999</v>
      </c>
      <c r="AD483">
        <v>-1.121630738396</v>
      </c>
      <c r="AE483">
        <v>-7.0583000000000302</v>
      </c>
      <c r="AF483">
        <v>7.2842045490432099</v>
      </c>
      <c r="AG483">
        <v>-1.121630738396</v>
      </c>
      <c r="AH483">
        <v>42.809552289071497</v>
      </c>
      <c r="AI483">
        <v>91.479577364623296</v>
      </c>
      <c r="AJ483">
        <v>80.3433948134454</v>
      </c>
      <c r="AK483">
        <v>43.4393307800242</v>
      </c>
      <c r="AL483">
        <v>79.263882101150301</v>
      </c>
      <c r="AM483">
        <v>86.334686501325706</v>
      </c>
      <c r="AN483">
        <v>1.0000000309811701</v>
      </c>
    </row>
    <row r="484" spans="1:40" x14ac:dyDescent="0.25">
      <c r="A484" t="str">
        <f>"20190303170506733"</f>
        <v>20190303170506733</v>
      </c>
      <c r="B484" t="str">
        <f>"1551603906725321"</f>
        <v>1551603906725321</v>
      </c>
      <c r="C484" t="s">
        <v>40</v>
      </c>
      <c r="D484">
        <v>5.4491670000000001</v>
      </c>
      <c r="E484">
        <v>0.54739190000000004</v>
      </c>
      <c r="F484" t="s">
        <v>41</v>
      </c>
      <c r="G484">
        <v>-326.39859999999999</v>
      </c>
      <c r="H484" s="1">
        <v>-3.8480579999999997E-6</v>
      </c>
      <c r="I484">
        <v>359.7079</v>
      </c>
      <c r="J484">
        <v>-369.22269999999997</v>
      </c>
      <c r="K484">
        <v>1.121629</v>
      </c>
      <c r="L484">
        <v>367.08870000000002</v>
      </c>
      <c r="M484">
        <v>0.9998804</v>
      </c>
      <c r="N484">
        <v>-1.449605E-2</v>
      </c>
      <c r="O484">
        <v>5.3838530000000001E-3</v>
      </c>
      <c r="P484">
        <v>0.98337330000000001</v>
      </c>
      <c r="Q484">
        <v>0.17197270000000001</v>
      </c>
      <c r="R484">
        <v>-5.8332780000000001E-2</v>
      </c>
      <c r="S484">
        <v>3.0339969999999998</v>
      </c>
      <c r="T484">
        <v>-7.9236979999999999E-2</v>
      </c>
      <c r="U484">
        <v>-0.52136229999999995</v>
      </c>
      <c r="V484">
        <v>6.3634019999999999E-2</v>
      </c>
      <c r="W484">
        <v>0.18620210000000001</v>
      </c>
      <c r="X484">
        <v>0.9804486</v>
      </c>
      <c r="Y484">
        <v>0.174570899999999</v>
      </c>
      <c r="Z484">
        <v>-3.5996230000000001E-3</v>
      </c>
      <c r="AA484">
        <v>0.98463800000000001</v>
      </c>
      <c r="AB484">
        <v>22</v>
      </c>
      <c r="AC484">
        <v>42.824099999999902</v>
      </c>
      <c r="AD484">
        <v>-1.121632848058</v>
      </c>
      <c r="AE484">
        <v>-7.3808000000000202</v>
      </c>
      <c r="AF484">
        <v>7.6062085586683104</v>
      </c>
      <c r="AG484">
        <v>-1.121632848058</v>
      </c>
      <c r="AH484">
        <v>42.755253858341199</v>
      </c>
      <c r="AI484">
        <v>91.479521823939905</v>
      </c>
      <c r="AJ484">
        <v>79.912550364555102</v>
      </c>
      <c r="AK484">
        <v>43.441042820989097</v>
      </c>
      <c r="AL484">
        <v>79.268774311032104</v>
      </c>
      <c r="AM484">
        <v>86.286542434764897</v>
      </c>
      <c r="AN484">
        <v>0.99999998389386502</v>
      </c>
    </row>
    <row r="485" spans="1:40" x14ac:dyDescent="0.25">
      <c r="A485" t="str">
        <f>"20190303170506745"</f>
        <v>20190303170506745</v>
      </c>
      <c r="B485" t="str">
        <f>"1551603906735080"</f>
        <v>1551603906735080</v>
      </c>
      <c r="C485" t="s">
        <v>40</v>
      </c>
      <c r="D485">
        <v>5.4365430000000003</v>
      </c>
      <c r="E485">
        <v>0.54794900000000002</v>
      </c>
      <c r="F485" t="s">
        <v>41</v>
      </c>
      <c r="G485">
        <v>-326.80439999999999</v>
      </c>
      <c r="H485" s="1">
        <v>-3.7214839999999998E-6</v>
      </c>
      <c r="I485">
        <v>359.66449999999998</v>
      </c>
      <c r="J485">
        <v>-369.10320000000002</v>
      </c>
      <c r="K485">
        <v>1.1216269999999999</v>
      </c>
      <c r="L485">
        <v>367.08929999999998</v>
      </c>
      <c r="M485">
        <v>0.9998804</v>
      </c>
      <c r="N485">
        <v>-1.449305E-2</v>
      </c>
      <c r="O485">
        <v>5.383756E-3</v>
      </c>
      <c r="P485">
        <v>0.9832978</v>
      </c>
      <c r="Q485">
        <v>0.1720853</v>
      </c>
      <c r="R485">
        <v>-5.9261769999999998E-2</v>
      </c>
      <c r="S485">
        <v>3.0332340000000002</v>
      </c>
      <c r="T485">
        <v>-8.0205319999999997E-2</v>
      </c>
      <c r="U485">
        <v>-0.53088380000000002</v>
      </c>
      <c r="V485">
        <v>6.4562649999999999E-2</v>
      </c>
      <c r="W485">
        <v>0.18631130000000001</v>
      </c>
      <c r="X485">
        <v>0.98036719999999999</v>
      </c>
      <c r="Y485">
        <v>0.177608399999999</v>
      </c>
      <c r="Z485">
        <v>-3.6910770000000001E-3</v>
      </c>
      <c r="AA485">
        <v>0.98409429999999998</v>
      </c>
      <c r="AB485">
        <v>22</v>
      </c>
      <c r="AC485">
        <v>42.2988</v>
      </c>
      <c r="AD485">
        <v>-1.121630721484</v>
      </c>
      <c r="AE485">
        <v>-7.4248000000000003</v>
      </c>
      <c r="AF485">
        <v>7.6472263597323904</v>
      </c>
      <c r="AG485">
        <v>-1.121630721484</v>
      </c>
      <c r="AH485">
        <v>42.229403579127002</v>
      </c>
      <c r="AI485">
        <v>91.497104565028806</v>
      </c>
      <c r="AJ485">
        <v>79.7356719041925</v>
      </c>
      <c r="AK485">
        <v>42.930882277460199</v>
      </c>
      <c r="AL485">
        <v>79.262406803090599</v>
      </c>
      <c r="AM485">
        <v>86.232193894749201</v>
      </c>
      <c r="AN485">
        <v>1.00000004155927</v>
      </c>
    </row>
    <row r="486" spans="1:40" x14ac:dyDescent="0.25">
      <c r="A486" t="str">
        <f>"20190303170506758"</f>
        <v>20190303170506758</v>
      </c>
      <c r="B486" t="str">
        <f>"1551603906744840"</f>
        <v>1551603906744840</v>
      </c>
      <c r="C486" t="s">
        <v>40</v>
      </c>
      <c r="D486">
        <v>5.4250369999999997</v>
      </c>
      <c r="E486">
        <v>0.54844740000000003</v>
      </c>
      <c r="F486" t="s">
        <v>41</v>
      </c>
      <c r="G486">
        <v>-327.20460000000003</v>
      </c>
      <c r="H486" s="1">
        <v>-3.5867400000000002E-6</v>
      </c>
      <c r="I486">
        <v>359.65910000000002</v>
      </c>
      <c r="J486">
        <v>-368.9821</v>
      </c>
      <c r="K486">
        <v>1.1216269999999999</v>
      </c>
      <c r="L486">
        <v>367.09</v>
      </c>
      <c r="M486">
        <v>0.99988060000000001</v>
      </c>
      <c r="N486">
        <v>-1.4490090000000001E-2</v>
      </c>
      <c r="O486">
        <v>5.3837769999999898E-3</v>
      </c>
      <c r="P486">
        <v>0.98320629999999998</v>
      </c>
      <c r="Q486">
        <v>0.1723671</v>
      </c>
      <c r="R486">
        <v>-5.996232E-2</v>
      </c>
      <c r="S486">
        <v>3.032715</v>
      </c>
      <c r="T486">
        <v>-8.1186060000000004E-2</v>
      </c>
      <c r="U486">
        <v>-0.53781129999999999</v>
      </c>
      <c r="V486">
        <v>6.5262529999999999E-2</v>
      </c>
      <c r="W486">
        <v>0.18658859999999999</v>
      </c>
      <c r="X486">
        <v>0.98026809999999998</v>
      </c>
      <c r="Y486">
        <v>0.17981369999999999</v>
      </c>
      <c r="Z486">
        <v>-3.766634E-3</v>
      </c>
      <c r="AA486">
        <v>0.9836935</v>
      </c>
      <c r="AB486">
        <v>22</v>
      </c>
      <c r="AC486">
        <v>41.777499999999897</v>
      </c>
      <c r="AD486">
        <v>-1.12163058674</v>
      </c>
      <c r="AE486">
        <v>-7.4308999999999497</v>
      </c>
      <c r="AF486">
        <v>7.6503913334791402</v>
      </c>
      <c r="AG486">
        <v>-1.12163058674</v>
      </c>
      <c r="AH486">
        <v>41.707742898597701</v>
      </c>
      <c r="AI486">
        <v>91.515195281990898</v>
      </c>
      <c r="AJ486">
        <v>79.605863459545702</v>
      </c>
      <c r="AK486">
        <v>42.418420060440802</v>
      </c>
      <c r="AL486">
        <v>79.246234931747097</v>
      </c>
      <c r="AM486">
        <v>86.191085333308706</v>
      </c>
      <c r="AN486">
        <v>1.0000000256747801</v>
      </c>
    </row>
    <row r="487" spans="1:40" x14ac:dyDescent="0.25">
      <c r="A487" t="str">
        <f>"20190303170506778"</f>
        <v>20190303170506778</v>
      </c>
      <c r="B487" t="str">
        <f>"1551603906765336"</f>
        <v>1551603906765336</v>
      </c>
      <c r="C487" t="s">
        <v>40</v>
      </c>
      <c r="D487">
        <v>5.4679469999999997</v>
      </c>
      <c r="E487">
        <v>0.54924399999999995</v>
      </c>
      <c r="F487" t="s">
        <v>41</v>
      </c>
      <c r="G487">
        <v>-327.29270000000002</v>
      </c>
      <c r="H487">
        <v>9.4557919999999995E-4</v>
      </c>
      <c r="I487">
        <v>359.6164</v>
      </c>
      <c r="J487">
        <v>-368.8014</v>
      </c>
      <c r="K487">
        <v>1.12164</v>
      </c>
      <c r="L487">
        <v>367.09089999999998</v>
      </c>
      <c r="M487">
        <v>0.99988060000000001</v>
      </c>
      <c r="N487">
        <v>-1.448573E-2</v>
      </c>
      <c r="O487">
        <v>5.3838080000000003E-3</v>
      </c>
      <c r="P487">
        <v>0.98295730000000003</v>
      </c>
      <c r="Q487">
        <v>0.1734395</v>
      </c>
      <c r="R487">
        <v>-6.0941099999999901E-2</v>
      </c>
      <c r="S487">
        <v>3.03241</v>
      </c>
      <c r="T487">
        <v>-8.1516270000000002E-2</v>
      </c>
      <c r="U487">
        <v>-0.54360959999999903</v>
      </c>
      <c r="V487">
        <v>6.6240080000000007E-2</v>
      </c>
      <c r="W487">
        <v>0.18765290000000001</v>
      </c>
      <c r="X487">
        <v>0.97999930000000002</v>
      </c>
      <c r="Y487">
        <v>0.1816518</v>
      </c>
      <c r="Z487">
        <v>-3.8145430000000001E-3</v>
      </c>
      <c r="AA487">
        <v>0.98335550000000005</v>
      </c>
      <c r="AB487">
        <v>22</v>
      </c>
      <c r="AC487">
        <v>41.508699999999898</v>
      </c>
      <c r="AD487">
        <v>-1.1206944208</v>
      </c>
      <c r="AE487">
        <v>-7.4744999999999697</v>
      </c>
      <c r="AF487">
        <v>7.69245868279575</v>
      </c>
      <c r="AG487">
        <v>-1.1206944208</v>
      </c>
      <c r="AH487">
        <v>41.4385949471869</v>
      </c>
      <c r="AI487">
        <v>91.523160123352994</v>
      </c>
      <c r="AJ487">
        <v>79.483600201231994</v>
      </c>
      <c r="AK487">
        <v>42.161440058047702</v>
      </c>
      <c r="AL487">
        <v>79.184158220471403</v>
      </c>
      <c r="AM487">
        <v>86.133147221366301</v>
      </c>
      <c r="AN487">
        <v>0.99999999353865299</v>
      </c>
    </row>
    <row r="488" spans="1:40" x14ac:dyDescent="0.25">
      <c r="A488" t="str">
        <f>"20190303170506799"</f>
        <v>20190303170506799</v>
      </c>
      <c r="B488" t="str">
        <f>"1551603906784856"</f>
        <v>1551603906784856</v>
      </c>
      <c r="C488" t="s">
        <v>40</v>
      </c>
      <c r="D488">
        <v>5.4690849999999998</v>
      </c>
      <c r="E488">
        <v>0.54981429999999998</v>
      </c>
      <c r="F488" t="s">
        <v>41</v>
      </c>
      <c r="G488">
        <v>-327.798</v>
      </c>
      <c r="H488">
        <v>3.8652239999999997E-2</v>
      </c>
      <c r="I488">
        <v>359.6164</v>
      </c>
      <c r="J488">
        <v>-368.59210000000002</v>
      </c>
      <c r="K488">
        <v>1.12164</v>
      </c>
      <c r="L488">
        <v>367.09210000000002</v>
      </c>
      <c r="M488">
        <v>0.99988069999999896</v>
      </c>
      <c r="N488">
        <v>-1.448082E-2</v>
      </c>
      <c r="O488">
        <v>5.3834850000000004E-3</v>
      </c>
      <c r="P488">
        <v>0.98277859999999995</v>
      </c>
      <c r="Q488">
        <v>0.17427339999999999</v>
      </c>
      <c r="R488">
        <v>-6.144376E-2</v>
      </c>
      <c r="S488">
        <v>3.03186</v>
      </c>
      <c r="T488">
        <v>-8.0077770000000006E-2</v>
      </c>
      <c r="U488">
        <v>-0.55267330000000003</v>
      </c>
      <c r="V488">
        <v>6.6741610000000007E-2</v>
      </c>
      <c r="W488">
        <v>0.18847900000000001</v>
      </c>
      <c r="X488">
        <v>0.97980670000000003</v>
      </c>
      <c r="Y488">
        <v>0.18452959999999999</v>
      </c>
      <c r="Z488">
        <v>-3.8277060000000002E-3</v>
      </c>
      <c r="AA488">
        <v>0.98281949999999996</v>
      </c>
      <c r="AB488">
        <v>22</v>
      </c>
      <c r="AC488">
        <v>40.7941</v>
      </c>
      <c r="AD488">
        <v>-1.08298776</v>
      </c>
      <c r="AE488">
        <v>-7.4757000000000096</v>
      </c>
      <c r="AF488">
        <v>7.6899854513330697</v>
      </c>
      <c r="AG488">
        <v>-1.08298776</v>
      </c>
      <c r="AH488">
        <v>40.725489329821102</v>
      </c>
      <c r="AI488">
        <v>91.496833635492195</v>
      </c>
      <c r="AJ488">
        <v>79.307030652297399</v>
      </c>
      <c r="AK488">
        <v>41.459308000537099</v>
      </c>
      <c r="AL488">
        <v>79.135966027508303</v>
      </c>
      <c r="AM488">
        <v>86.103196086308998</v>
      </c>
      <c r="AN488">
        <v>0.99999997265564</v>
      </c>
    </row>
    <row r="489" spans="1:40" x14ac:dyDescent="0.25">
      <c r="A489" t="str">
        <f>"20190303170506822"</f>
        <v>20190303170506822</v>
      </c>
      <c r="B489" t="str">
        <f>"1551603906815112"</f>
        <v>1551603906815112</v>
      </c>
      <c r="C489" t="s">
        <v>40</v>
      </c>
      <c r="D489">
        <v>5.4866529999999996</v>
      </c>
      <c r="E489">
        <v>0.55043069999999905</v>
      </c>
      <c r="F489" t="s">
        <v>41</v>
      </c>
      <c r="G489">
        <v>-328.00020000000001</v>
      </c>
      <c r="H489">
        <v>5.3686060000000001E-2</v>
      </c>
      <c r="I489">
        <v>359.61270000000002</v>
      </c>
      <c r="J489">
        <v>-368.36270000000002</v>
      </c>
      <c r="K489">
        <v>1.1216390000000001</v>
      </c>
      <c r="L489">
        <v>367.0933</v>
      </c>
      <c r="M489">
        <v>0.99988069999999896</v>
      </c>
      <c r="N489">
        <v>-1.4475500000000001E-2</v>
      </c>
      <c r="O489">
        <v>5.383344E-3</v>
      </c>
      <c r="P489">
        <v>0.98269030000000002</v>
      </c>
      <c r="Q489">
        <v>0.1743999</v>
      </c>
      <c r="R489">
        <v>-6.2486880000000002E-2</v>
      </c>
      <c r="S489">
        <v>3.0317989999999999</v>
      </c>
      <c r="T489">
        <v>-7.9764840000000004E-2</v>
      </c>
      <c r="U489">
        <v>-0.55862429999999996</v>
      </c>
      <c r="V489">
        <v>6.7784129999999998E-2</v>
      </c>
      <c r="W489">
        <v>0.18859890000000001</v>
      </c>
      <c r="X489">
        <v>0.97971209999999997</v>
      </c>
      <c r="Y489">
        <v>0.1863988</v>
      </c>
      <c r="Z489">
        <v>-3.8551169999999999E-3</v>
      </c>
      <c r="AA489">
        <v>0.98246659999999997</v>
      </c>
      <c r="AB489">
        <v>21</v>
      </c>
      <c r="AC489">
        <v>40.362499999999997</v>
      </c>
      <c r="AD489">
        <v>-1.0679529400000001</v>
      </c>
      <c r="AE489">
        <v>-7.4805999999999804</v>
      </c>
      <c r="AF489">
        <v>7.6925929853507196</v>
      </c>
      <c r="AG489">
        <v>-1.0679529400000001</v>
      </c>
      <c r="AH489">
        <v>40.294367628095301</v>
      </c>
      <c r="AI489">
        <v>91.491278841993207</v>
      </c>
      <c r="AJ489">
        <v>79.191725305161597</v>
      </c>
      <c r="AK489">
        <v>41.035991189057597</v>
      </c>
      <c r="AL489">
        <v>79.128971287385497</v>
      </c>
      <c r="AM489">
        <v>86.042138087972504</v>
      </c>
      <c r="AN489">
        <v>1.0000000161237299</v>
      </c>
    </row>
    <row r="490" spans="1:40" x14ac:dyDescent="0.25">
      <c r="A490" t="str">
        <f>"20190303170506844"</f>
        <v>20190303170506844</v>
      </c>
      <c r="B490" t="str">
        <f>"1551603906834632"</f>
        <v>1551603906834632</v>
      </c>
      <c r="C490" t="s">
        <v>40</v>
      </c>
      <c r="D490">
        <v>5.4494439999999997</v>
      </c>
      <c r="E490">
        <v>0.55088269999999995</v>
      </c>
      <c r="F490" t="s">
        <v>41</v>
      </c>
      <c r="G490">
        <v>-328.36489999999998</v>
      </c>
      <c r="H490">
        <v>4.0417519999999998E-2</v>
      </c>
      <c r="I490">
        <v>359.6164</v>
      </c>
      <c r="J490">
        <v>-368.15710000000001</v>
      </c>
      <c r="K490">
        <v>1.121637</v>
      </c>
      <c r="L490">
        <v>367.09449999999998</v>
      </c>
      <c r="M490">
        <v>0.99988080000000001</v>
      </c>
      <c r="N490">
        <v>-1.447067E-2</v>
      </c>
      <c r="O490">
        <v>5.383199E-3</v>
      </c>
      <c r="P490">
        <v>0.98275409999999996</v>
      </c>
      <c r="Q490">
        <v>0.1736007</v>
      </c>
      <c r="R490">
        <v>-6.3696030000000001E-2</v>
      </c>
      <c r="S490">
        <v>3.031342</v>
      </c>
      <c r="T490">
        <v>-8.1943269999999999E-2</v>
      </c>
      <c r="U490">
        <v>-0.5666504</v>
      </c>
      <c r="V490">
        <v>6.8993609999999997E-2</v>
      </c>
      <c r="W490">
        <v>0.1877962</v>
      </c>
      <c r="X490">
        <v>0.97978189999999998</v>
      </c>
      <c r="Y490">
        <v>0.1889333</v>
      </c>
      <c r="Z490">
        <v>-3.9774709999999998E-3</v>
      </c>
      <c r="AA490">
        <v>0.98198189999999996</v>
      </c>
      <c r="AB490">
        <v>21</v>
      </c>
      <c r="AC490">
        <v>39.792200000000001</v>
      </c>
      <c r="AD490">
        <v>-1.0812194799999999</v>
      </c>
      <c r="AE490">
        <v>-7.47809999999998</v>
      </c>
      <c r="AF490">
        <v>7.68674187056512</v>
      </c>
      <c r="AG490">
        <v>-1.0812194799999999</v>
      </c>
      <c r="AH490">
        <v>39.723035978196897</v>
      </c>
      <c r="AI490">
        <v>91.530763379805606</v>
      </c>
      <c r="AJ490">
        <v>79.048144715187703</v>
      </c>
      <c r="AK490">
        <v>40.474369957712099</v>
      </c>
      <c r="AL490">
        <v>79.175799757145199</v>
      </c>
      <c r="AM490">
        <v>85.972033993478604</v>
      </c>
      <c r="AN490">
        <v>1.00000005126143</v>
      </c>
    </row>
    <row r="491" spans="1:40" x14ac:dyDescent="0.25">
      <c r="A491" t="str">
        <f>"20190303170506857"</f>
        <v>20190303170506857</v>
      </c>
      <c r="B491" t="str">
        <f>"1551603906845369"</f>
        <v>1551603906845369</v>
      </c>
      <c r="C491" t="s">
        <v>40</v>
      </c>
      <c r="D491">
        <v>5.4243560000000004</v>
      </c>
      <c r="E491">
        <v>0.55108190000000001</v>
      </c>
      <c r="F491" t="s">
        <v>41</v>
      </c>
      <c r="G491">
        <v>-328.78129999999999</v>
      </c>
      <c r="H491" s="1">
        <v>-3.0544069999999999E-6</v>
      </c>
      <c r="I491">
        <v>359.6431</v>
      </c>
      <c r="J491">
        <v>-368.03320000000002</v>
      </c>
      <c r="K491">
        <v>1.121637</v>
      </c>
      <c r="L491">
        <v>367.0951</v>
      </c>
      <c r="M491">
        <v>0.99988089999999996</v>
      </c>
      <c r="N491">
        <v>-1.446773E-2</v>
      </c>
      <c r="O491">
        <v>5.3831010000000004E-3</v>
      </c>
      <c r="P491">
        <v>0.98281220000000002</v>
      </c>
      <c r="Q491">
        <v>0.1732467</v>
      </c>
      <c r="R491">
        <v>-6.3766530000000002E-2</v>
      </c>
      <c r="S491">
        <v>3.0307309999999998</v>
      </c>
      <c r="T491">
        <v>-8.6331840000000007E-2</v>
      </c>
      <c r="U491">
        <v>-0.57351680000000005</v>
      </c>
      <c r="V491">
        <v>6.9064159999999999E-2</v>
      </c>
      <c r="W491">
        <v>0.18743979999999999</v>
      </c>
      <c r="X491">
        <v>0.97984510000000002</v>
      </c>
      <c r="Y491">
        <v>0.19110650000000001</v>
      </c>
      <c r="Z491">
        <v>-4.1672890000000002E-3</v>
      </c>
      <c r="AA491">
        <v>0.98156049999999995</v>
      </c>
      <c r="AB491">
        <v>21</v>
      </c>
      <c r="AC491">
        <v>39.251899999999999</v>
      </c>
      <c r="AD491">
        <v>-1.121640054407</v>
      </c>
      <c r="AE491">
        <v>-7.4519999999999902</v>
      </c>
      <c r="AF491">
        <v>7.6571760658883301</v>
      </c>
      <c r="AG491">
        <v>-1.121640054407</v>
      </c>
      <c r="AH491">
        <v>39.180332196280098</v>
      </c>
      <c r="AI491">
        <v>91.609364530920402</v>
      </c>
      <c r="AJ491">
        <v>78.941827596251997</v>
      </c>
      <c r="AK491">
        <v>39.937311536037598</v>
      </c>
      <c r="AL491">
        <v>79.196588352003303</v>
      </c>
      <c r="AM491">
        <v>85.968187951820298</v>
      </c>
      <c r="AN491">
        <v>0.99999997840727695</v>
      </c>
    </row>
    <row r="492" spans="1:40" x14ac:dyDescent="0.25">
      <c r="A492" t="str">
        <f>"20190303170506877"</f>
        <v>20190303170506877</v>
      </c>
      <c r="B492" t="str">
        <f>"1551603906864888"</f>
        <v>1551603906864888</v>
      </c>
      <c r="C492" t="s">
        <v>40</v>
      </c>
      <c r="D492">
        <v>5.4792430000000003</v>
      </c>
      <c r="E492">
        <v>0.55135349999999905</v>
      </c>
      <c r="F492" t="s">
        <v>41</v>
      </c>
      <c r="G492">
        <v>-329.55650000000003</v>
      </c>
      <c r="H492" s="1">
        <v>-2.7520200000000002E-6</v>
      </c>
      <c r="I492">
        <v>359.78820000000002</v>
      </c>
      <c r="J492">
        <v>-367.84699999999998</v>
      </c>
      <c r="K492">
        <v>1.121634</v>
      </c>
      <c r="L492">
        <v>367.09609999999998</v>
      </c>
      <c r="M492">
        <v>0.99988089999999996</v>
      </c>
      <c r="N492">
        <v>-1.446331E-2</v>
      </c>
      <c r="O492">
        <v>5.3829539999999997E-3</v>
      </c>
      <c r="P492">
        <v>0.98273160000000004</v>
      </c>
      <c r="Q492">
        <v>0.1734753</v>
      </c>
      <c r="R492">
        <v>-6.4380030000000005E-2</v>
      </c>
      <c r="S492">
        <v>3.0306700000000002</v>
      </c>
      <c r="T492">
        <v>-8.8347319999999993E-2</v>
      </c>
      <c r="U492">
        <v>-0.57553100000000001</v>
      </c>
      <c r="V492">
        <v>6.9677169999999997E-2</v>
      </c>
      <c r="W492">
        <v>0.18766269999999999</v>
      </c>
      <c r="X492">
        <v>0.97975900000000005</v>
      </c>
      <c r="Y492">
        <v>0.19173480000000001</v>
      </c>
      <c r="Z492">
        <v>-4.2470219999999996E-3</v>
      </c>
      <c r="AA492">
        <v>0.98143760000000002</v>
      </c>
      <c r="AB492">
        <v>21</v>
      </c>
      <c r="AC492">
        <v>38.290499999999902</v>
      </c>
      <c r="AD492">
        <v>-1.1216367520199999</v>
      </c>
      <c r="AE492">
        <v>-7.3078999999999601</v>
      </c>
      <c r="AF492">
        <v>7.5077159327162599</v>
      </c>
      <c r="AG492">
        <v>-1.1216367520199999</v>
      </c>
      <c r="AH492">
        <v>38.2189609669554</v>
      </c>
      <c r="AI492">
        <v>91.649507234018401</v>
      </c>
      <c r="AJ492">
        <v>78.8863531747553</v>
      </c>
      <c r="AK492">
        <v>38.965534064394703</v>
      </c>
      <c r="AL492">
        <v>79.183586062501007</v>
      </c>
      <c r="AM492">
        <v>85.932165134237096</v>
      </c>
      <c r="AN492">
        <v>0.99999994753574795</v>
      </c>
    </row>
    <row r="493" spans="1:40" x14ac:dyDescent="0.25">
      <c r="A493" t="str">
        <f>"20190303170506899"</f>
        <v>20190303170506899</v>
      </c>
      <c r="B493" t="str">
        <f>"1551603906885384"</f>
        <v>1551603906885384</v>
      </c>
      <c r="C493" t="s">
        <v>40</v>
      </c>
      <c r="D493">
        <v>5.4514829999999996</v>
      </c>
      <c r="E493">
        <v>0.55152209999999902</v>
      </c>
      <c r="F493" t="s">
        <v>41</v>
      </c>
      <c r="G493">
        <v>-329.87439999999998</v>
      </c>
      <c r="H493" s="1">
        <v>-2.6306650000000002E-6</v>
      </c>
      <c r="I493">
        <v>359.83769999999998</v>
      </c>
      <c r="J493">
        <v>-367.637</v>
      </c>
      <c r="K493">
        <v>1.1216390000000001</v>
      </c>
      <c r="L493">
        <v>367.09730000000002</v>
      </c>
      <c r="M493">
        <v>0.99988100000000002</v>
      </c>
      <c r="N493">
        <v>-1.4457319999999999E-2</v>
      </c>
      <c r="O493">
        <v>5.3828180000000002E-3</v>
      </c>
      <c r="P493">
        <v>0.98273029999999995</v>
      </c>
      <c r="Q493">
        <v>0.17347079999999901</v>
      </c>
      <c r="R493">
        <v>-6.4413929999999994E-2</v>
      </c>
      <c r="S493">
        <v>3.0306090000000001</v>
      </c>
      <c r="T493">
        <v>-8.9518070000000005E-2</v>
      </c>
      <c r="U493">
        <v>-0.57928469999999999</v>
      </c>
      <c r="V493">
        <v>6.9710969999999997E-2</v>
      </c>
      <c r="W493">
        <v>0.18765190000000001</v>
      </c>
      <c r="X493">
        <v>0.97975869999999998</v>
      </c>
      <c r="Y493">
        <v>0.19290779999999999</v>
      </c>
      <c r="Z493">
        <v>-4.3108340000000004E-3</v>
      </c>
      <c r="AA493">
        <v>0.98120739999999995</v>
      </c>
      <c r="AB493">
        <v>21</v>
      </c>
      <c r="AC493">
        <v>37.7625999999999</v>
      </c>
      <c r="AD493">
        <v>-1.1216416306649999</v>
      </c>
      <c r="AE493">
        <v>-7.25960000000003</v>
      </c>
      <c r="AF493">
        <v>7.45644137110851</v>
      </c>
      <c r="AG493">
        <v>-1.1216416306649999</v>
      </c>
      <c r="AH493">
        <v>37.690904480514902</v>
      </c>
      <c r="AI493">
        <v>91.672169937884803</v>
      </c>
      <c r="AJ493">
        <v>78.809594348712807</v>
      </c>
      <c r="AK493">
        <v>38.437753295786102</v>
      </c>
      <c r="AL493">
        <v>79.184216432413393</v>
      </c>
      <c r="AM493">
        <v>85.930197237765796</v>
      </c>
      <c r="AN493">
        <v>0.99999998256881995</v>
      </c>
    </row>
    <row r="494" spans="1:40" x14ac:dyDescent="0.25">
      <c r="A494" t="str">
        <f>"20190303170506923"</f>
        <v>20190303170506923</v>
      </c>
      <c r="B494" t="str">
        <f>"1551603906915215"</f>
        <v>1551603906915215</v>
      </c>
      <c r="C494" t="s">
        <v>40</v>
      </c>
      <c r="D494">
        <v>5.4425439999999998</v>
      </c>
      <c r="E494">
        <v>0.55173709999999998</v>
      </c>
      <c r="F494" t="s">
        <v>41</v>
      </c>
      <c r="G494">
        <v>-330.30970000000002</v>
      </c>
      <c r="H494" s="1">
        <v>-5.8555409999999997E-6</v>
      </c>
      <c r="I494">
        <v>359.95060000000001</v>
      </c>
      <c r="J494">
        <v>-367.41160000000002</v>
      </c>
      <c r="K494">
        <v>1.121634</v>
      </c>
      <c r="L494">
        <v>367.09840000000003</v>
      </c>
      <c r="M494">
        <v>0.99988129999999997</v>
      </c>
      <c r="N494">
        <v>-1.444527E-2</v>
      </c>
      <c r="O494">
        <v>5.382548E-3</v>
      </c>
      <c r="P494">
        <v>0.98279249999999996</v>
      </c>
      <c r="Q494">
        <v>0.17297779999999999</v>
      </c>
      <c r="R494">
        <v>-6.4790769999999998E-2</v>
      </c>
      <c r="S494">
        <v>3.0307620000000002</v>
      </c>
      <c r="T494">
        <v>-9.1070890000000002E-2</v>
      </c>
      <c r="U494">
        <v>-0.58026119999999903</v>
      </c>
      <c r="V494">
        <v>7.008789E-2</v>
      </c>
      <c r="W494">
        <v>0.18714839999999999</v>
      </c>
      <c r="X494">
        <v>0.97982809999999998</v>
      </c>
      <c r="Y494">
        <v>0.1931997</v>
      </c>
      <c r="Z494">
        <v>-4.367686E-3</v>
      </c>
      <c r="AA494">
        <v>0.98114970000000001</v>
      </c>
      <c r="AB494">
        <v>21</v>
      </c>
      <c r="AC494">
        <v>37.101900000000001</v>
      </c>
      <c r="AD494">
        <v>-1.1216398555410001</v>
      </c>
      <c r="AE494">
        <v>-7.1478000000000099</v>
      </c>
      <c r="AF494">
        <v>7.34095096618488</v>
      </c>
      <c r="AG494">
        <v>-1.1216398555410001</v>
      </c>
      <c r="AH494">
        <v>37.030253003145702</v>
      </c>
      <c r="AI494">
        <v>91.701849688345902</v>
      </c>
      <c r="AJ494">
        <v>78.786952761764198</v>
      </c>
      <c r="AK494">
        <v>37.767542606455798</v>
      </c>
      <c r="AL494">
        <v>79.2135850357637</v>
      </c>
      <c r="AM494">
        <v>85.908555604243205</v>
      </c>
      <c r="AN494">
        <v>0.99999997074840996</v>
      </c>
    </row>
    <row r="495" spans="1:40" x14ac:dyDescent="0.25">
      <c r="A495" t="str">
        <f>"20190303170506944"</f>
        <v>20190303170506944</v>
      </c>
      <c r="B495" t="str">
        <f>"1551603906934734"</f>
        <v>1551603906934734</v>
      </c>
      <c r="C495" t="s">
        <v>40</v>
      </c>
      <c r="D495">
        <v>5.4471239999999996</v>
      </c>
      <c r="E495">
        <v>0.55189639999999995</v>
      </c>
      <c r="F495" t="s">
        <v>41</v>
      </c>
      <c r="G495">
        <v>-330.98430000000002</v>
      </c>
      <c r="H495" s="1">
        <v>-5.5891450000000002E-6</v>
      </c>
      <c r="I495">
        <v>360.089</v>
      </c>
      <c r="J495">
        <v>-367.21030000000002</v>
      </c>
      <c r="K495">
        <v>1.121626</v>
      </c>
      <c r="L495">
        <v>367.09949999999998</v>
      </c>
      <c r="M495">
        <v>0.99988149999999998</v>
      </c>
      <c r="N495">
        <v>-1.4427519999999999E-2</v>
      </c>
      <c r="O495">
        <v>5.38238E-3</v>
      </c>
      <c r="P495">
        <v>0.98290180000000005</v>
      </c>
      <c r="Q495">
        <v>0.17213789999999901</v>
      </c>
      <c r="R495">
        <v>-6.5364790000000006E-2</v>
      </c>
      <c r="S495">
        <v>3.0305179999999998</v>
      </c>
      <c r="T495">
        <v>-9.3312980000000004E-2</v>
      </c>
      <c r="U495">
        <v>-0.58312989999999998</v>
      </c>
      <c r="V495">
        <v>7.0662269999999999E-2</v>
      </c>
      <c r="W495">
        <v>0.1862926</v>
      </c>
      <c r="X495">
        <v>0.97994999999999999</v>
      </c>
      <c r="Y495">
        <v>0.1941039</v>
      </c>
      <c r="Z495">
        <v>-4.4612609999999898E-3</v>
      </c>
      <c r="AA495">
        <v>0.98097080000000003</v>
      </c>
      <c r="AB495">
        <v>21</v>
      </c>
      <c r="AC495">
        <v>36.225999999999999</v>
      </c>
      <c r="AD495">
        <v>-1.1216315891449999</v>
      </c>
      <c r="AE495">
        <v>-7.0104999999999702</v>
      </c>
      <c r="AF495">
        <v>7.1987488559861097</v>
      </c>
      <c r="AG495">
        <v>-1.1216315891449999</v>
      </c>
      <c r="AH495">
        <v>36.154329886221099</v>
      </c>
      <c r="AI495">
        <v>91.742753468550802</v>
      </c>
      <c r="AJ495">
        <v>78.739016059027605</v>
      </c>
      <c r="AK495">
        <v>36.881101014408898</v>
      </c>
      <c r="AL495">
        <v>79.263497373122107</v>
      </c>
      <c r="AM495">
        <v>85.875652253272605</v>
      </c>
      <c r="AN495">
        <v>1.0000000458581499</v>
      </c>
    </row>
    <row r="496" spans="1:40" x14ac:dyDescent="0.25">
      <c r="A496" t="str">
        <f>"20190303170506965"</f>
        <v>20190303170506965</v>
      </c>
      <c r="B496" t="str">
        <f>"1551603906955231"</f>
        <v>1551603906955231</v>
      </c>
      <c r="C496" t="s">
        <v>40</v>
      </c>
      <c r="D496">
        <v>5.4358599999999999</v>
      </c>
      <c r="E496">
        <v>0.55205850000000001</v>
      </c>
      <c r="F496" t="s">
        <v>41</v>
      </c>
      <c r="G496">
        <v>-332.0643</v>
      </c>
      <c r="H496" s="1">
        <v>-5.1673810000000004E-6</v>
      </c>
      <c r="I496">
        <v>360.2928</v>
      </c>
      <c r="J496">
        <v>-367.00650000000002</v>
      </c>
      <c r="K496">
        <v>1.1216170000000001</v>
      </c>
      <c r="L496">
        <v>367.10059999999999</v>
      </c>
      <c r="M496">
        <v>0.99988189999999999</v>
      </c>
      <c r="N496">
        <v>-1.440639E-2</v>
      </c>
      <c r="O496">
        <v>5.3821769999999897E-3</v>
      </c>
      <c r="P496">
        <v>0.98296919999999999</v>
      </c>
      <c r="Q496">
        <v>0.1715786</v>
      </c>
      <c r="R496">
        <v>-6.5822649999999996E-2</v>
      </c>
      <c r="S496">
        <v>3.03009</v>
      </c>
      <c r="T496">
        <v>-9.6700430000000004E-2</v>
      </c>
      <c r="U496">
        <v>-0.58682250000000002</v>
      </c>
      <c r="V496">
        <v>7.1120290000000003E-2</v>
      </c>
      <c r="W496">
        <v>0.1857135</v>
      </c>
      <c r="X496">
        <v>0.98002670000000003</v>
      </c>
      <c r="Y496">
        <v>0.1952728</v>
      </c>
      <c r="Z496">
        <v>-4.5999309999999998E-3</v>
      </c>
      <c r="AA496">
        <v>0.9807382</v>
      </c>
      <c r="AB496">
        <v>21</v>
      </c>
      <c r="AC496">
        <v>34.9422</v>
      </c>
      <c r="AD496">
        <v>-1.1216221673810001</v>
      </c>
      <c r="AE496">
        <v>-6.8077999999999799</v>
      </c>
      <c r="AF496">
        <v>6.9888482266504699</v>
      </c>
      <c r="AG496">
        <v>-1.1216221673810001</v>
      </c>
      <c r="AH496">
        <v>34.870433767448603</v>
      </c>
      <c r="AI496">
        <v>91.806408123211398</v>
      </c>
      <c r="AJ496">
        <v>78.666747648367405</v>
      </c>
      <c r="AK496">
        <v>35.581584941533102</v>
      </c>
      <c r="AL496">
        <v>79.297265797812102</v>
      </c>
      <c r="AM496">
        <v>85.849335861483397</v>
      </c>
      <c r="AN496">
        <v>0.99999996622241105</v>
      </c>
    </row>
    <row r="497" spans="1:40" x14ac:dyDescent="0.25">
      <c r="A497" t="str">
        <f>"20190303170507001"</f>
        <v>20190303170507001</v>
      </c>
      <c r="B497" t="str">
        <f>"1551603906995248"</f>
        <v>1551603906995248</v>
      </c>
      <c r="C497" t="s">
        <v>40</v>
      </c>
      <c r="D497">
        <v>5.5153400000000001</v>
      </c>
      <c r="E497">
        <v>0.55224019999999996</v>
      </c>
      <c r="F497" t="s">
        <v>41</v>
      </c>
      <c r="G497">
        <v>-332.66129999999998</v>
      </c>
      <c r="H497" s="1">
        <v>-4.9310680000000001E-6</v>
      </c>
      <c r="I497">
        <v>360.41750000000002</v>
      </c>
      <c r="J497">
        <v>-366.67200000000003</v>
      </c>
      <c r="K497">
        <v>1.1216189999999999</v>
      </c>
      <c r="L497">
        <v>367.10239999999999</v>
      </c>
      <c r="M497">
        <v>0.9998823</v>
      </c>
      <c r="N497">
        <v>-1.437254E-2</v>
      </c>
      <c r="O497">
        <v>5.3820659999999996E-3</v>
      </c>
      <c r="P497">
        <v>0.98299559999999997</v>
      </c>
      <c r="Q497">
        <v>0.17133619999999999</v>
      </c>
      <c r="R497">
        <v>-6.6059110000000004E-2</v>
      </c>
      <c r="S497">
        <v>3.0297550000000002</v>
      </c>
      <c r="T497">
        <v>-9.8943349999999999E-2</v>
      </c>
      <c r="U497">
        <v>-0.58953859999999902</v>
      </c>
      <c r="V497">
        <v>7.1356660000000002E-2</v>
      </c>
      <c r="W497">
        <v>0.18543889999999999</v>
      </c>
      <c r="X497">
        <v>0.98006150000000003</v>
      </c>
      <c r="Y497">
        <v>0.196134</v>
      </c>
      <c r="Z497">
        <v>-4.6926750000000003E-3</v>
      </c>
      <c r="AA497">
        <v>0.98056589999999999</v>
      </c>
      <c r="AB497">
        <v>21</v>
      </c>
      <c r="AC497">
        <v>34.0106999999999</v>
      </c>
      <c r="AD497">
        <v>-1.1216239310680001</v>
      </c>
      <c r="AE497">
        <v>-6.6848999999999696</v>
      </c>
      <c r="AF497">
        <v>6.8606858461845199</v>
      </c>
      <c r="AG497">
        <v>-1.1216239310680001</v>
      </c>
      <c r="AH497">
        <v>33.938686748680702</v>
      </c>
      <c r="AI497">
        <v>91.8553504526339</v>
      </c>
      <c r="AJ497">
        <v>78.571700562016701</v>
      </c>
      <c r="AK497">
        <v>34.643347250920399</v>
      </c>
      <c r="AL497">
        <v>79.313277179231704</v>
      </c>
      <c r="AM497">
        <v>85.835736830710999</v>
      </c>
      <c r="AN497">
        <v>0.99999995117090601</v>
      </c>
    </row>
    <row r="498" spans="1:40" x14ac:dyDescent="0.25">
      <c r="A498" t="str">
        <f>"20190303170507023"</f>
        <v>20190303170507023</v>
      </c>
      <c r="B498" t="str">
        <f>"1551603907015374"</f>
        <v>1551603907015374</v>
      </c>
      <c r="C498" t="s">
        <v>40</v>
      </c>
      <c r="D498">
        <v>5.342778</v>
      </c>
      <c r="E498">
        <v>0.53280839999999996</v>
      </c>
      <c r="F498" t="s">
        <v>41</v>
      </c>
      <c r="G498">
        <v>-332.8535</v>
      </c>
      <c r="H498" s="1">
        <v>-4.8452419999999997E-6</v>
      </c>
      <c r="I498">
        <v>360.49419999999998</v>
      </c>
      <c r="J498">
        <v>-366.46600000000001</v>
      </c>
      <c r="K498">
        <v>1.1216159999999999</v>
      </c>
      <c r="L498">
        <v>367.1035</v>
      </c>
      <c r="M498">
        <v>0.99988259999999995</v>
      </c>
      <c r="N498">
        <v>-1.4349829999999999E-2</v>
      </c>
      <c r="O498">
        <v>5.3821119999999997E-3</v>
      </c>
      <c r="P498">
        <v>0.983012</v>
      </c>
      <c r="Q498">
        <v>0.1715846</v>
      </c>
      <c r="R498">
        <v>-6.5164100000000003E-2</v>
      </c>
      <c r="S498">
        <v>3.0296020000000001</v>
      </c>
      <c r="T498">
        <v>-0.1004795</v>
      </c>
      <c r="U498">
        <v>-0.59197999999999995</v>
      </c>
      <c r="V498">
        <v>7.046173E-2</v>
      </c>
      <c r="W498">
        <v>0.18566479999999999</v>
      </c>
      <c r="X498">
        <v>0.9800835</v>
      </c>
      <c r="Y498">
        <v>0.19690009999999999</v>
      </c>
      <c r="Z498">
        <v>-4.7606389999999997E-3</v>
      </c>
      <c r="AA498">
        <v>0.98041199999999995</v>
      </c>
      <c r="AB498">
        <v>21</v>
      </c>
      <c r="AC498">
        <v>33.612499999999997</v>
      </c>
      <c r="AD498">
        <v>-1.121620845242</v>
      </c>
      <c r="AE498">
        <v>-6.6093000000000099</v>
      </c>
      <c r="AF498">
        <v>6.7828575453831004</v>
      </c>
      <c r="AG498">
        <v>-1.121620845242</v>
      </c>
      <c r="AH498">
        <v>33.540480316612502</v>
      </c>
      <c r="AI498">
        <v>91.877328110680693</v>
      </c>
      <c r="AJ498">
        <v>78.567320456675304</v>
      </c>
      <c r="AK498">
        <v>34.237830095824002</v>
      </c>
      <c r="AL498">
        <v>79.300105531408803</v>
      </c>
      <c r="AM498">
        <v>85.887875237950496</v>
      </c>
      <c r="AN498">
        <v>0.99999997016294095</v>
      </c>
    </row>
    <row r="499" spans="1:40" x14ac:dyDescent="0.25">
      <c r="A499" t="str">
        <f>"20190303170507044"</f>
        <v>20190303170507044</v>
      </c>
      <c r="B499" t="str">
        <f>"1551603907034893"</f>
        <v>1551603907034893</v>
      </c>
      <c r="C499" t="s">
        <v>40</v>
      </c>
      <c r="D499">
        <v>5.3174989999999998</v>
      </c>
      <c r="E499">
        <v>0.5296206</v>
      </c>
      <c r="F499" t="s">
        <v>41</v>
      </c>
      <c r="G499">
        <v>-331.93970000000002</v>
      </c>
      <c r="H499" s="1">
        <v>-4.759596E-6</v>
      </c>
      <c r="I499">
        <v>362.17809999999997</v>
      </c>
      <c r="J499">
        <v>-366.2647</v>
      </c>
      <c r="K499">
        <v>1.1216090000000001</v>
      </c>
      <c r="L499">
        <v>367.1046</v>
      </c>
      <c r="M499">
        <v>0.99988310000000002</v>
      </c>
      <c r="N499">
        <v>-1.431907E-2</v>
      </c>
      <c r="O499">
        <v>5.3817969999999998E-3</v>
      </c>
      <c r="P499">
        <v>0.98308439999999997</v>
      </c>
      <c r="Q499">
        <v>0.1712302</v>
      </c>
      <c r="R499">
        <v>-6.5003889999999995E-2</v>
      </c>
      <c r="S499">
        <v>3.040375</v>
      </c>
      <c r="T499">
        <v>-9.8769309999999999E-2</v>
      </c>
      <c r="U499">
        <v>-0.43371579999999899</v>
      </c>
      <c r="V499">
        <v>7.0301600000000006E-2</v>
      </c>
      <c r="W499">
        <v>0.18528149999999999</v>
      </c>
      <c r="X499">
        <v>0.98016760000000003</v>
      </c>
      <c r="Y499">
        <v>0.14643819999999999</v>
      </c>
      <c r="Z499">
        <v>-3.5174149999999999E-3</v>
      </c>
      <c r="AA499">
        <v>0.98921360000000003</v>
      </c>
      <c r="AB499">
        <v>21</v>
      </c>
      <c r="AC499">
        <v>34.324999999999903</v>
      </c>
      <c r="AD499">
        <v>-1.1216137595960001</v>
      </c>
      <c r="AE499">
        <v>-4.9265000000000301</v>
      </c>
      <c r="AF499">
        <v>5.1058360728010097</v>
      </c>
      <c r="AG499">
        <v>-1.1216137595960001</v>
      </c>
      <c r="AH499">
        <v>34.262141983076503</v>
      </c>
      <c r="AI499">
        <v>91.854514206121294</v>
      </c>
      <c r="AJ499">
        <v>81.524006586921701</v>
      </c>
      <c r="AK499">
        <v>34.658649031612903</v>
      </c>
      <c r="AL499">
        <v>79.322455497114603</v>
      </c>
      <c r="AM499">
        <v>85.897539252131693</v>
      </c>
      <c r="AN499">
        <v>1.0000000366472801</v>
      </c>
    </row>
    <row r="500" spans="1:40" x14ac:dyDescent="0.25">
      <c r="A500" t="str">
        <f>"20190303170507067"</f>
        <v>20190303170507067</v>
      </c>
      <c r="B500" t="str">
        <f>"1551603907055390"</f>
        <v>1551603907055390</v>
      </c>
      <c r="C500" t="s">
        <v>40</v>
      </c>
      <c r="D500">
        <v>5.2897720000000001</v>
      </c>
      <c r="E500">
        <v>0.52825459999999902</v>
      </c>
      <c r="F500" t="s">
        <v>41</v>
      </c>
      <c r="G500">
        <v>-333.24880000000002</v>
      </c>
      <c r="H500" s="1">
        <v>-4.1287580000000003E-6</v>
      </c>
      <c r="I500">
        <v>362.6814</v>
      </c>
      <c r="J500">
        <v>-366.05599999999998</v>
      </c>
      <c r="K500">
        <v>1.1216010000000001</v>
      </c>
      <c r="L500">
        <v>367.10570000000001</v>
      </c>
      <c r="M500">
        <v>0.99988370000000004</v>
      </c>
      <c r="N500">
        <v>-1.428018E-2</v>
      </c>
      <c r="O500">
        <v>5.3816009999999997E-3</v>
      </c>
      <c r="P500">
        <v>0.98320770000000002</v>
      </c>
      <c r="Q500">
        <v>0.17033229999999999</v>
      </c>
      <c r="R500">
        <v>-6.5498199999999895E-2</v>
      </c>
      <c r="S500">
        <v>3.0426639999999998</v>
      </c>
      <c r="T500">
        <v>-0.103364899999999</v>
      </c>
      <c r="U500">
        <v>-0.40762330000000002</v>
      </c>
      <c r="V500">
        <v>7.0796150000000002E-2</v>
      </c>
      <c r="W500">
        <v>0.1843475</v>
      </c>
      <c r="X500">
        <v>0.98030810000000002</v>
      </c>
      <c r="Y500">
        <v>0.13800290000000001</v>
      </c>
      <c r="Z500">
        <v>-3.4286849999999999E-3</v>
      </c>
      <c r="AA500">
        <v>0.99042589999999997</v>
      </c>
      <c r="AB500">
        <v>21</v>
      </c>
      <c r="AC500">
        <v>32.807199999999902</v>
      </c>
      <c r="AD500">
        <v>-1.121605128758</v>
      </c>
      <c r="AE500">
        <v>-4.4243000000000103</v>
      </c>
      <c r="AF500">
        <v>4.5955338201941798</v>
      </c>
      <c r="AG500">
        <v>-1.121605128758</v>
      </c>
      <c r="AH500">
        <v>32.745323341758002</v>
      </c>
      <c r="AI500">
        <v>91.942725965455693</v>
      </c>
      <c r="AJ500">
        <v>82.011189791330096</v>
      </c>
      <c r="AK500">
        <v>33.085240363547101</v>
      </c>
      <c r="AL500">
        <v>79.376907745551193</v>
      </c>
      <c r="AM500">
        <v>85.869369330983403</v>
      </c>
      <c r="AN500">
        <v>1.0000000332683401</v>
      </c>
    </row>
    <row r="501" spans="1:40" x14ac:dyDescent="0.25">
      <c r="A501" t="str">
        <f>"20190303170507088"</f>
        <v>20190303170507088</v>
      </c>
      <c r="B501" t="str">
        <f>"1551603907074909"</f>
        <v>1551603907074909</v>
      </c>
      <c r="C501" t="s">
        <v>40</v>
      </c>
      <c r="D501">
        <v>5.3027309999999996</v>
      </c>
      <c r="E501">
        <v>0.52774759999999998</v>
      </c>
      <c r="F501" t="s">
        <v>41</v>
      </c>
      <c r="G501">
        <v>-335.65410000000003</v>
      </c>
      <c r="H501" s="1">
        <v>-3.190439E-6</v>
      </c>
      <c r="I501">
        <v>363.13159999999999</v>
      </c>
      <c r="J501">
        <v>-365.85449999999997</v>
      </c>
      <c r="K501">
        <v>1.12159599999999</v>
      </c>
      <c r="L501">
        <v>367.10680000000002</v>
      </c>
      <c r="M501">
        <v>0.99988410000000005</v>
      </c>
      <c r="N501">
        <v>-1.424008E-2</v>
      </c>
      <c r="O501">
        <v>5.381711E-3</v>
      </c>
      <c r="P501">
        <v>0.98320839999999998</v>
      </c>
      <c r="Q501">
        <v>0.1701694</v>
      </c>
      <c r="R501">
        <v>-6.5908690000000006E-2</v>
      </c>
      <c r="S501">
        <v>3.0441590000000001</v>
      </c>
      <c r="T501">
        <v>-0.1123067</v>
      </c>
      <c r="U501">
        <v>-0.39791870000000001</v>
      </c>
      <c r="V501">
        <v>7.1206610000000004E-2</v>
      </c>
      <c r="W501">
        <v>0.184145</v>
      </c>
      <c r="X501">
        <v>0.98031639999999998</v>
      </c>
      <c r="Y501">
        <v>0.134821</v>
      </c>
      <c r="Z501">
        <v>-3.5614319999999998E-3</v>
      </c>
      <c r="AA501">
        <v>0.99086359999999996</v>
      </c>
      <c r="AB501">
        <v>21</v>
      </c>
      <c r="AC501">
        <v>30.200399999999899</v>
      </c>
      <c r="AD501">
        <v>-1.1215991904389999</v>
      </c>
      <c r="AE501">
        <v>-3.9752000000000201</v>
      </c>
      <c r="AF501">
        <v>4.1320865217817202</v>
      </c>
      <c r="AG501">
        <v>-1.1215991904389999</v>
      </c>
      <c r="AH501">
        <v>30.137706848976102</v>
      </c>
      <c r="AI501">
        <v>92.111588678768996</v>
      </c>
      <c r="AJ501">
        <v>82.193031644741694</v>
      </c>
      <c r="AK501">
        <v>30.4403268359967</v>
      </c>
      <c r="AL501">
        <v>79.3887119094436</v>
      </c>
      <c r="AM501">
        <v>85.845539537058499</v>
      </c>
      <c r="AN501">
        <v>1.0000000032208201</v>
      </c>
    </row>
    <row r="502" spans="1:40" x14ac:dyDescent="0.25">
      <c r="A502" t="str">
        <f>"20190303170507113"</f>
        <v>20190303170507113</v>
      </c>
      <c r="B502" t="str">
        <f>"1551603907104761"</f>
        <v>1551603907104761</v>
      </c>
      <c r="C502" t="s">
        <v>40</v>
      </c>
      <c r="D502">
        <v>5.2643700000000004</v>
      </c>
      <c r="E502">
        <v>0.52709090000000003</v>
      </c>
      <c r="F502" t="s">
        <v>41</v>
      </c>
      <c r="G502">
        <v>-333.53449999999998</v>
      </c>
      <c r="H502" s="1">
        <v>-3.9735119999999996E-6</v>
      </c>
      <c r="I502">
        <v>362.89940000000001</v>
      </c>
      <c r="J502">
        <v>-365.62060000000002</v>
      </c>
      <c r="K502">
        <v>1.1215869999999999</v>
      </c>
      <c r="L502">
        <v>367.108</v>
      </c>
      <c r="M502">
        <v>0.99988480000000002</v>
      </c>
      <c r="N502">
        <v>-1.4188889999999999E-2</v>
      </c>
      <c r="O502">
        <v>5.3817209999999999E-3</v>
      </c>
      <c r="P502">
        <v>0.98305699999999996</v>
      </c>
      <c r="Q502">
        <v>0.1708337</v>
      </c>
      <c r="R502">
        <v>-6.6444279999999994E-2</v>
      </c>
      <c r="S502">
        <v>3.0429689999999998</v>
      </c>
      <c r="T502">
        <v>-0.1055999</v>
      </c>
      <c r="U502">
        <v>-0.39611819999999998</v>
      </c>
      <c r="V502">
        <v>7.1741689999999997E-2</v>
      </c>
      <c r="W502">
        <v>0.18475710000000001</v>
      </c>
      <c r="X502">
        <v>0.98016219999999998</v>
      </c>
      <c r="Y502">
        <v>0.1343075</v>
      </c>
      <c r="Z502">
        <v>-3.387153E-3</v>
      </c>
      <c r="AA502">
        <v>0.99093390000000003</v>
      </c>
      <c r="AB502">
        <v>21</v>
      </c>
      <c r="AC502">
        <v>32.086100000000002</v>
      </c>
      <c r="AD502">
        <v>-1.121590973512</v>
      </c>
      <c r="AE502">
        <v>-4.2085999999999899</v>
      </c>
      <c r="AF502">
        <v>4.3759783071296896</v>
      </c>
      <c r="AG502">
        <v>-1.121590973512</v>
      </c>
      <c r="AH502">
        <v>32.0245145861726</v>
      </c>
      <c r="AI502">
        <v>91.987390575855898</v>
      </c>
      <c r="AJ502">
        <v>82.219028104049698</v>
      </c>
      <c r="AK502">
        <v>32.341562840040901</v>
      </c>
      <c r="AL502">
        <v>79.353028837722505</v>
      </c>
      <c r="AM502">
        <v>85.813775365253306</v>
      </c>
      <c r="AN502">
        <v>0.999999997196653</v>
      </c>
    </row>
    <row r="503" spans="1:40" x14ac:dyDescent="0.25">
      <c r="A503" t="str">
        <f>"20190303170507134"</f>
        <v>20190303170507134</v>
      </c>
      <c r="B503" t="str">
        <f>"1551603907125258"</f>
        <v>1551603907125258</v>
      </c>
      <c r="C503" t="s">
        <v>40</v>
      </c>
      <c r="D503">
        <v>5.2908400000000002</v>
      </c>
      <c r="E503">
        <v>0.52676709999999904</v>
      </c>
      <c r="F503" t="s">
        <v>41</v>
      </c>
      <c r="G503">
        <v>-330.9237</v>
      </c>
      <c r="H503" s="1">
        <v>-5.1161129999999997E-6</v>
      </c>
      <c r="I503">
        <v>362.62529999999998</v>
      </c>
      <c r="J503">
        <v>-365.42430000000002</v>
      </c>
      <c r="K503">
        <v>1.121578</v>
      </c>
      <c r="L503">
        <v>367.10899999999998</v>
      </c>
      <c r="M503">
        <v>0.99988560000000004</v>
      </c>
      <c r="N503">
        <v>-1.413969E-2</v>
      </c>
      <c r="O503">
        <v>5.3817149999999996E-3</v>
      </c>
      <c r="P503">
        <v>0.98282159999999996</v>
      </c>
      <c r="Q503">
        <v>0.1718404</v>
      </c>
      <c r="R503">
        <v>-6.7325220000000005E-2</v>
      </c>
      <c r="S503">
        <v>3.0422359999999999</v>
      </c>
      <c r="T503">
        <v>-9.8341349999999994E-2</v>
      </c>
      <c r="U503">
        <v>-0.39303589999999999</v>
      </c>
      <c r="V503">
        <v>7.2621340000000006E-2</v>
      </c>
      <c r="W503">
        <v>0.18571209999999999</v>
      </c>
      <c r="X503">
        <v>0.97991689999999998</v>
      </c>
      <c r="Y503">
        <v>0.13336439999999999</v>
      </c>
      <c r="Z503">
        <v>-3.190666E-3</v>
      </c>
      <c r="AA503">
        <v>0.99106190000000005</v>
      </c>
      <c r="AB503">
        <v>21</v>
      </c>
      <c r="AC503">
        <v>34.500599999999999</v>
      </c>
      <c r="AD503">
        <v>-1.1215831161130001</v>
      </c>
      <c r="AE503">
        <v>-4.4837000000000504</v>
      </c>
      <c r="AF503">
        <v>4.6644782711628201</v>
      </c>
      <c r="AG503">
        <v>-1.1215831161130001</v>
      </c>
      <c r="AH503">
        <v>34.440174619466198</v>
      </c>
      <c r="AI503">
        <v>91.848378747188605</v>
      </c>
      <c r="AJ503">
        <v>82.286956463084806</v>
      </c>
      <c r="AK503">
        <v>34.772703864494403</v>
      </c>
      <c r="AL503">
        <v>79.297347657090995</v>
      </c>
      <c r="AM503">
        <v>85.761575565232903</v>
      </c>
      <c r="AN503">
        <v>0.99999998700770698</v>
      </c>
    </row>
    <row r="504" spans="1:40" x14ac:dyDescent="0.25">
      <c r="A504" t="str">
        <f>"20190303170507156"</f>
        <v>20190303170507156</v>
      </c>
      <c r="B504" t="str">
        <f>"1551603907144777"</f>
        <v>1551603907144777</v>
      </c>
      <c r="C504" t="s">
        <v>40</v>
      </c>
      <c r="D504">
        <v>5.2358760000000002</v>
      </c>
      <c r="E504">
        <v>0.52654109999999998</v>
      </c>
      <c r="F504" t="s">
        <v>41</v>
      </c>
      <c r="G504">
        <v>-330.94119999999998</v>
      </c>
      <c r="H504" s="1">
        <v>-5.1007080000000004E-6</v>
      </c>
      <c r="I504">
        <v>362.66980000000001</v>
      </c>
      <c r="J504">
        <v>-365.21780000000001</v>
      </c>
      <c r="K504">
        <v>1.1215710000000001</v>
      </c>
      <c r="L504">
        <v>367.11020000000002</v>
      </c>
      <c r="M504">
        <v>0.99988639999999995</v>
      </c>
      <c r="N504">
        <v>-1.408234E-2</v>
      </c>
      <c r="O504">
        <v>5.3816460000000003E-3</v>
      </c>
      <c r="P504">
        <v>0.98280630000000002</v>
      </c>
      <c r="Q504">
        <v>0.17122770000000001</v>
      </c>
      <c r="R504">
        <v>-6.9089319999999996E-2</v>
      </c>
      <c r="S504">
        <v>3.0429080000000002</v>
      </c>
      <c r="T504">
        <v>-9.8972320000000003E-2</v>
      </c>
      <c r="U504">
        <v>-0.39172360000000001</v>
      </c>
      <c r="V504">
        <v>7.4385039999999999E-2</v>
      </c>
      <c r="W504">
        <v>0.1850425</v>
      </c>
      <c r="X504">
        <v>0.97991130000000004</v>
      </c>
      <c r="Y504">
        <v>0.13291559999999999</v>
      </c>
      <c r="Z504">
        <v>-3.1910860000000001E-3</v>
      </c>
      <c r="AA504">
        <v>0.99112219999999995</v>
      </c>
      <c r="AB504">
        <v>21</v>
      </c>
      <c r="AC504">
        <v>34.276600000000002</v>
      </c>
      <c r="AD504">
        <v>-1.1215761007079901</v>
      </c>
      <c r="AE504">
        <v>-4.4404000000000101</v>
      </c>
      <c r="AF504">
        <v>4.6199536226351201</v>
      </c>
      <c r="AG504">
        <v>-1.1215761007079901</v>
      </c>
      <c r="AH504">
        <v>34.2161744009438</v>
      </c>
      <c r="AI504">
        <v>91.860561642667506</v>
      </c>
      <c r="AJ504">
        <v>82.310285800264396</v>
      </c>
      <c r="AK504">
        <v>34.544876538508298</v>
      </c>
      <c r="AL504">
        <v>79.336389841257997</v>
      </c>
      <c r="AM504">
        <v>85.659004243857495</v>
      </c>
      <c r="AN504">
        <v>1.0000000084248699</v>
      </c>
    </row>
    <row r="505" spans="1:40" x14ac:dyDescent="0.25">
      <c r="A505" t="str">
        <f>"20190303170507178"</f>
        <v>20190303170507178</v>
      </c>
      <c r="B505" t="str">
        <f>"1551603907165274"</f>
        <v>1551603907165274</v>
      </c>
      <c r="C505" t="s">
        <v>40</v>
      </c>
      <c r="D505">
        <v>5.2340790000000004</v>
      </c>
      <c r="E505">
        <v>0.52636050000000001</v>
      </c>
      <c r="F505" t="s">
        <v>41</v>
      </c>
      <c r="G505">
        <v>-331.99520000000001</v>
      </c>
      <c r="H505" s="1">
        <v>-4.6265679999999998E-6</v>
      </c>
      <c r="I505">
        <v>362.79379999999998</v>
      </c>
      <c r="J505">
        <v>-365.01229999999998</v>
      </c>
      <c r="K505">
        <v>1.1215580000000001</v>
      </c>
      <c r="L505">
        <v>367.11130000000003</v>
      </c>
      <c r="M505">
        <v>0.99988730000000003</v>
      </c>
      <c r="N505">
        <v>-1.401619E-2</v>
      </c>
      <c r="O505">
        <v>5.3816380000000002E-3</v>
      </c>
      <c r="P505">
        <v>0.98274289999999997</v>
      </c>
      <c r="Q505">
        <v>0.1711618</v>
      </c>
      <c r="R505">
        <v>-7.0144299999999896E-2</v>
      </c>
      <c r="S505">
        <v>3.0425719999999998</v>
      </c>
      <c r="T505">
        <v>-0.1027153</v>
      </c>
      <c r="U505">
        <v>-0.39529419999999998</v>
      </c>
      <c r="V505">
        <v>7.5439720000000002E-2</v>
      </c>
      <c r="W505">
        <v>0.1849113</v>
      </c>
      <c r="X505">
        <v>0.97985540000000004</v>
      </c>
      <c r="Y505">
        <v>0.13406589999999999</v>
      </c>
      <c r="Z505">
        <v>-3.3025699999999999E-3</v>
      </c>
      <c r="AA505">
        <v>0.99096689999999998</v>
      </c>
      <c r="AB505">
        <v>21</v>
      </c>
      <c r="AC505">
        <v>33.0170999999999</v>
      </c>
      <c r="AD505">
        <v>-1.1215626265680001</v>
      </c>
      <c r="AE505">
        <v>-4.3175000000000496</v>
      </c>
      <c r="AF505">
        <v>4.4900470265522303</v>
      </c>
      <c r="AG505">
        <v>-1.1215626265680001</v>
      </c>
      <c r="AH505">
        <v>32.955995596030199</v>
      </c>
      <c r="AI505">
        <v>91.931316221831494</v>
      </c>
      <c r="AJ505">
        <v>82.2415800621324</v>
      </c>
      <c r="AK505">
        <v>33.279364037666397</v>
      </c>
      <c r="AL505">
        <v>79.344038664297599</v>
      </c>
      <c r="AM505">
        <v>85.5974448659763</v>
      </c>
      <c r="AN505">
        <v>0.99999997256526296</v>
      </c>
    </row>
    <row r="506" spans="1:40" x14ac:dyDescent="0.25">
      <c r="A506" t="str">
        <f>"20190303170507202"</f>
        <v>20190303170507202</v>
      </c>
      <c r="B506" t="str">
        <f>"1551603907195529"</f>
        <v>1551603907195529</v>
      </c>
      <c r="C506" t="s">
        <v>40</v>
      </c>
      <c r="D506">
        <v>5.2792329999999996</v>
      </c>
      <c r="E506">
        <v>0.52605100000000005</v>
      </c>
      <c r="F506" t="s">
        <v>41</v>
      </c>
      <c r="G506">
        <v>-332.50389999999999</v>
      </c>
      <c r="H506" s="1">
        <v>-4.3945939999999997E-6</v>
      </c>
      <c r="I506">
        <v>362.87119999999999</v>
      </c>
      <c r="J506">
        <v>-364.7953</v>
      </c>
      <c r="K506">
        <v>1.121551</v>
      </c>
      <c r="L506">
        <v>367.11250000000001</v>
      </c>
      <c r="M506">
        <v>0.99988860000000002</v>
      </c>
      <c r="N506">
        <v>-1.393194E-2</v>
      </c>
      <c r="O506">
        <v>5.3815159999999898E-3</v>
      </c>
      <c r="P506">
        <v>0.98264220000000002</v>
      </c>
      <c r="Q506">
        <v>0.17112920000000001</v>
      </c>
      <c r="R506">
        <v>-7.1618929999999997E-2</v>
      </c>
      <c r="S506">
        <v>3.0426329999999999</v>
      </c>
      <c r="T506">
        <v>-0.104973</v>
      </c>
      <c r="U506">
        <v>-0.3968506</v>
      </c>
      <c r="V506">
        <v>7.691365E-2</v>
      </c>
      <c r="W506">
        <v>0.18479409999999999</v>
      </c>
      <c r="X506">
        <v>0.97976289999999999</v>
      </c>
      <c r="Y506">
        <v>0.13455739999999999</v>
      </c>
      <c r="Z506">
        <v>-3.362603E-3</v>
      </c>
      <c r="AA506">
        <v>0.99090009999999995</v>
      </c>
      <c r="AB506">
        <v>21</v>
      </c>
      <c r="AC506">
        <v>32.291400000000003</v>
      </c>
      <c r="AD506">
        <v>-1.121555394594</v>
      </c>
      <c r="AE506">
        <v>-4.2413000000000203</v>
      </c>
      <c r="AF506">
        <v>4.4098026209059604</v>
      </c>
      <c r="AG506">
        <v>-1.121555394594</v>
      </c>
      <c r="AH506">
        <v>32.229884820095002</v>
      </c>
      <c r="AI506">
        <v>91.974626958519494</v>
      </c>
      <c r="AJ506">
        <v>82.208973611057104</v>
      </c>
      <c r="AK506">
        <v>32.5494964811298</v>
      </c>
      <c r="AL506">
        <v>79.350871291332695</v>
      </c>
      <c r="AM506">
        <v>85.511354498009297</v>
      </c>
      <c r="AN506">
        <v>0.99999995458377</v>
      </c>
    </row>
    <row r="507" spans="1:40" x14ac:dyDescent="0.25">
      <c r="A507" t="str">
        <f>"20190303170507226"</f>
        <v>20190303170507226</v>
      </c>
      <c r="B507" t="str">
        <f>"1551603907215049"</f>
        <v>1551603907215049</v>
      </c>
      <c r="C507" t="s">
        <v>40</v>
      </c>
      <c r="D507">
        <v>5.2580339999999897</v>
      </c>
      <c r="E507">
        <v>0.52592069999999902</v>
      </c>
      <c r="F507" t="s">
        <v>41</v>
      </c>
      <c r="G507">
        <v>-333.27659999999997</v>
      </c>
      <c r="H507" s="1">
        <v>-4.042292E-6</v>
      </c>
      <c r="I507">
        <v>362.98869999999999</v>
      </c>
      <c r="J507">
        <v>-364.58089999999999</v>
      </c>
      <c r="K507">
        <v>1.121537</v>
      </c>
      <c r="L507">
        <v>367.11360000000002</v>
      </c>
      <c r="M507">
        <v>0.9998899</v>
      </c>
      <c r="N507">
        <v>-1.3833430000000001E-2</v>
      </c>
      <c r="O507">
        <v>5.3815499999999997E-3</v>
      </c>
      <c r="P507">
        <v>0.98239549999999998</v>
      </c>
      <c r="Q507">
        <v>0.171624</v>
      </c>
      <c r="R507">
        <v>-7.3786660000000004E-2</v>
      </c>
      <c r="S507">
        <v>3.0428470000000001</v>
      </c>
      <c r="T507">
        <v>-0.1082755</v>
      </c>
      <c r="U507">
        <v>-0.39810180000000001</v>
      </c>
      <c r="V507">
        <v>7.9080129999999998E-2</v>
      </c>
      <c r="W507">
        <v>0.18518870000000001</v>
      </c>
      <c r="X507">
        <v>0.97951600000000005</v>
      </c>
      <c r="Y507">
        <v>0.1349428</v>
      </c>
      <c r="Z507">
        <v>-3.4442420000000001E-3</v>
      </c>
      <c r="AA507">
        <v>0.99084740000000004</v>
      </c>
      <c r="AB507">
        <v>21</v>
      </c>
      <c r="AC507">
        <v>31.304300000000001</v>
      </c>
      <c r="AD507">
        <v>-1.121541042292</v>
      </c>
      <c r="AE507">
        <v>-4.1249000000000198</v>
      </c>
      <c r="AF507">
        <v>4.2879120837346898</v>
      </c>
      <c r="AG507">
        <v>-1.121541042292</v>
      </c>
      <c r="AH507">
        <v>31.242228679237499</v>
      </c>
      <c r="AI507">
        <v>92.036856684983903</v>
      </c>
      <c r="AJ507">
        <v>82.185132967427805</v>
      </c>
      <c r="AK507">
        <v>31.555045510871199</v>
      </c>
      <c r="AL507">
        <v>79.327866410891502</v>
      </c>
      <c r="AM507">
        <v>85.384300192768606</v>
      </c>
      <c r="AN507">
        <v>1.0000000579122501</v>
      </c>
    </row>
    <row r="508" spans="1:40" x14ac:dyDescent="0.25">
      <c r="A508" t="str">
        <f>"20190303170507247"</f>
        <v>20190303170507247</v>
      </c>
      <c r="B508" t="str">
        <f>"1551603907234570"</f>
        <v>1551603907234570</v>
      </c>
      <c r="C508" t="s">
        <v>40</v>
      </c>
      <c r="D508">
        <v>5.2189730000000001</v>
      </c>
      <c r="E508">
        <v>0.52582589999999996</v>
      </c>
      <c r="F508" t="s">
        <v>41</v>
      </c>
      <c r="G508">
        <v>-332.60230000000001</v>
      </c>
      <c r="H508" s="1">
        <v>-4.3515120000000001E-6</v>
      </c>
      <c r="I508">
        <v>362.87610000000001</v>
      </c>
      <c r="J508">
        <v>-364.38040000000001</v>
      </c>
      <c r="K508">
        <v>1.121516</v>
      </c>
      <c r="L508">
        <v>367.11470000000003</v>
      </c>
      <c r="M508">
        <v>0.99989150000000004</v>
      </c>
      <c r="N508">
        <v>-1.3724460000000001E-2</v>
      </c>
      <c r="O508">
        <v>5.3816510000000003E-3</v>
      </c>
      <c r="P508">
        <v>0.98213479999999997</v>
      </c>
      <c r="Q508">
        <v>0.172314299999999</v>
      </c>
      <c r="R508">
        <v>-7.5628000000000001E-2</v>
      </c>
      <c r="S508">
        <v>3.0421140000000002</v>
      </c>
      <c r="T508">
        <v>-0.1066917</v>
      </c>
      <c r="U508">
        <v>-0.40310669999999998</v>
      </c>
      <c r="V508">
        <v>8.0920190000000003E-2</v>
      </c>
      <c r="W508">
        <v>0.1857683</v>
      </c>
      <c r="X508">
        <v>0.97925589999999996</v>
      </c>
      <c r="Y508">
        <v>0.13657759999999999</v>
      </c>
      <c r="Z508">
        <v>-3.4399539999999998E-3</v>
      </c>
      <c r="AA508">
        <v>0.99062340000000004</v>
      </c>
      <c r="AB508">
        <v>21</v>
      </c>
      <c r="AC508">
        <v>31.778099999999899</v>
      </c>
      <c r="AD508">
        <v>-1.121520351512</v>
      </c>
      <c r="AE508">
        <v>-4.2386000000000204</v>
      </c>
      <c r="AF508">
        <v>4.4041836214571699</v>
      </c>
      <c r="AG508">
        <v>-1.121520351512</v>
      </c>
      <c r="AH508">
        <v>31.716013789296401</v>
      </c>
      <c r="AI508">
        <v>92.005978682221993</v>
      </c>
      <c r="AJ508">
        <v>82.094287594095405</v>
      </c>
      <c r="AK508">
        <v>32.039977714617798</v>
      </c>
      <c r="AL508">
        <v>79.294071054667199</v>
      </c>
      <c r="AM508">
        <v>85.276132315637398</v>
      </c>
      <c r="AN508">
        <v>1.0000000280596599</v>
      </c>
    </row>
    <row r="509" spans="1:40" x14ac:dyDescent="0.25">
      <c r="A509" t="str">
        <f>"20190303170507267"</f>
        <v>20190303170507267</v>
      </c>
      <c r="B509" t="str">
        <f>"1551603907255066"</f>
        <v>1551603907255066</v>
      </c>
      <c r="C509" t="s">
        <v>40</v>
      </c>
      <c r="D509">
        <v>5.2728089999999996</v>
      </c>
      <c r="E509">
        <v>0.52571369999999995</v>
      </c>
      <c r="F509" t="s">
        <v>41</v>
      </c>
      <c r="G509">
        <v>-331.41849999999999</v>
      </c>
      <c r="H509" s="1">
        <v>-4.8930009999999998E-6</v>
      </c>
      <c r="I509">
        <v>362.68630000000002</v>
      </c>
      <c r="J509">
        <v>-364.19170000000003</v>
      </c>
      <c r="K509">
        <v>1.1214999999999999</v>
      </c>
      <c r="L509">
        <v>367.1157</v>
      </c>
      <c r="M509">
        <v>0.99989289999999997</v>
      </c>
      <c r="N509">
        <v>-1.3611369999999999E-2</v>
      </c>
      <c r="O509">
        <v>5.3817169999999899E-3</v>
      </c>
      <c r="P509">
        <v>0.98181689999999999</v>
      </c>
      <c r="Q509">
        <v>0.17304739999999999</v>
      </c>
      <c r="R509">
        <v>-7.8040570000000004E-2</v>
      </c>
      <c r="S509">
        <v>3.0411990000000002</v>
      </c>
      <c r="T509">
        <v>-0.1034759</v>
      </c>
      <c r="U509">
        <v>-0.40856930000000002</v>
      </c>
      <c r="V509">
        <v>8.3331069999999993E-2</v>
      </c>
      <c r="W509">
        <v>0.18638579999999999</v>
      </c>
      <c r="X509">
        <v>0.97893629999999998</v>
      </c>
      <c r="Y509">
        <v>0.1383693</v>
      </c>
      <c r="Z509">
        <v>-3.398468E-3</v>
      </c>
      <c r="AA509">
        <v>0.99037489999999995</v>
      </c>
      <c r="AB509">
        <v>21</v>
      </c>
      <c r="AC509">
        <v>32.773200000000003</v>
      </c>
      <c r="AD509">
        <v>-1.1215048930010001</v>
      </c>
      <c r="AE509">
        <v>-4.4293999999999798</v>
      </c>
      <c r="AF509">
        <v>4.6004376988459397</v>
      </c>
      <c r="AG509">
        <v>-1.1215048930010001</v>
      </c>
      <c r="AH509">
        <v>32.711266894702099</v>
      </c>
      <c r="AI509">
        <v>91.944494119998893</v>
      </c>
      <c r="AJ509">
        <v>81.994556982122901</v>
      </c>
      <c r="AK509">
        <v>33.052212968308503</v>
      </c>
      <c r="AL509">
        <v>79.258061785330199</v>
      </c>
      <c r="AM509">
        <v>85.134477839735794</v>
      </c>
      <c r="AN509">
        <v>1.0000000065633301</v>
      </c>
    </row>
    <row r="510" spans="1:40" x14ac:dyDescent="0.25">
      <c r="A510" t="str">
        <f>"20190303170507290"</f>
        <v>20190303170507290</v>
      </c>
      <c r="B510" t="str">
        <f>"1551603907285322"</f>
        <v>1551603907285322</v>
      </c>
      <c r="C510" t="s">
        <v>40</v>
      </c>
      <c r="D510">
        <v>5.2092769999999904</v>
      </c>
      <c r="E510">
        <v>0.52551219999999998</v>
      </c>
      <c r="F510" t="s">
        <v>41</v>
      </c>
      <c r="G510">
        <v>-330.09780000000001</v>
      </c>
      <c r="H510" s="1">
        <v>-5.5006140000000003E-6</v>
      </c>
      <c r="I510">
        <v>362.45499999999998</v>
      </c>
      <c r="J510">
        <v>-363.9846</v>
      </c>
      <c r="K510">
        <v>1.12148799999999</v>
      </c>
      <c r="L510">
        <v>367.11680000000001</v>
      </c>
      <c r="M510">
        <v>0.99989479999999997</v>
      </c>
      <c r="N510">
        <v>-1.347916E-2</v>
      </c>
      <c r="O510">
        <v>5.381963E-3</v>
      </c>
      <c r="P510">
        <v>0.98153349999999995</v>
      </c>
      <c r="Q510">
        <v>0.17336779999999999</v>
      </c>
      <c r="R510">
        <v>-8.0845429999999996E-2</v>
      </c>
      <c r="S510">
        <v>3.0401609999999999</v>
      </c>
      <c r="T510">
        <v>-0.1000048</v>
      </c>
      <c r="U510">
        <v>-0.41558840000000002</v>
      </c>
      <c r="V510">
        <v>8.6134680000000005E-2</v>
      </c>
      <c r="W510">
        <v>0.18657270000000001</v>
      </c>
      <c r="X510">
        <v>0.97865800000000003</v>
      </c>
      <c r="Y510">
        <v>0.14066400000000001</v>
      </c>
      <c r="Z510">
        <v>-3.359014E-3</v>
      </c>
      <c r="AA510">
        <v>0.99005169999999998</v>
      </c>
      <c r="AB510">
        <v>21</v>
      </c>
      <c r="AC510">
        <v>33.886799999999901</v>
      </c>
      <c r="AD510">
        <v>-1.1214935006140001</v>
      </c>
      <c r="AE510">
        <v>-4.6618000000000199</v>
      </c>
      <c r="AF510">
        <v>4.83892489828522</v>
      </c>
      <c r="AG510">
        <v>-1.1214935006140001</v>
      </c>
      <c r="AH510">
        <v>33.824857046601302</v>
      </c>
      <c r="AI510">
        <v>91.879872297655297</v>
      </c>
      <c r="AJ510">
        <v>81.858605754330199</v>
      </c>
      <c r="AK510">
        <v>34.187627821569798</v>
      </c>
      <c r="AL510">
        <v>79.247162137020993</v>
      </c>
      <c r="AM510">
        <v>84.970184192718193</v>
      </c>
      <c r="AN510">
        <v>1.0000000182239901</v>
      </c>
    </row>
    <row r="511" spans="1:40" x14ac:dyDescent="0.25">
      <c r="A511" t="str">
        <f>"20190303170507314"</f>
        <v>20190303170507314</v>
      </c>
      <c r="B511" t="str">
        <f>"1551603907305486"</f>
        <v>1551603907305486</v>
      </c>
      <c r="C511" t="s">
        <v>40</v>
      </c>
      <c r="D511">
        <v>5.2887570000000004</v>
      </c>
      <c r="E511">
        <v>0.52541150000000003</v>
      </c>
      <c r="F511" t="s">
        <v>41</v>
      </c>
      <c r="G511">
        <v>-329.30990000000003</v>
      </c>
      <c r="H511" s="1">
        <v>-2.1684529999999998E-6</v>
      </c>
      <c r="I511">
        <v>362.29689999999999</v>
      </c>
      <c r="J511">
        <v>-363.75580000000002</v>
      </c>
      <c r="K511">
        <v>1.1214660000000001</v>
      </c>
      <c r="L511">
        <v>367.11799999999999</v>
      </c>
      <c r="M511">
        <v>0.99989689999999998</v>
      </c>
      <c r="N511">
        <v>-1.331653E-2</v>
      </c>
      <c r="O511">
        <v>5.3822260000000004E-3</v>
      </c>
      <c r="P511">
        <v>0.98115469999999905</v>
      </c>
      <c r="Q511">
        <v>0.17399029999999999</v>
      </c>
      <c r="R511">
        <v>-8.4041240000000003E-2</v>
      </c>
      <c r="S511">
        <v>3.0390009999999998</v>
      </c>
      <c r="T511">
        <v>-9.8290680000000005E-2</v>
      </c>
      <c r="U511">
        <v>-0.42242429999999997</v>
      </c>
      <c r="V511">
        <v>8.9328569999999996E-2</v>
      </c>
      <c r="W511">
        <v>0.18703040000000001</v>
      </c>
      <c r="X511">
        <v>0.97828419999999905</v>
      </c>
      <c r="Y511">
        <v>0.142901799999999</v>
      </c>
      <c r="Z511">
        <v>-3.3576130000000002E-3</v>
      </c>
      <c r="AA511">
        <v>0.98973120000000003</v>
      </c>
      <c r="AB511">
        <v>21</v>
      </c>
      <c r="AC511">
        <v>34.445899999999902</v>
      </c>
      <c r="AD511">
        <v>-1.1214681684529999</v>
      </c>
      <c r="AE511">
        <v>-4.8211000000000501</v>
      </c>
      <c r="AF511">
        <v>5.0012428264970197</v>
      </c>
      <c r="AG511">
        <v>-1.1214681684529999</v>
      </c>
      <c r="AH511">
        <v>34.383704536114998</v>
      </c>
      <c r="AI511">
        <v>91.848672366311007</v>
      </c>
      <c r="AJ511">
        <v>81.724145174956604</v>
      </c>
      <c r="AK511">
        <v>34.763619752397702</v>
      </c>
      <c r="AL511">
        <v>79.220467453053601</v>
      </c>
      <c r="AM511">
        <v>84.7827061775602</v>
      </c>
      <c r="AN511">
        <v>0.99999996995602103</v>
      </c>
    </row>
    <row r="512" spans="1:40" x14ac:dyDescent="0.25">
      <c r="A512" t="str">
        <f>"20190303170507335"</f>
        <v>20190303170507335</v>
      </c>
      <c r="B512" t="str">
        <f>"1551603907325005"</f>
        <v>1551603907325005</v>
      </c>
      <c r="C512" t="s">
        <v>40</v>
      </c>
      <c r="D512">
        <v>5.2632190000000003</v>
      </c>
      <c r="E512">
        <v>0.52525730000000004</v>
      </c>
      <c r="F512" t="s">
        <v>41</v>
      </c>
      <c r="G512">
        <v>-327.99110000000002</v>
      </c>
      <c r="H512" s="1">
        <v>-2.6861509999999999E-6</v>
      </c>
      <c r="I512">
        <v>362.03789999999998</v>
      </c>
      <c r="J512">
        <v>-363.56229999999999</v>
      </c>
      <c r="K512">
        <v>1.1214440000000001</v>
      </c>
      <c r="L512">
        <v>367.1191</v>
      </c>
      <c r="M512">
        <v>0.99989899999999998</v>
      </c>
      <c r="N512">
        <v>-1.315917E-2</v>
      </c>
      <c r="O512">
        <v>5.3824429999999998E-3</v>
      </c>
      <c r="P512">
        <v>0.98086240000000002</v>
      </c>
      <c r="Q512">
        <v>0.17425589999999999</v>
      </c>
      <c r="R512">
        <v>-8.6856829999999996E-2</v>
      </c>
      <c r="S512">
        <v>3.0375670000000001</v>
      </c>
      <c r="T512">
        <v>-9.5248219999999995E-2</v>
      </c>
      <c r="U512">
        <v>-0.43145749999999999</v>
      </c>
      <c r="V512">
        <v>9.2142849999999998E-2</v>
      </c>
      <c r="W512">
        <v>0.18713859999999999</v>
      </c>
      <c r="X512">
        <v>0.9780025</v>
      </c>
      <c r="Y512">
        <v>0.14585519999999999</v>
      </c>
      <c r="Z512">
        <v>-3.3370790000000002E-3</v>
      </c>
      <c r="AA512">
        <v>0.98930030000000002</v>
      </c>
      <c r="AB512">
        <v>21</v>
      </c>
      <c r="AC512">
        <v>35.571199999999898</v>
      </c>
      <c r="AD512">
        <v>-1.121446686151</v>
      </c>
      <c r="AE512">
        <v>-5.0812000000000204</v>
      </c>
      <c r="AF512">
        <v>5.26747204845854</v>
      </c>
      <c r="AG512">
        <v>-1.121446686151</v>
      </c>
      <c r="AH512">
        <v>35.508745205464798</v>
      </c>
      <c r="AI512">
        <v>91.789361418293396</v>
      </c>
      <c r="AJ512">
        <v>81.562109615907204</v>
      </c>
      <c r="AK512">
        <v>35.914828281891999</v>
      </c>
      <c r="AL512">
        <v>79.214157227531402</v>
      </c>
      <c r="AM512">
        <v>84.617745682968106</v>
      </c>
      <c r="AN512">
        <v>1.00000002521116</v>
      </c>
    </row>
    <row r="513" spans="1:40" x14ac:dyDescent="0.25">
      <c r="A513" t="str">
        <f>"20190303170507357"</f>
        <v>20190303170507357</v>
      </c>
      <c r="B513" t="str">
        <f>"1551603907345501"</f>
        <v>1551603907345501</v>
      </c>
      <c r="C513" t="s">
        <v>40</v>
      </c>
      <c r="D513">
        <v>5.287331</v>
      </c>
      <c r="E513">
        <v>0.52513650000000001</v>
      </c>
      <c r="F513" t="s">
        <v>41</v>
      </c>
      <c r="G513">
        <v>-327.62310000000002</v>
      </c>
      <c r="H513" s="1">
        <v>-2.8423790000000001E-6</v>
      </c>
      <c r="I513">
        <v>361.92140000000001</v>
      </c>
      <c r="J513">
        <v>-363.363</v>
      </c>
      <c r="K513">
        <v>1.1214200000000001</v>
      </c>
      <c r="L513">
        <v>367.12009999999998</v>
      </c>
      <c r="M513">
        <v>0.9999015</v>
      </c>
      <c r="N513">
        <v>-1.2971069999999999E-2</v>
      </c>
      <c r="O513">
        <v>5.3824909999999997E-3</v>
      </c>
      <c r="P513">
        <v>0.9803269</v>
      </c>
      <c r="Q513">
        <v>0.17590500000000001</v>
      </c>
      <c r="R513">
        <v>-8.9539510000000003E-2</v>
      </c>
      <c r="S513">
        <v>3.0364990000000001</v>
      </c>
      <c r="T513">
        <v>-9.4750639999999997E-2</v>
      </c>
      <c r="U513">
        <v>-0.43914789999999998</v>
      </c>
      <c r="V513">
        <v>9.4822500000000004E-2</v>
      </c>
      <c r="W513">
        <v>0.18859609999999999</v>
      </c>
      <c r="X513">
        <v>0.97746619999999995</v>
      </c>
      <c r="Y513">
        <v>0.14835789999999999</v>
      </c>
      <c r="Z513">
        <v>-3.367288E-3</v>
      </c>
      <c r="AA513">
        <v>0.98892800000000003</v>
      </c>
      <c r="AB513">
        <v>21</v>
      </c>
      <c r="AC513">
        <v>35.739899999999999</v>
      </c>
      <c r="AD513">
        <v>-1.121422842379</v>
      </c>
      <c r="AE513">
        <v>-5.1986999999999703</v>
      </c>
      <c r="AF513">
        <v>5.3858178640504697</v>
      </c>
      <c r="AG513">
        <v>-1.121422842379</v>
      </c>
      <c r="AH513">
        <v>35.677000351053799</v>
      </c>
      <c r="AI513">
        <v>91.780208515147706</v>
      </c>
      <c r="AJ513">
        <v>81.4154202960041</v>
      </c>
      <c r="AK513">
        <v>36.098656170351099</v>
      </c>
      <c r="AL513">
        <v>79.129134291389093</v>
      </c>
      <c r="AM513">
        <v>84.459161670428202</v>
      </c>
      <c r="AN513">
        <v>0.99999998379194899</v>
      </c>
    </row>
    <row r="514" spans="1:40" x14ac:dyDescent="0.25">
      <c r="A514" t="str">
        <f>"20190303170507381"</f>
        <v>20190303170507381</v>
      </c>
      <c r="B514" t="str">
        <f>"1551603907374782"</f>
        <v>1551603907374782</v>
      </c>
      <c r="C514" t="s">
        <v>40</v>
      </c>
      <c r="D514">
        <v>5.3227229999999999</v>
      </c>
      <c r="E514">
        <v>0.52487589999999995</v>
      </c>
      <c r="F514" t="s">
        <v>41</v>
      </c>
      <c r="G514">
        <v>-325.9572</v>
      </c>
      <c r="H514" s="1">
        <v>-3.4880989999999999E-6</v>
      </c>
      <c r="I514">
        <v>361.62520000000001</v>
      </c>
      <c r="J514">
        <v>-363.12990000000002</v>
      </c>
      <c r="K514">
        <v>1.1213850000000001</v>
      </c>
      <c r="L514">
        <v>367.12139999999999</v>
      </c>
      <c r="M514">
        <v>0.99990469999999998</v>
      </c>
      <c r="N514">
        <v>-1.271856E-2</v>
      </c>
      <c r="O514">
        <v>5.3826380000000004E-3</v>
      </c>
      <c r="P514">
        <v>0.97973290000000002</v>
      </c>
      <c r="Q514">
        <v>0.1777203</v>
      </c>
      <c r="R514">
        <v>-9.2406740000000001E-2</v>
      </c>
      <c r="S514">
        <v>3.0357669999999999</v>
      </c>
      <c r="T514">
        <v>-9.1011999999999996E-2</v>
      </c>
      <c r="U514">
        <v>-0.4459534</v>
      </c>
      <c r="V514">
        <v>9.7686889999999998E-2</v>
      </c>
      <c r="W514">
        <v>0.19015660000000001</v>
      </c>
      <c r="X514">
        <v>0.97688160000000002</v>
      </c>
      <c r="Y514">
        <v>0.15056810000000001</v>
      </c>
      <c r="Z514">
        <v>-3.2998300000000001E-3</v>
      </c>
      <c r="AA514">
        <v>0.98859410000000003</v>
      </c>
      <c r="AB514">
        <v>21</v>
      </c>
      <c r="AC514">
        <v>37.172699999999999</v>
      </c>
      <c r="AD514">
        <v>-1.1213884880989999</v>
      </c>
      <c r="AE514">
        <v>-5.4961999999999804</v>
      </c>
      <c r="AF514">
        <v>5.6911553066400602</v>
      </c>
      <c r="AG514">
        <v>-1.1213884880989999</v>
      </c>
      <c r="AH514">
        <v>37.109526034112001</v>
      </c>
      <c r="AI514">
        <v>91.710866532279795</v>
      </c>
      <c r="AJ514">
        <v>81.280992334205294</v>
      </c>
      <c r="AK514">
        <v>37.560134229552098</v>
      </c>
      <c r="AL514">
        <v>79.038076229821698</v>
      </c>
      <c r="AM514">
        <v>84.289480612683903</v>
      </c>
      <c r="AN514">
        <v>0.99999996070999497</v>
      </c>
    </row>
    <row r="515" spans="1:40" x14ac:dyDescent="0.25">
      <c r="A515" t="str">
        <f>"20190303170507404"</f>
        <v>20190303170507404</v>
      </c>
      <c r="B515" t="str">
        <f>"1551603907395277"</f>
        <v>1551603907395277</v>
      </c>
      <c r="C515" t="s">
        <v>40</v>
      </c>
      <c r="D515">
        <v>5.2746620000000002</v>
      </c>
      <c r="E515">
        <v>0.51868219999999998</v>
      </c>
      <c r="F515" t="s">
        <v>41</v>
      </c>
      <c r="G515">
        <v>-323.15690000000001</v>
      </c>
      <c r="H515" s="1">
        <v>-4.5638929999999996E-6</v>
      </c>
      <c r="I515">
        <v>361.1635</v>
      </c>
      <c r="J515">
        <v>-362.9246</v>
      </c>
      <c r="K515">
        <v>1.121356</v>
      </c>
      <c r="L515">
        <v>367.1225</v>
      </c>
      <c r="M515">
        <v>0.99990789999999996</v>
      </c>
      <c r="N515">
        <v>-1.247025E-2</v>
      </c>
      <c r="O515">
        <v>5.3826669999999998E-3</v>
      </c>
      <c r="P515">
        <v>0.97923300000000002</v>
      </c>
      <c r="Q515">
        <v>0.1791691</v>
      </c>
      <c r="R515">
        <v>-9.4877299999999998E-2</v>
      </c>
      <c r="S515">
        <v>3.0348510000000002</v>
      </c>
      <c r="T515">
        <v>-8.5138560000000002E-2</v>
      </c>
      <c r="U515">
        <v>-0.4523315</v>
      </c>
      <c r="V515">
        <v>0.1001544</v>
      </c>
      <c r="W515">
        <v>0.1913559</v>
      </c>
      <c r="X515">
        <v>0.97639750000000003</v>
      </c>
      <c r="Y515">
        <v>0.15265339999999999</v>
      </c>
      <c r="Z515">
        <v>-3.1698270000000001E-3</v>
      </c>
      <c r="AA515">
        <v>0.98827469999999995</v>
      </c>
      <c r="AB515">
        <v>21</v>
      </c>
      <c r="AC515">
        <v>39.767699999999898</v>
      </c>
      <c r="AD515">
        <v>-1.121360563893</v>
      </c>
      <c r="AE515">
        <v>-5.9589999999999996</v>
      </c>
      <c r="AF515">
        <v>6.16818984870834</v>
      </c>
      <c r="AG515">
        <v>-1.121360563893</v>
      </c>
      <c r="AH515">
        <v>39.7041699295198</v>
      </c>
      <c r="AI515">
        <v>91.598602618773</v>
      </c>
      <c r="AJ515">
        <v>81.169477809321293</v>
      </c>
      <c r="AK515">
        <v>40.196083457423398</v>
      </c>
      <c r="AL515">
        <v>78.968076797180203</v>
      </c>
      <c r="AM515">
        <v>84.143343774725494</v>
      </c>
      <c r="AN515">
        <v>1.0000000311552</v>
      </c>
    </row>
    <row r="516" spans="1:40" x14ac:dyDescent="0.25">
      <c r="A516" t="str">
        <f>"20190303170507425"</f>
        <v>20190303170507425</v>
      </c>
      <c r="B516" t="str">
        <f>"1551603907414797"</f>
        <v>1551603907414797</v>
      </c>
      <c r="C516" t="s">
        <v>40</v>
      </c>
      <c r="D516">
        <v>5.3311710000000003</v>
      </c>
      <c r="E516">
        <v>0.51880320000000002</v>
      </c>
      <c r="F516" t="s">
        <v>41</v>
      </c>
      <c r="G516">
        <v>-342.3245</v>
      </c>
      <c r="H516" s="1">
        <v>-4.538299E-6</v>
      </c>
      <c r="I516">
        <v>364.37599999999998</v>
      </c>
      <c r="J516">
        <v>-362.72239999999999</v>
      </c>
      <c r="K516">
        <v>1.1213150000000001</v>
      </c>
      <c r="L516">
        <v>367.12360000000001</v>
      </c>
      <c r="M516">
        <v>0.99991110000000005</v>
      </c>
      <c r="N516">
        <v>-1.221122E-2</v>
      </c>
      <c r="O516">
        <v>5.3827889999999998E-3</v>
      </c>
      <c r="P516">
        <v>0.97900220000000004</v>
      </c>
      <c r="Q516">
        <v>0.1798575</v>
      </c>
      <c r="R516">
        <v>-9.5948030000000004E-2</v>
      </c>
      <c r="S516">
        <v>3.0546259999999998</v>
      </c>
      <c r="T516">
        <v>-0.16627790000000001</v>
      </c>
      <c r="U516">
        <v>-0.40725709999999998</v>
      </c>
      <c r="V516">
        <v>0.1012242</v>
      </c>
      <c r="W516">
        <v>0.19178880000000001</v>
      </c>
      <c r="X516">
        <v>0.97620220000000002</v>
      </c>
      <c r="Y516">
        <v>0.13723949999999999</v>
      </c>
      <c r="Z516">
        <v>-4.7846640000000001E-3</v>
      </c>
      <c r="AA516">
        <v>0.99052629999999997</v>
      </c>
      <c r="AB516">
        <v>21</v>
      </c>
      <c r="AC516">
        <v>20.3979</v>
      </c>
      <c r="AD516">
        <v>-1.121319538299</v>
      </c>
      <c r="AE516">
        <v>-2.74760000000003</v>
      </c>
      <c r="AF516">
        <v>2.84891009981756</v>
      </c>
      <c r="AG516">
        <v>-1.121319538299</v>
      </c>
      <c r="AH516">
        <v>20.322494387893599</v>
      </c>
      <c r="AI516">
        <v>93.127644480114995</v>
      </c>
      <c r="AJ516">
        <v>82.019990526951503</v>
      </c>
      <c r="AK516">
        <v>20.5518228974897</v>
      </c>
      <c r="AL516">
        <v>78.942805140871798</v>
      </c>
      <c r="AM516">
        <v>84.080051929769098</v>
      </c>
      <c r="AN516">
        <v>1.0000000088779599</v>
      </c>
    </row>
    <row r="517" spans="1:40" x14ac:dyDescent="0.25">
      <c r="A517" t="str">
        <f>"20190303170507446"</f>
        <v>20190303170507446</v>
      </c>
      <c r="B517" t="str">
        <f>"1551603907435296"</f>
        <v>1551603907435296</v>
      </c>
      <c r="C517" t="s">
        <v>40</v>
      </c>
      <c r="D517">
        <v>5.3402229999999999</v>
      </c>
      <c r="E517">
        <v>0.51916439999999997</v>
      </c>
      <c r="F517" t="s">
        <v>41</v>
      </c>
      <c r="G517">
        <v>-339.85879999999997</v>
      </c>
      <c r="H517" s="1">
        <v>-1.5188260000000001E-6</v>
      </c>
      <c r="I517">
        <v>364.03629999999998</v>
      </c>
      <c r="J517">
        <v>-362.5308</v>
      </c>
      <c r="K517">
        <v>1.121286</v>
      </c>
      <c r="L517">
        <v>367.12459999999999</v>
      </c>
      <c r="M517">
        <v>0.99991399999999997</v>
      </c>
      <c r="N517">
        <v>-1.196558E-2</v>
      </c>
      <c r="O517">
        <v>5.3829159999999997E-3</v>
      </c>
      <c r="P517">
        <v>0.97867020000000005</v>
      </c>
      <c r="Q517">
        <v>0.1803051</v>
      </c>
      <c r="R517">
        <v>-9.8462969999999997E-2</v>
      </c>
      <c r="S517">
        <v>3.0514220000000001</v>
      </c>
      <c r="T517">
        <v>-0.1496526</v>
      </c>
      <c r="U517">
        <v>-0.41201779999999999</v>
      </c>
      <c r="V517">
        <v>0.10373739999999999</v>
      </c>
      <c r="W517">
        <v>0.1919923</v>
      </c>
      <c r="X517">
        <v>0.9758983</v>
      </c>
      <c r="Y517">
        <v>0.13893520000000001</v>
      </c>
      <c r="Z517">
        <v>-4.4237440000000003E-3</v>
      </c>
      <c r="AA517">
        <v>0.99029160000000005</v>
      </c>
      <c r="AB517">
        <v>21</v>
      </c>
      <c r="AC517">
        <v>22.672000000000001</v>
      </c>
      <c r="AD517">
        <v>-1.1212875188259901</v>
      </c>
      <c r="AE517">
        <v>-3.0882999999999998</v>
      </c>
      <c r="AF517">
        <v>3.2026145963795898</v>
      </c>
      <c r="AG517">
        <v>-1.1212875188259901</v>
      </c>
      <c r="AH517">
        <v>22.600772070239898</v>
      </c>
      <c r="AI517">
        <v>92.812226445816194</v>
      </c>
      <c r="AJ517">
        <v>81.934669833188906</v>
      </c>
      <c r="AK517">
        <v>22.854078938424799</v>
      </c>
      <c r="AL517">
        <v>78.930924474279905</v>
      </c>
      <c r="AM517">
        <v>83.932278971340395</v>
      </c>
      <c r="AN517">
        <v>0.99999999168046905</v>
      </c>
    </row>
    <row r="518" spans="1:40" x14ac:dyDescent="0.25">
      <c r="A518" t="str">
        <f>"20190303170507468"</f>
        <v>20190303170507468</v>
      </c>
      <c r="B518" t="str">
        <f>"1551603907454813"</f>
        <v>1551603907454813</v>
      </c>
      <c r="C518" t="s">
        <v>40</v>
      </c>
      <c r="D518">
        <v>5.3273599999999997</v>
      </c>
      <c r="E518">
        <v>0.51882980000000001</v>
      </c>
      <c r="F518" t="s">
        <v>41</v>
      </c>
      <c r="G518">
        <v>-337.12</v>
      </c>
      <c r="H518" s="1">
        <v>-2.5679049999999999E-6</v>
      </c>
      <c r="I518">
        <v>363.59649999999999</v>
      </c>
      <c r="J518">
        <v>-362.31939999999997</v>
      </c>
      <c r="K518">
        <v>1.121256</v>
      </c>
      <c r="L518">
        <v>367.12569999999999</v>
      </c>
      <c r="M518">
        <v>0.99991699999999994</v>
      </c>
      <c r="N518">
        <v>-1.170445E-2</v>
      </c>
      <c r="O518">
        <v>5.3833429999999996E-3</v>
      </c>
      <c r="P518">
        <v>0.9782923</v>
      </c>
      <c r="Q518">
        <v>0.18102170000000001</v>
      </c>
      <c r="R518">
        <v>-0.1008725</v>
      </c>
      <c r="S518">
        <v>3.047577</v>
      </c>
      <c r="T518">
        <v>-0.13447809999999999</v>
      </c>
      <c r="U518">
        <v>-0.42312620000000001</v>
      </c>
      <c r="V518">
        <v>0.1061453</v>
      </c>
      <c r="W518">
        <v>0.19244900000000001</v>
      </c>
      <c r="X518">
        <v>0.97554929999999995</v>
      </c>
      <c r="Y518">
        <v>0.14267589999999999</v>
      </c>
      <c r="Z518">
        <v>-4.1444759999999898E-3</v>
      </c>
      <c r="AA518">
        <v>0.9897608</v>
      </c>
      <c r="AB518">
        <v>21</v>
      </c>
      <c r="AC518">
        <v>25.199399999999901</v>
      </c>
      <c r="AD518">
        <v>-1.121258567905</v>
      </c>
      <c r="AE518">
        <v>-3.5291999999999999</v>
      </c>
      <c r="AF518">
        <v>3.6577127664306901</v>
      </c>
      <c r="AG518">
        <v>-1.121258567905</v>
      </c>
      <c r="AH518">
        <v>25.131235813402402</v>
      </c>
      <c r="AI518">
        <v>92.528021590625698</v>
      </c>
      <c r="AJ518">
        <v>81.719060864434695</v>
      </c>
      <c r="AK518">
        <v>25.4207611405844</v>
      </c>
      <c r="AL518">
        <v>78.904259663593706</v>
      </c>
      <c r="AM518">
        <v>83.790321941796094</v>
      </c>
      <c r="AN518">
        <v>0.99999993952178801</v>
      </c>
    </row>
    <row r="519" spans="1:40" x14ac:dyDescent="0.25">
      <c r="A519" t="str">
        <f>"20190303170507491"</f>
        <v>20190303170507491</v>
      </c>
      <c r="B519" t="str">
        <f>"1551603907485069"</f>
        <v>1551603907485069</v>
      </c>
      <c r="C519" t="s">
        <v>40</v>
      </c>
      <c r="D519">
        <v>5.3128409999999997</v>
      </c>
      <c r="E519">
        <v>0.51817570000000002</v>
      </c>
      <c r="F519" t="s">
        <v>41</v>
      </c>
      <c r="G519">
        <v>-336.40519999999998</v>
      </c>
      <c r="H519" s="1">
        <v>-2.8402330000000002E-6</v>
      </c>
      <c r="I519">
        <v>363.48719999999997</v>
      </c>
      <c r="J519">
        <v>-362.10419999999999</v>
      </c>
      <c r="K519">
        <v>1.121227</v>
      </c>
      <c r="L519">
        <v>367.12689999999998</v>
      </c>
      <c r="M519">
        <v>0.99992000000000003</v>
      </c>
      <c r="N519">
        <v>-1.145271E-2</v>
      </c>
      <c r="O519">
        <v>5.3836209999999999E-3</v>
      </c>
      <c r="P519">
        <v>0.97805880000000001</v>
      </c>
      <c r="Q519">
        <v>0.1810176</v>
      </c>
      <c r="R519">
        <v>-0.1031215</v>
      </c>
      <c r="S519">
        <v>3.0468440000000001</v>
      </c>
      <c r="T519">
        <v>-0.1318307</v>
      </c>
      <c r="U519">
        <v>-0.42779539999999999</v>
      </c>
      <c r="V519">
        <v>0.1083932</v>
      </c>
      <c r="W519">
        <v>0.19219629999999999</v>
      </c>
      <c r="X519">
        <v>0.975352</v>
      </c>
      <c r="Y519">
        <v>0.1442012</v>
      </c>
      <c r="Z519">
        <v>-4.103659E-3</v>
      </c>
      <c r="AA519">
        <v>0.98953990000000003</v>
      </c>
      <c r="AB519">
        <v>21</v>
      </c>
      <c r="AC519">
        <v>25.699000000000002</v>
      </c>
      <c r="AD519">
        <v>-1.1212298402330001</v>
      </c>
      <c r="AE519">
        <v>-3.6396999999999999</v>
      </c>
      <c r="AF519">
        <v>3.7709730254512399</v>
      </c>
      <c r="AG519">
        <v>-1.1212298402330001</v>
      </c>
      <c r="AH519">
        <v>25.631201439633902</v>
      </c>
      <c r="AI519">
        <v>92.478148092971395</v>
      </c>
      <c r="AJ519">
        <v>81.630440802712897</v>
      </c>
      <c r="AK519">
        <v>25.931368671020898</v>
      </c>
      <c r="AL519">
        <v>78.919014573491296</v>
      </c>
      <c r="AM519">
        <v>83.658603867897199</v>
      </c>
      <c r="AN519">
        <v>1.00000001372196</v>
      </c>
    </row>
    <row r="520" spans="1:40" x14ac:dyDescent="0.25">
      <c r="A520" t="str">
        <f>"20190303170507514"</f>
        <v>20190303170507514</v>
      </c>
      <c r="B520" t="str">
        <f>"1551603907504589"</f>
        <v>1551603907504589</v>
      </c>
      <c r="C520" t="s">
        <v>40</v>
      </c>
      <c r="D520">
        <v>5.3709899999999999</v>
      </c>
      <c r="E520">
        <v>0.51781889999999997</v>
      </c>
      <c r="F520" t="s">
        <v>41</v>
      </c>
      <c r="G520">
        <v>-335.53379999999999</v>
      </c>
      <c r="H520" s="1">
        <v>-3.1648810000000001E-6</v>
      </c>
      <c r="I520">
        <v>363.38150000000002</v>
      </c>
      <c r="J520">
        <v>-361.88959999999997</v>
      </c>
      <c r="K520">
        <v>1.1211990000000001</v>
      </c>
      <c r="L520">
        <v>367.12799999999999</v>
      </c>
      <c r="M520">
        <v>0.99992259999999999</v>
      </c>
      <c r="N520">
        <v>-1.121802E-2</v>
      </c>
      <c r="O520">
        <v>5.3841280000000002E-3</v>
      </c>
      <c r="P520">
        <v>0.97791859999999997</v>
      </c>
      <c r="Q520">
        <v>0.18099480000000001</v>
      </c>
      <c r="R520">
        <v>-0.10448109999999999</v>
      </c>
      <c r="S520">
        <v>3.0457459999999998</v>
      </c>
      <c r="T520">
        <v>-0.12852539999999901</v>
      </c>
      <c r="U520">
        <v>-0.42932130000000002</v>
      </c>
      <c r="V520">
        <v>0.1097524</v>
      </c>
      <c r="W520">
        <v>0.19194320000000001</v>
      </c>
      <c r="X520">
        <v>0.97524979999999994</v>
      </c>
      <c r="Y520">
        <v>0.1447446</v>
      </c>
      <c r="Z520">
        <v>-4.0199060000000002E-3</v>
      </c>
      <c r="AA520">
        <v>0.98946089999999998</v>
      </c>
      <c r="AB520">
        <v>21</v>
      </c>
      <c r="AC520">
        <v>26.355799999999899</v>
      </c>
      <c r="AD520">
        <v>-1.121202164881</v>
      </c>
      <c r="AE520">
        <v>-3.7465000000000201</v>
      </c>
      <c r="AF520">
        <v>3.8814723039538399</v>
      </c>
      <c r="AG520">
        <v>-1.121202164881</v>
      </c>
      <c r="AH520">
        <v>26.2886118712231</v>
      </c>
      <c r="AI520">
        <v>92.4160083634697</v>
      </c>
      <c r="AJ520">
        <v>81.601049763866101</v>
      </c>
      <c r="AK520">
        <v>26.5972561678212</v>
      </c>
      <c r="AL520">
        <v>78.933790845116107</v>
      </c>
      <c r="AM520">
        <v>83.579078450029002</v>
      </c>
      <c r="AN520">
        <v>0.99999997686601905</v>
      </c>
    </row>
    <row r="521" spans="1:40" x14ac:dyDescent="0.25">
      <c r="A521" t="str">
        <f>"20190303170507535"</f>
        <v>20190303170507535</v>
      </c>
      <c r="B521" t="str">
        <f>"1551603907525086"</f>
        <v>1551603907525086</v>
      </c>
      <c r="C521" t="s">
        <v>40</v>
      </c>
      <c r="D521">
        <v>5.3554089999999999</v>
      </c>
      <c r="E521">
        <v>0.51763539999999997</v>
      </c>
      <c r="F521" t="s">
        <v>41</v>
      </c>
      <c r="G521">
        <v>-334.57499999999999</v>
      </c>
      <c r="H521" s="1">
        <v>-3.5229210000000001E-6</v>
      </c>
      <c r="I521">
        <v>363.26209999999998</v>
      </c>
      <c r="J521">
        <v>-361.6918</v>
      </c>
      <c r="K521">
        <v>1.1211789999999999</v>
      </c>
      <c r="L521">
        <v>367.12909999999999</v>
      </c>
      <c r="M521">
        <v>0.99992479999999995</v>
      </c>
      <c r="N521">
        <v>-1.1015509999999999E-2</v>
      </c>
      <c r="O521">
        <v>5.3844289999999996E-3</v>
      </c>
      <c r="P521">
        <v>0.97788039999999998</v>
      </c>
      <c r="Q521">
        <v>0.1807774</v>
      </c>
      <c r="R521">
        <v>-0.10521229999999999</v>
      </c>
      <c r="S521">
        <v>3.0448300000000001</v>
      </c>
      <c r="T521">
        <v>-0.124983399999999</v>
      </c>
      <c r="U521">
        <v>-0.43093870000000001</v>
      </c>
      <c r="V521">
        <v>0.1104837</v>
      </c>
      <c r="W521">
        <v>0.19152810000000001</v>
      </c>
      <c r="X521">
        <v>0.97524889999999997</v>
      </c>
      <c r="Y521">
        <v>0.1453092</v>
      </c>
      <c r="Z521">
        <v>-3.9318870000000002E-3</v>
      </c>
      <c r="AA521">
        <v>0.98937850000000005</v>
      </c>
      <c r="AB521">
        <v>21</v>
      </c>
      <c r="AC521">
        <v>27.116800000000001</v>
      </c>
      <c r="AD521">
        <v>-1.121182522921</v>
      </c>
      <c r="AE521">
        <v>-3.8670000000000102</v>
      </c>
      <c r="AF521">
        <v>4.0062489998390696</v>
      </c>
      <c r="AG521">
        <v>-1.121182522921</v>
      </c>
      <c r="AH521">
        <v>27.0502625494656</v>
      </c>
      <c r="AI521">
        <v>92.347862708807796</v>
      </c>
      <c r="AJ521">
        <v>81.575512565747104</v>
      </c>
      <c r="AK521">
        <v>27.368298911211699</v>
      </c>
      <c r="AL521">
        <v>78.958024624670301</v>
      </c>
      <c r="AM521">
        <v>83.536649633400401</v>
      </c>
      <c r="AN521">
        <v>1.00000003900325</v>
      </c>
    </row>
    <row r="522" spans="1:40" x14ac:dyDescent="0.25">
      <c r="A522" t="str">
        <f>"20190303170507548"</f>
        <v>20190303170507548</v>
      </c>
      <c r="B522" t="str">
        <f>"1551603907534845"</f>
        <v>1551603907534845</v>
      </c>
      <c r="C522" t="s">
        <v>40</v>
      </c>
      <c r="D522">
        <v>5.3490789999999997</v>
      </c>
      <c r="E522">
        <v>0.51740549999999996</v>
      </c>
      <c r="F522" t="s">
        <v>41</v>
      </c>
      <c r="G522">
        <v>-334.06670000000003</v>
      </c>
      <c r="H522" s="1">
        <v>-3.7086719999999998E-6</v>
      </c>
      <c r="I522">
        <v>363.21420000000001</v>
      </c>
      <c r="J522">
        <v>-361.57150000000001</v>
      </c>
      <c r="K522">
        <v>1.121167</v>
      </c>
      <c r="L522">
        <v>367.12970000000001</v>
      </c>
      <c r="M522">
        <v>0.99992630000000005</v>
      </c>
      <c r="N522">
        <v>-1.089644E-2</v>
      </c>
      <c r="O522">
        <v>5.3842530000000003E-3</v>
      </c>
      <c r="P522">
        <v>0.97788949999999997</v>
      </c>
      <c r="Q522">
        <v>0.18058440000000001</v>
      </c>
      <c r="R522">
        <v>-0.1054602</v>
      </c>
      <c r="S522">
        <v>3.0442499999999999</v>
      </c>
      <c r="T522">
        <v>-0.1235521</v>
      </c>
      <c r="U522">
        <v>-0.43139650000000002</v>
      </c>
      <c r="V522">
        <v>0.1107316</v>
      </c>
      <c r="W522">
        <v>0.19121830000000001</v>
      </c>
      <c r="X522">
        <v>0.97528150000000002</v>
      </c>
      <c r="Y522">
        <v>0.14548429999999901</v>
      </c>
      <c r="Z522">
        <v>-3.8924150000000002E-3</v>
      </c>
      <c r="AA522">
        <v>0.98935289999999998</v>
      </c>
      <c r="AB522">
        <v>21</v>
      </c>
      <c r="AC522">
        <v>27.5047999999999</v>
      </c>
      <c r="AD522">
        <v>-1.121170708672</v>
      </c>
      <c r="AE522">
        <v>-3.9155000000000002</v>
      </c>
      <c r="AF522">
        <v>4.0569376959359298</v>
      </c>
      <c r="AG522">
        <v>-1.121170708672</v>
      </c>
      <c r="AH522">
        <v>27.438631535609701</v>
      </c>
      <c r="AI522">
        <v>92.314726225150807</v>
      </c>
      <c r="AJ522">
        <v>81.589469495862602</v>
      </c>
      <c r="AK522">
        <v>27.7595797477852</v>
      </c>
      <c r="AL522">
        <v>78.976108278256604</v>
      </c>
      <c r="AM522">
        <v>83.522485175791701</v>
      </c>
      <c r="AN522">
        <v>0.99999996486784903</v>
      </c>
    </row>
    <row r="523" spans="1:40" x14ac:dyDescent="0.25">
      <c r="A523" t="str">
        <f>"20190303170507570"</f>
        <v>20190303170507570</v>
      </c>
      <c r="B523" t="str">
        <f>"1551603907555342"</f>
        <v>1551603907555342</v>
      </c>
      <c r="C523" t="s">
        <v>40</v>
      </c>
      <c r="D523">
        <v>5.453201</v>
      </c>
      <c r="E523">
        <v>0.51669299999999996</v>
      </c>
      <c r="F523" t="s">
        <v>41</v>
      </c>
      <c r="G523">
        <v>-333.62279999999998</v>
      </c>
      <c r="H523" s="1">
        <v>-3.8690109999999998E-6</v>
      </c>
      <c r="I523">
        <v>363.17930000000001</v>
      </c>
      <c r="J523">
        <v>-361.36160000000001</v>
      </c>
      <c r="K523">
        <v>1.12114</v>
      </c>
      <c r="L523">
        <v>367.13080000000002</v>
      </c>
      <c r="M523">
        <v>0.99992840000000005</v>
      </c>
      <c r="N523">
        <v>-1.069438E-2</v>
      </c>
      <c r="O523">
        <v>5.3845189999999999E-3</v>
      </c>
      <c r="P523">
        <v>0.97797199999999995</v>
      </c>
      <c r="Q523">
        <v>0.179760999999999</v>
      </c>
      <c r="R523">
        <v>-0.1060982</v>
      </c>
      <c r="S523">
        <v>3.0439449999999999</v>
      </c>
      <c r="T523">
        <v>-0.1221082</v>
      </c>
      <c r="U523">
        <v>-0.43023679999999997</v>
      </c>
      <c r="V523">
        <v>0.1113702</v>
      </c>
      <c r="W523">
        <v>0.1901988</v>
      </c>
      <c r="X523">
        <v>0.97540819999999995</v>
      </c>
      <c r="Y523">
        <v>0.14513289999999901</v>
      </c>
      <c r="Z523">
        <v>-3.8333579999999998E-3</v>
      </c>
      <c r="AA523">
        <v>0.98940470000000003</v>
      </c>
      <c r="AB523">
        <v>21</v>
      </c>
      <c r="AC523">
        <v>27.738800000000001</v>
      </c>
      <c r="AD523">
        <v>-1.121143869011</v>
      </c>
      <c r="AE523">
        <v>-3.9514999999999998</v>
      </c>
      <c r="AF523">
        <v>4.0942559622734196</v>
      </c>
      <c r="AG523">
        <v>-1.121143869011</v>
      </c>
      <c r="AH523">
        <v>27.6728123511108</v>
      </c>
      <c r="AI523">
        <v>92.295071739079404</v>
      </c>
      <c r="AJ523">
        <v>81.584012120888403</v>
      </c>
      <c r="AK523">
        <v>27.996507619334</v>
      </c>
      <c r="AL523">
        <v>79.035614178409006</v>
      </c>
      <c r="AM523">
        <v>83.486287860589599</v>
      </c>
      <c r="AN523">
        <v>1.0000000307983501</v>
      </c>
    </row>
    <row r="524" spans="1:40" x14ac:dyDescent="0.25">
      <c r="A524" t="str">
        <f>"20190303170507593"</f>
        <v>20190303170507593</v>
      </c>
      <c r="B524" t="str">
        <f>"1551603907584621"</f>
        <v>1551603907584621</v>
      </c>
      <c r="C524" t="s">
        <v>40</v>
      </c>
      <c r="D524">
        <v>5.4279970000000004</v>
      </c>
      <c r="E524">
        <v>0.51638689999999998</v>
      </c>
      <c r="F524" t="s">
        <v>41</v>
      </c>
      <c r="G524">
        <v>-332.43770000000001</v>
      </c>
      <c r="H524" s="1">
        <v>-4.3876059999999999E-6</v>
      </c>
      <c r="I524">
        <v>363.07080000000002</v>
      </c>
      <c r="J524">
        <v>-361.14530000000002</v>
      </c>
      <c r="K524">
        <v>1.1211169999999999</v>
      </c>
      <c r="L524">
        <v>367.13200000000001</v>
      </c>
      <c r="M524">
        <v>0.9999304</v>
      </c>
      <c r="N524">
        <v>-1.049516E-2</v>
      </c>
      <c r="O524">
        <v>5.3846900000000001E-3</v>
      </c>
      <c r="P524">
        <v>0.97800010000000004</v>
      </c>
      <c r="Q524">
        <v>0.17943819999999999</v>
      </c>
      <c r="R524">
        <v>-0.10638549999999999</v>
      </c>
      <c r="S524">
        <v>3.0429080000000002</v>
      </c>
      <c r="T524">
        <v>-0.117948499999999</v>
      </c>
      <c r="U524">
        <v>-0.427124</v>
      </c>
      <c r="V524">
        <v>0.1116576</v>
      </c>
      <c r="W524">
        <v>0.1896824</v>
      </c>
      <c r="X524">
        <v>0.9754758</v>
      </c>
      <c r="Y524">
        <v>0.14419749999999901</v>
      </c>
      <c r="Z524">
        <v>-3.692196E-3</v>
      </c>
      <c r="AA524">
        <v>0.98954209999999998</v>
      </c>
      <c r="AB524">
        <v>21</v>
      </c>
      <c r="AC524">
        <v>28.707599999999999</v>
      </c>
      <c r="AD524">
        <v>-1.121121387606</v>
      </c>
      <c r="AE524">
        <v>-4.0611999999999204</v>
      </c>
      <c r="AF524">
        <v>4.20943711698441</v>
      </c>
      <c r="AG524">
        <v>-1.121121387606</v>
      </c>
      <c r="AH524">
        <v>28.642487372796801</v>
      </c>
      <c r="AI524">
        <v>92.217723621903502</v>
      </c>
      <c r="AJ524">
        <v>81.639387670285998</v>
      </c>
      <c r="AK524">
        <v>28.9718545645324</v>
      </c>
      <c r="AL524">
        <v>79.065749262904305</v>
      </c>
      <c r="AM524">
        <v>83.4700723443393</v>
      </c>
      <c r="AN524">
        <v>0.99999993444657698</v>
      </c>
    </row>
    <row r="525" spans="1:40" x14ac:dyDescent="0.25">
      <c r="A525" t="str">
        <f>"20190303170507614"</f>
        <v>20190303170507614</v>
      </c>
      <c r="B525" t="str">
        <f>"1551603907605117"</f>
        <v>1551603907605117</v>
      </c>
      <c r="C525" t="s">
        <v>40</v>
      </c>
      <c r="D525">
        <v>5.3925289999999997</v>
      </c>
      <c r="E525">
        <v>0.51595559999999996</v>
      </c>
      <c r="F525" t="s">
        <v>41</v>
      </c>
      <c r="G525">
        <v>-331.59289999999999</v>
      </c>
      <c r="H525" s="1">
        <v>-4.763184E-6</v>
      </c>
      <c r="I525">
        <v>362.9966</v>
      </c>
      <c r="J525">
        <v>-360.94310000000002</v>
      </c>
      <c r="K525">
        <v>1.1210960000000001</v>
      </c>
      <c r="L525">
        <v>367.13310000000001</v>
      </c>
      <c r="M525">
        <v>0.99993220000000005</v>
      </c>
      <c r="N525">
        <v>-1.031988E-2</v>
      </c>
      <c r="O525">
        <v>5.3851330000000003E-3</v>
      </c>
      <c r="P525">
        <v>0.97794840000000005</v>
      </c>
      <c r="Q525">
        <v>0.17983199999999999</v>
      </c>
      <c r="R525">
        <v>-0.1061954</v>
      </c>
      <c r="S525">
        <v>3.0423279999999999</v>
      </c>
      <c r="T525">
        <v>-0.1154158</v>
      </c>
      <c r="U525">
        <v>-0.42572019999999999</v>
      </c>
      <c r="V525">
        <v>0.1114677</v>
      </c>
      <c r="W525">
        <v>0.1899043</v>
      </c>
      <c r="X525">
        <v>0.97545440000000005</v>
      </c>
      <c r="Y525">
        <v>0.1437821</v>
      </c>
      <c r="Z525">
        <v>-3.6069460000000002E-3</v>
      </c>
      <c r="AA525">
        <v>0.9896028</v>
      </c>
      <c r="AB525">
        <v>21</v>
      </c>
      <c r="AC525">
        <v>29.350200000000001</v>
      </c>
      <c r="AD525">
        <v>-1.12110076318399</v>
      </c>
      <c r="AE525">
        <v>-4.1365000000000096</v>
      </c>
      <c r="AF525">
        <v>4.2883681297296903</v>
      </c>
      <c r="AG525">
        <v>-1.12110076318399</v>
      </c>
      <c r="AH525">
        <v>29.2856009204218</v>
      </c>
      <c r="AI525">
        <v>92.169195058392305</v>
      </c>
      <c r="AJ525">
        <v>81.6692347113122</v>
      </c>
      <c r="AK525">
        <v>29.619138903882799</v>
      </c>
      <c r="AL525">
        <v>79.052800566200602</v>
      </c>
      <c r="AM525">
        <v>83.480940562101495</v>
      </c>
      <c r="AN525">
        <v>0.99999998889056996</v>
      </c>
    </row>
    <row r="526" spans="1:40" x14ac:dyDescent="0.25">
      <c r="A526" t="str">
        <f>"20190303170507636"</f>
        <v>20190303170507636</v>
      </c>
      <c r="B526" t="str">
        <f>"1551603907624637"</f>
        <v>1551603907624637</v>
      </c>
      <c r="C526" t="s">
        <v>40</v>
      </c>
      <c r="D526">
        <v>5.3746530000000003</v>
      </c>
      <c r="E526">
        <v>0.515959099999999</v>
      </c>
      <c r="F526" t="s">
        <v>41</v>
      </c>
      <c r="G526">
        <v>-330.79759999999999</v>
      </c>
      <c r="H526" s="1">
        <v>-5.1125090000000002E-6</v>
      </c>
      <c r="I526">
        <v>362.95069999999998</v>
      </c>
      <c r="J526">
        <v>-360.73610000000002</v>
      </c>
      <c r="K526">
        <v>1.1210800000000001</v>
      </c>
      <c r="L526">
        <v>367.13420000000002</v>
      </c>
      <c r="M526">
        <v>0.99993410000000005</v>
      </c>
      <c r="N526">
        <v>-1.015462E-2</v>
      </c>
      <c r="O526">
        <v>5.3851519999999998E-3</v>
      </c>
      <c r="P526">
        <v>0.97811689999999996</v>
      </c>
      <c r="Q526">
        <v>0.17976929999999999</v>
      </c>
      <c r="R526">
        <v>-0.10474169999999999</v>
      </c>
      <c r="S526">
        <v>3.0426030000000002</v>
      </c>
      <c r="T526">
        <v>-0.11315269999999999</v>
      </c>
      <c r="U526">
        <v>-0.42211910000000002</v>
      </c>
      <c r="V526">
        <v>0.110014899999999</v>
      </c>
      <c r="W526">
        <v>0.1896824</v>
      </c>
      <c r="X526">
        <v>0.97566249999999999</v>
      </c>
      <c r="Y526">
        <v>0.142626799999999</v>
      </c>
      <c r="Z526">
        <v>-3.511372E-3</v>
      </c>
      <c r="AA526">
        <v>0.98977029999999999</v>
      </c>
      <c r="AB526">
        <v>21</v>
      </c>
      <c r="AC526">
        <v>29.938500000000001</v>
      </c>
      <c r="AD526">
        <v>-1.12108511250899</v>
      </c>
      <c r="AE526">
        <v>-4.1835000000000298</v>
      </c>
      <c r="AF526">
        <v>4.3387036823346401</v>
      </c>
      <c r="AG526">
        <v>-1.12108511250899</v>
      </c>
      <c r="AH526">
        <v>29.874447568453899</v>
      </c>
      <c r="AI526">
        <v>92.126813159710295</v>
      </c>
      <c r="AJ526">
        <v>81.736635786925106</v>
      </c>
      <c r="AK526">
        <v>30.208670923973099</v>
      </c>
      <c r="AL526">
        <v>79.065750016173496</v>
      </c>
      <c r="AM526">
        <v>83.566549567979195</v>
      </c>
      <c r="AN526">
        <v>1.0000000024989999</v>
      </c>
    </row>
    <row r="527" spans="1:40" x14ac:dyDescent="0.25">
      <c r="A527" t="str">
        <f>"20190303170507658"</f>
        <v>20190303170507658</v>
      </c>
      <c r="B527" t="str">
        <f>"1551603907645134"</f>
        <v>1551603907645134</v>
      </c>
      <c r="C527" t="s">
        <v>40</v>
      </c>
      <c r="D527">
        <v>5.6000030000000001</v>
      </c>
      <c r="E527">
        <v>0.51585479999999995</v>
      </c>
      <c r="F527" t="s">
        <v>41</v>
      </c>
      <c r="G527">
        <v>-330.83440000000002</v>
      </c>
      <c r="H527" s="1">
        <v>-5.0821309999999998E-6</v>
      </c>
      <c r="I527">
        <v>363.03289999999998</v>
      </c>
      <c r="J527">
        <v>-360.52409999999998</v>
      </c>
      <c r="K527">
        <v>1.121062</v>
      </c>
      <c r="L527">
        <v>367.13529999999997</v>
      </c>
      <c r="M527">
        <v>0.99993540000000003</v>
      </c>
      <c r="N527">
        <v>-1.0002230000000001E-2</v>
      </c>
      <c r="O527">
        <v>5.3853900000000003E-3</v>
      </c>
      <c r="P527">
        <v>0.97846230000000001</v>
      </c>
      <c r="Q527">
        <v>0.1789338</v>
      </c>
      <c r="R527">
        <v>-0.10292759999999999</v>
      </c>
      <c r="S527">
        <v>3.043396</v>
      </c>
      <c r="T527">
        <v>-0.1141037</v>
      </c>
      <c r="U527">
        <v>-0.4174194</v>
      </c>
      <c r="V527">
        <v>0.1082032</v>
      </c>
      <c r="W527">
        <v>0.18870190000000001</v>
      </c>
      <c r="X527">
        <v>0.97605509999999995</v>
      </c>
      <c r="Y527">
        <v>0.14109169999999999</v>
      </c>
      <c r="Z527">
        <v>-3.488236E-3</v>
      </c>
      <c r="AA527">
        <v>0.98999040000000005</v>
      </c>
      <c r="AB527">
        <v>21</v>
      </c>
      <c r="AC527">
        <v>29.689699999999899</v>
      </c>
      <c r="AD527">
        <v>-1.121067082131</v>
      </c>
      <c r="AE527">
        <v>-4.1023999999999798</v>
      </c>
      <c r="AF527">
        <v>4.2562843087450402</v>
      </c>
      <c r="AG527">
        <v>-1.121067082131</v>
      </c>
      <c r="AH527">
        <v>29.6257269633034</v>
      </c>
      <c r="AI527">
        <v>92.145091433826394</v>
      </c>
      <c r="AJ527">
        <v>81.824344185834605</v>
      </c>
      <c r="AK527">
        <v>29.950900581179699</v>
      </c>
      <c r="AL527">
        <v>79.122961179686598</v>
      </c>
      <c r="AM527">
        <v>83.674152334535194</v>
      </c>
      <c r="AN527">
        <v>0.99999994889492805</v>
      </c>
    </row>
    <row r="528" spans="1:40" x14ac:dyDescent="0.25">
      <c r="A528" t="str">
        <f>"20190303170507681"</f>
        <v>20190303170507681</v>
      </c>
      <c r="B528" t="str">
        <f>"1551603907675390"</f>
        <v>1551603907675390</v>
      </c>
      <c r="C528" t="s">
        <v>40</v>
      </c>
      <c r="D528">
        <v>5.5248489999999997</v>
      </c>
      <c r="E528">
        <v>0.46993200000000002</v>
      </c>
      <c r="F528" t="s">
        <v>41</v>
      </c>
      <c r="G528">
        <v>-331.37569999999999</v>
      </c>
      <c r="H528" s="1">
        <v>-4.8203079999999996E-6</v>
      </c>
      <c r="I528">
        <v>363.19979999999998</v>
      </c>
      <c r="J528">
        <v>-360.30549999999999</v>
      </c>
      <c r="K528">
        <v>1.1210469999999999</v>
      </c>
      <c r="L528">
        <v>367.13650000000001</v>
      </c>
      <c r="M528">
        <v>0.99993690000000002</v>
      </c>
      <c r="N528">
        <v>-9.8634129999999997E-3</v>
      </c>
      <c r="O528">
        <v>5.3856090000000004E-3</v>
      </c>
      <c r="P528">
        <v>0.97879919999999998</v>
      </c>
      <c r="Q528">
        <v>0.178248499999999</v>
      </c>
      <c r="R528">
        <v>-0.1008954</v>
      </c>
      <c r="S528">
        <v>3.0442200000000001</v>
      </c>
      <c r="T528">
        <v>-0.1170824</v>
      </c>
      <c r="U528">
        <v>-0.41101070000000001</v>
      </c>
      <c r="V528">
        <v>0.1061728</v>
      </c>
      <c r="W528">
        <v>0.1878843</v>
      </c>
      <c r="X528">
        <v>0.97643579999999996</v>
      </c>
      <c r="Y528">
        <v>0.13900560000000001</v>
      </c>
      <c r="Z528">
        <v>-3.502312E-3</v>
      </c>
      <c r="AA528">
        <v>0.99028539999999998</v>
      </c>
      <c r="AB528">
        <v>21</v>
      </c>
      <c r="AC528">
        <v>28.9298</v>
      </c>
      <c r="AD528">
        <v>-1.121051820308</v>
      </c>
      <c r="AE528">
        <v>-3.9367000000000298</v>
      </c>
      <c r="AF528">
        <v>4.0864303539003197</v>
      </c>
      <c r="AG528">
        <v>-1.121051820308</v>
      </c>
      <c r="AH528">
        <v>28.865620644815799</v>
      </c>
      <c r="AI528">
        <v>92.202138425685007</v>
      </c>
      <c r="AJ528">
        <v>81.942330564540498</v>
      </c>
      <c r="AK528">
        <v>29.1749845832266</v>
      </c>
      <c r="AL528">
        <v>79.170660204390899</v>
      </c>
      <c r="AM528">
        <v>83.794320877995304</v>
      </c>
      <c r="AN528">
        <v>1.00000002258398</v>
      </c>
    </row>
    <row r="529" spans="1:40" x14ac:dyDescent="0.25">
      <c r="A529" t="str">
        <f>"20190303170507694"</f>
        <v>20190303170507694</v>
      </c>
      <c r="B529" t="str">
        <f>"1551603907685149"</f>
        <v>1551603907685149</v>
      </c>
      <c r="C529" t="s">
        <v>40</v>
      </c>
      <c r="D529">
        <v>5.5195809999999996</v>
      </c>
      <c r="E529">
        <v>0.46636030000000001</v>
      </c>
      <c r="F529" t="s">
        <v>41</v>
      </c>
      <c r="G529">
        <v>-326.1275</v>
      </c>
      <c r="H529" s="1">
        <v>-2.161916E-6</v>
      </c>
      <c r="I529">
        <v>366.69439999999997</v>
      </c>
      <c r="J529">
        <v>-360.17630000000003</v>
      </c>
      <c r="K529">
        <v>1.12104</v>
      </c>
      <c r="L529">
        <v>367.13720000000001</v>
      </c>
      <c r="M529">
        <v>0.99993750000000003</v>
      </c>
      <c r="N529">
        <v>-9.7914089999999992E-3</v>
      </c>
      <c r="O529">
        <v>5.3857879999999999E-3</v>
      </c>
      <c r="P529">
        <v>0.97883450000000005</v>
      </c>
      <c r="Q529">
        <v>0.1784192</v>
      </c>
      <c r="R529">
        <v>-0.1002464</v>
      </c>
      <c r="S529">
        <v>3.079285</v>
      </c>
      <c r="T529">
        <v>-0.1010013</v>
      </c>
      <c r="U529">
        <v>-3.9825439999999997E-2</v>
      </c>
      <c r="V529">
        <v>0.1055243</v>
      </c>
      <c r="W529">
        <v>0.1879854</v>
      </c>
      <c r="X529">
        <v>0.97648659999999998</v>
      </c>
      <c r="Y529">
        <v>1.8303460000000001E-2</v>
      </c>
      <c r="Z529">
        <v>-5.1360909999999997E-4</v>
      </c>
      <c r="AA529">
        <v>0.99983230000000001</v>
      </c>
      <c r="AB529">
        <v>21</v>
      </c>
      <c r="AC529">
        <v>34.0488</v>
      </c>
      <c r="AD529">
        <v>-1.121042161916</v>
      </c>
      <c r="AE529">
        <v>-0.442800000000033</v>
      </c>
      <c r="AF529">
        <v>0.625504048698866</v>
      </c>
      <c r="AG529">
        <v>-1.121042161916</v>
      </c>
      <c r="AH529">
        <v>34.009060665159197</v>
      </c>
      <c r="AI529">
        <v>91.887640688256099</v>
      </c>
      <c r="AJ529">
        <v>88.946318979380194</v>
      </c>
      <c r="AK529">
        <v>34.033280743563502</v>
      </c>
      <c r="AL529">
        <v>79.164762092710504</v>
      </c>
      <c r="AM529">
        <v>83.832250312982296</v>
      </c>
      <c r="AN529">
        <v>0.99999998424160397</v>
      </c>
    </row>
    <row r="530" spans="1:40" x14ac:dyDescent="0.25">
      <c r="A530" t="str">
        <f>"20190303170507708"</f>
        <v>20190303170507708</v>
      </c>
      <c r="B530" t="str">
        <f>"1551603907694910"</f>
        <v>1551603907694910</v>
      </c>
      <c r="C530" t="s">
        <v>40</v>
      </c>
      <c r="D530">
        <v>5.4963040000000003</v>
      </c>
      <c r="E530">
        <v>0.46387800000000001</v>
      </c>
      <c r="F530" t="s">
        <v>41</v>
      </c>
      <c r="G530">
        <v>-324.32389999999998</v>
      </c>
      <c r="H530" s="1">
        <v>-2.876927E-6</v>
      </c>
      <c r="I530">
        <v>367.02569999999997</v>
      </c>
      <c r="J530">
        <v>-360.04840000000002</v>
      </c>
      <c r="K530">
        <v>1.121038</v>
      </c>
      <c r="L530">
        <v>367.1379</v>
      </c>
      <c r="M530">
        <v>0.9999382</v>
      </c>
      <c r="N530">
        <v>-9.7244380000000002E-3</v>
      </c>
      <c r="O530">
        <v>5.3859390000000002E-3</v>
      </c>
      <c r="P530">
        <v>0.97890339999999998</v>
      </c>
      <c r="Q530">
        <v>0.17842769999999999</v>
      </c>
      <c r="R530">
        <v>-9.9557259999999995E-2</v>
      </c>
      <c r="S530">
        <v>3.0814210000000002</v>
      </c>
      <c r="T530">
        <v>-9.6350309999999995E-2</v>
      </c>
      <c r="U530">
        <v>-9.5825200000000006E-3</v>
      </c>
      <c r="V530">
        <v>0.1048357</v>
      </c>
      <c r="W530">
        <v>0.18792880000000001</v>
      </c>
      <c r="X530">
        <v>0.97657169999999904</v>
      </c>
      <c r="Y530">
        <v>8.4891919999999996E-3</v>
      </c>
      <c r="Z530">
        <v>-2.8997739999999999E-4</v>
      </c>
      <c r="AA530">
        <v>0.99996390000000002</v>
      </c>
      <c r="AB530">
        <v>21</v>
      </c>
      <c r="AC530">
        <v>35.724499999999999</v>
      </c>
      <c r="AD530">
        <v>-1.1210408769269999</v>
      </c>
      <c r="AE530">
        <v>-0.112200000000029</v>
      </c>
      <c r="AF530">
        <v>0.30431778738798498</v>
      </c>
      <c r="AG530">
        <v>-1.1210408769269999</v>
      </c>
      <c r="AH530">
        <v>35.6882350662584</v>
      </c>
      <c r="AI530">
        <v>91.799121324702</v>
      </c>
      <c r="AJ530">
        <v>89.511443975010195</v>
      </c>
      <c r="AK530">
        <v>35.707134638724199</v>
      </c>
      <c r="AL530">
        <v>79.168064289898993</v>
      </c>
      <c r="AM530">
        <v>83.872720752424797</v>
      </c>
      <c r="AN530">
        <v>1.0000000215524001</v>
      </c>
    </row>
    <row r="531" spans="1:40" x14ac:dyDescent="0.25">
      <c r="A531" t="str">
        <f>"20190303170507725"</f>
        <v>20190303170507725</v>
      </c>
      <c r="B531" t="str">
        <f>"1551603907715406"</f>
        <v>1551603907715406</v>
      </c>
      <c r="C531" t="s">
        <v>40</v>
      </c>
      <c r="D531">
        <v>5.5278349999999996</v>
      </c>
      <c r="E531">
        <v>0.46094049999999998</v>
      </c>
      <c r="F531" t="s">
        <v>41</v>
      </c>
      <c r="G531">
        <v>-322.41770000000002</v>
      </c>
      <c r="H531" s="1">
        <v>-3.6487899999999998E-6</v>
      </c>
      <c r="I531">
        <v>367.28429999999997</v>
      </c>
      <c r="J531">
        <v>-359.88729999999998</v>
      </c>
      <c r="K531">
        <v>1.121035</v>
      </c>
      <c r="L531">
        <v>367.1388</v>
      </c>
      <c r="M531">
        <v>0.99993909999999997</v>
      </c>
      <c r="N531">
        <v>-9.647582E-3</v>
      </c>
      <c r="O531">
        <v>5.3860160000000004E-3</v>
      </c>
      <c r="P531">
        <v>0.97888719999999996</v>
      </c>
      <c r="Q531">
        <v>0.17897389999999999</v>
      </c>
      <c r="R531">
        <v>-9.8735420000000004E-2</v>
      </c>
      <c r="S531">
        <v>3.082611</v>
      </c>
      <c r="T531">
        <v>-9.1832639999999993E-2</v>
      </c>
      <c r="U531">
        <v>1.1993409999999999E-2</v>
      </c>
      <c r="V531">
        <v>0.1040138</v>
      </c>
      <c r="W531">
        <v>0.18840029999999999</v>
      </c>
      <c r="X531">
        <v>0.97656869999999996</v>
      </c>
      <c r="Y531">
        <v>1.493676E-3</v>
      </c>
      <c r="Z531">
        <v>-1.3791079999999999E-4</v>
      </c>
      <c r="AA531">
        <v>0.99999890000000002</v>
      </c>
      <c r="AB531">
        <v>21</v>
      </c>
      <c r="AC531">
        <v>37.4695999999999</v>
      </c>
      <c r="AD531">
        <v>-1.1210386487899999</v>
      </c>
      <c r="AE531">
        <v>0.14549999999996999</v>
      </c>
      <c r="AF531">
        <v>5.6272968656006499E-2</v>
      </c>
      <c r="AG531">
        <v>-1.1210386487899999</v>
      </c>
      <c r="AH531">
        <v>37.4363305248378</v>
      </c>
      <c r="AI531">
        <v>91.7152194475008</v>
      </c>
      <c r="AJ531">
        <v>89.913875074530594</v>
      </c>
      <c r="AK531">
        <v>37.453153905432103</v>
      </c>
      <c r="AL531">
        <v>79.140557594745005</v>
      </c>
      <c r="AM531">
        <v>83.920378225678803</v>
      </c>
      <c r="AN531">
        <v>0.99999998472510898</v>
      </c>
    </row>
    <row r="532" spans="1:40" x14ac:dyDescent="0.25">
      <c r="A532" t="str">
        <f>"20190303170507738"</f>
        <v>20190303170507738</v>
      </c>
      <c r="B532" t="str">
        <f>"1551603907725167"</f>
        <v>1551603907725167</v>
      </c>
      <c r="C532" t="s">
        <v>40</v>
      </c>
      <c r="D532">
        <v>5.5170370000000002</v>
      </c>
      <c r="E532">
        <v>0.46013019999999999</v>
      </c>
      <c r="F532" t="s">
        <v>43</v>
      </c>
      <c r="G532">
        <v>-316.92899999999997</v>
      </c>
      <c r="H532">
        <v>-0.05</v>
      </c>
      <c r="I532">
        <v>367.66039999999998</v>
      </c>
      <c r="J532">
        <v>-359.75349999999997</v>
      </c>
      <c r="K532">
        <v>1.121032</v>
      </c>
      <c r="L532">
        <v>367.1395</v>
      </c>
      <c r="M532">
        <v>0.99993949999999998</v>
      </c>
      <c r="N532">
        <v>-9.5909840000000003E-3</v>
      </c>
      <c r="O532">
        <v>5.3862909999999996E-3</v>
      </c>
      <c r="P532">
        <v>0.97892020000000002</v>
      </c>
      <c r="Q532">
        <v>0.179064</v>
      </c>
      <c r="R532">
        <v>-9.8241899999999993E-2</v>
      </c>
      <c r="S532">
        <v>3.0838619999999999</v>
      </c>
      <c r="T532">
        <v>-8.4065440000000005E-2</v>
      </c>
      <c r="U532">
        <v>3.7445069999999997E-2</v>
      </c>
      <c r="V532">
        <v>0.1035206</v>
      </c>
      <c r="W532">
        <v>0.18843550000000001</v>
      </c>
      <c r="X532">
        <v>0.97661439999999999</v>
      </c>
      <c r="Y532">
        <v>-6.7525019999999996E-3</v>
      </c>
      <c r="Z532" s="1">
        <v>2.926579E-5</v>
      </c>
      <c r="AA532">
        <v>0.99997720000000001</v>
      </c>
      <c r="AB532">
        <v>22</v>
      </c>
      <c r="AC532">
        <v>42.824499999999901</v>
      </c>
      <c r="AD532">
        <v>-1.1710320000000001</v>
      </c>
      <c r="AE532">
        <v>0.52089999999998304</v>
      </c>
      <c r="AF532">
        <v>-0.28999980107385198</v>
      </c>
      <c r="AG532">
        <v>-1.1710320000000001</v>
      </c>
      <c r="AH532">
        <v>42.794689833515797</v>
      </c>
      <c r="AI532">
        <v>91.567412056459602</v>
      </c>
      <c r="AJ532">
        <v>90.388261029412405</v>
      </c>
      <c r="AK532">
        <v>42.811691087557698</v>
      </c>
      <c r="AL532">
        <v>79.138504930867001</v>
      </c>
      <c r="AM532">
        <v>83.949272511950795</v>
      </c>
      <c r="AN532">
        <v>1.0000000692859801</v>
      </c>
    </row>
    <row r="533" spans="1:40" x14ac:dyDescent="0.25">
      <c r="A533" t="str">
        <f>"20190303170507759"</f>
        <v>20190303170507759</v>
      </c>
      <c r="B533" t="str">
        <f>"1551603907744686"</f>
        <v>1551603907744686</v>
      </c>
      <c r="C533" t="s">
        <v>40</v>
      </c>
      <c r="D533">
        <v>5.5287940000000004</v>
      </c>
      <c r="E533">
        <v>0.45892090000000002</v>
      </c>
      <c r="F533" t="s">
        <v>43</v>
      </c>
      <c r="G533">
        <v>-317.12470000000002</v>
      </c>
      <c r="H533">
        <v>-0.05</v>
      </c>
      <c r="I533">
        <v>367.76319999999998</v>
      </c>
      <c r="J533">
        <v>-359.5591</v>
      </c>
      <c r="K533">
        <v>1.121024</v>
      </c>
      <c r="L533">
        <v>367.14049999999997</v>
      </c>
      <c r="M533">
        <v>0.99994019999999995</v>
      </c>
      <c r="N533">
        <v>-9.5169639999999993E-3</v>
      </c>
      <c r="O533">
        <v>5.386648E-3</v>
      </c>
      <c r="P533">
        <v>0.97906190000000004</v>
      </c>
      <c r="Q533">
        <v>0.1790503</v>
      </c>
      <c r="R533">
        <v>-9.6845399999999998E-2</v>
      </c>
      <c r="S533">
        <v>3.0845950000000002</v>
      </c>
      <c r="T533">
        <v>-8.4735160000000004E-2</v>
      </c>
      <c r="U533">
        <v>4.5135500000000002E-2</v>
      </c>
      <c r="V533">
        <v>0.1021253</v>
      </c>
      <c r="W533">
        <v>0.1883512</v>
      </c>
      <c r="X533">
        <v>0.97677749999999997</v>
      </c>
      <c r="Y533">
        <v>-9.2406350000000005E-3</v>
      </c>
      <c r="Z533" s="1">
        <v>7.4198870000000003E-5</v>
      </c>
      <c r="AA533">
        <v>0.99995730000000005</v>
      </c>
      <c r="AB533">
        <v>22</v>
      </c>
      <c r="AC533">
        <v>42.434399999999897</v>
      </c>
      <c r="AD533">
        <v>-1.1710240000000001</v>
      </c>
      <c r="AE533">
        <v>0.62270000000000802</v>
      </c>
      <c r="AF533">
        <v>-0.393801602995549</v>
      </c>
      <c r="AG533">
        <v>-1.1710240000000001</v>
      </c>
      <c r="AH533">
        <v>42.404852476949898</v>
      </c>
      <c r="AI533">
        <v>91.581771668357504</v>
      </c>
      <c r="AJ533">
        <v>90.532074040924499</v>
      </c>
      <c r="AK533">
        <v>42.422846327220697</v>
      </c>
      <c r="AL533">
        <v>79.143422466078903</v>
      </c>
      <c r="AM533">
        <v>84.031223789064498</v>
      </c>
      <c r="AN533">
        <v>1.0000000179738799</v>
      </c>
    </row>
    <row r="534" spans="1:40" x14ac:dyDescent="0.25">
      <c r="A534" t="str">
        <f>"20190303170507781"</f>
        <v>20190303170507781</v>
      </c>
      <c r="B534" t="str">
        <f>"1551603907774942"</f>
        <v>1551603907774942</v>
      </c>
      <c r="C534" t="s">
        <v>40</v>
      </c>
      <c r="D534">
        <v>5.5450980000000003</v>
      </c>
      <c r="E534">
        <v>0.45781500000000003</v>
      </c>
      <c r="F534" t="s">
        <v>43</v>
      </c>
      <c r="G534">
        <v>-315.54329999999999</v>
      </c>
      <c r="H534">
        <v>-0.05</v>
      </c>
      <c r="I534">
        <v>367.96609999999998</v>
      </c>
      <c r="J534">
        <v>-359.33359999999999</v>
      </c>
      <c r="K534">
        <v>1.121019</v>
      </c>
      <c r="L534">
        <v>367.14179999999999</v>
      </c>
      <c r="M534">
        <v>0.99994099999999997</v>
      </c>
      <c r="N534">
        <v>-9.4428140000000008E-3</v>
      </c>
      <c r="O534">
        <v>5.3868240000000001E-3</v>
      </c>
      <c r="P534">
        <v>0.9791263</v>
      </c>
      <c r="Q534">
        <v>0.17907799999999999</v>
      </c>
      <c r="R534">
        <v>-9.6140470000000006E-2</v>
      </c>
      <c r="S534">
        <v>3.0849000000000002</v>
      </c>
      <c r="T534">
        <v>-8.2072619999999999E-2</v>
      </c>
      <c r="U534">
        <v>5.7861330000000002E-2</v>
      </c>
      <c r="V534">
        <v>0.10142089999999999</v>
      </c>
      <c r="W534">
        <v>0.18830669999999999</v>
      </c>
      <c r="X534">
        <v>0.97685949999999999</v>
      </c>
      <c r="Y534">
        <v>-1.336101E-2</v>
      </c>
      <c r="Z534">
        <v>1.483744E-4</v>
      </c>
      <c r="AA534">
        <v>0.99991070000000004</v>
      </c>
      <c r="AB534">
        <v>22</v>
      </c>
      <c r="AC534">
        <v>43.790300000000002</v>
      </c>
      <c r="AD534">
        <v>-1.171019</v>
      </c>
      <c r="AE534">
        <v>0.82429999999999304</v>
      </c>
      <c r="AF534">
        <v>-0.58796659373367</v>
      </c>
      <c r="AG534">
        <v>-1.171019</v>
      </c>
      <c r="AH534">
        <v>43.762821057146503</v>
      </c>
      <c r="AI534">
        <v>91.532634047690493</v>
      </c>
      <c r="AJ534">
        <v>90.769739627037296</v>
      </c>
      <c r="AK534">
        <v>43.782433658872101</v>
      </c>
      <c r="AL534">
        <v>79.146018907279597</v>
      </c>
      <c r="AM534">
        <v>84.072592773837897</v>
      </c>
      <c r="AN534">
        <v>1.00000004748097</v>
      </c>
    </row>
    <row r="535" spans="1:40" x14ac:dyDescent="0.25">
      <c r="A535" t="str">
        <f>"20190303170507796"</f>
        <v>20190303170507796</v>
      </c>
      <c r="B535" t="str">
        <f>"1551603907784702"</f>
        <v>1551603907784702</v>
      </c>
      <c r="C535" t="s">
        <v>40</v>
      </c>
      <c r="D535">
        <v>6.2508150000000002</v>
      </c>
      <c r="E535">
        <v>0.45744970000000001</v>
      </c>
      <c r="F535" t="s">
        <v>43</v>
      </c>
      <c r="G535">
        <v>-313.58499999999998</v>
      </c>
      <c r="H535">
        <v>-0.05</v>
      </c>
      <c r="I535">
        <v>368.17759999999998</v>
      </c>
      <c r="J535">
        <v>-359.19740000000002</v>
      </c>
      <c r="K535">
        <v>1.121016</v>
      </c>
      <c r="L535">
        <v>367.14249999999998</v>
      </c>
      <c r="M535">
        <v>0.99994130000000003</v>
      </c>
      <c r="N535">
        <v>-9.4048029999999998E-3</v>
      </c>
      <c r="O535">
        <v>5.3870050000000003E-3</v>
      </c>
      <c r="P535">
        <v>0.97921340000000001</v>
      </c>
      <c r="Q535">
        <v>0.17883640000000001</v>
      </c>
      <c r="R535">
        <v>-9.5701579999999994E-2</v>
      </c>
      <c r="S535">
        <v>3.0853269999999999</v>
      </c>
      <c r="T535">
        <v>-7.8974719999999998E-2</v>
      </c>
      <c r="U535">
        <v>6.9854739999999999E-2</v>
      </c>
      <c r="V535">
        <v>0.1009828</v>
      </c>
      <c r="W535">
        <v>0.188029</v>
      </c>
      <c r="X535">
        <v>0.97695829999999995</v>
      </c>
      <c r="Y535">
        <v>-1.7241949999999999E-2</v>
      </c>
      <c r="Z535">
        <v>2.1452090000000001E-4</v>
      </c>
      <c r="AA535">
        <v>0.9998513</v>
      </c>
      <c r="AB535">
        <v>22</v>
      </c>
      <c r="AC535">
        <v>45.612400000000001</v>
      </c>
      <c r="AD535">
        <v>-1.1710160000000001</v>
      </c>
      <c r="AE535">
        <v>1.0350999999999999</v>
      </c>
      <c r="AF535">
        <v>-0.78884022691857603</v>
      </c>
      <c r="AG535">
        <v>-1.1710160000000001</v>
      </c>
      <c r="AH535">
        <v>45.587282740142697</v>
      </c>
      <c r="AI535">
        <v>91.471232395659101</v>
      </c>
      <c r="AJ535">
        <v>90.991344575073498</v>
      </c>
      <c r="AK535">
        <v>45.609142669047898</v>
      </c>
      <c r="AL535">
        <v>79.162218543296504</v>
      </c>
      <c r="AM535">
        <v>84.098608466487306</v>
      </c>
      <c r="AN535">
        <v>0.999999975337864</v>
      </c>
    </row>
    <row r="536" spans="1:40" x14ac:dyDescent="0.25">
      <c r="A536" t="str">
        <f>"20190303170507811"</f>
        <v>20190303170507811</v>
      </c>
      <c r="B536" t="str">
        <f>"1551603907795437"</f>
        <v>1551603907795437</v>
      </c>
      <c r="C536" t="s">
        <v>40</v>
      </c>
      <c r="D536">
        <v>5.5766109999999998</v>
      </c>
      <c r="E536">
        <v>0.4573663</v>
      </c>
      <c r="F536" t="s">
        <v>43</v>
      </c>
      <c r="G536">
        <v>-314.46600000000001</v>
      </c>
      <c r="H536">
        <v>-0.05</v>
      </c>
      <c r="I536">
        <v>368.22550000000001</v>
      </c>
      <c r="J536">
        <v>-359.05610000000001</v>
      </c>
      <c r="K536">
        <v>1.12101299999999</v>
      </c>
      <c r="L536">
        <v>367.14319999999998</v>
      </c>
      <c r="M536">
        <v>0.99994159999999999</v>
      </c>
      <c r="N536">
        <v>-9.3684770000000001E-3</v>
      </c>
      <c r="O536">
        <v>5.3873559999999899E-3</v>
      </c>
      <c r="P536">
        <v>0.97929480000000002</v>
      </c>
      <c r="Q536">
        <v>0.1785349</v>
      </c>
      <c r="R536">
        <v>-9.5431699999999994E-2</v>
      </c>
      <c r="S536">
        <v>3.0857540000000001</v>
      </c>
      <c r="T536">
        <v>-8.0781459999999999E-2</v>
      </c>
      <c r="U536">
        <v>7.4707029999999994E-2</v>
      </c>
      <c r="V536">
        <v>0.1007135</v>
      </c>
      <c r="W536">
        <v>0.1876932</v>
      </c>
      <c r="X536">
        <v>0.97705070000000005</v>
      </c>
      <c r="Y536">
        <v>-1.8808849999999998E-2</v>
      </c>
      <c r="Z536">
        <v>2.437327E-4</v>
      </c>
      <c r="AA536">
        <v>0.99982309999999996</v>
      </c>
      <c r="AB536">
        <v>22</v>
      </c>
      <c r="AC536">
        <v>44.5901</v>
      </c>
      <c r="AD536">
        <v>-1.1710130000000001</v>
      </c>
      <c r="AE536">
        <v>1.08230000000003</v>
      </c>
      <c r="AF536">
        <v>-0.84147100382026196</v>
      </c>
      <c r="AG536">
        <v>-1.1710130000000001</v>
      </c>
      <c r="AH536">
        <v>44.564566730660601</v>
      </c>
      <c r="AI536">
        <v>91.504933687878093</v>
      </c>
      <c r="AJ536">
        <v>91.081734033638199</v>
      </c>
      <c r="AK536">
        <v>44.587890203371799</v>
      </c>
      <c r="AL536">
        <v>79.181807593256295</v>
      </c>
      <c r="AM536">
        <v>84.114788325425394</v>
      </c>
      <c r="AN536">
        <v>1.00000000838949</v>
      </c>
    </row>
    <row r="537" spans="1:40" x14ac:dyDescent="0.25">
      <c r="A537" t="str">
        <f>"20190303170507828"</f>
        <v>20190303170507828</v>
      </c>
      <c r="B537" t="str">
        <f>"1551603907814958"</f>
        <v>1551603907814958</v>
      </c>
      <c r="C537" t="s">
        <v>40</v>
      </c>
      <c r="D537">
        <v>5.5882160000000001</v>
      </c>
      <c r="E537">
        <v>0.45702549999999997</v>
      </c>
      <c r="F537" t="s">
        <v>43</v>
      </c>
      <c r="G537">
        <v>-314.78530000000001</v>
      </c>
      <c r="H537">
        <v>-0.05</v>
      </c>
      <c r="I537">
        <v>368.23169999999999</v>
      </c>
      <c r="J537">
        <v>-358.88650000000001</v>
      </c>
      <c r="K537">
        <v>1.121003</v>
      </c>
      <c r="L537">
        <v>367.14420000000001</v>
      </c>
      <c r="M537">
        <v>0.99994209999999994</v>
      </c>
      <c r="N537">
        <v>-9.3295559999999993E-3</v>
      </c>
      <c r="O537">
        <v>5.3875399999999997E-3</v>
      </c>
      <c r="P537">
        <v>0.97947919999999999</v>
      </c>
      <c r="Q537">
        <v>0.17780370000000001</v>
      </c>
      <c r="R537">
        <v>-9.4902310000000004E-2</v>
      </c>
      <c r="S537">
        <v>3.0857239999999999</v>
      </c>
      <c r="T537">
        <v>-8.1621050000000001E-2</v>
      </c>
      <c r="U537">
        <v>7.5866699999999995E-2</v>
      </c>
      <c r="V537">
        <v>0.10018539999999999</v>
      </c>
      <c r="W537">
        <v>0.18692549999999999</v>
      </c>
      <c r="X537">
        <v>0.97725209999999996</v>
      </c>
      <c r="Y537">
        <v>-1.9184139999999999E-2</v>
      </c>
      <c r="Z537">
        <v>2.5096E-4</v>
      </c>
      <c r="AA537">
        <v>0.99981589999999998</v>
      </c>
      <c r="AB537">
        <v>22</v>
      </c>
      <c r="AC537">
        <v>44.101199999999999</v>
      </c>
      <c r="AD537">
        <v>-1.171003</v>
      </c>
      <c r="AE537">
        <v>1.0874999999999699</v>
      </c>
      <c r="AF537">
        <v>-0.84927851442817903</v>
      </c>
      <c r="AG537">
        <v>-1.171003</v>
      </c>
      <c r="AH537">
        <v>44.075362999336903</v>
      </c>
      <c r="AI537">
        <v>91.521605318825706</v>
      </c>
      <c r="AJ537">
        <v>91.103883218908805</v>
      </c>
      <c r="AK537">
        <v>44.099094611390797</v>
      </c>
      <c r="AL537">
        <v>79.226585593498996</v>
      </c>
      <c r="AM537">
        <v>84.146631207756599</v>
      </c>
      <c r="AN537">
        <v>0.99999996193890905</v>
      </c>
    </row>
    <row r="538" spans="1:40" x14ac:dyDescent="0.25">
      <c r="A538" t="str">
        <f>"20190303170507850"</f>
        <v>20190303170507850</v>
      </c>
      <c r="B538" t="str">
        <f>"1551603907835454"</f>
        <v>1551603907835454</v>
      </c>
      <c r="C538" t="s">
        <v>40</v>
      </c>
      <c r="D538">
        <v>5.5549580000000001</v>
      </c>
      <c r="E538">
        <v>0.456895</v>
      </c>
      <c r="F538" t="s">
        <v>43</v>
      </c>
      <c r="G538">
        <v>-315.4708</v>
      </c>
      <c r="H538">
        <v>-0.05</v>
      </c>
      <c r="I538">
        <v>368.2679</v>
      </c>
      <c r="J538">
        <v>-358.67489999999998</v>
      </c>
      <c r="K538">
        <v>1.120992</v>
      </c>
      <c r="L538">
        <v>367.14530000000002</v>
      </c>
      <c r="M538">
        <v>0.99994240000000001</v>
      </c>
      <c r="N538">
        <v>-9.2880480000000001E-3</v>
      </c>
      <c r="O538">
        <v>5.3880330000000004E-3</v>
      </c>
      <c r="P538">
        <v>0.97957819999999995</v>
      </c>
      <c r="Q538">
        <v>0.17751810000000001</v>
      </c>
      <c r="R538">
        <v>-9.4413769999999994E-2</v>
      </c>
      <c r="S538">
        <v>3.0857239999999999</v>
      </c>
      <c r="T538">
        <v>-8.3227750000000003E-2</v>
      </c>
      <c r="U538">
        <v>7.9864500000000005E-2</v>
      </c>
      <c r="V538">
        <v>9.9697830000000001E-2</v>
      </c>
      <c r="W538">
        <v>0.18659990000000001</v>
      </c>
      <c r="X538">
        <v>0.97736420000000002</v>
      </c>
      <c r="Y538">
        <v>-2.0477269999999999E-2</v>
      </c>
      <c r="Z538">
        <v>2.7595739999999999E-4</v>
      </c>
      <c r="AA538">
        <v>0.99979030000000002</v>
      </c>
      <c r="AB538">
        <v>22</v>
      </c>
      <c r="AC538">
        <v>43.204099999999897</v>
      </c>
      <c r="AD538">
        <v>-1.170992</v>
      </c>
      <c r="AE538">
        <v>1.1225999999999701</v>
      </c>
      <c r="AF538">
        <v>-0.88913582816660597</v>
      </c>
      <c r="AG538">
        <v>-1.170992</v>
      </c>
      <c r="AH538">
        <v>43.177824140143798</v>
      </c>
      <c r="AI538">
        <v>91.553164121394701</v>
      </c>
      <c r="AJ538">
        <v>91.179691945030697</v>
      </c>
      <c r="AK538">
        <v>43.202850395109103</v>
      </c>
      <c r="AL538">
        <v>79.245575415022998</v>
      </c>
      <c r="AM538">
        <v>84.175584823560399</v>
      </c>
      <c r="AN538">
        <v>0.99999997971417898</v>
      </c>
    </row>
    <row r="539" spans="1:40" x14ac:dyDescent="0.25">
      <c r="A539" t="str">
        <f>"20190303170507871"</f>
        <v>20190303170507871</v>
      </c>
      <c r="B539" t="str">
        <f>"1551603907864734"</f>
        <v>1551603907864734</v>
      </c>
      <c r="C539" t="s">
        <v>40</v>
      </c>
      <c r="D539">
        <v>5.5916110000000003</v>
      </c>
      <c r="E539">
        <v>0.4566673</v>
      </c>
      <c r="F539" t="s">
        <v>43</v>
      </c>
      <c r="G539">
        <v>-315.34399999999999</v>
      </c>
      <c r="H539">
        <v>-0.05</v>
      </c>
      <c r="I539">
        <v>368.30410000000001</v>
      </c>
      <c r="J539">
        <v>-358.46600000000001</v>
      </c>
      <c r="K539">
        <v>1.1209830000000001</v>
      </c>
      <c r="L539">
        <v>367.1465</v>
      </c>
      <c r="M539">
        <v>0.99994280000000002</v>
      </c>
      <c r="N539">
        <v>-9.2536409999999999E-3</v>
      </c>
      <c r="O539">
        <v>5.3881939999999998E-3</v>
      </c>
      <c r="P539">
        <v>0.97986530000000005</v>
      </c>
      <c r="Q539">
        <v>0.1763062</v>
      </c>
      <c r="R539">
        <v>-9.3705300000000005E-2</v>
      </c>
      <c r="S539">
        <v>3.0856020000000002</v>
      </c>
      <c r="T539">
        <v>-8.3386660000000001E-2</v>
      </c>
      <c r="U539">
        <v>8.2519529999999994E-2</v>
      </c>
      <c r="V539">
        <v>9.8990949999999994E-2</v>
      </c>
      <c r="W539">
        <v>0.18535740000000001</v>
      </c>
      <c r="X539">
        <v>0.97767250000000006</v>
      </c>
      <c r="Y539">
        <v>-2.1337370000000001E-2</v>
      </c>
      <c r="Z539">
        <v>2.9126960000000002E-4</v>
      </c>
      <c r="AA539">
        <v>0.99977229999999995</v>
      </c>
      <c r="AB539">
        <v>22</v>
      </c>
      <c r="AC539">
        <v>43.122</v>
      </c>
      <c r="AD539">
        <v>-1.1709829999999899</v>
      </c>
      <c r="AE539">
        <v>1.1576</v>
      </c>
      <c r="AF539">
        <v>-0.92454230793931202</v>
      </c>
      <c r="AG539">
        <v>-1.1709829999999899</v>
      </c>
      <c r="AH539">
        <v>43.095855591013901</v>
      </c>
      <c r="AI539">
        <v>91.5560767112012</v>
      </c>
      <c r="AJ539">
        <v>91.228987036192805</v>
      </c>
      <c r="AK539">
        <v>43.121673770703602</v>
      </c>
      <c r="AL539">
        <v>79.318030188822604</v>
      </c>
      <c r="AM539">
        <v>84.218411696314803</v>
      </c>
      <c r="AN539">
        <v>1.0000000455864499</v>
      </c>
    </row>
    <row r="540" spans="1:40" x14ac:dyDescent="0.25">
      <c r="A540" t="str">
        <f>"20190303170507885"</f>
        <v>20190303170507885</v>
      </c>
      <c r="B540" t="str">
        <f>"1551603907875470"</f>
        <v>1551603907875470</v>
      </c>
      <c r="C540" t="s">
        <v>40</v>
      </c>
      <c r="D540">
        <v>5.5504009999999999</v>
      </c>
      <c r="E540">
        <v>0.45660030000000001</v>
      </c>
      <c r="F540" t="s">
        <v>43</v>
      </c>
      <c r="G540">
        <v>-316.97840000000002</v>
      </c>
      <c r="H540">
        <v>-0.05</v>
      </c>
      <c r="I540">
        <v>368.30200000000002</v>
      </c>
      <c r="J540">
        <v>-358.3295</v>
      </c>
      <c r="K540">
        <v>1.120978</v>
      </c>
      <c r="L540">
        <v>367.1472</v>
      </c>
      <c r="M540">
        <v>0.99994300000000003</v>
      </c>
      <c r="N540">
        <v>-9.2338549999999991E-3</v>
      </c>
      <c r="O540">
        <v>5.3884650000000003E-3</v>
      </c>
      <c r="P540">
        <v>0.97991550000000005</v>
      </c>
      <c r="Q540">
        <v>0.17622299999999999</v>
      </c>
      <c r="R540">
        <v>-9.3335310000000005E-2</v>
      </c>
      <c r="S540">
        <v>3.0855410000000001</v>
      </c>
      <c r="T540">
        <v>-8.7088940000000004E-2</v>
      </c>
      <c r="U540">
        <v>8.59375E-2</v>
      </c>
      <c r="V540">
        <v>9.8621669999999995E-2</v>
      </c>
      <c r="W540">
        <v>0.1852557</v>
      </c>
      <c r="X540">
        <v>0.97772899999999996</v>
      </c>
      <c r="Y540">
        <v>-2.2442989999999999E-2</v>
      </c>
      <c r="Z540">
        <v>3.1798470000000002E-4</v>
      </c>
      <c r="AA540">
        <v>0.99974810000000003</v>
      </c>
      <c r="AB540">
        <v>22</v>
      </c>
      <c r="AC540">
        <v>41.351099999999903</v>
      </c>
      <c r="AD540">
        <v>-1.1709780000000001</v>
      </c>
      <c r="AE540">
        <v>1.1547999999999601</v>
      </c>
      <c r="AF540">
        <v>-0.93120865251740603</v>
      </c>
      <c r="AG540">
        <v>-1.1709780000000001</v>
      </c>
      <c r="AH540">
        <v>41.323610664463203</v>
      </c>
      <c r="AI540">
        <v>91.622731712679695</v>
      </c>
      <c r="AJ540">
        <v>91.290915685241799</v>
      </c>
      <c r="AK540">
        <v>41.350684847764498</v>
      </c>
      <c r="AL540">
        <v>79.323958864698298</v>
      </c>
      <c r="AM540">
        <v>84.240164900412196</v>
      </c>
      <c r="AN540">
        <v>0.99999995280853804</v>
      </c>
    </row>
    <row r="541" spans="1:40" x14ac:dyDescent="0.25">
      <c r="A541" t="str">
        <f>"20190303170507904"</f>
        <v>20190303170507904</v>
      </c>
      <c r="B541" t="str">
        <f>"1551603907894990"</f>
        <v>1551603907894990</v>
      </c>
      <c r="C541" t="s">
        <v>40</v>
      </c>
      <c r="D541">
        <v>5.5531180000000004</v>
      </c>
      <c r="E541">
        <v>0.45656469999999999</v>
      </c>
      <c r="F541" t="s">
        <v>43</v>
      </c>
      <c r="G541">
        <v>-316.73450000000003</v>
      </c>
      <c r="H541">
        <v>-0.05</v>
      </c>
      <c r="I541">
        <v>368.32960000000003</v>
      </c>
      <c r="J541">
        <v>-358.13979999999998</v>
      </c>
      <c r="K541">
        <v>1.1209720000000001</v>
      </c>
      <c r="L541">
        <v>367.14819999999997</v>
      </c>
      <c r="M541">
        <v>0.99994329999999998</v>
      </c>
      <c r="N541">
        <v>-9.2103199999999993E-3</v>
      </c>
      <c r="O541">
        <v>5.3889319999999999E-3</v>
      </c>
      <c r="P541">
        <v>0.98000540000000003</v>
      </c>
      <c r="Q541">
        <v>0.17627229999999999</v>
      </c>
      <c r="R541">
        <v>-9.2292470000000001E-2</v>
      </c>
      <c r="S541">
        <v>3.0854490000000001</v>
      </c>
      <c r="T541">
        <v>-8.6861250000000001E-2</v>
      </c>
      <c r="U541">
        <v>8.7707519999999997E-2</v>
      </c>
      <c r="V541">
        <v>9.7579780000000005E-2</v>
      </c>
      <c r="W541">
        <v>0.1852829</v>
      </c>
      <c r="X541">
        <v>0.97782840000000004</v>
      </c>
      <c r="Y541">
        <v>-2.3016169999999999E-2</v>
      </c>
      <c r="Z541">
        <v>3.278644E-4</v>
      </c>
      <c r="AA541">
        <v>0.99973509999999999</v>
      </c>
      <c r="AB541">
        <v>22</v>
      </c>
      <c r="AC541">
        <v>41.405299999999897</v>
      </c>
      <c r="AD541">
        <v>-1.1709719999999999</v>
      </c>
      <c r="AE541">
        <v>1.18140000000005</v>
      </c>
      <c r="AF541">
        <v>-0.95747791873489496</v>
      </c>
      <c r="AG541">
        <v>-1.1709719999999999</v>
      </c>
      <c r="AH541">
        <v>41.377998296878701</v>
      </c>
      <c r="AI541">
        <v>91.620569241509003</v>
      </c>
      <c r="AJ541">
        <v>91.325575369374207</v>
      </c>
      <c r="AK541">
        <v>41.405635877814298</v>
      </c>
      <c r="AL541">
        <v>79.322373183953005</v>
      </c>
      <c r="AM541">
        <v>84.301187584757301</v>
      </c>
      <c r="AN541">
        <v>0.99999997317190803</v>
      </c>
    </row>
    <row r="542" spans="1:40" x14ac:dyDescent="0.25">
      <c r="A542" t="str">
        <f>"20190303170507926"</f>
        <v>20190303170507926</v>
      </c>
      <c r="B542" t="str">
        <f>"1551603907915487"</f>
        <v>1551603907915487</v>
      </c>
      <c r="C542" t="s">
        <v>40</v>
      </c>
      <c r="D542">
        <v>5.5223000000000004</v>
      </c>
      <c r="E542">
        <v>0.45648139999999998</v>
      </c>
      <c r="F542" t="s">
        <v>43</v>
      </c>
      <c r="G542">
        <v>-316.1576</v>
      </c>
      <c r="H542">
        <v>-0.05</v>
      </c>
      <c r="I542">
        <v>368.38279999999997</v>
      </c>
      <c r="J542">
        <v>-357.92860000000002</v>
      </c>
      <c r="K542">
        <v>1.12097</v>
      </c>
      <c r="L542">
        <v>367.14940000000001</v>
      </c>
      <c r="M542">
        <v>0.99994329999999998</v>
      </c>
      <c r="N542">
        <v>-9.1885869999999998E-3</v>
      </c>
      <c r="O542">
        <v>5.3893309999999998E-3</v>
      </c>
      <c r="P542">
        <v>0.98010750000000002</v>
      </c>
      <c r="Q542">
        <v>0.17604229999999901</v>
      </c>
      <c r="R542">
        <v>-9.1641899999999998E-2</v>
      </c>
      <c r="S542">
        <v>3.0852360000000001</v>
      </c>
      <c r="T542">
        <v>-8.6053729999999995E-2</v>
      </c>
      <c r="U542">
        <v>9.0728760000000006E-2</v>
      </c>
      <c r="V542">
        <v>9.6930180000000005E-2</v>
      </c>
      <c r="W542">
        <v>0.18503269999999999</v>
      </c>
      <c r="X542">
        <v>0.97794040000000004</v>
      </c>
      <c r="Y542">
        <v>-2.3995579999999999E-2</v>
      </c>
      <c r="Z542">
        <v>3.4405459999999998E-4</v>
      </c>
      <c r="AA542">
        <v>0.99971200000000005</v>
      </c>
      <c r="AB542">
        <v>22</v>
      </c>
      <c r="AC542">
        <v>41.771000000000001</v>
      </c>
      <c r="AD542">
        <v>-1.1709700000000001</v>
      </c>
      <c r="AE542">
        <v>1.2333999999999601</v>
      </c>
      <c r="AF542">
        <v>-1.0074638163729099</v>
      </c>
      <c r="AG542">
        <v>-1.1709700000000001</v>
      </c>
      <c r="AH542">
        <v>41.744264494208302</v>
      </c>
      <c r="AI542">
        <v>91.606317313609495</v>
      </c>
      <c r="AJ542">
        <v>91.382518583819504</v>
      </c>
      <c r="AK542">
        <v>41.772835338825402</v>
      </c>
      <c r="AL542">
        <v>79.336961039154602</v>
      </c>
      <c r="AM542">
        <v>84.339522136615003</v>
      </c>
      <c r="AN542">
        <v>0.99999999290814101</v>
      </c>
    </row>
    <row r="543" spans="1:40" x14ac:dyDescent="0.25">
      <c r="A543" t="str">
        <f>"20190303170507948"</f>
        <v>20190303170507948</v>
      </c>
      <c r="B543" t="str">
        <f>"1551603907935006"</f>
        <v>1551603907935006</v>
      </c>
      <c r="C543" t="s">
        <v>40</v>
      </c>
      <c r="D543">
        <v>5.5356199999999998</v>
      </c>
      <c r="E543">
        <v>0.45649489999999998</v>
      </c>
      <c r="F543" t="s">
        <v>43</v>
      </c>
      <c r="G543">
        <v>-316.0224</v>
      </c>
      <c r="H543">
        <v>-0.05</v>
      </c>
      <c r="I543">
        <v>368.42110000000002</v>
      </c>
      <c r="J543">
        <v>-357.70429999999999</v>
      </c>
      <c r="K543">
        <v>1.120965</v>
      </c>
      <c r="L543">
        <v>367.1506</v>
      </c>
      <c r="M543">
        <v>0.99994340000000004</v>
      </c>
      <c r="N543">
        <v>-9.1698709999999996E-3</v>
      </c>
      <c r="O543">
        <v>5.3899539999999998E-3</v>
      </c>
      <c r="P543">
        <v>0.9801742</v>
      </c>
      <c r="Q543">
        <v>0.1758787</v>
      </c>
      <c r="R543">
        <v>-9.1244699999999998E-2</v>
      </c>
      <c r="S543">
        <v>3.0851139999999999</v>
      </c>
      <c r="T543">
        <v>-8.6206199999999997E-2</v>
      </c>
      <c r="U543">
        <v>9.3627929999999998E-2</v>
      </c>
      <c r="V543">
        <v>9.6533610000000006E-2</v>
      </c>
      <c r="W543">
        <v>0.18485080000000001</v>
      </c>
      <c r="X543">
        <v>0.9780141</v>
      </c>
      <c r="Y543">
        <v>-2.493422E-2</v>
      </c>
      <c r="Z543">
        <v>3.6146360000000001E-4</v>
      </c>
      <c r="AA543">
        <v>0.99968900000000005</v>
      </c>
      <c r="AB543">
        <v>22</v>
      </c>
      <c r="AC543">
        <v>41.681899999999899</v>
      </c>
      <c r="AD543">
        <v>-1.170965</v>
      </c>
      <c r="AE543">
        <v>1.2705000000000199</v>
      </c>
      <c r="AF543">
        <v>-1.04498461963294</v>
      </c>
      <c r="AG543">
        <v>-1.170965</v>
      </c>
      <c r="AH543">
        <v>41.655298425548303</v>
      </c>
      <c r="AI543">
        <v>91.609701679210403</v>
      </c>
      <c r="AJ543">
        <v>91.437047754718904</v>
      </c>
      <c r="AK543">
        <v>41.684853829754303</v>
      </c>
      <c r="AL543">
        <v>79.347566892853905</v>
      </c>
      <c r="AM543">
        <v>84.362953427755102</v>
      </c>
      <c r="AN543">
        <v>1.00000006795953</v>
      </c>
    </row>
    <row r="544" spans="1:40" x14ac:dyDescent="0.25">
      <c r="A544" t="str">
        <f>"20190303170507973"</f>
        <v>20190303170507973</v>
      </c>
      <c r="B544" t="str">
        <f>"1551603907965263"</f>
        <v>1551603907965263</v>
      </c>
      <c r="C544" t="s">
        <v>40</v>
      </c>
      <c r="D544">
        <v>5.5515660000000002</v>
      </c>
      <c r="E544">
        <v>0.4565533</v>
      </c>
      <c r="F544" t="s">
        <v>43</v>
      </c>
      <c r="G544">
        <v>-315.90820000000002</v>
      </c>
      <c r="H544">
        <v>-0.05</v>
      </c>
      <c r="I544">
        <v>368.43349999999998</v>
      </c>
      <c r="J544">
        <v>-357.46679999999998</v>
      </c>
      <c r="K544">
        <v>1.120957</v>
      </c>
      <c r="L544">
        <v>367.15190000000001</v>
      </c>
      <c r="M544">
        <v>0.99994360000000004</v>
      </c>
      <c r="N544">
        <v>-9.1525900000000004E-3</v>
      </c>
      <c r="O544">
        <v>5.3902129999999996E-3</v>
      </c>
      <c r="P544">
        <v>0.98035459999999996</v>
      </c>
      <c r="Q544">
        <v>0.17534449999999999</v>
      </c>
      <c r="R544">
        <v>-9.0327649999999995E-2</v>
      </c>
      <c r="S544">
        <v>3.084991</v>
      </c>
      <c r="T544">
        <v>-8.6429359999999997E-2</v>
      </c>
      <c r="U544">
        <v>9.4696039999999995E-2</v>
      </c>
      <c r="V544">
        <v>9.5618030000000007E-2</v>
      </c>
      <c r="W544">
        <v>0.18430160000000001</v>
      </c>
      <c r="X544">
        <v>0.97820759999999995</v>
      </c>
      <c r="Y544">
        <v>-2.5280730000000001E-2</v>
      </c>
      <c r="Z544">
        <v>3.681073E-4</v>
      </c>
      <c r="AA544">
        <v>0.99968029999999997</v>
      </c>
      <c r="AB544">
        <v>22</v>
      </c>
      <c r="AC544">
        <v>41.558599999999899</v>
      </c>
      <c r="AD544">
        <v>-1.170957</v>
      </c>
      <c r="AE544">
        <v>1.2815999999999601</v>
      </c>
      <c r="AF544">
        <v>-1.0567241689236999</v>
      </c>
      <c r="AG544">
        <v>-1.170957</v>
      </c>
      <c r="AH544">
        <v>41.531964136211101</v>
      </c>
      <c r="AI544">
        <v>91.614453785069102</v>
      </c>
      <c r="AJ544">
        <v>91.457498482458604</v>
      </c>
      <c r="AK544">
        <v>41.561903845668098</v>
      </c>
      <c r="AL544">
        <v>79.379583090841805</v>
      </c>
      <c r="AM544">
        <v>84.417176484456803</v>
      </c>
      <c r="AN544">
        <v>0.99999999806069995</v>
      </c>
    </row>
    <row r="545" spans="1:40" x14ac:dyDescent="0.25">
      <c r="A545" t="str">
        <f>"20190303170507994"</f>
        <v>20190303170507994</v>
      </c>
      <c r="B545" t="str">
        <f>"1551603907984782"</f>
        <v>1551603907984782</v>
      </c>
      <c r="C545" t="s">
        <v>40</v>
      </c>
      <c r="D545">
        <v>5.544619</v>
      </c>
      <c r="E545">
        <v>0.45657160000000002</v>
      </c>
      <c r="F545" t="s">
        <v>43</v>
      </c>
      <c r="G545">
        <v>-316.68009999999998</v>
      </c>
      <c r="H545">
        <v>-0.05</v>
      </c>
      <c r="I545">
        <v>368.43579999999997</v>
      </c>
      <c r="J545">
        <v>-357.25029999999998</v>
      </c>
      <c r="K545">
        <v>1.1209519999999999</v>
      </c>
      <c r="L545">
        <v>367.15309999999999</v>
      </c>
      <c r="M545">
        <v>0.99994380000000005</v>
      </c>
      <c r="N545">
        <v>-9.1354339999999996E-3</v>
      </c>
      <c r="O545">
        <v>5.3905910000000001E-3</v>
      </c>
      <c r="P545">
        <v>0.98055380000000003</v>
      </c>
      <c r="Q545">
        <v>0.1750649</v>
      </c>
      <c r="R545">
        <v>-8.8695860000000001E-2</v>
      </c>
      <c r="S545">
        <v>3.0848689999999999</v>
      </c>
      <c r="T545">
        <v>-8.8564399999999904E-2</v>
      </c>
      <c r="U545">
        <v>9.7106929999999994E-2</v>
      </c>
      <c r="V545">
        <v>9.3987639999999997E-2</v>
      </c>
      <c r="W545">
        <v>0.1840077</v>
      </c>
      <c r="X545">
        <v>0.97842090000000004</v>
      </c>
      <c r="Y545">
        <v>-2.606116E-2</v>
      </c>
      <c r="Z545">
        <v>3.8757579999999998E-4</v>
      </c>
      <c r="AA545">
        <v>0.99966029999999995</v>
      </c>
      <c r="AB545">
        <v>22</v>
      </c>
      <c r="AC545">
        <v>40.5702</v>
      </c>
      <c r="AD545">
        <v>-1.170952</v>
      </c>
      <c r="AE545">
        <v>1.28269999999997</v>
      </c>
      <c r="AF545">
        <v>-1.0630901849002801</v>
      </c>
      <c r="AG545">
        <v>-1.170952</v>
      </c>
      <c r="AH545">
        <v>40.542785409973902</v>
      </c>
      <c r="AI545">
        <v>91.653781998006494</v>
      </c>
      <c r="AJ545">
        <v>91.502033617208895</v>
      </c>
      <c r="AK545">
        <v>40.573621210421003</v>
      </c>
      <c r="AL545">
        <v>79.396715175905598</v>
      </c>
      <c r="AM545">
        <v>84.512972564408699</v>
      </c>
      <c r="AN545">
        <v>0.999999983844434</v>
      </c>
    </row>
    <row r="546" spans="1:40" x14ac:dyDescent="0.25">
      <c r="A546" t="str">
        <f>"20190303170508016"</f>
        <v>20190303170508016</v>
      </c>
      <c r="B546" t="str">
        <f>"1551603908005279"</f>
        <v>1551603908005279</v>
      </c>
      <c r="C546" t="s">
        <v>40</v>
      </c>
      <c r="D546">
        <v>5.5498529999999997</v>
      </c>
      <c r="E546">
        <v>0.45665929999999999</v>
      </c>
      <c r="F546" t="s">
        <v>43</v>
      </c>
      <c r="G546">
        <v>-317.05279999999999</v>
      </c>
      <c r="H546">
        <v>-0.05</v>
      </c>
      <c r="I546">
        <v>368.47019999999998</v>
      </c>
      <c r="J546">
        <v>-357.03120000000001</v>
      </c>
      <c r="K546">
        <v>1.1209480000000001</v>
      </c>
      <c r="L546">
        <v>367.15429999999998</v>
      </c>
      <c r="M546">
        <v>0.99994400000000006</v>
      </c>
      <c r="N546">
        <v>-9.1123709999999993E-3</v>
      </c>
      <c r="O546">
        <v>5.3908760000000002E-3</v>
      </c>
      <c r="P546">
        <v>0.98064819999999997</v>
      </c>
      <c r="Q546">
        <v>0.1754127</v>
      </c>
      <c r="R546">
        <v>-8.6944579999999994E-2</v>
      </c>
      <c r="S546">
        <v>3.0847169999999999</v>
      </c>
      <c r="T546">
        <v>-8.9857580000000006E-2</v>
      </c>
      <c r="U546">
        <v>0.1010742</v>
      </c>
      <c r="V546">
        <v>9.2237349999999996E-2</v>
      </c>
      <c r="W546">
        <v>0.18433389999999999</v>
      </c>
      <c r="X546">
        <v>0.97852609999999995</v>
      </c>
      <c r="Y546">
        <v>-2.7345729999999999E-2</v>
      </c>
      <c r="Z546">
        <v>4.1491059999999998E-4</v>
      </c>
      <c r="AA546">
        <v>0.99962589999999996</v>
      </c>
      <c r="AB546">
        <v>22</v>
      </c>
      <c r="AC546">
        <v>39.978400000000001</v>
      </c>
      <c r="AD546">
        <v>-1.1709479999999901</v>
      </c>
      <c r="AE546">
        <v>1.3158999999999901</v>
      </c>
      <c r="AF546">
        <v>-1.0994112050409599</v>
      </c>
      <c r="AG546">
        <v>-1.1709479999999901</v>
      </c>
      <c r="AH546">
        <v>39.9506775517318</v>
      </c>
      <c r="AI546">
        <v>91.678214561663694</v>
      </c>
      <c r="AJ546">
        <v>91.576336917045793</v>
      </c>
      <c r="AK546">
        <v>39.982952130363302</v>
      </c>
      <c r="AL546">
        <v>79.377700432841394</v>
      </c>
      <c r="AM546">
        <v>84.615124186490206</v>
      </c>
      <c r="AN546">
        <v>1.0000000219027201</v>
      </c>
    </row>
    <row r="547" spans="1:40" x14ac:dyDescent="0.25">
      <c r="A547" t="str">
        <f>"20190303170508039"</f>
        <v>20190303170508039</v>
      </c>
      <c r="B547" t="str">
        <f>"1551603908024798"</f>
        <v>1551603908024798</v>
      </c>
      <c r="C547" t="s">
        <v>40</v>
      </c>
      <c r="D547">
        <v>5.5070489999999896</v>
      </c>
      <c r="E547">
        <v>0.45660479999999998</v>
      </c>
      <c r="F547" t="s">
        <v>43</v>
      </c>
      <c r="G547">
        <v>-316.3098</v>
      </c>
      <c r="H547">
        <v>-0.05</v>
      </c>
      <c r="I547">
        <v>368.5591</v>
      </c>
      <c r="J547">
        <v>-356.81079999999997</v>
      </c>
      <c r="K547">
        <v>1.1209420000000001</v>
      </c>
      <c r="L547">
        <v>367.15550000000002</v>
      </c>
      <c r="M547">
        <v>0.99994439999999996</v>
      </c>
      <c r="N547">
        <v>-9.0755579999999992E-3</v>
      </c>
      <c r="O547">
        <v>5.3912229999999997E-3</v>
      </c>
      <c r="P547">
        <v>0.9807612</v>
      </c>
      <c r="Q547">
        <v>0.1758063</v>
      </c>
      <c r="R547">
        <v>-8.4853360000000003E-2</v>
      </c>
      <c r="S547">
        <v>3.0845030000000002</v>
      </c>
      <c r="T547">
        <v>-8.8695170000000004E-2</v>
      </c>
      <c r="U547">
        <v>0.1064148</v>
      </c>
      <c r="V547">
        <v>9.0146840000000006E-2</v>
      </c>
      <c r="W547">
        <v>0.18469250000000001</v>
      </c>
      <c r="X547">
        <v>0.97865329999999995</v>
      </c>
      <c r="Y547">
        <v>-2.9075810000000001E-2</v>
      </c>
      <c r="Z547">
        <v>4.4381200000000003E-4</v>
      </c>
      <c r="AA547">
        <v>0.9995771</v>
      </c>
      <c r="AB547">
        <v>22</v>
      </c>
      <c r="AC547">
        <v>40.500999999999898</v>
      </c>
      <c r="AD547">
        <v>-1.1709419999999999</v>
      </c>
      <c r="AE547">
        <v>1.40359999999998</v>
      </c>
      <c r="AF547">
        <v>-1.1842320323507101</v>
      </c>
      <c r="AG547">
        <v>-1.1709419999999999</v>
      </c>
      <c r="AH547">
        <v>40.474188174402798</v>
      </c>
      <c r="AI547">
        <v>91.656429799518705</v>
      </c>
      <c r="AJ547">
        <v>91.675935903383902</v>
      </c>
      <c r="AK547">
        <v>40.508436393556103</v>
      </c>
      <c r="AL547">
        <v>79.356795279423295</v>
      </c>
      <c r="AM547">
        <v>84.737156415924602</v>
      </c>
      <c r="AN547">
        <v>1.0000000269595599</v>
      </c>
    </row>
    <row r="548" spans="1:40" x14ac:dyDescent="0.25">
      <c r="A548" t="str">
        <f>"20190303170508061"</f>
        <v>20190303170508061</v>
      </c>
      <c r="B548" t="str">
        <f>"1551603908055054"</f>
        <v>1551603908055054</v>
      </c>
      <c r="C548" t="s">
        <v>40</v>
      </c>
      <c r="D548">
        <v>5.5248679999999997</v>
      </c>
      <c r="E548">
        <v>0.45659739999999999</v>
      </c>
      <c r="F548" t="s">
        <v>43</v>
      </c>
      <c r="G548">
        <v>-315.45190000000002</v>
      </c>
      <c r="H548">
        <v>-0.05</v>
      </c>
      <c r="I548">
        <v>368.67689999999999</v>
      </c>
      <c r="J548">
        <v>-356.58879999999999</v>
      </c>
      <c r="K548">
        <v>1.1209340000000001</v>
      </c>
      <c r="L548">
        <v>367.15660000000003</v>
      </c>
      <c r="M548">
        <v>0.99994490000000003</v>
      </c>
      <c r="N548">
        <v>-9.0211519999999993E-3</v>
      </c>
      <c r="O548">
        <v>5.3916499999999996E-3</v>
      </c>
      <c r="P548">
        <v>0.98060320000000001</v>
      </c>
      <c r="Q548">
        <v>0.1772493</v>
      </c>
      <c r="R548">
        <v>-8.3668709999999993E-2</v>
      </c>
      <c r="S548">
        <v>3.0842900000000002</v>
      </c>
      <c r="T548">
        <v>-8.7321640000000006E-2</v>
      </c>
      <c r="U548">
        <v>0.11346440000000001</v>
      </c>
      <c r="V548">
        <v>8.8961990000000005E-2</v>
      </c>
      <c r="W548">
        <v>0.18608079999999999</v>
      </c>
      <c r="X548">
        <v>0.97849870000000005</v>
      </c>
      <c r="Y548">
        <v>-3.1358669999999998E-2</v>
      </c>
      <c r="Z548">
        <v>4.8126179999999997E-4</v>
      </c>
      <c r="AA548">
        <v>0.99950810000000001</v>
      </c>
      <c r="AB548">
        <v>22</v>
      </c>
      <c r="AC548">
        <v>41.136899999999898</v>
      </c>
      <c r="AD548">
        <v>-1.1709339999999999</v>
      </c>
      <c r="AE548">
        <v>1.52029999999996</v>
      </c>
      <c r="AF548">
        <v>-1.29742337476263</v>
      </c>
      <c r="AG548">
        <v>-1.1709339999999999</v>
      </c>
      <c r="AH548">
        <v>41.111235665264402</v>
      </c>
      <c r="AI548">
        <v>91.630651208216406</v>
      </c>
      <c r="AJ548">
        <v>91.807589051232</v>
      </c>
      <c r="AK548">
        <v>41.148366817780797</v>
      </c>
      <c r="AL548">
        <v>79.275848120557797</v>
      </c>
      <c r="AM548">
        <v>84.805131888499005</v>
      </c>
      <c r="AN548">
        <v>1.00000000284754</v>
      </c>
    </row>
    <row r="549" spans="1:40" x14ac:dyDescent="0.25">
      <c r="A549" t="str">
        <f>"20190303170508084"</f>
        <v>20190303170508084</v>
      </c>
      <c r="B549" t="str">
        <f>"1551603908074574"</f>
        <v>1551603908074574</v>
      </c>
      <c r="C549" t="s">
        <v>40</v>
      </c>
      <c r="D549">
        <v>5.4338550000000003</v>
      </c>
      <c r="E549">
        <v>0.45658460000000001</v>
      </c>
      <c r="F549" t="s">
        <v>43</v>
      </c>
      <c r="G549">
        <v>-314.20740000000001</v>
      </c>
      <c r="H549">
        <v>-0.05</v>
      </c>
      <c r="I549">
        <v>368.76920000000001</v>
      </c>
      <c r="J549">
        <v>-356.36290000000002</v>
      </c>
      <c r="K549">
        <v>1.1209229999999999</v>
      </c>
      <c r="L549">
        <v>367.15789999999998</v>
      </c>
      <c r="M549">
        <v>0.99994550000000004</v>
      </c>
      <c r="N549">
        <v>-8.9513189999999992E-3</v>
      </c>
      <c r="O549">
        <v>5.3921459999999996E-3</v>
      </c>
      <c r="P549">
        <v>0.98043630000000004</v>
      </c>
      <c r="Q549">
        <v>0.1784801</v>
      </c>
      <c r="R549">
        <v>-8.3004969999999997E-2</v>
      </c>
      <c r="S549">
        <v>3.0847470000000001</v>
      </c>
      <c r="T549">
        <v>-8.5226769999999993E-2</v>
      </c>
      <c r="U549">
        <v>0.11737060000000001</v>
      </c>
      <c r="V549">
        <v>8.8297719999999996E-2</v>
      </c>
      <c r="W549">
        <v>0.18724170000000001</v>
      </c>
      <c r="X549">
        <v>0.97833740000000002</v>
      </c>
      <c r="Y549">
        <v>-3.2616649999999997E-2</v>
      </c>
      <c r="Z549">
        <v>4.9575379999999998E-4</v>
      </c>
      <c r="AA549">
        <v>0.99946780000000002</v>
      </c>
      <c r="AB549">
        <v>22</v>
      </c>
      <c r="AC549">
        <v>42.155500000000004</v>
      </c>
      <c r="AD549">
        <v>-1.1709229999999999</v>
      </c>
      <c r="AE549">
        <v>1.6113000000000199</v>
      </c>
      <c r="AF549">
        <v>-1.3828935028410601</v>
      </c>
      <c r="AG549">
        <v>-1.1709229999999999</v>
      </c>
      <c r="AH549">
        <v>42.131118163230099</v>
      </c>
      <c r="AI549">
        <v>91.591118397239399</v>
      </c>
      <c r="AJ549">
        <v>91.879976793019395</v>
      </c>
      <c r="AK549">
        <v>42.170067260987203</v>
      </c>
      <c r="AL549">
        <v>79.208143514788702</v>
      </c>
      <c r="AM549">
        <v>84.842866013888795</v>
      </c>
      <c r="AN549">
        <v>1.00000000490742</v>
      </c>
    </row>
    <row r="550" spans="1:40" x14ac:dyDescent="0.25">
      <c r="A550" t="str">
        <f>"20190303170508104"</f>
        <v>20190303170508104</v>
      </c>
      <c r="B550" t="str">
        <f>"1551603908095071"</f>
        <v>1551603908095071</v>
      </c>
      <c r="C550" t="s">
        <v>40</v>
      </c>
      <c r="D550">
        <v>5.4724170000000001</v>
      </c>
      <c r="E550">
        <v>0.45658290000000001</v>
      </c>
      <c r="F550" t="s">
        <v>43</v>
      </c>
      <c r="G550">
        <v>-312.60109999999997</v>
      </c>
      <c r="H550">
        <v>-0.05</v>
      </c>
      <c r="I550">
        <v>368.84190000000001</v>
      </c>
      <c r="J550">
        <v>-356.14760000000001</v>
      </c>
      <c r="K550">
        <v>1.120897</v>
      </c>
      <c r="L550">
        <v>367.15910000000002</v>
      </c>
      <c r="M550">
        <v>0.99994609999999995</v>
      </c>
      <c r="N550">
        <v>-8.8751430000000003E-3</v>
      </c>
      <c r="O550">
        <v>5.3923110000000003E-3</v>
      </c>
      <c r="P550">
        <v>0.98068650000000002</v>
      </c>
      <c r="Q550">
        <v>0.17816129999999999</v>
      </c>
      <c r="R550">
        <v>-8.0701040000000002E-2</v>
      </c>
      <c r="S550">
        <v>3.0849609999999998</v>
      </c>
      <c r="T550">
        <v>-8.2543489999999997E-2</v>
      </c>
      <c r="U550">
        <v>0.1187134</v>
      </c>
      <c r="V550">
        <v>8.5995379999999996E-2</v>
      </c>
      <c r="W550">
        <v>0.1868505</v>
      </c>
      <c r="X550">
        <v>0.97861730000000002</v>
      </c>
      <c r="Y550">
        <v>-3.3048899999999999E-2</v>
      </c>
      <c r="Z550">
        <v>4.9228589999999995E-4</v>
      </c>
      <c r="AA550">
        <v>0.99945360000000005</v>
      </c>
      <c r="AB550">
        <v>22</v>
      </c>
      <c r="AC550">
        <v>43.546500000000002</v>
      </c>
      <c r="AD550">
        <v>-1.1708969999999901</v>
      </c>
      <c r="AE550">
        <v>1.6827999999999801</v>
      </c>
      <c r="AF550">
        <v>-1.44690548366271</v>
      </c>
      <c r="AG550">
        <v>-1.1708969999999901</v>
      </c>
      <c r="AH550">
        <v>43.523521335025002</v>
      </c>
      <c r="AI550">
        <v>91.540184757943805</v>
      </c>
      <c r="AJ550">
        <v>91.904052221086502</v>
      </c>
      <c r="AK550">
        <v>43.563303876813997</v>
      </c>
      <c r="AL550">
        <v>79.230960994236796</v>
      </c>
      <c r="AM550">
        <v>84.978069176792104</v>
      </c>
      <c r="AN550">
        <v>1.0000000672954299</v>
      </c>
    </row>
    <row r="551" spans="1:40" x14ac:dyDescent="0.25">
      <c r="A551" t="str">
        <f>"20190303170508127"</f>
        <v>20190303170508127</v>
      </c>
      <c r="B551" t="str">
        <f>"1551603908114590"</f>
        <v>1551603908114590</v>
      </c>
      <c r="C551" t="s">
        <v>40</v>
      </c>
      <c r="D551">
        <v>5.517468</v>
      </c>
      <c r="E551">
        <v>0.41379270000000001</v>
      </c>
      <c r="F551" t="s">
        <v>43</v>
      </c>
      <c r="G551">
        <v>-313.10430000000002</v>
      </c>
      <c r="H551">
        <v>-0.05</v>
      </c>
      <c r="I551">
        <v>368.90550000000002</v>
      </c>
      <c r="J551">
        <v>-355.92759999999998</v>
      </c>
      <c r="K551">
        <v>1.1208750000000001</v>
      </c>
      <c r="L551">
        <v>367.16019999999997</v>
      </c>
      <c r="M551">
        <v>0.99994689999999997</v>
      </c>
      <c r="N551">
        <v>-8.7940580000000004E-3</v>
      </c>
      <c r="O551">
        <v>5.3924940000000003E-3</v>
      </c>
      <c r="P551">
        <v>0.98102920000000005</v>
      </c>
      <c r="Q551">
        <v>0.17775869999999999</v>
      </c>
      <c r="R551">
        <v>-7.7355099999999996E-2</v>
      </c>
      <c r="S551">
        <v>3.084625</v>
      </c>
      <c r="T551">
        <v>-8.3910470000000001E-2</v>
      </c>
      <c r="U551">
        <v>0.1251526</v>
      </c>
      <c r="V551">
        <v>8.2651500000000003E-2</v>
      </c>
      <c r="W551">
        <v>0.18637219999999999</v>
      </c>
      <c r="X551">
        <v>0.97899650000000005</v>
      </c>
      <c r="Y551">
        <v>-3.5134550000000001E-2</v>
      </c>
      <c r="Z551">
        <v>5.3298620000000001E-4</v>
      </c>
      <c r="AA551">
        <v>0.9993824</v>
      </c>
      <c r="AB551">
        <v>22</v>
      </c>
      <c r="AC551">
        <v>42.823299999999897</v>
      </c>
      <c r="AD551">
        <v>-1.1708750000000001</v>
      </c>
      <c r="AE551">
        <v>1.74530000000004</v>
      </c>
      <c r="AF551">
        <v>-1.5132119498178001</v>
      </c>
      <c r="AG551">
        <v>-1.1708750000000001</v>
      </c>
      <c r="AH551">
        <v>42.800145497367303</v>
      </c>
      <c r="AI551">
        <v>91.566060318707599</v>
      </c>
      <c r="AJ551">
        <v>92.024866016296897</v>
      </c>
      <c r="AK551">
        <v>42.842889879961497</v>
      </c>
      <c r="AL551">
        <v>79.258854911936297</v>
      </c>
      <c r="AM551">
        <v>85.174263659846204</v>
      </c>
      <c r="AN551">
        <v>1.0000000071986701</v>
      </c>
    </row>
    <row r="552" spans="1:40" x14ac:dyDescent="0.25">
      <c r="A552" t="str">
        <f>"20190303170508150"</f>
        <v>20190303170508150</v>
      </c>
      <c r="B552" t="str">
        <f>"1551603908144846"</f>
        <v>1551603908144846</v>
      </c>
      <c r="C552" t="s">
        <v>40</v>
      </c>
      <c r="D552">
        <v>5.361567</v>
      </c>
      <c r="E552">
        <v>0.39660079999999998</v>
      </c>
      <c r="F552" t="s">
        <v>44</v>
      </c>
      <c r="G552">
        <v>-194.23849999999999</v>
      </c>
      <c r="H552">
        <v>1.202221</v>
      </c>
      <c r="I552">
        <v>391.87</v>
      </c>
      <c r="J552">
        <v>-355.69099999999997</v>
      </c>
      <c r="K552">
        <v>1.120865</v>
      </c>
      <c r="L552">
        <v>367.16149999999999</v>
      </c>
      <c r="M552">
        <v>0.99994769999999999</v>
      </c>
      <c r="N552">
        <v>-8.7046980000000003E-3</v>
      </c>
      <c r="O552">
        <v>5.3927109999999997E-3</v>
      </c>
      <c r="P552">
        <v>0.9810835</v>
      </c>
      <c r="Q552">
        <v>0.1789027</v>
      </c>
      <c r="R552">
        <v>-7.3955320000000005E-2</v>
      </c>
      <c r="S552">
        <v>3.0950319999999998</v>
      </c>
      <c r="T552">
        <v>1.557112E-3</v>
      </c>
      <c r="U552">
        <v>0.47299190000000002</v>
      </c>
      <c r="V552">
        <v>7.9252299999999998E-2</v>
      </c>
      <c r="W552">
        <v>0.1874295</v>
      </c>
      <c r="X552">
        <v>0.97907569999999999</v>
      </c>
      <c r="Y552">
        <v>-0.14573639999999999</v>
      </c>
      <c r="Z552">
        <v>6.5089330000000004E-4</v>
      </c>
      <c r="AA552">
        <v>0.98932330000000002</v>
      </c>
      <c r="AB552">
        <v>23</v>
      </c>
      <c r="AC552">
        <v>161.45249999999999</v>
      </c>
      <c r="AD552">
        <v>8.1355999999999901E-2</v>
      </c>
      <c r="AE552">
        <v>24.708500000000001</v>
      </c>
      <c r="AF552">
        <v>-23.837435228832099</v>
      </c>
      <c r="AG552">
        <v>8.1355999999999901E-2</v>
      </c>
      <c r="AH552">
        <v>161.58336292025399</v>
      </c>
      <c r="AI552">
        <v>89.971460892918302</v>
      </c>
      <c r="AJ552">
        <v>98.391976713234698</v>
      </c>
      <c r="AK552">
        <v>163.33221699868699</v>
      </c>
      <c r="AL552">
        <v>79.1971892231346</v>
      </c>
      <c r="AM552">
        <v>85.372223451959599</v>
      </c>
      <c r="AN552">
        <v>0.99999998542801405</v>
      </c>
    </row>
    <row r="553" spans="1:40" x14ac:dyDescent="0.25">
      <c r="A553" t="str">
        <f>"20190303170508174"</f>
        <v>20190303170508174</v>
      </c>
      <c r="B553" t="str">
        <f>"1551603908165343"</f>
        <v>1551603908165343</v>
      </c>
      <c r="C553" t="s">
        <v>40</v>
      </c>
      <c r="D553">
        <v>5.2055179999999996</v>
      </c>
      <c r="E553">
        <v>0.34906239999999999</v>
      </c>
      <c r="F553" t="s">
        <v>44</v>
      </c>
      <c r="G553">
        <v>-234.2758</v>
      </c>
      <c r="H553">
        <v>2.7866580000000001</v>
      </c>
      <c r="I553">
        <v>391.45060000000001</v>
      </c>
      <c r="J553">
        <v>-355.4511</v>
      </c>
      <c r="K553">
        <v>1.120857</v>
      </c>
      <c r="L553">
        <v>367.16289999999998</v>
      </c>
      <c r="M553">
        <v>0.99994839999999996</v>
      </c>
      <c r="N553">
        <v>-8.6120699999999994E-3</v>
      </c>
      <c r="O553">
        <v>5.3932950000000002E-3</v>
      </c>
      <c r="P553">
        <v>0.98087709999999995</v>
      </c>
      <c r="Q553">
        <v>0.1809694</v>
      </c>
      <c r="R553">
        <v>-7.1627010000000005E-2</v>
      </c>
      <c r="S553">
        <v>3.0967709999999999</v>
      </c>
      <c r="T553">
        <v>4.2487030000000002E-2</v>
      </c>
      <c r="U553">
        <v>0.61950680000000002</v>
      </c>
      <c r="V553">
        <v>7.6923679999999994E-2</v>
      </c>
      <c r="W553">
        <v>0.18940380000000001</v>
      </c>
      <c r="X553">
        <v>0.97888149999999996</v>
      </c>
      <c r="Y553">
        <v>-0.19086620000000001</v>
      </c>
      <c r="Z553">
        <v>-3.4719999999999998E-4</v>
      </c>
      <c r="AA553">
        <v>0.98161600000000004</v>
      </c>
      <c r="AB553">
        <v>23</v>
      </c>
      <c r="AC553">
        <v>121.17529999999999</v>
      </c>
      <c r="AD553">
        <v>1.6658009999999901</v>
      </c>
      <c r="AE553">
        <v>24.287700000000001</v>
      </c>
      <c r="AF553">
        <v>-23.6294953223702</v>
      </c>
      <c r="AG553">
        <v>1.6658009999999901</v>
      </c>
      <c r="AH553">
        <v>121.28249823583501</v>
      </c>
      <c r="AI553">
        <v>89.227619594475797</v>
      </c>
      <c r="AJ553">
        <v>101.02483714840101</v>
      </c>
      <c r="AK553">
        <v>123.57415717085399</v>
      </c>
      <c r="AL553">
        <v>79.082007536581699</v>
      </c>
      <c r="AM553">
        <v>85.506745918973706</v>
      </c>
      <c r="AN553">
        <v>1.0000000215207101</v>
      </c>
    </row>
    <row r="554" spans="1:40" x14ac:dyDescent="0.25">
      <c r="A554" t="str">
        <f>"20190303170508194"</f>
        <v>20190303170508194</v>
      </c>
      <c r="B554" t="str">
        <f>"1551603908184863"</f>
        <v>1551603908184863</v>
      </c>
      <c r="C554" t="s">
        <v>40</v>
      </c>
      <c r="D554">
        <v>5.184253</v>
      </c>
      <c r="E554">
        <v>0.35030929999999999</v>
      </c>
      <c r="F554" t="s">
        <v>45</v>
      </c>
      <c r="G554">
        <v>-284.8707</v>
      </c>
      <c r="H554">
        <v>6.7996829999999999</v>
      </c>
      <c r="I554">
        <v>389.99860000000001</v>
      </c>
      <c r="J554">
        <v>-355.23660000000001</v>
      </c>
      <c r="K554">
        <v>1.1208469999999999</v>
      </c>
      <c r="L554">
        <v>367.16399999999999</v>
      </c>
      <c r="M554">
        <v>0.99994919999999998</v>
      </c>
      <c r="N554">
        <v>-8.5314610000000006E-3</v>
      </c>
      <c r="O554">
        <v>5.3934650000000001E-3</v>
      </c>
      <c r="P554">
        <v>0.98084280000000001</v>
      </c>
      <c r="Q554">
        <v>0.18213989999999999</v>
      </c>
      <c r="R554">
        <v>-6.9083779999999997E-2</v>
      </c>
      <c r="S554">
        <v>3.0855100000000002</v>
      </c>
      <c r="T554">
        <v>0.2482578</v>
      </c>
      <c r="U554">
        <v>0.99829100000000004</v>
      </c>
      <c r="V554">
        <v>7.4380349999999998E-2</v>
      </c>
      <c r="W554">
        <v>0.19049559999999999</v>
      </c>
      <c r="X554">
        <v>0.97886620000000002</v>
      </c>
      <c r="Y554">
        <v>-0.30193179999999997</v>
      </c>
      <c r="Z554">
        <v>-1.003769E-2</v>
      </c>
      <c r="AA554">
        <v>0.95327669999999998</v>
      </c>
      <c r="AB554">
        <v>23</v>
      </c>
      <c r="AC554">
        <v>70.365899999999996</v>
      </c>
      <c r="AD554">
        <v>5.6788360000000004</v>
      </c>
      <c r="AE554">
        <v>22.834599999999998</v>
      </c>
      <c r="AF554">
        <v>-22.3231952622641</v>
      </c>
      <c r="AG554">
        <v>5.6788360000000004</v>
      </c>
      <c r="AH554">
        <v>70.075110343773503</v>
      </c>
      <c r="AI554">
        <v>85.584613395744299</v>
      </c>
      <c r="AJ554">
        <v>107.66984883775901</v>
      </c>
      <c r="AK554">
        <v>73.763780507265906</v>
      </c>
      <c r="AL554">
        <v>79.018292011018005</v>
      </c>
      <c r="AM554">
        <v>85.654660206974398</v>
      </c>
      <c r="AN554">
        <v>1.0000000237939599</v>
      </c>
    </row>
    <row r="555" spans="1:40" x14ac:dyDescent="0.25">
      <c r="A555" t="str">
        <f>"20190303170508217"</f>
        <v>20190303170508217</v>
      </c>
      <c r="B555" t="str">
        <f>"1551603908205362"</f>
        <v>1551603908205362</v>
      </c>
      <c r="C555" t="s">
        <v>40</v>
      </c>
      <c r="D555">
        <v>5.4681610000000003</v>
      </c>
      <c r="E555">
        <v>0.35287230000000003</v>
      </c>
      <c r="F555" t="s">
        <v>45</v>
      </c>
      <c r="G555">
        <v>-284.58609999999999</v>
      </c>
      <c r="H555">
        <v>6.860608</v>
      </c>
      <c r="I555">
        <v>389.99860000000001</v>
      </c>
      <c r="J555">
        <v>-355.01589999999999</v>
      </c>
      <c r="K555">
        <v>1.1208389999999999</v>
      </c>
      <c r="L555">
        <v>367.16520000000003</v>
      </c>
      <c r="M555">
        <v>0.99994970000000005</v>
      </c>
      <c r="N555">
        <v>-8.4544310000000001E-3</v>
      </c>
      <c r="O555">
        <v>5.3939729999999998E-3</v>
      </c>
      <c r="P555">
        <v>0.98109650000000004</v>
      </c>
      <c r="Q555">
        <v>0.1818755</v>
      </c>
      <c r="R555">
        <v>-6.6113160000000004E-2</v>
      </c>
      <c r="S555">
        <v>3.082214</v>
      </c>
      <c r="T555">
        <v>0.25040519999999999</v>
      </c>
      <c r="U555">
        <v>0.99618530000000005</v>
      </c>
      <c r="V555">
        <v>7.1411779999999994E-2</v>
      </c>
      <c r="W555">
        <v>0.19015799999999999</v>
      </c>
      <c r="X555">
        <v>0.97915289999999999</v>
      </c>
      <c r="Y555">
        <v>-0.30162410000000001</v>
      </c>
      <c r="Z555">
        <v>-1.0150360000000001E-2</v>
      </c>
      <c r="AA555">
        <v>0.95337289999999997</v>
      </c>
      <c r="AB555">
        <v>23</v>
      </c>
      <c r="AC555">
        <v>70.4298</v>
      </c>
      <c r="AD555">
        <v>5.7397689999999999</v>
      </c>
      <c r="AE555">
        <v>22.833399999999902</v>
      </c>
      <c r="AF555">
        <v>-22.319021256970199</v>
      </c>
      <c r="AG555">
        <v>5.7397689999999999</v>
      </c>
      <c r="AH555">
        <v>70.130460906476003</v>
      </c>
      <c r="AI555">
        <v>85.540536008617096</v>
      </c>
      <c r="AJ555">
        <v>107.653673081739</v>
      </c>
      <c r="AK555">
        <v>73.819815801702006</v>
      </c>
      <c r="AL555">
        <v>79.037995565019003</v>
      </c>
      <c r="AM555">
        <v>85.828677905379095</v>
      </c>
      <c r="AN555">
        <v>1.00000005443258</v>
      </c>
    </row>
    <row r="556" spans="1:40" x14ac:dyDescent="0.25">
      <c r="A556" t="str">
        <f>"20190303170508239"</f>
        <v>20190303170508239</v>
      </c>
      <c r="B556" t="str">
        <f>"1551603908234642"</f>
        <v>1551603908234642</v>
      </c>
      <c r="C556" t="s">
        <v>40</v>
      </c>
      <c r="D556">
        <v>5.4638309999999999</v>
      </c>
      <c r="E556">
        <v>0.35678749999999998</v>
      </c>
      <c r="F556" t="s">
        <v>45</v>
      </c>
      <c r="G556">
        <v>-283.62290000000002</v>
      </c>
      <c r="H556">
        <v>6.3115009999999998</v>
      </c>
      <c r="I556">
        <v>389.99860000000001</v>
      </c>
      <c r="J556">
        <v>-354.77949999999998</v>
      </c>
      <c r="K556">
        <v>1.1208279999999999</v>
      </c>
      <c r="L556">
        <v>367.16649999999998</v>
      </c>
      <c r="M556">
        <v>0.99995029999999996</v>
      </c>
      <c r="N556">
        <v>-8.3806239999999997E-3</v>
      </c>
      <c r="O556">
        <v>5.3942859999999999E-3</v>
      </c>
      <c r="P556">
        <v>0.98136820000000002</v>
      </c>
      <c r="Q556">
        <v>0.1814287</v>
      </c>
      <c r="R556">
        <v>-6.3245860000000001E-2</v>
      </c>
      <c r="S556">
        <v>3.082703</v>
      </c>
      <c r="T556">
        <v>0.22413060000000001</v>
      </c>
      <c r="U556">
        <v>0.98593140000000001</v>
      </c>
      <c r="V556">
        <v>6.8546239999999994E-2</v>
      </c>
      <c r="W556">
        <v>0.18964120000000001</v>
      </c>
      <c r="X556">
        <v>0.97945789999999999</v>
      </c>
      <c r="Y556">
        <v>-0.298873</v>
      </c>
      <c r="Z556">
        <v>-8.8771100000000006E-3</v>
      </c>
      <c r="AA556">
        <v>0.95425159999999998</v>
      </c>
      <c r="AB556">
        <v>23</v>
      </c>
      <c r="AC556">
        <v>71.156599999999898</v>
      </c>
      <c r="AD556">
        <v>5.1906729999999897</v>
      </c>
      <c r="AE556">
        <v>22.832100000000001</v>
      </c>
      <c r="AF556">
        <v>-22.340133886411099</v>
      </c>
      <c r="AG556">
        <v>5.1906729999999897</v>
      </c>
      <c r="AH556">
        <v>70.936494357720207</v>
      </c>
      <c r="AI556">
        <v>86.007562622424501</v>
      </c>
      <c r="AJ556">
        <v>107.480854799082</v>
      </c>
      <c r="AK556">
        <v>74.552068381893903</v>
      </c>
      <c r="AL556">
        <v>79.068155040470103</v>
      </c>
      <c r="AM556">
        <v>85.996747569844203</v>
      </c>
      <c r="AN556">
        <v>1.0000000748139899</v>
      </c>
    </row>
    <row r="557" spans="1:40" x14ac:dyDescent="0.25">
      <c r="A557" t="str">
        <f>"20190303170508262"</f>
        <v>20190303170508262</v>
      </c>
      <c r="B557" t="str">
        <f>"1551603908255138"</f>
        <v>1551603908255138</v>
      </c>
      <c r="C557" t="s">
        <v>40</v>
      </c>
      <c r="D557">
        <v>5.4793909999999997</v>
      </c>
      <c r="E557">
        <v>0.35833029999999999</v>
      </c>
      <c r="F557" t="s">
        <v>45</v>
      </c>
      <c r="G557">
        <v>-276.16149999999999</v>
      </c>
      <c r="H557">
        <v>5.6812009999999997</v>
      </c>
      <c r="I557">
        <v>391.75</v>
      </c>
      <c r="J557">
        <v>-354.54349999999999</v>
      </c>
      <c r="K557">
        <v>1.1208199999999999</v>
      </c>
      <c r="L557">
        <v>367.1678</v>
      </c>
      <c r="M557">
        <v>0.99995089999999998</v>
      </c>
      <c r="N557">
        <v>-8.3165909999999999E-3</v>
      </c>
      <c r="O557">
        <v>5.3947350000000003E-3</v>
      </c>
      <c r="P557">
        <v>0.98135859999999997</v>
      </c>
      <c r="Q557">
        <v>0.1823582</v>
      </c>
      <c r="R557">
        <v>-6.0670000000000002E-2</v>
      </c>
      <c r="S557">
        <v>3.0860599999999998</v>
      </c>
      <c r="T557">
        <v>0.17901310000000001</v>
      </c>
      <c r="U557">
        <v>0.96499630000000003</v>
      </c>
      <c r="V557">
        <v>6.5970639999999997E-2</v>
      </c>
      <c r="W557">
        <v>0.19050819999999999</v>
      </c>
      <c r="X557">
        <v>0.97946639999999996</v>
      </c>
      <c r="Y557">
        <v>-0.29292259999999998</v>
      </c>
      <c r="Z557">
        <v>-6.6947930000000001E-3</v>
      </c>
      <c r="AA557">
        <v>0.95611270000000004</v>
      </c>
      <c r="AB557">
        <v>23</v>
      </c>
      <c r="AC557">
        <v>78.382000000000005</v>
      </c>
      <c r="AD557">
        <v>4.5603809999999996</v>
      </c>
      <c r="AE557">
        <v>24.5822</v>
      </c>
      <c r="AF557">
        <v>-24.084749516254099</v>
      </c>
      <c r="AG557">
        <v>4.5603809999999996</v>
      </c>
      <c r="AH557">
        <v>78.272247134111197</v>
      </c>
      <c r="AI557">
        <v>86.812695137517494</v>
      </c>
      <c r="AJ557">
        <v>107.10338507102</v>
      </c>
      <c r="AK557">
        <v>82.020832143725798</v>
      </c>
      <c r="AL557">
        <v>79.017555953846596</v>
      </c>
      <c r="AM557">
        <v>86.146739708408901</v>
      </c>
      <c r="AN557">
        <v>0.99999996416910397</v>
      </c>
    </row>
    <row r="558" spans="1:40" x14ac:dyDescent="0.25">
      <c r="A558" t="str">
        <f>"20190303170508285"</f>
        <v>20190303170508285</v>
      </c>
      <c r="B558" t="str">
        <f>"1551603908274658"</f>
        <v>1551603908274658</v>
      </c>
      <c r="C558" t="s">
        <v>40</v>
      </c>
      <c r="D558">
        <v>5.4782419999999998</v>
      </c>
      <c r="E558">
        <v>0.35952770000000001</v>
      </c>
      <c r="F558" t="s">
        <v>45</v>
      </c>
      <c r="G558">
        <v>-275.6275</v>
      </c>
      <c r="H558">
        <v>5.3504110000000003</v>
      </c>
      <c r="I558">
        <v>391.75</v>
      </c>
      <c r="J558">
        <v>-354.315</v>
      </c>
      <c r="K558">
        <v>1.120822</v>
      </c>
      <c r="L558">
        <v>367.16899999999998</v>
      </c>
      <c r="M558">
        <v>0.99995140000000005</v>
      </c>
      <c r="N558">
        <v>-8.2635380000000008E-3</v>
      </c>
      <c r="O558">
        <v>5.3949569999999997E-3</v>
      </c>
      <c r="P558">
        <v>0.98135510000000004</v>
      </c>
      <c r="Q558">
        <v>0.18312909999999999</v>
      </c>
      <c r="R558">
        <v>-5.8364109999999997E-2</v>
      </c>
      <c r="S558">
        <v>3.0856629999999998</v>
      </c>
      <c r="T558">
        <v>0.16538069999999999</v>
      </c>
      <c r="U558">
        <v>0.96118159999999997</v>
      </c>
      <c r="V558">
        <v>6.366492E-2</v>
      </c>
      <c r="W558">
        <v>0.19122720000000001</v>
      </c>
      <c r="X558">
        <v>0.97947890000000004</v>
      </c>
      <c r="Y558">
        <v>-0.29193960000000002</v>
      </c>
      <c r="Z558">
        <v>-6.0767010000000003E-3</v>
      </c>
      <c r="AA558">
        <v>0.95641739999999997</v>
      </c>
      <c r="AB558">
        <v>23</v>
      </c>
      <c r="AC558">
        <v>78.6875</v>
      </c>
      <c r="AD558">
        <v>4.2295889999999998</v>
      </c>
      <c r="AE558">
        <v>24.5809999999999</v>
      </c>
      <c r="AF558">
        <v>-24.092691336565299</v>
      </c>
      <c r="AG558">
        <v>4.2295889999999998</v>
      </c>
      <c r="AH558">
        <v>78.612037090380298</v>
      </c>
      <c r="AI558">
        <v>87.055206502524697</v>
      </c>
      <c r="AJ558">
        <v>107.039037550836</v>
      </c>
      <c r="AK558">
        <v>82.329821902195704</v>
      </c>
      <c r="AL558">
        <v>78.975589037263205</v>
      </c>
      <c r="AM558">
        <v>86.281076422067997</v>
      </c>
      <c r="AN558">
        <v>0.99999998980182803</v>
      </c>
    </row>
    <row r="559" spans="1:40" x14ac:dyDescent="0.25">
      <c r="A559" t="str">
        <f>"20190303170508305"</f>
        <v>20190303170508305</v>
      </c>
      <c r="B559" t="str">
        <f>"1551603908295155"</f>
        <v>1551603908295155</v>
      </c>
      <c r="C559" t="s">
        <v>40</v>
      </c>
      <c r="D559">
        <v>5.4970660000000002</v>
      </c>
      <c r="E559">
        <v>0.3604716</v>
      </c>
      <c r="F559" t="s">
        <v>45</v>
      </c>
      <c r="G559">
        <v>-275.24360000000001</v>
      </c>
      <c r="H559">
        <v>5.1087809999999996</v>
      </c>
      <c r="I559">
        <v>391.75</v>
      </c>
      <c r="J559">
        <v>-354.0958</v>
      </c>
      <c r="K559">
        <v>1.1208149999999999</v>
      </c>
      <c r="L559">
        <v>367.17020000000002</v>
      </c>
      <c r="M559">
        <v>0.99995179999999995</v>
      </c>
      <c r="N559">
        <v>-8.2201269999999903E-3</v>
      </c>
      <c r="O559">
        <v>5.3951379999999998E-3</v>
      </c>
      <c r="P559">
        <v>0.98147459999999997</v>
      </c>
      <c r="Q559">
        <v>0.18319650000000001</v>
      </c>
      <c r="R559">
        <v>-5.6098639999999998E-2</v>
      </c>
      <c r="S559">
        <v>3.0850219999999999</v>
      </c>
      <c r="T559">
        <v>0.15559400000000001</v>
      </c>
      <c r="U559">
        <v>0.95904540000000005</v>
      </c>
      <c r="V559">
        <v>6.1400419999999997E-2</v>
      </c>
      <c r="W559">
        <v>0.19125329999999999</v>
      </c>
      <c r="X559">
        <v>0.9796184</v>
      </c>
      <c r="Y559">
        <v>-0.2914312</v>
      </c>
      <c r="Z559">
        <v>-5.6405550000000002E-3</v>
      </c>
      <c r="AA559">
        <v>0.95657519999999996</v>
      </c>
      <c r="AB559">
        <v>23</v>
      </c>
      <c r="AC559">
        <v>78.852199999999897</v>
      </c>
      <c r="AD559">
        <v>3.9879660000000001</v>
      </c>
      <c r="AE559">
        <v>24.579799999999899</v>
      </c>
      <c r="AF559">
        <v>-24.097829712983</v>
      </c>
      <c r="AG559">
        <v>3.9879660000000001</v>
      </c>
      <c r="AH559">
        <v>78.799960384522706</v>
      </c>
      <c r="AI559">
        <v>87.229258450101</v>
      </c>
      <c r="AJ559">
        <v>107.004165240433</v>
      </c>
      <c r="AK559">
        <v>82.498745604375301</v>
      </c>
      <c r="AL559">
        <v>78.974065868206907</v>
      </c>
      <c r="AM559">
        <v>86.413512719188802</v>
      </c>
      <c r="AN559">
        <v>1.0000000229778101</v>
      </c>
    </row>
    <row r="560" spans="1:40" x14ac:dyDescent="0.25">
      <c r="A560" t="str">
        <f>"20190303170508328"</f>
        <v>20190303170508328</v>
      </c>
      <c r="B560" t="str">
        <f>"1551603908314674"</f>
        <v>1551603908314674</v>
      </c>
      <c r="C560" t="s">
        <v>40</v>
      </c>
      <c r="D560">
        <v>5.5095229999999997</v>
      </c>
      <c r="E560">
        <v>0.36129050000000001</v>
      </c>
      <c r="F560" t="s">
        <v>45</v>
      </c>
      <c r="G560">
        <v>-275.03919999999999</v>
      </c>
      <c r="H560">
        <v>4.8730650000000004</v>
      </c>
      <c r="I560">
        <v>391.75</v>
      </c>
      <c r="J560">
        <v>-353.86799999999999</v>
      </c>
      <c r="K560">
        <v>1.120806</v>
      </c>
      <c r="L560">
        <v>367.17140000000001</v>
      </c>
      <c r="M560">
        <v>0.99995199999999995</v>
      </c>
      <c r="N560">
        <v>-8.1821159999999997E-3</v>
      </c>
      <c r="O560">
        <v>5.3954739999999999E-3</v>
      </c>
      <c r="P560">
        <v>0.98164960000000001</v>
      </c>
      <c r="Q560">
        <v>0.18282909999999999</v>
      </c>
      <c r="R560">
        <v>-5.4202E-2</v>
      </c>
      <c r="S560">
        <v>3.0841059999999998</v>
      </c>
      <c r="T560">
        <v>0.1463815</v>
      </c>
      <c r="U560">
        <v>0.95889279999999999</v>
      </c>
      <c r="V560">
        <v>5.950503E-2</v>
      </c>
      <c r="W560">
        <v>0.1908503</v>
      </c>
      <c r="X560">
        <v>0.97981390000000002</v>
      </c>
      <c r="Y560">
        <v>-0.29150209999999999</v>
      </c>
      <c r="Z560">
        <v>-5.2410169999999997E-3</v>
      </c>
      <c r="AA560">
        <v>0.95655579999999996</v>
      </c>
      <c r="AB560">
        <v>23</v>
      </c>
      <c r="AC560">
        <v>78.828800000000001</v>
      </c>
      <c r="AD560">
        <v>3.752259</v>
      </c>
      <c r="AE560">
        <v>24.578599999999899</v>
      </c>
      <c r="AF560">
        <v>-24.103135932452499</v>
      </c>
      <c r="AG560">
        <v>3.752259</v>
      </c>
      <c r="AH560">
        <v>78.797552079108996</v>
      </c>
      <c r="AI560">
        <v>87.392765144088898</v>
      </c>
      <c r="AJ560">
        <v>107.008183196838</v>
      </c>
      <c r="AK560">
        <v>82.486937287313907</v>
      </c>
      <c r="AL560">
        <v>78.997588915789095</v>
      </c>
      <c r="AM560">
        <v>86.524641286846006</v>
      </c>
      <c r="AN560">
        <v>0.99999998211929997</v>
      </c>
    </row>
    <row r="561" spans="1:40" x14ac:dyDescent="0.25">
      <c r="A561" t="str">
        <f>"20190303170508351"</f>
        <v>20190303170508351</v>
      </c>
      <c r="B561" t="str">
        <f>"1551603908344930"</f>
        <v>1551603908344930</v>
      </c>
      <c r="C561" t="s">
        <v>40</v>
      </c>
      <c r="D561">
        <v>5.4944579999999998</v>
      </c>
      <c r="E561">
        <v>0.36220619999999998</v>
      </c>
      <c r="F561" t="s">
        <v>45</v>
      </c>
      <c r="G561">
        <v>-274.80239999999998</v>
      </c>
      <c r="H561">
        <v>4.6412120000000003</v>
      </c>
      <c r="I561">
        <v>391.75</v>
      </c>
      <c r="J561">
        <v>-353.62470000000002</v>
      </c>
      <c r="K561">
        <v>1.120808</v>
      </c>
      <c r="L561">
        <v>367.1728</v>
      </c>
      <c r="M561">
        <v>0.99995239999999996</v>
      </c>
      <c r="N561">
        <v>-8.1474310000000001E-3</v>
      </c>
      <c r="O561">
        <v>5.3957359999999999E-3</v>
      </c>
      <c r="P561">
        <v>0.98169799999999996</v>
      </c>
      <c r="Q561">
        <v>0.18302679999999999</v>
      </c>
      <c r="R561">
        <v>-5.2637549999999998E-2</v>
      </c>
      <c r="S561">
        <v>3.0834350000000001</v>
      </c>
      <c r="T561">
        <v>0.13729140000000001</v>
      </c>
      <c r="U561">
        <v>0.95852660000000001</v>
      </c>
      <c r="V561">
        <v>5.7941279999999998E-2</v>
      </c>
      <c r="W561">
        <v>0.19101470000000001</v>
      </c>
      <c r="X561">
        <v>0.97987559999999996</v>
      </c>
      <c r="Y561">
        <v>-0.29148869999999999</v>
      </c>
      <c r="Z561">
        <v>-4.8440230000000003E-3</v>
      </c>
      <c r="AA561">
        <v>0.95656200000000002</v>
      </c>
      <c r="AB561">
        <v>23</v>
      </c>
      <c r="AC561">
        <v>78.822299999999998</v>
      </c>
      <c r="AD561">
        <v>3.5204040000000001</v>
      </c>
      <c r="AE561">
        <v>24.577200000000001</v>
      </c>
      <c r="AF561">
        <v>-24.1076962147222</v>
      </c>
      <c r="AG561">
        <v>3.5204040000000001</v>
      </c>
      <c r="AH561">
        <v>78.810492072505795</v>
      </c>
      <c r="AI561">
        <v>87.554072457562299</v>
      </c>
      <c r="AJ561">
        <v>107.00858347967601</v>
      </c>
      <c r="AK561">
        <v>82.490411090108196</v>
      </c>
      <c r="AL561">
        <v>78.987993148058194</v>
      </c>
      <c r="AM561">
        <v>86.615968723220405</v>
      </c>
      <c r="AN561">
        <v>0.99999999950974405</v>
      </c>
    </row>
    <row r="562" spans="1:40" x14ac:dyDescent="0.25">
      <c r="A562" t="str">
        <f>"20190303170508373"</f>
        <v>20190303170508373</v>
      </c>
      <c r="B562" t="str">
        <f>"1551603908365426"</f>
        <v>1551603908365426</v>
      </c>
      <c r="C562" t="s">
        <v>40</v>
      </c>
      <c r="D562">
        <v>5.4655290000000001</v>
      </c>
      <c r="E562">
        <v>0.36771989999999999</v>
      </c>
      <c r="F562" t="s">
        <v>45</v>
      </c>
      <c r="G562">
        <v>-274.3843</v>
      </c>
      <c r="H562">
        <v>4.4530830000000003</v>
      </c>
      <c r="I562">
        <v>391.75</v>
      </c>
      <c r="J562">
        <v>-353.39589999999998</v>
      </c>
      <c r="K562">
        <v>1.1208020000000001</v>
      </c>
      <c r="L562">
        <v>367.17399999999998</v>
      </c>
      <c r="M562">
        <v>0.99995259999999997</v>
      </c>
      <c r="N562">
        <v>-8.1162579999999995E-3</v>
      </c>
      <c r="O562">
        <v>5.3962209999999997E-3</v>
      </c>
      <c r="P562">
        <v>0.98153749999999995</v>
      </c>
      <c r="Q562">
        <v>0.1839228</v>
      </c>
      <c r="R562">
        <v>-5.250283E-2</v>
      </c>
      <c r="S562">
        <v>3.0830380000000002</v>
      </c>
      <c r="T562">
        <v>0.1296513</v>
      </c>
      <c r="U562">
        <v>0.95623780000000003</v>
      </c>
      <c r="V562">
        <v>5.7806360000000001E-2</v>
      </c>
      <c r="W562">
        <v>0.19187860000000001</v>
      </c>
      <c r="X562">
        <v>0.9797148</v>
      </c>
      <c r="Y562">
        <v>-0.29090050000000001</v>
      </c>
      <c r="Z562">
        <v>-4.5013730000000004E-3</v>
      </c>
      <c r="AA562">
        <v>0.95674269999999995</v>
      </c>
      <c r="AB562">
        <v>23</v>
      </c>
      <c r="AC562">
        <v>79.011599999999902</v>
      </c>
      <c r="AD562">
        <v>3.3322809999999898</v>
      </c>
      <c r="AE562">
        <v>24.575999999999901</v>
      </c>
      <c r="AF562">
        <v>-24.110162464364802</v>
      </c>
      <c r="AG562">
        <v>3.3322809999999898</v>
      </c>
      <c r="AH562">
        <v>79.014925755503796</v>
      </c>
      <c r="AI562">
        <v>87.690125338235305</v>
      </c>
      <c r="AJ562">
        <v>106.96874449761199</v>
      </c>
      <c r="AK562">
        <v>82.678670301770097</v>
      </c>
      <c r="AL562">
        <v>78.937562859097994</v>
      </c>
      <c r="AM562">
        <v>86.623277562364294</v>
      </c>
      <c r="AN562">
        <v>1.0000000308667201</v>
      </c>
    </row>
    <row r="563" spans="1:40" x14ac:dyDescent="0.25">
      <c r="A563" t="str">
        <f>"20190303170508395"</f>
        <v>20190303170508395</v>
      </c>
      <c r="B563" t="str">
        <f>"1551603908384946"</f>
        <v>1551603908384946</v>
      </c>
      <c r="C563" t="s">
        <v>40</v>
      </c>
      <c r="D563">
        <v>5.5260220000000002</v>
      </c>
      <c r="E563">
        <v>0.3648554</v>
      </c>
      <c r="F563" t="s">
        <v>45</v>
      </c>
      <c r="G563">
        <v>-272.97879999999998</v>
      </c>
      <c r="H563">
        <v>3.343534</v>
      </c>
      <c r="I563">
        <v>390.97559999999999</v>
      </c>
      <c r="J563">
        <v>-353.1617</v>
      </c>
      <c r="K563">
        <v>1.1208039999999999</v>
      </c>
      <c r="L563">
        <v>367.17529999999999</v>
      </c>
      <c r="M563">
        <v>0.99995270000000003</v>
      </c>
      <c r="N563">
        <v>-8.0855489999999992E-3</v>
      </c>
      <c r="O563">
        <v>5.397364E-3</v>
      </c>
      <c r="P563">
        <v>0.9813056</v>
      </c>
      <c r="Q563">
        <v>0.18529080000000001</v>
      </c>
      <c r="R563">
        <v>-5.2027700000000003E-2</v>
      </c>
      <c r="S563">
        <v>3.0893250000000001</v>
      </c>
      <c r="T563">
        <v>8.5390209999999994E-2</v>
      </c>
      <c r="U563">
        <v>0.91436770000000001</v>
      </c>
      <c r="V563">
        <v>5.7330899999999997E-2</v>
      </c>
      <c r="W563">
        <v>0.19321450000000001</v>
      </c>
      <c r="X563">
        <v>0.97948009999999996</v>
      </c>
      <c r="Y563">
        <v>-0.27856239999999999</v>
      </c>
      <c r="Z563">
        <v>-2.429624E-3</v>
      </c>
      <c r="AA563">
        <v>0.96041509999999997</v>
      </c>
      <c r="AB563">
        <v>23</v>
      </c>
      <c r="AC563">
        <v>80.182900000000004</v>
      </c>
      <c r="AD563">
        <v>2.2227299999999901</v>
      </c>
      <c r="AE563">
        <v>23.8003</v>
      </c>
      <c r="AF563">
        <v>-23.35067216589</v>
      </c>
      <c r="AG563">
        <v>2.2227299999999901</v>
      </c>
      <c r="AH563">
        <v>80.253518564762103</v>
      </c>
      <c r="AI563">
        <v>88.476661567584799</v>
      </c>
      <c r="AJ563">
        <v>106.22295429867999</v>
      </c>
      <c r="AK563">
        <v>83.611133596407996</v>
      </c>
      <c r="AL563">
        <v>78.859561177046004</v>
      </c>
      <c r="AM563">
        <v>86.650187130551998</v>
      </c>
      <c r="AN563">
        <v>0.99999997070053404</v>
      </c>
    </row>
    <row r="564" spans="1:40" x14ac:dyDescent="0.25">
      <c r="A564" t="str">
        <f>"20190303170508408"</f>
        <v>20190303170508408</v>
      </c>
      <c r="B564" t="str">
        <f>"1551603908394706"</f>
        <v>1551603908394706</v>
      </c>
      <c r="C564" t="s">
        <v>40</v>
      </c>
      <c r="D564">
        <v>5.4988099999999998</v>
      </c>
      <c r="E564">
        <v>0.3652917</v>
      </c>
      <c r="F564" t="s">
        <v>45</v>
      </c>
      <c r="G564">
        <v>-272.97859999999997</v>
      </c>
      <c r="H564">
        <v>4.0920620000000003</v>
      </c>
      <c r="I564">
        <v>391.5403</v>
      </c>
      <c r="J564">
        <v>-353.03570000000002</v>
      </c>
      <c r="K564">
        <v>1.120803</v>
      </c>
      <c r="L564">
        <v>367.17599999999999</v>
      </c>
      <c r="M564">
        <v>0.99995299999999998</v>
      </c>
      <c r="N564">
        <v>-8.0694449999999997E-3</v>
      </c>
      <c r="O564">
        <v>5.3989249999999997E-3</v>
      </c>
      <c r="P564">
        <v>0.98125839999999998</v>
      </c>
      <c r="Q564">
        <v>0.18544749999999999</v>
      </c>
      <c r="R564">
        <v>-5.2357599999999997E-2</v>
      </c>
      <c r="S564">
        <v>3.0852360000000001</v>
      </c>
      <c r="T564">
        <v>0.11432730000000001</v>
      </c>
      <c r="U564">
        <v>0.9375</v>
      </c>
      <c r="V564">
        <v>5.7661789999999997E-2</v>
      </c>
      <c r="W564">
        <v>0.19335530000000001</v>
      </c>
      <c r="X564">
        <v>0.97943290000000005</v>
      </c>
      <c r="Y564">
        <v>-0.2854373</v>
      </c>
      <c r="Z564">
        <v>-3.7546879999999999E-3</v>
      </c>
      <c r="AA564">
        <v>0.95839010000000002</v>
      </c>
      <c r="AB564">
        <v>23</v>
      </c>
      <c r="AC564">
        <v>80.057100000000005</v>
      </c>
      <c r="AD564">
        <v>2.9712589999999999</v>
      </c>
      <c r="AE564">
        <v>24.3643</v>
      </c>
      <c r="AF564">
        <v>-23.901575864896099</v>
      </c>
      <c r="AG564">
        <v>2.9712589999999999</v>
      </c>
      <c r="AH564">
        <v>80.086513345085393</v>
      </c>
      <c r="AI564">
        <v>87.963929194248394</v>
      </c>
      <c r="AJ564">
        <v>106.617573551807</v>
      </c>
      <c r="AK564">
        <v>83.629918860674493</v>
      </c>
      <c r="AL564">
        <v>78.851338983636396</v>
      </c>
      <c r="AM564">
        <v>86.630735831694494</v>
      </c>
      <c r="AN564">
        <v>0.99999997983325195</v>
      </c>
    </row>
    <row r="565" spans="1:40" x14ac:dyDescent="0.25">
      <c r="A565" t="str">
        <f>"20190303170508423"</f>
        <v>20190303170508423</v>
      </c>
      <c r="B565" t="str">
        <f>"1551603908415202"</f>
        <v>1551603908415202</v>
      </c>
      <c r="C565" t="s">
        <v>40</v>
      </c>
      <c r="D565">
        <v>5.4879129999999998</v>
      </c>
      <c r="E565">
        <v>0.36572919999999998</v>
      </c>
      <c r="F565" t="s">
        <v>45</v>
      </c>
      <c r="G565">
        <v>-272.97859999999997</v>
      </c>
      <c r="H565">
        <v>3.9403489999999999</v>
      </c>
      <c r="I565">
        <v>391.35739999999998</v>
      </c>
      <c r="J565">
        <v>-352.86630000000002</v>
      </c>
      <c r="K565">
        <v>1.1208</v>
      </c>
      <c r="L565">
        <v>367.17689999999999</v>
      </c>
      <c r="M565">
        <v>0.99995299999999998</v>
      </c>
      <c r="N565">
        <v>-8.0477710000000004E-3</v>
      </c>
      <c r="O565">
        <v>5.4027229999999999E-3</v>
      </c>
      <c r="P565">
        <v>0.98116210000000004</v>
      </c>
      <c r="Q565">
        <v>0.18591869999999999</v>
      </c>
      <c r="R565">
        <v>-5.2493419999999999E-2</v>
      </c>
      <c r="S565">
        <v>3.086487</v>
      </c>
      <c r="T565">
        <v>0.1087046</v>
      </c>
      <c r="U565">
        <v>0.93228149999999999</v>
      </c>
      <c r="V565">
        <v>5.7799950000000003E-2</v>
      </c>
      <c r="W565">
        <v>0.19380439999999999</v>
      </c>
      <c r="X565">
        <v>0.97933599999999998</v>
      </c>
      <c r="Y565">
        <v>-0.28385640000000001</v>
      </c>
      <c r="Z565">
        <v>-3.492172E-3</v>
      </c>
      <c r="AA565">
        <v>0.9588605</v>
      </c>
      <c r="AB565">
        <v>23</v>
      </c>
      <c r="AC565">
        <v>79.887699999999995</v>
      </c>
      <c r="AD565">
        <v>2.8195489999999999</v>
      </c>
      <c r="AE565">
        <v>24.180499999999899</v>
      </c>
      <c r="AF565">
        <v>-23.721453047868099</v>
      </c>
      <c r="AG565">
        <v>2.8195489999999999</v>
      </c>
      <c r="AH565">
        <v>79.9259739851624</v>
      </c>
      <c r="AI565">
        <v>88.063055177097098</v>
      </c>
      <c r="AJ565">
        <v>106.53050914448001</v>
      </c>
      <c r="AK565">
        <v>83.419533136684905</v>
      </c>
      <c r="AL565">
        <v>78.825111458211595</v>
      </c>
      <c r="AM565">
        <v>86.622348208158698</v>
      </c>
      <c r="AN565">
        <v>0.99999999028768105</v>
      </c>
    </row>
    <row r="566" spans="1:40" x14ac:dyDescent="0.25">
      <c r="A566" t="str">
        <f>"20190303170508441"</f>
        <v>20190303170508441</v>
      </c>
      <c r="B566" t="str">
        <f>"1551603908434722"</f>
        <v>1551603908434722</v>
      </c>
      <c r="C566" t="s">
        <v>40</v>
      </c>
      <c r="D566">
        <v>5.3205299999999998</v>
      </c>
      <c r="E566">
        <v>0.3645832</v>
      </c>
      <c r="F566" t="s">
        <v>45</v>
      </c>
      <c r="G566">
        <v>-272.9787</v>
      </c>
      <c r="H566">
        <v>3.8269129999999998</v>
      </c>
      <c r="I566">
        <v>391.2029</v>
      </c>
      <c r="J566">
        <v>-352.67759999999998</v>
      </c>
      <c r="K566">
        <v>1.120803</v>
      </c>
      <c r="L566">
        <v>367.17790000000002</v>
      </c>
      <c r="M566">
        <v>0.99995319999999999</v>
      </c>
      <c r="N566">
        <v>-8.0204209999999998E-3</v>
      </c>
      <c r="O566">
        <v>5.4095929999999999E-3</v>
      </c>
      <c r="P566">
        <v>0.98116559999999997</v>
      </c>
      <c r="Q566">
        <v>0.185722</v>
      </c>
      <c r="R566">
        <v>-5.3120260000000002E-2</v>
      </c>
      <c r="S566">
        <v>3.087494</v>
      </c>
      <c r="T566">
        <v>0.10458679999999999</v>
      </c>
      <c r="U566">
        <v>0.92855829999999995</v>
      </c>
      <c r="V566">
        <v>5.8432440000000002E-2</v>
      </c>
      <c r="W566">
        <v>0.19358130000000001</v>
      </c>
      <c r="X566">
        <v>0.97934259999999995</v>
      </c>
      <c r="Y566">
        <v>-0.28271350000000001</v>
      </c>
      <c r="Z566">
        <v>-3.3033099999999998E-3</v>
      </c>
      <c r="AA566">
        <v>0.95919869999999996</v>
      </c>
      <c r="AB566">
        <v>24</v>
      </c>
      <c r="AC566">
        <v>79.698899999999895</v>
      </c>
      <c r="AD566">
        <v>2.7061099999999998</v>
      </c>
      <c r="AE566">
        <v>24.024999999999899</v>
      </c>
      <c r="AF566">
        <v>-23.568587516407302</v>
      </c>
      <c r="AG566">
        <v>2.7061099999999998</v>
      </c>
      <c r="AH566">
        <v>79.743426634280894</v>
      </c>
      <c r="AI566">
        <v>88.136048196179999</v>
      </c>
      <c r="AJ566">
        <v>106.465320791576</v>
      </c>
      <c r="AK566">
        <v>83.197448519937197</v>
      </c>
      <c r="AL566">
        <v>78.838140993485595</v>
      </c>
      <c r="AM566">
        <v>86.585497367209499</v>
      </c>
      <c r="AN566">
        <v>0.99999999896440095</v>
      </c>
    </row>
    <row r="567" spans="1:40" x14ac:dyDescent="0.25">
      <c r="A567" t="str">
        <f>"20190303170508464"</f>
        <v>20190303170508464</v>
      </c>
      <c r="B567" t="str">
        <f>"1551603908455219"</f>
        <v>1551603908455219</v>
      </c>
      <c r="C567" t="s">
        <v>40</v>
      </c>
      <c r="D567">
        <v>5.3470139999999997</v>
      </c>
      <c r="E567">
        <v>0.36256579999999999</v>
      </c>
      <c r="F567" t="s">
        <v>45</v>
      </c>
      <c r="G567">
        <v>-272.97859999999997</v>
      </c>
      <c r="H567">
        <v>4.071053</v>
      </c>
      <c r="I567">
        <v>391.34350000000001</v>
      </c>
      <c r="J567">
        <v>-352.43779999999998</v>
      </c>
      <c r="K567">
        <v>1.120795</v>
      </c>
      <c r="L567">
        <v>367.17919999999998</v>
      </c>
      <c r="M567">
        <v>0.9999536</v>
      </c>
      <c r="N567">
        <v>-7.9794380000000002E-3</v>
      </c>
      <c r="O567">
        <v>5.4208759999999998E-3</v>
      </c>
      <c r="P567">
        <v>0.98114789999999996</v>
      </c>
      <c r="Q567">
        <v>0.18562529999999999</v>
      </c>
      <c r="R567">
        <v>-5.3780479999999999E-2</v>
      </c>
      <c r="S567">
        <v>3.0866699999999998</v>
      </c>
      <c r="T567">
        <v>0.1142616</v>
      </c>
      <c r="U567">
        <v>0.93591310000000005</v>
      </c>
      <c r="V567">
        <v>5.9102309999999998E-2</v>
      </c>
      <c r="W567">
        <v>0.1934447</v>
      </c>
      <c r="X567">
        <v>0.97932940000000002</v>
      </c>
      <c r="Y567">
        <v>-0.28484130000000002</v>
      </c>
      <c r="Z567">
        <v>-3.7543730000000001E-3</v>
      </c>
      <c r="AA567">
        <v>0.95856730000000001</v>
      </c>
      <c r="AB567">
        <v>24</v>
      </c>
      <c r="AC567">
        <v>79.459199999999996</v>
      </c>
      <c r="AD567">
        <v>2.9502579999999998</v>
      </c>
      <c r="AE567">
        <v>24.164300000000001</v>
      </c>
      <c r="AF567">
        <v>-23.703282171374699</v>
      </c>
      <c r="AG567">
        <v>2.9502579999999998</v>
      </c>
      <c r="AH567">
        <v>79.488723249091606</v>
      </c>
      <c r="AI567">
        <v>87.962977530191694</v>
      </c>
      <c r="AJ567">
        <v>106.60441167636399</v>
      </c>
      <c r="AK567">
        <v>83.000040552598804</v>
      </c>
      <c r="AL567">
        <v>78.846118448894003</v>
      </c>
      <c r="AM567">
        <v>86.546401250379702</v>
      </c>
      <c r="AN567">
        <v>1.00000000435489</v>
      </c>
    </row>
    <row r="568" spans="1:40" x14ac:dyDescent="0.25">
      <c r="A568" t="str">
        <f>"20190303170508476"</f>
        <v>20190303170508476</v>
      </c>
      <c r="B568" t="str">
        <f>"1551603908464982"</f>
        <v>1551603908464982</v>
      </c>
      <c r="C568" t="s">
        <v>40</v>
      </c>
      <c r="D568">
        <v>5.3293499999999998</v>
      </c>
      <c r="E568">
        <v>0.36177559999999997</v>
      </c>
      <c r="F568" t="s">
        <v>45</v>
      </c>
      <c r="G568">
        <v>-272.97840000000002</v>
      </c>
      <c r="H568">
        <v>4.5207119999999996</v>
      </c>
      <c r="I568">
        <v>391.61829999999998</v>
      </c>
      <c r="J568">
        <v>-352.2937</v>
      </c>
      <c r="K568">
        <v>1.120792</v>
      </c>
      <c r="L568">
        <v>367.18</v>
      </c>
      <c r="M568">
        <v>0.99995369999999995</v>
      </c>
      <c r="N568">
        <v>-7.9502059999999996E-3</v>
      </c>
      <c r="O568">
        <v>5.4292949999999998E-3</v>
      </c>
      <c r="P568">
        <v>0.98119449999999997</v>
      </c>
      <c r="Q568">
        <v>0.18528839999999999</v>
      </c>
      <c r="R568">
        <v>-5.4088329999999997E-2</v>
      </c>
      <c r="S568">
        <v>3.0847169999999999</v>
      </c>
      <c r="T568">
        <v>0.13199029999999901</v>
      </c>
      <c r="U568">
        <v>0.94876099999999997</v>
      </c>
      <c r="V568">
        <v>5.9417829999999998E-2</v>
      </c>
      <c r="W568">
        <v>0.1930798</v>
      </c>
      <c r="X568">
        <v>0.97938230000000004</v>
      </c>
      <c r="Y568">
        <v>-0.28859669999999998</v>
      </c>
      <c r="Z568">
        <v>-4.5896139999999997E-3</v>
      </c>
      <c r="AA568">
        <v>0.95743979999999995</v>
      </c>
      <c r="AB568">
        <v>24</v>
      </c>
      <c r="AC568">
        <v>79.315299999999894</v>
      </c>
      <c r="AD568">
        <v>3.3999199999999998</v>
      </c>
      <c r="AE568">
        <v>24.438299999999899</v>
      </c>
      <c r="AF568">
        <v>-23.967079292337498</v>
      </c>
      <c r="AG568">
        <v>3.3999199999999998</v>
      </c>
      <c r="AH568">
        <v>79.313716249352197</v>
      </c>
      <c r="AI568">
        <v>87.650233289835995</v>
      </c>
      <c r="AJ568">
        <v>106.81380698542</v>
      </c>
      <c r="AK568">
        <v>82.925544502851196</v>
      </c>
      <c r="AL568">
        <v>78.867427236504994</v>
      </c>
      <c r="AM568">
        <v>86.528196136874101</v>
      </c>
      <c r="AN568">
        <v>0.99999998862161898</v>
      </c>
    </row>
    <row r="569" spans="1:40" x14ac:dyDescent="0.25">
      <c r="A569" t="str">
        <f>"20190303170508489"</f>
        <v>20190303170508489</v>
      </c>
      <c r="B569" t="str">
        <f>"1551603908485399"</f>
        <v>1551603908485399</v>
      </c>
      <c r="C569" t="s">
        <v>40</v>
      </c>
      <c r="D569">
        <v>5.3175540000000003</v>
      </c>
      <c r="E569">
        <v>0.36050779999999999</v>
      </c>
      <c r="F569" t="s">
        <v>45</v>
      </c>
      <c r="G569">
        <v>-272.97840000000002</v>
      </c>
      <c r="H569">
        <v>4.6811410000000002</v>
      </c>
      <c r="I569">
        <v>391.72669999999999</v>
      </c>
      <c r="J569">
        <v>-352.1703</v>
      </c>
      <c r="K569">
        <v>1.1207830000000001</v>
      </c>
      <c r="L569">
        <v>367.1807</v>
      </c>
      <c r="M569">
        <v>0.99995389999999995</v>
      </c>
      <c r="N569">
        <v>-7.924103E-3</v>
      </c>
      <c r="O569">
        <v>5.4369800000000001E-3</v>
      </c>
      <c r="P569">
        <v>0.98113570000000005</v>
      </c>
      <c r="Q569">
        <v>0.18547569999999999</v>
      </c>
      <c r="R569">
        <v>-5.4513020000000002E-2</v>
      </c>
      <c r="S569">
        <v>3.0839840000000001</v>
      </c>
      <c r="T569">
        <v>0.1384367</v>
      </c>
      <c r="U569">
        <v>0.95443730000000004</v>
      </c>
      <c r="V569">
        <v>5.9849109999999997E-2</v>
      </c>
      <c r="W569">
        <v>0.1932412</v>
      </c>
      <c r="X569">
        <v>0.97932419999999998</v>
      </c>
      <c r="Y569">
        <v>-0.29023929999999998</v>
      </c>
      <c r="Z569">
        <v>-4.905258E-3</v>
      </c>
      <c r="AA569">
        <v>0.9569415</v>
      </c>
      <c r="AB569">
        <v>24</v>
      </c>
      <c r="AC569">
        <v>79.191899999999904</v>
      </c>
      <c r="AD569">
        <v>3.5603579999999999</v>
      </c>
      <c r="AE569">
        <v>24.5459999999999</v>
      </c>
      <c r="AF569">
        <v>-24.0706699878561</v>
      </c>
      <c r="AG569">
        <v>3.5603579999999999</v>
      </c>
      <c r="AH569">
        <v>79.178176578612195</v>
      </c>
      <c r="AI569">
        <v>87.536524333795398</v>
      </c>
      <c r="AJ569">
        <v>106.909605870278</v>
      </c>
      <c r="AK569">
        <v>82.832704586209999</v>
      </c>
      <c r="AL569">
        <v>78.858002134289094</v>
      </c>
      <c r="AM569">
        <v>86.502851663335505</v>
      </c>
      <c r="AN569">
        <v>0.99999998302543502</v>
      </c>
    </row>
    <row r="570" spans="1:40" x14ac:dyDescent="0.25">
      <c r="A570" t="str">
        <f>"20190303170508506"</f>
        <v>20190303170508506</v>
      </c>
      <c r="B570" t="str">
        <f>"1551603908495158"</f>
        <v>1551603908495158</v>
      </c>
      <c r="C570" t="s">
        <v>40</v>
      </c>
      <c r="D570">
        <v>5.2913779999999999</v>
      </c>
      <c r="E570">
        <v>0.35999619999999999</v>
      </c>
      <c r="F570" t="s">
        <v>45</v>
      </c>
      <c r="G570">
        <v>-273.49720000000002</v>
      </c>
      <c r="H570">
        <v>4.9506990000000002</v>
      </c>
      <c r="I570">
        <v>391.75</v>
      </c>
      <c r="J570">
        <v>-351.98360000000002</v>
      </c>
      <c r="K570">
        <v>1.120773</v>
      </c>
      <c r="L570">
        <v>367.18169999999998</v>
      </c>
      <c r="M570">
        <v>0.99995420000000002</v>
      </c>
      <c r="N570">
        <v>-7.8826209999999994E-3</v>
      </c>
      <c r="O570">
        <v>5.4494359999999898E-3</v>
      </c>
      <c r="P570">
        <v>0.98119990000000001</v>
      </c>
      <c r="Q570">
        <v>0.1847009</v>
      </c>
      <c r="R570">
        <v>-5.5970550000000001E-2</v>
      </c>
      <c r="S570">
        <v>3.0827640000000001</v>
      </c>
      <c r="T570">
        <v>0.15007419999999999</v>
      </c>
      <c r="U570">
        <v>0.96273799999999998</v>
      </c>
      <c r="V570">
        <v>6.1318459999999998E-2</v>
      </c>
      <c r="W570">
        <v>0.1924266</v>
      </c>
      <c r="X570">
        <v>0.97939370000000003</v>
      </c>
      <c r="Y570">
        <v>-0.29263919999999999</v>
      </c>
      <c r="Z570">
        <v>-5.4719590000000002E-3</v>
      </c>
      <c r="AA570">
        <v>0.95620729999999998</v>
      </c>
      <c r="AB570">
        <v>24</v>
      </c>
      <c r="AC570">
        <v>78.486400000000003</v>
      </c>
      <c r="AD570">
        <v>3.8299259999999999</v>
      </c>
      <c r="AE570">
        <v>24.568300000000001</v>
      </c>
      <c r="AF570">
        <v>-24.087976227261901</v>
      </c>
      <c r="AG570">
        <v>3.8299259999999999</v>
      </c>
      <c r="AH570">
        <v>78.448991340429302</v>
      </c>
      <c r="AI570">
        <v>87.327940445945302</v>
      </c>
      <c r="AJ570">
        <v>107.069246670514</v>
      </c>
      <c r="AK570">
        <v>82.153168984655494</v>
      </c>
      <c r="AL570">
        <v>78.905568042604003</v>
      </c>
      <c r="AM570">
        <v>86.417468046476799</v>
      </c>
      <c r="AN570">
        <v>0.99999998476201002</v>
      </c>
    </row>
    <row r="571" spans="1:40" x14ac:dyDescent="0.25">
      <c r="A571" t="str">
        <f>"20190303170508520"</f>
        <v>20190303170508520</v>
      </c>
      <c r="B571" t="str">
        <f>"1551603908514679"</f>
        <v>1551603908514679</v>
      </c>
      <c r="C571" t="s">
        <v>40</v>
      </c>
      <c r="D571">
        <v>5.4509369999999997</v>
      </c>
      <c r="E571">
        <v>0.36000159999999998</v>
      </c>
      <c r="F571" t="s">
        <v>45</v>
      </c>
      <c r="G571">
        <v>-273.26639999999998</v>
      </c>
      <c r="H571">
        <v>5.0064849999999996</v>
      </c>
      <c r="I571">
        <v>391.75</v>
      </c>
      <c r="J571">
        <v>-351.83670000000001</v>
      </c>
      <c r="K571">
        <v>1.1207659999999999</v>
      </c>
      <c r="L571">
        <v>367.1825</v>
      </c>
      <c r="M571">
        <v>0.99995449999999997</v>
      </c>
      <c r="N571">
        <v>-7.8486400000000005E-3</v>
      </c>
      <c r="O571">
        <v>5.4604850000000002E-3</v>
      </c>
      <c r="P571">
        <v>0.98119080000000003</v>
      </c>
      <c r="Q571">
        <v>0.18451600000000001</v>
      </c>
      <c r="R571">
        <v>-5.6733220000000001E-2</v>
      </c>
      <c r="S571">
        <v>3.0837400000000001</v>
      </c>
      <c r="T571">
        <v>0.15222359999999999</v>
      </c>
      <c r="U571">
        <v>0.96246339999999997</v>
      </c>
      <c r="V571">
        <v>6.2091639999999997E-2</v>
      </c>
      <c r="W571">
        <v>0.1922085</v>
      </c>
      <c r="X571">
        <v>0.97938780000000003</v>
      </c>
      <c r="Y571">
        <v>-0.29245680000000002</v>
      </c>
      <c r="Z571">
        <v>-5.566774E-3</v>
      </c>
      <c r="AA571">
        <v>0.95626250000000002</v>
      </c>
      <c r="AB571">
        <v>24</v>
      </c>
      <c r="AC571">
        <v>78.570300000000003</v>
      </c>
      <c r="AD571">
        <v>3.8857189999999999</v>
      </c>
      <c r="AE571">
        <v>24.5674999999999</v>
      </c>
      <c r="AF571">
        <v>-24.0844286018839</v>
      </c>
      <c r="AG571">
        <v>3.8857189999999999</v>
      </c>
      <c r="AH571">
        <v>78.528322243214205</v>
      </c>
      <c r="AI571">
        <v>87.291537509636598</v>
      </c>
      <c r="AJ571">
        <v>107.050638043324</v>
      </c>
      <c r="AK571">
        <v>82.230504726410899</v>
      </c>
      <c r="AL571">
        <v>78.918301805264306</v>
      </c>
      <c r="AM571">
        <v>86.372393073542199</v>
      </c>
      <c r="AN571">
        <v>0.99999997100948901</v>
      </c>
    </row>
    <row r="572" spans="1:40" x14ac:dyDescent="0.25">
      <c r="A572" t="str">
        <f>"20190303170508541"</f>
        <v>20190303170508541</v>
      </c>
      <c r="B572" t="str">
        <f>"1551603908535175"</f>
        <v>1551603908535175</v>
      </c>
      <c r="C572" t="s">
        <v>40</v>
      </c>
      <c r="D572">
        <v>5.438231</v>
      </c>
      <c r="E572">
        <v>0.36060750000000003</v>
      </c>
      <c r="F572" t="s">
        <v>45</v>
      </c>
      <c r="G572">
        <v>-272.97829999999999</v>
      </c>
      <c r="H572">
        <v>4.9874049999999999</v>
      </c>
      <c r="I572">
        <v>391.7319</v>
      </c>
      <c r="J572">
        <v>-351.61649999999997</v>
      </c>
      <c r="K572">
        <v>1.1207560000000001</v>
      </c>
      <c r="L572">
        <v>367.18369999999999</v>
      </c>
      <c r="M572">
        <v>0.99995460000000003</v>
      </c>
      <c r="N572">
        <v>-7.7972930000000003E-3</v>
      </c>
      <c r="O572">
        <v>5.4797119999999899E-3</v>
      </c>
      <c r="P572">
        <v>0.9811938</v>
      </c>
      <c r="Q572">
        <v>0.18397379999999999</v>
      </c>
      <c r="R572">
        <v>-5.8420060000000003E-2</v>
      </c>
      <c r="S572">
        <v>3.0845950000000002</v>
      </c>
      <c r="T572">
        <v>0.15124699999999999</v>
      </c>
      <c r="U572">
        <v>0.96026610000000001</v>
      </c>
      <c r="V572">
        <v>6.3796710000000006E-2</v>
      </c>
      <c r="W572">
        <v>0.19161610000000001</v>
      </c>
      <c r="X572">
        <v>0.97939430000000005</v>
      </c>
      <c r="Y572">
        <v>-0.29174630000000001</v>
      </c>
      <c r="Z572">
        <v>-5.5150750000000004E-3</v>
      </c>
      <c r="AA572">
        <v>0.95647979999999999</v>
      </c>
      <c r="AB572">
        <v>24</v>
      </c>
      <c r="AC572">
        <v>78.638199999999898</v>
      </c>
      <c r="AD572">
        <v>3.8666489999999998</v>
      </c>
      <c r="AE572">
        <v>24.548200000000001</v>
      </c>
      <c r="AF572">
        <v>-24.063890397494699</v>
      </c>
      <c r="AG572">
        <v>3.8666489999999998</v>
      </c>
      <c r="AH572">
        <v>78.598386592145104</v>
      </c>
      <c r="AI572">
        <v>87.306806462817903</v>
      </c>
      <c r="AJ572">
        <v>107.022631630376</v>
      </c>
      <c r="AK572">
        <v>82.2905108164978</v>
      </c>
      <c r="AL572">
        <v>78.952886703582706</v>
      </c>
      <c r="AM572">
        <v>86.273078713602004</v>
      </c>
      <c r="AN572">
        <v>0.99999997242926097</v>
      </c>
    </row>
    <row r="573" spans="1:40" x14ac:dyDescent="0.25">
      <c r="A573" t="str">
        <f>"20190303170508553"</f>
        <v>20190303170508553</v>
      </c>
      <c r="B573" t="str">
        <f>"1551603908544935"</f>
        <v>1551603908544935</v>
      </c>
      <c r="C573" t="s">
        <v>40</v>
      </c>
      <c r="D573">
        <v>5.396026</v>
      </c>
      <c r="E573">
        <v>0.36085610000000001</v>
      </c>
      <c r="F573" t="s">
        <v>45</v>
      </c>
      <c r="G573">
        <v>-272.97829999999999</v>
      </c>
      <c r="H573">
        <v>4.7817689999999997</v>
      </c>
      <c r="I573">
        <v>391.38929999999999</v>
      </c>
      <c r="J573">
        <v>-351.483</v>
      </c>
      <c r="K573">
        <v>1.1207510000000001</v>
      </c>
      <c r="L573">
        <v>367.18439999999998</v>
      </c>
      <c r="M573">
        <v>0.99995480000000003</v>
      </c>
      <c r="N573">
        <v>-7.7655629999999996E-3</v>
      </c>
      <c r="O573">
        <v>5.4929569999999997E-3</v>
      </c>
      <c r="P573">
        <v>0.98116820000000005</v>
      </c>
      <c r="Q573">
        <v>0.18384229999999999</v>
      </c>
      <c r="R573">
        <v>-5.9256110000000001E-2</v>
      </c>
      <c r="S573">
        <v>3.0871580000000001</v>
      </c>
      <c r="T573">
        <v>0.1437242</v>
      </c>
      <c r="U573">
        <v>0.95025630000000005</v>
      </c>
      <c r="V573">
        <v>6.4645300000000003E-2</v>
      </c>
      <c r="W573">
        <v>0.19145319999999999</v>
      </c>
      <c r="X573">
        <v>0.97937050000000003</v>
      </c>
      <c r="Y573">
        <v>-0.28870630000000003</v>
      </c>
      <c r="Z573">
        <v>-5.1267930000000001E-3</v>
      </c>
      <c r="AA573">
        <v>0.95740400000000003</v>
      </c>
      <c r="AB573">
        <v>24</v>
      </c>
      <c r="AC573">
        <v>78.5047</v>
      </c>
      <c r="AD573">
        <v>3.6610179999999999</v>
      </c>
      <c r="AE573">
        <v>24.204899999999999</v>
      </c>
      <c r="AF573">
        <v>-23.726179373226699</v>
      </c>
      <c r="AG573">
        <v>3.6610179999999999</v>
      </c>
      <c r="AH573">
        <v>78.480615798848007</v>
      </c>
      <c r="AI573">
        <v>87.443284696107995</v>
      </c>
      <c r="AJ573">
        <v>106.821063102165</v>
      </c>
      <c r="AK573">
        <v>82.070346024695496</v>
      </c>
      <c r="AL573">
        <v>78.962396102234095</v>
      </c>
      <c r="AM573">
        <v>86.223556184879499</v>
      </c>
      <c r="AN573">
        <v>0.99999995943628905</v>
      </c>
    </row>
    <row r="574" spans="1:40" x14ac:dyDescent="0.25">
      <c r="A574" t="str">
        <f>"20190303170508565"</f>
        <v>20190303170508565</v>
      </c>
      <c r="B574" t="str">
        <f>"1551603908554695"</f>
        <v>1551603908554695</v>
      </c>
      <c r="C574" t="s">
        <v>40</v>
      </c>
      <c r="D574">
        <v>5.7331709999999996</v>
      </c>
      <c r="E574">
        <v>0.36131940000000001</v>
      </c>
      <c r="F574" t="s">
        <v>45</v>
      </c>
      <c r="G574">
        <v>-272.97840000000002</v>
      </c>
      <c r="H574">
        <v>4.6958650000000004</v>
      </c>
      <c r="I574">
        <v>391.22190000000001</v>
      </c>
      <c r="J574">
        <v>-351.3526</v>
      </c>
      <c r="K574">
        <v>1.1207450000000001</v>
      </c>
      <c r="L574">
        <v>367.18520000000001</v>
      </c>
      <c r="M574">
        <v>0.99995500000000004</v>
      </c>
      <c r="N574">
        <v>-7.7345590000000002E-3</v>
      </c>
      <c r="O574">
        <v>5.506319E-3</v>
      </c>
      <c r="P574">
        <v>0.98115960000000002</v>
      </c>
      <c r="Q574">
        <v>0.1836295</v>
      </c>
      <c r="R574">
        <v>-6.0051930000000003E-2</v>
      </c>
      <c r="S574">
        <v>3.0883180000000001</v>
      </c>
      <c r="T574">
        <v>0.14064370000000001</v>
      </c>
      <c r="U574">
        <v>0.94561770000000001</v>
      </c>
      <c r="V574">
        <v>6.5453739999999996E-2</v>
      </c>
      <c r="W574">
        <v>0.19120980000000001</v>
      </c>
      <c r="X574">
        <v>0.97936440000000002</v>
      </c>
      <c r="Y574">
        <v>-0.28728959999999998</v>
      </c>
      <c r="Z574">
        <v>-4.969078E-3</v>
      </c>
      <c r="AA574">
        <v>0.95783090000000004</v>
      </c>
      <c r="AB574">
        <v>24</v>
      </c>
      <c r="AC574">
        <v>78.374199999999902</v>
      </c>
      <c r="AD574">
        <v>3.5751199999999899</v>
      </c>
      <c r="AE574">
        <v>24.0367</v>
      </c>
      <c r="AF574">
        <v>-23.559960020285999</v>
      </c>
      <c r="AG574">
        <v>3.5751199999999899</v>
      </c>
      <c r="AH574">
        <v>78.356341378421604</v>
      </c>
      <c r="AI574">
        <v>87.498107236534494</v>
      </c>
      <c r="AJ574">
        <v>106.734831010844</v>
      </c>
      <c r="AK574">
        <v>81.899752340184904</v>
      </c>
      <c r="AL574">
        <v>78.976604882540798</v>
      </c>
      <c r="AM574">
        <v>86.176444285762798</v>
      </c>
      <c r="AN574">
        <v>1.0000000038416901</v>
      </c>
    </row>
    <row r="575" spans="1:40" x14ac:dyDescent="0.25">
      <c r="A575" t="str">
        <f>"20190303170508578"</f>
        <v>20190303170508578</v>
      </c>
      <c r="B575" t="str">
        <f>"1551603908565431"</f>
        <v>1551603908565431</v>
      </c>
      <c r="C575" t="s">
        <v>40</v>
      </c>
      <c r="D575">
        <v>5.8080980000000002</v>
      </c>
      <c r="E575">
        <v>0.36131940000000001</v>
      </c>
      <c r="F575" t="s">
        <v>45</v>
      </c>
      <c r="G575">
        <v>-272.97840000000002</v>
      </c>
      <c r="H575">
        <v>4.6292229999999996</v>
      </c>
      <c r="I575">
        <v>391.02850000000001</v>
      </c>
      <c r="J575">
        <v>-351.2124</v>
      </c>
      <c r="K575">
        <v>1.120738</v>
      </c>
      <c r="L575">
        <v>367.1859</v>
      </c>
      <c r="M575">
        <v>0.99995509999999999</v>
      </c>
      <c r="N575">
        <v>-7.7015429999999999E-3</v>
      </c>
      <c r="O575">
        <v>5.5221319999999999E-3</v>
      </c>
      <c r="P575">
        <v>0.98107449999999996</v>
      </c>
      <c r="Q575">
        <v>0.1836594</v>
      </c>
      <c r="R575">
        <v>-6.1338120000000003E-2</v>
      </c>
      <c r="S575">
        <v>3.0892330000000001</v>
      </c>
      <c r="T575">
        <v>0.1382929</v>
      </c>
      <c r="U575">
        <v>0.93981930000000002</v>
      </c>
      <c r="V575">
        <v>6.6754240000000006E-2</v>
      </c>
      <c r="W575">
        <v>0.1912075</v>
      </c>
      <c r="X575">
        <v>0.97927710000000001</v>
      </c>
      <c r="Y575">
        <v>-0.2855589</v>
      </c>
      <c r="Z575">
        <v>-4.8398099999999999E-3</v>
      </c>
      <c r="AA575">
        <v>0.95834889999999995</v>
      </c>
      <c r="AB575">
        <v>24</v>
      </c>
      <c r="AC575">
        <v>78.233999999999895</v>
      </c>
      <c r="AD575">
        <v>3.5084849999999999</v>
      </c>
      <c r="AE575">
        <v>23.842600000000001</v>
      </c>
      <c r="AF575">
        <v>-23.3672037266541</v>
      </c>
      <c r="AG575">
        <v>3.5084849999999999</v>
      </c>
      <c r="AH575">
        <v>78.220527854257398</v>
      </c>
      <c r="AI575">
        <v>87.539110898482505</v>
      </c>
      <c r="AJ575">
        <v>106.632722654014</v>
      </c>
      <c r="AK575">
        <v>81.7116066100578</v>
      </c>
      <c r="AL575">
        <v>78.976739516740693</v>
      </c>
      <c r="AM575">
        <v>86.100359623273604</v>
      </c>
      <c r="AN575">
        <v>1.0000000375993101</v>
      </c>
    </row>
    <row r="576" spans="1:40" x14ac:dyDescent="0.25">
      <c r="A576" t="str">
        <f>"20190303170508596"</f>
        <v>20190303170508596</v>
      </c>
      <c r="B576" t="str">
        <f>"1551603908584951"</f>
        <v>1551603908584951</v>
      </c>
      <c r="C576" t="s">
        <v>40</v>
      </c>
      <c r="D576">
        <v>5.553623</v>
      </c>
      <c r="E576">
        <v>0.43418630000000003</v>
      </c>
      <c r="F576" t="s">
        <v>45</v>
      </c>
      <c r="G576">
        <v>-272.97840000000002</v>
      </c>
      <c r="H576">
        <v>4.6467960000000001</v>
      </c>
      <c r="I576">
        <v>390.88440000000003</v>
      </c>
      <c r="J576">
        <v>-351.02050000000003</v>
      </c>
      <c r="K576">
        <v>1.1207309999999999</v>
      </c>
      <c r="L576">
        <v>367.18700000000001</v>
      </c>
      <c r="M576">
        <v>0.99995540000000005</v>
      </c>
      <c r="N576">
        <v>-7.6580240000000003E-3</v>
      </c>
      <c r="O576">
        <v>5.5438329999999997E-3</v>
      </c>
      <c r="P576">
        <v>0.98094079999999995</v>
      </c>
      <c r="Q576">
        <v>0.1836457</v>
      </c>
      <c r="R576">
        <v>-6.3476770000000002E-2</v>
      </c>
      <c r="S576">
        <v>3.090271</v>
      </c>
      <c r="T576">
        <v>0.13928160000000001</v>
      </c>
      <c r="U576">
        <v>0.93609620000000004</v>
      </c>
      <c r="V576">
        <v>6.8912840000000003E-2</v>
      </c>
      <c r="W576">
        <v>0.19114990000000001</v>
      </c>
      <c r="X576">
        <v>0.97913879999999998</v>
      </c>
      <c r="Y576">
        <v>-0.28438839999999999</v>
      </c>
      <c r="Z576">
        <v>-4.8662480000000001E-3</v>
      </c>
      <c r="AA576">
        <v>0.95869680000000002</v>
      </c>
      <c r="AB576">
        <v>24</v>
      </c>
      <c r="AC576">
        <v>78.042100000000005</v>
      </c>
      <c r="AD576">
        <v>3.526065</v>
      </c>
      <c r="AE576">
        <v>23.697399999999998</v>
      </c>
      <c r="AF576">
        <v>-23.220969788138</v>
      </c>
      <c r="AG576">
        <v>3.526065</v>
      </c>
      <c r="AH576">
        <v>78.026444064781202</v>
      </c>
      <c r="AI576">
        <v>87.5198841027904</v>
      </c>
      <c r="AJ576">
        <v>106.57320759971</v>
      </c>
      <c r="AK576">
        <v>81.484799476223003</v>
      </c>
      <c r="AL576">
        <v>78.980101648108899</v>
      </c>
      <c r="AM576">
        <v>85.9741001895257</v>
      </c>
      <c r="AN576">
        <v>1.00000002672615</v>
      </c>
    </row>
    <row r="577" spans="1:40" x14ac:dyDescent="0.25">
      <c r="A577" t="str">
        <f>"20190303170508609"</f>
        <v>20190303170508609</v>
      </c>
      <c r="B577" t="str">
        <f>"1551603908594710"</f>
        <v>1551603908594710</v>
      </c>
      <c r="C577" t="s">
        <v>40</v>
      </c>
      <c r="D577">
        <v>5.7911519999999896</v>
      </c>
      <c r="E577">
        <v>0.43418630000000003</v>
      </c>
      <c r="F577" t="s">
        <v>46</v>
      </c>
      <c r="G577">
        <v>0</v>
      </c>
      <c r="H577">
        <v>0</v>
      </c>
      <c r="I577">
        <v>0</v>
      </c>
      <c r="J577">
        <v>-350.87830000000002</v>
      </c>
      <c r="K577">
        <v>1.1207290000000001</v>
      </c>
      <c r="L577">
        <v>367.18779999999998</v>
      </c>
      <c r="M577">
        <v>0.99995560000000006</v>
      </c>
      <c r="N577">
        <v>-7.6275869999999999E-3</v>
      </c>
      <c r="O577">
        <v>5.5602319999999896E-3</v>
      </c>
      <c r="P577">
        <v>0.98087009999999997</v>
      </c>
      <c r="Q577">
        <v>0.18374499999999999</v>
      </c>
      <c r="R577">
        <v>-6.4279680000000006E-2</v>
      </c>
      <c r="S577">
        <v>3.0788880000000001</v>
      </c>
      <c r="T577">
        <v>1.210892E-2</v>
      </c>
      <c r="U577">
        <v>0.35336299999999998</v>
      </c>
      <c r="V577">
        <v>6.9730929999999997E-2</v>
      </c>
      <c r="W577">
        <v>0.19121969999999999</v>
      </c>
      <c r="X577">
        <v>0.97906720000000003</v>
      </c>
      <c r="Y577">
        <v>-0.1084965</v>
      </c>
      <c r="Z577">
        <v>2.665581E-4</v>
      </c>
      <c r="AA577">
        <v>0.9940968</v>
      </c>
      <c r="AB577">
        <v>24</v>
      </c>
      <c r="AC577">
        <v>3.0788880000000001</v>
      </c>
      <c r="AD577">
        <v>1.210892E-2</v>
      </c>
      <c r="AE577">
        <v>0.35336299999999998</v>
      </c>
      <c r="AF577">
        <v>-0.33623257717305799</v>
      </c>
      <c r="AG577">
        <v>1.210892E-2</v>
      </c>
      <c r="AH577">
        <v>3.08075820784246</v>
      </c>
      <c r="AI577">
        <v>89.776129450808796</v>
      </c>
      <c r="AJ577">
        <v>96.228583425818599</v>
      </c>
      <c r="AK577">
        <v>3.0990756859238999</v>
      </c>
      <c r="AL577">
        <v>78.976026716056396</v>
      </c>
      <c r="AM577">
        <v>85.926170286834306</v>
      </c>
      <c r="AN577">
        <v>0.99999997919129702</v>
      </c>
    </row>
    <row r="578" spans="1:40" x14ac:dyDescent="0.25">
      <c r="A578" t="str">
        <f>"20190303170508622"</f>
        <v>20190303170508622</v>
      </c>
      <c r="B578" t="str">
        <f>"1551603908615206"</f>
        <v>1551603908615206</v>
      </c>
      <c r="C578" t="s">
        <v>40</v>
      </c>
      <c r="D578">
        <v>5.3341159999999999</v>
      </c>
      <c r="E578">
        <v>0.51493140000000004</v>
      </c>
      <c r="F578" t="s">
        <v>46</v>
      </c>
      <c r="G578">
        <v>0</v>
      </c>
      <c r="H578">
        <v>0</v>
      </c>
      <c r="I578">
        <v>0</v>
      </c>
      <c r="J578">
        <v>-350.73559999999998</v>
      </c>
      <c r="K578">
        <v>1.120725</v>
      </c>
      <c r="L578">
        <v>367.18869999999998</v>
      </c>
      <c r="M578">
        <v>0.9999557</v>
      </c>
      <c r="N578">
        <v>-7.5986600000000001E-3</v>
      </c>
      <c r="O578">
        <v>5.5775169999999997E-3</v>
      </c>
      <c r="P578">
        <v>0.98086240000000002</v>
      </c>
      <c r="Q578">
        <v>0.18371209999999999</v>
      </c>
      <c r="R578">
        <v>-6.449059E-2</v>
      </c>
      <c r="S578">
        <v>3.0791629999999999</v>
      </c>
      <c r="T578">
        <v>1.238203E-2</v>
      </c>
      <c r="U578">
        <v>0.35079959999999999</v>
      </c>
      <c r="V578">
        <v>6.9958389999999995E-2</v>
      </c>
      <c r="W578">
        <v>0.1911583</v>
      </c>
      <c r="X578">
        <v>0.97906300000000002</v>
      </c>
      <c r="Y578">
        <v>-0.10765230000000001</v>
      </c>
      <c r="Z578">
        <v>2.5918369999999998E-4</v>
      </c>
      <c r="AA578">
        <v>0.99418850000000003</v>
      </c>
      <c r="AB578">
        <v>24</v>
      </c>
      <c r="AC578">
        <v>3.0791629999999999</v>
      </c>
      <c r="AD578">
        <v>1.238203E-2</v>
      </c>
      <c r="AE578">
        <v>0.35079959999999999</v>
      </c>
      <c r="AF578">
        <v>-0.33361423999801698</v>
      </c>
      <c r="AG578">
        <v>1.238203E-2</v>
      </c>
      <c r="AH578">
        <v>3.0810225667475799</v>
      </c>
      <c r="AI578">
        <v>89.771078738127102</v>
      </c>
      <c r="AJ578">
        <v>96.179930342371705</v>
      </c>
      <c r="AK578">
        <v>3.0990566036463698</v>
      </c>
      <c r="AL578">
        <v>78.979611190908102</v>
      </c>
      <c r="AM578">
        <v>85.912909074907105</v>
      </c>
      <c r="AN578">
        <v>1.00000001497964</v>
      </c>
    </row>
    <row r="579" spans="1:40" x14ac:dyDescent="0.25">
      <c r="A579" t="str">
        <f>"20190303170508642"</f>
        <v>20190303170508642</v>
      </c>
      <c r="B579" t="str">
        <f>"1551603908634726"</f>
        <v>1551603908634726</v>
      </c>
      <c r="C579" t="s">
        <v>40</v>
      </c>
      <c r="D579">
        <v>5.3786809999999896</v>
      </c>
      <c r="E579">
        <v>0.52361939999999996</v>
      </c>
      <c r="F579" t="s">
        <v>43</v>
      </c>
      <c r="G579">
        <v>-291.84089999999998</v>
      </c>
      <c r="H579">
        <v>-0.05</v>
      </c>
      <c r="I579">
        <v>361.57709999999997</v>
      </c>
      <c r="J579">
        <v>-350.51490000000001</v>
      </c>
      <c r="K579">
        <v>1.1207210000000001</v>
      </c>
      <c r="L579">
        <v>367.18990000000002</v>
      </c>
      <c r="M579">
        <v>0.9999557</v>
      </c>
      <c r="N579">
        <v>-7.5588599999999997E-3</v>
      </c>
      <c r="O579">
        <v>5.6049150000000002E-3</v>
      </c>
      <c r="P579">
        <v>0.98079810000000001</v>
      </c>
      <c r="Q579">
        <v>0.18410209999999999</v>
      </c>
      <c r="R579">
        <v>-6.4353179999999996E-2</v>
      </c>
      <c r="S579">
        <v>3.0507810000000002</v>
      </c>
      <c r="T579">
        <v>-6.064427E-2</v>
      </c>
      <c r="U579">
        <v>-0.29067989999999999</v>
      </c>
      <c r="V579">
        <v>6.9847049999999994E-2</v>
      </c>
      <c r="W579">
        <v>0.1915084</v>
      </c>
      <c r="X579">
        <v>0.9790025</v>
      </c>
      <c r="Y579">
        <v>0.10040159999999999</v>
      </c>
      <c r="Z579">
        <v>-1.4448219999999999E-3</v>
      </c>
      <c r="AA579">
        <v>0.99494590000000005</v>
      </c>
      <c r="AB579">
        <v>24</v>
      </c>
      <c r="AC579">
        <v>58.673999999999999</v>
      </c>
      <c r="AD579">
        <v>-1.1707209999999999</v>
      </c>
      <c r="AE579">
        <v>-5.6128000000000497</v>
      </c>
      <c r="AF579">
        <v>5.9392409200585004</v>
      </c>
      <c r="AG579">
        <v>-1.1707209999999999</v>
      </c>
      <c r="AH579">
        <v>58.618492501063997</v>
      </c>
      <c r="AI579">
        <v>91.138325394243395</v>
      </c>
      <c r="AJ579">
        <v>84.214520313565501</v>
      </c>
      <c r="AK579">
        <v>58.930237004984399</v>
      </c>
      <c r="AL579">
        <v>78.959174050538095</v>
      </c>
      <c r="AM579">
        <v>85.919140440812697</v>
      </c>
      <c r="AN579">
        <v>0.999999986335256</v>
      </c>
    </row>
    <row r="580" spans="1:40" x14ac:dyDescent="0.25">
      <c r="A580" t="str">
        <f>"20190303170508665"</f>
        <v>20190303170508665</v>
      </c>
      <c r="B580" t="str">
        <f>"1551603908655222"</f>
        <v>1551603908655222</v>
      </c>
      <c r="C580" t="s">
        <v>40</v>
      </c>
      <c r="D580">
        <v>5.3646479999999999</v>
      </c>
      <c r="E580">
        <v>0.52755369999999902</v>
      </c>
      <c r="F580" t="s">
        <v>43</v>
      </c>
      <c r="G580">
        <v>-288.78539999999998</v>
      </c>
      <c r="H580">
        <v>-0.05</v>
      </c>
      <c r="I580">
        <v>359.89370000000002</v>
      </c>
      <c r="J580">
        <v>-350.26199999999898</v>
      </c>
      <c r="K580">
        <v>1.120716</v>
      </c>
      <c r="L580">
        <v>367.19130000000001</v>
      </c>
      <c r="M580">
        <v>0.99995579999999995</v>
      </c>
      <c r="N580">
        <v>-7.5207959999999997E-3</v>
      </c>
      <c r="O580">
        <v>5.6368310000000001E-3</v>
      </c>
      <c r="P580">
        <v>0.98072890000000001</v>
      </c>
      <c r="Q580">
        <v>0.18428130000000001</v>
      </c>
      <c r="R580">
        <v>-6.4891649999999995E-2</v>
      </c>
      <c r="S580">
        <v>3.0459290000000001</v>
      </c>
      <c r="T580">
        <v>-5.7767029999999997E-2</v>
      </c>
      <c r="U580">
        <v>-0.3600159</v>
      </c>
      <c r="V580">
        <v>7.0416329999999999E-2</v>
      </c>
      <c r="W580">
        <v>0.19165019999999999</v>
      </c>
      <c r="X580">
        <v>0.97893399999999997</v>
      </c>
      <c r="Y580">
        <v>0.122943899999999</v>
      </c>
      <c r="Z580">
        <v>-1.689966E-3</v>
      </c>
      <c r="AA580">
        <v>0.99241210000000002</v>
      </c>
      <c r="AB580">
        <v>24</v>
      </c>
      <c r="AC580">
        <v>61.476599999999898</v>
      </c>
      <c r="AD580">
        <v>-1.1707160000000001</v>
      </c>
      <c r="AE580">
        <v>-7.2975999999999797</v>
      </c>
      <c r="AF580">
        <v>7.6412944886085601</v>
      </c>
      <c r="AG580">
        <v>-1.1707160000000001</v>
      </c>
      <c r="AH580">
        <v>61.412525185312397</v>
      </c>
      <c r="AI580">
        <v>91.083750653310602</v>
      </c>
      <c r="AJ580">
        <v>82.907386461959703</v>
      </c>
      <c r="AK580">
        <v>61.897158311597202</v>
      </c>
      <c r="AL580">
        <v>78.950896527942206</v>
      </c>
      <c r="AM580">
        <v>85.885706742633303</v>
      </c>
      <c r="AN580">
        <v>1.0000000175233501</v>
      </c>
    </row>
    <row r="581" spans="1:40" x14ac:dyDescent="0.25">
      <c r="A581" t="str">
        <f>"20190303170508685"</f>
        <v>20190303170508685</v>
      </c>
      <c r="B581" t="str">
        <f>"1551603908674743"</f>
        <v>1551603908674743</v>
      </c>
      <c r="C581" t="s">
        <v>40</v>
      </c>
      <c r="D581">
        <v>5.3009649999999997</v>
      </c>
      <c r="E581">
        <v>0.5292848</v>
      </c>
      <c r="F581" t="s">
        <v>43</v>
      </c>
      <c r="G581">
        <v>-286.20319999999998</v>
      </c>
      <c r="H581">
        <v>-0.05</v>
      </c>
      <c r="I581">
        <v>358.93200000000002</v>
      </c>
      <c r="J581">
        <v>-350.04180000000002</v>
      </c>
      <c r="K581">
        <v>1.1207129999999901</v>
      </c>
      <c r="L581">
        <v>367.19260000000003</v>
      </c>
      <c r="M581">
        <v>0.99995599999999996</v>
      </c>
      <c r="N581">
        <v>-7.4993709999999899E-3</v>
      </c>
      <c r="O581">
        <v>5.6645069999999896E-3</v>
      </c>
      <c r="P581">
        <v>0.98069640000000002</v>
      </c>
      <c r="Q581">
        <v>0.184112</v>
      </c>
      <c r="R581">
        <v>-6.586032E-2</v>
      </c>
      <c r="S581">
        <v>3.043396</v>
      </c>
      <c r="T581">
        <v>-5.5619960000000003E-2</v>
      </c>
      <c r="U581">
        <v>-0.39239499999999999</v>
      </c>
      <c r="V581">
        <v>7.1411849999999999E-2</v>
      </c>
      <c r="W581">
        <v>0.1914593</v>
      </c>
      <c r="X581">
        <v>0.97889919999999997</v>
      </c>
      <c r="Y581">
        <v>0.13345950000000001</v>
      </c>
      <c r="Z581">
        <v>-1.777757E-3</v>
      </c>
      <c r="AA581">
        <v>0.99105270000000001</v>
      </c>
      <c r="AB581">
        <v>24</v>
      </c>
      <c r="AC581">
        <v>63.8386</v>
      </c>
      <c r="AD581">
        <v>-1.1707129999999999</v>
      </c>
      <c r="AE581">
        <v>-8.2606000000000606</v>
      </c>
      <c r="AF581">
        <v>8.6192408070355793</v>
      </c>
      <c r="AG581">
        <v>-1.1707129999999999</v>
      </c>
      <c r="AH581">
        <v>63.769689287249101</v>
      </c>
      <c r="AI581">
        <v>91.042268592254999</v>
      </c>
      <c r="AJ581">
        <v>82.3024348239625</v>
      </c>
      <c r="AK581">
        <v>64.360198514379405</v>
      </c>
      <c r="AL581">
        <v>78.962040238485798</v>
      </c>
      <c r="AM581">
        <v>85.827596571390004</v>
      </c>
      <c r="AN581">
        <v>0.99999997981877597</v>
      </c>
    </row>
    <row r="582" spans="1:40" x14ac:dyDescent="0.25">
      <c r="A582" t="str">
        <f>"20190303170508700"</f>
        <v>20190303170508700</v>
      </c>
      <c r="B582" t="str">
        <f>"1551603908685479"</f>
        <v>1551603908685479</v>
      </c>
      <c r="C582" t="s">
        <v>40</v>
      </c>
      <c r="D582">
        <v>5.3361999999999998</v>
      </c>
      <c r="E582">
        <v>0.52988800000000003</v>
      </c>
      <c r="F582" t="s">
        <v>43</v>
      </c>
      <c r="G582">
        <v>-290.26609999999999</v>
      </c>
      <c r="H582">
        <v>-0.05</v>
      </c>
      <c r="I582">
        <v>359.16809999999998</v>
      </c>
      <c r="J582">
        <v>-349.87979999999999</v>
      </c>
      <c r="K582">
        <v>1.1207129999999901</v>
      </c>
      <c r="L582">
        <v>367.19349999999997</v>
      </c>
      <c r="M582">
        <v>0.99995590000000001</v>
      </c>
      <c r="N582">
        <v>-7.4914680000000003E-3</v>
      </c>
      <c r="O582">
        <v>5.6853379999999999E-3</v>
      </c>
      <c r="P582">
        <v>0.98075619999999997</v>
      </c>
      <c r="Q582">
        <v>0.18374770000000001</v>
      </c>
      <c r="R582">
        <v>-6.5988850000000002E-2</v>
      </c>
      <c r="S582">
        <v>3.0428160000000002</v>
      </c>
      <c r="T582">
        <v>-5.9593800000000002E-2</v>
      </c>
      <c r="U582">
        <v>-0.4084778</v>
      </c>
      <c r="V582">
        <v>7.1561020000000003E-2</v>
      </c>
      <c r="W582">
        <v>0.19108810000000001</v>
      </c>
      <c r="X582">
        <v>0.97896090000000002</v>
      </c>
      <c r="Y582">
        <v>0.13864589999999999</v>
      </c>
      <c r="Z582">
        <v>-1.9416850000000001E-3</v>
      </c>
      <c r="AA582">
        <v>0.99034009999999995</v>
      </c>
      <c r="AB582">
        <v>25</v>
      </c>
      <c r="AC582">
        <v>59.613700000000001</v>
      </c>
      <c r="AD582">
        <v>-1.1707129999999999</v>
      </c>
      <c r="AE582">
        <v>-8.0253999999999905</v>
      </c>
      <c r="AF582">
        <v>8.3610366435915999</v>
      </c>
      <c r="AG582">
        <v>-1.1707129999999999</v>
      </c>
      <c r="AH582">
        <v>59.544552714416902</v>
      </c>
      <c r="AI582">
        <v>91.115414746999306</v>
      </c>
      <c r="AJ582">
        <v>82.006986974221107</v>
      </c>
      <c r="AK582">
        <v>60.140096945746798</v>
      </c>
      <c r="AL582">
        <v>78.983709199840106</v>
      </c>
      <c r="AM582">
        <v>85.819174426475598</v>
      </c>
      <c r="AN582">
        <v>1.00000004263692</v>
      </c>
    </row>
    <row r="583" spans="1:40" x14ac:dyDescent="0.25">
      <c r="A583" t="str">
        <f>"20190303170508719"</f>
        <v>20190303170508719</v>
      </c>
      <c r="B583" t="str">
        <f>"1551603908704998"</f>
        <v>1551603908704998</v>
      </c>
      <c r="C583" t="s">
        <v>40</v>
      </c>
      <c r="D583">
        <v>5.3562459999999996</v>
      </c>
      <c r="E583">
        <v>0.53070399999999995</v>
      </c>
      <c r="F583" t="s">
        <v>43</v>
      </c>
      <c r="G583">
        <v>-291.11689999999999</v>
      </c>
      <c r="H583">
        <v>-0.05</v>
      </c>
      <c r="I583">
        <v>359.20769999999999</v>
      </c>
      <c r="J583">
        <v>-349.67110000000002</v>
      </c>
      <c r="K583">
        <v>1.120711</v>
      </c>
      <c r="L583">
        <v>367.19470000000001</v>
      </c>
      <c r="M583">
        <v>0.9999557</v>
      </c>
      <c r="N583">
        <v>-7.4910799999999998E-3</v>
      </c>
      <c r="O583">
        <v>5.7117419999999997E-3</v>
      </c>
      <c r="P583">
        <v>0.98068089999999997</v>
      </c>
      <c r="Q583">
        <v>0.18406510000000001</v>
      </c>
      <c r="R583">
        <v>-6.6221160000000001E-2</v>
      </c>
      <c r="S583">
        <v>3.0423580000000001</v>
      </c>
      <c r="T583">
        <v>-6.0611959999999999E-2</v>
      </c>
      <c r="U583">
        <v>-0.41345209999999999</v>
      </c>
      <c r="V583">
        <v>7.1818880000000002E-2</v>
      </c>
      <c r="W583">
        <v>0.19140450000000001</v>
      </c>
      <c r="X583">
        <v>0.97888019999999998</v>
      </c>
      <c r="Y583">
        <v>0.1402803</v>
      </c>
      <c r="Z583">
        <v>-1.9894449999999998E-3</v>
      </c>
      <c r="AA583">
        <v>0.99010989999999999</v>
      </c>
      <c r="AB583">
        <v>25</v>
      </c>
      <c r="AC583">
        <v>58.554200000000002</v>
      </c>
      <c r="AD583">
        <v>-1.1707110000000001</v>
      </c>
      <c r="AE583">
        <v>-7.9870000000000196</v>
      </c>
      <c r="AF583">
        <v>8.3180611829695792</v>
      </c>
      <c r="AG583">
        <v>-1.1707110000000001</v>
      </c>
      <c r="AH583">
        <v>58.484671915539899</v>
      </c>
      <c r="AI583">
        <v>91.135336855639395</v>
      </c>
      <c r="AJ583">
        <v>81.905319927782998</v>
      </c>
      <c r="AK583">
        <v>59.084833545991202</v>
      </c>
      <c r="AL583">
        <v>78.965239882323601</v>
      </c>
      <c r="AM583">
        <v>85.803818446317294</v>
      </c>
      <c r="AN583">
        <v>1.00000004004837</v>
      </c>
    </row>
    <row r="584" spans="1:40" x14ac:dyDescent="0.25">
      <c r="A584" t="str">
        <f>"20190303170508743"</f>
        <v>20190303170508743</v>
      </c>
      <c r="B584" t="str">
        <f>"1551603908735255"</f>
        <v>1551603908735255</v>
      </c>
      <c r="C584" t="s">
        <v>40</v>
      </c>
      <c r="D584">
        <v>5.3646649999999996</v>
      </c>
      <c r="E584">
        <v>0.53157299999999996</v>
      </c>
      <c r="F584" t="s">
        <v>43</v>
      </c>
      <c r="G584">
        <v>-290.92579999999998</v>
      </c>
      <c r="H584">
        <v>-0.05</v>
      </c>
      <c r="I584">
        <v>359.07150000000001</v>
      </c>
      <c r="J584">
        <v>-349.41180000000003</v>
      </c>
      <c r="K584">
        <v>1.120725</v>
      </c>
      <c r="L584">
        <v>367.19630000000001</v>
      </c>
      <c r="M584">
        <v>0.99995540000000005</v>
      </c>
      <c r="N584">
        <v>-7.5106940000000001E-3</v>
      </c>
      <c r="O584">
        <v>5.7437959999999998E-3</v>
      </c>
      <c r="P584">
        <v>0.98055910000000002</v>
      </c>
      <c r="Q584">
        <v>0.18468689999999999</v>
      </c>
      <c r="R584">
        <v>-6.6292660000000003E-2</v>
      </c>
      <c r="S584">
        <v>3.042084</v>
      </c>
      <c r="T584">
        <v>-6.0624360000000002E-2</v>
      </c>
      <c r="U584">
        <v>-0.42065429999999998</v>
      </c>
      <c r="V584">
        <v>7.192113E-2</v>
      </c>
      <c r="W584">
        <v>0.1920443</v>
      </c>
      <c r="X584">
        <v>0.97874740000000005</v>
      </c>
      <c r="Y584">
        <v>0.14262369999999999</v>
      </c>
      <c r="Z584">
        <v>-2.0234860000000001E-3</v>
      </c>
      <c r="AA584">
        <v>0.98977490000000001</v>
      </c>
      <c r="AB584">
        <v>25</v>
      </c>
      <c r="AC584">
        <v>58.485999999999997</v>
      </c>
      <c r="AD584">
        <v>-1.170725</v>
      </c>
      <c r="AE584">
        <v>-8.1247999999999898</v>
      </c>
      <c r="AF584">
        <v>8.4572824923695809</v>
      </c>
      <c r="AG584">
        <v>-1.170725</v>
      </c>
      <c r="AH584">
        <v>58.415403493745501</v>
      </c>
      <c r="AI584">
        <v>91.136288673429604</v>
      </c>
      <c r="AJ584">
        <v>81.762054373633006</v>
      </c>
      <c r="AK584">
        <v>59.036053302354702</v>
      </c>
      <c r="AL584">
        <v>78.927889450891698</v>
      </c>
      <c r="AM584">
        <v>85.797297524179797</v>
      </c>
      <c r="AN584">
        <v>1.0000000675548599</v>
      </c>
    </row>
    <row r="585" spans="1:40" x14ac:dyDescent="0.25">
      <c r="A585" t="str">
        <f>"20190303170508756"</f>
        <v>20190303170508756</v>
      </c>
      <c r="B585" t="str">
        <f>"1551603908745015"</f>
        <v>1551603908745015</v>
      </c>
      <c r="C585" t="s">
        <v>40</v>
      </c>
      <c r="D585">
        <v>5.3498999999999999</v>
      </c>
      <c r="E585">
        <v>0.53175559999999999</v>
      </c>
      <c r="F585" t="s">
        <v>43</v>
      </c>
      <c r="G585">
        <v>-291.18090000000001</v>
      </c>
      <c r="H585">
        <v>-0.05</v>
      </c>
      <c r="I585">
        <v>359.00330000000002</v>
      </c>
      <c r="J585">
        <v>-349.26350000000002</v>
      </c>
      <c r="K585">
        <v>1.120733</v>
      </c>
      <c r="L585">
        <v>367.19709999999998</v>
      </c>
      <c r="M585">
        <v>0.99995509999999999</v>
      </c>
      <c r="N585">
        <v>-7.5368340000000001E-3</v>
      </c>
      <c r="O585">
        <v>5.7621719999999899E-3</v>
      </c>
      <c r="P585">
        <v>0.98062260000000001</v>
      </c>
      <c r="Q585">
        <v>0.18440989999999999</v>
      </c>
      <c r="R585">
        <v>-6.6126569999999996E-2</v>
      </c>
      <c r="S585">
        <v>3.0420530000000001</v>
      </c>
      <c r="T585">
        <v>-6.116009E-2</v>
      </c>
      <c r="U585">
        <v>-0.42800899999999997</v>
      </c>
      <c r="V585">
        <v>7.1773500000000004E-2</v>
      </c>
      <c r="W585">
        <v>0.1917934</v>
      </c>
      <c r="X585">
        <v>0.97880730000000005</v>
      </c>
      <c r="Y585">
        <v>0.1449888</v>
      </c>
      <c r="Z585">
        <v>-2.0714129999999998E-3</v>
      </c>
      <c r="AA585">
        <v>0.98943110000000001</v>
      </c>
      <c r="AB585">
        <v>25</v>
      </c>
      <c r="AC585">
        <v>58.082599999999999</v>
      </c>
      <c r="AD585">
        <v>-1.170733</v>
      </c>
      <c r="AE585">
        <v>-8.1937999999999498</v>
      </c>
      <c r="AF585">
        <v>8.5249594427097701</v>
      </c>
      <c r="AG585">
        <v>-1.170733</v>
      </c>
      <c r="AH585">
        <v>58.011311425213201</v>
      </c>
      <c r="AI585">
        <v>91.143854177376596</v>
      </c>
      <c r="AJ585">
        <v>81.640026433738697</v>
      </c>
      <c r="AK585">
        <v>58.646038250935703</v>
      </c>
      <c r="AL585">
        <v>78.942535790802694</v>
      </c>
      <c r="AM585">
        <v>85.806149200497799</v>
      </c>
      <c r="AN585">
        <v>0.99999993705954804</v>
      </c>
    </row>
    <row r="586" spans="1:40" x14ac:dyDescent="0.25">
      <c r="A586" t="str">
        <f>"20190303170508776"</f>
        <v>20190303170508776</v>
      </c>
      <c r="B586" t="str">
        <f>"1551603908765511"</f>
        <v>1551603908765511</v>
      </c>
      <c r="C586" t="s">
        <v>40</v>
      </c>
      <c r="D586">
        <v>5.3135349999999999</v>
      </c>
      <c r="E586">
        <v>0.53244159999999996</v>
      </c>
      <c r="F586" t="s">
        <v>43</v>
      </c>
      <c r="G586">
        <v>-292.2611</v>
      </c>
      <c r="H586">
        <v>-0.05</v>
      </c>
      <c r="I586">
        <v>359.16230000000002</v>
      </c>
      <c r="J586">
        <v>-349.04259999999999</v>
      </c>
      <c r="K586">
        <v>1.120735</v>
      </c>
      <c r="L586">
        <v>367.19839999999999</v>
      </c>
      <c r="M586">
        <v>0.99995460000000003</v>
      </c>
      <c r="N586">
        <v>-7.5870919999999897E-3</v>
      </c>
      <c r="O586">
        <v>5.7893980000000003E-3</v>
      </c>
      <c r="P586">
        <v>0.9807283</v>
      </c>
      <c r="Q586">
        <v>0.18358659999999999</v>
      </c>
      <c r="R586">
        <v>-6.6847219999999999E-2</v>
      </c>
      <c r="S586">
        <v>3.0421140000000002</v>
      </c>
      <c r="T586">
        <v>-6.2479850000000003E-2</v>
      </c>
      <c r="U586">
        <v>-0.42880249999999998</v>
      </c>
      <c r="V586">
        <v>7.25214E-2</v>
      </c>
      <c r="W586">
        <v>0.19101979999999999</v>
      </c>
      <c r="X586">
        <v>0.97890350000000004</v>
      </c>
      <c r="Y586">
        <v>0.14526439999999999</v>
      </c>
      <c r="Z586">
        <v>-2.112732E-3</v>
      </c>
      <c r="AA586">
        <v>0.98939060000000001</v>
      </c>
      <c r="AB586">
        <v>25</v>
      </c>
      <c r="AC586">
        <v>56.781500000000001</v>
      </c>
      <c r="AD586">
        <v>-1.1707350000000001</v>
      </c>
      <c r="AE586">
        <v>-8.0360999999999692</v>
      </c>
      <c r="AF586">
        <v>8.3612207764074302</v>
      </c>
      <c r="AG586">
        <v>-1.1707350000000001</v>
      </c>
      <c r="AH586">
        <v>56.710387976396099</v>
      </c>
      <c r="AI586">
        <v>91.170007185187501</v>
      </c>
      <c r="AJ586">
        <v>81.612894615027898</v>
      </c>
      <c r="AK586">
        <v>57.3354056211816</v>
      </c>
      <c r="AL586">
        <v>78.9876953507639</v>
      </c>
      <c r="AM586">
        <v>85.763021364938098</v>
      </c>
      <c r="AN586">
        <v>0.99999998988112504</v>
      </c>
    </row>
    <row r="587" spans="1:40" x14ac:dyDescent="0.25">
      <c r="A587" t="str">
        <f>"20190303170508797"</f>
        <v>20190303170508797</v>
      </c>
      <c r="B587" t="str">
        <f>"1551603908785031"</f>
        <v>1551603908785031</v>
      </c>
      <c r="C587" t="s">
        <v>40</v>
      </c>
      <c r="D587">
        <v>5.3931139999999997</v>
      </c>
      <c r="E587">
        <v>0.53265090000000004</v>
      </c>
      <c r="F587" t="s">
        <v>43</v>
      </c>
      <c r="G587">
        <v>-294.79340000000002</v>
      </c>
      <c r="H587">
        <v>-0.05</v>
      </c>
      <c r="I587">
        <v>359.41070000000002</v>
      </c>
      <c r="J587">
        <v>-348.80680000000001</v>
      </c>
      <c r="K587">
        <v>1.1207419999999999</v>
      </c>
      <c r="L587">
        <v>367.19979999999998</v>
      </c>
      <c r="M587">
        <v>0.99995389999999995</v>
      </c>
      <c r="N587">
        <v>-7.6556640000000004E-3</v>
      </c>
      <c r="O587">
        <v>5.8180439999999996E-3</v>
      </c>
      <c r="P587">
        <v>0.98087009999999997</v>
      </c>
      <c r="Q587">
        <v>0.1824846</v>
      </c>
      <c r="R587">
        <v>-6.7775650000000007E-2</v>
      </c>
      <c r="S587">
        <v>3.0414729999999999</v>
      </c>
      <c r="T587">
        <v>-6.5637109999999999E-2</v>
      </c>
      <c r="U587">
        <v>-0.43661499999999998</v>
      </c>
      <c r="V587">
        <v>7.3478970000000005E-2</v>
      </c>
      <c r="W587">
        <v>0.18998670000000001</v>
      </c>
      <c r="X587">
        <v>0.97903320000000005</v>
      </c>
      <c r="Y587">
        <v>0.14780739999999901</v>
      </c>
      <c r="Z587">
        <v>-2.23595E-3</v>
      </c>
      <c r="AA587">
        <v>0.98901360000000005</v>
      </c>
      <c r="AB587">
        <v>25</v>
      </c>
      <c r="AC587">
        <v>54.013399999999898</v>
      </c>
      <c r="AD587">
        <v>-1.1707419999999999</v>
      </c>
      <c r="AE587">
        <v>-7.7890999999999604</v>
      </c>
      <c r="AF587">
        <v>8.0995019860198791</v>
      </c>
      <c r="AG587">
        <v>-1.1707419999999999</v>
      </c>
      <c r="AH587">
        <v>53.942340916722202</v>
      </c>
      <c r="AI587">
        <v>91.229549670915802</v>
      </c>
      <c r="AJ587">
        <v>81.460767523439102</v>
      </c>
      <c r="AK587">
        <v>54.559588642400797</v>
      </c>
      <c r="AL587">
        <v>79.047992593049798</v>
      </c>
      <c r="AM587">
        <v>85.707850780333104</v>
      </c>
      <c r="AN587">
        <v>1.0000000559556901</v>
      </c>
    </row>
    <row r="588" spans="1:40" x14ac:dyDescent="0.25">
      <c r="A588" t="str">
        <f>"20190303170508821"</f>
        <v>20190303170508821</v>
      </c>
      <c r="B588" t="str">
        <f>"1551603908815188"</f>
        <v>1551603908815188</v>
      </c>
      <c r="C588" t="s">
        <v>40</v>
      </c>
      <c r="D588">
        <v>5.4049110000000002</v>
      </c>
      <c r="E588">
        <v>0.53304549999999995</v>
      </c>
      <c r="F588" t="s">
        <v>43</v>
      </c>
      <c r="G588">
        <v>-296.86489999999998</v>
      </c>
      <c r="H588">
        <v>-0.05</v>
      </c>
      <c r="I588">
        <v>359.65600000000001</v>
      </c>
      <c r="J588">
        <v>-348.54880000000003</v>
      </c>
      <c r="K588">
        <v>1.120757</v>
      </c>
      <c r="L588">
        <v>367.20139999999998</v>
      </c>
      <c r="M588">
        <v>0.99995299999999998</v>
      </c>
      <c r="N588">
        <v>-7.7443900000000003E-3</v>
      </c>
      <c r="O588">
        <v>5.8494699999999998E-3</v>
      </c>
      <c r="P588">
        <v>0.98092619999999997</v>
      </c>
      <c r="Q588">
        <v>0.18201429999999999</v>
      </c>
      <c r="R588">
        <v>-6.8227280000000001E-2</v>
      </c>
      <c r="S588">
        <v>3.0407099999999998</v>
      </c>
      <c r="T588">
        <v>-6.853592E-2</v>
      </c>
      <c r="U588">
        <v>-0.44161990000000001</v>
      </c>
      <c r="V588">
        <v>7.396163E-2</v>
      </c>
      <c r="W588">
        <v>0.1896033</v>
      </c>
      <c r="X588">
        <v>0.97907109999999997</v>
      </c>
      <c r="Y588">
        <v>0.1494635</v>
      </c>
      <c r="Z588">
        <v>-2.3433859999999998E-3</v>
      </c>
      <c r="AA588">
        <v>0.98876450000000005</v>
      </c>
      <c r="AB588">
        <v>25</v>
      </c>
      <c r="AC588">
        <v>51.683900000000001</v>
      </c>
      <c r="AD588">
        <v>-1.170757</v>
      </c>
      <c r="AE588">
        <v>-7.5453999999999697</v>
      </c>
      <c r="AF588">
        <v>7.8436625772627897</v>
      </c>
      <c r="AG588">
        <v>-1.170757</v>
      </c>
      <c r="AH588">
        <v>51.612946616130998</v>
      </c>
      <c r="AI588">
        <v>91.284694729591294</v>
      </c>
      <c r="AJ588">
        <v>81.358830741046603</v>
      </c>
      <c r="AK588">
        <v>52.2186745616794</v>
      </c>
      <c r="AL588">
        <v>79.070365587678296</v>
      </c>
      <c r="AM588">
        <v>85.6799300166102</v>
      </c>
      <c r="AN588">
        <v>0.99999997646917804</v>
      </c>
    </row>
    <row r="589" spans="1:40" x14ac:dyDescent="0.25">
      <c r="A589" t="str">
        <f>"20190303170508844"</f>
        <v>20190303170508844</v>
      </c>
      <c r="B589" t="str">
        <f>"1551603908834708"</f>
        <v>1551603908834708</v>
      </c>
      <c r="C589" t="s">
        <v>40</v>
      </c>
      <c r="D589">
        <v>5.4301240000000002</v>
      </c>
      <c r="E589">
        <v>0.53316699999999995</v>
      </c>
      <c r="F589" t="s">
        <v>43</v>
      </c>
      <c r="G589">
        <v>-298.31599999999997</v>
      </c>
      <c r="H589">
        <v>-0.05</v>
      </c>
      <c r="I589">
        <v>359.83609999999999</v>
      </c>
      <c r="J589">
        <v>-348.28649999999999</v>
      </c>
      <c r="K589">
        <v>1.1207750000000001</v>
      </c>
      <c r="L589">
        <v>367.2029</v>
      </c>
      <c r="M589">
        <v>0.99995210000000001</v>
      </c>
      <c r="N589">
        <v>-7.8463130000000006E-3</v>
      </c>
      <c r="O589">
        <v>5.8816729999999996E-3</v>
      </c>
      <c r="P589">
        <v>0.9809023</v>
      </c>
      <c r="Q589">
        <v>0.1821798</v>
      </c>
      <c r="R589">
        <v>-6.8130330000000003E-2</v>
      </c>
      <c r="S589">
        <v>3.0404659999999999</v>
      </c>
      <c r="T589">
        <v>-7.0863010000000004E-2</v>
      </c>
      <c r="U589">
        <v>-0.4458008</v>
      </c>
      <c r="V589">
        <v>7.3896149999999994E-2</v>
      </c>
      <c r="W589">
        <v>0.18986819999999999</v>
      </c>
      <c r="X589">
        <v>0.97902469999999997</v>
      </c>
      <c r="Y589">
        <v>0.150834</v>
      </c>
      <c r="Z589">
        <v>-2.4335950000000002E-3</v>
      </c>
      <c r="AA589">
        <v>0.98855610000000005</v>
      </c>
      <c r="AB589">
        <v>25</v>
      </c>
      <c r="AC589">
        <v>49.970500000000001</v>
      </c>
      <c r="AD589">
        <v>-1.1707749999999999</v>
      </c>
      <c r="AE589">
        <v>-7.3668000000000102</v>
      </c>
      <c r="AF589">
        <v>7.6564782082782203</v>
      </c>
      <c r="AG589">
        <v>-1.1707749999999999</v>
      </c>
      <c r="AH589">
        <v>49.899496324405803</v>
      </c>
      <c r="AI589">
        <v>91.328522693615795</v>
      </c>
      <c r="AJ589">
        <v>81.276684720464402</v>
      </c>
      <c r="AK589">
        <v>50.497050469149698</v>
      </c>
      <c r="AL589">
        <v>79.054907050290694</v>
      </c>
      <c r="AM589">
        <v>85.6835364256888</v>
      </c>
      <c r="AN589">
        <v>0.99999996878307496</v>
      </c>
    </row>
    <row r="590" spans="1:40" x14ac:dyDescent="0.25">
      <c r="A590" t="str">
        <f>"20190303170508864"</f>
        <v>20190303170508864</v>
      </c>
      <c r="B590" t="str">
        <f>"1551603908855204"</f>
        <v>1551603908855204</v>
      </c>
      <c r="C590" t="s">
        <v>40</v>
      </c>
      <c r="D590">
        <v>5.431311</v>
      </c>
      <c r="E590">
        <v>0.53342069999999997</v>
      </c>
      <c r="F590" t="s">
        <v>43</v>
      </c>
      <c r="G590">
        <v>-299.33780000000002</v>
      </c>
      <c r="H590">
        <v>-0.05</v>
      </c>
      <c r="I590">
        <v>360.01220000000001</v>
      </c>
      <c r="J590">
        <v>-348.04349999999999</v>
      </c>
      <c r="K590">
        <v>1.1207879999999999</v>
      </c>
      <c r="L590">
        <v>367.20440000000002</v>
      </c>
      <c r="M590">
        <v>0.99995100000000003</v>
      </c>
      <c r="N590">
        <v>-7.9494079999999998E-3</v>
      </c>
      <c r="O590">
        <v>5.9108310000000001E-3</v>
      </c>
      <c r="P590">
        <v>0.98094990000000004</v>
      </c>
      <c r="Q590">
        <v>0.1818284</v>
      </c>
      <c r="R590">
        <v>-6.8379510000000004E-2</v>
      </c>
      <c r="S590">
        <v>3.0408940000000002</v>
      </c>
      <c r="T590">
        <v>-7.2733279999999997E-2</v>
      </c>
      <c r="U590">
        <v>-0.44671630000000001</v>
      </c>
      <c r="V590">
        <v>7.4174169999999998E-2</v>
      </c>
      <c r="W590">
        <v>0.18961819999999999</v>
      </c>
      <c r="X590">
        <v>0.97905209999999998</v>
      </c>
      <c r="Y590">
        <v>0.151131399999999</v>
      </c>
      <c r="Z590">
        <v>-2.4954299999999999E-3</v>
      </c>
      <c r="AA590">
        <v>0.98851049999999996</v>
      </c>
      <c r="AB590">
        <v>25</v>
      </c>
      <c r="AC590">
        <v>48.705699999999901</v>
      </c>
      <c r="AD590">
        <v>-1.1707879999999999</v>
      </c>
      <c r="AE590">
        <v>-7.1922000000000104</v>
      </c>
      <c r="AF590">
        <v>7.4757470922761797</v>
      </c>
      <c r="AG590">
        <v>-1.1707879999999999</v>
      </c>
      <c r="AH590">
        <v>48.6348331276645</v>
      </c>
      <c r="AI590">
        <v>91.363014875767107</v>
      </c>
      <c r="AJ590">
        <v>81.261358559898397</v>
      </c>
      <c r="AK590">
        <v>49.219960711934696</v>
      </c>
      <c r="AL590">
        <v>79.069495724983895</v>
      </c>
      <c r="AM590">
        <v>85.667479080125702</v>
      </c>
      <c r="AN590">
        <v>0.99999994189041697</v>
      </c>
    </row>
    <row r="591" spans="1:40" x14ac:dyDescent="0.25">
      <c r="A591" t="str">
        <f>"20190303170508886"</f>
        <v>20190303170508886</v>
      </c>
      <c r="B591" t="str">
        <f>"1551603908874724"</f>
        <v>1551603908874724</v>
      </c>
      <c r="C591" t="s">
        <v>40</v>
      </c>
      <c r="D591">
        <v>5.4041620000000004</v>
      </c>
      <c r="E591">
        <v>0.53357169999999998</v>
      </c>
      <c r="F591" t="s">
        <v>43</v>
      </c>
      <c r="G591">
        <v>-299.5197</v>
      </c>
      <c r="H591">
        <v>-0.05</v>
      </c>
      <c r="I591">
        <v>360.03870000000001</v>
      </c>
      <c r="J591">
        <v>-347.80650000000003</v>
      </c>
      <c r="K591">
        <v>1.120798</v>
      </c>
      <c r="L591">
        <v>367.20580000000001</v>
      </c>
      <c r="M591">
        <v>0.99995020000000001</v>
      </c>
      <c r="N591">
        <v>-8.0521440000000007E-3</v>
      </c>
      <c r="O591">
        <v>5.9400390000000003E-3</v>
      </c>
      <c r="P591">
        <v>0.98106970000000004</v>
      </c>
      <c r="Q591">
        <v>0.18076610000000001</v>
      </c>
      <c r="R591">
        <v>-6.9473450000000006E-2</v>
      </c>
      <c r="S591">
        <v>3.040527</v>
      </c>
      <c r="T591">
        <v>-7.336223E-2</v>
      </c>
      <c r="U591">
        <v>-0.44900509999999899</v>
      </c>
      <c r="V591">
        <v>7.5297470000000005E-2</v>
      </c>
      <c r="W591">
        <v>0.1886574</v>
      </c>
      <c r="X591">
        <v>0.97915200000000002</v>
      </c>
      <c r="Y591">
        <v>0.15190429999999999</v>
      </c>
      <c r="Z591">
        <v>-2.5324219999999999E-3</v>
      </c>
      <c r="AA591">
        <v>0.98839189999999999</v>
      </c>
      <c r="AB591">
        <v>25</v>
      </c>
      <c r="AC591">
        <v>48.286799999999999</v>
      </c>
      <c r="AD591">
        <v>-1.170798</v>
      </c>
      <c r="AE591">
        <v>-7.1670999999999996</v>
      </c>
      <c r="AF591">
        <v>7.4495230427619603</v>
      </c>
      <c r="AG591">
        <v>-1.170798</v>
      </c>
      <c r="AH591">
        <v>48.2156386547761</v>
      </c>
      <c r="AI591">
        <v>91.374708408032404</v>
      </c>
      <c r="AJ591">
        <v>81.217004803192594</v>
      </c>
      <c r="AK591">
        <v>48.801782471641197</v>
      </c>
      <c r="AL591">
        <v>79.125557831921498</v>
      </c>
      <c r="AM591">
        <v>85.602569453345694</v>
      </c>
      <c r="AN591">
        <v>0.99999998133358003</v>
      </c>
    </row>
    <row r="592" spans="1:40" x14ac:dyDescent="0.25">
      <c r="A592" t="str">
        <f>"20190303170508921"</f>
        <v>20190303170508921</v>
      </c>
      <c r="B592" t="str">
        <f>"1551603908915360"</f>
        <v>1551603908915360</v>
      </c>
      <c r="C592" t="s">
        <v>40</v>
      </c>
      <c r="D592">
        <v>5.4337470000000003</v>
      </c>
      <c r="E592">
        <v>0.53406690000000001</v>
      </c>
      <c r="F592" t="s">
        <v>43</v>
      </c>
      <c r="G592">
        <v>-301.49369999999999</v>
      </c>
      <c r="H592">
        <v>-0.05</v>
      </c>
      <c r="I592">
        <v>360.28949999999998</v>
      </c>
      <c r="J592">
        <v>-347.41180000000003</v>
      </c>
      <c r="K592">
        <v>1.1208089999999999</v>
      </c>
      <c r="L592">
        <v>367.20819999999998</v>
      </c>
      <c r="M592">
        <v>0.99994839999999996</v>
      </c>
      <c r="N592">
        <v>-8.2182219999999903E-3</v>
      </c>
      <c r="O592">
        <v>5.9880580000000001E-3</v>
      </c>
      <c r="P592">
        <v>0.98121670000000005</v>
      </c>
      <c r="Q592">
        <v>0.17934510000000001</v>
      </c>
      <c r="R592">
        <v>-7.105765E-2</v>
      </c>
      <c r="S592">
        <v>3.039917</v>
      </c>
      <c r="T592">
        <v>-7.6849699999999896E-2</v>
      </c>
      <c r="U592">
        <v>-0.45397949999999998</v>
      </c>
      <c r="V592">
        <v>7.692968E-2</v>
      </c>
      <c r="W592">
        <v>0.18740039999999999</v>
      </c>
      <c r="X592">
        <v>0.97926650000000004</v>
      </c>
      <c r="Y592">
        <v>0.15355669999999999</v>
      </c>
      <c r="Z592">
        <v>-2.6661739999999999E-3</v>
      </c>
      <c r="AA592">
        <v>0.98813620000000002</v>
      </c>
      <c r="AB592">
        <v>25</v>
      </c>
      <c r="AC592">
        <v>45.918100000000003</v>
      </c>
      <c r="AD592">
        <v>-1.170809</v>
      </c>
      <c r="AE592">
        <v>-6.9187000000000003</v>
      </c>
      <c r="AF592">
        <v>7.1889753947649897</v>
      </c>
      <c r="AG592">
        <v>-1.170809</v>
      </c>
      <c r="AH592">
        <v>45.846700804820003</v>
      </c>
      <c r="AI592">
        <v>91.445219819705699</v>
      </c>
      <c r="AJ592">
        <v>81.088322322968693</v>
      </c>
      <c r="AK592">
        <v>46.421677432291297</v>
      </c>
      <c r="AL592">
        <v>79.198886566945205</v>
      </c>
      <c r="AM592">
        <v>85.508156318286296</v>
      </c>
      <c r="AN592">
        <v>0.99999998180365601</v>
      </c>
    </row>
    <row r="593" spans="1:40" x14ac:dyDescent="0.25">
      <c r="A593" t="str">
        <f>"20190303170508942"</f>
        <v>20190303170508942</v>
      </c>
      <c r="B593" t="str">
        <f>"1551603908934879"</f>
        <v>1551603908934879</v>
      </c>
      <c r="C593" t="s">
        <v>40</v>
      </c>
      <c r="D593">
        <v>5.392639</v>
      </c>
      <c r="E593">
        <v>0.54957009999999995</v>
      </c>
      <c r="F593" t="s">
        <v>43</v>
      </c>
      <c r="G593">
        <v>-302.8956</v>
      </c>
      <c r="H593">
        <v>-0.05</v>
      </c>
      <c r="I593">
        <v>360.42520000000002</v>
      </c>
      <c r="J593">
        <v>-347.16759999999999</v>
      </c>
      <c r="K593">
        <v>1.1208149999999999</v>
      </c>
      <c r="L593">
        <v>367.2097</v>
      </c>
      <c r="M593">
        <v>0.99994720000000004</v>
      </c>
      <c r="N593">
        <v>-8.3206449999999998E-3</v>
      </c>
      <c r="O593">
        <v>6.0179119999999899E-3</v>
      </c>
      <c r="P593">
        <v>0.98114440000000003</v>
      </c>
      <c r="Q593">
        <v>0.1794637</v>
      </c>
      <c r="R593">
        <v>-7.1752410000000003E-2</v>
      </c>
      <c r="S593">
        <v>3.038513</v>
      </c>
      <c r="T593">
        <v>-7.9915050000000001E-2</v>
      </c>
      <c r="U593">
        <v>-0.46298220000000001</v>
      </c>
      <c r="V593">
        <v>7.765321E-2</v>
      </c>
      <c r="W593">
        <v>0.1876187</v>
      </c>
      <c r="X593">
        <v>0.97916760000000003</v>
      </c>
      <c r="Y593">
        <v>0.15650849999999999</v>
      </c>
      <c r="Z593">
        <v>-2.808587E-3</v>
      </c>
      <c r="AA593">
        <v>0.98767260000000001</v>
      </c>
      <c r="AB593">
        <v>25</v>
      </c>
      <c r="AC593">
        <v>44.271999999999899</v>
      </c>
      <c r="AD593">
        <v>-1.1708149999999999</v>
      </c>
      <c r="AE593">
        <v>-6.78449999999998</v>
      </c>
      <c r="AF593">
        <v>7.0459965681699499</v>
      </c>
      <c r="AG593">
        <v>-1.1708149999999999</v>
      </c>
      <c r="AH593">
        <v>44.200164577856398</v>
      </c>
      <c r="AI593">
        <v>91.498438138867897</v>
      </c>
      <c r="AJ593">
        <v>80.942625725050902</v>
      </c>
      <c r="AK593">
        <v>44.773557197440503</v>
      </c>
      <c r="AL593">
        <v>79.186153165938805</v>
      </c>
      <c r="AM593">
        <v>85.465629445519099</v>
      </c>
      <c r="AN593">
        <v>0.99999999325137701</v>
      </c>
    </row>
    <row r="594" spans="1:40" x14ac:dyDescent="0.25">
      <c r="A594" t="str">
        <f>"20190303170508965"</f>
        <v>20190303170508965</v>
      </c>
      <c r="B594" t="str">
        <f>"1551603908955375"</f>
        <v>1551603908955375</v>
      </c>
      <c r="C594" t="s">
        <v>40</v>
      </c>
      <c r="D594">
        <v>5.410571</v>
      </c>
      <c r="E594">
        <v>0.54967290000000002</v>
      </c>
      <c r="F594" t="s">
        <v>43</v>
      </c>
      <c r="G594">
        <v>-301.06150000000002</v>
      </c>
      <c r="H594">
        <v>-0.05</v>
      </c>
      <c r="I594">
        <v>358.25040000000001</v>
      </c>
      <c r="J594">
        <v>-346.92500000000001</v>
      </c>
      <c r="K594">
        <v>1.1208260000000001</v>
      </c>
      <c r="L594">
        <v>367.21120000000002</v>
      </c>
      <c r="M594">
        <v>0.99994620000000001</v>
      </c>
      <c r="N594">
        <v>-8.4290630000000005E-3</v>
      </c>
      <c r="O594">
        <v>6.0470209999999996E-3</v>
      </c>
      <c r="P594">
        <v>0.98113539999999999</v>
      </c>
      <c r="Q594">
        <v>0.17933170000000001</v>
      </c>
      <c r="R594">
        <v>-7.220509E-2</v>
      </c>
      <c r="S594">
        <v>3.0286870000000001</v>
      </c>
      <c r="T594">
        <v>-7.6910259999999994E-2</v>
      </c>
      <c r="U594">
        <v>-0.58853149999999999</v>
      </c>
      <c r="V594">
        <v>7.8134380000000003E-2</v>
      </c>
      <c r="W594">
        <v>0.1875925</v>
      </c>
      <c r="X594">
        <v>0.97913439999999996</v>
      </c>
      <c r="Y594">
        <v>0.1966009</v>
      </c>
      <c r="Z594">
        <v>-3.4108099999999998E-3</v>
      </c>
      <c r="AA594">
        <v>0.98047770000000001</v>
      </c>
      <c r="AB594">
        <v>25</v>
      </c>
      <c r="AC594">
        <v>45.863499999999902</v>
      </c>
      <c r="AD594">
        <v>-1.1708259999999999</v>
      </c>
      <c r="AE594">
        <v>-8.9608000000000008</v>
      </c>
      <c r="AF594">
        <v>9.2321881294076604</v>
      </c>
      <c r="AG594">
        <v>-1.1708259999999999</v>
      </c>
      <c r="AH594">
        <v>45.779735512722297</v>
      </c>
      <c r="AI594">
        <v>91.436132309920595</v>
      </c>
      <c r="AJ594">
        <v>78.598347258620393</v>
      </c>
      <c r="AK594">
        <v>46.7160391599487</v>
      </c>
      <c r="AL594">
        <v>79.187682075500206</v>
      </c>
      <c r="AM594">
        <v>85.437496901475896</v>
      </c>
      <c r="AN594">
        <v>1.00000005032879</v>
      </c>
    </row>
    <row r="595" spans="1:40" x14ac:dyDescent="0.25">
      <c r="A595" t="str">
        <f>"20190303170508986"</f>
        <v>20190303170508986</v>
      </c>
      <c r="B595" t="str">
        <f>"1551603908974895"</f>
        <v>1551603908974895</v>
      </c>
      <c r="C595" t="s">
        <v>40</v>
      </c>
      <c r="D595">
        <v>5.3967609999999997</v>
      </c>
      <c r="E595">
        <v>0.54993049999999999</v>
      </c>
      <c r="F595" t="s">
        <v>43</v>
      </c>
      <c r="G595">
        <v>-300.74779999999998</v>
      </c>
      <c r="H595">
        <v>-0.05</v>
      </c>
      <c r="I595">
        <v>358.19900000000001</v>
      </c>
      <c r="J595">
        <v>-346.67230000000001</v>
      </c>
      <c r="K595">
        <v>1.1208359999999999</v>
      </c>
      <c r="L595">
        <v>367.21280000000002</v>
      </c>
      <c r="M595">
        <v>0.99994499999999997</v>
      </c>
      <c r="N595">
        <v>-8.5494850000000008E-3</v>
      </c>
      <c r="O595">
        <v>6.077799E-3</v>
      </c>
      <c r="P595">
        <v>0.98122810000000005</v>
      </c>
      <c r="Q595">
        <v>0.17872279999999999</v>
      </c>
      <c r="R595">
        <v>-7.2455640000000002E-2</v>
      </c>
      <c r="S595">
        <v>3.0282290000000001</v>
      </c>
      <c r="T595">
        <v>-7.6780799999999996E-2</v>
      </c>
      <c r="U595">
        <v>-0.59100339999999996</v>
      </c>
      <c r="V595">
        <v>7.8415739999999998E-2</v>
      </c>
      <c r="W595">
        <v>0.18710209999999999</v>
      </c>
      <c r="X595">
        <v>0.97920569999999896</v>
      </c>
      <c r="Y595">
        <v>0.19742950000000001</v>
      </c>
      <c r="Z595">
        <v>-3.4323719999999999E-3</v>
      </c>
      <c r="AA595">
        <v>0.98031109999999999</v>
      </c>
      <c r="AB595">
        <v>25</v>
      </c>
      <c r="AC595">
        <v>45.924500000000002</v>
      </c>
      <c r="AD595">
        <v>-1.170836</v>
      </c>
      <c r="AE595">
        <v>-9.0137999999999998</v>
      </c>
      <c r="AF595">
        <v>9.2869511187051597</v>
      </c>
      <c r="AG595">
        <v>-1.170836</v>
      </c>
      <c r="AH595">
        <v>45.840175474530199</v>
      </c>
      <c r="AI595">
        <v>91.433993264499193</v>
      </c>
      <c r="AJ595">
        <v>78.547222245222201</v>
      </c>
      <c r="AK595">
        <v>46.786109108963501</v>
      </c>
      <c r="AL595">
        <v>79.2162859984617</v>
      </c>
      <c r="AM595">
        <v>85.421469165708203</v>
      </c>
      <c r="AN595">
        <v>1.00000001350832</v>
      </c>
    </row>
    <row r="596" spans="1:40" x14ac:dyDescent="0.25">
      <c r="A596" t="str">
        <f>"20190303170509010"</f>
        <v>20190303170509010</v>
      </c>
      <c r="B596" t="str">
        <f>"1551603909005151"</f>
        <v>1551603909005151</v>
      </c>
      <c r="C596" t="s">
        <v>40</v>
      </c>
      <c r="D596">
        <v>5.3984560000000004</v>
      </c>
      <c r="E596">
        <v>0.5500931</v>
      </c>
      <c r="F596" t="s">
        <v>43</v>
      </c>
      <c r="G596">
        <v>-301.76280000000003</v>
      </c>
      <c r="H596">
        <v>-0.05</v>
      </c>
      <c r="I596">
        <v>358.4083</v>
      </c>
      <c r="J596">
        <v>-346.41770000000002</v>
      </c>
      <c r="K596">
        <v>1.1208499999999999</v>
      </c>
      <c r="L596">
        <v>367.21440000000001</v>
      </c>
      <c r="M596">
        <v>0.99994380000000005</v>
      </c>
      <c r="N596">
        <v>-8.6727379999999993E-3</v>
      </c>
      <c r="O596">
        <v>6.1082030000000004E-3</v>
      </c>
      <c r="P596">
        <v>0.98127379999999997</v>
      </c>
      <c r="Q596">
        <v>0.1778922</v>
      </c>
      <c r="R596">
        <v>-7.3866589999999996E-2</v>
      </c>
      <c r="S596">
        <v>3.0279539999999998</v>
      </c>
      <c r="T596">
        <v>-7.8941819999999996E-2</v>
      </c>
      <c r="U596">
        <v>-0.59362789999999999</v>
      </c>
      <c r="V596">
        <v>7.9856410000000003E-2</v>
      </c>
      <c r="W596">
        <v>0.1863928</v>
      </c>
      <c r="X596">
        <v>0.97922450000000005</v>
      </c>
      <c r="Y596">
        <v>0.19828950000000001</v>
      </c>
      <c r="Z596">
        <v>-3.5334590000000001E-3</v>
      </c>
      <c r="AA596">
        <v>0.98013709999999998</v>
      </c>
      <c r="AB596">
        <v>25</v>
      </c>
      <c r="AC596">
        <v>44.654899999999998</v>
      </c>
      <c r="AD596">
        <v>-1.1708499999999999</v>
      </c>
      <c r="AE596">
        <v>-8.8061000000000096</v>
      </c>
      <c r="AF596">
        <v>9.0727032662300502</v>
      </c>
      <c r="AG596">
        <v>-1.1708499999999999</v>
      </c>
      <c r="AH596">
        <v>44.570780634674598</v>
      </c>
      <c r="AI596">
        <v>91.474556977937894</v>
      </c>
      <c r="AJ596">
        <v>78.494228706565394</v>
      </c>
      <c r="AK596">
        <v>45.4998826445063</v>
      </c>
      <c r="AL596">
        <v>79.257653182776593</v>
      </c>
      <c r="AM596">
        <v>85.337808083725903</v>
      </c>
      <c r="AN596">
        <v>0.99999997175508804</v>
      </c>
    </row>
    <row r="597" spans="1:40" x14ac:dyDescent="0.25">
      <c r="A597" t="str">
        <f>"20190303170509033"</f>
        <v>20190303170509033</v>
      </c>
      <c r="B597" t="str">
        <f>"1551603909024671"</f>
        <v>1551603909024671</v>
      </c>
      <c r="C597" t="s">
        <v>40</v>
      </c>
      <c r="D597">
        <v>5.3867180000000001</v>
      </c>
      <c r="E597">
        <v>0.55018230000000001</v>
      </c>
      <c r="F597" t="s">
        <v>43</v>
      </c>
      <c r="G597">
        <v>-301.31909999999999</v>
      </c>
      <c r="H597">
        <v>-0.05</v>
      </c>
      <c r="I597">
        <v>358.27850000000001</v>
      </c>
      <c r="J597">
        <v>-346.1447</v>
      </c>
      <c r="K597">
        <v>1.120857</v>
      </c>
      <c r="L597">
        <v>367.21600000000001</v>
      </c>
      <c r="M597">
        <v>0.99994249999999996</v>
      </c>
      <c r="N597">
        <v>-8.8032519999999993E-3</v>
      </c>
      <c r="O597">
        <v>6.1410689999999999E-3</v>
      </c>
      <c r="P597">
        <v>0.98130589999999995</v>
      </c>
      <c r="Q597">
        <v>0.17764779999999999</v>
      </c>
      <c r="R597">
        <v>-7.4028319999999995E-2</v>
      </c>
      <c r="S597">
        <v>3.0263369999999998</v>
      </c>
      <c r="T597">
        <v>-7.8569769999999997E-2</v>
      </c>
      <c r="U597">
        <v>-0.5996399</v>
      </c>
      <c r="V597">
        <v>8.0050759999999999E-2</v>
      </c>
      <c r="W597">
        <v>0.18627669999999999</v>
      </c>
      <c r="X597">
        <v>0.97923079999999996</v>
      </c>
      <c r="Y597">
        <v>0.2002939</v>
      </c>
      <c r="Z597">
        <v>-3.5692509999999998E-3</v>
      </c>
      <c r="AA597">
        <v>0.97972939999999997</v>
      </c>
      <c r="AB597">
        <v>25</v>
      </c>
      <c r="AC597">
        <v>44.825600000000001</v>
      </c>
      <c r="AD597">
        <v>-1.170857</v>
      </c>
      <c r="AE597">
        <v>-8.9375</v>
      </c>
      <c r="AF597">
        <v>9.2065779977591191</v>
      </c>
      <c r="AG597">
        <v>-1.170857</v>
      </c>
      <c r="AH597">
        <v>44.740508795594401</v>
      </c>
      <c r="AI597">
        <v>91.468334115120001</v>
      </c>
      <c r="AJ597">
        <v>78.372144263456903</v>
      </c>
      <c r="AK597">
        <v>45.692943786015</v>
      </c>
      <c r="AL597">
        <v>79.264424612365403</v>
      </c>
      <c r="AM597">
        <v>85.326541640426797</v>
      </c>
      <c r="AN597">
        <v>1.0000000464040499</v>
      </c>
    </row>
    <row r="598" spans="1:40" x14ac:dyDescent="0.25">
      <c r="A598" t="str">
        <f>"20190303170509055"</f>
        <v>20190303170509055</v>
      </c>
      <c r="B598" t="str">
        <f>"1551603909045167"</f>
        <v>1551603909045167</v>
      </c>
      <c r="C598" t="s">
        <v>40</v>
      </c>
      <c r="D598">
        <v>5.3702300000000003</v>
      </c>
      <c r="E598">
        <v>0.5503479</v>
      </c>
      <c r="F598" t="s">
        <v>43</v>
      </c>
      <c r="G598">
        <v>-301.04489999999998</v>
      </c>
      <c r="H598">
        <v>-0.05</v>
      </c>
      <c r="I598">
        <v>358.24689999999998</v>
      </c>
      <c r="J598">
        <v>-345.89339999999999</v>
      </c>
      <c r="K598">
        <v>1.12087</v>
      </c>
      <c r="L598">
        <v>367.2176</v>
      </c>
      <c r="M598">
        <v>0.99994110000000003</v>
      </c>
      <c r="N598">
        <v>-8.9202499999999994E-3</v>
      </c>
      <c r="O598">
        <v>6.1714229999999997E-3</v>
      </c>
      <c r="P598">
        <v>0.98119259999999997</v>
      </c>
      <c r="Q598">
        <v>0.17832909999999999</v>
      </c>
      <c r="R598">
        <v>-7.3888980000000007E-2</v>
      </c>
      <c r="S598">
        <v>3.0259399999999999</v>
      </c>
      <c r="T598">
        <v>-7.8557849999999999E-2</v>
      </c>
      <c r="U598">
        <v>-0.60177609999999904</v>
      </c>
      <c r="V598">
        <v>7.9940479999999994E-2</v>
      </c>
      <c r="W598">
        <v>0.1870716</v>
      </c>
      <c r="X598">
        <v>0.97908819999999996</v>
      </c>
      <c r="Y598">
        <v>0.201013</v>
      </c>
      <c r="Z598">
        <v>-3.5931829999999998E-3</v>
      </c>
      <c r="AA598">
        <v>0.97958199999999995</v>
      </c>
      <c r="AB598">
        <v>25</v>
      </c>
      <c r="AC598">
        <v>44.848500000000001</v>
      </c>
      <c r="AD598">
        <v>-1.1708700000000001</v>
      </c>
      <c r="AE598">
        <v>-8.9707000000000203</v>
      </c>
      <c r="AF598">
        <v>9.2412628327386592</v>
      </c>
      <c r="AG598">
        <v>-1.1708700000000001</v>
      </c>
      <c r="AH598">
        <v>44.762945523368501</v>
      </c>
      <c r="AI598">
        <v>91.467419933888294</v>
      </c>
      <c r="AJ598">
        <v>78.335226297046304</v>
      </c>
      <c r="AK598">
        <v>45.7219112377065</v>
      </c>
      <c r="AL598">
        <v>79.218064603562695</v>
      </c>
      <c r="AM598">
        <v>85.332274725166698</v>
      </c>
      <c r="AN598">
        <v>0.99999998362421405</v>
      </c>
    </row>
    <row r="599" spans="1:40" x14ac:dyDescent="0.25">
      <c r="A599" t="str">
        <f>"20190303170509076"</f>
        <v>20190303170509076</v>
      </c>
      <c r="B599" t="str">
        <f>"1551603909064687"</f>
        <v>1551603909064687</v>
      </c>
      <c r="C599" t="s">
        <v>40</v>
      </c>
      <c r="D599">
        <v>5.3781509999999999</v>
      </c>
      <c r="E599">
        <v>0.5504869</v>
      </c>
      <c r="F599" t="s">
        <v>43</v>
      </c>
      <c r="G599">
        <v>-300.2937</v>
      </c>
      <c r="H599">
        <v>-0.05</v>
      </c>
      <c r="I599">
        <v>358.14839999999998</v>
      </c>
      <c r="J599">
        <v>-345.65199999999999</v>
      </c>
      <c r="K599">
        <v>1.1208800000000001</v>
      </c>
      <c r="L599">
        <v>367.21910000000003</v>
      </c>
      <c r="M599">
        <v>0.99994000000000005</v>
      </c>
      <c r="N599">
        <v>-9.0336909999999999E-3</v>
      </c>
      <c r="O599">
        <v>6.2005350000000001E-3</v>
      </c>
      <c r="P599">
        <v>0.98117149999999997</v>
      </c>
      <c r="Q599">
        <v>0.1785446</v>
      </c>
      <c r="R599">
        <v>-7.3651809999999998E-2</v>
      </c>
      <c r="S599">
        <v>3.0263059999999999</v>
      </c>
      <c r="T599">
        <v>-7.7706929999999994E-2</v>
      </c>
      <c r="U599">
        <v>-0.60189820000000005</v>
      </c>
      <c r="V599">
        <v>7.9731529999999995E-2</v>
      </c>
      <c r="W599">
        <v>0.18739810000000001</v>
      </c>
      <c r="X599">
        <v>0.97904279999999999</v>
      </c>
      <c r="Y599">
        <v>0.20105809999999999</v>
      </c>
      <c r="Z599">
        <v>-3.5752370000000002E-3</v>
      </c>
      <c r="AA599">
        <v>0.97957280000000002</v>
      </c>
      <c r="AB599">
        <v>25</v>
      </c>
      <c r="AC599">
        <v>45.3582999999999</v>
      </c>
      <c r="AD599">
        <v>-1.1708799999999999</v>
      </c>
      <c r="AE599">
        <v>-9.0707000000000395</v>
      </c>
      <c r="AF599">
        <v>9.3457945914531493</v>
      </c>
      <c r="AG599">
        <v>-1.1708799999999999</v>
      </c>
      <c r="AH599">
        <v>45.272174830907097</v>
      </c>
      <c r="AI599">
        <v>91.450937414883597</v>
      </c>
      <c r="AJ599">
        <v>78.335952294955405</v>
      </c>
      <c r="AK599">
        <v>46.241590050951501</v>
      </c>
      <c r="AL599">
        <v>79.199020753416804</v>
      </c>
      <c r="AM599">
        <v>85.344206677701393</v>
      </c>
      <c r="AN599">
        <v>0.99999998449579497</v>
      </c>
    </row>
    <row r="600" spans="1:40" x14ac:dyDescent="0.25">
      <c r="A600" t="str">
        <f>"20190303170509099"</f>
        <v>20190303170509099</v>
      </c>
      <c r="B600" t="str">
        <f>"1551603909094943"</f>
        <v>1551603909094943</v>
      </c>
      <c r="C600" t="s">
        <v>40</v>
      </c>
      <c r="D600">
        <v>5.3457509999999999</v>
      </c>
      <c r="E600">
        <v>0.55074509999999999</v>
      </c>
      <c r="F600" t="s">
        <v>43</v>
      </c>
      <c r="G600">
        <v>-299.40309999999999</v>
      </c>
      <c r="H600">
        <v>-0.05</v>
      </c>
      <c r="I600">
        <v>358.02839999999998</v>
      </c>
      <c r="J600">
        <v>-345.38780000000003</v>
      </c>
      <c r="K600">
        <v>1.120895</v>
      </c>
      <c r="L600">
        <v>367.2208</v>
      </c>
      <c r="M600">
        <v>0.99993869999999896</v>
      </c>
      <c r="N600">
        <v>-9.163516E-3</v>
      </c>
      <c r="O600">
        <v>6.2325459999999899E-3</v>
      </c>
      <c r="P600">
        <v>0.98126389999999997</v>
      </c>
      <c r="Q600">
        <v>0.17799619999999999</v>
      </c>
      <c r="R600">
        <v>-7.3748019999999997E-2</v>
      </c>
      <c r="S600">
        <v>3.026367</v>
      </c>
      <c r="T600">
        <v>-7.6618309999999995E-2</v>
      </c>
      <c r="U600">
        <v>-0.60140990000000005</v>
      </c>
      <c r="V600">
        <v>7.9859639999999996E-2</v>
      </c>
      <c r="W600">
        <v>0.18697749999999999</v>
      </c>
      <c r="X600">
        <v>0.97911280000000001</v>
      </c>
      <c r="Y600">
        <v>0.20093559999999999</v>
      </c>
      <c r="Z600">
        <v>-3.5479980000000001E-3</v>
      </c>
      <c r="AA600">
        <v>0.97959799999999997</v>
      </c>
      <c r="AB600">
        <v>26</v>
      </c>
      <c r="AC600">
        <v>45.984699999999997</v>
      </c>
      <c r="AD600">
        <v>-1.170895</v>
      </c>
      <c r="AE600">
        <v>-9.1924000000000099</v>
      </c>
      <c r="AF600">
        <v>9.4729294346244792</v>
      </c>
      <c r="AG600">
        <v>-1.170895</v>
      </c>
      <c r="AH600">
        <v>45.897897899910099</v>
      </c>
      <c r="AI600">
        <v>91.431196057906206</v>
      </c>
      <c r="AJ600">
        <v>78.338390940283503</v>
      </c>
      <c r="AK600">
        <v>46.879893545154097</v>
      </c>
      <c r="AL600">
        <v>79.223553280078505</v>
      </c>
      <c r="AM600">
        <v>85.337090788275901</v>
      </c>
      <c r="AN600">
        <v>1.0000000113655001</v>
      </c>
    </row>
    <row r="601" spans="1:40" x14ac:dyDescent="0.25">
      <c r="A601" t="str">
        <f>"20190303170509122"</f>
        <v>20190303170509122</v>
      </c>
      <c r="B601" t="str">
        <f>"1551603909115440"</f>
        <v>1551603909115440</v>
      </c>
      <c r="C601" t="s">
        <v>40</v>
      </c>
      <c r="D601">
        <v>5.3391310000000001</v>
      </c>
      <c r="E601">
        <v>0.55082240000000005</v>
      </c>
      <c r="F601" t="s">
        <v>43</v>
      </c>
      <c r="G601">
        <v>-299.51350000000002</v>
      </c>
      <c r="H601">
        <v>-0.05</v>
      </c>
      <c r="I601">
        <v>358.0609</v>
      </c>
      <c r="J601">
        <v>-345.13029999999998</v>
      </c>
      <c r="K601">
        <v>1.120906</v>
      </c>
      <c r="L601">
        <v>367.22239999999999</v>
      </c>
      <c r="M601">
        <v>0.99993710000000002</v>
      </c>
      <c r="N601">
        <v>-9.2988270000000008E-3</v>
      </c>
      <c r="O601">
        <v>6.2645180000000002E-3</v>
      </c>
      <c r="P601">
        <v>0.98138789999999998</v>
      </c>
      <c r="Q601">
        <v>0.17719579999999999</v>
      </c>
      <c r="R601">
        <v>-7.4023099999999994E-2</v>
      </c>
      <c r="S601">
        <v>3.0258790000000002</v>
      </c>
      <c r="T601">
        <v>-7.7232480000000006E-2</v>
      </c>
      <c r="U601">
        <v>-0.60418700000000003</v>
      </c>
      <c r="V601">
        <v>8.0167089999999996E-2</v>
      </c>
      <c r="W601">
        <v>0.18631039999999999</v>
      </c>
      <c r="X601">
        <v>0.97921480000000005</v>
      </c>
      <c r="Y601">
        <v>0.20185980000000001</v>
      </c>
      <c r="Z601">
        <v>-3.5991399999999998E-3</v>
      </c>
      <c r="AA601">
        <v>0.97940780000000005</v>
      </c>
      <c r="AB601">
        <v>26</v>
      </c>
      <c r="AC601">
        <v>45.616799999999898</v>
      </c>
      <c r="AD601">
        <v>-1.170906</v>
      </c>
      <c r="AE601">
        <v>-9.1614999999999895</v>
      </c>
      <c r="AF601">
        <v>9.4411206247935997</v>
      </c>
      <c r="AG601">
        <v>-1.170906</v>
      </c>
      <c r="AH601">
        <v>45.529675232655698</v>
      </c>
      <c r="AI601">
        <v>91.442501920278502</v>
      </c>
      <c r="AJ601">
        <v>78.285064364970495</v>
      </c>
      <c r="AK601">
        <v>46.5129778266651</v>
      </c>
      <c r="AL601">
        <v>79.262458575990905</v>
      </c>
      <c r="AM601">
        <v>85.319704172356595</v>
      </c>
      <c r="AN601">
        <v>0.99999997600313295</v>
      </c>
    </row>
    <row r="602" spans="1:40" x14ac:dyDescent="0.25">
      <c r="A602" t="str">
        <f>"20190303170509145"</f>
        <v>20190303170509145</v>
      </c>
      <c r="B602" t="str">
        <f>"1551603909134959"</f>
        <v>1551603909134959</v>
      </c>
      <c r="C602" t="s">
        <v>40</v>
      </c>
      <c r="D602">
        <v>5.322565</v>
      </c>
      <c r="E602">
        <v>0.55381320000000001</v>
      </c>
      <c r="F602" t="s">
        <v>43</v>
      </c>
      <c r="G602">
        <v>-300.5258</v>
      </c>
      <c r="H602">
        <v>-0.05</v>
      </c>
      <c r="I602">
        <v>358.29349999999999</v>
      </c>
      <c r="J602">
        <v>-344.8725</v>
      </c>
      <c r="K602">
        <v>1.1209309999999999</v>
      </c>
      <c r="L602">
        <v>367.22410000000002</v>
      </c>
      <c r="M602">
        <v>0.99993560000000004</v>
      </c>
      <c r="N602">
        <v>-9.4427910000000007E-3</v>
      </c>
      <c r="O602">
        <v>6.2977719999999897E-3</v>
      </c>
      <c r="P602">
        <v>0.98147079999999998</v>
      </c>
      <c r="Q602">
        <v>0.17617920000000001</v>
      </c>
      <c r="R602">
        <v>-7.5338069999999993E-2</v>
      </c>
      <c r="S602">
        <v>3.0255130000000001</v>
      </c>
      <c r="T602">
        <v>-7.9422350000000003E-2</v>
      </c>
      <c r="U602">
        <v>-0.60565190000000002</v>
      </c>
      <c r="V602">
        <v>8.1514630000000005E-2</v>
      </c>
      <c r="W602">
        <v>0.18543609999999999</v>
      </c>
      <c r="X602">
        <v>0.97926950000000001</v>
      </c>
      <c r="Y602">
        <v>0.20236609999999999</v>
      </c>
      <c r="Z602">
        <v>-3.699515E-3</v>
      </c>
      <c r="AA602">
        <v>0.97930289999999998</v>
      </c>
      <c r="AB602">
        <v>26</v>
      </c>
      <c r="AC602">
        <v>44.346699999999998</v>
      </c>
      <c r="AD602">
        <v>-1.1709309999999999</v>
      </c>
      <c r="AE602">
        <v>-8.9306000000000196</v>
      </c>
      <c r="AF602">
        <v>9.2035543466101295</v>
      </c>
      <c r="AG602">
        <v>-1.1709309999999999</v>
      </c>
      <c r="AH602">
        <v>44.259920913141997</v>
      </c>
      <c r="AI602">
        <v>91.483727021235893</v>
      </c>
      <c r="AJ602">
        <v>78.253129997548598</v>
      </c>
      <c r="AK602">
        <v>45.221865189920599</v>
      </c>
      <c r="AL602">
        <v>79.313440619422593</v>
      </c>
      <c r="AM602">
        <v>85.2416553156433</v>
      </c>
      <c r="AN602">
        <v>0.99999996785874801</v>
      </c>
    </row>
    <row r="603" spans="1:40" x14ac:dyDescent="0.25">
      <c r="A603" t="str">
        <f>"20190303170509166"</f>
        <v>20190303170509166</v>
      </c>
      <c r="B603" t="str">
        <f>"1551603909155455"</f>
        <v>1551603909155455</v>
      </c>
      <c r="C603" t="s">
        <v>40</v>
      </c>
      <c r="D603">
        <v>5.3375349999999999</v>
      </c>
      <c r="E603">
        <v>0.5536143</v>
      </c>
      <c r="F603" t="s">
        <v>43</v>
      </c>
      <c r="G603">
        <v>-300.40249999999997</v>
      </c>
      <c r="H603">
        <v>-0.05</v>
      </c>
      <c r="I603">
        <v>357.90159999999997</v>
      </c>
      <c r="J603">
        <v>-344.62920000000003</v>
      </c>
      <c r="K603">
        <v>1.12096</v>
      </c>
      <c r="L603">
        <v>367.22570000000002</v>
      </c>
      <c r="M603">
        <v>0.99993410000000005</v>
      </c>
      <c r="N603">
        <v>-9.586476E-3</v>
      </c>
      <c r="O603">
        <v>6.3359929999999998E-3</v>
      </c>
      <c r="P603">
        <v>0.98124690000000003</v>
      </c>
      <c r="Q603">
        <v>0.17708090000000001</v>
      </c>
      <c r="R603">
        <v>-7.6138609999999995E-2</v>
      </c>
      <c r="S603">
        <v>3.022278</v>
      </c>
      <c r="T603">
        <v>-7.9578999999999997E-2</v>
      </c>
      <c r="U603">
        <v>-0.63357540000000001</v>
      </c>
      <c r="V603">
        <v>8.2349339999999993E-2</v>
      </c>
      <c r="W603">
        <v>0.18647720000000001</v>
      </c>
      <c r="X603">
        <v>0.97900200000000004</v>
      </c>
      <c r="Y603">
        <v>0.21127499999999999</v>
      </c>
      <c r="Z603">
        <v>-3.8799529999999998E-3</v>
      </c>
      <c r="AA603">
        <v>0.97741900000000004</v>
      </c>
      <c r="AB603">
        <v>26</v>
      </c>
      <c r="AC603">
        <v>44.226700000000001</v>
      </c>
      <c r="AD603">
        <v>-1.17096</v>
      </c>
      <c r="AE603">
        <v>-9.3241000000000405</v>
      </c>
      <c r="AF603">
        <v>9.5977040957346595</v>
      </c>
      <c r="AG603">
        <v>-1.17096</v>
      </c>
      <c r="AH603">
        <v>44.137108802825502</v>
      </c>
      <c r="AI603">
        <v>91.485015634169798</v>
      </c>
      <c r="AJ603">
        <v>77.731903766285001</v>
      </c>
      <c r="AK603">
        <v>45.183751998958002</v>
      </c>
      <c r="AL603">
        <v>79.252731841810601</v>
      </c>
      <c r="AM603">
        <v>85.1918497653472</v>
      </c>
      <c r="AN603">
        <v>1.00000003796113</v>
      </c>
    </row>
    <row r="604" spans="1:40" x14ac:dyDescent="0.25">
      <c r="A604" t="str">
        <f>"20190303170509188"</f>
        <v>20190303170509188</v>
      </c>
      <c r="B604" t="str">
        <f>"1551603909184735"</f>
        <v>1551603909184735</v>
      </c>
      <c r="C604" t="s">
        <v>40</v>
      </c>
      <c r="D604">
        <v>5.3386139999999997</v>
      </c>
      <c r="E604">
        <v>0.55367250000000001</v>
      </c>
      <c r="F604" t="s">
        <v>43</v>
      </c>
      <c r="G604">
        <v>-300.94380000000001</v>
      </c>
      <c r="H604">
        <v>-0.05</v>
      </c>
      <c r="I604">
        <v>358.05860000000001</v>
      </c>
      <c r="J604">
        <v>-344.36689999999999</v>
      </c>
      <c r="K604">
        <v>1.1209899999999999</v>
      </c>
      <c r="L604">
        <v>367.22739999999999</v>
      </c>
      <c r="M604">
        <v>0.99993220000000005</v>
      </c>
      <c r="N604">
        <v>-9.743603E-3</v>
      </c>
      <c r="O604">
        <v>6.3850160000000003E-3</v>
      </c>
      <c r="P604">
        <v>0.98109690000000005</v>
      </c>
      <c r="Q604">
        <v>0.17775179999999999</v>
      </c>
      <c r="R604">
        <v>-7.6509359999999998E-2</v>
      </c>
      <c r="S604">
        <v>3.0227659999999998</v>
      </c>
      <c r="T604">
        <v>-8.1023339999999999E-2</v>
      </c>
      <c r="U604">
        <v>-0.63430790000000004</v>
      </c>
      <c r="V604">
        <v>8.2764009999999999E-2</v>
      </c>
      <c r="W604">
        <v>0.18730160000000001</v>
      </c>
      <c r="X604">
        <v>0.97880959999999995</v>
      </c>
      <c r="Y604">
        <v>0.21151449999999999</v>
      </c>
      <c r="Z604">
        <v>-3.9533299999999997E-3</v>
      </c>
      <c r="AA604">
        <v>0.97736690000000004</v>
      </c>
      <c r="AB604">
        <v>26</v>
      </c>
      <c r="AC604">
        <v>43.423099999999899</v>
      </c>
      <c r="AD604">
        <v>-1.17099</v>
      </c>
      <c r="AE604">
        <v>-9.1687999999999708</v>
      </c>
      <c r="AF604">
        <v>9.4393119619641901</v>
      </c>
      <c r="AG604">
        <v>-1.17099</v>
      </c>
      <c r="AH604">
        <v>43.333501159712398</v>
      </c>
      <c r="AI604">
        <v>91.512462329349404</v>
      </c>
      <c r="AJ604">
        <v>77.711258366305799</v>
      </c>
      <c r="AK604">
        <v>44.365123133540102</v>
      </c>
      <c r="AL604">
        <v>79.204649652313805</v>
      </c>
      <c r="AM604">
        <v>85.166807340179304</v>
      </c>
      <c r="AN604">
        <v>1.000000001883</v>
      </c>
    </row>
    <row r="605" spans="1:40" x14ac:dyDescent="0.25">
      <c r="A605" t="str">
        <f>"20190303170509212"</f>
        <v>20190303170509212</v>
      </c>
      <c r="B605" t="str">
        <f>"1551603909205231"</f>
        <v>1551603909205231</v>
      </c>
      <c r="C605" t="s">
        <v>40</v>
      </c>
      <c r="D605">
        <v>5.334333</v>
      </c>
      <c r="E605">
        <v>0.55383739999999904</v>
      </c>
      <c r="F605" t="s">
        <v>43</v>
      </c>
      <c r="G605">
        <v>-297.8202</v>
      </c>
      <c r="H605">
        <v>-0.05</v>
      </c>
      <c r="I605">
        <v>357.42489999999998</v>
      </c>
      <c r="J605">
        <v>-344.09890000000001</v>
      </c>
      <c r="K605">
        <v>1.1210199999999999</v>
      </c>
      <c r="L605">
        <v>367.22910000000002</v>
      </c>
      <c r="M605">
        <v>0.99993030000000005</v>
      </c>
      <c r="N605">
        <v>-9.9046540000000006E-3</v>
      </c>
      <c r="O605">
        <v>6.4449950000000002E-3</v>
      </c>
      <c r="P605">
        <v>0.98109820000000003</v>
      </c>
      <c r="Q605">
        <v>0.1774242</v>
      </c>
      <c r="R605">
        <v>-7.7246960000000003E-2</v>
      </c>
      <c r="S605">
        <v>3.021973</v>
      </c>
      <c r="T605">
        <v>-7.6024770000000005E-2</v>
      </c>
      <c r="U605">
        <v>-0.63641359999999902</v>
      </c>
      <c r="V605">
        <v>8.3557030000000004E-2</v>
      </c>
      <c r="W605">
        <v>0.18713299999999999</v>
      </c>
      <c r="X605">
        <v>0.97877449999999999</v>
      </c>
      <c r="Y605">
        <v>0.21228659999999999</v>
      </c>
      <c r="Z605">
        <v>-3.801132E-3</v>
      </c>
      <c r="AA605">
        <v>0.97719999999999996</v>
      </c>
      <c r="AB605">
        <v>26</v>
      </c>
      <c r="AC605">
        <v>46.278700000000001</v>
      </c>
      <c r="AD605">
        <v>-1.1710199999999999</v>
      </c>
      <c r="AE605">
        <v>-9.80420000000003</v>
      </c>
      <c r="AF605">
        <v>10.0960903296161</v>
      </c>
      <c r="AG605">
        <v>-1.1710199999999999</v>
      </c>
      <c r="AH605">
        <v>46.186245945208</v>
      </c>
      <c r="AI605">
        <v>91.418892973693403</v>
      </c>
      <c r="AJ605">
        <v>77.669378935796999</v>
      </c>
      <c r="AK605">
        <v>47.291348493095597</v>
      </c>
      <c r="AL605">
        <v>79.214483899784199</v>
      </c>
      <c r="AM605">
        <v>85.120545522591897</v>
      </c>
      <c r="AN605">
        <v>1.00000002940083</v>
      </c>
    </row>
    <row r="606" spans="1:40" x14ac:dyDescent="0.25">
      <c r="A606" t="str">
        <f>"20190303170509234"</f>
        <v>20190303170509234</v>
      </c>
      <c r="B606" t="str">
        <f>"1551603909224751"</f>
        <v>1551603909224751</v>
      </c>
      <c r="C606" t="s">
        <v>40</v>
      </c>
      <c r="D606">
        <v>5.3006500000000001</v>
      </c>
      <c r="E606">
        <v>0.5540448</v>
      </c>
      <c r="F606" t="s">
        <v>43</v>
      </c>
      <c r="G606">
        <v>-298.11279999999999</v>
      </c>
      <c r="H606">
        <v>-0.05</v>
      </c>
      <c r="I606">
        <v>357.49590000000001</v>
      </c>
      <c r="J606">
        <v>-343.84800000000001</v>
      </c>
      <c r="K606">
        <v>1.1210389999999999</v>
      </c>
      <c r="L606">
        <v>367.23079999999999</v>
      </c>
      <c r="M606">
        <v>0.99992829999999999</v>
      </c>
      <c r="N606">
        <v>-1.006228E-2</v>
      </c>
      <c r="O606">
        <v>6.5142309999999997E-3</v>
      </c>
      <c r="P606">
        <v>0.98110699999999995</v>
      </c>
      <c r="Q606">
        <v>0.17675469999999999</v>
      </c>
      <c r="R606">
        <v>-7.8657939999999996E-2</v>
      </c>
      <c r="S606">
        <v>3.0213930000000002</v>
      </c>
      <c r="T606">
        <v>-7.6938629999999994E-2</v>
      </c>
      <c r="U606">
        <v>-0.63949579999999995</v>
      </c>
      <c r="V606">
        <v>8.5031910000000002E-2</v>
      </c>
      <c r="W606">
        <v>0.18662000000000001</v>
      </c>
      <c r="X606">
        <v>0.97874539999999999</v>
      </c>
      <c r="Y606">
        <v>0.21334349999999999</v>
      </c>
      <c r="Z606">
        <v>-3.870811E-3</v>
      </c>
      <c r="AA606">
        <v>0.97696959999999999</v>
      </c>
      <c r="AB606">
        <v>26</v>
      </c>
      <c r="AC606">
        <v>45.735199999999999</v>
      </c>
      <c r="AD606">
        <v>-1.1710389999999999</v>
      </c>
      <c r="AE606">
        <v>-9.7348999999999801</v>
      </c>
      <c r="AF606">
        <v>10.026349716179601</v>
      </c>
      <c r="AG606">
        <v>-1.1710389999999999</v>
      </c>
      <c r="AH606">
        <v>45.642184674201999</v>
      </c>
      <c r="AI606">
        <v>91.435499249804195</v>
      </c>
      <c r="AJ606">
        <v>77.610460559524</v>
      </c>
      <c r="AK606">
        <v>46.745139242541697</v>
      </c>
      <c r="AL606">
        <v>79.244403443498399</v>
      </c>
      <c r="AM606">
        <v>85.034697361600905</v>
      </c>
      <c r="AN606">
        <v>1.0000000040696999</v>
      </c>
    </row>
    <row r="607" spans="1:40" x14ac:dyDescent="0.25">
      <c r="A607" t="str">
        <f>"20190303170509256"</f>
        <v>20190303170509256</v>
      </c>
      <c r="B607" t="str">
        <f>"1551603909245248"</f>
        <v>1551603909245248</v>
      </c>
      <c r="C607" t="s">
        <v>40</v>
      </c>
      <c r="D607">
        <v>5.256494</v>
      </c>
      <c r="E607">
        <v>0.55430409999999997</v>
      </c>
      <c r="F607" t="s">
        <v>43</v>
      </c>
      <c r="G607">
        <v>-299.62569999999999</v>
      </c>
      <c r="H607">
        <v>-0.05</v>
      </c>
      <c r="I607">
        <v>357.79849999999999</v>
      </c>
      <c r="J607">
        <v>-343.58730000000003</v>
      </c>
      <c r="K607">
        <v>1.1210770000000001</v>
      </c>
      <c r="L607">
        <v>367.23259999999999</v>
      </c>
      <c r="M607">
        <v>0.99992570000000003</v>
      </c>
      <c r="N607">
        <v>-1.024272E-2</v>
      </c>
      <c r="O607">
        <v>6.6063959999999996E-3</v>
      </c>
      <c r="P607">
        <v>0.98115790000000003</v>
      </c>
      <c r="Q607">
        <v>0.176137299999999</v>
      </c>
      <c r="R607">
        <v>-7.9405829999999997E-2</v>
      </c>
      <c r="S607">
        <v>3.020508</v>
      </c>
      <c r="T607">
        <v>-7.9985260000000002E-2</v>
      </c>
      <c r="U607">
        <v>-0.64425659999999996</v>
      </c>
      <c r="V607">
        <v>8.5864670000000004E-2</v>
      </c>
      <c r="W607">
        <v>0.1861825</v>
      </c>
      <c r="X607">
        <v>0.97875599999999996</v>
      </c>
      <c r="Y607">
        <v>0.2149568</v>
      </c>
      <c r="Z607">
        <v>-4.0334769999999997E-3</v>
      </c>
      <c r="AA607">
        <v>0.97661529999999996</v>
      </c>
      <c r="AB607">
        <v>26</v>
      </c>
      <c r="AC607">
        <v>43.961599999999997</v>
      </c>
      <c r="AD607">
        <v>-1.1710769999999999</v>
      </c>
      <c r="AE607">
        <v>-9.4341000000000008</v>
      </c>
      <c r="AF607">
        <v>9.7177447989780692</v>
      </c>
      <c r="AG607">
        <v>-1.1710769999999999</v>
      </c>
      <c r="AH607">
        <v>43.868552508685198</v>
      </c>
      <c r="AI607">
        <v>91.492980177835193</v>
      </c>
      <c r="AJ607">
        <v>77.509560080945107</v>
      </c>
      <c r="AK607">
        <v>44.947256696324203</v>
      </c>
      <c r="AL607">
        <v>79.269917320347105</v>
      </c>
      <c r="AM607">
        <v>84.986370354388995</v>
      </c>
      <c r="AN607">
        <v>0.99999998619822905</v>
      </c>
    </row>
    <row r="608" spans="1:40" x14ac:dyDescent="0.25">
      <c r="A608" t="str">
        <f>"20190303170509277"</f>
        <v>20190303170509277</v>
      </c>
      <c r="B608" t="str">
        <f>"1551603909264767"</f>
        <v>1551603909264767</v>
      </c>
      <c r="C608" t="s">
        <v>40</v>
      </c>
      <c r="D608">
        <v>5.2689560000000002</v>
      </c>
      <c r="E608">
        <v>0.55447939999999996</v>
      </c>
      <c r="F608" t="s">
        <v>43</v>
      </c>
      <c r="G608">
        <v>-300.8383</v>
      </c>
      <c r="H608">
        <v>-0.05</v>
      </c>
      <c r="I608">
        <v>358.05040000000002</v>
      </c>
      <c r="J608">
        <v>-343.3503</v>
      </c>
      <c r="K608">
        <v>1.1211139999999999</v>
      </c>
      <c r="L608">
        <v>367.23430000000002</v>
      </c>
      <c r="M608">
        <v>0.99992329999999996</v>
      </c>
      <c r="N608">
        <v>-1.042702E-2</v>
      </c>
      <c r="O608">
        <v>6.7087329999999997E-3</v>
      </c>
      <c r="P608">
        <v>0.9810432</v>
      </c>
      <c r="Q608">
        <v>0.1765215</v>
      </c>
      <c r="R608">
        <v>-7.9965649999999999E-2</v>
      </c>
      <c r="S608">
        <v>3.0200200000000001</v>
      </c>
      <c r="T608">
        <v>-8.2731250000000006E-2</v>
      </c>
      <c r="U608">
        <v>-0.64868159999999997</v>
      </c>
      <c r="V608">
        <v>8.651818E-2</v>
      </c>
      <c r="W608">
        <v>0.18674840000000001</v>
      </c>
      <c r="X608">
        <v>0.97859070000000004</v>
      </c>
      <c r="Y608">
        <v>0.21644959999999999</v>
      </c>
      <c r="Z608">
        <v>-4.1848409999999999E-3</v>
      </c>
      <c r="AA608">
        <v>0.97628479999999995</v>
      </c>
      <c r="AB608">
        <v>26</v>
      </c>
      <c r="AC608">
        <v>42.512</v>
      </c>
      <c r="AD608">
        <v>-1.171114</v>
      </c>
      <c r="AE608">
        <v>-9.1838999999999906</v>
      </c>
      <c r="AF608">
        <v>9.4620499944627507</v>
      </c>
      <c r="AG608">
        <v>-1.171114</v>
      </c>
      <c r="AH608">
        <v>42.418672037790998</v>
      </c>
      <c r="AI608">
        <v>91.543530500834905</v>
      </c>
      <c r="AJ608">
        <v>77.425276723177006</v>
      </c>
      <c r="AK608">
        <v>43.476955223984803</v>
      </c>
      <c r="AL608">
        <v>79.236915619742007</v>
      </c>
      <c r="AM608">
        <v>84.947559789643705</v>
      </c>
      <c r="AN608">
        <v>1.00000005924977</v>
      </c>
    </row>
    <row r="609" spans="1:40" x14ac:dyDescent="0.25">
      <c r="A609" t="str">
        <f>"20190303170509300"</f>
        <v>20190303170509300</v>
      </c>
      <c r="B609" t="str">
        <f>"1551603909295023"</f>
        <v>1551603909295023</v>
      </c>
      <c r="C609" t="s">
        <v>40</v>
      </c>
      <c r="D609">
        <v>5.2089869999999996</v>
      </c>
      <c r="E609">
        <v>0.55481389999999997</v>
      </c>
      <c r="F609" t="s">
        <v>43</v>
      </c>
      <c r="G609">
        <v>-299.64280000000002</v>
      </c>
      <c r="H609">
        <v>-0.05</v>
      </c>
      <c r="I609">
        <v>357.78390000000002</v>
      </c>
      <c r="J609">
        <v>-343.0849</v>
      </c>
      <c r="K609">
        <v>1.1211739999999999</v>
      </c>
      <c r="L609">
        <v>367.2362</v>
      </c>
      <c r="M609">
        <v>0.99992000000000003</v>
      </c>
      <c r="N609">
        <v>-1.0654189999999999E-2</v>
      </c>
      <c r="O609">
        <v>6.8324170000000004E-3</v>
      </c>
      <c r="P609">
        <v>0.98083240000000005</v>
      </c>
      <c r="Q609">
        <v>0.1775061</v>
      </c>
      <c r="R609">
        <v>-8.0371449999999997E-2</v>
      </c>
      <c r="S609">
        <v>3.0193180000000002</v>
      </c>
      <c r="T609">
        <v>-8.0900669999999994E-2</v>
      </c>
      <c r="U609">
        <v>-0.65283199999999997</v>
      </c>
      <c r="V609">
        <v>8.7036829999999996E-2</v>
      </c>
      <c r="W609">
        <v>0.18795590000000001</v>
      </c>
      <c r="X609">
        <v>0.9783134</v>
      </c>
      <c r="Y609">
        <v>0.21790190000000001</v>
      </c>
      <c r="Z609">
        <v>-4.1688200000000002E-3</v>
      </c>
      <c r="AA609">
        <v>0.97596170000000004</v>
      </c>
      <c r="AB609">
        <v>26</v>
      </c>
      <c r="AC609">
        <v>43.442099999999897</v>
      </c>
      <c r="AD609">
        <v>-1.1711739999999999</v>
      </c>
      <c r="AE609">
        <v>-9.4522999999999797</v>
      </c>
      <c r="AF609">
        <v>9.7421500762248208</v>
      </c>
      <c r="AG609">
        <v>-1.1711739999999999</v>
      </c>
      <c r="AH609">
        <v>43.346419638420798</v>
      </c>
      <c r="AI609">
        <v>91.510043778600803</v>
      </c>
      <c r="AJ609">
        <v>77.333197797936506</v>
      </c>
      <c r="AK609">
        <v>44.443146064562498</v>
      </c>
      <c r="AL609">
        <v>79.166482830852104</v>
      </c>
      <c r="AM609">
        <v>84.915997039269797</v>
      </c>
      <c r="AN609">
        <v>0.99999996937040903</v>
      </c>
    </row>
    <row r="610" spans="1:40" x14ac:dyDescent="0.25">
      <c r="A610" t="str">
        <f>"20190303170509323"</f>
        <v>20190303170509323</v>
      </c>
      <c r="B610" t="str">
        <f>"1551603909315520"</f>
        <v>1551603909315520</v>
      </c>
      <c r="C610" t="s">
        <v>40</v>
      </c>
      <c r="D610">
        <v>5.3447170000000002</v>
      </c>
      <c r="E610">
        <v>0.55476119999999995</v>
      </c>
      <c r="F610" t="s">
        <v>43</v>
      </c>
      <c r="G610">
        <v>-297.7783</v>
      </c>
      <c r="H610">
        <v>-0.05</v>
      </c>
      <c r="I610">
        <v>357.37310000000002</v>
      </c>
      <c r="J610">
        <v>-342.82650000000001</v>
      </c>
      <c r="K610">
        <v>1.1212230000000001</v>
      </c>
      <c r="L610">
        <v>367.23820000000001</v>
      </c>
      <c r="M610">
        <v>0.99991660000000004</v>
      </c>
      <c r="N610">
        <v>-1.089124E-2</v>
      </c>
      <c r="O610">
        <v>6.960473E-3</v>
      </c>
      <c r="P610">
        <v>0.98068520000000003</v>
      </c>
      <c r="Q610">
        <v>0.17828350000000001</v>
      </c>
      <c r="R610">
        <v>-8.0448160000000005E-2</v>
      </c>
      <c r="S610">
        <v>3.0188600000000001</v>
      </c>
      <c r="T610">
        <v>-7.8037259999999997E-2</v>
      </c>
      <c r="U610">
        <v>-0.657196</v>
      </c>
      <c r="V610">
        <v>8.7234210000000006E-2</v>
      </c>
      <c r="W610">
        <v>0.1889651</v>
      </c>
      <c r="X610">
        <v>0.97810140000000001</v>
      </c>
      <c r="Y610">
        <v>0.21940970000000001</v>
      </c>
      <c r="Z610">
        <v>-4.114482E-3</v>
      </c>
      <c r="AA610">
        <v>0.97562409999999999</v>
      </c>
      <c r="AB610">
        <v>26</v>
      </c>
      <c r="AC610">
        <v>45.048200000000001</v>
      </c>
      <c r="AD610">
        <v>-1.1712229999999999</v>
      </c>
      <c r="AE610">
        <v>-9.8650999999999804</v>
      </c>
      <c r="AF610">
        <v>10.171875149819</v>
      </c>
      <c r="AG610">
        <v>-1.1712229999999999</v>
      </c>
      <c r="AH610">
        <v>44.949444966162901</v>
      </c>
      <c r="AI610">
        <v>91.455793283352193</v>
      </c>
      <c r="AJ610">
        <v>77.248964256480704</v>
      </c>
      <c r="AK610">
        <v>46.100882964920999</v>
      </c>
      <c r="AL610">
        <v>79.107605023240893</v>
      </c>
      <c r="AM610">
        <v>84.903429678626694</v>
      </c>
      <c r="AN610">
        <v>0.99999998254714695</v>
      </c>
    </row>
    <row r="611" spans="1:40" x14ac:dyDescent="0.25">
      <c r="A611" t="str">
        <f>"20190303170509344"</f>
        <v>20190303170509344</v>
      </c>
      <c r="B611" t="str">
        <f>"1551603909335039"</f>
        <v>1551603909335039</v>
      </c>
      <c r="C611" t="s">
        <v>40</v>
      </c>
      <c r="D611">
        <v>5.4224139999999998</v>
      </c>
      <c r="E611">
        <v>0.51491759999999998</v>
      </c>
      <c r="F611" t="s">
        <v>43</v>
      </c>
      <c r="G611">
        <v>-296.26929999999999</v>
      </c>
      <c r="H611">
        <v>-0.05</v>
      </c>
      <c r="I611">
        <v>357.11290000000002</v>
      </c>
      <c r="J611">
        <v>-342.58370000000002</v>
      </c>
      <c r="K611">
        <v>1.121265</v>
      </c>
      <c r="L611">
        <v>367.24</v>
      </c>
      <c r="M611">
        <v>0.99991300000000005</v>
      </c>
      <c r="N611">
        <v>-1.1131719999999999E-2</v>
      </c>
      <c r="O611">
        <v>7.0910130000000002E-3</v>
      </c>
      <c r="P611">
        <v>0.98068089999999997</v>
      </c>
      <c r="Q611">
        <v>0.1783467</v>
      </c>
      <c r="R611">
        <v>-8.0360139999999997E-2</v>
      </c>
      <c r="S611">
        <v>3.0190730000000001</v>
      </c>
      <c r="T611">
        <v>-7.5949669999999997E-2</v>
      </c>
      <c r="U611">
        <v>-0.65658570000000005</v>
      </c>
      <c r="V611">
        <v>8.7273899999999904E-2</v>
      </c>
      <c r="W611">
        <v>0.1892634</v>
      </c>
      <c r="X611">
        <v>0.97804020000000003</v>
      </c>
      <c r="Y611">
        <v>0.21933830000000001</v>
      </c>
      <c r="Z611">
        <v>-4.0601589999999998E-3</v>
      </c>
      <c r="AA611">
        <v>0.97564039999999996</v>
      </c>
      <c r="AB611">
        <v>26</v>
      </c>
      <c r="AC611">
        <v>46.314399999999999</v>
      </c>
      <c r="AD611">
        <v>-1.171265</v>
      </c>
      <c r="AE611">
        <v>-10.127099999999899</v>
      </c>
      <c r="AF611">
        <v>10.4489039643904</v>
      </c>
      <c r="AG611">
        <v>-1.171265</v>
      </c>
      <c r="AH611">
        <v>46.213212334881803</v>
      </c>
      <c r="AI611">
        <v>91.416108730328602</v>
      </c>
      <c r="AJ611">
        <v>77.259528209333496</v>
      </c>
      <c r="AK611">
        <v>47.394223804870499</v>
      </c>
      <c r="AL611">
        <v>79.090199811136003</v>
      </c>
      <c r="AM611">
        <v>84.900805675697299</v>
      </c>
      <c r="AN611">
        <v>1.0000000005084</v>
      </c>
    </row>
    <row r="612" spans="1:40" x14ac:dyDescent="0.25">
      <c r="A612" t="str">
        <f>"20190303170509366"</f>
        <v>20190303170509366</v>
      </c>
      <c r="B612" t="str">
        <f>"1551603909355535"</f>
        <v>1551603909355535</v>
      </c>
      <c r="C612" t="s">
        <v>40</v>
      </c>
      <c r="D612">
        <v>5.4221959999999996</v>
      </c>
      <c r="E612">
        <v>0.50740029999999903</v>
      </c>
      <c r="F612" t="s">
        <v>43</v>
      </c>
      <c r="G612">
        <v>-302.87950000000001</v>
      </c>
      <c r="H612">
        <v>-0.05</v>
      </c>
      <c r="I612">
        <v>362.839</v>
      </c>
      <c r="J612">
        <v>-342.33069999999998</v>
      </c>
      <c r="K612">
        <v>1.1213029999999999</v>
      </c>
      <c r="L612">
        <v>367.24189999999999</v>
      </c>
      <c r="M612">
        <v>0.99990889999999999</v>
      </c>
      <c r="N612">
        <v>-1.139392E-2</v>
      </c>
      <c r="O612">
        <v>7.2326319999999897E-3</v>
      </c>
      <c r="P612">
        <v>0.98055749999999997</v>
      </c>
      <c r="Q612">
        <v>0.1789317</v>
      </c>
      <c r="R612">
        <v>-8.0560510000000002E-2</v>
      </c>
      <c r="S612">
        <v>3.0477599999999998</v>
      </c>
      <c r="T612">
        <v>-8.9908119999999994E-2</v>
      </c>
      <c r="U612">
        <v>-0.33782960000000001</v>
      </c>
      <c r="V612">
        <v>8.7613090000000005E-2</v>
      </c>
      <c r="W612">
        <v>0.1901032</v>
      </c>
      <c r="X612">
        <v>0.97784700000000002</v>
      </c>
      <c r="Y612">
        <v>0.1172854</v>
      </c>
      <c r="Z612">
        <v>-2.525266E-3</v>
      </c>
      <c r="AA612">
        <v>0.99309499999999995</v>
      </c>
      <c r="AB612">
        <v>26</v>
      </c>
      <c r="AC612">
        <v>39.451199999999901</v>
      </c>
      <c r="AD612">
        <v>-1.171303</v>
      </c>
      <c r="AE612">
        <v>-4.4028999999999803</v>
      </c>
      <c r="AF612">
        <v>4.6840612022345196</v>
      </c>
      <c r="AG612">
        <v>-1.171303</v>
      </c>
      <c r="AH612">
        <v>39.384031768822901</v>
      </c>
      <c r="AI612">
        <v>91.691591383734803</v>
      </c>
      <c r="AJ612">
        <v>83.217500710707895</v>
      </c>
      <c r="AK612">
        <v>39.678890337706498</v>
      </c>
      <c r="AL612">
        <v>79.041193305142798</v>
      </c>
      <c r="AM612">
        <v>84.880086741955495</v>
      </c>
      <c r="AN612">
        <v>1.00000001779929</v>
      </c>
    </row>
    <row r="613" spans="1:40" x14ac:dyDescent="0.25">
      <c r="A613" t="str">
        <f>"20190303170509389"</f>
        <v>20190303170509389</v>
      </c>
      <c r="B613" t="str">
        <f>"1551603909375055"</f>
        <v>1551603909375055</v>
      </c>
      <c r="C613" t="s">
        <v>40</v>
      </c>
      <c r="D613">
        <v>5.305682</v>
      </c>
      <c r="E613">
        <v>0.50416470000000002</v>
      </c>
      <c r="F613" t="s">
        <v>43</v>
      </c>
      <c r="G613">
        <v>-295.6832</v>
      </c>
      <c r="H613">
        <v>-0.05</v>
      </c>
      <c r="I613">
        <v>362.97519999999997</v>
      </c>
      <c r="J613">
        <v>-342.0677</v>
      </c>
      <c r="K613">
        <v>1.1213379999999999</v>
      </c>
      <c r="L613">
        <v>367.24400000000003</v>
      </c>
      <c r="M613">
        <v>0.99990480000000004</v>
      </c>
      <c r="N613">
        <v>-1.1663969999999999E-2</v>
      </c>
      <c r="O613">
        <v>7.3800749999999998E-3</v>
      </c>
      <c r="P613">
        <v>0.9804484</v>
      </c>
      <c r="Q613">
        <v>0.1792001</v>
      </c>
      <c r="R613">
        <v>-8.1292610000000001E-2</v>
      </c>
      <c r="S613">
        <v>3.0505369999999998</v>
      </c>
      <c r="T613">
        <v>-7.6597929999999995E-2</v>
      </c>
      <c r="U613">
        <v>-0.2790222</v>
      </c>
      <c r="V613">
        <v>8.8489470000000001E-2</v>
      </c>
      <c r="W613">
        <v>0.1906341</v>
      </c>
      <c r="X613">
        <v>0.97766470000000005</v>
      </c>
      <c r="Y613">
        <v>9.8387959999999997E-2</v>
      </c>
      <c r="Z613">
        <v>-1.9066409999999999E-3</v>
      </c>
      <c r="AA613">
        <v>0.99514630000000004</v>
      </c>
      <c r="AB613">
        <v>26</v>
      </c>
      <c r="AC613">
        <v>46.384500000000003</v>
      </c>
      <c r="AD613">
        <v>-1.171338</v>
      </c>
      <c r="AE613">
        <v>-4.2688000000000503</v>
      </c>
      <c r="AF613">
        <v>4.6081141578142502</v>
      </c>
      <c r="AG613">
        <v>-1.171338</v>
      </c>
      <c r="AH613">
        <v>46.322438545375</v>
      </c>
      <c r="AI613">
        <v>91.441396534508002</v>
      </c>
      <c r="AJ613">
        <v>84.318958671357606</v>
      </c>
      <c r="AK613">
        <v>46.565814301821597</v>
      </c>
      <c r="AL613">
        <v>79.0102082126743</v>
      </c>
      <c r="AM613">
        <v>84.828190366241699</v>
      </c>
      <c r="AN613">
        <v>1.0000000060048899</v>
      </c>
    </row>
    <row r="614" spans="1:40" x14ac:dyDescent="0.25">
      <c r="A614" t="str">
        <f>"20190303170509412"</f>
        <v>20190303170509412</v>
      </c>
      <c r="B614" t="str">
        <f>"1551603909405312"</f>
        <v>1551603909405312</v>
      </c>
      <c r="C614" t="s">
        <v>40</v>
      </c>
      <c r="D614">
        <v>5.2971219999999999</v>
      </c>
      <c r="E614">
        <v>0.50186799999999998</v>
      </c>
      <c r="F614" t="s">
        <v>43</v>
      </c>
      <c r="G614">
        <v>-292.29239999999999</v>
      </c>
      <c r="H614">
        <v>-0.05</v>
      </c>
      <c r="I614">
        <v>363.07929999999999</v>
      </c>
      <c r="J614">
        <v>-341.8073</v>
      </c>
      <c r="K614">
        <v>1.121367</v>
      </c>
      <c r="L614">
        <v>367.24610000000001</v>
      </c>
      <c r="M614">
        <v>0.99990060000000003</v>
      </c>
      <c r="N614">
        <v>-1.192472E-2</v>
      </c>
      <c r="O614">
        <v>7.5229629999999997E-3</v>
      </c>
      <c r="P614">
        <v>0.98046750000000005</v>
      </c>
      <c r="Q614">
        <v>0.17875769999999999</v>
      </c>
      <c r="R614">
        <v>-8.203191E-2</v>
      </c>
      <c r="S614">
        <v>3.051758</v>
      </c>
      <c r="T614">
        <v>-7.1815489999999996E-2</v>
      </c>
      <c r="U614">
        <v>-0.25534059999999997</v>
      </c>
      <c r="V614">
        <v>8.9369089999999998E-2</v>
      </c>
      <c r="W614">
        <v>0.1904469</v>
      </c>
      <c r="X614">
        <v>0.97762119999999997</v>
      </c>
      <c r="Y614">
        <v>9.0835379999999993E-2</v>
      </c>
      <c r="Z614">
        <v>-1.6966209999999999E-3</v>
      </c>
      <c r="AA614">
        <v>0.99586450000000004</v>
      </c>
      <c r="AB614">
        <v>26</v>
      </c>
      <c r="AC614">
        <v>49.514899999999997</v>
      </c>
      <c r="AD614">
        <v>-1.171367</v>
      </c>
      <c r="AE614">
        <v>-4.1668000000000198</v>
      </c>
      <c r="AF614">
        <v>4.5366862295572199</v>
      </c>
      <c r="AG614">
        <v>-1.171367</v>
      </c>
      <c r="AH614">
        <v>49.454667189156901</v>
      </c>
      <c r="AI614">
        <v>91.351164203355793</v>
      </c>
      <c r="AJ614">
        <v>84.758684642965804</v>
      </c>
      <c r="AK614">
        <v>49.676128365487799</v>
      </c>
      <c r="AL614">
        <v>79.021134456743098</v>
      </c>
      <c r="AM614">
        <v>84.776832378535502</v>
      </c>
      <c r="AN614">
        <v>1.00000003332823</v>
      </c>
    </row>
    <row r="615" spans="1:40" x14ac:dyDescent="0.25">
      <c r="A615" t="str">
        <f>"20190303170509435"</f>
        <v>20190303170509435</v>
      </c>
      <c r="B615" t="str">
        <f>"1551603909424832"</f>
        <v>1551603909424832</v>
      </c>
      <c r="C615" t="s">
        <v>40</v>
      </c>
      <c r="D615">
        <v>5.358968</v>
      </c>
      <c r="E615">
        <v>0.5013145</v>
      </c>
      <c r="F615" t="s">
        <v>43</v>
      </c>
      <c r="G615">
        <v>-292.11919999999998</v>
      </c>
      <c r="H615">
        <v>-0.05</v>
      </c>
      <c r="I615">
        <v>363.36090000000002</v>
      </c>
      <c r="J615">
        <v>-341.54930000000002</v>
      </c>
      <c r="K615">
        <v>1.121397</v>
      </c>
      <c r="L615">
        <v>367.24810000000002</v>
      </c>
      <c r="M615">
        <v>0.99989660000000002</v>
      </c>
      <c r="N615">
        <v>-1.217741E-2</v>
      </c>
      <c r="O615">
        <v>7.6600380000000001E-3</v>
      </c>
      <c r="P615">
        <v>0.98033599999999999</v>
      </c>
      <c r="Q615">
        <v>0.1790244</v>
      </c>
      <c r="R615">
        <v>-8.3017999999999995E-2</v>
      </c>
      <c r="S615">
        <v>3.0529169999999999</v>
      </c>
      <c r="T615">
        <v>-7.1970820000000005E-2</v>
      </c>
      <c r="U615">
        <v>-0.23870849999999999</v>
      </c>
      <c r="V615">
        <v>9.0487999999999999E-2</v>
      </c>
      <c r="W615">
        <v>0.1909585</v>
      </c>
      <c r="X615">
        <v>0.97741840000000002</v>
      </c>
      <c r="Y615">
        <v>8.5550979999999999E-2</v>
      </c>
      <c r="Z615">
        <v>-1.6157140000000001E-3</v>
      </c>
      <c r="AA615">
        <v>0.99633249999999995</v>
      </c>
      <c r="AB615">
        <v>25</v>
      </c>
      <c r="AC615">
        <v>49.430100000000003</v>
      </c>
      <c r="AD615">
        <v>-1.171397</v>
      </c>
      <c r="AE615">
        <v>-3.8872</v>
      </c>
      <c r="AF615">
        <v>4.2633708436413302</v>
      </c>
      <c r="AG615">
        <v>-1.171397</v>
      </c>
      <c r="AH615">
        <v>49.3713148796162</v>
      </c>
      <c r="AI615">
        <v>91.354122465482803</v>
      </c>
      <c r="AJ615">
        <v>85.064569635506302</v>
      </c>
      <c r="AK615">
        <v>49.568893822882899</v>
      </c>
      <c r="AL615">
        <v>78.991273312077197</v>
      </c>
      <c r="AM615">
        <v>84.710715271439597</v>
      </c>
      <c r="AN615">
        <v>0.99999997776240401</v>
      </c>
    </row>
    <row r="616" spans="1:40" x14ac:dyDescent="0.25">
      <c r="A616" t="str">
        <f>"20190303170509456"</f>
        <v>20190303170509456</v>
      </c>
      <c r="B616" t="str">
        <f>"1551603909445327"</f>
        <v>1551603909445327</v>
      </c>
      <c r="C616" t="s">
        <v>40</v>
      </c>
      <c r="D616">
        <v>5.3012759999999997</v>
      </c>
      <c r="E616">
        <v>0.50081059999999999</v>
      </c>
      <c r="F616" t="s">
        <v>43</v>
      </c>
      <c r="G616">
        <v>-291.10989999999998</v>
      </c>
      <c r="H616">
        <v>-0.05</v>
      </c>
      <c r="I616">
        <v>363.33319999999998</v>
      </c>
      <c r="J616">
        <v>-341.31330000000003</v>
      </c>
      <c r="K616">
        <v>1.121426</v>
      </c>
      <c r="L616">
        <v>367.25009999999997</v>
      </c>
      <c r="M616">
        <v>0.99989289999999997</v>
      </c>
      <c r="N616">
        <v>-1.240746E-2</v>
      </c>
      <c r="O616">
        <v>7.7832109999999999E-3</v>
      </c>
      <c r="P616">
        <v>0.98037920000000001</v>
      </c>
      <c r="Q616">
        <v>0.17847689999999999</v>
      </c>
      <c r="R616">
        <v>-8.3684229999999998E-2</v>
      </c>
      <c r="S616">
        <v>3.0531009999999998</v>
      </c>
      <c r="T616">
        <v>-7.0904729999999999E-2</v>
      </c>
      <c r="U616">
        <v>-0.23696900000000001</v>
      </c>
      <c r="V616">
        <v>9.1275200000000001E-2</v>
      </c>
      <c r="W616">
        <v>0.19063649999999999</v>
      </c>
      <c r="X616">
        <v>0.9774081</v>
      </c>
      <c r="Y616">
        <v>8.5105730000000004E-2</v>
      </c>
      <c r="Z616">
        <v>-1.5995759999999999E-3</v>
      </c>
      <c r="AA616">
        <v>0.9963706</v>
      </c>
      <c r="AB616">
        <v>25</v>
      </c>
      <c r="AC616">
        <v>50.203400000000002</v>
      </c>
      <c r="AD616">
        <v>-1.1714260000000001</v>
      </c>
      <c r="AE616">
        <v>-3.9168999999999898</v>
      </c>
      <c r="AF616">
        <v>4.3052251828008998</v>
      </c>
      <c r="AG616">
        <v>-1.1714260000000001</v>
      </c>
      <c r="AH616">
        <v>50.144254523877102</v>
      </c>
      <c r="AI616">
        <v>91.333346724308896</v>
      </c>
      <c r="AJ616">
        <v>85.092801786702793</v>
      </c>
      <c r="AK616">
        <v>50.342362524055901</v>
      </c>
      <c r="AL616">
        <v>79.010068240723598</v>
      </c>
      <c r="AM616">
        <v>84.664909635632895</v>
      </c>
      <c r="AN616">
        <v>1.0000000156064499</v>
      </c>
    </row>
    <row r="617" spans="1:40" x14ac:dyDescent="0.25">
      <c r="A617" t="str">
        <f>"20190303170509478"</f>
        <v>20190303170509478</v>
      </c>
      <c r="B617" t="str">
        <f>"1551603909464847"</f>
        <v>1551603909464847</v>
      </c>
      <c r="C617" t="s">
        <v>40</v>
      </c>
      <c r="D617">
        <v>5.299372</v>
      </c>
      <c r="E617">
        <v>0.50031619999999999</v>
      </c>
      <c r="F617" t="s">
        <v>43</v>
      </c>
      <c r="G617">
        <v>-292.77019999999999</v>
      </c>
      <c r="H617">
        <v>-0.05</v>
      </c>
      <c r="I617">
        <v>363.52069999999998</v>
      </c>
      <c r="J617">
        <v>-341.05459999999999</v>
      </c>
      <c r="K617">
        <v>1.121456</v>
      </c>
      <c r="L617">
        <v>367.25229999999999</v>
      </c>
      <c r="M617">
        <v>0.99988860000000002</v>
      </c>
      <c r="N617">
        <v>-1.265877E-2</v>
      </c>
      <c r="O617">
        <v>7.9178369999999901E-3</v>
      </c>
      <c r="P617">
        <v>0.98044849999999995</v>
      </c>
      <c r="Q617">
        <v>0.1779327</v>
      </c>
      <c r="R617">
        <v>-8.4030339999999995E-2</v>
      </c>
      <c r="S617">
        <v>3.0534669999999999</v>
      </c>
      <c r="T617">
        <v>-7.3685290000000001E-2</v>
      </c>
      <c r="U617">
        <v>-0.23458860000000001</v>
      </c>
      <c r="V617">
        <v>9.1753860000000007E-2</v>
      </c>
      <c r="W617">
        <v>0.19033919999999999</v>
      </c>
      <c r="X617">
        <v>0.97742119999999999</v>
      </c>
      <c r="Y617">
        <v>8.4456199999999995E-2</v>
      </c>
      <c r="Z617">
        <v>-1.643572E-3</v>
      </c>
      <c r="AA617">
        <v>0.99642580000000003</v>
      </c>
      <c r="AB617">
        <v>25</v>
      </c>
      <c r="AC617">
        <v>48.284399999999998</v>
      </c>
      <c r="AD617">
        <v>-1.1714560000000001</v>
      </c>
      <c r="AE617">
        <v>-3.73160000000001</v>
      </c>
      <c r="AF617">
        <v>4.1114159127677299</v>
      </c>
      <c r="AG617">
        <v>-1.1714560000000001</v>
      </c>
      <c r="AH617">
        <v>48.225119697626504</v>
      </c>
      <c r="AI617">
        <v>91.386493762539899</v>
      </c>
      <c r="AJ617">
        <v>85.127051431825194</v>
      </c>
      <c r="AK617">
        <v>48.414235714489003</v>
      </c>
      <c r="AL617">
        <v>79.027419732393696</v>
      </c>
      <c r="AM617">
        <v>84.637165831335295</v>
      </c>
      <c r="AN617">
        <v>0.99999999204548895</v>
      </c>
    </row>
    <row r="618" spans="1:40" x14ac:dyDescent="0.25">
      <c r="A618" t="str">
        <f>"20190303170509492"</f>
        <v>20190303170509492</v>
      </c>
      <c r="B618" t="str">
        <f>"1551603909485344"</f>
        <v>1551603909485344</v>
      </c>
      <c r="C618" t="s">
        <v>40</v>
      </c>
      <c r="D618">
        <v>5.3539289999999999</v>
      </c>
      <c r="E618">
        <v>0.49987209999999899</v>
      </c>
      <c r="F618" t="s">
        <v>43</v>
      </c>
      <c r="G618">
        <v>-293.96460000000002</v>
      </c>
      <c r="H618">
        <v>-0.05</v>
      </c>
      <c r="I618">
        <v>363.67989999999998</v>
      </c>
      <c r="J618">
        <v>-340.89729999999997</v>
      </c>
      <c r="K618">
        <v>1.121472</v>
      </c>
      <c r="L618">
        <v>367.25360000000001</v>
      </c>
      <c r="M618">
        <v>0.99988600000000005</v>
      </c>
      <c r="N618">
        <v>-1.2809060000000001E-2</v>
      </c>
      <c r="O618">
        <v>8.0001450000000002E-3</v>
      </c>
      <c r="P618">
        <v>0.98040499999999997</v>
      </c>
      <c r="Q618">
        <v>0.17801510000000001</v>
      </c>
      <c r="R618">
        <v>-8.4362560000000003E-2</v>
      </c>
      <c r="S618">
        <v>3.0537109999999998</v>
      </c>
      <c r="T618">
        <v>-7.5967069999999998E-2</v>
      </c>
      <c r="U618">
        <v>-0.2316589</v>
      </c>
      <c r="V618">
        <v>9.2166349999999994E-2</v>
      </c>
      <c r="W618">
        <v>0.1905676</v>
      </c>
      <c r="X618">
        <v>0.97733789999999998</v>
      </c>
      <c r="Y618">
        <v>8.3579940000000005E-2</v>
      </c>
      <c r="Z618">
        <v>-1.670562E-3</v>
      </c>
      <c r="AA618">
        <v>0.99649969999999999</v>
      </c>
      <c r="AB618">
        <v>25</v>
      </c>
      <c r="AC618">
        <v>46.932699999999897</v>
      </c>
      <c r="AD618">
        <v>-1.1714719999999901</v>
      </c>
      <c r="AE618">
        <v>-3.5737000000000299</v>
      </c>
      <c r="AF618">
        <v>3.9466400895346001</v>
      </c>
      <c r="AG618">
        <v>-1.1714719999999901</v>
      </c>
      <c r="AH618">
        <v>46.873569822026901</v>
      </c>
      <c r="AI618">
        <v>91.426601837135806</v>
      </c>
      <c r="AJ618">
        <v>85.187186934227299</v>
      </c>
      <c r="AK618">
        <v>47.054010057629903</v>
      </c>
      <c r="AL618">
        <v>79.014089563736107</v>
      </c>
      <c r="AM618">
        <v>84.612741677898001</v>
      </c>
      <c r="AN618">
        <v>1.00000000850924</v>
      </c>
    </row>
    <row r="619" spans="1:40" x14ac:dyDescent="0.25">
      <c r="A619" t="str">
        <f>"20190303170509505"</f>
        <v>20190303170509505</v>
      </c>
      <c r="B619" t="str">
        <f>"1551603909495104"</f>
        <v>1551603909495104</v>
      </c>
      <c r="C619" t="s">
        <v>40</v>
      </c>
      <c r="D619">
        <v>5.2975849999999998</v>
      </c>
      <c r="E619">
        <v>0.49961060000000002</v>
      </c>
      <c r="F619" t="s">
        <v>43</v>
      </c>
      <c r="G619">
        <v>-293.73430000000002</v>
      </c>
      <c r="H619">
        <v>-0.05</v>
      </c>
      <c r="I619">
        <v>363.71609999999998</v>
      </c>
      <c r="J619">
        <v>-340.74979999999999</v>
      </c>
      <c r="K619">
        <v>1.1214869999999999</v>
      </c>
      <c r="L619">
        <v>367.25490000000002</v>
      </c>
      <c r="M619">
        <v>0.99988370000000004</v>
      </c>
      <c r="N619">
        <v>-1.2947899999999899E-2</v>
      </c>
      <c r="O619">
        <v>8.0775069999999994E-3</v>
      </c>
      <c r="P619">
        <v>0.98043230000000003</v>
      </c>
      <c r="Q619">
        <v>0.177795799999999</v>
      </c>
      <c r="R619">
        <v>-8.4508529999999998E-2</v>
      </c>
      <c r="S619">
        <v>3.0540159999999998</v>
      </c>
      <c r="T619">
        <v>-7.5857999999999995E-2</v>
      </c>
      <c r="U619">
        <v>-0.22906489999999999</v>
      </c>
      <c r="V619">
        <v>9.2388670000000006E-2</v>
      </c>
      <c r="W619">
        <v>0.1904843</v>
      </c>
      <c r="X619">
        <v>0.97733309999999995</v>
      </c>
      <c r="Y619">
        <v>8.280825E-2</v>
      </c>
      <c r="Z619">
        <v>-1.659731E-3</v>
      </c>
      <c r="AA619">
        <v>0.99656409999999995</v>
      </c>
      <c r="AB619">
        <v>25</v>
      </c>
      <c r="AC619">
        <v>47.015499999999903</v>
      </c>
      <c r="AD619">
        <v>-1.1714869999999999</v>
      </c>
      <c r="AE619">
        <v>-3.5388000000000299</v>
      </c>
      <c r="AF619">
        <v>3.9160667143099399</v>
      </c>
      <c r="AG619">
        <v>-1.1714869999999999</v>
      </c>
      <c r="AH619">
        <v>46.956389802367298</v>
      </c>
      <c r="AI619">
        <v>91.424199633755407</v>
      </c>
      <c r="AJ619">
        <v>85.232681520258396</v>
      </c>
      <c r="AK619">
        <v>47.133963376465097</v>
      </c>
      <c r="AL619">
        <v>79.018950838476798</v>
      </c>
      <c r="AM619">
        <v>84.599797112382007</v>
      </c>
      <c r="AN619">
        <v>0.99999996162323301</v>
      </c>
    </row>
    <row r="620" spans="1:40" x14ac:dyDescent="0.25">
      <c r="A620" t="str">
        <f>"20190303170509523"</f>
        <v>20190303170509523</v>
      </c>
      <c r="B620" t="str">
        <f>"1551603909515599"</f>
        <v>1551603909515599</v>
      </c>
      <c r="C620" t="s">
        <v>40</v>
      </c>
      <c r="D620">
        <v>5.3579150000000002</v>
      </c>
      <c r="E620">
        <v>0.49929449999999997</v>
      </c>
      <c r="F620" t="s">
        <v>43</v>
      </c>
      <c r="G620">
        <v>-293.87860000000001</v>
      </c>
      <c r="H620">
        <v>-0.05</v>
      </c>
      <c r="I620">
        <v>363.76240000000001</v>
      </c>
      <c r="J620">
        <v>-340.54500000000002</v>
      </c>
      <c r="K620">
        <v>1.121507</v>
      </c>
      <c r="L620">
        <v>367.25659999999999</v>
      </c>
      <c r="M620">
        <v>0.9998804</v>
      </c>
      <c r="N620">
        <v>-1.3133479999999999E-2</v>
      </c>
      <c r="O620">
        <v>8.1852460000000002E-3</v>
      </c>
      <c r="P620">
        <v>0.98040720000000003</v>
      </c>
      <c r="Q620">
        <v>0.17783599999999999</v>
      </c>
      <c r="R620">
        <v>-8.4713759999999999E-2</v>
      </c>
      <c r="S620">
        <v>3.0541079999999998</v>
      </c>
      <c r="T620">
        <v>-7.6333520000000002E-2</v>
      </c>
      <c r="U620">
        <v>-0.22756960000000001</v>
      </c>
      <c r="V620">
        <v>9.2699569999999995E-2</v>
      </c>
      <c r="W620">
        <v>0.19070480000000001</v>
      </c>
      <c r="X620">
        <v>0.97726069999999998</v>
      </c>
      <c r="Y620">
        <v>8.2427760000000003E-2</v>
      </c>
      <c r="Z620">
        <v>-1.66762299999999E-3</v>
      </c>
      <c r="AA620">
        <v>0.99659560000000003</v>
      </c>
      <c r="AB620">
        <v>25</v>
      </c>
      <c r="AC620">
        <v>46.666400000000003</v>
      </c>
      <c r="AD620">
        <v>-1.1715070000000001</v>
      </c>
      <c r="AE620">
        <v>-3.49419999999997</v>
      </c>
      <c r="AF620">
        <v>3.87366419047942</v>
      </c>
      <c r="AG620">
        <v>-1.1715070000000001</v>
      </c>
      <c r="AH620">
        <v>46.607024890536302</v>
      </c>
      <c r="AI620">
        <v>91.434929189055495</v>
      </c>
      <c r="AJ620">
        <v>85.2488779038747</v>
      </c>
      <c r="AK620">
        <v>46.782394894433502</v>
      </c>
      <c r="AL620">
        <v>79.006081668190902</v>
      </c>
      <c r="AM620">
        <v>84.581333668373105</v>
      </c>
      <c r="AN620">
        <v>1.00000000339285</v>
      </c>
    </row>
    <row r="621" spans="1:40" x14ac:dyDescent="0.25">
      <c r="A621" t="str">
        <f>"20190303170509545"</f>
        <v>20190303170509545</v>
      </c>
      <c r="B621" t="str">
        <f>"1551603909535119"</f>
        <v>1551603909535119</v>
      </c>
      <c r="C621" t="s">
        <v>40</v>
      </c>
      <c r="D621">
        <v>5.3580649999999999</v>
      </c>
      <c r="E621">
        <v>0.49895800000000001</v>
      </c>
      <c r="F621" t="s">
        <v>43</v>
      </c>
      <c r="G621">
        <v>-293.66219999999998</v>
      </c>
      <c r="H621">
        <v>-0.05</v>
      </c>
      <c r="I621">
        <v>363.79629999999997</v>
      </c>
      <c r="J621">
        <v>-340.29809999999998</v>
      </c>
      <c r="K621">
        <v>1.1215250000000001</v>
      </c>
      <c r="L621">
        <v>367.25880000000001</v>
      </c>
      <c r="M621">
        <v>0.9998764</v>
      </c>
      <c r="N621">
        <v>-1.3340879999999999E-2</v>
      </c>
      <c r="O621">
        <v>8.314999E-3</v>
      </c>
      <c r="P621">
        <v>0.98044790000000004</v>
      </c>
      <c r="Q621">
        <v>0.1774945</v>
      </c>
      <c r="R621">
        <v>-8.4957089999999999E-2</v>
      </c>
      <c r="S621">
        <v>3.0543209999999998</v>
      </c>
      <c r="T621">
        <v>-7.6321479999999997E-2</v>
      </c>
      <c r="U621">
        <v>-0.2254333</v>
      </c>
      <c r="V621">
        <v>9.3070639999999996E-2</v>
      </c>
      <c r="W621">
        <v>0.19056719999999999</v>
      </c>
      <c r="X621">
        <v>0.97725229999999996</v>
      </c>
      <c r="Y621">
        <v>8.1858799999999995E-2</v>
      </c>
      <c r="Z621">
        <v>-1.6648349999999999E-3</v>
      </c>
      <c r="AA621">
        <v>0.99664249999999999</v>
      </c>
      <c r="AB621">
        <v>25</v>
      </c>
      <c r="AC621">
        <v>46.6358999999999</v>
      </c>
      <c r="AD621">
        <v>-1.1715249999999999</v>
      </c>
      <c r="AE621">
        <v>-3.4625000000000301</v>
      </c>
      <c r="AF621">
        <v>3.8477774459813099</v>
      </c>
      <c r="AG621">
        <v>-1.1715249999999999</v>
      </c>
      <c r="AH621">
        <v>46.5762635256959</v>
      </c>
      <c r="AI621">
        <v>91.435957714842203</v>
      </c>
      <c r="AJ621">
        <v>85.277381663889599</v>
      </c>
      <c r="AK621">
        <v>46.749611614584502</v>
      </c>
      <c r="AL621">
        <v>79.014113146699898</v>
      </c>
      <c r="AM621">
        <v>84.559726514144103</v>
      </c>
      <c r="AN621">
        <v>1.00000002980056</v>
      </c>
    </row>
    <row r="622" spans="1:40" x14ac:dyDescent="0.25">
      <c r="A622" t="str">
        <f>"20190303170509558"</f>
        <v>20190303170509558</v>
      </c>
      <c r="B622" t="str">
        <f>"1551603909544880"</f>
        <v>1551603909544880</v>
      </c>
      <c r="C622" t="s">
        <v>40</v>
      </c>
      <c r="D622">
        <v>5.3608180000000001</v>
      </c>
      <c r="E622">
        <v>0.49886609999999998</v>
      </c>
      <c r="F622" t="s">
        <v>43</v>
      </c>
      <c r="G622">
        <v>-294.0446</v>
      </c>
      <c r="H622">
        <v>-0.05</v>
      </c>
      <c r="I622">
        <v>363.88069999999999</v>
      </c>
      <c r="J622">
        <v>-340.15350000000001</v>
      </c>
      <c r="K622">
        <v>1.121534</v>
      </c>
      <c r="L622">
        <v>367.26010000000002</v>
      </c>
      <c r="M622">
        <v>0.99987440000000005</v>
      </c>
      <c r="N622">
        <v>-1.345326E-2</v>
      </c>
      <c r="O622">
        <v>8.3905969999999996E-3</v>
      </c>
      <c r="P622">
        <v>0.98051529999999998</v>
      </c>
      <c r="Q622">
        <v>0.17720089999999999</v>
      </c>
      <c r="R622">
        <v>-8.4793460000000001E-2</v>
      </c>
      <c r="S622">
        <v>3.0545040000000001</v>
      </c>
      <c r="T622">
        <v>-7.7365639999999999E-2</v>
      </c>
      <c r="U622">
        <v>-0.22308349999999999</v>
      </c>
      <c r="V622">
        <v>9.2981960000000002E-2</v>
      </c>
      <c r="W622">
        <v>0.1903832</v>
      </c>
      <c r="X622">
        <v>0.97729659999999996</v>
      </c>
      <c r="Y622">
        <v>8.1166450000000001E-2</v>
      </c>
      <c r="Z622">
        <v>-1.6727350000000001E-3</v>
      </c>
      <c r="AA622">
        <v>0.99669920000000001</v>
      </c>
      <c r="AB622">
        <v>25</v>
      </c>
      <c r="AC622">
        <v>46.108899999999998</v>
      </c>
      <c r="AD622">
        <v>-1.1715340000000001</v>
      </c>
      <c r="AE622">
        <v>-3.3794000000000302</v>
      </c>
      <c r="AF622">
        <v>3.7637804069244098</v>
      </c>
      <c r="AG622">
        <v>-1.1715340000000001</v>
      </c>
      <c r="AH622">
        <v>46.049349815477697</v>
      </c>
      <c r="AI622">
        <v>91.452496765955203</v>
      </c>
      <c r="AJ622">
        <v>85.327394561497997</v>
      </c>
      <c r="AK622">
        <v>46.217757986437903</v>
      </c>
      <c r="AL622">
        <v>79.024852138280295</v>
      </c>
      <c r="AM622">
        <v>84.565123979342502</v>
      </c>
      <c r="AN622">
        <v>1.00000002604962</v>
      </c>
    </row>
    <row r="623" spans="1:40" x14ac:dyDescent="0.25">
      <c r="A623" t="str">
        <f>"20190303170509572"</f>
        <v>20190303170509572</v>
      </c>
      <c r="B623" t="str">
        <f>"1551603909565375"</f>
        <v>1551603909565375</v>
      </c>
      <c r="C623" t="s">
        <v>40</v>
      </c>
      <c r="D623">
        <v>5.3607279999999999</v>
      </c>
      <c r="E623">
        <v>0.49862919999999999</v>
      </c>
      <c r="F623" t="s">
        <v>43</v>
      </c>
      <c r="G623">
        <v>-294.3399</v>
      </c>
      <c r="H623">
        <v>-0.05</v>
      </c>
      <c r="I623">
        <v>363.93380000000002</v>
      </c>
      <c r="J623">
        <v>-339.99979999999999</v>
      </c>
      <c r="K623">
        <v>1.121543</v>
      </c>
      <c r="L623">
        <v>367.26139999999998</v>
      </c>
      <c r="M623">
        <v>0.99987219999999999</v>
      </c>
      <c r="N623">
        <v>-1.35651E-2</v>
      </c>
      <c r="O623">
        <v>8.4711419999999992E-3</v>
      </c>
      <c r="P623">
        <v>0.98058500000000004</v>
      </c>
      <c r="Q623">
        <v>0.17688229999999999</v>
      </c>
      <c r="R623">
        <v>-8.4652379999999999E-2</v>
      </c>
      <c r="S623">
        <v>3.054535</v>
      </c>
      <c r="T623">
        <v>-7.8109739999999997E-2</v>
      </c>
      <c r="U623">
        <v>-0.2217712</v>
      </c>
      <c r="V623">
        <v>9.292048E-2</v>
      </c>
      <c r="W623">
        <v>0.19017539999999999</v>
      </c>
      <c r="X623">
        <v>0.97734290000000001</v>
      </c>
      <c r="Y623">
        <v>8.0819500000000002E-2</v>
      </c>
      <c r="Z623">
        <v>-1.6824330000000001E-3</v>
      </c>
      <c r="AA623">
        <v>0.99672729999999998</v>
      </c>
      <c r="AB623">
        <v>25</v>
      </c>
      <c r="AC623">
        <v>45.659899999999901</v>
      </c>
      <c r="AD623">
        <v>-1.171543</v>
      </c>
      <c r="AE623">
        <v>-3.3275999999999599</v>
      </c>
      <c r="AF623">
        <v>3.7118768872743102</v>
      </c>
      <c r="AG623">
        <v>-1.171543</v>
      </c>
      <c r="AH623">
        <v>45.600208637528397</v>
      </c>
      <c r="AI623">
        <v>91.466847821756502</v>
      </c>
      <c r="AJ623">
        <v>85.346358830180606</v>
      </c>
      <c r="AK623">
        <v>45.766030752221198</v>
      </c>
      <c r="AL623">
        <v>79.036979719882396</v>
      </c>
      <c r="AM623">
        <v>84.568951803032306</v>
      </c>
      <c r="AN623">
        <v>1.0000000212744999</v>
      </c>
    </row>
    <row r="624" spans="1:40" x14ac:dyDescent="0.25">
      <c r="A624" t="str">
        <f>"20190303170509584"</f>
        <v>20190303170509584</v>
      </c>
      <c r="B624" t="str">
        <f>"1551603909575135"</f>
        <v>1551603909575135</v>
      </c>
      <c r="C624" t="s">
        <v>40</v>
      </c>
      <c r="D624">
        <v>5.3036899999999996</v>
      </c>
      <c r="E624">
        <v>0.4985038</v>
      </c>
      <c r="F624" t="s">
        <v>43</v>
      </c>
      <c r="G624">
        <v>-294.56630000000001</v>
      </c>
      <c r="H624">
        <v>-0.05</v>
      </c>
      <c r="I624">
        <v>363.99369999999999</v>
      </c>
      <c r="J624">
        <v>-339.85820000000001</v>
      </c>
      <c r="K624">
        <v>1.12155</v>
      </c>
      <c r="L624">
        <v>367.2627</v>
      </c>
      <c r="M624">
        <v>0.99987020000000004</v>
      </c>
      <c r="N624">
        <v>-1.3663130000000001E-2</v>
      </c>
      <c r="O624">
        <v>8.5451569999999994E-3</v>
      </c>
      <c r="P624">
        <v>0.98055729999999997</v>
      </c>
      <c r="Q624">
        <v>0.17702960000000001</v>
      </c>
      <c r="R624">
        <v>-8.4665790000000005E-2</v>
      </c>
      <c r="S624">
        <v>3.0545960000000001</v>
      </c>
      <c r="T624">
        <v>-7.8765509999999997E-2</v>
      </c>
      <c r="U624">
        <v>-0.219696</v>
      </c>
      <c r="V624">
        <v>9.3006149999999996E-2</v>
      </c>
      <c r="W624">
        <v>0.1904178</v>
      </c>
      <c r="X624">
        <v>0.97728749999999998</v>
      </c>
      <c r="Y624">
        <v>8.0217849999999993E-2</v>
      </c>
      <c r="Z624">
        <v>-1.6850719999999999E-3</v>
      </c>
      <c r="AA624">
        <v>0.99677590000000005</v>
      </c>
      <c r="AB624">
        <v>25</v>
      </c>
      <c r="AC624">
        <v>45.291899999999998</v>
      </c>
      <c r="AD624">
        <v>-1.1715500000000001</v>
      </c>
      <c r="AE624">
        <v>-3.2690000000000001</v>
      </c>
      <c r="AF624">
        <v>3.6535112915794898</v>
      </c>
      <c r="AG624">
        <v>-1.1715500000000001</v>
      </c>
      <c r="AH624">
        <v>45.232202039601098</v>
      </c>
      <c r="AI624">
        <v>91.478860355517895</v>
      </c>
      <c r="AJ624">
        <v>85.3821104203641</v>
      </c>
      <c r="AK624">
        <v>45.394633774395601</v>
      </c>
      <c r="AL624">
        <v>79.022832140849204</v>
      </c>
      <c r="AM624">
        <v>84.563668205773794</v>
      </c>
      <c r="AN624">
        <v>0.99999997007545505</v>
      </c>
    </row>
    <row r="625" spans="1:40" x14ac:dyDescent="0.25">
      <c r="A625" t="str">
        <f>"20190303170509602"</f>
        <v>20190303170509602</v>
      </c>
      <c r="B625" t="str">
        <f>"1551603909595632"</f>
        <v>1551603909595632</v>
      </c>
      <c r="C625" t="s">
        <v>40</v>
      </c>
      <c r="D625">
        <v>5.3020509999999996</v>
      </c>
      <c r="E625">
        <v>0.49829210000000002</v>
      </c>
      <c r="F625" t="s">
        <v>43</v>
      </c>
      <c r="G625">
        <v>-294.16570000000002</v>
      </c>
      <c r="H625">
        <v>-0.05</v>
      </c>
      <c r="I625">
        <v>363.9889</v>
      </c>
      <c r="J625">
        <v>-339.65690000000001</v>
      </c>
      <c r="K625">
        <v>1.1215569999999999</v>
      </c>
      <c r="L625">
        <v>367.26459999999997</v>
      </c>
      <c r="M625">
        <v>0.99986750000000002</v>
      </c>
      <c r="N625">
        <v>-1.378979E-2</v>
      </c>
      <c r="O625">
        <v>8.6506759999999995E-3</v>
      </c>
      <c r="P625">
        <v>0.98063069999999997</v>
      </c>
      <c r="Q625">
        <v>0.17671609999999999</v>
      </c>
      <c r="R625">
        <v>-8.4469130000000003E-2</v>
      </c>
      <c r="S625">
        <v>3.0547490000000002</v>
      </c>
      <c r="T625">
        <v>-7.8323359999999995E-2</v>
      </c>
      <c r="U625">
        <v>-0.21887210000000001</v>
      </c>
      <c r="V625">
        <v>9.2913780000000001E-2</v>
      </c>
      <c r="W625">
        <v>0.19022919999999999</v>
      </c>
      <c r="X625">
        <v>0.97733309999999995</v>
      </c>
      <c r="Y625">
        <v>8.0052360000000003E-2</v>
      </c>
      <c r="Z625">
        <v>-1.6799789999999901E-3</v>
      </c>
      <c r="AA625">
        <v>0.99678920000000004</v>
      </c>
      <c r="AB625">
        <v>25</v>
      </c>
      <c r="AC625">
        <v>45.4911999999999</v>
      </c>
      <c r="AD625">
        <v>-1.171557</v>
      </c>
      <c r="AE625">
        <v>-3.2756999999999699</v>
      </c>
      <c r="AF625">
        <v>3.6667250774132598</v>
      </c>
      <c r="AG625">
        <v>-1.171557</v>
      </c>
      <c r="AH625">
        <v>45.431181341045203</v>
      </c>
      <c r="AI625">
        <v>91.472402327745002</v>
      </c>
      <c r="AJ625">
        <v>85.385691758229299</v>
      </c>
      <c r="AK625">
        <v>45.593965134001202</v>
      </c>
      <c r="AL625">
        <v>79.033840249148</v>
      </c>
      <c r="AM625">
        <v>84.569286936453807</v>
      </c>
      <c r="AN625">
        <v>1.00000005370106</v>
      </c>
    </row>
    <row r="626" spans="1:40" x14ac:dyDescent="0.25">
      <c r="A626" t="str">
        <f>"20190303170509624"</f>
        <v>20190303170509624</v>
      </c>
      <c r="B626" t="str">
        <f>"1551603909615151"</f>
        <v>1551603909615151</v>
      </c>
      <c r="C626" t="s">
        <v>40</v>
      </c>
      <c r="D626">
        <v>5.2989050000000004</v>
      </c>
      <c r="E626">
        <v>0.49816009999999999</v>
      </c>
      <c r="F626" t="s">
        <v>43</v>
      </c>
      <c r="G626">
        <v>-294.3972</v>
      </c>
      <c r="H626">
        <v>-0.05</v>
      </c>
      <c r="I626">
        <v>364.04660000000001</v>
      </c>
      <c r="J626">
        <v>-339.41390000000001</v>
      </c>
      <c r="K626">
        <v>1.1215630000000001</v>
      </c>
      <c r="L626">
        <v>367.26679999999999</v>
      </c>
      <c r="M626">
        <v>0.99986459999999999</v>
      </c>
      <c r="N626">
        <v>-1.392526E-2</v>
      </c>
      <c r="O626">
        <v>8.7779999999999993E-3</v>
      </c>
      <c r="P626">
        <v>0.98068829999999996</v>
      </c>
      <c r="Q626">
        <v>0.17637369999999999</v>
      </c>
      <c r="R626">
        <v>-8.4515149999999997E-2</v>
      </c>
      <c r="S626">
        <v>3.0547789999999999</v>
      </c>
      <c r="T626">
        <v>-7.9073669999999999E-2</v>
      </c>
      <c r="U626">
        <v>-0.21719359999999999</v>
      </c>
      <c r="V626">
        <v>9.3085180000000003E-2</v>
      </c>
      <c r="W626">
        <v>0.19001950000000001</v>
      </c>
      <c r="X626">
        <v>0.97735749999999999</v>
      </c>
      <c r="Y626">
        <v>7.9633090000000004E-2</v>
      </c>
      <c r="Z626">
        <v>-1.689355E-3</v>
      </c>
      <c r="AA626">
        <v>0.99682280000000001</v>
      </c>
      <c r="AB626">
        <v>25</v>
      </c>
      <c r="AC626">
        <v>45.0167</v>
      </c>
      <c r="AD626">
        <v>-1.1715629999999999</v>
      </c>
      <c r="AE626">
        <v>-3.22019999999997</v>
      </c>
      <c r="AF626">
        <v>3.6128362519714901</v>
      </c>
      <c r="AG626">
        <v>-1.1715629999999999</v>
      </c>
      <c r="AH626">
        <v>44.956401475810701</v>
      </c>
      <c r="AI626">
        <v>91.487994094434498</v>
      </c>
      <c r="AJ626">
        <v>85.405406951367198</v>
      </c>
      <c r="AK626">
        <v>45.116551057242901</v>
      </c>
      <c r="AL626">
        <v>79.046077490630196</v>
      </c>
      <c r="AM626">
        <v>84.5594638577316</v>
      </c>
      <c r="AN626">
        <v>0.99999997196106505</v>
      </c>
    </row>
    <row r="627" spans="1:40" x14ac:dyDescent="0.25">
      <c r="A627" t="str">
        <f>"20190303170509648"</f>
        <v>20190303170509648</v>
      </c>
      <c r="B627" t="str">
        <f>"1551603909635648"</f>
        <v>1551603909635648</v>
      </c>
      <c r="C627" t="s">
        <v>40</v>
      </c>
      <c r="D627">
        <v>5.3557030000000001</v>
      </c>
      <c r="E627">
        <v>0.49801620000000002</v>
      </c>
      <c r="F627" t="s">
        <v>43</v>
      </c>
      <c r="G627">
        <v>-294.56849999999997</v>
      </c>
      <c r="H627">
        <v>-0.05</v>
      </c>
      <c r="I627">
        <v>364.09399999999999</v>
      </c>
      <c r="J627">
        <v>-339.15769999999998</v>
      </c>
      <c r="K627">
        <v>1.121575</v>
      </c>
      <c r="L627">
        <v>367.26920000000001</v>
      </c>
      <c r="M627">
        <v>0.99986149999999996</v>
      </c>
      <c r="N627">
        <v>-1.4049900000000001E-2</v>
      </c>
      <c r="O627">
        <v>8.9123620000000001E-3</v>
      </c>
      <c r="P627">
        <v>0.9807903</v>
      </c>
      <c r="Q627">
        <v>0.1759561</v>
      </c>
      <c r="R627">
        <v>-8.4201369999999998E-2</v>
      </c>
      <c r="S627">
        <v>3.0548099999999998</v>
      </c>
      <c r="T627">
        <v>-7.9805249999999994E-2</v>
      </c>
      <c r="U627">
        <v>-0.2161255</v>
      </c>
      <c r="V627">
        <v>9.2904329999999993E-2</v>
      </c>
      <c r="W627">
        <v>0.189725</v>
      </c>
      <c r="X627">
        <v>0.97743199999999997</v>
      </c>
      <c r="Y627">
        <v>7.9418879999999997E-2</v>
      </c>
      <c r="Z627">
        <v>-1.70216799999999E-3</v>
      </c>
      <c r="AA627">
        <v>0.9968399</v>
      </c>
      <c r="AB627">
        <v>25</v>
      </c>
      <c r="AC627">
        <v>44.589199999999998</v>
      </c>
      <c r="AD627">
        <v>-1.171575</v>
      </c>
      <c r="AE627">
        <v>-3.17520000000001</v>
      </c>
      <c r="AF627">
        <v>3.5700560009893798</v>
      </c>
      <c r="AG627">
        <v>-1.171575</v>
      </c>
      <c r="AH627">
        <v>44.528541428070199</v>
      </c>
      <c r="AI627">
        <v>91.502323179579093</v>
      </c>
      <c r="AJ627">
        <v>85.416141205144299</v>
      </c>
      <c r="AK627">
        <v>44.6867865206505</v>
      </c>
      <c r="AL627">
        <v>79.063264627099002</v>
      </c>
      <c r="AM627">
        <v>84.570382136665401</v>
      </c>
      <c r="AN627">
        <v>1.0000000523908701</v>
      </c>
    </row>
    <row r="628" spans="1:40" x14ac:dyDescent="0.25">
      <c r="A628" t="str">
        <f>"20190303170509669"</f>
        <v>20190303170509669</v>
      </c>
      <c r="B628" t="str">
        <f>"1551603909655167"</f>
        <v>1551603909655167</v>
      </c>
      <c r="C628" t="s">
        <v>40</v>
      </c>
      <c r="D628">
        <v>5.3641529999999999</v>
      </c>
      <c r="E628">
        <v>0.49796299999999999</v>
      </c>
      <c r="F628" t="s">
        <v>43</v>
      </c>
      <c r="G628">
        <v>-294.91419999999999</v>
      </c>
      <c r="H628">
        <v>-0.05</v>
      </c>
      <c r="I628">
        <v>364.17450000000002</v>
      </c>
      <c r="J628">
        <v>-338.91269999999997</v>
      </c>
      <c r="K628">
        <v>1.1215850000000001</v>
      </c>
      <c r="L628">
        <v>367.2715</v>
      </c>
      <c r="M628">
        <v>0.99985900000000005</v>
      </c>
      <c r="N628">
        <v>-1.415346E-2</v>
      </c>
      <c r="O628">
        <v>9.0408450000000005E-3</v>
      </c>
      <c r="P628">
        <v>0.98087820000000003</v>
      </c>
      <c r="Q628">
        <v>0.17540410000000001</v>
      </c>
      <c r="R628">
        <v>-8.4326999999999999E-2</v>
      </c>
      <c r="S628">
        <v>3.054932</v>
      </c>
      <c r="T628">
        <v>-8.0895190000000006E-2</v>
      </c>
      <c r="U628">
        <v>-0.21368409999999999</v>
      </c>
      <c r="V628">
        <v>9.3157160000000003E-2</v>
      </c>
      <c r="W628">
        <v>0.18927550000000001</v>
      </c>
      <c r="X628">
        <v>0.977495</v>
      </c>
      <c r="Y628">
        <v>7.8750710000000002E-2</v>
      </c>
      <c r="Z628">
        <v>-1.710664E-3</v>
      </c>
      <c r="AA628">
        <v>0.99689289999999997</v>
      </c>
      <c r="AB628">
        <v>25</v>
      </c>
      <c r="AC628">
        <v>43.9984999999999</v>
      </c>
      <c r="AD628">
        <v>-1.1715850000000001</v>
      </c>
      <c r="AE628">
        <v>-3.0969999999999702</v>
      </c>
      <c r="AF628">
        <v>3.4922329224422599</v>
      </c>
      <c r="AG628">
        <v>-1.1715850000000001</v>
      </c>
      <c r="AH628">
        <v>43.937699077584497</v>
      </c>
      <c r="AI628">
        <v>91.522612544442694</v>
      </c>
      <c r="AJ628">
        <v>85.455600588045201</v>
      </c>
      <c r="AK628">
        <v>44.091832604567301</v>
      </c>
      <c r="AL628">
        <v>79.089493468967106</v>
      </c>
      <c r="AM628">
        <v>84.556043408256301</v>
      </c>
      <c r="AN628">
        <v>0.99999997319225697</v>
      </c>
    </row>
    <row r="629" spans="1:40" x14ac:dyDescent="0.25">
      <c r="A629" t="str">
        <f>"20190303170509692"</f>
        <v>20190303170509692</v>
      </c>
      <c r="B629" t="str">
        <f>"1551603909685424"</f>
        <v>1551603909685424</v>
      </c>
      <c r="C629" t="s">
        <v>40</v>
      </c>
      <c r="D629">
        <v>5.2442650000000004</v>
      </c>
      <c r="E629">
        <v>0.4978609</v>
      </c>
      <c r="F629" t="s">
        <v>43</v>
      </c>
      <c r="G629">
        <v>-295.358</v>
      </c>
      <c r="H629">
        <v>-0.05</v>
      </c>
      <c r="I629">
        <v>364.22140000000002</v>
      </c>
      <c r="J629">
        <v>-338.6635</v>
      </c>
      <c r="K629">
        <v>1.1215919999999999</v>
      </c>
      <c r="L629">
        <v>367.27390000000003</v>
      </c>
      <c r="M629">
        <v>0.99985659999999998</v>
      </c>
      <c r="N629">
        <v>-1.4244700000000001E-2</v>
      </c>
      <c r="O629">
        <v>9.1717929999999993E-3</v>
      </c>
      <c r="P629">
        <v>0.98094110000000001</v>
      </c>
      <c r="Q629">
        <v>0.17524729999999999</v>
      </c>
      <c r="R629">
        <v>-8.3922440000000001E-2</v>
      </c>
      <c r="S629">
        <v>3.0547789999999999</v>
      </c>
      <c r="T629">
        <v>-8.2170960000000001E-2</v>
      </c>
      <c r="U629">
        <v>-0.21392820000000001</v>
      </c>
      <c r="V629">
        <v>9.2881619999999998E-2</v>
      </c>
      <c r="W629">
        <v>0.1892086</v>
      </c>
      <c r="X629">
        <v>0.97753420000000002</v>
      </c>
      <c r="Y629">
        <v>7.8962669999999999E-2</v>
      </c>
      <c r="Z629">
        <v>-1.7397039999999999E-3</v>
      </c>
      <c r="AA629">
        <v>0.99687610000000004</v>
      </c>
      <c r="AB629">
        <v>25</v>
      </c>
      <c r="AC629">
        <v>43.305500000000002</v>
      </c>
      <c r="AD629">
        <v>-1.171592</v>
      </c>
      <c r="AE629">
        <v>-3.0525000000000002</v>
      </c>
      <c r="AF629">
        <v>3.44709037638924</v>
      </c>
      <c r="AG629">
        <v>-1.171592</v>
      </c>
      <c r="AH629">
        <v>43.244183365858298</v>
      </c>
      <c r="AI629">
        <v>91.547000232952996</v>
      </c>
      <c r="AJ629">
        <v>85.442462155792796</v>
      </c>
      <c r="AK629">
        <v>43.397171046710397</v>
      </c>
      <c r="AL629">
        <v>79.093397399382596</v>
      </c>
      <c r="AM629">
        <v>84.572265583260403</v>
      </c>
      <c r="AN629">
        <v>1.00000000090871</v>
      </c>
    </row>
    <row r="630" spans="1:40" x14ac:dyDescent="0.25">
      <c r="A630" t="str">
        <f>"20190303170509714"</f>
        <v>20190303170509714</v>
      </c>
      <c r="B630" t="str">
        <f>"1551603909704943"</f>
        <v>1551603909704943</v>
      </c>
      <c r="C630" t="s">
        <v>40</v>
      </c>
      <c r="D630">
        <v>5.1866469999999998</v>
      </c>
      <c r="E630">
        <v>0.49781700000000001</v>
      </c>
      <c r="F630" t="s">
        <v>43</v>
      </c>
      <c r="G630">
        <v>-295.017</v>
      </c>
      <c r="H630">
        <v>-0.05</v>
      </c>
      <c r="I630">
        <v>364.2466</v>
      </c>
      <c r="J630">
        <v>-338.41500000000002</v>
      </c>
      <c r="K630">
        <v>1.1215980000000001</v>
      </c>
      <c r="L630">
        <v>367.27640000000002</v>
      </c>
      <c r="M630">
        <v>0.99985420000000003</v>
      </c>
      <c r="N630">
        <v>-1.4323260000000001E-2</v>
      </c>
      <c r="O630">
        <v>9.302411E-3</v>
      </c>
      <c r="P630">
        <v>0.98087740000000001</v>
      </c>
      <c r="Q630">
        <v>0.17542089999999999</v>
      </c>
      <c r="R630">
        <v>-8.4305569999999996E-2</v>
      </c>
      <c r="S630">
        <v>3.0548099999999998</v>
      </c>
      <c r="T630">
        <v>-8.1999420000000003E-2</v>
      </c>
      <c r="U630">
        <v>-0.2118835</v>
      </c>
      <c r="V630">
        <v>9.3392260000000005E-2</v>
      </c>
      <c r="W630">
        <v>0.1894576</v>
      </c>
      <c r="X630">
        <v>0.97743729999999995</v>
      </c>
      <c r="Y630">
        <v>7.842855E-2</v>
      </c>
      <c r="Z630">
        <v>-1.7300079999999999E-3</v>
      </c>
      <c r="AA630">
        <v>0.99691830000000003</v>
      </c>
      <c r="AB630">
        <v>25</v>
      </c>
      <c r="AC630">
        <v>43.398000000000003</v>
      </c>
      <c r="AD630">
        <v>-1.1715979999999999</v>
      </c>
      <c r="AE630">
        <v>-3.0298000000000198</v>
      </c>
      <c r="AF630">
        <v>3.4309279201140899</v>
      </c>
      <c r="AG630">
        <v>-1.1715979999999999</v>
      </c>
      <c r="AH630">
        <v>43.336503385328797</v>
      </c>
      <c r="AI630">
        <v>91.543780260321896</v>
      </c>
      <c r="AJ630">
        <v>85.473365213252094</v>
      </c>
      <c r="AK630">
        <v>43.487888359096402</v>
      </c>
      <c r="AL630">
        <v>79.078867789381505</v>
      </c>
      <c r="AM630">
        <v>84.542067158944803</v>
      </c>
      <c r="AN630">
        <v>0.99999998592847805</v>
      </c>
    </row>
    <row r="631" spans="1:40" x14ac:dyDescent="0.25">
      <c r="A631" t="str">
        <f>"20190303170509728"</f>
        <v>20190303170509728</v>
      </c>
      <c r="B631" t="str">
        <f>"1551603909715680"</f>
        <v>1551603909715680</v>
      </c>
      <c r="C631" t="s">
        <v>40</v>
      </c>
      <c r="D631">
        <v>5.3003119999999999</v>
      </c>
      <c r="E631">
        <v>0.49780540000000001</v>
      </c>
      <c r="F631" t="s">
        <v>43</v>
      </c>
      <c r="G631">
        <v>-294.02190000000002</v>
      </c>
      <c r="H631">
        <v>-0.05</v>
      </c>
      <c r="I631">
        <v>364.18290000000002</v>
      </c>
      <c r="J631">
        <v>-338.2688</v>
      </c>
      <c r="K631">
        <v>1.121605</v>
      </c>
      <c r="L631">
        <v>367.27780000000001</v>
      </c>
      <c r="M631">
        <v>0.99985279999999999</v>
      </c>
      <c r="N631">
        <v>-1.436461E-2</v>
      </c>
      <c r="O631">
        <v>9.3792960000000005E-3</v>
      </c>
      <c r="P631">
        <v>0.9808152</v>
      </c>
      <c r="Q631">
        <v>0.17556079999999999</v>
      </c>
      <c r="R631">
        <v>-8.4736000000000006E-2</v>
      </c>
      <c r="S631">
        <v>3.0546259999999998</v>
      </c>
      <c r="T631">
        <v>-8.0615999999999993E-2</v>
      </c>
      <c r="U631">
        <v>-0.2128601</v>
      </c>
      <c r="V631">
        <v>9.3897610000000006E-2</v>
      </c>
      <c r="W631">
        <v>0.18963749999999999</v>
      </c>
      <c r="X631">
        <v>0.97735399999999995</v>
      </c>
      <c r="Y631">
        <v>7.8827499999999995E-2</v>
      </c>
      <c r="Z631">
        <v>-1.71843E-3</v>
      </c>
      <c r="AA631">
        <v>0.99688679999999996</v>
      </c>
      <c r="AB631">
        <v>25</v>
      </c>
      <c r="AC631">
        <v>44.246899999999897</v>
      </c>
      <c r="AD631">
        <v>-1.171605</v>
      </c>
      <c r="AE631">
        <v>-3.0948999999999902</v>
      </c>
      <c r="AF631">
        <v>3.5073643111219002</v>
      </c>
      <c r="AG631">
        <v>-1.171605</v>
      </c>
      <c r="AH631">
        <v>44.185093811751102</v>
      </c>
      <c r="AI631">
        <v>91.514129421018396</v>
      </c>
      <c r="AJ631">
        <v>85.461440369066594</v>
      </c>
      <c r="AK631">
        <v>44.339562219762598</v>
      </c>
      <c r="AL631">
        <v>79.068370035753105</v>
      </c>
      <c r="AM631">
        <v>84.512248971669706</v>
      </c>
      <c r="AN631">
        <v>0.99999999194298095</v>
      </c>
    </row>
    <row r="632" spans="1:40" x14ac:dyDescent="0.25">
      <c r="A632" t="str">
        <f>"20190303170509746"</f>
        <v>20190303170509746</v>
      </c>
      <c r="B632" t="str">
        <f>"1551603909735200"</f>
        <v>1551603909735200</v>
      </c>
      <c r="C632" t="s">
        <v>40</v>
      </c>
      <c r="D632">
        <v>5.2433630000000004</v>
      </c>
      <c r="E632">
        <v>0.4978397</v>
      </c>
      <c r="F632" t="s">
        <v>43</v>
      </c>
      <c r="G632">
        <v>-293.43</v>
      </c>
      <c r="H632">
        <v>-0.05</v>
      </c>
      <c r="I632">
        <v>364.14510000000001</v>
      </c>
      <c r="J632">
        <v>-338.06130000000002</v>
      </c>
      <c r="K632">
        <v>1.1216010000000001</v>
      </c>
      <c r="L632">
        <v>367.2799</v>
      </c>
      <c r="M632">
        <v>0.99985100000000005</v>
      </c>
      <c r="N632">
        <v>-1.4416760000000001E-2</v>
      </c>
      <c r="O632">
        <v>9.4882850000000008E-3</v>
      </c>
      <c r="P632">
        <v>0.98070590000000002</v>
      </c>
      <c r="Q632">
        <v>0.1756991</v>
      </c>
      <c r="R632">
        <v>-8.570506E-2</v>
      </c>
      <c r="S632">
        <v>3.054535</v>
      </c>
      <c r="T632">
        <v>-7.9812770000000005E-2</v>
      </c>
      <c r="U632">
        <v>-0.2134094</v>
      </c>
      <c r="V632">
        <v>9.4972760000000003E-2</v>
      </c>
      <c r="W632">
        <v>0.1898242</v>
      </c>
      <c r="X632">
        <v>0.97721389999999997</v>
      </c>
      <c r="Y632">
        <v>7.9117160000000006E-2</v>
      </c>
      <c r="Z632">
        <v>-1.7143690000000001E-3</v>
      </c>
      <c r="AA632">
        <v>0.99686379999999997</v>
      </c>
      <c r="AB632">
        <v>25</v>
      </c>
      <c r="AC632">
        <v>44.631300000000003</v>
      </c>
      <c r="AD632">
        <v>-1.1716009999999999</v>
      </c>
      <c r="AE632">
        <v>-3.1347999999999798</v>
      </c>
      <c r="AF632">
        <v>3.5557391694612499</v>
      </c>
      <c r="AG632">
        <v>-1.1716009999999999</v>
      </c>
      <c r="AH632">
        <v>44.5689819609713</v>
      </c>
      <c r="AI632">
        <v>91.501040909758501</v>
      </c>
      <c r="AJ632">
        <v>85.438570928047994</v>
      </c>
      <c r="AK632">
        <v>44.725944182116798</v>
      </c>
      <c r="AL632">
        <v>79.0574754307478</v>
      </c>
      <c r="AM632">
        <v>84.449012322459794</v>
      </c>
      <c r="AN632">
        <v>1.0000000292004301</v>
      </c>
    </row>
    <row r="633" spans="1:40" x14ac:dyDescent="0.25">
      <c r="A633" t="str">
        <f>"20190303170509759"</f>
        <v>20190303170509759</v>
      </c>
      <c r="B633" t="str">
        <f>"1551603909744960"</f>
        <v>1551603909744960</v>
      </c>
      <c r="C633" t="s">
        <v>40</v>
      </c>
      <c r="D633">
        <v>5.2393349999999996</v>
      </c>
      <c r="E633">
        <v>0.49786459999999999</v>
      </c>
      <c r="F633" t="s">
        <v>43</v>
      </c>
      <c r="G633">
        <v>-292.35559999999998</v>
      </c>
      <c r="H633">
        <v>-0.05</v>
      </c>
      <c r="I633">
        <v>364.05160000000001</v>
      </c>
      <c r="J633">
        <v>-337.91090000000003</v>
      </c>
      <c r="K633">
        <v>1.121604</v>
      </c>
      <c r="L633">
        <v>367.28140000000002</v>
      </c>
      <c r="M633">
        <v>0.99984989999999996</v>
      </c>
      <c r="N633">
        <v>-1.4450289999999999E-2</v>
      </c>
      <c r="O633">
        <v>9.5672499999999994E-3</v>
      </c>
      <c r="P633">
        <v>0.98077890000000001</v>
      </c>
      <c r="Q633">
        <v>0.17494870000000001</v>
      </c>
      <c r="R633">
        <v>-8.6406449999999996E-2</v>
      </c>
      <c r="S633">
        <v>3.05423</v>
      </c>
      <c r="T633">
        <v>-7.8290699999999894E-2</v>
      </c>
      <c r="U633">
        <v>-0.2157288</v>
      </c>
      <c r="V633">
        <v>9.5752139999999999E-2</v>
      </c>
      <c r="W633">
        <v>0.1891079</v>
      </c>
      <c r="X633">
        <v>0.9772767</v>
      </c>
      <c r="Y633">
        <v>7.9956979999999997E-2</v>
      </c>
      <c r="Z633">
        <v>-1.7087949999999999E-3</v>
      </c>
      <c r="AA633">
        <v>0.99679680000000004</v>
      </c>
      <c r="AB633">
        <v>25</v>
      </c>
      <c r="AC633">
        <v>45.555300000000003</v>
      </c>
      <c r="AD633">
        <v>-1.1716040000000001</v>
      </c>
      <c r="AE633">
        <v>-3.2298000000000102</v>
      </c>
      <c r="AF633">
        <v>3.6631257860319599</v>
      </c>
      <c r="AG633">
        <v>-1.1716040000000001</v>
      </c>
      <c r="AH633">
        <v>45.492371574677698</v>
      </c>
      <c r="AI633">
        <v>91.470503778515393</v>
      </c>
      <c r="AJ633">
        <v>85.396375487554906</v>
      </c>
      <c r="AK633">
        <v>45.654649466901503</v>
      </c>
      <c r="AL633">
        <v>79.099273253921197</v>
      </c>
      <c r="AM633">
        <v>84.404104294300694</v>
      </c>
      <c r="AN633">
        <v>1.0000000092599399</v>
      </c>
    </row>
    <row r="634" spans="1:40" x14ac:dyDescent="0.25">
      <c r="A634" t="str">
        <f>"20190303170509782"</f>
        <v>20190303170509782</v>
      </c>
      <c r="B634" t="str">
        <f>"1551603909775216"</f>
        <v>1551603909775216</v>
      </c>
      <c r="C634" t="s">
        <v>40</v>
      </c>
      <c r="D634">
        <v>5.1791199999999904</v>
      </c>
      <c r="E634">
        <v>0.49796420000000002</v>
      </c>
      <c r="F634" t="s">
        <v>43</v>
      </c>
      <c r="G634">
        <v>-293.41879999999998</v>
      </c>
      <c r="H634">
        <v>-0.05</v>
      </c>
      <c r="I634">
        <v>364.10109999999997</v>
      </c>
      <c r="J634">
        <v>-337.67630000000003</v>
      </c>
      <c r="K634">
        <v>1.1216109999999999</v>
      </c>
      <c r="L634">
        <v>367.28379999999999</v>
      </c>
      <c r="M634">
        <v>0.99984790000000001</v>
      </c>
      <c r="N634">
        <v>-1.449655E-2</v>
      </c>
      <c r="O634">
        <v>9.6908810000000001E-3</v>
      </c>
      <c r="P634">
        <v>0.98081050000000003</v>
      </c>
      <c r="Q634">
        <v>0.1744269</v>
      </c>
      <c r="R634">
        <v>-8.7096889999999996E-2</v>
      </c>
      <c r="S634">
        <v>3.0538639999999999</v>
      </c>
      <c r="T634">
        <v>-8.0416920000000003E-2</v>
      </c>
      <c r="U634">
        <v>-0.21829219999999999</v>
      </c>
      <c r="V634">
        <v>9.6564349999999993E-2</v>
      </c>
      <c r="W634">
        <v>0.18863170000000001</v>
      </c>
      <c r="X634">
        <v>0.97728879999999996</v>
      </c>
      <c r="Y634">
        <v>8.0918619999999997E-2</v>
      </c>
      <c r="Z634">
        <v>-1.7658699999999999E-3</v>
      </c>
      <c r="AA634">
        <v>0.99671909999999997</v>
      </c>
      <c r="AB634">
        <v>25</v>
      </c>
      <c r="AC634">
        <v>44.2575</v>
      </c>
      <c r="AD634">
        <v>-1.171611</v>
      </c>
      <c r="AE634">
        <v>-3.1827000000000099</v>
      </c>
      <c r="AF634">
        <v>3.60897362896005</v>
      </c>
      <c r="AG634">
        <v>-1.171611</v>
      </c>
      <c r="AH634">
        <v>44.193763345074501</v>
      </c>
      <c r="AI634">
        <v>91.513563866171907</v>
      </c>
      <c r="AJ634">
        <v>85.331442296032506</v>
      </c>
      <c r="AK634">
        <v>44.3563533396322</v>
      </c>
      <c r="AL634">
        <v>79.127057408356507</v>
      </c>
      <c r="AM634">
        <v>84.357012055560105</v>
      </c>
      <c r="AN634">
        <v>0.999999995270626</v>
      </c>
    </row>
    <row r="635" spans="1:40" x14ac:dyDescent="0.25">
      <c r="A635" t="str">
        <f>"20190303170509803"</f>
        <v>20190303170509803</v>
      </c>
      <c r="B635" t="str">
        <f>"1551603909794751"</f>
        <v>1551603909794751</v>
      </c>
      <c r="C635" t="s">
        <v>40</v>
      </c>
      <c r="D635">
        <v>5.0775969999999999</v>
      </c>
      <c r="E635">
        <v>0.51853890000000002</v>
      </c>
      <c r="F635" t="s">
        <v>43</v>
      </c>
      <c r="G635">
        <v>-293.59440000000001</v>
      </c>
      <c r="H635">
        <v>-0.05</v>
      </c>
      <c r="I635">
        <v>364.08609999999999</v>
      </c>
      <c r="J635">
        <v>-337.43380000000002</v>
      </c>
      <c r="K635">
        <v>1.121613</v>
      </c>
      <c r="L635">
        <v>367.28629999999998</v>
      </c>
      <c r="M635">
        <v>0.99984620000000002</v>
      </c>
      <c r="N635">
        <v>-1.4537609999999999E-2</v>
      </c>
      <c r="O635">
        <v>9.8184239999999992E-3</v>
      </c>
      <c r="P635">
        <v>0.98084479999999996</v>
      </c>
      <c r="Q635">
        <v>0.1734859</v>
      </c>
      <c r="R635">
        <v>-8.8581519999999997E-2</v>
      </c>
      <c r="S635">
        <v>3.0534669999999999</v>
      </c>
      <c r="T635">
        <v>-8.11553E-2</v>
      </c>
      <c r="U635">
        <v>-0.22149659999999999</v>
      </c>
      <c r="V635">
        <v>9.8174319999999995E-2</v>
      </c>
      <c r="W635">
        <v>0.18773110000000001</v>
      </c>
      <c r="X635">
        <v>0.9773018</v>
      </c>
      <c r="Y635">
        <v>8.2094120000000007E-2</v>
      </c>
      <c r="Z635">
        <v>-1.8050849999999999E-3</v>
      </c>
      <c r="AA635">
        <v>0.99662289999999998</v>
      </c>
      <c r="AB635">
        <v>25</v>
      </c>
      <c r="AC635">
        <v>43.839399999999998</v>
      </c>
      <c r="AD635">
        <v>-1.171613</v>
      </c>
      <c r="AE635">
        <v>-3.2001999999999899</v>
      </c>
      <c r="AF635">
        <v>3.6279475237283298</v>
      </c>
      <c r="AG635">
        <v>-1.171613</v>
      </c>
      <c r="AH635">
        <v>43.7747625692162</v>
      </c>
      <c r="AI635">
        <v>91.527895435289395</v>
      </c>
      <c r="AJ635">
        <v>85.262290462341497</v>
      </c>
      <c r="AK635">
        <v>43.940465612552998</v>
      </c>
      <c r="AL635">
        <v>79.179596535041</v>
      </c>
      <c r="AM635">
        <v>84.263627458178306</v>
      </c>
      <c r="AN635">
        <v>0.99999998564895598</v>
      </c>
    </row>
    <row r="636" spans="1:40" x14ac:dyDescent="0.25">
      <c r="A636" t="str">
        <f>"20190303170509818"</f>
        <v>20190303170509818</v>
      </c>
      <c r="B636" t="str">
        <f>"1551603909805472"</f>
        <v>1551603909805472</v>
      </c>
      <c r="C636" t="s">
        <v>40</v>
      </c>
      <c r="D636">
        <v>5.1287510000000003</v>
      </c>
      <c r="E636">
        <v>0.52879849999999995</v>
      </c>
      <c r="F636" t="s">
        <v>43</v>
      </c>
      <c r="G636">
        <v>-286.7996</v>
      </c>
      <c r="H636">
        <v>-0.05</v>
      </c>
      <c r="I636">
        <v>360.78320000000002</v>
      </c>
      <c r="J636">
        <v>-337.27670000000001</v>
      </c>
      <c r="K636">
        <v>1.1216140000000001</v>
      </c>
      <c r="L636">
        <v>367.28789999999998</v>
      </c>
      <c r="M636">
        <v>0.99984499999999998</v>
      </c>
      <c r="N636">
        <v>-1.4560180000000001E-2</v>
      </c>
      <c r="O636">
        <v>9.9011020000000002E-3</v>
      </c>
      <c r="P636">
        <v>0.98087709999999995</v>
      </c>
      <c r="Q636">
        <v>0.17300450000000001</v>
      </c>
      <c r="R636">
        <v>-8.9161660000000004E-2</v>
      </c>
      <c r="S636">
        <v>3.0357970000000001</v>
      </c>
      <c r="T636">
        <v>-7.0244550000000003E-2</v>
      </c>
      <c r="U636">
        <v>-0.38989259999999998</v>
      </c>
      <c r="V636">
        <v>9.8836209999999994E-2</v>
      </c>
      <c r="W636">
        <v>0.18727250000000001</v>
      </c>
      <c r="X636">
        <v>0.9773231</v>
      </c>
      <c r="Y636">
        <v>0.13714109999999999</v>
      </c>
      <c r="Z636">
        <v>-2.6673040000000001E-3</v>
      </c>
      <c r="AA636">
        <v>0.99054799999999998</v>
      </c>
      <c r="AB636">
        <v>25</v>
      </c>
      <c r="AC636">
        <v>50.4771</v>
      </c>
      <c r="AD636">
        <v>-1.1716139999999999</v>
      </c>
      <c r="AE636">
        <v>-6.50469999999995</v>
      </c>
      <c r="AF636">
        <v>7.0005031230125798</v>
      </c>
      <c r="AG636">
        <v>-1.1716139999999999</v>
      </c>
      <c r="AH636">
        <v>50.3835144126678</v>
      </c>
      <c r="AI636">
        <v>91.319440340070599</v>
      </c>
      <c r="AJ636">
        <v>82.089721486550204</v>
      </c>
      <c r="AK636">
        <v>50.881020507766998</v>
      </c>
      <c r="AL636">
        <v>79.206347122951499</v>
      </c>
      <c r="AM636">
        <v>84.225338432558203</v>
      </c>
      <c r="AN636">
        <v>1.0000000137285101</v>
      </c>
    </row>
    <row r="637" spans="1:40" x14ac:dyDescent="0.25">
      <c r="A637" t="str">
        <f>"20190303170509836"</f>
        <v>20190303170509836</v>
      </c>
      <c r="B637" t="str">
        <f>"1551603909824991"</f>
        <v>1551603909824991</v>
      </c>
      <c r="C637" t="s">
        <v>40</v>
      </c>
      <c r="D637">
        <v>5.069947</v>
      </c>
      <c r="E637">
        <v>0.54248799999999997</v>
      </c>
      <c r="F637" t="s">
        <v>43</v>
      </c>
      <c r="G637">
        <v>-290.601</v>
      </c>
      <c r="H637">
        <v>-0.05</v>
      </c>
      <c r="I637">
        <v>360.00099999999998</v>
      </c>
      <c r="J637">
        <v>-337.07729999999998</v>
      </c>
      <c r="K637">
        <v>1.121618</v>
      </c>
      <c r="L637">
        <v>367.29</v>
      </c>
      <c r="M637">
        <v>0.9998437</v>
      </c>
      <c r="N637">
        <v>-1.458597E-2</v>
      </c>
      <c r="O637">
        <v>1.000593E-2</v>
      </c>
      <c r="P637">
        <v>0.98074749999999999</v>
      </c>
      <c r="Q637">
        <v>0.17316419999999999</v>
      </c>
      <c r="R637">
        <v>-9.0271530000000003E-2</v>
      </c>
      <c r="S637">
        <v>3.028931</v>
      </c>
      <c r="T637">
        <v>-7.6029540000000007E-2</v>
      </c>
      <c r="U637">
        <v>-0.47286990000000001</v>
      </c>
      <c r="V637">
        <v>0.10004739999999999</v>
      </c>
      <c r="W637">
        <v>0.1874548</v>
      </c>
      <c r="X637">
        <v>0.9771649</v>
      </c>
      <c r="Y637">
        <v>0.1640479</v>
      </c>
      <c r="Z637">
        <v>-3.3547550000000001E-3</v>
      </c>
      <c r="AA637">
        <v>0.98644670000000001</v>
      </c>
      <c r="AB637">
        <v>25</v>
      </c>
      <c r="AC637">
        <v>46.476299999999902</v>
      </c>
      <c r="AD637">
        <v>-1.171618</v>
      </c>
      <c r="AE637">
        <v>-7.2890000000000397</v>
      </c>
      <c r="AF637">
        <v>7.7489168957956602</v>
      </c>
      <c r="AG637">
        <v>-1.171618</v>
      </c>
      <c r="AH637">
        <v>46.3722702076739</v>
      </c>
      <c r="AI637">
        <v>91.427513088991603</v>
      </c>
      <c r="AJ637">
        <v>80.513389477557197</v>
      </c>
      <c r="AK637">
        <v>47.029839953048899</v>
      </c>
      <c r="AL637">
        <v>79.195713785278201</v>
      </c>
      <c r="AM637">
        <v>84.154120026460703</v>
      </c>
      <c r="AN637">
        <v>1.0000000130408999</v>
      </c>
    </row>
    <row r="638" spans="1:40" x14ac:dyDescent="0.25">
      <c r="A638" t="str">
        <f>"20190303170509852"</f>
        <v>20190303170509852</v>
      </c>
      <c r="B638" t="str">
        <f>"1551603909834752"</f>
        <v>1551603909834752</v>
      </c>
      <c r="C638" t="s">
        <v>40</v>
      </c>
      <c r="D638">
        <v>5.0490640000000004</v>
      </c>
      <c r="E638">
        <v>0.54646930000000005</v>
      </c>
      <c r="F638" t="s">
        <v>43</v>
      </c>
      <c r="G638">
        <v>-288.43920000000003</v>
      </c>
      <c r="H638">
        <v>-0.05</v>
      </c>
      <c r="I638">
        <v>357.8546</v>
      </c>
      <c r="J638">
        <v>-336.9135</v>
      </c>
      <c r="K638">
        <v>1.121623</v>
      </c>
      <c r="L638">
        <v>367.29169999999999</v>
      </c>
      <c r="M638">
        <v>0.99984240000000002</v>
      </c>
      <c r="N638">
        <v>-1.4604600000000001E-2</v>
      </c>
      <c r="O638">
        <v>1.009233E-2</v>
      </c>
      <c r="P638">
        <v>0.98063809999999996</v>
      </c>
      <c r="Q638">
        <v>0.17355779999999901</v>
      </c>
      <c r="R638">
        <v>-9.0700409999999995E-2</v>
      </c>
      <c r="S638">
        <v>3.0178829999999999</v>
      </c>
      <c r="T638">
        <v>-7.2696209999999997E-2</v>
      </c>
      <c r="U638">
        <v>-0.585449199999999</v>
      </c>
      <c r="V638">
        <v>0.1005601</v>
      </c>
      <c r="W638">
        <v>0.187865</v>
      </c>
      <c r="X638">
        <v>0.97703340000000005</v>
      </c>
      <c r="Y638">
        <v>0.2002504</v>
      </c>
      <c r="Z638">
        <v>-3.9603429999999998E-3</v>
      </c>
      <c r="AA638">
        <v>0.97973670000000002</v>
      </c>
      <c r="AB638">
        <v>25</v>
      </c>
      <c r="AC638">
        <v>48.4742999999999</v>
      </c>
      <c r="AD638">
        <v>-1.1716229999999901</v>
      </c>
      <c r="AE638">
        <v>-9.4370999999999796</v>
      </c>
      <c r="AF638">
        <v>9.9203064018578395</v>
      </c>
      <c r="AG638">
        <v>-1.1716229999999901</v>
      </c>
      <c r="AH638">
        <v>48.3493645567467</v>
      </c>
      <c r="AI638">
        <v>91.359827347480604</v>
      </c>
      <c r="AJ638">
        <v>78.404995262087695</v>
      </c>
      <c r="AK638">
        <v>49.370499618720302</v>
      </c>
      <c r="AL638">
        <v>79.171785028053307</v>
      </c>
      <c r="AM638">
        <v>84.123586185636796</v>
      </c>
      <c r="AN638">
        <v>0.99999992832628204</v>
      </c>
    </row>
    <row r="639" spans="1:40" x14ac:dyDescent="0.25">
      <c r="A639" t="str">
        <f>"20190303170509882"</f>
        <v>20190303170509882</v>
      </c>
      <c r="B639" t="str">
        <f>"1551603909874768"</f>
        <v>1551603909874768</v>
      </c>
      <c r="C639" t="s">
        <v>40</v>
      </c>
      <c r="D639">
        <v>5.026116</v>
      </c>
      <c r="E639">
        <v>0.55418679999999998</v>
      </c>
      <c r="F639" t="s">
        <v>43</v>
      </c>
      <c r="G639">
        <v>-287.06760000000003</v>
      </c>
      <c r="H639">
        <v>-0.05</v>
      </c>
      <c r="I639">
        <v>357.06639999999999</v>
      </c>
      <c r="J639">
        <v>-336.56920000000002</v>
      </c>
      <c r="K639">
        <v>1.1216299999999999</v>
      </c>
      <c r="L639">
        <v>367.29539999999997</v>
      </c>
      <c r="M639">
        <v>0.99984010000000001</v>
      </c>
      <c r="N639">
        <v>-1.463743E-2</v>
      </c>
      <c r="O639">
        <v>1.027404E-2</v>
      </c>
      <c r="P639">
        <v>0.98044940000000003</v>
      </c>
      <c r="Q639">
        <v>0.173541</v>
      </c>
      <c r="R639">
        <v>-9.2751230000000004E-2</v>
      </c>
      <c r="S639">
        <v>3.0145870000000001</v>
      </c>
      <c r="T639">
        <v>-7.0857519999999993E-2</v>
      </c>
      <c r="U639">
        <v>-0.61840819999999996</v>
      </c>
      <c r="V639">
        <v>0.1027872</v>
      </c>
      <c r="W639">
        <v>0.18787719999999999</v>
      </c>
      <c r="X639">
        <v>0.97679930000000004</v>
      </c>
      <c r="Y639">
        <v>0.2109164</v>
      </c>
      <c r="Z639">
        <v>-4.1031059999999996E-3</v>
      </c>
      <c r="AA639">
        <v>0.97749549999999996</v>
      </c>
      <c r="AB639">
        <v>24</v>
      </c>
      <c r="AC639">
        <v>49.501600000000003</v>
      </c>
      <c r="AD639">
        <v>-1.1716299999999999</v>
      </c>
      <c r="AE639">
        <v>-10.2289999999999</v>
      </c>
      <c r="AF639">
        <v>10.731330409281901</v>
      </c>
      <c r="AG639">
        <v>-1.1716299999999999</v>
      </c>
      <c r="AH639">
        <v>49.367359342177402</v>
      </c>
      <c r="AI639">
        <v>91.328524648627095</v>
      </c>
      <c r="AJ639">
        <v>77.736006721323506</v>
      </c>
      <c r="AK639">
        <v>50.533853381963098</v>
      </c>
      <c r="AL639">
        <v>79.171073711994396</v>
      </c>
      <c r="AM639">
        <v>83.992953696086005</v>
      </c>
      <c r="AN639">
        <v>0.99999996162208404</v>
      </c>
    </row>
    <row r="640" spans="1:40" x14ac:dyDescent="0.25">
      <c r="A640" t="str">
        <f>"20190303170509904"</f>
        <v>20190303170509904</v>
      </c>
      <c r="B640" t="str">
        <f>"1551603909895264"</f>
        <v>1551603909895264</v>
      </c>
      <c r="C640" t="s">
        <v>40</v>
      </c>
      <c r="D640">
        <v>5.0515720000000002</v>
      </c>
      <c r="E640">
        <v>0.55613519999999905</v>
      </c>
      <c r="F640" t="s">
        <v>43</v>
      </c>
      <c r="G640">
        <v>-285.20310000000001</v>
      </c>
      <c r="H640">
        <v>-0.05</v>
      </c>
      <c r="I640">
        <v>355.57400000000001</v>
      </c>
      <c r="J640">
        <v>-336.33730000000003</v>
      </c>
      <c r="K640">
        <v>1.1216280000000001</v>
      </c>
      <c r="L640">
        <v>367.29790000000003</v>
      </c>
      <c r="M640">
        <v>0.99983880000000003</v>
      </c>
      <c r="N640">
        <v>-1.46549E-2</v>
      </c>
      <c r="O640">
        <v>1.0396330000000001E-2</v>
      </c>
      <c r="P640">
        <v>0.98036590000000001</v>
      </c>
      <c r="Q640">
        <v>0.1726512</v>
      </c>
      <c r="R640">
        <v>-9.5260780000000003E-2</v>
      </c>
      <c r="S640">
        <v>3.00705</v>
      </c>
      <c r="T640">
        <v>-6.8588969999999999E-2</v>
      </c>
      <c r="U640">
        <v>-0.68618769999999996</v>
      </c>
      <c r="V640">
        <v>0.10541590000000001</v>
      </c>
      <c r="W640">
        <v>0.18700320000000001</v>
      </c>
      <c r="X640">
        <v>0.97668690000000002</v>
      </c>
      <c r="Y640">
        <v>0.2325026</v>
      </c>
      <c r="Z640">
        <v>-4.4271390000000001E-3</v>
      </c>
      <c r="AA640">
        <v>0.9725857</v>
      </c>
      <c r="AB640">
        <v>24</v>
      </c>
      <c r="AC640">
        <v>51.1342</v>
      </c>
      <c r="AD640">
        <v>-1.1716279999999999</v>
      </c>
      <c r="AE640">
        <v>-11.7239</v>
      </c>
      <c r="AF640">
        <v>12.248821821510401</v>
      </c>
      <c r="AG640">
        <v>-1.1716279999999999</v>
      </c>
      <c r="AH640">
        <v>50.984107652881903</v>
      </c>
      <c r="AI640">
        <v>91.280029952314806</v>
      </c>
      <c r="AJ640">
        <v>76.490840583570602</v>
      </c>
      <c r="AK640">
        <v>52.447932097901997</v>
      </c>
      <c r="AL640">
        <v>79.2220542672611</v>
      </c>
      <c r="AM640">
        <v>83.8397912678533</v>
      </c>
      <c r="AN640">
        <v>1.0000000047073201</v>
      </c>
    </row>
    <row r="641" spans="1:40" x14ac:dyDescent="0.25">
      <c r="A641" t="str">
        <f>"20190303170509925"</f>
        <v>20190303170509925</v>
      </c>
      <c r="B641" t="str">
        <f>"1551603909914787"</f>
        <v>1551603909914787</v>
      </c>
      <c r="C641" t="s">
        <v>40</v>
      </c>
      <c r="D641">
        <v>5.0524100000000001</v>
      </c>
      <c r="E641">
        <v>0.55753039999999998</v>
      </c>
      <c r="F641" t="s">
        <v>43</v>
      </c>
      <c r="G641">
        <v>-287.20710000000003</v>
      </c>
      <c r="H641">
        <v>-0.05</v>
      </c>
      <c r="I641">
        <v>355.69260000000003</v>
      </c>
      <c r="J641">
        <v>-336.10770000000002</v>
      </c>
      <c r="K641">
        <v>1.121634</v>
      </c>
      <c r="L641">
        <v>367.30040000000002</v>
      </c>
      <c r="M641">
        <v>0.99983719999999998</v>
      </c>
      <c r="N641">
        <v>-1.466921E-2</v>
      </c>
      <c r="O641">
        <v>1.0517449999999999E-2</v>
      </c>
      <c r="P641">
        <v>0.98026760000000002</v>
      </c>
      <c r="Q641">
        <v>0.17252120000000001</v>
      </c>
      <c r="R641">
        <v>-9.6499100000000004E-2</v>
      </c>
      <c r="S641">
        <v>3.0037539999999998</v>
      </c>
      <c r="T641">
        <v>-7.1631669999999995E-2</v>
      </c>
      <c r="U641">
        <v>-0.70953369999999905</v>
      </c>
      <c r="V641">
        <v>0.1067718</v>
      </c>
      <c r="W641">
        <v>0.18688560000000001</v>
      </c>
      <c r="X641">
        <v>0.97656209999999999</v>
      </c>
      <c r="Y641">
        <v>0.24000640000000001</v>
      </c>
      <c r="Z641">
        <v>-4.7025720000000003E-3</v>
      </c>
      <c r="AA641">
        <v>0.97075990000000001</v>
      </c>
      <c r="AB641">
        <v>24</v>
      </c>
      <c r="AC641">
        <v>48.900599999999997</v>
      </c>
      <c r="AD641">
        <v>-1.1716340000000001</v>
      </c>
      <c r="AE641">
        <v>-11.6077999999999</v>
      </c>
      <c r="AF641">
        <v>12.114939035376</v>
      </c>
      <c r="AG641">
        <v>-1.1716340000000001</v>
      </c>
      <c r="AH641">
        <v>48.749304992562898</v>
      </c>
      <c r="AI641">
        <v>91.336147186124293</v>
      </c>
      <c r="AJ641">
        <v>76.043857654093202</v>
      </c>
      <c r="AK641">
        <v>50.2457879957987</v>
      </c>
      <c r="AL641">
        <v>79.2289130092081</v>
      </c>
      <c r="AM641">
        <v>83.760386184858305</v>
      </c>
      <c r="AN641">
        <v>0.99999998995950401</v>
      </c>
    </row>
    <row r="642" spans="1:40" x14ac:dyDescent="0.25">
      <c r="A642" t="str">
        <f>"20190303170509947"</f>
        <v>20190303170509947</v>
      </c>
      <c r="B642" t="str">
        <f>"1551603909935280"</f>
        <v>1551603909935280</v>
      </c>
      <c r="C642" t="s">
        <v>40</v>
      </c>
      <c r="D642">
        <v>5.064737</v>
      </c>
      <c r="E642">
        <v>0.55862460000000003</v>
      </c>
      <c r="F642" t="s">
        <v>43</v>
      </c>
      <c r="G642">
        <v>-287.84100000000001</v>
      </c>
      <c r="H642">
        <v>-0.05</v>
      </c>
      <c r="I642">
        <v>355.66309999999999</v>
      </c>
      <c r="J642">
        <v>-335.86509999999998</v>
      </c>
      <c r="K642">
        <v>1.12164</v>
      </c>
      <c r="L642">
        <v>367.30309999999997</v>
      </c>
      <c r="M642">
        <v>0.99983569999999999</v>
      </c>
      <c r="N642">
        <v>-1.468152E-2</v>
      </c>
      <c r="O642">
        <v>1.064449E-2</v>
      </c>
      <c r="P642">
        <v>0.98007789999999995</v>
      </c>
      <c r="Q642">
        <v>0.17320629999999901</v>
      </c>
      <c r="R642">
        <v>-9.7197539999999999E-2</v>
      </c>
      <c r="S642">
        <v>3.0019529999999999</v>
      </c>
      <c r="T642">
        <v>-7.2870019999999994E-2</v>
      </c>
      <c r="U642">
        <v>-0.72378540000000002</v>
      </c>
      <c r="V642">
        <v>0.1075924</v>
      </c>
      <c r="W642">
        <v>0.18757940000000001</v>
      </c>
      <c r="X642">
        <v>0.97633899999999996</v>
      </c>
      <c r="Y642">
        <v>0.2446123</v>
      </c>
      <c r="Z642">
        <v>-4.8488020000000001E-3</v>
      </c>
      <c r="AA642">
        <v>0.96960880000000005</v>
      </c>
      <c r="AB642">
        <v>24</v>
      </c>
      <c r="AC642">
        <v>48.024099999999898</v>
      </c>
      <c r="AD642">
        <v>-1.17164</v>
      </c>
      <c r="AE642">
        <v>-11.639999999999899</v>
      </c>
      <c r="AF642">
        <v>12.143760471675</v>
      </c>
      <c r="AG642">
        <v>-1.17164</v>
      </c>
      <c r="AH642">
        <v>47.870551441324103</v>
      </c>
      <c r="AI642">
        <v>91.359014435927193</v>
      </c>
      <c r="AJ642">
        <v>75.765529513562299</v>
      </c>
      <c r="AK642">
        <v>49.4007424436058</v>
      </c>
      <c r="AL642">
        <v>79.188445657579805</v>
      </c>
      <c r="AM642">
        <v>83.711388748135604</v>
      </c>
      <c r="AN642">
        <v>0.99999999938155903</v>
      </c>
    </row>
    <row r="643" spans="1:40" x14ac:dyDescent="0.25">
      <c r="A643" t="str">
        <f>"20190303170509970"</f>
        <v>20190303170509970</v>
      </c>
      <c r="B643" t="str">
        <f>"1551603909965536"</f>
        <v>1551603909965536</v>
      </c>
      <c r="C643" t="s">
        <v>40</v>
      </c>
      <c r="D643">
        <v>5.0521570000000002</v>
      </c>
      <c r="E643">
        <v>0.55992219999999904</v>
      </c>
      <c r="F643" t="s">
        <v>43</v>
      </c>
      <c r="G643">
        <v>-286.39170000000001</v>
      </c>
      <c r="H643">
        <v>-0.05</v>
      </c>
      <c r="I643">
        <v>355.19319999999999</v>
      </c>
      <c r="J643">
        <v>-335.61610000000002</v>
      </c>
      <c r="K643">
        <v>1.121659</v>
      </c>
      <c r="L643">
        <v>367.30590000000001</v>
      </c>
      <c r="M643">
        <v>0.99983390000000005</v>
      </c>
      <c r="N643">
        <v>-1.4691589999999999E-2</v>
      </c>
      <c r="O643">
        <v>1.077583E-2</v>
      </c>
      <c r="P643">
        <v>0.97983180000000003</v>
      </c>
      <c r="Q643">
        <v>0.17410619999999999</v>
      </c>
      <c r="R643">
        <v>-9.8064369999999998E-2</v>
      </c>
      <c r="S643">
        <v>3.000702</v>
      </c>
      <c r="T643">
        <v>-7.106316E-2</v>
      </c>
      <c r="U643">
        <v>-0.73449709999999901</v>
      </c>
      <c r="V643">
        <v>0.10858520000000001</v>
      </c>
      <c r="W643">
        <v>0.1884856</v>
      </c>
      <c r="X643">
        <v>0.97605450000000005</v>
      </c>
      <c r="Y643">
        <v>0.2481013</v>
      </c>
      <c r="Z643">
        <v>-4.8397450000000003E-3</v>
      </c>
      <c r="AA643">
        <v>0.96872199999999997</v>
      </c>
      <c r="AB643">
        <v>24</v>
      </c>
      <c r="AC643">
        <v>49.224400000000003</v>
      </c>
      <c r="AD643">
        <v>-1.171659</v>
      </c>
      <c r="AE643">
        <v>-12.1127</v>
      </c>
      <c r="AF643">
        <v>12.635737542932301</v>
      </c>
      <c r="AG643">
        <v>-1.171659</v>
      </c>
      <c r="AH643">
        <v>49.0647920841594</v>
      </c>
      <c r="AI643">
        <v>91.324744743378901</v>
      </c>
      <c r="AJ643">
        <v>75.558333498821298</v>
      </c>
      <c r="AK643">
        <v>50.679270617560597</v>
      </c>
      <c r="AL643">
        <v>79.135581021851905</v>
      </c>
      <c r="AM643">
        <v>83.651997719757901</v>
      </c>
      <c r="AN643">
        <v>0.99999997701832399</v>
      </c>
    </row>
    <row r="644" spans="1:40" x14ac:dyDescent="0.25">
      <c r="A644" t="str">
        <f>"20190303170509992"</f>
        <v>20190303170509992</v>
      </c>
      <c r="B644" t="str">
        <f>"1551603909985055"</f>
        <v>1551603909985055</v>
      </c>
      <c r="C644" t="s">
        <v>40</v>
      </c>
      <c r="D644">
        <v>5.1085180000000001</v>
      </c>
      <c r="E644">
        <v>0.56060390000000004</v>
      </c>
      <c r="F644" t="s">
        <v>43</v>
      </c>
      <c r="G644">
        <v>-284.71510000000001</v>
      </c>
      <c r="H644">
        <v>-0.05</v>
      </c>
      <c r="I644">
        <v>354.63260000000002</v>
      </c>
      <c r="J644">
        <v>-335.37389999999999</v>
      </c>
      <c r="K644">
        <v>1.121659</v>
      </c>
      <c r="L644">
        <v>367.30869999999999</v>
      </c>
      <c r="M644">
        <v>0.99983259999999996</v>
      </c>
      <c r="N644">
        <v>-1.4699240000000001E-2</v>
      </c>
      <c r="O644">
        <v>1.090319E-2</v>
      </c>
      <c r="P644">
        <v>0.97964039999999997</v>
      </c>
      <c r="Q644">
        <v>0.17463229999999999</v>
      </c>
      <c r="R644">
        <v>-9.9036979999999997E-2</v>
      </c>
      <c r="S644">
        <v>2.999298</v>
      </c>
      <c r="T644">
        <v>-6.9039110000000001E-2</v>
      </c>
      <c r="U644">
        <v>-0.74676509999999996</v>
      </c>
      <c r="V644">
        <v>0.109680399999999</v>
      </c>
      <c r="W644">
        <v>0.18901609999999999</v>
      </c>
      <c r="X644">
        <v>0.97582939999999996</v>
      </c>
      <c r="Y644">
        <v>0.25206519999999999</v>
      </c>
      <c r="Z644">
        <v>-4.8274600000000004E-3</v>
      </c>
      <c r="AA644">
        <v>0.96769819999999995</v>
      </c>
      <c r="AB644">
        <v>24</v>
      </c>
      <c r="AC644">
        <v>50.6587999999999</v>
      </c>
      <c r="AD644">
        <v>-1.171659</v>
      </c>
      <c r="AE644">
        <v>-12.6760999999999</v>
      </c>
      <c r="AF644">
        <v>13.2210929375563</v>
      </c>
      <c r="AG644">
        <v>-1.171659</v>
      </c>
      <c r="AH644">
        <v>50.4921452542117</v>
      </c>
      <c r="AI644">
        <v>91.285959026912806</v>
      </c>
      <c r="AJ644">
        <v>75.326835468706705</v>
      </c>
      <c r="AK644">
        <v>52.207536004375797</v>
      </c>
      <c r="AL644">
        <v>79.104628921405194</v>
      </c>
      <c r="AM644">
        <v>83.5870350767525</v>
      </c>
      <c r="AN644">
        <v>0.99999994705386297</v>
      </c>
    </row>
    <row r="645" spans="1:40" x14ac:dyDescent="0.25">
      <c r="A645" t="str">
        <f>"20190303170510014"</f>
        <v>20190303170510014</v>
      </c>
      <c r="B645" t="str">
        <f>"1551603910005552"</f>
        <v>1551603910005552</v>
      </c>
      <c r="C645" t="s">
        <v>40</v>
      </c>
      <c r="D645">
        <v>5.0976160000000004</v>
      </c>
      <c r="E645">
        <v>0.56119730000000001</v>
      </c>
      <c r="F645" t="s">
        <v>43</v>
      </c>
      <c r="G645">
        <v>-283.20580000000001</v>
      </c>
      <c r="H645">
        <v>-0.05</v>
      </c>
      <c r="I645">
        <v>354.16390000000001</v>
      </c>
      <c r="J645">
        <v>-335.14440000000002</v>
      </c>
      <c r="K645">
        <v>1.1216630000000001</v>
      </c>
      <c r="L645">
        <v>367.31130000000002</v>
      </c>
      <c r="M645">
        <v>0.99983109999999997</v>
      </c>
      <c r="N645">
        <v>-1.470487E-2</v>
      </c>
      <c r="O645">
        <v>1.1024020000000001E-2</v>
      </c>
      <c r="P645">
        <v>0.97958310000000004</v>
      </c>
      <c r="Q645">
        <v>0.174376</v>
      </c>
      <c r="R645">
        <v>-0.10005029999999999</v>
      </c>
      <c r="S645">
        <v>2.997986</v>
      </c>
      <c r="T645">
        <v>-6.7332740000000002E-2</v>
      </c>
      <c r="U645">
        <v>-0.75540160000000001</v>
      </c>
      <c r="V645">
        <v>0.1108113</v>
      </c>
      <c r="W645">
        <v>0.18876370000000001</v>
      </c>
      <c r="X645">
        <v>0.97575060000000002</v>
      </c>
      <c r="Y645">
        <v>0.25490639999999998</v>
      </c>
      <c r="Z645">
        <v>-4.8059019999999999E-3</v>
      </c>
      <c r="AA645">
        <v>0.96695379999999997</v>
      </c>
      <c r="AB645">
        <v>24</v>
      </c>
      <c r="AC645">
        <v>51.938600000000001</v>
      </c>
      <c r="AD645">
        <v>-1.1716629999999999</v>
      </c>
      <c r="AE645">
        <v>-13.147399999999999</v>
      </c>
      <c r="AF645">
        <v>13.712676946198201</v>
      </c>
      <c r="AG645">
        <v>-1.1716629999999999</v>
      </c>
      <c r="AH645">
        <v>51.765733527751202</v>
      </c>
      <c r="AI645">
        <v>91.253392331171497</v>
      </c>
      <c r="AJ645">
        <v>75.1631948160164</v>
      </c>
      <c r="AK645">
        <v>53.563994164760601</v>
      </c>
      <c r="AL645">
        <v>79.119356680622204</v>
      </c>
      <c r="AM645">
        <v>83.520952432358101</v>
      </c>
      <c r="AN645">
        <v>1.0000000560228599</v>
      </c>
    </row>
    <row r="646" spans="1:40" x14ac:dyDescent="0.25">
      <c r="A646" t="str">
        <f>"20190303170510036"</f>
        <v>20190303170510036</v>
      </c>
      <c r="B646" t="str">
        <f>"1551603910025072"</f>
        <v>1551603910025072</v>
      </c>
      <c r="C646" t="s">
        <v>40</v>
      </c>
      <c r="D646">
        <v>5.1098109999999997</v>
      </c>
      <c r="E646">
        <v>0.56178019999999995</v>
      </c>
      <c r="F646" t="s">
        <v>43</v>
      </c>
      <c r="G646">
        <v>-283.56799999999998</v>
      </c>
      <c r="H646">
        <v>-0.05</v>
      </c>
      <c r="I646">
        <v>354.17700000000002</v>
      </c>
      <c r="J646">
        <v>-334.90210000000002</v>
      </c>
      <c r="K646">
        <v>1.121664</v>
      </c>
      <c r="L646">
        <v>367.3141</v>
      </c>
      <c r="M646">
        <v>0.99982969999999904</v>
      </c>
      <c r="N646">
        <v>-1.470925E-2</v>
      </c>
      <c r="O646">
        <v>1.115206E-2</v>
      </c>
      <c r="P646">
        <v>0.97941699999999998</v>
      </c>
      <c r="Q646">
        <v>0.17487539999999999</v>
      </c>
      <c r="R646">
        <v>-0.1008023</v>
      </c>
      <c r="S646">
        <v>2.9966740000000001</v>
      </c>
      <c r="T646">
        <v>-6.8075540000000004E-2</v>
      </c>
      <c r="U646">
        <v>-0.76312259999999998</v>
      </c>
      <c r="V646">
        <v>0.1116873</v>
      </c>
      <c r="W646">
        <v>0.18926480000000001</v>
      </c>
      <c r="X646">
        <v>0.97555360000000002</v>
      </c>
      <c r="Y646">
        <v>0.25746780000000002</v>
      </c>
      <c r="Z646">
        <v>-4.8899859999999998E-3</v>
      </c>
      <c r="AA646">
        <v>0.96627450000000004</v>
      </c>
      <c r="AB646">
        <v>24</v>
      </c>
      <c r="AC646">
        <v>51.334099999999999</v>
      </c>
      <c r="AD646">
        <v>-1.171664</v>
      </c>
      <c r="AE646">
        <v>-13.1371</v>
      </c>
      <c r="AF646">
        <v>13.7021263953385</v>
      </c>
      <c r="AG646">
        <v>-1.171664</v>
      </c>
      <c r="AH646">
        <v>51.159372266369203</v>
      </c>
      <c r="AI646">
        <v>91.267319617878798</v>
      </c>
      <c r="AJ646">
        <v>75.006255194716104</v>
      </c>
      <c r="AK646">
        <v>52.975489001723098</v>
      </c>
      <c r="AL646">
        <v>79.090118357786494</v>
      </c>
      <c r="AM646">
        <v>83.468866840363305</v>
      </c>
      <c r="AN646">
        <v>1.0000000219866401</v>
      </c>
    </row>
    <row r="647" spans="1:40" x14ac:dyDescent="0.25">
      <c r="A647" t="str">
        <f>"20190303170510060"</f>
        <v>20190303170510060</v>
      </c>
      <c r="B647" t="str">
        <f>"1551603910045568"</f>
        <v>1551603910045568</v>
      </c>
      <c r="C647" t="s">
        <v>40</v>
      </c>
      <c r="D647">
        <v>5.1136730000000004</v>
      </c>
      <c r="E647">
        <v>0.56225449999999999</v>
      </c>
      <c r="F647" t="s">
        <v>43</v>
      </c>
      <c r="G647">
        <v>-282.21570000000003</v>
      </c>
      <c r="H647">
        <v>-0.05</v>
      </c>
      <c r="I647">
        <v>353.77420000000001</v>
      </c>
      <c r="J647">
        <v>-334.64940000000001</v>
      </c>
      <c r="K647">
        <v>1.1216699999999999</v>
      </c>
      <c r="L647">
        <v>367.31709999999998</v>
      </c>
      <c r="M647">
        <v>0.99982819999999994</v>
      </c>
      <c r="N647">
        <v>-1.4712319999999999E-2</v>
      </c>
      <c r="O647">
        <v>1.128559E-2</v>
      </c>
      <c r="P647">
        <v>0.97934639999999995</v>
      </c>
      <c r="Q647">
        <v>0.17513970000000001</v>
      </c>
      <c r="R647">
        <v>-0.1010313</v>
      </c>
      <c r="S647">
        <v>2.9956969999999998</v>
      </c>
      <c r="T647">
        <v>-6.6619750000000005E-2</v>
      </c>
      <c r="U647">
        <v>-0.76986690000000002</v>
      </c>
      <c r="V647">
        <v>0.1120458</v>
      </c>
      <c r="W647">
        <v>0.1895307</v>
      </c>
      <c r="X647">
        <v>0.97546080000000002</v>
      </c>
      <c r="Y647">
        <v>0.259716</v>
      </c>
      <c r="Z647">
        <v>-4.8665699999999998E-3</v>
      </c>
      <c r="AA647">
        <v>0.9656728</v>
      </c>
      <c r="AB647">
        <v>24</v>
      </c>
      <c r="AC647">
        <v>52.433699999999902</v>
      </c>
      <c r="AD647">
        <v>-1.17167</v>
      </c>
      <c r="AE647">
        <v>-13.5428999999999</v>
      </c>
      <c r="AF647">
        <v>14.127233546308</v>
      </c>
      <c r="AG647">
        <v>-1.17167</v>
      </c>
      <c r="AH647">
        <v>52.2530440635079</v>
      </c>
      <c r="AI647">
        <v>91.240021830590194</v>
      </c>
      <c r="AJ647">
        <v>74.871098893306794</v>
      </c>
      <c r="AK647">
        <v>54.141778250845498</v>
      </c>
      <c r="AL647">
        <v>79.074601895494496</v>
      </c>
      <c r="AM647">
        <v>83.447466951257695</v>
      </c>
      <c r="AN647">
        <v>0.99999995993838398</v>
      </c>
    </row>
    <row r="648" spans="1:40" x14ac:dyDescent="0.25">
      <c r="A648" t="str">
        <f>"20190303170510082"</f>
        <v>20190303170510082</v>
      </c>
      <c r="B648" t="str">
        <f>"1551603910074849"</f>
        <v>1551603910074849</v>
      </c>
      <c r="C648" t="s">
        <v>40</v>
      </c>
      <c r="D648">
        <v>5.1197609999999996</v>
      </c>
      <c r="E648">
        <v>0.5628763</v>
      </c>
      <c r="F648" t="s">
        <v>43</v>
      </c>
      <c r="G648">
        <v>-281.63940000000002</v>
      </c>
      <c r="H648">
        <v>-0.05</v>
      </c>
      <c r="I648">
        <v>353.62430000000001</v>
      </c>
      <c r="J648">
        <v>-334.40989999999999</v>
      </c>
      <c r="K648">
        <v>1.1216710000000001</v>
      </c>
      <c r="L648">
        <v>367.31990000000002</v>
      </c>
      <c r="M648">
        <v>0.99982669999999996</v>
      </c>
      <c r="N648">
        <v>-1.4713999999999901E-2</v>
      </c>
      <c r="O648">
        <v>1.1412169999999999E-2</v>
      </c>
      <c r="P648">
        <v>0.97927750000000002</v>
      </c>
      <c r="Q648">
        <v>0.17547760000000001</v>
      </c>
      <c r="R648">
        <v>-0.10111100000000001</v>
      </c>
      <c r="S648">
        <v>2.9953310000000002</v>
      </c>
      <c r="T648">
        <v>-6.6205260000000002E-2</v>
      </c>
      <c r="U648">
        <v>-0.77371219999999996</v>
      </c>
      <c r="V648">
        <v>0.112249</v>
      </c>
      <c r="W648">
        <v>0.1898687</v>
      </c>
      <c r="X648">
        <v>0.97537169999999895</v>
      </c>
      <c r="Y648">
        <v>0.26102950000000003</v>
      </c>
      <c r="Z648">
        <v>-4.8727939999999997E-3</v>
      </c>
      <c r="AA648">
        <v>0.96531860000000003</v>
      </c>
      <c r="AB648">
        <v>24</v>
      </c>
      <c r="AC648">
        <v>52.770499999999899</v>
      </c>
      <c r="AD648">
        <v>-1.1716709999999999</v>
      </c>
      <c r="AE648">
        <v>-13.695600000000001</v>
      </c>
      <c r="AF648">
        <v>14.2903987032486</v>
      </c>
      <c r="AG648">
        <v>-1.1716709999999999</v>
      </c>
      <c r="AH648">
        <v>52.586461277204002</v>
      </c>
      <c r="AI648">
        <v>91.231731302882594</v>
      </c>
      <c r="AJ648">
        <v>74.796983078832994</v>
      </c>
      <c r="AK648">
        <v>54.506185132413499</v>
      </c>
      <c r="AL648">
        <v>79.054877743292195</v>
      </c>
      <c r="AM648">
        <v>83.435092851130705</v>
      </c>
      <c r="AN648">
        <v>0.99999995720078805</v>
      </c>
    </row>
    <row r="649" spans="1:40" x14ac:dyDescent="0.25">
      <c r="A649" t="str">
        <f>"20190303170510104"</f>
        <v>20190303170510104</v>
      </c>
      <c r="B649" t="str">
        <f>"1551603910095344"</f>
        <v>1551603910095344</v>
      </c>
      <c r="C649" t="s">
        <v>40</v>
      </c>
      <c r="D649">
        <v>5.1067030000000004</v>
      </c>
      <c r="E649">
        <v>0.56322159999999999</v>
      </c>
      <c r="F649" t="s">
        <v>43</v>
      </c>
      <c r="G649">
        <v>-281.07889999999998</v>
      </c>
      <c r="H649">
        <v>-0.05</v>
      </c>
      <c r="I649">
        <v>353.452</v>
      </c>
      <c r="J649">
        <v>-334.1771</v>
      </c>
      <c r="K649">
        <v>1.121678</v>
      </c>
      <c r="L649">
        <v>367.3227</v>
      </c>
      <c r="M649">
        <v>0.99982519999999997</v>
      </c>
      <c r="N649">
        <v>-1.4714659999999999E-2</v>
      </c>
      <c r="O649">
        <v>1.1535180000000001E-2</v>
      </c>
      <c r="P649">
        <v>0.97914520000000005</v>
      </c>
      <c r="Q649">
        <v>0.17605129999999999</v>
      </c>
      <c r="R649">
        <v>-0.10139479999999999</v>
      </c>
      <c r="S649">
        <v>2.994904</v>
      </c>
      <c r="T649">
        <v>-6.5797330000000001E-2</v>
      </c>
      <c r="U649">
        <v>-0.77877810000000003</v>
      </c>
      <c r="V649">
        <v>0.1126515</v>
      </c>
      <c r="W649">
        <v>0.19044079999999999</v>
      </c>
      <c r="X649">
        <v>0.97521380000000002</v>
      </c>
      <c r="Y649">
        <v>0.26271149999999999</v>
      </c>
      <c r="Z649">
        <v>-4.8857170000000004E-3</v>
      </c>
      <c r="AA649">
        <v>0.964862</v>
      </c>
      <c r="AB649">
        <v>24</v>
      </c>
      <c r="AC649">
        <v>53.098199999999999</v>
      </c>
      <c r="AD649">
        <v>-1.171678</v>
      </c>
      <c r="AE649">
        <v>-13.870699999999999</v>
      </c>
      <c r="AF649">
        <v>14.475742305459899</v>
      </c>
      <c r="AG649">
        <v>-1.171678</v>
      </c>
      <c r="AH649">
        <v>52.9105307466412</v>
      </c>
      <c r="AI649">
        <v>91.223625812499805</v>
      </c>
      <c r="AJ649">
        <v>74.698933043068195</v>
      </c>
      <c r="AK649">
        <v>54.867515056917199</v>
      </c>
      <c r="AL649">
        <v>79.021490186795901</v>
      </c>
      <c r="AM649">
        <v>83.410701793780504</v>
      </c>
      <c r="AN649">
        <v>1.0000000072336599</v>
      </c>
    </row>
    <row r="650" spans="1:40" x14ac:dyDescent="0.25">
      <c r="A650" t="str">
        <f>"20190303170510126"</f>
        <v>20190303170510126</v>
      </c>
      <c r="B650" t="str">
        <f>"1551603910114866"</f>
        <v>1551603910114866</v>
      </c>
      <c r="C650" t="s">
        <v>40</v>
      </c>
      <c r="D650">
        <v>5.1914099999999896</v>
      </c>
      <c r="E650">
        <v>0.56356830000000002</v>
      </c>
      <c r="F650" t="s">
        <v>43</v>
      </c>
      <c r="G650">
        <v>-278.95420000000001</v>
      </c>
      <c r="H650">
        <v>-0.05</v>
      </c>
      <c r="I650">
        <v>352.88869999999997</v>
      </c>
      <c r="J650">
        <v>-333.9443</v>
      </c>
      <c r="K650">
        <v>1.121683</v>
      </c>
      <c r="L650">
        <v>367.32549999999998</v>
      </c>
      <c r="M650">
        <v>0.99982380000000004</v>
      </c>
      <c r="N650">
        <v>-1.4714619999999999E-2</v>
      </c>
      <c r="O650">
        <v>1.165801E-2</v>
      </c>
      <c r="P650">
        <v>0.97901269999999996</v>
      </c>
      <c r="Q650">
        <v>0.1761886</v>
      </c>
      <c r="R650">
        <v>-0.10242900000000001</v>
      </c>
      <c r="S650">
        <v>2.9942319999999998</v>
      </c>
      <c r="T650">
        <v>-6.3529370000000002E-2</v>
      </c>
      <c r="U650">
        <v>-0.78262330000000002</v>
      </c>
      <c r="V650">
        <v>0.1138044</v>
      </c>
      <c r="W650">
        <v>0.1905761</v>
      </c>
      <c r="X650">
        <v>0.97505350000000002</v>
      </c>
      <c r="Y650">
        <v>0.2640478</v>
      </c>
      <c r="Z650">
        <v>-4.8045270000000003E-3</v>
      </c>
      <c r="AA650">
        <v>0.96449759999999995</v>
      </c>
      <c r="AB650">
        <v>24</v>
      </c>
      <c r="AC650">
        <v>54.990099999999899</v>
      </c>
      <c r="AD650">
        <v>-1.171683</v>
      </c>
      <c r="AE650">
        <v>-14.4368</v>
      </c>
      <c r="AF650">
        <v>15.0705624457081</v>
      </c>
      <c r="AG650">
        <v>-1.171683</v>
      </c>
      <c r="AH650">
        <v>54.794767140214702</v>
      </c>
      <c r="AI650">
        <v>91.181129862951295</v>
      </c>
      <c r="AJ650">
        <v>74.621803076059194</v>
      </c>
      <c r="AK650">
        <v>56.841544660862503</v>
      </c>
      <c r="AL650">
        <v>79.013593469805301</v>
      </c>
      <c r="AM650">
        <v>83.342783105776903</v>
      </c>
      <c r="AN650">
        <v>1.0000000096064099</v>
      </c>
    </row>
    <row r="651" spans="1:40" x14ac:dyDescent="0.25">
      <c r="A651" t="str">
        <f>"20190303170510150"</f>
        <v>20190303170510150</v>
      </c>
      <c r="B651" t="str">
        <f>"1551603910135360"</f>
        <v>1551603910135360</v>
      </c>
      <c r="C651" t="s">
        <v>40</v>
      </c>
      <c r="D651">
        <v>5.16838</v>
      </c>
      <c r="E651">
        <v>0.56384889999999999</v>
      </c>
      <c r="F651" t="s">
        <v>43</v>
      </c>
      <c r="G651">
        <v>-278.55349999999999</v>
      </c>
      <c r="H651">
        <v>-0.05</v>
      </c>
      <c r="I651">
        <v>352.73140000000001</v>
      </c>
      <c r="J651">
        <v>-333.70069999999998</v>
      </c>
      <c r="K651">
        <v>1.1216889999999999</v>
      </c>
      <c r="L651">
        <v>367.32850000000002</v>
      </c>
      <c r="M651">
        <v>0.9998224</v>
      </c>
      <c r="N651">
        <v>-1.471365E-2</v>
      </c>
      <c r="O651">
        <v>1.1786390000000001E-2</v>
      </c>
      <c r="P651">
        <v>0.97905750000000002</v>
      </c>
      <c r="Q651">
        <v>0.17559469999999999</v>
      </c>
      <c r="R651">
        <v>-0.103019</v>
      </c>
      <c r="S651">
        <v>2.9931950000000001</v>
      </c>
      <c r="T651">
        <v>-6.3315150000000001E-2</v>
      </c>
      <c r="U651">
        <v>-0.78863530000000004</v>
      </c>
      <c r="V651">
        <v>0.1145206</v>
      </c>
      <c r="W651">
        <v>0.18998200000000001</v>
      </c>
      <c r="X651">
        <v>0.9750856</v>
      </c>
      <c r="Y651">
        <v>0.26606489999999999</v>
      </c>
      <c r="Z651">
        <v>-4.8319809999999999E-3</v>
      </c>
      <c r="AA651">
        <v>0.96394299999999999</v>
      </c>
      <c r="AB651">
        <v>24</v>
      </c>
      <c r="AC651">
        <v>55.147199999999998</v>
      </c>
      <c r="AD651">
        <v>-1.171689</v>
      </c>
      <c r="AE651">
        <v>-14.597099999999999</v>
      </c>
      <c r="AF651">
        <v>15.2397135068086</v>
      </c>
      <c r="AG651">
        <v>-1.171689</v>
      </c>
      <c r="AH651">
        <v>54.948122395010998</v>
      </c>
      <c r="AI651">
        <v>91.1771423601528</v>
      </c>
      <c r="AJ651">
        <v>74.498789185124906</v>
      </c>
      <c r="AK651">
        <v>57.034356993126799</v>
      </c>
      <c r="AL651">
        <v>79.048266565876801</v>
      </c>
      <c r="AM651">
        <v>83.301485635612593</v>
      </c>
      <c r="AN651">
        <v>1.00000002773785</v>
      </c>
    </row>
    <row r="652" spans="1:40" x14ac:dyDescent="0.25">
      <c r="A652" t="str">
        <f>"20190303170510172"</f>
        <v>20190303170510172</v>
      </c>
      <c r="B652" t="str">
        <f>"1551603910165617"</f>
        <v>1551603910165617</v>
      </c>
      <c r="C652" t="s">
        <v>40</v>
      </c>
      <c r="D652">
        <v>5.1499220000000001</v>
      </c>
      <c r="E652">
        <v>0.56424640000000004</v>
      </c>
      <c r="F652" t="s">
        <v>43</v>
      </c>
      <c r="G652">
        <v>-280.12220000000002</v>
      </c>
      <c r="H652">
        <v>-0.05</v>
      </c>
      <c r="I652">
        <v>353.13490000000002</v>
      </c>
      <c r="J652">
        <v>-333.45569999999998</v>
      </c>
      <c r="K652">
        <v>1.121688</v>
      </c>
      <c r="L652">
        <v>367.33150000000001</v>
      </c>
      <c r="M652">
        <v>0.99982079999999995</v>
      </c>
      <c r="N652">
        <v>-1.4711999999999999E-2</v>
      </c>
      <c r="O652">
        <v>1.1914889999999999E-2</v>
      </c>
      <c r="P652">
        <v>0.97899219999999998</v>
      </c>
      <c r="Q652">
        <v>0.17551620000000001</v>
      </c>
      <c r="R652">
        <v>-0.10377119999999999</v>
      </c>
      <c r="S652">
        <v>2.9925229999999998</v>
      </c>
      <c r="T652">
        <v>-6.5442319999999998E-2</v>
      </c>
      <c r="U652">
        <v>-0.79275509999999905</v>
      </c>
      <c r="V652">
        <v>0.115398</v>
      </c>
      <c r="W652">
        <v>0.18990009999999999</v>
      </c>
      <c r="X652">
        <v>0.97499809999999998</v>
      </c>
      <c r="Y652">
        <v>0.26747650000000001</v>
      </c>
      <c r="Z652">
        <v>-4.9601139999999998E-3</v>
      </c>
      <c r="AA652">
        <v>0.96355159999999995</v>
      </c>
      <c r="AB652">
        <v>24</v>
      </c>
      <c r="AC652">
        <v>53.333499999999901</v>
      </c>
      <c r="AD652">
        <v>-1.1716879999999901</v>
      </c>
      <c r="AE652">
        <v>-14.196599999999901</v>
      </c>
      <c r="AF652">
        <v>14.8244421301152</v>
      </c>
      <c r="AG652">
        <v>-1.1716879999999901</v>
      </c>
      <c r="AH652">
        <v>53.1365951011718</v>
      </c>
      <c r="AI652">
        <v>91.216745259967794</v>
      </c>
      <c r="AJ652">
        <v>74.411565858707206</v>
      </c>
      <c r="AK652">
        <v>55.178208345182398</v>
      </c>
      <c r="AL652">
        <v>79.053046021050406</v>
      </c>
      <c r="AM652">
        <v>83.250036497170001</v>
      </c>
      <c r="AN652">
        <v>1.0000000206938</v>
      </c>
    </row>
    <row r="653" spans="1:40" x14ac:dyDescent="0.25">
      <c r="A653" t="str">
        <f>"20190303170510216"</f>
        <v>20190303170510216</v>
      </c>
      <c r="B653" t="str">
        <f>"1551603910205633"</f>
        <v>1551603910205633</v>
      </c>
      <c r="C653" t="s">
        <v>40</v>
      </c>
      <c r="D653">
        <v>5.1990089999999904</v>
      </c>
      <c r="E653">
        <v>0.56474449999999998</v>
      </c>
      <c r="F653" t="s">
        <v>43</v>
      </c>
      <c r="G653">
        <v>-280.69560000000001</v>
      </c>
      <c r="H653">
        <v>-0.05</v>
      </c>
      <c r="I653">
        <v>353.26369999999997</v>
      </c>
      <c r="J653">
        <v>-332.99759999999998</v>
      </c>
      <c r="K653">
        <v>1.121677</v>
      </c>
      <c r="L653">
        <v>367.3372</v>
      </c>
      <c r="M653">
        <v>0.99981810000000004</v>
      </c>
      <c r="N653">
        <v>-1.4707380000000001E-2</v>
      </c>
      <c r="O653">
        <v>1.2147410000000001E-2</v>
      </c>
      <c r="P653">
        <v>0.97880069999999997</v>
      </c>
      <c r="Q653">
        <v>0.17520839999999999</v>
      </c>
      <c r="R653">
        <v>-0.1060719</v>
      </c>
      <c r="S653">
        <v>2.9916990000000001</v>
      </c>
      <c r="T653">
        <v>-6.6439269999999995E-2</v>
      </c>
      <c r="U653">
        <v>-0.79769899999999905</v>
      </c>
      <c r="V653">
        <v>0.1179258</v>
      </c>
      <c r="W653">
        <v>0.18958320000000001</v>
      </c>
      <c r="X653">
        <v>0.97475730000000005</v>
      </c>
      <c r="Y653">
        <v>0.26924979999999998</v>
      </c>
      <c r="Z653">
        <v>-5.0422150000000001E-3</v>
      </c>
      <c r="AA653">
        <v>0.96305719999999995</v>
      </c>
      <c r="AB653">
        <v>24</v>
      </c>
      <c r="AC653">
        <v>52.3019999999999</v>
      </c>
      <c r="AD653">
        <v>-1.1716770000000001</v>
      </c>
      <c r="AE653">
        <v>-14.073499999999999</v>
      </c>
      <c r="AF653">
        <v>14.7009842700152</v>
      </c>
      <c r="AG653">
        <v>-1.1716770000000001</v>
      </c>
      <c r="AH653">
        <v>52.102782458258098</v>
      </c>
      <c r="AI653">
        <v>91.239847445088898</v>
      </c>
      <c r="AJ653">
        <v>74.243399531228505</v>
      </c>
      <c r="AK653">
        <v>54.1497156538437</v>
      </c>
      <c r="AL653">
        <v>79.0715391978257</v>
      </c>
      <c r="AM653">
        <v>83.101899826901303</v>
      </c>
      <c r="AN653">
        <v>1.0000000389655801</v>
      </c>
    </row>
    <row r="654" spans="1:40" x14ac:dyDescent="0.25">
      <c r="A654" t="str">
        <f>"20190303170510237"</f>
        <v>20190303170510237</v>
      </c>
      <c r="B654" t="str">
        <f>"1551603910225152"</f>
        <v>1551603910225152</v>
      </c>
      <c r="C654" t="s">
        <v>40</v>
      </c>
      <c r="D654">
        <v>5.165832</v>
      </c>
      <c r="E654">
        <v>0.56499379999999999</v>
      </c>
      <c r="F654" t="s">
        <v>43</v>
      </c>
      <c r="G654">
        <v>-282.3766</v>
      </c>
      <c r="H654">
        <v>-0.05</v>
      </c>
      <c r="I654">
        <v>353.66989999999998</v>
      </c>
      <c r="J654">
        <v>-332.76569999999998</v>
      </c>
      <c r="K654">
        <v>1.121669</v>
      </c>
      <c r="L654">
        <v>367.34019999999998</v>
      </c>
      <c r="M654">
        <v>0.99981679999999995</v>
      </c>
      <c r="N654">
        <v>-1.4704399999999901E-2</v>
      </c>
      <c r="O654">
        <v>1.225678E-2</v>
      </c>
      <c r="P654">
        <v>0.97874830000000002</v>
      </c>
      <c r="Q654">
        <v>0.1746347</v>
      </c>
      <c r="R654">
        <v>-0.1074939</v>
      </c>
      <c r="S654">
        <v>2.9898989999999999</v>
      </c>
      <c r="T654">
        <v>-6.9204329999999994E-2</v>
      </c>
      <c r="U654">
        <v>-0.80725100000000005</v>
      </c>
      <c r="V654">
        <v>0.1194563</v>
      </c>
      <c r="W654">
        <v>0.18900439999999999</v>
      </c>
      <c r="X654">
        <v>0.97468330000000003</v>
      </c>
      <c r="Y654">
        <v>0.27235959999999998</v>
      </c>
      <c r="Z654">
        <v>-5.2361739999999997E-3</v>
      </c>
      <c r="AA654">
        <v>0.96218130000000002</v>
      </c>
      <c r="AB654">
        <v>24</v>
      </c>
      <c r="AC654">
        <v>50.3890999999999</v>
      </c>
      <c r="AD654">
        <v>-1.1716690000000001</v>
      </c>
      <c r="AE654">
        <v>-13.6702999999999</v>
      </c>
      <c r="AF654">
        <v>14.279756352684201</v>
      </c>
      <c r="AG654">
        <v>-1.1716690000000001</v>
      </c>
      <c r="AH654">
        <v>50.192464729304</v>
      </c>
      <c r="AI654">
        <v>91.286219952821199</v>
      </c>
      <c r="AJ654">
        <v>74.118947185942702</v>
      </c>
      <c r="AK654">
        <v>52.197392323180402</v>
      </c>
      <c r="AL654">
        <v>79.105312204707005</v>
      </c>
      <c r="AM654">
        <v>83.012726910990196</v>
      </c>
      <c r="AN654">
        <v>1.00000000306397</v>
      </c>
    </row>
    <row r="655" spans="1:40" x14ac:dyDescent="0.25">
      <c r="A655" t="str">
        <f>"20190303170510262"</f>
        <v>20190303170510262</v>
      </c>
      <c r="B655" t="str">
        <f>"1551603910255408"</f>
        <v>1551603910255408</v>
      </c>
      <c r="C655" t="s">
        <v>40</v>
      </c>
      <c r="D655">
        <v>5.1870039999999999</v>
      </c>
      <c r="E655">
        <v>0.56537159999999997</v>
      </c>
      <c r="F655" t="s">
        <v>43</v>
      </c>
      <c r="G655">
        <v>-283.32040000000001</v>
      </c>
      <c r="H655">
        <v>-0.05</v>
      </c>
      <c r="I655">
        <v>353.8802</v>
      </c>
      <c r="J655">
        <v>-332.51650000000001</v>
      </c>
      <c r="K655">
        <v>1.1216619999999999</v>
      </c>
      <c r="L655">
        <v>367.34339999999997</v>
      </c>
      <c r="M655">
        <v>0.99981549999999997</v>
      </c>
      <c r="N655">
        <v>-1.470081E-2</v>
      </c>
      <c r="O655">
        <v>1.236436E-2</v>
      </c>
      <c r="P655">
        <v>0.97863089999999997</v>
      </c>
      <c r="Q655">
        <v>0.1737283</v>
      </c>
      <c r="R655">
        <v>-0.1100008</v>
      </c>
      <c r="S655">
        <v>2.9884339999999998</v>
      </c>
      <c r="T655">
        <v>-7.0814730000000006E-2</v>
      </c>
      <c r="U655">
        <v>-0.81350710000000004</v>
      </c>
      <c r="V655">
        <v>0.1220707</v>
      </c>
      <c r="W655">
        <v>0.1880899</v>
      </c>
      <c r="X655">
        <v>0.97453630000000002</v>
      </c>
      <c r="Y655">
        <v>0.27445219999999998</v>
      </c>
      <c r="Z655">
        <v>-5.3565330000000001E-3</v>
      </c>
      <c r="AA655">
        <v>0.96158580000000005</v>
      </c>
      <c r="AB655">
        <v>24</v>
      </c>
      <c r="AC655">
        <v>49.196100000000001</v>
      </c>
      <c r="AD655">
        <v>-1.171662</v>
      </c>
      <c r="AE655">
        <v>-13.463199999999899</v>
      </c>
      <c r="AF655">
        <v>14.063093703318</v>
      </c>
      <c r="AG655">
        <v>-1.171662</v>
      </c>
      <c r="AH655">
        <v>48.999999928092102</v>
      </c>
      <c r="AI655">
        <v>91.3166324390521</v>
      </c>
      <c r="AJ655">
        <v>73.986419698231302</v>
      </c>
      <c r="AK655">
        <v>50.991601164344402</v>
      </c>
      <c r="AL655">
        <v>79.158666476016904</v>
      </c>
      <c r="AM655">
        <v>82.860300016271196</v>
      </c>
      <c r="AN655">
        <v>1.0000000331490899</v>
      </c>
    </row>
    <row r="656" spans="1:40" x14ac:dyDescent="0.25">
      <c r="A656" t="str">
        <f>"20190303170510284"</f>
        <v>20190303170510284</v>
      </c>
      <c r="B656" t="str">
        <f>"1551603910274927"</f>
        <v>1551603910274927</v>
      </c>
      <c r="C656" t="s">
        <v>40</v>
      </c>
      <c r="D656">
        <v>5.202426</v>
      </c>
      <c r="E656">
        <v>0.56561519999999899</v>
      </c>
      <c r="F656" t="s">
        <v>43</v>
      </c>
      <c r="G656">
        <v>-284.78789999999998</v>
      </c>
      <c r="H656">
        <v>-0.05</v>
      </c>
      <c r="I656">
        <v>354.16899999999998</v>
      </c>
      <c r="J656">
        <v>-332.27769999999998</v>
      </c>
      <c r="K656">
        <v>1.1216549999999901</v>
      </c>
      <c r="L656">
        <v>367.34640000000002</v>
      </c>
      <c r="M656">
        <v>0.99981450000000005</v>
      </c>
      <c r="N656">
        <v>-1.469702E-2</v>
      </c>
      <c r="O656">
        <v>1.2451510000000001E-2</v>
      </c>
      <c r="P656">
        <v>0.97834679999999996</v>
      </c>
      <c r="Q656">
        <v>0.1736347</v>
      </c>
      <c r="R656">
        <v>-0.11264250000000001</v>
      </c>
      <c r="S656">
        <v>2.9859010000000001</v>
      </c>
      <c r="T656">
        <v>-7.3299050000000004E-2</v>
      </c>
      <c r="U656">
        <v>-0.82418819999999904</v>
      </c>
      <c r="V656">
        <v>0.1247988</v>
      </c>
      <c r="W656">
        <v>0.1879854</v>
      </c>
      <c r="X656">
        <v>0.97421089999999999</v>
      </c>
      <c r="Y656">
        <v>0.2779316</v>
      </c>
      <c r="Z656">
        <v>-5.5493130000000002E-3</v>
      </c>
      <c r="AA656">
        <v>0.96058480000000002</v>
      </c>
      <c r="AB656">
        <v>24</v>
      </c>
      <c r="AC656">
        <v>47.489800000000002</v>
      </c>
      <c r="AD656">
        <v>-1.1716549999999999</v>
      </c>
      <c r="AE656">
        <v>-13.177399999999899</v>
      </c>
      <c r="AF656">
        <v>13.759984953997</v>
      </c>
      <c r="AG656">
        <v>-1.1716549999999999</v>
      </c>
      <c r="AH656">
        <v>47.295291137947302</v>
      </c>
      <c r="AI656">
        <v>91.362632761805202</v>
      </c>
      <c r="AJ656">
        <v>73.778293101166099</v>
      </c>
      <c r="AK656">
        <v>49.270219455533699</v>
      </c>
      <c r="AL656">
        <v>79.164762971603906</v>
      </c>
      <c r="AM656">
        <v>82.700028616144607</v>
      </c>
      <c r="AN656">
        <v>1.0000000643867</v>
      </c>
    </row>
    <row r="657" spans="1:40" x14ac:dyDescent="0.25">
      <c r="A657" t="str">
        <f>"20190303170510305"</f>
        <v>20190303170510305</v>
      </c>
      <c r="B657" t="str">
        <f>"1551603910295425"</f>
        <v>1551603910295425</v>
      </c>
      <c r="C657" t="s">
        <v>40</v>
      </c>
      <c r="D657">
        <v>5.2111190000000001</v>
      </c>
      <c r="E657">
        <v>0.56573059999999997</v>
      </c>
      <c r="F657" t="s">
        <v>43</v>
      </c>
      <c r="G657">
        <v>-284.65699999999998</v>
      </c>
      <c r="H657">
        <v>-0.05</v>
      </c>
      <c r="I657">
        <v>354.03440000000001</v>
      </c>
      <c r="J657">
        <v>-332.05869999999999</v>
      </c>
      <c r="K657">
        <v>1.1216429999999999</v>
      </c>
      <c r="L657">
        <v>367.3492</v>
      </c>
      <c r="M657">
        <v>0.99981390000000003</v>
      </c>
      <c r="N657">
        <v>-1.4693309999999999E-2</v>
      </c>
      <c r="O657">
        <v>1.251508E-2</v>
      </c>
      <c r="P657">
        <v>0.97799749999999996</v>
      </c>
      <c r="Q657">
        <v>0.17330029999999999</v>
      </c>
      <c r="R657">
        <v>-0.1161387</v>
      </c>
      <c r="S657">
        <v>2.9833980000000002</v>
      </c>
      <c r="T657">
        <v>-7.3403239999999995E-2</v>
      </c>
      <c r="U657">
        <v>-0.83398439999999996</v>
      </c>
      <c r="V657">
        <v>0.12835830000000001</v>
      </c>
      <c r="W657">
        <v>0.18763740000000001</v>
      </c>
      <c r="X657">
        <v>0.9738154</v>
      </c>
      <c r="Y657">
        <v>0.28112389999999998</v>
      </c>
      <c r="Z657">
        <v>-5.6194560000000001E-3</v>
      </c>
      <c r="AA657">
        <v>0.95965500000000004</v>
      </c>
      <c r="AB657">
        <v>23</v>
      </c>
      <c r="AC657">
        <v>47.401699999999998</v>
      </c>
      <c r="AD657">
        <v>-1.171643</v>
      </c>
      <c r="AE657">
        <v>-13.3147999999999</v>
      </c>
      <c r="AF657">
        <v>13.8991863642038</v>
      </c>
      <c r="AG657">
        <v>-1.171643</v>
      </c>
      <c r="AH657">
        <v>47.204602698987401</v>
      </c>
      <c r="AI657">
        <v>91.363945654467997</v>
      </c>
      <c r="AJ657">
        <v>73.593168267437704</v>
      </c>
      <c r="AK657">
        <v>49.222298248614599</v>
      </c>
      <c r="AL657">
        <v>79.185062875854697</v>
      </c>
      <c r="AM657">
        <v>82.491147508697395</v>
      </c>
      <c r="AN657">
        <v>1.0000000401674001</v>
      </c>
    </row>
    <row r="658" spans="1:40" x14ac:dyDescent="0.25">
      <c r="A658" t="str">
        <f>"20190303170510328"</f>
        <v>20190303170510328</v>
      </c>
      <c r="B658" t="str">
        <f>"1551603910314944"</f>
        <v>1551603910314944</v>
      </c>
      <c r="C658" t="s">
        <v>40</v>
      </c>
      <c r="D658">
        <v>5.1655720000000001</v>
      </c>
      <c r="E658">
        <v>0.57806599999999997</v>
      </c>
      <c r="F658" t="s">
        <v>43</v>
      </c>
      <c r="G658">
        <v>-285.28230000000002</v>
      </c>
      <c r="H658">
        <v>-0.05</v>
      </c>
      <c r="I658">
        <v>354.07909999999998</v>
      </c>
      <c r="J658">
        <v>-331.81229999999999</v>
      </c>
      <c r="K658">
        <v>1.121631</v>
      </c>
      <c r="L658">
        <v>367.35239999999999</v>
      </c>
      <c r="M658">
        <v>0.99981319999999996</v>
      </c>
      <c r="N658">
        <v>-1.468886E-2</v>
      </c>
      <c r="O658">
        <v>1.256899E-2</v>
      </c>
      <c r="P658">
        <v>0.97773010000000005</v>
      </c>
      <c r="Q658">
        <v>0.17305100000000001</v>
      </c>
      <c r="R658">
        <v>-0.1187323</v>
      </c>
      <c r="S658">
        <v>2.9803160000000002</v>
      </c>
      <c r="T658">
        <v>-7.4650049999999996E-2</v>
      </c>
      <c r="U658">
        <v>-0.8454895</v>
      </c>
      <c r="V658">
        <v>0.13100719999999999</v>
      </c>
      <c r="W658">
        <v>0.1873756</v>
      </c>
      <c r="X658">
        <v>0.97351290000000001</v>
      </c>
      <c r="Y658">
        <v>0.28485749999999999</v>
      </c>
      <c r="Z658">
        <v>-5.7590180000000003E-3</v>
      </c>
      <c r="AA658">
        <v>0.95855259999999998</v>
      </c>
      <c r="AB658">
        <v>23</v>
      </c>
      <c r="AC658">
        <v>46.529999999999902</v>
      </c>
      <c r="AD658">
        <v>-1.1716309999999901</v>
      </c>
      <c r="AE658">
        <v>-13.273300000000001</v>
      </c>
      <c r="AF658">
        <v>13.8490293863451</v>
      </c>
      <c r="AG658">
        <v>-1.1716309999999901</v>
      </c>
      <c r="AH658">
        <v>46.332307866572201</v>
      </c>
      <c r="AI658">
        <v>91.387911744591506</v>
      </c>
      <c r="AJ658">
        <v>73.358251213009893</v>
      </c>
      <c r="AK658">
        <v>48.372007260262002</v>
      </c>
      <c r="AL658">
        <v>79.200332606384194</v>
      </c>
      <c r="AM658">
        <v>82.335659114292397</v>
      </c>
      <c r="AN658">
        <v>0.999999934196802</v>
      </c>
    </row>
    <row r="659" spans="1:40" x14ac:dyDescent="0.25">
      <c r="A659" t="str">
        <f>"20190303170510352"</f>
        <v>20190303170510352</v>
      </c>
      <c r="B659" t="str">
        <f>"1551603910345200"</f>
        <v>1551603910345200</v>
      </c>
      <c r="C659" t="s">
        <v>40</v>
      </c>
      <c r="D659">
        <v>5.1992659999999997</v>
      </c>
      <c r="E659">
        <v>0.57826999999999995</v>
      </c>
      <c r="F659" t="s">
        <v>43</v>
      </c>
      <c r="G659">
        <v>-286.43579999999997</v>
      </c>
      <c r="H659">
        <v>-0.05</v>
      </c>
      <c r="I659">
        <v>352.80250000000001</v>
      </c>
      <c r="J659">
        <v>-331.57190000000003</v>
      </c>
      <c r="K659">
        <v>1.1216189999999999</v>
      </c>
      <c r="L659">
        <v>367.35539999999997</v>
      </c>
      <c r="M659">
        <v>0.99981279999999995</v>
      </c>
      <c r="N659">
        <v>-1.4684340000000001E-2</v>
      </c>
      <c r="O659">
        <v>1.2602820000000001E-2</v>
      </c>
      <c r="P659">
        <v>0.97745519999999997</v>
      </c>
      <c r="Q659">
        <v>0.1730843</v>
      </c>
      <c r="R659">
        <v>-0.1209264</v>
      </c>
      <c r="S659">
        <v>2.9664000000000001</v>
      </c>
      <c r="T659">
        <v>-7.6593159999999993E-2</v>
      </c>
      <c r="U659">
        <v>-0.95117189999999996</v>
      </c>
      <c r="V659">
        <v>0.13323670000000001</v>
      </c>
      <c r="W659">
        <v>0.1873957</v>
      </c>
      <c r="X659">
        <v>0.97320649999999997</v>
      </c>
      <c r="Y659">
        <v>0.31715769999999999</v>
      </c>
      <c r="Z659">
        <v>-6.517162E-3</v>
      </c>
      <c r="AA659">
        <v>0.94835040000000004</v>
      </c>
      <c r="AB659">
        <v>23</v>
      </c>
      <c r="AC659">
        <v>45.136099999999999</v>
      </c>
      <c r="AD659">
        <v>-1.171619</v>
      </c>
      <c r="AE659">
        <v>-14.5528999999999</v>
      </c>
      <c r="AF659">
        <v>15.1114243064227</v>
      </c>
      <c r="AG659">
        <v>-1.171619</v>
      </c>
      <c r="AH659">
        <v>44.921669673730797</v>
      </c>
      <c r="AI659">
        <v>91.416072871279894</v>
      </c>
      <c r="AJ659">
        <v>71.407318808243602</v>
      </c>
      <c r="AK659">
        <v>47.409748384964999</v>
      </c>
      <c r="AL659">
        <v>79.199161231124094</v>
      </c>
      <c r="AM659">
        <v>82.204392441171507</v>
      </c>
      <c r="AN659">
        <v>1.00000002912381</v>
      </c>
    </row>
    <row r="660" spans="1:40" x14ac:dyDescent="0.25">
      <c r="A660" t="str">
        <f>"20190303170510373"</f>
        <v>20190303170510373</v>
      </c>
      <c r="B660" t="str">
        <f>"1551603910364720"</f>
        <v>1551603910364720</v>
      </c>
      <c r="C660" t="s">
        <v>40</v>
      </c>
      <c r="D660">
        <v>5.1824859999999999</v>
      </c>
      <c r="E660">
        <v>0.5783142</v>
      </c>
      <c r="F660" t="s">
        <v>43</v>
      </c>
      <c r="G660">
        <v>-285.86689999999999</v>
      </c>
      <c r="H660">
        <v>-0.05</v>
      </c>
      <c r="I660">
        <v>352.55270000000002</v>
      </c>
      <c r="J660">
        <v>-331.34620000000001</v>
      </c>
      <c r="K660">
        <v>1.12159599999999</v>
      </c>
      <c r="L660">
        <v>367.35829999999999</v>
      </c>
      <c r="M660">
        <v>0.9998127</v>
      </c>
      <c r="N660">
        <v>-1.4679920000000001E-2</v>
      </c>
      <c r="O660">
        <v>1.261757E-2</v>
      </c>
      <c r="P660">
        <v>0.97748800000000002</v>
      </c>
      <c r="Q660">
        <v>0.17189949999999901</v>
      </c>
      <c r="R660">
        <v>-0.1223429</v>
      </c>
      <c r="S660">
        <v>2.9638979999999999</v>
      </c>
      <c r="T660">
        <v>-7.5977680000000006E-2</v>
      </c>
      <c r="U660">
        <v>-0.95993039999999996</v>
      </c>
      <c r="V660">
        <v>0.1346726</v>
      </c>
      <c r="W660">
        <v>0.18620310000000001</v>
      </c>
      <c r="X660">
        <v>0.97323780000000004</v>
      </c>
      <c r="Y660">
        <v>0.31994240000000002</v>
      </c>
      <c r="Z660">
        <v>-6.5404950000000003E-3</v>
      </c>
      <c r="AA660">
        <v>0.94741439999999999</v>
      </c>
      <c r="AB660">
        <v>23</v>
      </c>
      <c r="AC660">
        <v>45.479300000000002</v>
      </c>
      <c r="AD660">
        <v>-1.1715960000000001</v>
      </c>
      <c r="AE660">
        <v>-14.805599999999901</v>
      </c>
      <c r="AF660">
        <v>15.3690991145811</v>
      </c>
      <c r="AG660">
        <v>-1.1715960000000001</v>
      </c>
      <c r="AH660">
        <v>45.261689173316597</v>
      </c>
      <c r="AI660">
        <v>91.404063168738105</v>
      </c>
      <c r="AJ660">
        <v>71.244522309521201</v>
      </c>
      <c r="AK660">
        <v>47.814248416167302</v>
      </c>
      <c r="AL660">
        <v>79.268716816305599</v>
      </c>
      <c r="AM660">
        <v>82.121678424618196</v>
      </c>
      <c r="AN660">
        <v>1.0000000594945999</v>
      </c>
    </row>
    <row r="661" spans="1:40" x14ac:dyDescent="0.25">
      <c r="A661" t="str">
        <f>"20190303170510394"</f>
        <v>20190303170510394</v>
      </c>
      <c r="B661" t="str">
        <f>"1551603910385216"</f>
        <v>1551603910385216</v>
      </c>
      <c r="C661" t="s">
        <v>40</v>
      </c>
      <c r="D661">
        <v>5.6865839999999999</v>
      </c>
      <c r="E661">
        <v>0.57873999999999903</v>
      </c>
      <c r="F661" t="s">
        <v>43</v>
      </c>
      <c r="G661">
        <v>-287.19150000000002</v>
      </c>
      <c r="H661">
        <v>-0.05</v>
      </c>
      <c r="I661">
        <v>352.98079999999999</v>
      </c>
      <c r="J661">
        <v>-331.12990000000002</v>
      </c>
      <c r="K661">
        <v>1.1215820000000001</v>
      </c>
      <c r="L661">
        <v>367.36110000000002</v>
      </c>
      <c r="M661">
        <v>0.9998127</v>
      </c>
      <c r="N661">
        <v>-1.467563E-2</v>
      </c>
      <c r="O661">
        <v>1.26208E-2</v>
      </c>
      <c r="P661">
        <v>0.97747430000000002</v>
      </c>
      <c r="Q661">
        <v>0.1706039</v>
      </c>
      <c r="R661">
        <v>-0.12425319999999999</v>
      </c>
      <c r="S661">
        <v>2.962189</v>
      </c>
      <c r="T661">
        <v>-7.8598500000000002E-2</v>
      </c>
      <c r="U661">
        <v>-0.96453860000000002</v>
      </c>
      <c r="V661">
        <v>0.13658870000000001</v>
      </c>
      <c r="W661">
        <v>0.1849005</v>
      </c>
      <c r="X661">
        <v>0.97321899999999995</v>
      </c>
      <c r="Y661">
        <v>0.32142870000000001</v>
      </c>
      <c r="Z661">
        <v>-6.7211129999999999E-3</v>
      </c>
      <c r="AA661">
        <v>0.94690989999999997</v>
      </c>
      <c r="AB661">
        <v>23</v>
      </c>
      <c r="AC661">
        <v>43.938400000000001</v>
      </c>
      <c r="AD661">
        <v>-1.1715819999999999</v>
      </c>
      <c r="AE661">
        <v>-14.3803</v>
      </c>
      <c r="AF661">
        <v>14.924167715203501</v>
      </c>
      <c r="AG661">
        <v>-1.1715819999999999</v>
      </c>
      <c r="AH661">
        <v>43.725309307705402</v>
      </c>
      <c r="AI661">
        <v>91.452581828382193</v>
      </c>
      <c r="AJ661">
        <v>71.1543823167043</v>
      </c>
      <c r="AK661">
        <v>46.216945598219198</v>
      </c>
      <c r="AL661">
        <v>79.344668018235495</v>
      </c>
      <c r="AM661">
        <v>82.010871862887598</v>
      </c>
      <c r="AN661">
        <v>0.99999994491446798</v>
      </c>
    </row>
    <row r="662" spans="1:40" x14ac:dyDescent="0.25">
      <c r="A662" t="str">
        <f>"20190303170510416"</f>
        <v>20190303170510416</v>
      </c>
      <c r="B662" t="str">
        <f>"1551603910404737"</f>
        <v>1551603910404737</v>
      </c>
      <c r="C662" t="s">
        <v>40</v>
      </c>
      <c r="D662">
        <v>5.157432</v>
      </c>
      <c r="E662">
        <v>0.57906880000000005</v>
      </c>
      <c r="F662" t="s">
        <v>43</v>
      </c>
      <c r="G662">
        <v>-290.18329999999997</v>
      </c>
      <c r="H662">
        <v>-0.05</v>
      </c>
      <c r="I662">
        <v>353.89069999999998</v>
      </c>
      <c r="J662">
        <v>-330.90159999999997</v>
      </c>
      <c r="K662">
        <v>1.12158</v>
      </c>
      <c r="L662">
        <v>367.3639</v>
      </c>
      <c r="M662">
        <v>0.9998127</v>
      </c>
      <c r="N662">
        <v>-1.467103E-2</v>
      </c>
      <c r="O662">
        <v>1.2616870000000001E-2</v>
      </c>
      <c r="P662">
        <v>0.9771128</v>
      </c>
      <c r="Q662">
        <v>0.1704185</v>
      </c>
      <c r="R662">
        <v>-0.12731049999999999</v>
      </c>
      <c r="S662">
        <v>2.960083</v>
      </c>
      <c r="T662">
        <v>-8.4695099999999995E-2</v>
      </c>
      <c r="U662">
        <v>-0.97378540000000002</v>
      </c>
      <c r="V662">
        <v>0.13963999999999999</v>
      </c>
      <c r="W662">
        <v>0.18470320000000001</v>
      </c>
      <c r="X662">
        <v>0.9728234</v>
      </c>
      <c r="Y662">
        <v>0.32427020000000001</v>
      </c>
      <c r="Z662">
        <v>-7.131259E-3</v>
      </c>
      <c r="AA662">
        <v>0.94593760000000005</v>
      </c>
      <c r="AB662">
        <v>23</v>
      </c>
      <c r="AC662">
        <v>40.718299999999999</v>
      </c>
      <c r="AD662">
        <v>-1.1715799999999901</v>
      </c>
      <c r="AE662">
        <v>-13.4732</v>
      </c>
      <c r="AF662">
        <v>13.975491984223501</v>
      </c>
      <c r="AG662">
        <v>-1.1715799999999901</v>
      </c>
      <c r="AH662">
        <v>40.514819104780102</v>
      </c>
      <c r="AI662">
        <v>91.565884207714404</v>
      </c>
      <c r="AJ662">
        <v>70.9682456533627</v>
      </c>
      <c r="AK662">
        <v>42.8735063062325</v>
      </c>
      <c r="AL662">
        <v>79.3561710266831</v>
      </c>
      <c r="AM662">
        <v>81.831505361465702</v>
      </c>
      <c r="AN662">
        <v>0.99999998463889905</v>
      </c>
    </row>
    <row r="663" spans="1:40" x14ac:dyDescent="0.25">
      <c r="A663" t="str">
        <f>"20190303170510439"</f>
        <v>20190303170510439</v>
      </c>
      <c r="B663" t="str">
        <f>"1551603910425414"</f>
        <v>1551603910425414</v>
      </c>
      <c r="C663" t="s">
        <v>40</v>
      </c>
      <c r="D663">
        <v>5.170871</v>
      </c>
      <c r="E663">
        <v>0.57921559999999905</v>
      </c>
      <c r="F663" t="s">
        <v>43</v>
      </c>
      <c r="G663">
        <v>-292.23160000000001</v>
      </c>
      <c r="H663">
        <v>-0.05</v>
      </c>
      <c r="I663">
        <v>354.47840000000002</v>
      </c>
      <c r="J663">
        <v>-330.66449999999998</v>
      </c>
      <c r="K663">
        <v>1.1215729999999999</v>
      </c>
      <c r="L663">
        <v>367.36689999999999</v>
      </c>
      <c r="M663">
        <v>0.99981299999999995</v>
      </c>
      <c r="N663">
        <v>-1.466601E-2</v>
      </c>
      <c r="O663">
        <v>1.260852E-2</v>
      </c>
      <c r="P663">
        <v>0.97672000000000003</v>
      </c>
      <c r="Q663">
        <v>0.17060610000000001</v>
      </c>
      <c r="R663">
        <v>-0.1300444</v>
      </c>
      <c r="S663">
        <v>2.9574579999999999</v>
      </c>
      <c r="T663">
        <v>-8.9601760000000003E-2</v>
      </c>
      <c r="U663">
        <v>-0.98547359999999995</v>
      </c>
      <c r="V663">
        <v>0.14236179999999901</v>
      </c>
      <c r="W663">
        <v>0.1848785</v>
      </c>
      <c r="X663">
        <v>0.97239549999999997</v>
      </c>
      <c r="Y663">
        <v>0.32785730000000002</v>
      </c>
      <c r="Z663">
        <v>-7.4952489999999998E-3</v>
      </c>
      <c r="AA663">
        <v>0.94469760000000003</v>
      </c>
      <c r="AB663">
        <v>23</v>
      </c>
      <c r="AC663">
        <v>38.432899999999897</v>
      </c>
      <c r="AD663">
        <v>-1.171573</v>
      </c>
      <c r="AE663">
        <v>-12.888499999999899</v>
      </c>
      <c r="AF663">
        <v>13.3609488114369</v>
      </c>
      <c r="AG663">
        <v>-1.171573</v>
      </c>
      <c r="AH663">
        <v>38.235383490982301</v>
      </c>
      <c r="AI663">
        <v>91.656868907227306</v>
      </c>
      <c r="AJ663">
        <v>70.738574366817502</v>
      </c>
      <c r="AK663">
        <v>40.519527232417801</v>
      </c>
      <c r="AL663">
        <v>79.345950964508603</v>
      </c>
      <c r="AM663">
        <v>81.670887361322897</v>
      </c>
      <c r="AN663">
        <v>0.99999997514086902</v>
      </c>
    </row>
    <row r="664" spans="1:40" x14ac:dyDescent="0.25">
      <c r="A664" t="str">
        <f>"20190303170510464"</f>
        <v>20190303170510464</v>
      </c>
      <c r="B664" t="str">
        <f>"1551603910454694"</f>
        <v>1551603910454694</v>
      </c>
      <c r="C664" t="s">
        <v>40</v>
      </c>
      <c r="D664">
        <v>5.1794330000000004</v>
      </c>
      <c r="E664">
        <v>0.57930590000000004</v>
      </c>
      <c r="F664" t="s">
        <v>43</v>
      </c>
      <c r="G664">
        <v>-293.5412</v>
      </c>
      <c r="H664">
        <v>-0.05</v>
      </c>
      <c r="I664">
        <v>354.88119999999998</v>
      </c>
      <c r="J664">
        <v>-330.41449999999998</v>
      </c>
      <c r="K664">
        <v>1.1215759999999999</v>
      </c>
      <c r="L664">
        <v>367.37</v>
      </c>
      <c r="M664">
        <v>0.99981330000000002</v>
      </c>
      <c r="N664">
        <v>-1.466041E-2</v>
      </c>
      <c r="O664">
        <v>1.259802E-2</v>
      </c>
      <c r="P664">
        <v>0.97656889999999996</v>
      </c>
      <c r="Q664">
        <v>0.17078779999999999</v>
      </c>
      <c r="R664">
        <v>-0.13093930000000001</v>
      </c>
      <c r="S664">
        <v>2.9554140000000002</v>
      </c>
      <c r="T664">
        <v>-9.3269820000000003E-2</v>
      </c>
      <c r="U664">
        <v>-0.99398799999999998</v>
      </c>
      <c r="V664">
        <v>0.14324410000000001</v>
      </c>
      <c r="W664">
        <v>0.1850523</v>
      </c>
      <c r="X664">
        <v>0.97223289999999996</v>
      </c>
      <c r="Y664">
        <v>0.33047290000000001</v>
      </c>
      <c r="Z664">
        <v>-7.7695269999999896E-3</v>
      </c>
      <c r="AA664">
        <v>0.9437835</v>
      </c>
      <c r="AB664">
        <v>23</v>
      </c>
      <c r="AC664">
        <v>36.873299999999901</v>
      </c>
      <c r="AD664">
        <v>-1.171576</v>
      </c>
      <c r="AE664">
        <v>-12.488799999999999</v>
      </c>
      <c r="AF664">
        <v>12.940669606538499</v>
      </c>
      <c r="AG664">
        <v>-1.171576</v>
      </c>
      <c r="AH664">
        <v>36.679803605224102</v>
      </c>
      <c r="AI664">
        <v>91.725286237424001</v>
      </c>
      <c r="AJ664">
        <v>70.567109840731206</v>
      </c>
      <c r="AK664">
        <v>38.913256259367103</v>
      </c>
      <c r="AL664">
        <v>79.335818587710605</v>
      </c>
      <c r="AM664">
        <v>81.618616154547894</v>
      </c>
      <c r="AN664">
        <v>1.0000000188812499</v>
      </c>
    </row>
    <row r="665" spans="1:40" x14ac:dyDescent="0.25">
      <c r="A665" t="str">
        <f>"20190303170510485"</f>
        <v>20190303170510485</v>
      </c>
      <c r="B665" t="str">
        <f>"1551603910475190"</f>
        <v>1551603910475190</v>
      </c>
      <c r="C665" t="s">
        <v>40</v>
      </c>
      <c r="D665">
        <v>5.1844580000000002</v>
      </c>
      <c r="E665">
        <v>0.57938710000000004</v>
      </c>
      <c r="F665" t="s">
        <v>43</v>
      </c>
      <c r="G665">
        <v>-293.71640000000002</v>
      </c>
      <c r="H665">
        <v>-0.05</v>
      </c>
      <c r="I665">
        <v>354.98340000000002</v>
      </c>
      <c r="J665">
        <v>-330.19199999999898</v>
      </c>
      <c r="K665">
        <v>1.1215729999999999</v>
      </c>
      <c r="L665">
        <v>367.37279999999998</v>
      </c>
      <c r="M665">
        <v>0.99981330000000002</v>
      </c>
      <c r="N665">
        <v>-1.465525E-2</v>
      </c>
      <c r="O665">
        <v>1.2589680000000001E-2</v>
      </c>
      <c r="P665">
        <v>0.97629600000000005</v>
      </c>
      <c r="Q665">
        <v>0.17020350000000001</v>
      </c>
      <c r="R665">
        <v>-0.1337042</v>
      </c>
      <c r="S665">
        <v>2.9547729999999999</v>
      </c>
      <c r="T665">
        <v>-9.4330310000000001E-2</v>
      </c>
      <c r="U665">
        <v>-0.99731449999999999</v>
      </c>
      <c r="V665">
        <v>0.14599670000000001</v>
      </c>
      <c r="W665">
        <v>0.1844595</v>
      </c>
      <c r="X665">
        <v>0.97193600000000002</v>
      </c>
      <c r="Y665">
        <v>0.33147589999999999</v>
      </c>
      <c r="Z665">
        <v>-7.8544169999999903E-3</v>
      </c>
      <c r="AA665">
        <v>0.94343100000000002</v>
      </c>
      <c r="AB665">
        <v>23</v>
      </c>
      <c r="AC665">
        <v>36.475599999999901</v>
      </c>
      <c r="AD665">
        <v>-1.171573</v>
      </c>
      <c r="AE665">
        <v>-12.389399999999901</v>
      </c>
      <c r="AF665">
        <v>12.8358109816647</v>
      </c>
      <c r="AG665">
        <v>-1.171573</v>
      </c>
      <c r="AH665">
        <v>36.283153412611703</v>
      </c>
      <c r="AI665">
        <v>91.743601918330299</v>
      </c>
      <c r="AJ665">
        <v>70.517860850741201</v>
      </c>
      <c r="AK665">
        <v>38.504517246869497</v>
      </c>
      <c r="AL665">
        <v>79.370377923271107</v>
      </c>
      <c r="AM665">
        <v>81.457340953880205</v>
      </c>
      <c r="AN665">
        <v>0.99999996582356898</v>
      </c>
    </row>
    <row r="666" spans="1:40" x14ac:dyDescent="0.25">
      <c r="A666" t="str">
        <f>"20190303170510505"</f>
        <v>20190303170510505</v>
      </c>
      <c r="B666" t="str">
        <f>"1551603910494710"</f>
        <v>1551603910494710</v>
      </c>
      <c r="C666" t="s">
        <v>40</v>
      </c>
      <c r="D666">
        <v>5.2167519999999996</v>
      </c>
      <c r="E666">
        <v>0.57938889999999998</v>
      </c>
      <c r="F666" t="s">
        <v>43</v>
      </c>
      <c r="G666">
        <v>-294.78320000000002</v>
      </c>
      <c r="H666">
        <v>-0.05</v>
      </c>
      <c r="I666">
        <v>355.3073</v>
      </c>
      <c r="J666">
        <v>-329.97899999999998</v>
      </c>
      <c r="K666">
        <v>1.121564</v>
      </c>
      <c r="L666">
        <v>367.37549999999999</v>
      </c>
      <c r="M666">
        <v>0.99981359999999997</v>
      </c>
      <c r="N666">
        <v>-1.465027E-2</v>
      </c>
      <c r="O666">
        <v>1.258372E-2</v>
      </c>
      <c r="P666">
        <v>0.9761898</v>
      </c>
      <c r="Q666">
        <v>0.1681839</v>
      </c>
      <c r="R666">
        <v>-0.13699639999999999</v>
      </c>
      <c r="S666">
        <v>2.9521790000000001</v>
      </c>
      <c r="T666">
        <v>-9.7679020000000005E-2</v>
      </c>
      <c r="U666">
        <v>-1.005951</v>
      </c>
      <c r="V666">
        <v>0.14928060000000001</v>
      </c>
      <c r="W666">
        <v>0.18243309999999999</v>
      </c>
      <c r="X666">
        <v>0.97181960000000001</v>
      </c>
      <c r="Y666">
        <v>0.33417909999999901</v>
      </c>
      <c r="Z666">
        <v>-8.117361E-3</v>
      </c>
      <c r="AA666">
        <v>0.94247460000000005</v>
      </c>
      <c r="AB666">
        <v>23</v>
      </c>
      <c r="AC666">
        <v>35.195799999999998</v>
      </c>
      <c r="AD666">
        <v>-1.171564</v>
      </c>
      <c r="AE666">
        <v>-12.0681999999999</v>
      </c>
      <c r="AF666">
        <v>12.4977947838461</v>
      </c>
      <c r="AG666">
        <v>-1.171564</v>
      </c>
      <c r="AH666">
        <v>35.0064260834679</v>
      </c>
      <c r="AI666">
        <v>91.805288871504303</v>
      </c>
      <c r="AJ666">
        <v>70.352708640057202</v>
      </c>
      <c r="AK666">
        <v>37.188940611457703</v>
      </c>
      <c r="AL666">
        <v>79.488486115100599</v>
      </c>
      <c r="AM666">
        <v>81.267091041579107</v>
      </c>
      <c r="AN666">
        <v>0.99999993422806199</v>
      </c>
    </row>
    <row r="667" spans="1:40" x14ac:dyDescent="0.25">
      <c r="A667" t="str">
        <f>"20190303170510529"</f>
        <v>20190303170510529</v>
      </c>
      <c r="B667" t="str">
        <f>"1551603910515206"</f>
        <v>1551603910515206</v>
      </c>
      <c r="C667" t="s">
        <v>40</v>
      </c>
      <c r="D667">
        <v>5.2133510000000003</v>
      </c>
      <c r="E667">
        <v>0.57943690000000003</v>
      </c>
      <c r="F667" t="s">
        <v>43</v>
      </c>
      <c r="G667">
        <v>-297.37529999999998</v>
      </c>
      <c r="H667">
        <v>-0.05</v>
      </c>
      <c r="I667">
        <v>356.15069999999997</v>
      </c>
      <c r="J667">
        <v>-329.7355</v>
      </c>
      <c r="K667">
        <v>1.1215550000000001</v>
      </c>
      <c r="L667">
        <v>367.3784</v>
      </c>
      <c r="M667">
        <v>0.99981370000000003</v>
      </c>
      <c r="N667">
        <v>-1.4644519999999999E-2</v>
      </c>
      <c r="O667">
        <v>1.257926E-2</v>
      </c>
      <c r="P667">
        <v>0.97618139999999998</v>
      </c>
      <c r="Q667">
        <v>0.16590959999999999</v>
      </c>
      <c r="R667">
        <v>-0.13980129999999999</v>
      </c>
      <c r="S667">
        <v>2.948944</v>
      </c>
      <c r="T667">
        <v>-0.1059659</v>
      </c>
      <c r="U667">
        <v>-1.0152589999999999</v>
      </c>
      <c r="V667">
        <v>0.15207999999999999</v>
      </c>
      <c r="W667">
        <v>0.1801527</v>
      </c>
      <c r="X667">
        <v>0.97181099999999998</v>
      </c>
      <c r="Y667">
        <v>0.33711190000000002</v>
      </c>
      <c r="Z667">
        <v>-8.6847060000000004E-3</v>
      </c>
      <c r="AA667">
        <v>0.9414245</v>
      </c>
      <c r="AB667">
        <v>23</v>
      </c>
      <c r="AC667">
        <v>32.360199999999999</v>
      </c>
      <c r="AD667">
        <v>-1.1715549999999999</v>
      </c>
      <c r="AE667">
        <v>-11.2277</v>
      </c>
      <c r="AF667">
        <v>11.6203281930333</v>
      </c>
      <c r="AG667">
        <v>-1.1715549999999999</v>
      </c>
      <c r="AH667">
        <v>32.178742849212497</v>
      </c>
      <c r="AI667">
        <v>91.961233425542403</v>
      </c>
      <c r="AJ667">
        <v>70.144428689759394</v>
      </c>
      <c r="AK667">
        <v>34.232675323257702</v>
      </c>
      <c r="AL667">
        <v>79.621345420633105</v>
      </c>
      <c r="AM667">
        <v>81.105843452712605</v>
      </c>
      <c r="AN667">
        <v>0.99999997071914404</v>
      </c>
    </row>
    <row r="668" spans="1:40" x14ac:dyDescent="0.25">
      <c r="A668" t="str">
        <f>"20190303170510541"</f>
        <v>20190303170510541</v>
      </c>
      <c r="B668" t="str">
        <f>"1551603910534726"</f>
        <v>1551603910534726</v>
      </c>
      <c r="C668" t="s">
        <v>40</v>
      </c>
      <c r="D668">
        <v>5.2332070000000002</v>
      </c>
      <c r="E668">
        <v>0.57947499999999996</v>
      </c>
      <c r="F668" t="s">
        <v>43</v>
      </c>
      <c r="G668">
        <v>-299.3186</v>
      </c>
      <c r="H668">
        <v>-0.05</v>
      </c>
      <c r="I668">
        <v>356.80509999999998</v>
      </c>
      <c r="J668">
        <v>-329.60950000000003</v>
      </c>
      <c r="K668">
        <v>1.121556</v>
      </c>
      <c r="L668">
        <v>367.38</v>
      </c>
      <c r="M668">
        <v>0.99981390000000003</v>
      </c>
      <c r="N668">
        <v>-1.464153E-2</v>
      </c>
      <c r="O668">
        <v>1.2577629999999999E-2</v>
      </c>
      <c r="P668">
        <v>0.97614250000000002</v>
      </c>
      <c r="Q668">
        <v>0.1654398</v>
      </c>
      <c r="R668">
        <v>-0.14062659999999999</v>
      </c>
      <c r="S668">
        <v>2.9458310000000001</v>
      </c>
      <c r="T668">
        <v>-0.1134633</v>
      </c>
      <c r="U668">
        <v>-1.024017</v>
      </c>
      <c r="V668">
        <v>0.15290290000000001</v>
      </c>
      <c r="W668">
        <v>0.17968039999999999</v>
      </c>
      <c r="X668">
        <v>0.97176929999999995</v>
      </c>
      <c r="Y668">
        <v>0.33987650000000003</v>
      </c>
      <c r="Z668">
        <v>-9.2090000000000002E-3</v>
      </c>
      <c r="AA668">
        <v>0.94042499999999996</v>
      </c>
      <c r="AB668">
        <v>23</v>
      </c>
      <c r="AC668">
        <v>30.290900000000001</v>
      </c>
      <c r="AD668">
        <v>-1.171556</v>
      </c>
      <c r="AE668">
        <v>-10.5749</v>
      </c>
      <c r="AF668">
        <v>10.940503917190901</v>
      </c>
      <c r="AG668">
        <v>-1.171556</v>
      </c>
      <c r="AH668">
        <v>30.115326672318801</v>
      </c>
      <c r="AI668">
        <v>92.094043997138499</v>
      </c>
      <c r="AJ668">
        <v>70.034579409168799</v>
      </c>
      <c r="AK668">
        <v>32.062440175440301</v>
      </c>
      <c r="AL668">
        <v>79.648854988870895</v>
      </c>
      <c r="AM668">
        <v>81.058115512306301</v>
      </c>
      <c r="AN668">
        <v>0.99999995769752803</v>
      </c>
    </row>
    <row r="669" spans="1:40" x14ac:dyDescent="0.25">
      <c r="A669" t="str">
        <f>"20190303170510553"</f>
        <v>20190303170510553</v>
      </c>
      <c r="B669" t="str">
        <f>"1551603910545462"</f>
        <v>1551603910545462</v>
      </c>
      <c r="C669" t="s">
        <v>40</v>
      </c>
      <c r="D669">
        <v>5.2363169999999997</v>
      </c>
      <c r="E669">
        <v>0.57948730000000004</v>
      </c>
      <c r="F669" t="s">
        <v>43</v>
      </c>
      <c r="G669">
        <v>-299.88600000000002</v>
      </c>
      <c r="H669">
        <v>-0.05</v>
      </c>
      <c r="I669">
        <v>357.01949999999999</v>
      </c>
      <c r="J669">
        <v>-329.48649999999998</v>
      </c>
      <c r="K669">
        <v>1.1215550000000001</v>
      </c>
      <c r="L669">
        <v>367.38159999999999</v>
      </c>
      <c r="M669">
        <v>0.99981390000000003</v>
      </c>
      <c r="N669">
        <v>-1.463858E-2</v>
      </c>
      <c r="O669">
        <v>1.257719E-2</v>
      </c>
      <c r="P669">
        <v>0.97606300000000001</v>
      </c>
      <c r="Q669">
        <v>0.16534389999999999</v>
      </c>
      <c r="R669">
        <v>-0.1412899</v>
      </c>
      <c r="S669">
        <v>2.9450989999999999</v>
      </c>
      <c r="T669">
        <v>-0.11608159999999999</v>
      </c>
      <c r="U669">
        <v>-1.0265500000000001</v>
      </c>
      <c r="V669">
        <v>0.15356420000000001</v>
      </c>
      <c r="W669">
        <v>0.179580399999999</v>
      </c>
      <c r="X669">
        <v>0.97168359999999998</v>
      </c>
      <c r="Y669">
        <v>0.34065620000000002</v>
      </c>
      <c r="Z669">
        <v>-9.3878639999999992E-3</v>
      </c>
      <c r="AA669">
        <v>0.94014109999999995</v>
      </c>
      <c r="AB669">
        <v>23</v>
      </c>
      <c r="AC669">
        <v>29.6005</v>
      </c>
      <c r="AD669">
        <v>-1.1715549999999999</v>
      </c>
      <c r="AE669">
        <v>-10.3620999999999</v>
      </c>
      <c r="AF669">
        <v>10.718653518538799</v>
      </c>
      <c r="AG669">
        <v>-1.1715549999999999</v>
      </c>
      <c r="AH669">
        <v>29.426753755004501</v>
      </c>
      <c r="AI669">
        <v>92.142335349800206</v>
      </c>
      <c r="AJ669">
        <v>69.985918361482803</v>
      </c>
      <c r="AK669">
        <v>31.340004960532202</v>
      </c>
      <c r="AL669">
        <v>79.654680280762904</v>
      </c>
      <c r="AM669">
        <v>81.019291949153398</v>
      </c>
      <c r="AN669">
        <v>1.0000000510473701</v>
      </c>
    </row>
    <row r="670" spans="1:40" x14ac:dyDescent="0.25">
      <c r="A670" t="str">
        <f>"20190303170510565"</f>
        <v>20190303170510565</v>
      </c>
      <c r="B670" t="str">
        <f>"1551603910555222"</f>
        <v>1551603910555222</v>
      </c>
      <c r="C670" t="s">
        <v>40</v>
      </c>
      <c r="D670">
        <v>5.2551899999999998</v>
      </c>
      <c r="E670">
        <v>0.57949879999999998</v>
      </c>
      <c r="F670" t="s">
        <v>43</v>
      </c>
      <c r="G670">
        <v>-299.80500000000001</v>
      </c>
      <c r="H670">
        <v>-0.05</v>
      </c>
      <c r="I670">
        <v>357.00540000000001</v>
      </c>
      <c r="J670">
        <v>-329.3657</v>
      </c>
      <c r="K670">
        <v>1.1215550000000001</v>
      </c>
      <c r="L670">
        <v>367.38310000000001</v>
      </c>
      <c r="M670">
        <v>0.99981370000000003</v>
      </c>
      <c r="N670">
        <v>-1.463567E-2</v>
      </c>
      <c r="O670">
        <v>1.2577039999999999E-2</v>
      </c>
      <c r="P670">
        <v>0.97595129999999997</v>
      </c>
      <c r="Q670">
        <v>0.16545399999999999</v>
      </c>
      <c r="R670">
        <v>-0.1419299</v>
      </c>
      <c r="S670">
        <v>2.9442439999999999</v>
      </c>
      <c r="T670">
        <v>-0.11621190000000001</v>
      </c>
      <c r="U670">
        <v>-1.029266</v>
      </c>
      <c r="V670">
        <v>0.15420249999999999</v>
      </c>
      <c r="W670">
        <v>0.17968599999999901</v>
      </c>
      <c r="X670">
        <v>0.97156290000000001</v>
      </c>
      <c r="Y670">
        <v>0.34151229999999999</v>
      </c>
      <c r="Z670">
        <v>-9.419406E-3</v>
      </c>
      <c r="AA670">
        <v>0.9398301</v>
      </c>
      <c r="AB670">
        <v>23</v>
      </c>
      <c r="AC670">
        <v>29.560700000000001</v>
      </c>
      <c r="AD670">
        <v>-1.1715549999999999</v>
      </c>
      <c r="AE670">
        <v>-10.377700000000001</v>
      </c>
      <c r="AF670">
        <v>10.733695332673999</v>
      </c>
      <c r="AG670">
        <v>-1.1715549999999999</v>
      </c>
      <c r="AH670">
        <v>29.3867332529422</v>
      </c>
      <c r="AI670">
        <v>92.144554873065999</v>
      </c>
      <c r="AJ670">
        <v>69.934950305736905</v>
      </c>
      <c r="AK670">
        <v>31.307584510662402</v>
      </c>
      <c r="AL670">
        <v>79.648528943645104</v>
      </c>
      <c r="AM670">
        <v>80.981473311785706</v>
      </c>
      <c r="AN670">
        <v>0.99999996912932898</v>
      </c>
    </row>
    <row r="671" spans="1:40" x14ac:dyDescent="0.25">
      <c r="A671" t="str">
        <f>"20190303170510578"</f>
        <v>20190303170510578</v>
      </c>
      <c r="B671" t="str">
        <f>"1551603910564982"</f>
        <v>1551603910564982</v>
      </c>
      <c r="C671" t="s">
        <v>40</v>
      </c>
      <c r="D671">
        <v>5.2340519999999904</v>
      </c>
      <c r="E671">
        <v>0.5794994</v>
      </c>
      <c r="F671" t="s">
        <v>43</v>
      </c>
      <c r="G671">
        <v>-299.70280000000002</v>
      </c>
      <c r="H671">
        <v>-0.05</v>
      </c>
      <c r="I671">
        <v>356.9939</v>
      </c>
      <c r="J671">
        <v>-329.23419999999999</v>
      </c>
      <c r="K671">
        <v>1.1215569999999999</v>
      </c>
      <c r="L671">
        <v>367.38470000000001</v>
      </c>
      <c r="M671">
        <v>0.99981390000000003</v>
      </c>
      <c r="N671">
        <v>-1.463249E-2</v>
      </c>
      <c r="O671">
        <v>1.2577079999999999E-2</v>
      </c>
      <c r="P671">
        <v>0.97582329999999995</v>
      </c>
      <c r="Q671">
        <v>0.1656445</v>
      </c>
      <c r="R671">
        <v>-0.14258699999999999</v>
      </c>
      <c r="S671">
        <v>2.943695</v>
      </c>
      <c r="T671">
        <v>-0.1162632</v>
      </c>
      <c r="U671">
        <v>-1.0310060000000001</v>
      </c>
      <c r="V671">
        <v>0.15485750000000001</v>
      </c>
      <c r="W671">
        <v>0.1798717</v>
      </c>
      <c r="X671">
        <v>0.97142430000000002</v>
      </c>
      <c r="Y671">
        <v>0.3420608</v>
      </c>
      <c r="Z671">
        <v>-9.4374769999999997E-3</v>
      </c>
      <c r="AA671">
        <v>0.93963039999999998</v>
      </c>
      <c r="AB671">
        <v>23</v>
      </c>
      <c r="AC671">
        <v>29.531399999999898</v>
      </c>
      <c r="AD671">
        <v>-1.171557</v>
      </c>
      <c r="AE671">
        <v>-10.3908</v>
      </c>
      <c r="AF671">
        <v>10.746386677169999</v>
      </c>
      <c r="AG671">
        <v>-1.171557</v>
      </c>
      <c r="AH671">
        <v>29.3572503512761</v>
      </c>
      <c r="AI671">
        <v>92.146157541022205</v>
      </c>
      <c r="AJ671">
        <v>69.894563592584205</v>
      </c>
      <c r="AK671">
        <v>31.2842695392909</v>
      </c>
      <c r="AL671">
        <v>79.637712399985404</v>
      </c>
      <c r="AM671">
        <v>80.942528512128405</v>
      </c>
      <c r="AN671">
        <v>0.99999992219881195</v>
      </c>
    </row>
    <row r="672" spans="1:40" x14ac:dyDescent="0.25">
      <c r="A672" t="str">
        <f>"20190303170510596"</f>
        <v>20190303170510596</v>
      </c>
      <c r="B672" t="str">
        <f>"1551603910585478"</f>
        <v>1551603910585478</v>
      </c>
      <c r="C672" t="s">
        <v>40</v>
      </c>
      <c r="D672">
        <v>5.245762</v>
      </c>
      <c r="E672">
        <v>0.57954189999999906</v>
      </c>
      <c r="F672" t="s">
        <v>43</v>
      </c>
      <c r="G672">
        <v>-299.54509999999999</v>
      </c>
      <c r="H672">
        <v>-0.05</v>
      </c>
      <c r="I672">
        <v>356.96519999999998</v>
      </c>
      <c r="J672">
        <v>-329.06029999999998</v>
      </c>
      <c r="K672">
        <v>1.1215580000000001</v>
      </c>
      <c r="L672">
        <v>367.38690000000003</v>
      </c>
      <c r="M672">
        <v>0.99981399999999998</v>
      </c>
      <c r="N672">
        <v>-1.462828E-2</v>
      </c>
      <c r="O672">
        <v>1.257748E-2</v>
      </c>
      <c r="P672">
        <v>0.9756011</v>
      </c>
      <c r="Q672">
        <v>0.16571329999999901</v>
      </c>
      <c r="R672">
        <v>-0.1440206</v>
      </c>
      <c r="S672">
        <v>2.9431150000000001</v>
      </c>
      <c r="T672">
        <v>-0.1161379</v>
      </c>
      <c r="U672">
        <v>-1.0328980000000001</v>
      </c>
      <c r="V672">
        <v>0.15628839999999999</v>
      </c>
      <c r="W672">
        <v>0.1799327</v>
      </c>
      <c r="X672">
        <v>0.97118389999999999</v>
      </c>
      <c r="Y672">
        <v>0.34265689999999999</v>
      </c>
      <c r="Z672">
        <v>-9.4459950000000004E-3</v>
      </c>
      <c r="AA672">
        <v>0.9394131</v>
      </c>
      <c r="AB672">
        <v>23</v>
      </c>
      <c r="AC672">
        <v>29.5152</v>
      </c>
      <c r="AD672">
        <v>-1.1715580000000001</v>
      </c>
      <c r="AE672">
        <v>-10.4217</v>
      </c>
      <c r="AF672">
        <v>10.777044389184899</v>
      </c>
      <c r="AG672">
        <v>-1.1715580000000001</v>
      </c>
      <c r="AH672">
        <v>29.340668662075402</v>
      </c>
      <c r="AI672">
        <v>92.146503291524596</v>
      </c>
      <c r="AJ672">
        <v>69.831343234207495</v>
      </c>
      <c r="AK672">
        <v>31.279259445382099</v>
      </c>
      <c r="AL672">
        <v>79.634160245948493</v>
      </c>
      <c r="AM672">
        <v>80.858018570572995</v>
      </c>
      <c r="AN672">
        <v>1.00000000406153</v>
      </c>
    </row>
    <row r="673" spans="1:40" x14ac:dyDescent="0.25">
      <c r="A673" t="str">
        <f>"20190303170510609"</f>
        <v>20190303170510609</v>
      </c>
      <c r="B673" t="str">
        <f>"1551603910595238"</f>
        <v>1551603910595238</v>
      </c>
      <c r="C673" t="s">
        <v>40</v>
      </c>
      <c r="D673">
        <v>5.2840189999999998</v>
      </c>
      <c r="E673">
        <v>0.57956070000000004</v>
      </c>
      <c r="F673" t="s">
        <v>43</v>
      </c>
      <c r="G673">
        <v>-299.42529999999999</v>
      </c>
      <c r="H673">
        <v>-0.05</v>
      </c>
      <c r="I673">
        <v>356.9375</v>
      </c>
      <c r="J673">
        <v>-328.91669999999999</v>
      </c>
      <c r="K673">
        <v>1.1215550000000001</v>
      </c>
      <c r="L673">
        <v>367.38869999999997</v>
      </c>
      <c r="M673">
        <v>0.99981399999999998</v>
      </c>
      <c r="N673">
        <v>-1.462479E-2</v>
      </c>
      <c r="O673">
        <v>1.257817E-2</v>
      </c>
      <c r="P673">
        <v>0.97561279999999995</v>
      </c>
      <c r="Q673">
        <v>0.1653319</v>
      </c>
      <c r="R673">
        <v>-0.14437949999999999</v>
      </c>
      <c r="S673">
        <v>2.9416500000000001</v>
      </c>
      <c r="T673">
        <v>-0.1162919</v>
      </c>
      <c r="U673">
        <v>-1.037231</v>
      </c>
      <c r="V673">
        <v>0.15664790000000001</v>
      </c>
      <c r="W673">
        <v>0.17954809999999999</v>
      </c>
      <c r="X673">
        <v>0.97119719999999998</v>
      </c>
      <c r="Y673">
        <v>0.34403250000000002</v>
      </c>
      <c r="Z673">
        <v>-9.4938550000000007E-3</v>
      </c>
      <c r="AA673">
        <v>0.93890980000000002</v>
      </c>
      <c r="AB673">
        <v>23</v>
      </c>
      <c r="AC673">
        <v>29.491399999999999</v>
      </c>
      <c r="AD673">
        <v>-1.1715549999999999</v>
      </c>
      <c r="AE673">
        <v>-10.451199999999901</v>
      </c>
      <c r="AF673">
        <v>10.8062099612093</v>
      </c>
      <c r="AG673">
        <v>-1.1715549999999999</v>
      </c>
      <c r="AH673">
        <v>29.3164929975866</v>
      </c>
      <c r="AI673">
        <v>92.147363771708001</v>
      </c>
      <c r="AJ673">
        <v>69.765854317134298</v>
      </c>
      <c r="AK673">
        <v>31.2666511881479</v>
      </c>
      <c r="AL673">
        <v>79.656561427642998</v>
      </c>
      <c r="AM673">
        <v>80.837469513426996</v>
      </c>
      <c r="AN673">
        <v>1.0000000430379199</v>
      </c>
    </row>
    <row r="674" spans="1:40" x14ac:dyDescent="0.25">
      <c r="A674" t="str">
        <f>"20190303170510630"</f>
        <v>20190303170510630</v>
      </c>
      <c r="B674" t="str">
        <f>"1551603910614758"</f>
        <v>1551603910614758</v>
      </c>
      <c r="C674" t="s">
        <v>40</v>
      </c>
      <c r="D674">
        <v>5.2609519999999996</v>
      </c>
      <c r="E674">
        <v>0.57961739999999995</v>
      </c>
      <c r="F674" t="s">
        <v>43</v>
      </c>
      <c r="G674">
        <v>-299.63189999999997</v>
      </c>
      <c r="H674">
        <v>-0.05</v>
      </c>
      <c r="I674">
        <v>357.04660000000001</v>
      </c>
      <c r="J674">
        <v>-328.71170000000001</v>
      </c>
      <c r="K674">
        <v>1.1215580000000001</v>
      </c>
      <c r="L674">
        <v>367.3913</v>
      </c>
      <c r="M674">
        <v>0.99981410000000004</v>
      </c>
      <c r="N674">
        <v>-1.461985E-2</v>
      </c>
      <c r="O674">
        <v>1.257905E-2</v>
      </c>
      <c r="P674">
        <v>0.97558869999999998</v>
      </c>
      <c r="Q674">
        <v>0.16514960000000001</v>
      </c>
      <c r="R674">
        <v>-0.14474979999999901</v>
      </c>
      <c r="S674">
        <v>2.9411930000000002</v>
      </c>
      <c r="T674">
        <v>-0.117664</v>
      </c>
      <c r="U674">
        <v>-1.0386959999999901</v>
      </c>
      <c r="V674">
        <v>0.15701860000000001</v>
      </c>
      <c r="W674">
        <v>0.1793614</v>
      </c>
      <c r="X674">
        <v>0.97117180000000003</v>
      </c>
      <c r="Y674">
        <v>0.3444875</v>
      </c>
      <c r="Z674">
        <v>-9.5895470000000003E-3</v>
      </c>
      <c r="AA674">
        <v>0.93874190000000002</v>
      </c>
      <c r="AB674">
        <v>23</v>
      </c>
      <c r="AC674">
        <v>29.079799999999999</v>
      </c>
      <c r="AD674">
        <v>-1.1715580000000001</v>
      </c>
      <c r="AE674">
        <v>-10.3446999999999</v>
      </c>
      <c r="AF674">
        <v>10.6943086157368</v>
      </c>
      <c r="AG674">
        <v>-1.1715580000000001</v>
      </c>
      <c r="AH674">
        <v>28.905711793312701</v>
      </c>
      <c r="AI674">
        <v>92.176890158913693</v>
      </c>
      <c r="AJ674">
        <v>69.696929363547895</v>
      </c>
      <c r="AK674">
        <v>30.842842916858999</v>
      </c>
      <c r="AL674">
        <v>79.667434712154801</v>
      </c>
      <c r="AM674">
        <v>80.815919766878494</v>
      </c>
      <c r="AN674">
        <v>1.00000000883558</v>
      </c>
    </row>
    <row r="675" spans="1:40" x14ac:dyDescent="0.25">
      <c r="A675" t="str">
        <f>"20190303170510652"</f>
        <v>20190303170510652</v>
      </c>
      <c r="B675" t="str">
        <f>"1551603910645014"</f>
        <v>1551603910645014</v>
      </c>
      <c r="C675" t="s">
        <v>40</v>
      </c>
      <c r="D675">
        <v>5.2910870000000001</v>
      </c>
      <c r="E675">
        <v>0.57971569999999994</v>
      </c>
      <c r="F675" t="s">
        <v>43</v>
      </c>
      <c r="G675">
        <v>-299.59660000000002</v>
      </c>
      <c r="H675">
        <v>-0.05</v>
      </c>
      <c r="I675">
        <v>357.09109999999998</v>
      </c>
      <c r="J675">
        <v>-328.48329999999999</v>
      </c>
      <c r="K675">
        <v>1.1215679999999999</v>
      </c>
      <c r="L675">
        <v>367.39420000000001</v>
      </c>
      <c r="M675">
        <v>0.99981419999999999</v>
      </c>
      <c r="N675">
        <v>-1.461441E-2</v>
      </c>
      <c r="O675">
        <v>1.257993E-2</v>
      </c>
      <c r="P675">
        <v>0.97544719999999996</v>
      </c>
      <c r="Q675">
        <v>0.166270899999999</v>
      </c>
      <c r="R675">
        <v>-0.14442060000000001</v>
      </c>
      <c r="S675">
        <v>2.9407649999999999</v>
      </c>
      <c r="T675">
        <v>-0.1183329</v>
      </c>
      <c r="U675">
        <v>-1.040375</v>
      </c>
      <c r="V675">
        <v>0.15668840000000001</v>
      </c>
      <c r="W675">
        <v>0.18047489999999999</v>
      </c>
      <c r="X675">
        <v>0.97101890000000002</v>
      </c>
      <c r="Y675">
        <v>0.34500340000000002</v>
      </c>
      <c r="Z675">
        <v>-9.6439790000000004E-3</v>
      </c>
      <c r="AA675">
        <v>0.93855189999999999</v>
      </c>
      <c r="AB675">
        <v>23</v>
      </c>
      <c r="AC675">
        <v>28.886699999999902</v>
      </c>
      <c r="AD675">
        <v>-1.1715679999999999</v>
      </c>
      <c r="AE675">
        <v>-10.303100000000001</v>
      </c>
      <c r="AF675">
        <v>10.65017460854</v>
      </c>
      <c r="AG675">
        <v>-1.1715679999999999</v>
      </c>
      <c r="AH675">
        <v>28.7128880694742</v>
      </c>
      <c r="AI675">
        <v>92.190838092906404</v>
      </c>
      <c r="AJ675">
        <v>69.6491926496915</v>
      </c>
      <c r="AK675">
        <v>30.646838859190101</v>
      </c>
      <c r="AL675">
        <v>79.602578178498007</v>
      </c>
      <c r="AM675">
        <v>80.8334865150768</v>
      </c>
      <c r="AN675">
        <v>1.0000000741908801</v>
      </c>
    </row>
    <row r="676" spans="1:40" x14ac:dyDescent="0.25">
      <c r="A676" t="str">
        <f>"20190303170510675"</f>
        <v>20190303170510675</v>
      </c>
      <c r="B676" t="str">
        <f>"1551603910665510"</f>
        <v>1551603910665510</v>
      </c>
      <c r="C676" t="s">
        <v>40</v>
      </c>
      <c r="D676">
        <v>5.3019170000000004</v>
      </c>
      <c r="E676">
        <v>0.57980469999999995</v>
      </c>
      <c r="F676" t="s">
        <v>43</v>
      </c>
      <c r="G676">
        <v>-298.43459999999999</v>
      </c>
      <c r="H676">
        <v>-0.05</v>
      </c>
      <c r="I676">
        <v>356.7715</v>
      </c>
      <c r="J676">
        <v>-328.25619999999998</v>
      </c>
      <c r="K676">
        <v>1.1215710000000001</v>
      </c>
      <c r="L676">
        <v>367.39699999999999</v>
      </c>
      <c r="M676">
        <v>0.99981419999999999</v>
      </c>
      <c r="N676">
        <v>-1.4608980000000001E-2</v>
      </c>
      <c r="O676">
        <v>1.258081E-2</v>
      </c>
      <c r="P676">
        <v>0.97545809999999999</v>
      </c>
      <c r="Q676">
        <v>0.16707830000000001</v>
      </c>
      <c r="R676">
        <v>-0.1434105</v>
      </c>
      <c r="S676">
        <v>2.9411320000000001</v>
      </c>
      <c r="T676">
        <v>-0.1146715</v>
      </c>
      <c r="U676">
        <v>-1.0397339999999999</v>
      </c>
      <c r="V676">
        <v>0.15567929999999999</v>
      </c>
      <c r="W676">
        <v>0.18127779999999999</v>
      </c>
      <c r="X676">
        <v>0.97103159999999999</v>
      </c>
      <c r="Y676">
        <v>0.34480450000000001</v>
      </c>
      <c r="Z676">
        <v>-9.4136740000000003E-3</v>
      </c>
      <c r="AA676">
        <v>0.93862730000000005</v>
      </c>
      <c r="AB676">
        <v>23</v>
      </c>
      <c r="AC676">
        <v>29.821599999999901</v>
      </c>
      <c r="AD676">
        <v>-1.1715709999999999</v>
      </c>
      <c r="AE676">
        <v>-10.625499999999899</v>
      </c>
      <c r="AF676">
        <v>10.98483478809</v>
      </c>
      <c r="AG676">
        <v>-1.1715709999999999</v>
      </c>
      <c r="AH676">
        <v>29.6449481925304</v>
      </c>
      <c r="AI676">
        <v>92.122283670288894</v>
      </c>
      <c r="AJ676">
        <v>69.667984417416505</v>
      </c>
      <c r="AK676">
        <v>31.636405093933899</v>
      </c>
      <c r="AL676">
        <v>79.555803395504896</v>
      </c>
      <c r="AM676">
        <v>80.891644832362303</v>
      </c>
      <c r="AN676">
        <v>1.00000002670994</v>
      </c>
    </row>
    <row r="677" spans="1:40" x14ac:dyDescent="0.25">
      <c r="A677" t="str">
        <f>"20190303170510696"</f>
        <v>20190303170510696</v>
      </c>
      <c r="B677" t="str">
        <f>"1551603910685029"</f>
        <v>1551603910685029</v>
      </c>
      <c r="C677" t="s">
        <v>40</v>
      </c>
      <c r="D677">
        <v>5.3026460000000002</v>
      </c>
      <c r="E677">
        <v>0.57988779999999995</v>
      </c>
      <c r="F677" t="s">
        <v>43</v>
      </c>
      <c r="G677">
        <v>-297.8886</v>
      </c>
      <c r="H677">
        <v>-0.05</v>
      </c>
      <c r="I677">
        <v>356.70150000000001</v>
      </c>
      <c r="J677">
        <v>-328.0385</v>
      </c>
      <c r="K677">
        <v>1.12157</v>
      </c>
      <c r="L677">
        <v>367.3997</v>
      </c>
      <c r="M677">
        <v>0.99981430000000004</v>
      </c>
      <c r="N677">
        <v>-1.460374E-2</v>
      </c>
      <c r="O677">
        <v>1.258133E-2</v>
      </c>
      <c r="P677">
        <v>0.9754988</v>
      </c>
      <c r="Q677">
        <v>0.16795879999999999</v>
      </c>
      <c r="R677">
        <v>-0.142098799999999</v>
      </c>
      <c r="S677">
        <v>2.9425659999999998</v>
      </c>
      <c r="T677">
        <v>-0.113523</v>
      </c>
      <c r="U677">
        <v>-1.0363770000000001</v>
      </c>
      <c r="V677">
        <v>0.1543688</v>
      </c>
      <c r="W677">
        <v>0.1821537</v>
      </c>
      <c r="X677">
        <v>0.97107690000000002</v>
      </c>
      <c r="Y677">
        <v>0.34371560000000001</v>
      </c>
      <c r="Z677">
        <v>-9.3117240000000004E-3</v>
      </c>
      <c r="AA677">
        <v>0.93902759999999996</v>
      </c>
      <c r="AB677">
        <v>23</v>
      </c>
      <c r="AC677">
        <v>30.149899999999999</v>
      </c>
      <c r="AD677">
        <v>-1.17157</v>
      </c>
      <c r="AE677">
        <v>-10.6981999999999</v>
      </c>
      <c r="AF677">
        <v>11.0618842085052</v>
      </c>
      <c r="AG677">
        <v>-1.17157</v>
      </c>
      <c r="AH677">
        <v>29.972704764826499</v>
      </c>
      <c r="AI677">
        <v>92.100106125432106</v>
      </c>
      <c r="AJ677">
        <v>69.742648016231001</v>
      </c>
      <c r="AK677">
        <v>31.970312626352701</v>
      </c>
      <c r="AL677">
        <v>79.504768286648002</v>
      </c>
      <c r="AM677">
        <v>80.967463504506696</v>
      </c>
      <c r="AN677">
        <v>1.0000000212753599</v>
      </c>
    </row>
    <row r="678" spans="1:40" x14ac:dyDescent="0.25">
      <c r="A678" t="str">
        <f>"20190303170510719"</f>
        <v>20190303170510719</v>
      </c>
      <c r="B678" t="str">
        <f>"1551603910705526"</f>
        <v>1551603910705526</v>
      </c>
      <c r="C678" t="s">
        <v>40</v>
      </c>
      <c r="D678">
        <v>5.3473350000000002</v>
      </c>
      <c r="E678">
        <v>0.58001130000000001</v>
      </c>
      <c r="F678" t="s">
        <v>43</v>
      </c>
      <c r="G678">
        <v>-296.9846</v>
      </c>
      <c r="H678">
        <v>-0.05</v>
      </c>
      <c r="I678">
        <v>356.50450000000001</v>
      </c>
      <c r="J678">
        <v>-327.81760000000003</v>
      </c>
      <c r="K678">
        <v>1.1215790000000001</v>
      </c>
      <c r="L678">
        <v>367.40249999999997</v>
      </c>
      <c r="M678">
        <v>0.99981430000000004</v>
      </c>
      <c r="N678">
        <v>-1.4598440000000001E-2</v>
      </c>
      <c r="O678">
        <v>1.25831E-2</v>
      </c>
      <c r="P678">
        <v>0.97542050000000002</v>
      </c>
      <c r="Q678">
        <v>0.16890350000000001</v>
      </c>
      <c r="R678">
        <v>-0.141515</v>
      </c>
      <c r="S678">
        <v>2.944</v>
      </c>
      <c r="T678">
        <v>-0.1110685</v>
      </c>
      <c r="U678">
        <v>-1.0328980000000001</v>
      </c>
      <c r="V678">
        <v>0.15378549999999999</v>
      </c>
      <c r="W678">
        <v>0.18309230000000001</v>
      </c>
      <c r="X678">
        <v>0.97099290000000005</v>
      </c>
      <c r="Y678">
        <v>0.34259919999999999</v>
      </c>
      <c r="Z678">
        <v>-9.1304149999999994E-3</v>
      </c>
      <c r="AA678">
        <v>0.93943730000000003</v>
      </c>
      <c r="AB678">
        <v>23</v>
      </c>
      <c r="AC678">
        <v>30.832999999999998</v>
      </c>
      <c r="AD678">
        <v>-1.1715789999999999</v>
      </c>
      <c r="AE678">
        <v>-10.8979999999999</v>
      </c>
      <c r="AF678">
        <v>11.270687453118001</v>
      </c>
      <c r="AG678">
        <v>-1.1715789999999999</v>
      </c>
      <c r="AH678">
        <v>30.6540695287141</v>
      </c>
      <c r="AI678">
        <v>92.054408541620703</v>
      </c>
      <c r="AJ678">
        <v>69.812865022911794</v>
      </c>
      <c r="AK678">
        <v>32.681385706397897</v>
      </c>
      <c r="AL678">
        <v>79.450070294903995</v>
      </c>
      <c r="AM678">
        <v>81.000268650057393</v>
      </c>
      <c r="AN678">
        <v>0.99999999108997495</v>
      </c>
    </row>
    <row r="679" spans="1:40" x14ac:dyDescent="0.25">
      <c r="A679" t="str">
        <f>"20190303170510731"</f>
        <v>20190303170510731</v>
      </c>
      <c r="B679" t="str">
        <f>"1551603910725046"</f>
        <v>1551603910725046</v>
      </c>
      <c r="C679" t="s">
        <v>40</v>
      </c>
      <c r="D679">
        <v>5.3356669999999999</v>
      </c>
      <c r="E679">
        <v>0.58403470000000002</v>
      </c>
      <c r="F679" t="s">
        <v>43</v>
      </c>
      <c r="G679">
        <v>-296.00720000000001</v>
      </c>
      <c r="H679">
        <v>-0.05</v>
      </c>
      <c r="I679">
        <v>356.2543</v>
      </c>
      <c r="J679">
        <v>-327.68720000000002</v>
      </c>
      <c r="K679">
        <v>1.1215850000000001</v>
      </c>
      <c r="L679">
        <v>367.40410000000003</v>
      </c>
      <c r="M679">
        <v>0.99981430000000004</v>
      </c>
      <c r="N679">
        <v>-1.459534E-2</v>
      </c>
      <c r="O679">
        <v>1.2586490000000001E-2</v>
      </c>
      <c r="P679">
        <v>0.97541900000000004</v>
      </c>
      <c r="Q679">
        <v>0.16934839999999901</v>
      </c>
      <c r="R679">
        <v>-0.14099229999999999</v>
      </c>
      <c r="S679">
        <v>2.9446720000000002</v>
      </c>
      <c r="T679">
        <v>-0.1084524</v>
      </c>
      <c r="U679">
        <v>-1.031982</v>
      </c>
      <c r="V679">
        <v>0.1532654</v>
      </c>
      <c r="W679">
        <v>0.18353520000000001</v>
      </c>
      <c r="X679">
        <v>0.97099150000000001</v>
      </c>
      <c r="Y679">
        <v>0.34228819999999999</v>
      </c>
      <c r="Z679">
        <v>-8.9622750000000004E-3</v>
      </c>
      <c r="AA679">
        <v>0.93955219999999995</v>
      </c>
      <c r="AB679">
        <v>23</v>
      </c>
      <c r="AC679">
        <v>31.68</v>
      </c>
      <c r="AD679">
        <v>-1.1715850000000001</v>
      </c>
      <c r="AE679">
        <v>-11.149800000000001</v>
      </c>
      <c r="AF679">
        <v>11.533663540988901</v>
      </c>
      <c r="AG679">
        <v>-1.1715850000000001</v>
      </c>
      <c r="AH679">
        <v>31.498806731183201</v>
      </c>
      <c r="AI679">
        <v>92.000345567259401</v>
      </c>
      <c r="AJ679">
        <v>69.889193270021806</v>
      </c>
      <c r="AK679">
        <v>33.564457862110601</v>
      </c>
      <c r="AL679">
        <v>79.424256370149706</v>
      </c>
      <c r="AM679">
        <v>81.030197171047504</v>
      </c>
      <c r="AN679">
        <v>0.99999997277422403</v>
      </c>
    </row>
    <row r="680" spans="1:40" x14ac:dyDescent="0.25">
      <c r="A680" t="str">
        <f>"20190303170510743"</f>
        <v>20190303170510743</v>
      </c>
      <c r="B680" t="str">
        <f>"1551603910734806"</f>
        <v>1551603910734806</v>
      </c>
      <c r="C680" t="s">
        <v>40</v>
      </c>
      <c r="D680">
        <v>5.4030760000000004</v>
      </c>
      <c r="E680">
        <v>0.58403470000000002</v>
      </c>
      <c r="F680" t="s">
        <v>43</v>
      </c>
      <c r="G680">
        <v>-297.29610000000002</v>
      </c>
      <c r="H680">
        <v>-0.05</v>
      </c>
      <c r="I680">
        <v>356.43150000000003</v>
      </c>
      <c r="J680">
        <v>-327.56220000000002</v>
      </c>
      <c r="K680">
        <v>1.1215930000000001</v>
      </c>
      <c r="L680">
        <v>367.40570000000002</v>
      </c>
      <c r="M680">
        <v>0.99981430000000004</v>
      </c>
      <c r="N680">
        <v>-1.459239E-2</v>
      </c>
      <c r="O680">
        <v>1.2591079999999999E-2</v>
      </c>
      <c r="P680">
        <v>0.97540640000000001</v>
      </c>
      <c r="Q680">
        <v>0.17007169999999999</v>
      </c>
      <c r="R680">
        <v>-0.1402071</v>
      </c>
      <c r="S680">
        <v>2.9417420000000001</v>
      </c>
      <c r="T680">
        <v>-0.11340500000000001</v>
      </c>
      <c r="U680">
        <v>-1.062103</v>
      </c>
      <c r="V680">
        <v>0.15248390000000001</v>
      </c>
      <c r="W680">
        <v>0.18425610000000001</v>
      </c>
      <c r="X680">
        <v>0.97097800000000001</v>
      </c>
      <c r="Y680">
        <v>0.3510762</v>
      </c>
      <c r="Z680">
        <v>-9.4915390000000002E-3</v>
      </c>
      <c r="AA680">
        <v>0.93629879999999999</v>
      </c>
      <c r="AB680">
        <v>23</v>
      </c>
      <c r="AC680">
        <v>30.266099999999899</v>
      </c>
      <c r="AD680">
        <v>-1.1715930000000001</v>
      </c>
      <c r="AE680">
        <v>-10.9741999999999</v>
      </c>
      <c r="AF680">
        <v>11.3394361496965</v>
      </c>
      <c r="AG680">
        <v>-1.1715930000000001</v>
      </c>
      <c r="AH680">
        <v>30.0856651277957</v>
      </c>
      <c r="AI680">
        <v>92.086909970544696</v>
      </c>
      <c r="AJ680">
        <v>69.348325406524296</v>
      </c>
      <c r="AK680">
        <v>32.173011803879298</v>
      </c>
      <c r="AL680">
        <v>79.382235100311902</v>
      </c>
      <c r="AM680">
        <v>81.075074010518307</v>
      </c>
      <c r="AN680">
        <v>0.99999996331520902</v>
      </c>
    </row>
    <row r="681" spans="1:40" x14ac:dyDescent="0.25">
      <c r="A681" t="str">
        <f>"20190303170510756"</f>
        <v>20190303170510756</v>
      </c>
      <c r="B681" t="str">
        <f>"1551603910745542"</f>
        <v>1551603910745542</v>
      </c>
      <c r="C681" t="s">
        <v>40</v>
      </c>
      <c r="D681">
        <v>5.4909939999999997</v>
      </c>
      <c r="E681">
        <v>0.55600169999999904</v>
      </c>
      <c r="F681" t="s">
        <v>43</v>
      </c>
      <c r="G681">
        <v>-296.50599999999997</v>
      </c>
      <c r="H681">
        <v>-0.05</v>
      </c>
      <c r="I681">
        <v>356.22129999999999</v>
      </c>
      <c r="J681">
        <v>-327.43200000000002</v>
      </c>
      <c r="K681">
        <v>1.121599</v>
      </c>
      <c r="L681">
        <v>367.4074</v>
      </c>
      <c r="M681">
        <v>0.99981419999999999</v>
      </c>
      <c r="N681">
        <v>-1.4589299999999999E-2</v>
      </c>
      <c r="O681">
        <v>1.260004E-2</v>
      </c>
      <c r="P681">
        <v>0.97544120000000001</v>
      </c>
      <c r="Q681">
        <v>0.17098820000000001</v>
      </c>
      <c r="R681">
        <v>-0.1388443</v>
      </c>
      <c r="S681">
        <v>2.9426570000000001</v>
      </c>
      <c r="T681">
        <v>-0.1110117</v>
      </c>
      <c r="U681">
        <v>-1.0597529999999999</v>
      </c>
      <c r="V681">
        <v>0.1511287</v>
      </c>
      <c r="W681">
        <v>0.1851718</v>
      </c>
      <c r="X681">
        <v>0.97101570000000004</v>
      </c>
      <c r="Y681">
        <v>0.3503424</v>
      </c>
      <c r="Z681">
        <v>-9.3225070000000007E-3</v>
      </c>
      <c r="AA681">
        <v>0.9365753</v>
      </c>
      <c r="AB681">
        <v>22</v>
      </c>
      <c r="AC681">
        <v>30.925999999999998</v>
      </c>
      <c r="AD681">
        <v>-1.1715990000000001</v>
      </c>
      <c r="AE681">
        <v>-11.1861</v>
      </c>
      <c r="AF681">
        <v>11.5602504339461</v>
      </c>
      <c r="AG681">
        <v>-1.1715990000000001</v>
      </c>
      <c r="AH681">
        <v>30.7435659630451</v>
      </c>
      <c r="AI681">
        <v>92.042893877043397</v>
      </c>
      <c r="AJ681">
        <v>69.392646002360294</v>
      </c>
      <c r="AK681">
        <v>32.8660749472227</v>
      </c>
      <c r="AL681">
        <v>79.328850959491803</v>
      </c>
      <c r="AM681">
        <v>81.153472073587494</v>
      </c>
      <c r="AN681">
        <v>0.999999984562709</v>
      </c>
    </row>
    <row r="682" spans="1:40" x14ac:dyDescent="0.25">
      <c r="A682" t="str">
        <f>"20190303170510774"</f>
        <v>20190303170510774</v>
      </c>
      <c r="B682" t="str">
        <f>"1551603910765062"</f>
        <v>1551603910765062</v>
      </c>
      <c r="C682" t="s">
        <v>40</v>
      </c>
      <c r="D682">
        <v>5.5544460000000004</v>
      </c>
      <c r="E682">
        <v>0.54647009999999996</v>
      </c>
      <c r="F682" t="s">
        <v>43</v>
      </c>
      <c r="G682">
        <v>-312.50200000000001</v>
      </c>
      <c r="H682">
        <v>-0.05</v>
      </c>
      <c r="I682">
        <v>363.28199999999998</v>
      </c>
      <c r="J682">
        <v>-327.2552</v>
      </c>
      <c r="K682">
        <v>1.1216060000000001</v>
      </c>
      <c r="L682">
        <v>367.40960000000001</v>
      </c>
      <c r="M682">
        <v>0.99981419999999999</v>
      </c>
      <c r="N682">
        <v>-1.458511E-2</v>
      </c>
      <c r="O682">
        <v>1.2616560000000001E-2</v>
      </c>
      <c r="P682">
        <v>0.97586580000000001</v>
      </c>
      <c r="Q682">
        <v>0.17210449999999999</v>
      </c>
      <c r="R682">
        <v>-0.13441239999999999</v>
      </c>
      <c r="S682">
        <v>2.99884</v>
      </c>
      <c r="T682">
        <v>-0.23532710000000001</v>
      </c>
      <c r="U682">
        <v>-0.8286133</v>
      </c>
      <c r="V682">
        <v>0.14671600000000001</v>
      </c>
      <c r="W682">
        <v>0.1862926</v>
      </c>
      <c r="X682">
        <v>0.97147799999999995</v>
      </c>
      <c r="Y682">
        <v>0.27749829999999998</v>
      </c>
      <c r="Z682">
        <v>-1.35272E-2</v>
      </c>
      <c r="AA682">
        <v>0.96063089999999995</v>
      </c>
      <c r="AB682">
        <v>22</v>
      </c>
      <c r="AC682">
        <v>14.7531999999999</v>
      </c>
      <c r="AD682">
        <v>-1.1716059999999999</v>
      </c>
      <c r="AE682">
        <v>-4.1276000000000197</v>
      </c>
      <c r="AF682">
        <v>4.2883444614675001</v>
      </c>
      <c r="AG682">
        <v>-1.1716059999999999</v>
      </c>
      <c r="AH682">
        <v>14.614467866697799</v>
      </c>
      <c r="AI682">
        <v>94.398772173741904</v>
      </c>
      <c r="AJ682">
        <v>73.646652437766306</v>
      </c>
      <c r="AK682">
        <v>15.2756417170009</v>
      </c>
      <c r="AL682">
        <v>79.263496994178695</v>
      </c>
      <c r="AM682">
        <v>81.411891650491697</v>
      </c>
      <c r="AN682">
        <v>1.0000000109773799</v>
      </c>
    </row>
    <row r="683" spans="1:40" x14ac:dyDescent="0.25">
      <c r="A683" t="str">
        <f>"20190303170510788"</f>
        <v>20190303170510788</v>
      </c>
      <c r="B683" t="str">
        <f>"1551603910774822"</f>
        <v>1551603910774822</v>
      </c>
      <c r="C683" t="s">
        <v>40</v>
      </c>
      <c r="D683">
        <v>5.4713690000000001</v>
      </c>
      <c r="E683">
        <v>0.47484029999999999</v>
      </c>
      <c r="F683" t="s">
        <v>43</v>
      </c>
      <c r="G683">
        <v>-307.8288</v>
      </c>
      <c r="H683">
        <v>-0.05</v>
      </c>
      <c r="I683">
        <v>362.61090000000002</v>
      </c>
      <c r="J683">
        <v>-327.12049999999999</v>
      </c>
      <c r="K683">
        <v>1.1216140000000001</v>
      </c>
      <c r="L683">
        <v>367.41129999999998</v>
      </c>
      <c r="M683">
        <v>0.99981399999999998</v>
      </c>
      <c r="N683">
        <v>-1.458191E-2</v>
      </c>
      <c r="O683">
        <v>1.263277E-2</v>
      </c>
      <c r="P683">
        <v>0.97616729999999996</v>
      </c>
      <c r="Q683">
        <v>0.17229159999999999</v>
      </c>
      <c r="R683">
        <v>-0.13196079999999999</v>
      </c>
      <c r="S683">
        <v>3.0039370000000001</v>
      </c>
      <c r="T683">
        <v>-0.18116760000000001</v>
      </c>
      <c r="U683">
        <v>-0.74203490000000005</v>
      </c>
      <c r="V683">
        <v>0.14428179999999999</v>
      </c>
      <c r="W683">
        <v>0.18648329999999999</v>
      </c>
      <c r="X683">
        <v>0.9718059</v>
      </c>
      <c r="Y683">
        <v>0.25150589999999901</v>
      </c>
      <c r="Z683">
        <v>-9.8972450000000007E-3</v>
      </c>
      <c r="AA683">
        <v>0.96780509999999997</v>
      </c>
      <c r="AB683">
        <v>22</v>
      </c>
      <c r="AC683">
        <v>19.291699999999899</v>
      </c>
      <c r="AD683">
        <v>-1.1716139999999999</v>
      </c>
      <c r="AE683">
        <v>-4.8003999999999598</v>
      </c>
      <c r="AF683">
        <v>5.02629273338954</v>
      </c>
      <c r="AG683">
        <v>-1.1716139999999999</v>
      </c>
      <c r="AH683">
        <v>19.162953549607899</v>
      </c>
      <c r="AI683">
        <v>93.384476855854203</v>
      </c>
      <c r="AJ683">
        <v>75.302836647347902</v>
      </c>
      <c r="AK683">
        <v>19.845782593567598</v>
      </c>
      <c r="AL683">
        <v>79.252375501064293</v>
      </c>
      <c r="AM683">
        <v>81.555115289043201</v>
      </c>
      <c r="AN683">
        <v>0.99999998313246996</v>
      </c>
    </row>
    <row r="684" spans="1:40" x14ac:dyDescent="0.25">
      <c r="A684" t="str">
        <f>"20190303170510808"</f>
        <v>20190303170510808</v>
      </c>
      <c r="B684" t="str">
        <f>"1551603910795317"</f>
        <v>1551603910795317</v>
      </c>
      <c r="C684" t="s">
        <v>40</v>
      </c>
      <c r="D684">
        <v>5.5095239999999999</v>
      </c>
      <c r="E684">
        <v>0.45745330000000001</v>
      </c>
      <c r="F684" t="s">
        <v>41</v>
      </c>
      <c r="G684">
        <v>-274.84120000000001</v>
      </c>
      <c r="H684" s="1">
        <v>-3.110204E-6</v>
      </c>
      <c r="I684">
        <v>364.47269999999997</v>
      </c>
      <c r="J684">
        <v>-326.92469999999997</v>
      </c>
      <c r="K684">
        <v>1.121624</v>
      </c>
      <c r="L684">
        <v>367.41390000000001</v>
      </c>
      <c r="M684">
        <v>0.99981359999999997</v>
      </c>
      <c r="N684">
        <v>-1.457723E-2</v>
      </c>
      <c r="O684">
        <v>1.2661530000000001E-2</v>
      </c>
      <c r="P684">
        <v>0.97672440000000005</v>
      </c>
      <c r="Q684">
        <v>0.17305139999999999</v>
      </c>
      <c r="R684">
        <v>-0.12673869999999901</v>
      </c>
      <c r="S684">
        <v>3.0616460000000001</v>
      </c>
      <c r="T684">
        <v>-6.5685389999999996E-2</v>
      </c>
      <c r="U684">
        <v>-0.17208860000000001</v>
      </c>
      <c r="V684">
        <v>0.1390922</v>
      </c>
      <c r="W684">
        <v>0.18724959999999999</v>
      </c>
      <c r="X684">
        <v>0.97241500000000003</v>
      </c>
      <c r="Y684">
        <v>6.8730910000000006E-2</v>
      </c>
      <c r="Z684">
        <v>-1.325094E-3</v>
      </c>
      <c r="AA684">
        <v>0.99763440000000003</v>
      </c>
      <c r="AB684">
        <v>22</v>
      </c>
      <c r="AC684">
        <v>52.083499999999901</v>
      </c>
      <c r="AD684">
        <v>-1.1216271102040001</v>
      </c>
      <c r="AE684">
        <v>-2.94120000000003</v>
      </c>
      <c r="AF684">
        <v>3.59882734248241</v>
      </c>
      <c r="AG684">
        <v>-1.1216271102040001</v>
      </c>
      <c r="AH684">
        <v>52.0180326461061</v>
      </c>
      <c r="AI684">
        <v>91.232291205925506</v>
      </c>
      <c r="AJ684">
        <v>86.042342170993606</v>
      </c>
      <c r="AK684">
        <v>52.154437260761497</v>
      </c>
      <c r="AL684">
        <v>79.207682592887593</v>
      </c>
      <c r="AM684">
        <v>81.859748386587796</v>
      </c>
      <c r="AN684">
        <v>0.99999999251299998</v>
      </c>
    </row>
    <row r="685" spans="1:40" x14ac:dyDescent="0.25">
      <c r="A685" t="str">
        <f>"20190303170510830"</f>
        <v>20190303170510830</v>
      </c>
      <c r="B685" t="str">
        <f>"1551603910825575"</f>
        <v>1551603910825575</v>
      </c>
      <c r="C685" t="s">
        <v>40</v>
      </c>
      <c r="D685">
        <v>5.5078319999999996</v>
      </c>
      <c r="E685">
        <v>0.44579170000000001</v>
      </c>
      <c r="F685" t="s">
        <v>41</v>
      </c>
      <c r="G685">
        <v>-219.6</v>
      </c>
      <c r="H685" s="1">
        <v>-8.8906899999999998E-7</v>
      </c>
      <c r="I685">
        <v>366.73430000000002</v>
      </c>
      <c r="J685">
        <v>-326.69659999999999</v>
      </c>
      <c r="K685">
        <v>1.1216330000000001</v>
      </c>
      <c r="L685">
        <v>367.41680000000002</v>
      </c>
      <c r="M685">
        <v>0.99981310000000001</v>
      </c>
      <c r="N685">
        <v>-1.4571779999999999E-2</v>
      </c>
      <c r="O685">
        <v>1.270173E-2</v>
      </c>
      <c r="P685">
        <v>0.97727750000000002</v>
      </c>
      <c r="Q685">
        <v>0.17415169999999999</v>
      </c>
      <c r="R685">
        <v>-0.1208304</v>
      </c>
      <c r="S685">
        <v>3.074646</v>
      </c>
      <c r="T685">
        <v>-3.2132389999999997E-2</v>
      </c>
      <c r="U685">
        <v>-1.9470210000000002E-2</v>
      </c>
      <c r="V685">
        <v>0.13322790000000001</v>
      </c>
      <c r="W685">
        <v>0.18835540000000001</v>
      </c>
      <c r="X685">
        <v>0.97302239999999995</v>
      </c>
      <c r="Y685">
        <v>1.90321E-2</v>
      </c>
      <c r="Z685">
        <v>-1.857676E-4</v>
      </c>
      <c r="AA685">
        <v>0.99981889999999995</v>
      </c>
      <c r="AB685">
        <v>22</v>
      </c>
      <c r="AC685">
        <v>107.0966</v>
      </c>
      <c r="AD685">
        <v>-1.1216338890690001</v>
      </c>
      <c r="AE685">
        <v>-0.68250000000000399</v>
      </c>
      <c r="AF685">
        <v>2.0426774934680698</v>
      </c>
      <c r="AG685">
        <v>-1.1216338890690001</v>
      </c>
      <c r="AH685">
        <v>107.067545480427</v>
      </c>
      <c r="AI685">
        <v>90.600096375404803</v>
      </c>
      <c r="AJ685">
        <v>88.907020778672603</v>
      </c>
      <c r="AK685">
        <v>107.09290307544499</v>
      </c>
      <c r="AL685">
        <v>79.143177355730302</v>
      </c>
      <c r="AM685">
        <v>82.203444265406404</v>
      </c>
      <c r="AN685">
        <v>1.00000001047466</v>
      </c>
    </row>
    <row r="686" spans="1:40" x14ac:dyDescent="0.25">
      <c r="A686" t="str">
        <f>"20190303170510844"</f>
        <v>20190303170510844</v>
      </c>
      <c r="B686" t="str">
        <f>"1551603910835334"</f>
        <v>1551603910835334</v>
      </c>
      <c r="C686" t="s">
        <v>40</v>
      </c>
      <c r="D686">
        <v>5.4980339999999996</v>
      </c>
      <c r="E686">
        <v>0.44411600000000001</v>
      </c>
      <c r="F686" t="s">
        <v>47</v>
      </c>
      <c r="G686">
        <v>-158.19499999999999</v>
      </c>
      <c r="H686">
        <v>0.62327480000000002</v>
      </c>
      <c r="I686">
        <v>372.34640000000002</v>
      </c>
      <c r="J686">
        <v>-326.56259999999997</v>
      </c>
      <c r="K686">
        <v>1.121634</v>
      </c>
      <c r="L686">
        <v>367.41860000000003</v>
      </c>
      <c r="M686">
        <v>0.99981299999999995</v>
      </c>
      <c r="N686">
        <v>-1.4568559999999999E-2</v>
      </c>
      <c r="O686">
        <v>1.27276E-2</v>
      </c>
      <c r="P686">
        <v>0.97750139999999996</v>
      </c>
      <c r="Q686">
        <v>0.1750024</v>
      </c>
      <c r="R686">
        <v>-0.1177525</v>
      </c>
      <c r="S686">
        <v>3.0825200000000001</v>
      </c>
      <c r="T686">
        <v>-9.1152190000000008E-3</v>
      </c>
      <c r="U686">
        <v>9.017944E-2</v>
      </c>
      <c r="V686">
        <v>0.1301773</v>
      </c>
      <c r="W686">
        <v>0.18920719999999999</v>
      </c>
      <c r="X686">
        <v>0.97326999999999997</v>
      </c>
      <c r="Y686">
        <v>-1.6517150000000001E-2</v>
      </c>
      <c r="Z686">
        <v>2.9254630000000002E-4</v>
      </c>
      <c r="AA686">
        <v>0.99986359999999996</v>
      </c>
      <c r="AB686">
        <v>22</v>
      </c>
      <c r="AC686">
        <v>168.36759999999899</v>
      </c>
      <c r="AD686">
        <v>-0.4983592</v>
      </c>
      <c r="AE686">
        <v>4.9277999999999897</v>
      </c>
      <c r="AF686">
        <v>-2.7842337727810702</v>
      </c>
      <c r="AG686">
        <v>-0.4983592</v>
      </c>
      <c r="AH686">
        <v>168.415210915274</v>
      </c>
      <c r="AI686">
        <v>90.169520877648296</v>
      </c>
      <c r="AJ686">
        <v>90.947125338946194</v>
      </c>
      <c r="AK686">
        <v>168.43896101326999</v>
      </c>
      <c r="AL686">
        <v>79.093479006502804</v>
      </c>
      <c r="AM686">
        <v>82.381760699246598</v>
      </c>
      <c r="AN686">
        <v>0.99999999343356405</v>
      </c>
    </row>
    <row r="687" spans="1:40" x14ac:dyDescent="0.25">
      <c r="A687" t="str">
        <f>"20190303170510857"</f>
        <v>20190303170510857</v>
      </c>
      <c r="B687" t="str">
        <f>"1551603910845095"</f>
        <v>1551603910845095</v>
      </c>
      <c r="C687" t="s">
        <v>40</v>
      </c>
      <c r="D687">
        <v>5.5145099999999996</v>
      </c>
      <c r="E687">
        <v>0.44304110000000002</v>
      </c>
      <c r="F687" t="s">
        <v>47</v>
      </c>
      <c r="G687">
        <v>-158.19499999999999</v>
      </c>
      <c r="H687">
        <v>0.85161640000000005</v>
      </c>
      <c r="I687">
        <v>373.58730000000003</v>
      </c>
      <c r="J687">
        <v>-326.42720000000003</v>
      </c>
      <c r="K687">
        <v>1.121637</v>
      </c>
      <c r="L687">
        <v>367.42039999999997</v>
      </c>
      <c r="M687">
        <v>0.99981260000000005</v>
      </c>
      <c r="N687">
        <v>-1.456529E-2</v>
      </c>
      <c r="O687">
        <v>1.2757080000000001E-2</v>
      </c>
      <c r="P687">
        <v>0.97784409999999999</v>
      </c>
      <c r="Q687">
        <v>0.17540500000000001</v>
      </c>
      <c r="R687">
        <v>-0.1142546</v>
      </c>
      <c r="S687">
        <v>3.0835569999999999</v>
      </c>
      <c r="T687">
        <v>-4.9436089999999999E-3</v>
      </c>
      <c r="U687">
        <v>0.1129761</v>
      </c>
      <c r="V687">
        <v>0.12671260000000001</v>
      </c>
      <c r="W687">
        <v>0.18961220000000001</v>
      </c>
      <c r="X687">
        <v>0.97364839999999997</v>
      </c>
      <c r="Y687">
        <v>-2.3861569999999999E-2</v>
      </c>
      <c r="Z687">
        <v>3.5829500000000001E-4</v>
      </c>
      <c r="AA687">
        <v>0.99971520000000003</v>
      </c>
      <c r="AB687">
        <v>22</v>
      </c>
      <c r="AC687">
        <v>168.23220000000001</v>
      </c>
      <c r="AD687">
        <v>-0.270020599999999</v>
      </c>
      <c r="AE687">
        <v>6.1669000000000498</v>
      </c>
      <c r="AF687">
        <v>-4.0200085350044201</v>
      </c>
      <c r="AG687">
        <v>-0.270020599999999</v>
      </c>
      <c r="AH687">
        <v>168.296754223432</v>
      </c>
      <c r="AI687">
        <v>90.091900856120105</v>
      </c>
      <c r="AJ687">
        <v>91.368331391743993</v>
      </c>
      <c r="AK687">
        <v>168.344975754812</v>
      </c>
      <c r="AL687">
        <v>79.0698469160955</v>
      </c>
      <c r="AM687">
        <v>82.585084340302799</v>
      </c>
      <c r="AN687">
        <v>1.00000003810507</v>
      </c>
    </row>
    <row r="688" spans="1:40" x14ac:dyDescent="0.25">
      <c r="A688" t="str">
        <f>"20190303170510876"</f>
        <v>20190303170510876</v>
      </c>
      <c r="B688" t="str">
        <f>"1551603910865592"</f>
        <v>1551603910865592</v>
      </c>
      <c r="C688" t="s">
        <v>40</v>
      </c>
      <c r="D688">
        <v>5.4860480000000003</v>
      </c>
      <c r="E688">
        <v>0.44156260000000003</v>
      </c>
      <c r="F688" t="s">
        <v>47</v>
      </c>
      <c r="G688">
        <v>-158.19499999999999</v>
      </c>
      <c r="H688">
        <v>0.95163770000000003</v>
      </c>
      <c r="I688">
        <v>374.64530000000002</v>
      </c>
      <c r="J688">
        <v>-326.24740000000003</v>
      </c>
      <c r="K688">
        <v>1.1216410000000001</v>
      </c>
      <c r="L688">
        <v>367.42270000000002</v>
      </c>
      <c r="M688">
        <v>0.99981220000000004</v>
      </c>
      <c r="N688">
        <v>-1.456094E-2</v>
      </c>
      <c r="O688">
        <v>1.279752E-2</v>
      </c>
      <c r="P688">
        <v>0.9785336</v>
      </c>
      <c r="Q688">
        <v>0.1764105</v>
      </c>
      <c r="R688">
        <v>-0.10654569999999999</v>
      </c>
      <c r="S688">
        <v>3.084015</v>
      </c>
      <c r="T688">
        <v>-3.1148199999999999E-3</v>
      </c>
      <c r="U688">
        <v>0.13244629999999999</v>
      </c>
      <c r="V688">
        <v>0.1190524</v>
      </c>
      <c r="W688">
        <v>0.1906243</v>
      </c>
      <c r="X688">
        <v>0.97441719999999998</v>
      </c>
      <c r="Y688">
        <v>-3.0116850000000001E-2</v>
      </c>
      <c r="Z688">
        <v>4.0794710000000001E-4</v>
      </c>
      <c r="AA688">
        <v>0.9995463</v>
      </c>
      <c r="AB688">
        <v>22</v>
      </c>
      <c r="AC688">
        <v>168.05240000000001</v>
      </c>
      <c r="AD688">
        <v>-0.170003299999999</v>
      </c>
      <c r="AE688">
        <v>7.2225999999999999</v>
      </c>
      <c r="AF688">
        <v>-5.0711214965591997</v>
      </c>
      <c r="AG688">
        <v>-0.170003299999999</v>
      </c>
      <c r="AH688">
        <v>168.130904420132</v>
      </c>
      <c r="AI688">
        <v>90.0579075020663</v>
      </c>
      <c r="AJ688">
        <v>91.727616939962701</v>
      </c>
      <c r="AK688">
        <v>168.20744988105099</v>
      </c>
      <c r="AL688">
        <v>79.010780007553805</v>
      </c>
      <c r="AM688">
        <v>83.034236519858297</v>
      </c>
      <c r="AN688">
        <v>0.999999988676044</v>
      </c>
    </row>
    <row r="689" spans="1:40" x14ac:dyDescent="0.25">
      <c r="A689" t="str">
        <f>"20190303170510897"</f>
        <v>20190303170510897</v>
      </c>
      <c r="B689" t="str">
        <f>"1551603910885111"</f>
        <v>1551603910885111</v>
      </c>
      <c r="C689" t="s">
        <v>40</v>
      </c>
      <c r="D689">
        <v>5.4727079999999999</v>
      </c>
      <c r="E689">
        <v>0.44097180000000002</v>
      </c>
      <c r="F689" t="s">
        <v>47</v>
      </c>
      <c r="G689">
        <v>-158.19499999999999</v>
      </c>
      <c r="H689">
        <v>1.137969</v>
      </c>
      <c r="I689">
        <v>376.57400000000001</v>
      </c>
      <c r="J689">
        <v>-326.03559999999999</v>
      </c>
      <c r="K689">
        <v>1.1216440000000001</v>
      </c>
      <c r="L689">
        <v>367.4255</v>
      </c>
      <c r="M689">
        <v>0.99981149999999996</v>
      </c>
      <c r="N689">
        <v>-1.455594E-2</v>
      </c>
      <c r="O689">
        <v>1.284659E-2</v>
      </c>
      <c r="P689">
        <v>0.97924630000000001</v>
      </c>
      <c r="Q689">
        <v>0.17719260000000001</v>
      </c>
      <c r="R689">
        <v>-9.8384819999999998E-2</v>
      </c>
      <c r="S689">
        <v>3.084015</v>
      </c>
      <c r="T689">
        <v>3.0124189999999998E-4</v>
      </c>
      <c r="U689">
        <v>0.16793820000000001</v>
      </c>
      <c r="V689">
        <v>0.1109499</v>
      </c>
      <c r="W689">
        <v>0.191413</v>
      </c>
      <c r="X689">
        <v>0.97521849999999999</v>
      </c>
      <c r="Y689">
        <v>-4.1541830000000002E-2</v>
      </c>
      <c r="Z689">
        <v>4.8869210000000002E-4</v>
      </c>
      <c r="AA689">
        <v>0.99913660000000004</v>
      </c>
      <c r="AB689">
        <v>22</v>
      </c>
      <c r="AC689">
        <v>167.84059999999999</v>
      </c>
      <c r="AD689">
        <v>1.6324999999999899E-2</v>
      </c>
      <c r="AE689">
        <v>9.1485000000000092</v>
      </c>
      <c r="AF689">
        <v>-6.9913369431099204</v>
      </c>
      <c r="AG689">
        <v>1.6324999999999899E-2</v>
      </c>
      <c r="AH689">
        <v>167.94428461649599</v>
      </c>
      <c r="AI689">
        <v>89.994435391572296</v>
      </c>
      <c r="AJ689">
        <v>92.383784285733995</v>
      </c>
      <c r="AK689">
        <v>168.08974327454999</v>
      </c>
      <c r="AL689">
        <v>78.964742909078794</v>
      </c>
      <c r="AM689">
        <v>83.509408342224106</v>
      </c>
      <c r="AN689">
        <v>0.999999969810629</v>
      </c>
    </row>
    <row r="690" spans="1:40" x14ac:dyDescent="0.25">
      <c r="A690" t="str">
        <f>"20190303170510920"</f>
        <v>20190303170510920</v>
      </c>
      <c r="B690" t="str">
        <f>"1551603910915368"</f>
        <v>1551603910915368</v>
      </c>
      <c r="C690" t="s">
        <v>40</v>
      </c>
      <c r="D690">
        <v>5.4622859999999998</v>
      </c>
      <c r="E690">
        <v>0.44115070000000001</v>
      </c>
      <c r="F690" t="s">
        <v>47</v>
      </c>
      <c r="G690">
        <v>-158.19499999999999</v>
      </c>
      <c r="H690">
        <v>1.1335740000000001</v>
      </c>
      <c r="I690">
        <v>378.22640000000001</v>
      </c>
      <c r="J690">
        <v>-325.81560000000002</v>
      </c>
      <c r="K690">
        <v>1.12165</v>
      </c>
      <c r="L690">
        <v>367.42849999999999</v>
      </c>
      <c r="M690">
        <v>0.99981109999999895</v>
      </c>
      <c r="N690">
        <v>-1.4550540000000001E-2</v>
      </c>
      <c r="O690">
        <v>1.289702E-2</v>
      </c>
      <c r="P690">
        <v>0.97989059999999994</v>
      </c>
      <c r="Q690">
        <v>0.17690929999999999</v>
      </c>
      <c r="R690">
        <v>-9.2291239999999997E-2</v>
      </c>
      <c r="S690">
        <v>3.0834350000000001</v>
      </c>
      <c r="T690">
        <v>2.207756E-4</v>
      </c>
      <c r="U690">
        <v>0.1984253</v>
      </c>
      <c r="V690">
        <v>0.1049152</v>
      </c>
      <c r="W690">
        <v>0.19113450000000001</v>
      </c>
      <c r="X690">
        <v>0.97594080000000005</v>
      </c>
      <c r="Y690">
        <v>-5.1343479999999997E-2</v>
      </c>
      <c r="Z690">
        <v>5.605276E-4</v>
      </c>
      <c r="AA690">
        <v>0.99868089999999998</v>
      </c>
      <c r="AB690">
        <v>22</v>
      </c>
      <c r="AC690">
        <v>167.6206</v>
      </c>
      <c r="AD690">
        <v>1.1924000000000001E-2</v>
      </c>
      <c r="AE690">
        <v>10.7979</v>
      </c>
      <c r="AF690">
        <v>-8.6349669014947992</v>
      </c>
      <c r="AG690">
        <v>1.1924000000000001E-2</v>
      </c>
      <c r="AH690">
        <v>167.74593065411901</v>
      </c>
      <c r="AI690">
        <v>89.995932589885996</v>
      </c>
      <c r="AJ690">
        <v>92.946782990556699</v>
      </c>
      <c r="AK690">
        <v>167.96803281156801</v>
      </c>
      <c r="AL690">
        <v>78.981000509911993</v>
      </c>
      <c r="AM690">
        <v>83.864175889090106</v>
      </c>
      <c r="AN690">
        <v>1.00000002069296</v>
      </c>
    </row>
    <row r="691" spans="1:40" x14ac:dyDescent="0.25">
      <c r="A691" t="str">
        <f>"20190303170510932"</f>
        <v>20190303170510932</v>
      </c>
      <c r="B691" t="str">
        <f>"1551603910925127"</f>
        <v>1551603910925127</v>
      </c>
      <c r="C691" t="s">
        <v>40</v>
      </c>
      <c r="D691">
        <v>5.4970739999999996</v>
      </c>
      <c r="E691">
        <v>0.44130380000000002</v>
      </c>
      <c r="F691" t="s">
        <v>47</v>
      </c>
      <c r="G691">
        <v>-158.19499999999999</v>
      </c>
      <c r="H691">
        <v>0.85544679999999995</v>
      </c>
      <c r="I691">
        <v>379.17160000000001</v>
      </c>
      <c r="J691">
        <v>-325.68049999999999</v>
      </c>
      <c r="K691">
        <v>1.1216520000000001</v>
      </c>
      <c r="L691">
        <v>367.43020000000001</v>
      </c>
      <c r="M691">
        <v>0.99981059999999999</v>
      </c>
      <c r="N691">
        <v>-1.4547249999999999E-2</v>
      </c>
      <c r="O691">
        <v>1.2927019999999999E-2</v>
      </c>
      <c r="P691">
        <v>0.98023170000000004</v>
      </c>
      <c r="Q691">
        <v>0.17653060000000001</v>
      </c>
      <c r="R691">
        <v>-8.9345569999999999E-2</v>
      </c>
      <c r="S691">
        <v>3.0827939999999998</v>
      </c>
      <c r="T691">
        <v>-4.8942569999999999E-3</v>
      </c>
      <c r="U691">
        <v>0.2159729</v>
      </c>
      <c r="V691">
        <v>0.1020041</v>
      </c>
      <c r="W691">
        <v>0.19075719999999999</v>
      </c>
      <c r="X691">
        <v>0.9763231</v>
      </c>
      <c r="Y691">
        <v>-5.698396E-2</v>
      </c>
      <c r="Z691">
        <v>6.2755389999999997E-4</v>
      </c>
      <c r="AA691">
        <v>0.99837489999999995</v>
      </c>
      <c r="AB691">
        <v>22</v>
      </c>
      <c r="AC691">
        <v>167.4855</v>
      </c>
      <c r="AD691">
        <v>-0.26620519999999998</v>
      </c>
      <c r="AE691">
        <v>11.741400000000001</v>
      </c>
      <c r="AF691">
        <v>-9.5750770685362294</v>
      </c>
      <c r="AG691">
        <v>-0.26620519999999998</v>
      </c>
      <c r="AH691">
        <v>167.62287837123799</v>
      </c>
      <c r="AI691">
        <v>90.090844389306298</v>
      </c>
      <c r="AJ691">
        <v>93.269338694750601</v>
      </c>
      <c r="AK691">
        <v>167.89634397310701</v>
      </c>
      <c r="AL691">
        <v>79.003022859255793</v>
      </c>
      <c r="AM691">
        <v>84.035501635004096</v>
      </c>
      <c r="AN691">
        <v>0.999999970681129</v>
      </c>
    </row>
    <row r="692" spans="1:40" x14ac:dyDescent="0.25">
      <c r="A692" t="str">
        <f>"20190303170510945"</f>
        <v>20190303170510945</v>
      </c>
      <c r="B692" t="str">
        <f>"1551603910934886"</f>
        <v>1551603910934886</v>
      </c>
      <c r="C692" t="s">
        <v>40</v>
      </c>
      <c r="D692">
        <v>5.4767320000000002</v>
      </c>
      <c r="E692">
        <v>0.44148890000000002</v>
      </c>
      <c r="F692" t="s">
        <v>47</v>
      </c>
      <c r="G692">
        <v>-158.19499999999999</v>
      </c>
      <c r="H692">
        <v>0.70746900000000001</v>
      </c>
      <c r="I692">
        <v>379.59039999999999</v>
      </c>
      <c r="J692">
        <v>-325.56200000000001</v>
      </c>
      <c r="K692">
        <v>1.121656</v>
      </c>
      <c r="L692">
        <v>367.43189999999998</v>
      </c>
      <c r="M692">
        <v>0.99981039999999999</v>
      </c>
      <c r="N692">
        <v>-1.4544400000000001E-2</v>
      </c>
      <c r="O692">
        <v>1.2952480000000001E-2</v>
      </c>
      <c r="P692">
        <v>0.98048619999999997</v>
      </c>
      <c r="Q692">
        <v>0.17662749999999999</v>
      </c>
      <c r="R692">
        <v>-8.631229E-2</v>
      </c>
      <c r="S692">
        <v>3.0822750000000001</v>
      </c>
      <c r="T692">
        <v>-7.6206919999999897E-3</v>
      </c>
      <c r="U692">
        <v>0.2237854</v>
      </c>
      <c r="V692">
        <v>9.8999260000000006E-2</v>
      </c>
      <c r="W692">
        <v>0.19085550000000001</v>
      </c>
      <c r="X692">
        <v>0.97661319999999996</v>
      </c>
      <c r="Y692">
        <v>-5.9487119999999997E-2</v>
      </c>
      <c r="Z692">
        <v>6.628386E-4</v>
      </c>
      <c r="AA692">
        <v>0.99822880000000003</v>
      </c>
      <c r="AB692">
        <v>22</v>
      </c>
      <c r="AC692">
        <v>167.36699999999999</v>
      </c>
      <c r="AD692">
        <v>-0.41418700000000003</v>
      </c>
      <c r="AE692">
        <v>12.1585</v>
      </c>
      <c r="AF692">
        <v>-9.9893720973951901</v>
      </c>
      <c r="AG692">
        <v>-0.41418700000000003</v>
      </c>
      <c r="AH692">
        <v>167.50943602598301</v>
      </c>
      <c r="AI692">
        <v>90.141419099621103</v>
      </c>
      <c r="AJ692">
        <v>93.412773860664998</v>
      </c>
      <c r="AK692">
        <v>167.807539352421</v>
      </c>
      <c r="AL692">
        <v>78.997285696872893</v>
      </c>
      <c r="AM692">
        <v>84.211700579410305</v>
      </c>
      <c r="AN692">
        <v>1.0000000088875101</v>
      </c>
    </row>
    <row r="693" spans="1:40" x14ac:dyDescent="0.25">
      <c r="A693" t="str">
        <f>"20190303170510958"</f>
        <v>20190303170510958</v>
      </c>
      <c r="B693" t="str">
        <f>"1551603910945623"</f>
        <v>1551603910945623</v>
      </c>
      <c r="C693" t="s">
        <v>40</v>
      </c>
      <c r="D693">
        <v>5.4777639999999996</v>
      </c>
      <c r="E693">
        <v>0.44163000000000002</v>
      </c>
      <c r="F693" t="s">
        <v>47</v>
      </c>
      <c r="G693">
        <v>-158.19499999999999</v>
      </c>
      <c r="H693">
        <v>0.62222580000000005</v>
      </c>
      <c r="I693">
        <v>379.99</v>
      </c>
      <c r="J693">
        <v>-325.43520000000001</v>
      </c>
      <c r="K693">
        <v>1.1216569999999999</v>
      </c>
      <c r="L693">
        <v>367.43349999999998</v>
      </c>
      <c r="M693">
        <v>0.99981019999999998</v>
      </c>
      <c r="N693">
        <v>-1.454135E-2</v>
      </c>
      <c r="O693">
        <v>1.2978480000000001E-2</v>
      </c>
      <c r="P693">
        <v>0.98064390000000001</v>
      </c>
      <c r="Q693">
        <v>0.1771954</v>
      </c>
      <c r="R693">
        <v>-8.3304760000000005E-2</v>
      </c>
      <c r="S693">
        <v>3.0817260000000002</v>
      </c>
      <c r="T693">
        <v>-9.1943739999999999E-3</v>
      </c>
      <c r="U693">
        <v>0.23123170000000001</v>
      </c>
      <c r="V693">
        <v>9.6019419999999994E-2</v>
      </c>
      <c r="W693">
        <v>0.1914228</v>
      </c>
      <c r="X693">
        <v>0.97679970000000005</v>
      </c>
      <c r="Y693">
        <v>-6.187231E-2</v>
      </c>
      <c r="Z693">
        <v>6.925198E-4</v>
      </c>
      <c r="AA693">
        <v>0.99808379999999997</v>
      </c>
      <c r="AB693">
        <v>22</v>
      </c>
      <c r="AC693">
        <v>167.24019999999999</v>
      </c>
      <c r="AD693">
        <v>-0.49943119999999902</v>
      </c>
      <c r="AE693">
        <v>12.5565</v>
      </c>
      <c r="AF693">
        <v>-10.3845973755893</v>
      </c>
      <c r="AG693">
        <v>-0.49943119999999902</v>
      </c>
      <c r="AH693">
        <v>167.38760846976001</v>
      </c>
      <c r="AI693">
        <v>90.170623775490299</v>
      </c>
      <c r="AJ693">
        <v>93.550035841357996</v>
      </c>
      <c r="AK693">
        <v>167.71016893260301</v>
      </c>
      <c r="AL693">
        <v>78.964171567627204</v>
      </c>
      <c r="AM693">
        <v>84.385860895768602</v>
      </c>
      <c r="AN693">
        <v>1.0000000356485299</v>
      </c>
    </row>
    <row r="694" spans="1:40" x14ac:dyDescent="0.25">
      <c r="A694" t="str">
        <f>"20190303170510974"</f>
        <v>20190303170510974</v>
      </c>
      <c r="B694" t="str">
        <f>"1551603910965142"</f>
        <v>1551603910965142</v>
      </c>
      <c r="C694" t="s">
        <v>40</v>
      </c>
      <c r="D694">
        <v>5.4947549999999996</v>
      </c>
      <c r="E694">
        <v>0.44198969999999999</v>
      </c>
      <c r="F694" t="s">
        <v>47</v>
      </c>
      <c r="G694">
        <v>-158.19499999999999</v>
      </c>
      <c r="H694">
        <v>0.6050835</v>
      </c>
      <c r="I694">
        <v>380.41309999999999</v>
      </c>
      <c r="J694">
        <v>-325.26949999999999</v>
      </c>
      <c r="K694">
        <v>1.121667</v>
      </c>
      <c r="L694">
        <v>367.43579999999997</v>
      </c>
      <c r="M694">
        <v>0.99980970000000002</v>
      </c>
      <c r="N694">
        <v>-1.4537349999999999E-2</v>
      </c>
      <c r="O694">
        <v>1.301183E-2</v>
      </c>
      <c r="P694">
        <v>0.98112949999999999</v>
      </c>
      <c r="Q694">
        <v>0.178675799999999</v>
      </c>
      <c r="R694">
        <v>-7.3890620000000004E-2</v>
      </c>
      <c r="S694">
        <v>3.0812379999999999</v>
      </c>
      <c r="T694">
        <v>-9.5157620000000005E-3</v>
      </c>
      <c r="U694">
        <v>0.23913570000000001</v>
      </c>
      <c r="V694">
        <v>8.6645319999999998E-2</v>
      </c>
      <c r="W694">
        <v>0.1929081</v>
      </c>
      <c r="X694">
        <v>0.97738380000000002</v>
      </c>
      <c r="Y694">
        <v>-6.4395939999999999E-2</v>
      </c>
      <c r="Z694">
        <v>7.1688939999999999E-4</v>
      </c>
      <c r="AA694">
        <v>0.99792409999999998</v>
      </c>
      <c r="AB694">
        <v>22</v>
      </c>
      <c r="AC694">
        <v>167.0745</v>
      </c>
      <c r="AD694">
        <v>-0.51658349999999997</v>
      </c>
      <c r="AE694">
        <v>12.9773</v>
      </c>
      <c r="AF694">
        <v>-10.8019238377828</v>
      </c>
      <c r="AG694">
        <v>-0.51658349999999997</v>
      </c>
      <c r="AH694">
        <v>167.22764005248999</v>
      </c>
      <c r="AI694">
        <v>90.176623946970906</v>
      </c>
      <c r="AJ694">
        <v>93.695836537069695</v>
      </c>
      <c r="AK694">
        <v>167.57694356514199</v>
      </c>
      <c r="AL694">
        <v>78.877453762634801</v>
      </c>
      <c r="AM694">
        <v>84.933958135955194</v>
      </c>
      <c r="AN694">
        <v>1.0000000195129699</v>
      </c>
    </row>
    <row r="695" spans="1:40" x14ac:dyDescent="0.25">
      <c r="A695" t="str">
        <f>"20190303170510989"</f>
        <v>20190303170510989</v>
      </c>
      <c r="B695" t="str">
        <f>"1551603910974903"</f>
        <v>1551603910974903</v>
      </c>
      <c r="C695" t="s">
        <v>40</v>
      </c>
      <c r="D695">
        <v>5.5027530000000002</v>
      </c>
      <c r="E695">
        <v>0.44225700000000001</v>
      </c>
      <c r="F695" t="s">
        <v>47</v>
      </c>
      <c r="G695">
        <v>-158.19499999999999</v>
      </c>
      <c r="H695">
        <v>0.69579119999999905</v>
      </c>
      <c r="I695">
        <v>381.81569999999999</v>
      </c>
      <c r="J695">
        <v>-325.13290000000001</v>
      </c>
      <c r="K695">
        <v>1.1216680000000001</v>
      </c>
      <c r="L695">
        <v>367.43759999999997</v>
      </c>
      <c r="M695">
        <v>0.99980930000000001</v>
      </c>
      <c r="N695">
        <v>-1.453405E-2</v>
      </c>
      <c r="O695">
        <v>1.303879E-2</v>
      </c>
      <c r="P695">
        <v>0.98125030000000002</v>
      </c>
      <c r="Q695">
        <v>0.1794617</v>
      </c>
      <c r="R695">
        <v>-7.0295899999999995E-2</v>
      </c>
      <c r="S695">
        <v>3.0791019999999998</v>
      </c>
      <c r="T695">
        <v>-7.8470710000000006E-3</v>
      </c>
      <c r="U695">
        <v>0.26501459999999999</v>
      </c>
      <c r="V695">
        <v>8.3079020000000003E-2</v>
      </c>
      <c r="W695">
        <v>0.19369259999999999</v>
      </c>
      <c r="X695">
        <v>0.97753829999999997</v>
      </c>
      <c r="Y695">
        <v>-7.2751689999999994E-2</v>
      </c>
      <c r="Z695">
        <v>7.7826619999999997E-4</v>
      </c>
      <c r="AA695">
        <v>0.99734979999999995</v>
      </c>
      <c r="AB695">
        <v>22</v>
      </c>
      <c r="AC695">
        <v>166.93790000000001</v>
      </c>
      <c r="AD695">
        <v>-0.4258768</v>
      </c>
      <c r="AE695">
        <v>14.3781</v>
      </c>
      <c r="AF695">
        <v>-12.199900383787901</v>
      </c>
      <c r="AG695">
        <v>-0.4258768</v>
      </c>
      <c r="AH695">
        <v>167.110119107321</v>
      </c>
      <c r="AI695">
        <v>90.145629266713499</v>
      </c>
      <c r="AJ695">
        <v>94.175479767224701</v>
      </c>
      <c r="AK695">
        <v>167.555396357402</v>
      </c>
      <c r="AL695">
        <v>78.831641383450503</v>
      </c>
      <c r="AM695">
        <v>85.142219992411</v>
      </c>
      <c r="AN695">
        <v>1.0000000374128999</v>
      </c>
    </row>
    <row r="696" spans="1:40" x14ac:dyDescent="0.25">
      <c r="A696" t="str">
        <f>"20190303170511009"</f>
        <v>20190303170511009</v>
      </c>
      <c r="B696" t="str">
        <f>"1551603910995399"</f>
        <v>1551603910995399</v>
      </c>
      <c r="C696" t="s">
        <v>40</v>
      </c>
      <c r="D696">
        <v>5.5167080000000004</v>
      </c>
      <c r="E696">
        <v>0.44283689999999998</v>
      </c>
      <c r="F696" t="s">
        <v>48</v>
      </c>
      <c r="G696">
        <v>-180.08670000000001</v>
      </c>
      <c r="H696">
        <v>0.81347700000000001</v>
      </c>
      <c r="I696">
        <v>380.33670000000001</v>
      </c>
      <c r="J696">
        <v>-324.93970000000002</v>
      </c>
      <c r="K696">
        <v>1.1216699999999999</v>
      </c>
      <c r="L696">
        <v>367.4402</v>
      </c>
      <c r="M696">
        <v>0.99980899999999995</v>
      </c>
      <c r="N696">
        <v>-1.452938E-2</v>
      </c>
      <c r="O696">
        <v>1.307666E-2</v>
      </c>
      <c r="P696">
        <v>0.98145649999999995</v>
      </c>
      <c r="Q696">
        <v>0.1808218</v>
      </c>
      <c r="R696">
        <v>-6.3613660000000002E-2</v>
      </c>
      <c r="S696">
        <v>3.0781559999999999</v>
      </c>
      <c r="T696">
        <v>-6.5376760000000001E-3</v>
      </c>
      <c r="U696">
        <v>0.27374270000000001</v>
      </c>
      <c r="V696">
        <v>7.6437469999999993E-2</v>
      </c>
      <c r="W696">
        <v>0.1950519</v>
      </c>
      <c r="X696">
        <v>0.97780979999999995</v>
      </c>
      <c r="Y696">
        <v>-7.554661E-2</v>
      </c>
      <c r="Z696">
        <v>7.9195619999999998E-4</v>
      </c>
      <c r="AA696">
        <v>0.99714199999999997</v>
      </c>
      <c r="AB696">
        <v>22</v>
      </c>
      <c r="AC696">
        <v>144.85299999999901</v>
      </c>
      <c r="AD696">
        <v>-0.30819299999999999</v>
      </c>
      <c r="AE696">
        <v>12.8965</v>
      </c>
      <c r="AF696">
        <v>-11.0009544018646</v>
      </c>
      <c r="AG696">
        <v>-0.30819299999999999</v>
      </c>
      <c r="AH696">
        <v>145.008621671014</v>
      </c>
      <c r="AI696">
        <v>90.121424059558393</v>
      </c>
      <c r="AJ696">
        <v>94.338384784244994</v>
      </c>
      <c r="AK696">
        <v>145.42563852225101</v>
      </c>
      <c r="AL696">
        <v>78.752244171443294</v>
      </c>
      <c r="AM696">
        <v>85.530157259593594</v>
      </c>
      <c r="AN696">
        <v>0.99999996774482403</v>
      </c>
    </row>
    <row r="697" spans="1:40" x14ac:dyDescent="0.25">
      <c r="A697" t="str">
        <f>"20190303170511033"</f>
        <v>20190303170511033</v>
      </c>
      <c r="B697" t="str">
        <f>"1551603911025655"</f>
        <v>1551603911025655</v>
      </c>
      <c r="C697" t="s">
        <v>40</v>
      </c>
      <c r="D697">
        <v>5.4982230000000003</v>
      </c>
      <c r="E697">
        <v>0.44354369999999999</v>
      </c>
      <c r="F697" t="s">
        <v>47</v>
      </c>
      <c r="G697">
        <v>-169.2955</v>
      </c>
      <c r="H697">
        <v>0.84709449999999997</v>
      </c>
      <c r="I697">
        <v>382.10759999999999</v>
      </c>
      <c r="J697">
        <v>-324.7004</v>
      </c>
      <c r="K697">
        <v>1.1216740000000001</v>
      </c>
      <c r="L697">
        <v>367.44349999999997</v>
      </c>
      <c r="M697">
        <v>0.99980840000000004</v>
      </c>
      <c r="N697">
        <v>-1.4523599999999999E-2</v>
      </c>
      <c r="O697">
        <v>1.312377E-2</v>
      </c>
      <c r="P697">
        <v>0.98175310000000005</v>
      </c>
      <c r="Q697">
        <v>0.18122440000000001</v>
      </c>
      <c r="R697">
        <v>-5.7609340000000002E-2</v>
      </c>
      <c r="S697">
        <v>3.0764770000000001</v>
      </c>
      <c r="T697">
        <v>-5.4255719999999896E-3</v>
      </c>
      <c r="U697">
        <v>0.28991699999999998</v>
      </c>
      <c r="V697">
        <v>7.0483959999999998E-2</v>
      </c>
      <c r="W697">
        <v>0.19545409999999999</v>
      </c>
      <c r="X697">
        <v>0.97817670000000001</v>
      </c>
      <c r="Y697">
        <v>-8.0745549999999999E-2</v>
      </c>
      <c r="Z697">
        <v>8.2587009999999996E-4</v>
      </c>
      <c r="AA697">
        <v>0.99673440000000002</v>
      </c>
      <c r="AB697">
        <v>22</v>
      </c>
      <c r="AC697">
        <v>155.4049</v>
      </c>
      <c r="AD697">
        <v>-0.27457949999999998</v>
      </c>
      <c r="AE697">
        <v>14.664099999999999</v>
      </c>
      <c r="AF697">
        <v>-12.6230845024681</v>
      </c>
      <c r="AG697">
        <v>-0.27457949999999998</v>
      </c>
      <c r="AH697">
        <v>155.58350080699299</v>
      </c>
      <c r="AI697">
        <v>90.100786421260494</v>
      </c>
      <c r="AJ697">
        <v>94.638465671659702</v>
      </c>
      <c r="AK697">
        <v>156.09498191683801</v>
      </c>
      <c r="AL697">
        <v>78.728747650905305</v>
      </c>
      <c r="AM697">
        <v>85.878591504886103</v>
      </c>
      <c r="AN697">
        <v>0.99999997512349004</v>
      </c>
    </row>
    <row r="698" spans="1:40" x14ac:dyDescent="0.25">
      <c r="A698" t="str">
        <f>"20190303170511053"</f>
        <v>20190303170511053</v>
      </c>
      <c r="B698" t="str">
        <f>"1551603911045174"</f>
        <v>1551603911045174</v>
      </c>
      <c r="C698" t="s">
        <v>40</v>
      </c>
      <c r="D698">
        <v>5.4480550000000001</v>
      </c>
      <c r="E698">
        <v>0.44469950000000003</v>
      </c>
      <c r="F698" t="s">
        <v>47</v>
      </c>
      <c r="G698">
        <v>-169.2955</v>
      </c>
      <c r="H698">
        <v>0.72415069999999904</v>
      </c>
      <c r="I698">
        <v>382.75850000000003</v>
      </c>
      <c r="J698">
        <v>-324.50360000000001</v>
      </c>
      <c r="K698">
        <v>1.121678</v>
      </c>
      <c r="L698">
        <v>367.44619999999998</v>
      </c>
      <c r="M698">
        <v>0.99980800000000003</v>
      </c>
      <c r="N698">
        <v>-1.451883E-2</v>
      </c>
      <c r="O698">
        <v>1.3162770000000001E-2</v>
      </c>
      <c r="P698">
        <v>0.98188520000000001</v>
      </c>
      <c r="Q698">
        <v>0.1819983</v>
      </c>
      <c r="R698">
        <v>-5.2707240000000002E-2</v>
      </c>
      <c r="S698">
        <v>3.0750120000000001</v>
      </c>
      <c r="T698">
        <v>-7.8641179999999998E-3</v>
      </c>
      <c r="U698">
        <v>0.30303960000000002</v>
      </c>
      <c r="V698">
        <v>6.5622760000000002E-2</v>
      </c>
      <c r="W698">
        <v>0.1962256</v>
      </c>
      <c r="X698">
        <v>0.97836049999999997</v>
      </c>
      <c r="Y698">
        <v>-8.4963839999999999E-2</v>
      </c>
      <c r="Z698">
        <v>8.8381679999999902E-4</v>
      </c>
      <c r="AA698">
        <v>0.99638369999999998</v>
      </c>
      <c r="AB698">
        <v>22</v>
      </c>
      <c r="AC698">
        <v>155.2081</v>
      </c>
      <c r="AD698">
        <v>-0.39752729999999997</v>
      </c>
      <c r="AE698">
        <v>15.3123</v>
      </c>
      <c r="AF698">
        <v>-13.267703184447599</v>
      </c>
      <c r="AG698">
        <v>-0.39752729999999997</v>
      </c>
      <c r="AH698">
        <v>155.39521497227901</v>
      </c>
      <c r="AI698">
        <v>90.146040660677997</v>
      </c>
      <c r="AJ698">
        <v>94.880100307580506</v>
      </c>
      <c r="AK698">
        <v>155.96109390493999</v>
      </c>
      <c r="AL698">
        <v>78.683671949603493</v>
      </c>
      <c r="AM698">
        <v>86.162678465659297</v>
      </c>
      <c r="AN698">
        <v>1.0000000503428099</v>
      </c>
    </row>
    <row r="699" spans="1:40" x14ac:dyDescent="0.25">
      <c r="A699" t="str">
        <f>"20190303170511076"</f>
        <v>20190303170511076</v>
      </c>
      <c r="B699" t="str">
        <f>"1551603911065670"</f>
        <v>1551603911065670</v>
      </c>
      <c r="C699" t="s">
        <v>40</v>
      </c>
      <c r="D699">
        <v>5.4854789999999998</v>
      </c>
      <c r="E699">
        <v>0.44508530000000002</v>
      </c>
      <c r="F699" t="s">
        <v>47</v>
      </c>
      <c r="G699">
        <v>-169.2955</v>
      </c>
      <c r="H699">
        <v>0.62317659999999997</v>
      </c>
      <c r="I699">
        <v>383.0299</v>
      </c>
      <c r="J699">
        <v>-324.28460000000001</v>
      </c>
      <c r="K699">
        <v>1.12168</v>
      </c>
      <c r="L699">
        <v>367.44909999999999</v>
      </c>
      <c r="M699">
        <v>0.99980740000000001</v>
      </c>
      <c r="N699">
        <v>-1.451349E-2</v>
      </c>
      <c r="O699">
        <v>1.3206010000000001E-2</v>
      </c>
      <c r="P699">
        <v>0.981931</v>
      </c>
      <c r="Q699">
        <v>0.1827973</v>
      </c>
      <c r="R699">
        <v>-4.8957149999999998E-2</v>
      </c>
      <c r="S699">
        <v>3.0737920000000001</v>
      </c>
      <c r="T699">
        <v>-9.8707680000000003E-3</v>
      </c>
      <c r="U699">
        <v>0.30862430000000002</v>
      </c>
      <c r="V699">
        <v>6.1916279999999997E-2</v>
      </c>
      <c r="W699">
        <v>0.19702040000000001</v>
      </c>
      <c r="X699">
        <v>0.97844229999999999</v>
      </c>
      <c r="Y699">
        <v>-8.6751099999999998E-2</v>
      </c>
      <c r="Z699">
        <v>9.1903139999999998E-4</v>
      </c>
      <c r="AA699">
        <v>0.99622960000000005</v>
      </c>
      <c r="AB699">
        <v>22</v>
      </c>
      <c r="AC699">
        <v>154.98910000000001</v>
      </c>
      <c r="AD699">
        <v>-0.49850339999999999</v>
      </c>
      <c r="AE699">
        <v>15.5808</v>
      </c>
      <c r="AF699">
        <v>-13.532299093176301</v>
      </c>
      <c r="AG699">
        <v>-0.49850339999999999</v>
      </c>
      <c r="AH699">
        <v>155.17977421384001</v>
      </c>
      <c r="AI699">
        <v>90.183361900239404</v>
      </c>
      <c r="AJ699">
        <v>94.983814230490495</v>
      </c>
      <c r="AK699">
        <v>155.769489790027</v>
      </c>
      <c r="AL699">
        <v>78.637226023193804</v>
      </c>
      <c r="AM699">
        <v>86.379124662062196</v>
      </c>
      <c r="AN699">
        <v>0.99999999908724402</v>
      </c>
    </row>
    <row r="700" spans="1:40" x14ac:dyDescent="0.25">
      <c r="A700" t="str">
        <f>"20190303170511097"</f>
        <v>20190303170511097</v>
      </c>
      <c r="B700" t="str">
        <f>"1551603911085190"</f>
        <v>1551603911085190</v>
      </c>
      <c r="C700" t="s">
        <v>40</v>
      </c>
      <c r="D700">
        <v>5.4794850000000004</v>
      </c>
      <c r="E700">
        <v>0.46078180000000002</v>
      </c>
      <c r="F700" t="s">
        <v>47</v>
      </c>
      <c r="G700">
        <v>-169.2955</v>
      </c>
      <c r="H700">
        <v>0.62009720000000002</v>
      </c>
      <c r="I700">
        <v>383.4083</v>
      </c>
      <c r="J700">
        <v>-324.0763</v>
      </c>
      <c r="K700">
        <v>1.121688</v>
      </c>
      <c r="L700">
        <v>367.45190000000002</v>
      </c>
      <c r="M700">
        <v>0.999807</v>
      </c>
      <c r="N700">
        <v>-1.450747E-2</v>
      </c>
      <c r="O700">
        <v>1.324723E-2</v>
      </c>
      <c r="P700">
        <v>0.98190370000000005</v>
      </c>
      <c r="Q700">
        <v>0.18391869999999999</v>
      </c>
      <c r="R700">
        <v>-4.515512E-2</v>
      </c>
      <c r="S700">
        <v>3.0728149999999999</v>
      </c>
      <c r="T700">
        <v>-9.9426510000000003E-3</v>
      </c>
      <c r="U700">
        <v>0.31640629999999997</v>
      </c>
      <c r="V700">
        <v>5.8154789999999998E-2</v>
      </c>
      <c r="W700">
        <v>0.19813620000000001</v>
      </c>
      <c r="X700">
        <v>0.97844779999999998</v>
      </c>
      <c r="Y700">
        <v>-8.923826E-2</v>
      </c>
      <c r="Z700">
        <v>9.4203660000000003E-4</v>
      </c>
      <c r="AA700">
        <v>0.9960099</v>
      </c>
      <c r="AB700">
        <v>22</v>
      </c>
      <c r="AC700">
        <v>154.7808</v>
      </c>
      <c r="AD700">
        <v>-0.501590799999999</v>
      </c>
      <c r="AE700">
        <v>15.956399999999901</v>
      </c>
      <c r="AF700">
        <v>-13.9042224017848</v>
      </c>
      <c r="AG700">
        <v>-0.501590799999999</v>
      </c>
      <c r="AH700">
        <v>154.97700529492599</v>
      </c>
      <c r="AI700">
        <v>90.184698146210295</v>
      </c>
      <c r="AJ700">
        <v>95.126734896283494</v>
      </c>
      <c r="AK700">
        <v>155.60029294353001</v>
      </c>
      <c r="AL700">
        <v>78.572009976131397</v>
      </c>
      <c r="AM700">
        <v>86.598583245157201</v>
      </c>
      <c r="AN700">
        <v>1.0000000153376101</v>
      </c>
    </row>
    <row r="701" spans="1:40" x14ac:dyDescent="0.25">
      <c r="A701" t="str">
        <f>"20190303170511121"</f>
        <v>20190303170511121</v>
      </c>
      <c r="B701" t="str">
        <f>"1551603911115447"</f>
        <v>1551603911115447</v>
      </c>
      <c r="C701" t="s">
        <v>40</v>
      </c>
      <c r="D701">
        <v>5.4576729999999998</v>
      </c>
      <c r="E701">
        <v>0.46180779999999999</v>
      </c>
      <c r="F701" t="s">
        <v>41</v>
      </c>
      <c r="G701">
        <v>-242.3887</v>
      </c>
      <c r="H701" s="1">
        <v>-4.3695880000000002E-6</v>
      </c>
      <c r="I701">
        <v>372.8612</v>
      </c>
      <c r="J701">
        <v>-323.84500000000003</v>
      </c>
      <c r="K701">
        <v>1.1216870000000001</v>
      </c>
      <c r="L701">
        <v>367.45510000000002</v>
      </c>
      <c r="M701">
        <v>0.99980690000000005</v>
      </c>
      <c r="N701">
        <v>-1.447941E-2</v>
      </c>
      <c r="O701">
        <v>1.3292669999999999E-2</v>
      </c>
      <c r="P701">
        <v>0.98172380000000004</v>
      </c>
      <c r="Q701">
        <v>0.18554309999999999</v>
      </c>
      <c r="R701">
        <v>-4.2332670000000003E-2</v>
      </c>
      <c r="S701">
        <v>3.07254</v>
      </c>
      <c r="T701">
        <v>-4.219055E-2</v>
      </c>
      <c r="U701">
        <v>0.20346069999999999</v>
      </c>
      <c r="V701">
        <v>5.5375000000000001E-2</v>
      </c>
      <c r="W701">
        <v>0.19973060000000001</v>
      </c>
      <c r="X701">
        <v>0.97828490000000001</v>
      </c>
      <c r="Y701">
        <v>-5.279329E-2</v>
      </c>
      <c r="Z701">
        <v>7.5473439999999999E-4</v>
      </c>
      <c r="AA701">
        <v>0.99860519999999997</v>
      </c>
      <c r="AB701">
        <v>22</v>
      </c>
      <c r="AC701">
        <v>81.456299999999999</v>
      </c>
      <c r="AD701">
        <v>-1.121691369588</v>
      </c>
      <c r="AE701">
        <v>5.4060999999999799</v>
      </c>
      <c r="AF701">
        <v>-4.3219211735883203</v>
      </c>
      <c r="AG701">
        <v>-1.121691369588</v>
      </c>
      <c r="AH701">
        <v>81.505582960006606</v>
      </c>
      <c r="AI701">
        <v>90.787356838353205</v>
      </c>
      <c r="AJ701">
        <v>93.035327569114003</v>
      </c>
      <c r="AK701">
        <v>81.627797029013607</v>
      </c>
      <c r="AL701">
        <v>78.478794583976196</v>
      </c>
      <c r="AM701">
        <v>86.760277343053801</v>
      </c>
      <c r="AN701">
        <v>1.0000000243846801</v>
      </c>
    </row>
    <row r="702" spans="1:40" x14ac:dyDescent="0.25">
      <c r="A702" t="str">
        <f>"20190303170511144"</f>
        <v>20190303170511144</v>
      </c>
      <c r="B702" t="str">
        <f>"1551603911134967"</f>
        <v>1551603911134967</v>
      </c>
      <c r="C702" t="s">
        <v>40</v>
      </c>
      <c r="D702">
        <v>5.4334519999999999</v>
      </c>
      <c r="E702">
        <v>0.46252339999999997</v>
      </c>
      <c r="F702" t="s">
        <v>41</v>
      </c>
      <c r="G702">
        <v>-232.37180000000001</v>
      </c>
      <c r="H702" s="1">
        <v>-4.1617070000000003E-6</v>
      </c>
      <c r="I702">
        <v>373.52210000000002</v>
      </c>
      <c r="J702">
        <v>-323.62849999999997</v>
      </c>
      <c r="K702">
        <v>1.1216680000000001</v>
      </c>
      <c r="L702">
        <v>367.45800000000003</v>
      </c>
      <c r="M702">
        <v>0.99980780000000002</v>
      </c>
      <c r="N702">
        <v>-1.438683E-2</v>
      </c>
      <c r="O702">
        <v>1.3335369999999999E-2</v>
      </c>
      <c r="P702">
        <v>0.98172470000000001</v>
      </c>
      <c r="Q702">
        <v>0.18595449999999999</v>
      </c>
      <c r="R702">
        <v>-4.0474299999999998E-2</v>
      </c>
      <c r="S702">
        <v>3.0717469999999998</v>
      </c>
      <c r="T702">
        <v>-3.7667270000000003E-2</v>
      </c>
      <c r="U702">
        <v>0.20373540000000001</v>
      </c>
      <c r="V702">
        <v>5.3558300000000003E-2</v>
      </c>
      <c r="W702">
        <v>0.2000516</v>
      </c>
      <c r="X702">
        <v>0.97832039999999998</v>
      </c>
      <c r="Y702">
        <v>-5.2858189999999999E-2</v>
      </c>
      <c r="Z702">
        <v>7.3277940000000005E-4</v>
      </c>
      <c r="AA702">
        <v>0.99860170000000004</v>
      </c>
      <c r="AB702">
        <v>22</v>
      </c>
      <c r="AC702">
        <v>91.256699999999896</v>
      </c>
      <c r="AD702">
        <v>-1.121672161707</v>
      </c>
      <c r="AE702">
        <v>6.0640999999999901</v>
      </c>
      <c r="AF702">
        <v>-4.8457642500173197</v>
      </c>
      <c r="AG702">
        <v>-1.121672161707</v>
      </c>
      <c r="AH702">
        <v>91.315723965114003</v>
      </c>
      <c r="AI702">
        <v>90.702765768598397</v>
      </c>
      <c r="AJ702">
        <v>93.037611200332407</v>
      </c>
      <c r="AK702">
        <v>91.451085411153002</v>
      </c>
      <c r="AL702">
        <v>78.460023168809101</v>
      </c>
      <c r="AM702">
        <v>86.866461723170204</v>
      </c>
      <c r="AN702">
        <v>0.999999969608804</v>
      </c>
    </row>
    <row r="703" spans="1:40" x14ac:dyDescent="0.25">
      <c r="A703" t="str">
        <f>"20190303170511167"</f>
        <v>20190303170511167</v>
      </c>
      <c r="B703" t="str">
        <f>"1551603911155463"</f>
        <v>1551603911155463</v>
      </c>
      <c r="C703" t="s">
        <v>40</v>
      </c>
      <c r="D703">
        <v>5.2371410000000003</v>
      </c>
      <c r="E703">
        <v>0.4632193</v>
      </c>
      <c r="F703" t="s">
        <v>41</v>
      </c>
      <c r="G703">
        <v>-229.7756</v>
      </c>
      <c r="H703" s="1">
        <v>-1.158155E-6</v>
      </c>
      <c r="I703">
        <v>373.6737</v>
      </c>
      <c r="J703">
        <v>-323.41149999999999</v>
      </c>
      <c r="K703">
        <v>1.121623</v>
      </c>
      <c r="L703">
        <v>367.46100000000001</v>
      </c>
      <c r="M703">
        <v>0.99980990000000003</v>
      </c>
      <c r="N703">
        <v>-1.4192140000000001E-2</v>
      </c>
      <c r="O703">
        <v>1.337881E-2</v>
      </c>
      <c r="P703">
        <v>0.98177060000000005</v>
      </c>
      <c r="Q703">
        <v>0.1858177</v>
      </c>
      <c r="R703">
        <v>-3.9979899999999999E-2</v>
      </c>
      <c r="S703">
        <v>3.0711979999999999</v>
      </c>
      <c r="T703">
        <v>-3.6704899999999999E-2</v>
      </c>
      <c r="U703">
        <v>0.20339969999999999</v>
      </c>
      <c r="V703">
        <v>5.3107000000000001E-2</v>
      </c>
      <c r="W703">
        <v>0.19972500000000001</v>
      </c>
      <c r="X703">
        <v>0.9784117</v>
      </c>
      <c r="Y703">
        <v>-5.2718359999999999E-2</v>
      </c>
      <c r="Z703">
        <v>7.192314E-4</v>
      </c>
      <c r="AA703">
        <v>0.99860919999999997</v>
      </c>
      <c r="AB703">
        <v>22</v>
      </c>
      <c r="AC703">
        <v>93.635900000000007</v>
      </c>
      <c r="AD703">
        <v>-1.1216241581549999</v>
      </c>
      <c r="AE703">
        <v>6.2126999999999803</v>
      </c>
      <c r="AF703">
        <v>-4.9585725400705103</v>
      </c>
      <c r="AG703">
        <v>-1.1216241581549999</v>
      </c>
      <c r="AH703">
        <v>93.697259437075004</v>
      </c>
      <c r="AI703">
        <v>90.684880985749402</v>
      </c>
      <c r="AJ703">
        <v>93.029336167666102</v>
      </c>
      <c r="AK703">
        <v>93.835078240527096</v>
      </c>
      <c r="AL703">
        <v>78.4791210745841</v>
      </c>
      <c r="AM703">
        <v>86.893103375559704</v>
      </c>
      <c r="AN703">
        <v>0.99999994188544306</v>
      </c>
    </row>
    <row r="704" spans="1:40" x14ac:dyDescent="0.25">
      <c r="A704" t="str">
        <f>"20190303170511190"</f>
        <v>20190303170511190</v>
      </c>
      <c r="B704" t="str">
        <f>"1551603911185719"</f>
        <v>1551603911185719</v>
      </c>
      <c r="C704" t="s">
        <v>40</v>
      </c>
      <c r="D704">
        <v>5.0641040000000004</v>
      </c>
      <c r="E704">
        <v>0.46425870000000002</v>
      </c>
      <c r="F704" t="s">
        <v>41</v>
      </c>
      <c r="G704">
        <v>-249.45679999999999</v>
      </c>
      <c r="H704" s="1">
        <v>-9.3921430000000004E-7</v>
      </c>
      <c r="I704">
        <v>372.25439999999998</v>
      </c>
      <c r="J704">
        <v>-323.18389999999999</v>
      </c>
      <c r="K704">
        <v>1.1215599999999999</v>
      </c>
      <c r="L704">
        <v>367.46409999999997</v>
      </c>
      <c r="M704">
        <v>0.99981319999999996</v>
      </c>
      <c r="N704">
        <v>-1.390974E-2</v>
      </c>
      <c r="O704">
        <v>1.3424210000000001E-2</v>
      </c>
      <c r="P704">
        <v>0.98180230000000002</v>
      </c>
      <c r="Q704">
        <v>0.185368</v>
      </c>
      <c r="R704">
        <v>-4.1269399999999998E-2</v>
      </c>
      <c r="S704">
        <v>3.0726619999999998</v>
      </c>
      <c r="T704">
        <v>-4.660106E-2</v>
      </c>
      <c r="U704">
        <v>0.19915769999999999</v>
      </c>
      <c r="V704">
        <v>5.444131E-2</v>
      </c>
      <c r="W704">
        <v>0.19899939999999999</v>
      </c>
      <c r="X704">
        <v>0.97848630000000003</v>
      </c>
      <c r="Y704">
        <v>-5.12658E-2</v>
      </c>
      <c r="Z704">
        <v>7.2852449999999999E-4</v>
      </c>
      <c r="AA704">
        <v>0.99868480000000004</v>
      </c>
      <c r="AB704">
        <v>22</v>
      </c>
      <c r="AC704">
        <v>73.727099999999993</v>
      </c>
      <c r="AD704">
        <v>-1.1215609392143</v>
      </c>
      <c r="AE704">
        <v>4.7903000000000002</v>
      </c>
      <c r="AF704">
        <v>-3.79916900807868</v>
      </c>
      <c r="AG704">
        <v>-1.1215609392143</v>
      </c>
      <c r="AH704">
        <v>73.767768265137306</v>
      </c>
      <c r="AI704">
        <v>90.869901913227196</v>
      </c>
      <c r="AJ704">
        <v>92.948227980137005</v>
      </c>
      <c r="AK704">
        <v>73.874049698871303</v>
      </c>
      <c r="AL704">
        <v>78.521547556346704</v>
      </c>
      <c r="AM704">
        <v>86.815443833089205</v>
      </c>
      <c r="AN704">
        <v>1.00000002836128</v>
      </c>
    </row>
    <row r="705" spans="1:40" x14ac:dyDescent="0.25">
      <c r="A705" t="str">
        <f>"20190303170511210"</f>
        <v>20190303170511210</v>
      </c>
      <c r="B705" t="str">
        <f>"1551603911195479"</f>
        <v>1551603911195479</v>
      </c>
      <c r="C705" t="s">
        <v>40</v>
      </c>
      <c r="D705">
        <v>5.4015709999999997</v>
      </c>
      <c r="E705">
        <v>0.4644913</v>
      </c>
      <c r="F705" t="s">
        <v>41</v>
      </c>
      <c r="G705">
        <v>-259.26280000000003</v>
      </c>
      <c r="H705" s="1">
        <v>-7.6073930000000002E-7</v>
      </c>
      <c r="I705">
        <v>371.35329999999999</v>
      </c>
      <c r="J705">
        <v>-322.98410000000001</v>
      </c>
      <c r="K705">
        <v>1.1214900000000001</v>
      </c>
      <c r="L705">
        <v>367.46679999999998</v>
      </c>
      <c r="M705">
        <v>0.99981699999999996</v>
      </c>
      <c r="N705">
        <v>-1.359054E-2</v>
      </c>
      <c r="O705">
        <v>1.3464749999999999E-2</v>
      </c>
      <c r="P705">
        <v>0.98176430000000003</v>
      </c>
      <c r="Q705">
        <v>0.18490480000000001</v>
      </c>
      <c r="R705">
        <v>-4.415028E-2</v>
      </c>
      <c r="S705">
        <v>3.0736080000000001</v>
      </c>
      <c r="T705">
        <v>-5.3929570000000003E-2</v>
      </c>
      <c r="U705">
        <v>0.1870117</v>
      </c>
      <c r="V705">
        <v>5.7361250000000003E-2</v>
      </c>
      <c r="W705">
        <v>0.1982227</v>
      </c>
      <c r="X705">
        <v>0.97847709999999999</v>
      </c>
      <c r="Y705">
        <v>-4.7272620000000001E-2</v>
      </c>
      <c r="Z705">
        <v>6.8275940000000004E-4</v>
      </c>
      <c r="AA705">
        <v>0.99888180000000004</v>
      </c>
      <c r="AB705">
        <v>22</v>
      </c>
      <c r="AC705">
        <v>63.7212999999999</v>
      </c>
      <c r="AD705">
        <v>-1.1214907607393001</v>
      </c>
      <c r="AE705">
        <v>3.8865000000000101</v>
      </c>
      <c r="AF705">
        <v>-3.0271427966314302</v>
      </c>
      <c r="AG705">
        <v>-1.1214907607393001</v>
      </c>
      <c r="AH705">
        <v>63.748184627882701</v>
      </c>
      <c r="AI705">
        <v>91.006738589415306</v>
      </c>
      <c r="AJ705">
        <v>92.718701988169798</v>
      </c>
      <c r="AK705">
        <v>63.829870581008102</v>
      </c>
      <c r="AL705">
        <v>78.566953348996705</v>
      </c>
      <c r="AM705">
        <v>86.644990101614496</v>
      </c>
      <c r="AN705">
        <v>0.99999999351063096</v>
      </c>
    </row>
    <row r="706" spans="1:40" x14ac:dyDescent="0.25">
      <c r="A706" t="str">
        <f>"20190303170511234"</f>
        <v>20190303170511234</v>
      </c>
      <c r="B706" t="str">
        <f>"1551603911225735"</f>
        <v>1551603911225735</v>
      </c>
      <c r="C706" t="s">
        <v>40</v>
      </c>
      <c r="D706">
        <v>5.3264360000000002</v>
      </c>
      <c r="E706">
        <v>0.46520709999999998</v>
      </c>
      <c r="F706" t="s">
        <v>41</v>
      </c>
      <c r="G706">
        <v>-262.5367</v>
      </c>
      <c r="H706" s="1">
        <v>-3.5310909999999999E-6</v>
      </c>
      <c r="I706">
        <v>370.9205</v>
      </c>
      <c r="J706">
        <v>-322.7482</v>
      </c>
      <c r="K706">
        <v>1.1213949999999999</v>
      </c>
      <c r="L706">
        <v>367.4701</v>
      </c>
      <c r="M706">
        <v>0.99982289999999996</v>
      </c>
      <c r="N706">
        <v>-1.3106339999999999E-2</v>
      </c>
      <c r="O706">
        <v>1.351342E-2</v>
      </c>
      <c r="P706">
        <v>0.98144690000000001</v>
      </c>
      <c r="Q706">
        <v>0.18578610000000001</v>
      </c>
      <c r="R706">
        <v>-4.738904E-2</v>
      </c>
      <c r="S706">
        <v>3.0743710000000002</v>
      </c>
      <c r="T706">
        <v>-5.7039380000000001E-2</v>
      </c>
      <c r="U706">
        <v>0.17565919999999999</v>
      </c>
      <c r="V706">
        <v>6.0643330000000002E-2</v>
      </c>
      <c r="W706">
        <v>0.1986251</v>
      </c>
      <c r="X706">
        <v>0.9781976</v>
      </c>
      <c r="Y706">
        <v>-4.3533240000000001E-2</v>
      </c>
      <c r="Z706">
        <v>6.1557389999999999E-4</v>
      </c>
      <c r="AA706">
        <v>0.99905180000000005</v>
      </c>
      <c r="AB706">
        <v>22</v>
      </c>
      <c r="AC706">
        <v>60.211500000000001</v>
      </c>
      <c r="AD706">
        <v>-1.121398531091</v>
      </c>
      <c r="AE706">
        <v>3.4504000000000001</v>
      </c>
      <c r="AF706">
        <v>-2.6354406453611299</v>
      </c>
      <c r="AG706">
        <v>-1.121398531091</v>
      </c>
      <c r="AH706">
        <v>60.231807870806001</v>
      </c>
      <c r="AI706">
        <v>91.065592878839894</v>
      </c>
      <c r="AJ706">
        <v>92.505376797348006</v>
      </c>
      <c r="AK706">
        <v>60.299865351810197</v>
      </c>
      <c r="AL706">
        <v>78.543430380550305</v>
      </c>
      <c r="AM706">
        <v>86.452490075136197</v>
      </c>
      <c r="AN706">
        <v>1.00000004423462</v>
      </c>
    </row>
    <row r="707" spans="1:40" x14ac:dyDescent="0.25">
      <c r="A707" t="str">
        <f>"20190303170511255"</f>
        <v>20190303170511255</v>
      </c>
      <c r="B707" t="str">
        <f>"1551603911245254"</f>
        <v>1551603911245254</v>
      </c>
      <c r="C707" t="s">
        <v>40</v>
      </c>
      <c r="D707">
        <v>5.3328389999999999</v>
      </c>
      <c r="E707">
        <v>0.46552399999999999</v>
      </c>
      <c r="F707" t="s">
        <v>41</v>
      </c>
      <c r="G707">
        <v>-262.13760000000002</v>
      </c>
      <c r="H707" s="1">
        <v>-3.6188060000000001E-6</v>
      </c>
      <c r="I707">
        <v>370.60680000000002</v>
      </c>
      <c r="J707">
        <v>-322.5455</v>
      </c>
      <c r="K707">
        <v>1.1213010000000001</v>
      </c>
      <c r="L707">
        <v>367.47280000000001</v>
      </c>
      <c r="M707">
        <v>0.99982850000000001</v>
      </c>
      <c r="N707">
        <v>-1.261149E-2</v>
      </c>
      <c r="O707">
        <v>1.355526E-2</v>
      </c>
      <c r="P707">
        <v>0.9811742</v>
      </c>
      <c r="Q707">
        <v>0.1864065</v>
      </c>
      <c r="R707">
        <v>-5.0494919999999999E-2</v>
      </c>
      <c r="S707">
        <v>3.0751650000000001</v>
      </c>
      <c r="T707">
        <v>-5.6895729999999999E-2</v>
      </c>
      <c r="U707">
        <v>0.15914919999999999</v>
      </c>
      <c r="V707">
        <v>6.3786289999999995E-2</v>
      </c>
      <c r="W707">
        <v>0.19875780000000001</v>
      </c>
      <c r="X707">
        <v>0.97797069999999997</v>
      </c>
      <c r="Y707">
        <v>-3.8130190000000001E-2</v>
      </c>
      <c r="Z707">
        <v>5.1339509999999997E-4</v>
      </c>
      <c r="AA707">
        <v>0.99927259999999996</v>
      </c>
      <c r="AB707">
        <v>22</v>
      </c>
      <c r="AC707">
        <v>60.407899999999898</v>
      </c>
      <c r="AD707">
        <v>-1.1213046188060001</v>
      </c>
      <c r="AE707">
        <v>3.1340000000000101</v>
      </c>
      <c r="AF707">
        <v>-2.3140068590023199</v>
      </c>
      <c r="AG707">
        <v>-1.1213046188060001</v>
      </c>
      <c r="AH707">
        <v>60.424071015971897</v>
      </c>
      <c r="AI707">
        <v>91.062351549795494</v>
      </c>
      <c r="AJ707">
        <v>92.193133738911797</v>
      </c>
      <c r="AK707">
        <v>60.478759163320099</v>
      </c>
      <c r="AL707">
        <v>78.535672297300295</v>
      </c>
      <c r="AM707">
        <v>86.268276763230304</v>
      </c>
      <c r="AN707">
        <v>1.00000002195564</v>
      </c>
    </row>
    <row r="708" spans="1:40" x14ac:dyDescent="0.25">
      <c r="A708" t="str">
        <f>"20190303170511277"</f>
        <v>20190303170511277</v>
      </c>
      <c r="B708" t="str">
        <f>"1551603911265751"</f>
        <v>1551603911265751</v>
      </c>
      <c r="C708" t="s">
        <v>40</v>
      </c>
      <c r="D708">
        <v>5.6003970000000001</v>
      </c>
      <c r="E708">
        <v>0.48903809999999898</v>
      </c>
      <c r="F708" t="s">
        <v>41</v>
      </c>
      <c r="G708">
        <v>-259.20890000000003</v>
      </c>
      <c r="H708" s="1">
        <v>-5.5673369999999996E-7</v>
      </c>
      <c r="I708">
        <v>370.49959999999999</v>
      </c>
      <c r="J708">
        <v>-322.32600000000002</v>
      </c>
      <c r="K708">
        <v>1.1212009999999999</v>
      </c>
      <c r="L708">
        <v>367.47590000000002</v>
      </c>
      <c r="M708">
        <v>0.99983529999999998</v>
      </c>
      <c r="N708">
        <v>-1.203126E-2</v>
      </c>
      <c r="O708">
        <v>1.360024E-2</v>
      </c>
      <c r="P708">
        <v>0.98096810000000001</v>
      </c>
      <c r="Q708">
        <v>0.1864769</v>
      </c>
      <c r="R708">
        <v>-5.4114519999999999E-2</v>
      </c>
      <c r="S708">
        <v>3.0754700000000001</v>
      </c>
      <c r="T708">
        <v>-5.4447530000000001E-2</v>
      </c>
      <c r="U708">
        <v>0.14697270000000001</v>
      </c>
      <c r="V708">
        <v>6.7446779999999998E-2</v>
      </c>
      <c r="W708">
        <v>0.19825770000000001</v>
      </c>
      <c r="X708">
        <v>0.97782659999999999</v>
      </c>
      <c r="Y708">
        <v>-3.4135319999999997E-2</v>
      </c>
      <c r="Z708">
        <v>4.3042239999999999E-4</v>
      </c>
      <c r="AA708">
        <v>0.99941709999999995</v>
      </c>
      <c r="AB708">
        <v>22</v>
      </c>
      <c r="AC708">
        <v>63.117099999999901</v>
      </c>
      <c r="AD708">
        <v>-1.1212015567336999</v>
      </c>
      <c r="AE708">
        <v>3.0236999999999599</v>
      </c>
      <c r="AF708">
        <v>-2.1642692310031602</v>
      </c>
      <c r="AG708">
        <v>-1.1212015567336999</v>
      </c>
      <c r="AH708">
        <v>63.132511543198099</v>
      </c>
      <c r="AI708">
        <v>91.016839982253302</v>
      </c>
      <c r="AJ708">
        <v>91.963409137995896</v>
      </c>
      <c r="AK708">
        <v>63.179547070132799</v>
      </c>
      <c r="AL708">
        <v>78.564907718293099</v>
      </c>
      <c r="AM708">
        <v>86.054203607835404</v>
      </c>
      <c r="AN708">
        <v>1.0000000217045999</v>
      </c>
    </row>
    <row r="709" spans="1:40" x14ac:dyDescent="0.25">
      <c r="A709" t="str">
        <f>"20190303170511301"</f>
        <v>20190303170511301</v>
      </c>
      <c r="B709" t="str">
        <f>"1551603911295032"</f>
        <v>1551603911295032</v>
      </c>
      <c r="C709" t="s">
        <v>40</v>
      </c>
      <c r="D709">
        <v>5.178782</v>
      </c>
      <c r="E709">
        <v>0.50606569999999995</v>
      </c>
      <c r="F709" t="s">
        <v>49</v>
      </c>
      <c r="G709">
        <v>-195.6199</v>
      </c>
      <c r="H709" s="1">
        <v>-7.9509179999999996E-6</v>
      </c>
      <c r="I709">
        <v>365.28500000000003</v>
      </c>
      <c r="J709">
        <v>-322.09809999999999</v>
      </c>
      <c r="K709">
        <v>1.1211070000000001</v>
      </c>
      <c r="L709">
        <v>367.47899999999998</v>
      </c>
      <c r="M709">
        <v>0.99984170000000006</v>
      </c>
      <c r="N709">
        <v>-1.1418269999999999E-2</v>
      </c>
      <c r="O709">
        <v>1.3646429999999999E-2</v>
      </c>
      <c r="P709">
        <v>0.98080210000000001</v>
      </c>
      <c r="Q709">
        <v>0.18638080000000001</v>
      </c>
      <c r="R709">
        <v>-5.7356829999999998E-2</v>
      </c>
      <c r="S709">
        <v>3.060425</v>
      </c>
      <c r="T709">
        <v>-2.708137E-2</v>
      </c>
      <c r="U709">
        <v>-5.2917480000000003E-2</v>
      </c>
      <c r="V709">
        <v>7.0731509999999997E-2</v>
      </c>
      <c r="W709">
        <v>0.19755990000000001</v>
      </c>
      <c r="X709">
        <v>0.97773569999999999</v>
      </c>
      <c r="Y709">
        <v>3.0929169999999999E-2</v>
      </c>
      <c r="Z709">
        <v>-2.7837039999999998E-4</v>
      </c>
      <c r="AA709">
        <v>0.99952160000000001</v>
      </c>
      <c r="AB709">
        <v>22</v>
      </c>
      <c r="AC709">
        <v>126.4782</v>
      </c>
      <c r="AD709">
        <v>-1.1211149509180001</v>
      </c>
      <c r="AE709">
        <v>-2.1940000000000102</v>
      </c>
      <c r="AF709">
        <v>3.9195762020830802</v>
      </c>
      <c r="AG709">
        <v>-1.1211149509180001</v>
      </c>
      <c r="AH709">
        <v>126.42654836829701</v>
      </c>
      <c r="AI709">
        <v>90.507825502705202</v>
      </c>
      <c r="AJ709">
        <v>88.224239557733</v>
      </c>
      <c r="AK709">
        <v>126.49226106232101</v>
      </c>
      <c r="AL709">
        <v>78.605694993709093</v>
      </c>
      <c r="AM709">
        <v>85.862307698172401</v>
      </c>
      <c r="AN709">
        <v>0.99999997982468902</v>
      </c>
    </row>
    <row r="710" spans="1:40" x14ac:dyDescent="0.25">
      <c r="A710" t="str">
        <f>"20190303170511322"</f>
        <v>20190303170511322</v>
      </c>
      <c r="B710" t="str">
        <f>"1551603911315527"</f>
        <v>1551603911315527</v>
      </c>
      <c r="C710" t="s">
        <v>40</v>
      </c>
      <c r="D710">
        <v>5.3575670000000004</v>
      </c>
      <c r="E710">
        <v>0.50947149999999997</v>
      </c>
      <c r="F710" t="s">
        <v>49</v>
      </c>
      <c r="G710">
        <v>-181.0521</v>
      </c>
      <c r="H710" s="1">
        <v>-5.3358839999999996E-6</v>
      </c>
      <c r="I710">
        <v>358.33069999999998</v>
      </c>
      <c r="J710">
        <v>-321.88470000000001</v>
      </c>
      <c r="K710">
        <v>1.12103</v>
      </c>
      <c r="L710">
        <v>367.4819</v>
      </c>
      <c r="M710">
        <v>0.99984740000000005</v>
      </c>
      <c r="N710">
        <v>-1.086194E-2</v>
      </c>
      <c r="O710">
        <v>1.36901E-2</v>
      </c>
      <c r="P710">
        <v>0.98079349999999998</v>
      </c>
      <c r="Q710">
        <v>0.1857299</v>
      </c>
      <c r="R710">
        <v>-5.9571230000000003E-2</v>
      </c>
      <c r="S710">
        <v>3.0517270000000001</v>
      </c>
      <c r="T710">
        <v>-2.425683E-2</v>
      </c>
      <c r="U710">
        <v>-0.197937</v>
      </c>
      <c r="V710">
        <v>7.2988330000000004E-2</v>
      </c>
      <c r="W710">
        <v>0.1963645</v>
      </c>
      <c r="X710">
        <v>0.97781070000000003</v>
      </c>
      <c r="Y710">
        <v>7.8374890000000003E-2</v>
      </c>
      <c r="Z710">
        <v>-6.9745149999999895E-4</v>
      </c>
      <c r="AA710">
        <v>0.99692369999999997</v>
      </c>
      <c r="AB710">
        <v>22</v>
      </c>
      <c r="AC710">
        <v>140.83260000000001</v>
      </c>
      <c r="AD710">
        <v>-1.121035335884</v>
      </c>
      <c r="AE710">
        <v>-9.15120000000001</v>
      </c>
      <c r="AF710">
        <v>11.0777692480201</v>
      </c>
      <c r="AG710">
        <v>-1.121035335884</v>
      </c>
      <c r="AH710">
        <v>140.685235579649</v>
      </c>
      <c r="AI710">
        <v>90.455136925943194</v>
      </c>
      <c r="AJ710">
        <v>85.497732939808003</v>
      </c>
      <c r="AK710">
        <v>141.12515439083799</v>
      </c>
      <c r="AL710">
        <v>78.675555533931302</v>
      </c>
      <c r="AM710">
        <v>85.731093812616507</v>
      </c>
      <c r="AN710">
        <v>1.00000003910546</v>
      </c>
    </row>
    <row r="711" spans="1:40" x14ac:dyDescent="0.25">
      <c r="A711" t="str">
        <f>"20190303170511343"</f>
        <v>20190303170511343</v>
      </c>
      <c r="B711" t="str">
        <f>"1551603911335046"</f>
        <v>1551603911335046</v>
      </c>
      <c r="C711" t="s">
        <v>40</v>
      </c>
      <c r="D711">
        <v>5.4115719999999996</v>
      </c>
      <c r="E711">
        <v>0.5111964</v>
      </c>
      <c r="F711" t="s">
        <v>41</v>
      </c>
      <c r="G711">
        <v>-215.4221</v>
      </c>
      <c r="H711">
        <v>7.9986710000000003E-2</v>
      </c>
      <c r="I711">
        <v>359.3954</v>
      </c>
      <c r="J711">
        <v>-321.66820000000001</v>
      </c>
      <c r="K711">
        <v>1.1209659999999999</v>
      </c>
      <c r="L711">
        <v>367.48500000000001</v>
      </c>
      <c r="M711">
        <v>0.99985239999999997</v>
      </c>
      <c r="N711">
        <v>-1.033096E-2</v>
      </c>
      <c r="O711">
        <v>1.3734130000000001E-2</v>
      </c>
      <c r="P711">
        <v>0.98048060000000004</v>
      </c>
      <c r="Q711">
        <v>0.18652640000000001</v>
      </c>
      <c r="R711">
        <v>-6.217661E-2</v>
      </c>
      <c r="S711">
        <v>3.0502929999999999</v>
      </c>
      <c r="T711">
        <v>-2.9827240000000001E-2</v>
      </c>
      <c r="U711">
        <v>-0.23168949999999999</v>
      </c>
      <c r="V711">
        <v>7.5632240000000003E-2</v>
      </c>
      <c r="W711">
        <v>0.19663800000000001</v>
      </c>
      <c r="X711">
        <v>0.9775547</v>
      </c>
      <c r="Y711">
        <v>8.9417789999999997E-2</v>
      </c>
      <c r="Z711">
        <v>-8.9157649999999902E-4</v>
      </c>
      <c r="AA711">
        <v>0.99599380000000004</v>
      </c>
      <c r="AB711">
        <v>22</v>
      </c>
      <c r="AC711">
        <v>106.2461</v>
      </c>
      <c r="AD711">
        <v>-1.0409792899999999</v>
      </c>
      <c r="AE711">
        <v>-8.0896000000000097</v>
      </c>
      <c r="AF711">
        <v>9.5472012015565504</v>
      </c>
      <c r="AG711">
        <v>-1.0409792899999999</v>
      </c>
      <c r="AH711">
        <v>106.11484051282601</v>
      </c>
      <c r="AI711">
        <v>90.559788683803802</v>
      </c>
      <c r="AJ711">
        <v>84.858914264051407</v>
      </c>
      <c r="AK711">
        <v>106.548543236066</v>
      </c>
      <c r="AL711">
        <v>78.659572697171697</v>
      </c>
      <c r="AM711">
        <v>85.575907339362601</v>
      </c>
      <c r="AN711">
        <v>0.99999996513175304</v>
      </c>
    </row>
    <row r="712" spans="1:40" x14ac:dyDescent="0.25">
      <c r="A712" t="str">
        <f>"20190303170511365"</f>
        <v>20190303170511365</v>
      </c>
      <c r="B712" t="str">
        <f>"1551603911355543"</f>
        <v>1551603911355543</v>
      </c>
      <c r="C712" t="s">
        <v>40</v>
      </c>
      <c r="D712">
        <v>5.3566690000000001</v>
      </c>
      <c r="E712">
        <v>0.51181319999999997</v>
      </c>
      <c r="F712" t="s">
        <v>49</v>
      </c>
      <c r="G712">
        <v>-182.04259999999999</v>
      </c>
      <c r="H712" s="1">
        <v>-4.4531580000000001E-6</v>
      </c>
      <c r="I712">
        <v>355.87599999999998</v>
      </c>
      <c r="J712">
        <v>-321.45310000000001</v>
      </c>
      <c r="K712">
        <v>1.1209260000000001</v>
      </c>
      <c r="L712">
        <v>367.488</v>
      </c>
      <c r="M712">
        <v>0.99985659999999998</v>
      </c>
      <c r="N712">
        <v>-9.8483930000000004E-3</v>
      </c>
      <c r="O712">
        <v>1.3777070000000001E-2</v>
      </c>
      <c r="P712">
        <v>0.98001640000000001</v>
      </c>
      <c r="Q712">
        <v>0.18751190000000001</v>
      </c>
      <c r="R712">
        <v>-6.6389959999999998E-2</v>
      </c>
      <c r="S712">
        <v>3.04834</v>
      </c>
      <c r="T712">
        <v>-2.4473310000000002E-2</v>
      </c>
      <c r="U712">
        <v>-0.25344850000000002</v>
      </c>
      <c r="V712">
        <v>7.9880270000000003E-2</v>
      </c>
      <c r="W712">
        <v>0.19714660000000001</v>
      </c>
      <c r="X712">
        <v>0.97711429999999999</v>
      </c>
      <c r="Y712">
        <v>9.6572790000000006E-2</v>
      </c>
      <c r="Z712">
        <v>-8.3837279999999896E-4</v>
      </c>
      <c r="AA712">
        <v>0.99532560000000003</v>
      </c>
      <c r="AB712">
        <v>22</v>
      </c>
      <c r="AC712">
        <v>139.41050000000001</v>
      </c>
      <c r="AD712">
        <v>-1.120930453158</v>
      </c>
      <c r="AE712">
        <v>-11.612</v>
      </c>
      <c r="AF712">
        <v>13.5307904327465</v>
      </c>
      <c r="AG712">
        <v>-1.120930453158</v>
      </c>
      <c r="AH712">
        <v>139.228341354581</v>
      </c>
      <c r="AI712">
        <v>90.459116685264704</v>
      </c>
      <c r="AJ712">
        <v>84.449188939367005</v>
      </c>
      <c r="AK712">
        <v>139.88877657326</v>
      </c>
      <c r="AL712">
        <v>78.629850620189401</v>
      </c>
      <c r="AM712">
        <v>85.3263942170462</v>
      </c>
      <c r="AN712">
        <v>0.99999999734566103</v>
      </c>
    </row>
    <row r="713" spans="1:40" x14ac:dyDescent="0.25">
      <c r="A713" t="str">
        <f>"20190303170511388"</f>
        <v>20190303170511388</v>
      </c>
      <c r="B713" t="str">
        <f>"1551603911375063"</f>
        <v>1551603911375063</v>
      </c>
      <c r="C713" t="s">
        <v>40</v>
      </c>
      <c r="D713">
        <v>5.4142549999999998</v>
      </c>
      <c r="E713">
        <v>0.51227999999999996</v>
      </c>
      <c r="F713" t="s">
        <v>47</v>
      </c>
      <c r="G713">
        <v>-169.2955</v>
      </c>
      <c r="H713">
        <v>0.13953969999999999</v>
      </c>
      <c r="I713">
        <v>353.95490000000001</v>
      </c>
      <c r="J713">
        <v>-321.22379999999998</v>
      </c>
      <c r="K713">
        <v>1.1208610000000001</v>
      </c>
      <c r="L713">
        <v>367.49119999999999</v>
      </c>
      <c r="M713">
        <v>0.99986149999999996</v>
      </c>
      <c r="N713">
        <v>-9.2834760000000006E-3</v>
      </c>
      <c r="O713">
        <v>1.382421E-2</v>
      </c>
      <c r="P713">
        <v>0.97958559999999995</v>
      </c>
      <c r="Q713">
        <v>0.1882925</v>
      </c>
      <c r="R713">
        <v>-7.0414770000000002E-2</v>
      </c>
      <c r="S713">
        <v>3.04657</v>
      </c>
      <c r="T713">
        <v>-1.9647959999999999E-2</v>
      </c>
      <c r="U713">
        <v>-0.27096559999999997</v>
      </c>
      <c r="V713">
        <v>8.3945080000000005E-2</v>
      </c>
      <c r="W713">
        <v>0.1973705</v>
      </c>
      <c r="X713">
        <v>0.97672829999999999</v>
      </c>
      <c r="Y713">
        <v>0.1023482</v>
      </c>
      <c r="Z713">
        <v>-7.6633020000000003E-4</v>
      </c>
      <c r="AA713">
        <v>0.99474839999999998</v>
      </c>
      <c r="AB713">
        <v>22</v>
      </c>
      <c r="AC713">
        <v>151.92829999999901</v>
      </c>
      <c r="AD713">
        <v>-0.98132129999999995</v>
      </c>
      <c r="AE713">
        <v>-13.536299999999899</v>
      </c>
      <c r="AF713">
        <v>15.634738136893301</v>
      </c>
      <c r="AG713">
        <v>-0.98132129999999995</v>
      </c>
      <c r="AH713">
        <v>151.72036402063901</v>
      </c>
      <c r="AI713">
        <v>90.368629602768706</v>
      </c>
      <c r="AJ713">
        <v>84.116454668501504</v>
      </c>
      <c r="AK713">
        <v>152.52697101384501</v>
      </c>
      <c r="AL713">
        <v>78.616765374459504</v>
      </c>
      <c r="AM713">
        <v>85.087775578485804</v>
      </c>
      <c r="AN713">
        <v>1.0000000313736701</v>
      </c>
    </row>
    <row r="714" spans="1:40" x14ac:dyDescent="0.25">
      <c r="A714" t="str">
        <f>"20190303170511411"</f>
        <v>20190303170511411</v>
      </c>
      <c r="B714" t="str">
        <f>"1551603911405319"</f>
        <v>1551603911405319</v>
      </c>
      <c r="C714" t="s">
        <v>40</v>
      </c>
      <c r="D714">
        <v>5.4155110000000004</v>
      </c>
      <c r="E714">
        <v>0.51240379999999996</v>
      </c>
      <c r="F714" t="s">
        <v>47</v>
      </c>
      <c r="G714">
        <v>-158.78319999999999</v>
      </c>
      <c r="H714">
        <v>0.28468510000000002</v>
      </c>
      <c r="I714">
        <v>352.1431</v>
      </c>
      <c r="J714">
        <v>-320.98869999999999</v>
      </c>
      <c r="K714">
        <v>1.120655</v>
      </c>
      <c r="L714">
        <v>367.49439999999998</v>
      </c>
      <c r="M714">
        <v>0.99986850000000005</v>
      </c>
      <c r="N714">
        <v>-8.3966619999999992E-3</v>
      </c>
      <c r="O714">
        <v>1.387299E-2</v>
      </c>
      <c r="P714">
        <v>0.9792187</v>
      </c>
      <c r="Q714">
        <v>0.18854299999999999</v>
      </c>
      <c r="R714">
        <v>-7.4714470000000005E-2</v>
      </c>
      <c r="S714">
        <v>3.0448300000000001</v>
      </c>
      <c r="T714">
        <v>-1.5671850000000001E-2</v>
      </c>
      <c r="U714">
        <v>-0.28768919999999998</v>
      </c>
      <c r="V714">
        <v>8.8286920000000005E-2</v>
      </c>
      <c r="W714">
        <v>0.19675210000000001</v>
      </c>
      <c r="X714">
        <v>0.97647019999999995</v>
      </c>
      <c r="Y714">
        <v>0.1078646</v>
      </c>
      <c r="Z714">
        <v>-6.8588779999999999E-4</v>
      </c>
      <c r="AA714">
        <v>0.99416539999999998</v>
      </c>
      <c r="AB714">
        <v>23</v>
      </c>
      <c r="AC714">
        <v>162.2055</v>
      </c>
      <c r="AD714">
        <v>-0.83596990000000004</v>
      </c>
      <c r="AE714">
        <v>-15.351299999999901</v>
      </c>
      <c r="AF714">
        <v>17.599713879621099</v>
      </c>
      <c r="AG714">
        <v>-0.83596990000000004</v>
      </c>
      <c r="AH714">
        <v>161.972649163797</v>
      </c>
      <c r="AI714">
        <v>90.293980825352406</v>
      </c>
      <c r="AJ714">
        <v>83.798652843795693</v>
      </c>
      <c r="AK714">
        <v>162.928167765604</v>
      </c>
      <c r="AL714">
        <v>78.652905512239002</v>
      </c>
      <c r="AM714">
        <v>84.833686469790706</v>
      </c>
      <c r="AN714">
        <v>1.00000001029276</v>
      </c>
    </row>
    <row r="715" spans="1:40" x14ac:dyDescent="0.25">
      <c r="A715" t="str">
        <f>"20190303170511433"</f>
        <v>20190303170511433</v>
      </c>
      <c r="B715" t="str">
        <f>"1551603911424839"</f>
        <v>1551603911424839</v>
      </c>
      <c r="C715" t="s">
        <v>40</v>
      </c>
      <c r="D715">
        <v>5.3511449999999998</v>
      </c>
      <c r="E715">
        <v>0.51223679999999905</v>
      </c>
      <c r="F715" t="s">
        <v>47</v>
      </c>
      <c r="G715">
        <v>-158.78319999999999</v>
      </c>
      <c r="H715">
        <v>0.4260273</v>
      </c>
      <c r="I715">
        <v>351.39359999999999</v>
      </c>
      <c r="J715">
        <v>-320.76049999999998</v>
      </c>
      <c r="K715">
        <v>1.1203590000000001</v>
      </c>
      <c r="L715">
        <v>367.49759999999998</v>
      </c>
      <c r="M715">
        <v>0.99987329999999996</v>
      </c>
      <c r="N715">
        <v>-7.7339169999999999E-3</v>
      </c>
      <c r="O715">
        <v>1.392027E-2</v>
      </c>
      <c r="P715">
        <v>0.97893949999999996</v>
      </c>
      <c r="Q715">
        <v>0.18779509999999999</v>
      </c>
      <c r="R715">
        <v>-8.0068070000000005E-2</v>
      </c>
      <c r="S715">
        <v>3.043091</v>
      </c>
      <c r="T715">
        <v>-1.303005E-2</v>
      </c>
      <c r="U715">
        <v>-0.30206300000000003</v>
      </c>
      <c r="V715">
        <v>9.3682260000000003E-2</v>
      </c>
      <c r="W715">
        <v>0.19535350000000001</v>
      </c>
      <c r="X715">
        <v>0.97624829999999996</v>
      </c>
      <c r="Y715">
        <v>0.11261649999999999</v>
      </c>
      <c r="Z715">
        <v>-6.2916099999999896E-4</v>
      </c>
      <c r="AA715">
        <v>0.99363829999999997</v>
      </c>
      <c r="AB715">
        <v>23</v>
      </c>
      <c r="AC715">
        <v>161.97730000000001</v>
      </c>
      <c r="AD715">
        <v>-0.6943317</v>
      </c>
      <c r="AE715">
        <v>-16.1039999999999</v>
      </c>
      <c r="AF715">
        <v>18.356940514102</v>
      </c>
      <c r="AG715">
        <v>-0.6943317</v>
      </c>
      <c r="AH715">
        <v>161.73448333471401</v>
      </c>
      <c r="AI715">
        <v>90.244402060541404</v>
      </c>
      <c r="AJ715">
        <v>83.524613069830394</v>
      </c>
      <c r="AK715">
        <v>162.774391293885</v>
      </c>
      <c r="AL715">
        <v>78.734625752160596</v>
      </c>
      <c r="AM715">
        <v>84.518594797831597</v>
      </c>
      <c r="AN715">
        <v>1.0000000495269199</v>
      </c>
    </row>
    <row r="716" spans="1:40" x14ac:dyDescent="0.25">
      <c r="A716" t="str">
        <f>"20190303170511454"</f>
        <v>20190303170511454</v>
      </c>
      <c r="B716" t="str">
        <f>"1551603911445335"</f>
        <v>1551603911445335</v>
      </c>
      <c r="C716" t="s">
        <v>40</v>
      </c>
      <c r="D716">
        <v>5.4095890000000004</v>
      </c>
      <c r="E716">
        <v>0.51211110000000004</v>
      </c>
      <c r="F716" t="s">
        <v>43</v>
      </c>
      <c r="G716">
        <v>-69.577510000000004</v>
      </c>
      <c r="H716">
        <v>-0.05</v>
      </c>
      <c r="I716">
        <v>341.2441</v>
      </c>
      <c r="J716">
        <v>-320.54020000000003</v>
      </c>
      <c r="K716">
        <v>1.1199479999999999</v>
      </c>
      <c r="L716">
        <v>367.50069999999999</v>
      </c>
      <c r="M716">
        <v>0.99987459999999995</v>
      </c>
      <c r="N716">
        <v>-7.4820800000000003E-3</v>
      </c>
      <c r="O716">
        <v>1.396476E-2</v>
      </c>
      <c r="P716">
        <v>0.97856790000000005</v>
      </c>
      <c r="Q716">
        <v>0.18699850000000001</v>
      </c>
      <c r="R716">
        <v>-8.6235649999999997E-2</v>
      </c>
      <c r="S716">
        <v>3.0412599999999999</v>
      </c>
      <c r="T716">
        <v>-1.417041E-2</v>
      </c>
      <c r="U716">
        <v>-0.31787110000000002</v>
      </c>
      <c r="V716">
        <v>9.9887310000000007E-2</v>
      </c>
      <c r="W716">
        <v>0.19430819999999999</v>
      </c>
      <c r="X716">
        <v>0.97584159999999998</v>
      </c>
      <c r="Y716">
        <v>0.1178293</v>
      </c>
      <c r="Z716">
        <v>-6.7648610000000005E-4</v>
      </c>
      <c r="AA716">
        <v>0.99303359999999996</v>
      </c>
      <c r="AB716">
        <v>23</v>
      </c>
      <c r="AC716">
        <v>250.96268999999899</v>
      </c>
      <c r="AD716">
        <v>-1.169948</v>
      </c>
      <c r="AE716">
        <v>-26.256599999999899</v>
      </c>
      <c r="AF716">
        <v>29.7581312646602</v>
      </c>
      <c r="AG716">
        <v>-1.169948</v>
      </c>
      <c r="AH716">
        <v>250.566152883543</v>
      </c>
      <c r="AI716">
        <v>90.265657608297602</v>
      </c>
      <c r="AJ716">
        <v>83.227073246642107</v>
      </c>
      <c r="AK716">
        <v>252.32976860756301</v>
      </c>
      <c r="AL716">
        <v>78.795686481055796</v>
      </c>
      <c r="AM716">
        <v>84.155549615109507</v>
      </c>
      <c r="AN716">
        <v>0.99999998978841798</v>
      </c>
    </row>
    <row r="717" spans="1:40" x14ac:dyDescent="0.25">
      <c r="A717" t="str">
        <f>"20190303170511479"</f>
        <v>20190303170511479</v>
      </c>
      <c r="B717" t="str">
        <f>"1551603911464855"</f>
        <v>1551603911464855</v>
      </c>
      <c r="C717" t="s">
        <v>40</v>
      </c>
      <c r="D717">
        <v>5.3533619999999997</v>
      </c>
      <c r="E717">
        <v>0.51168970000000003</v>
      </c>
      <c r="F717" t="s">
        <v>43</v>
      </c>
      <c r="G717">
        <v>-91.235140000000001</v>
      </c>
      <c r="H717">
        <v>-0.05</v>
      </c>
      <c r="I717">
        <v>342.11599999999999</v>
      </c>
      <c r="J717">
        <v>-320.27929999999998</v>
      </c>
      <c r="K717">
        <v>1.119262</v>
      </c>
      <c r="L717">
        <v>367.50439999999998</v>
      </c>
      <c r="M717">
        <v>0.99987250000000005</v>
      </c>
      <c r="N717">
        <v>-7.67126599999999E-3</v>
      </c>
      <c r="O717">
        <v>1.401644E-2</v>
      </c>
      <c r="P717">
        <v>0.97820419999999997</v>
      </c>
      <c r="Q717">
        <v>0.18598619999999999</v>
      </c>
      <c r="R717">
        <v>-9.2337299999999997E-2</v>
      </c>
      <c r="S717">
        <v>3.0390009999999998</v>
      </c>
      <c r="T717">
        <v>-1.5505430000000001E-2</v>
      </c>
      <c r="U717">
        <v>-0.3364258</v>
      </c>
      <c r="V717">
        <v>0.10603319999999999</v>
      </c>
      <c r="W717">
        <v>0.19347739999999999</v>
      </c>
      <c r="X717">
        <v>0.97535810000000001</v>
      </c>
      <c r="Y717">
        <v>0.1239474</v>
      </c>
      <c r="Z717">
        <v>-7.5624090000000002E-4</v>
      </c>
      <c r="AA717">
        <v>0.99228850000000002</v>
      </c>
      <c r="AB717">
        <v>23</v>
      </c>
      <c r="AC717">
        <v>229.04416000000001</v>
      </c>
      <c r="AD717">
        <v>-1.169262</v>
      </c>
      <c r="AE717">
        <v>-25.388399999999901</v>
      </c>
      <c r="AF717">
        <v>28.595647316488702</v>
      </c>
      <c r="AG717">
        <v>-1.169262</v>
      </c>
      <c r="AH717">
        <v>228.65990640589899</v>
      </c>
      <c r="AI717">
        <v>90.290717350277902</v>
      </c>
      <c r="AJ717">
        <v>82.871737120064793</v>
      </c>
      <c r="AK717">
        <v>230.44398672264799</v>
      </c>
      <c r="AL717">
        <v>78.844208564373702</v>
      </c>
      <c r="AM717">
        <v>83.795622298171693</v>
      </c>
      <c r="AN717">
        <v>0.99999998352430397</v>
      </c>
    </row>
    <row r="718" spans="1:40" x14ac:dyDescent="0.25">
      <c r="A718" t="str">
        <f>"20190303170511500"</f>
        <v>20190303170511500</v>
      </c>
      <c r="B718" t="str">
        <f>"1551603911485351"</f>
        <v>1551603911485351</v>
      </c>
      <c r="C718" t="s">
        <v>40</v>
      </c>
      <c r="D718">
        <v>5.3551029999999997</v>
      </c>
      <c r="E718">
        <v>0.51119239999999999</v>
      </c>
      <c r="F718" t="s">
        <v>43</v>
      </c>
      <c r="G718">
        <v>-122.0531</v>
      </c>
      <c r="H718">
        <v>-0.05</v>
      </c>
      <c r="I718">
        <v>344.56650000000002</v>
      </c>
      <c r="J718">
        <v>-320.06009999999998</v>
      </c>
      <c r="K718">
        <v>1.1184689999999999</v>
      </c>
      <c r="L718">
        <v>367.50740000000002</v>
      </c>
      <c r="M718">
        <v>0.99986770000000003</v>
      </c>
      <c r="N718">
        <v>-8.1987629999999995E-3</v>
      </c>
      <c r="O718">
        <v>1.405851E-2</v>
      </c>
      <c r="P718">
        <v>0.97784360000000003</v>
      </c>
      <c r="Q718">
        <v>0.18506890000000001</v>
      </c>
      <c r="R718">
        <v>-9.7836560000000003E-2</v>
      </c>
      <c r="S718">
        <v>3.0371090000000001</v>
      </c>
      <c r="T718">
        <v>-1.791477E-2</v>
      </c>
      <c r="U718">
        <v>-0.35144039999999999</v>
      </c>
      <c r="V718">
        <v>0.11156720000000001</v>
      </c>
      <c r="W718">
        <v>0.19307179999999999</v>
      </c>
      <c r="X718">
        <v>0.97482100000000005</v>
      </c>
      <c r="Y718">
        <v>0.1288975</v>
      </c>
      <c r="Z718">
        <v>-8.7687170000000001E-4</v>
      </c>
      <c r="AA718">
        <v>0.99165760000000003</v>
      </c>
      <c r="AB718">
        <v>23</v>
      </c>
      <c r="AC718">
        <v>198.00700000000001</v>
      </c>
      <c r="AD718">
        <v>-1.168469</v>
      </c>
      <c r="AE718">
        <v>-22.940899999999999</v>
      </c>
      <c r="AF718">
        <v>25.721525411000101</v>
      </c>
      <c r="AG718">
        <v>-1.168469</v>
      </c>
      <c r="AH718">
        <v>197.658112845067</v>
      </c>
      <c r="AI718">
        <v>90.335871988765305</v>
      </c>
      <c r="AJ718">
        <v>82.585684887913999</v>
      </c>
      <c r="AK718">
        <v>199.32810078547899</v>
      </c>
      <c r="AL718">
        <v>78.867894194792797</v>
      </c>
      <c r="AM718">
        <v>83.470968598046497</v>
      </c>
      <c r="AN718">
        <v>0.99999997105603899</v>
      </c>
    </row>
    <row r="719" spans="1:40" x14ac:dyDescent="0.25">
      <c r="A719" t="str">
        <f>"20190303170511523"</f>
        <v>20190303170511523</v>
      </c>
      <c r="B719" t="str">
        <f>"1551603911515607"</f>
        <v>1551603911515607</v>
      </c>
      <c r="C719" t="s">
        <v>40</v>
      </c>
      <c r="D719">
        <v>5.3548090000000004</v>
      </c>
      <c r="E719">
        <v>0.51050390000000001</v>
      </c>
      <c r="F719" t="s">
        <v>43</v>
      </c>
      <c r="G719">
        <v>-138.39789999999999</v>
      </c>
      <c r="H719">
        <v>-0.05</v>
      </c>
      <c r="I719">
        <v>345.68009999999998</v>
      </c>
      <c r="J719">
        <v>-319.82420000000002</v>
      </c>
      <c r="K719">
        <v>1.1174329999999999</v>
      </c>
      <c r="L719">
        <v>367.51080000000002</v>
      </c>
      <c r="M719">
        <v>0.99985769999999996</v>
      </c>
      <c r="N719">
        <v>-9.2613190000000005E-3</v>
      </c>
      <c r="O719">
        <v>1.4101890000000001E-2</v>
      </c>
      <c r="P719">
        <v>0.97754240000000003</v>
      </c>
      <c r="Q719">
        <v>0.18160899999999999</v>
      </c>
      <c r="R719">
        <v>-0.1069069</v>
      </c>
      <c r="S719">
        <v>3.0351560000000002</v>
      </c>
      <c r="T719">
        <v>-1.952243E-2</v>
      </c>
      <c r="U719">
        <v>-0.36468509999999998</v>
      </c>
      <c r="V719">
        <v>0.120674</v>
      </c>
      <c r="W719">
        <v>0.19064490000000001</v>
      </c>
      <c r="X719">
        <v>0.97421369999999896</v>
      </c>
      <c r="Y719">
        <v>0.133278799999999</v>
      </c>
      <c r="Z719">
        <v>-1.0067819999999999E-3</v>
      </c>
      <c r="AA719">
        <v>0.99107809999999996</v>
      </c>
      <c r="AB719">
        <v>23</v>
      </c>
      <c r="AC719">
        <v>181.4263</v>
      </c>
      <c r="AD719">
        <v>-1.1674329999999999</v>
      </c>
      <c r="AE719">
        <v>-21.8307</v>
      </c>
      <c r="AF719">
        <v>24.3860971069717</v>
      </c>
      <c r="AG719">
        <v>-1.1674329999999999</v>
      </c>
      <c r="AH719">
        <v>181.09299939346499</v>
      </c>
      <c r="AI719">
        <v>90.366053586643901</v>
      </c>
      <c r="AJ719">
        <v>82.330649611808695</v>
      </c>
      <c r="AK719">
        <v>182.73127554209699</v>
      </c>
      <c r="AL719">
        <v>79.009577932338999</v>
      </c>
      <c r="AM719">
        <v>82.938847875319496</v>
      </c>
      <c r="AN719">
        <v>1.0000000127198401</v>
      </c>
    </row>
    <row r="720" spans="1:40" x14ac:dyDescent="0.25">
      <c r="A720" t="str">
        <f>"20190303170511537"</f>
        <v>20190303170511537</v>
      </c>
      <c r="B720" t="str">
        <f>"1551603911525367"</f>
        <v>1551603911525367</v>
      </c>
      <c r="C720" t="s">
        <v>40</v>
      </c>
      <c r="D720">
        <v>5.3605010000000002</v>
      </c>
      <c r="E720">
        <v>0.51020909999999997</v>
      </c>
      <c r="F720" t="s">
        <v>43</v>
      </c>
      <c r="G720">
        <v>-199.2808</v>
      </c>
      <c r="H720">
        <v>-0.05</v>
      </c>
      <c r="I720">
        <v>352.11799999999999</v>
      </c>
      <c r="J720">
        <v>-319.68020000000001</v>
      </c>
      <c r="K720">
        <v>1.1167</v>
      </c>
      <c r="L720">
        <v>367.51280000000003</v>
      </c>
      <c r="M720">
        <v>0.99984799999999996</v>
      </c>
      <c r="N720">
        <v>-1.0225740000000001E-2</v>
      </c>
      <c r="O720">
        <v>1.412797E-2</v>
      </c>
      <c r="P720">
        <v>0.97743899999999995</v>
      </c>
      <c r="Q720">
        <v>0.17953189999999999</v>
      </c>
      <c r="R720">
        <v>-0.11127280000000001</v>
      </c>
      <c r="S720">
        <v>3.0320429999999998</v>
      </c>
      <c r="T720">
        <v>-2.9364589999999999E-2</v>
      </c>
      <c r="U720">
        <v>-0.38717649999999998</v>
      </c>
      <c r="V720">
        <v>0.12506329999999999</v>
      </c>
      <c r="W720">
        <v>0.1895059</v>
      </c>
      <c r="X720">
        <v>0.97388229999999998</v>
      </c>
      <c r="Y720">
        <v>0.14065520000000001</v>
      </c>
      <c r="Z720">
        <v>-1.392885E-3</v>
      </c>
      <c r="AA720">
        <v>0.99005759999999998</v>
      </c>
      <c r="AB720">
        <v>23</v>
      </c>
      <c r="AC720">
        <v>120.3994</v>
      </c>
      <c r="AD720">
        <v>-1.1667000000000001</v>
      </c>
      <c r="AE720">
        <v>-15.394799999999901</v>
      </c>
      <c r="AF720">
        <v>17.092772048818901</v>
      </c>
      <c r="AG720">
        <v>-1.1667000000000001</v>
      </c>
      <c r="AH720">
        <v>120.158772174747</v>
      </c>
      <c r="AI720">
        <v>90.550760461313303</v>
      </c>
      <c r="AJ720">
        <v>81.903904266176795</v>
      </c>
      <c r="AK720">
        <v>121.374027599589</v>
      </c>
      <c r="AL720">
        <v>79.076049773653395</v>
      </c>
      <c r="AM720">
        <v>82.682282872937193</v>
      </c>
      <c r="AN720">
        <v>1.0000000246974901</v>
      </c>
    </row>
    <row r="721" spans="1:40" x14ac:dyDescent="0.25">
      <c r="A721" t="str">
        <f>"20190303170511550"</f>
        <v>20190303170511550</v>
      </c>
      <c r="B721" t="str">
        <f>"1551603911544887"</f>
        <v>1551603911544887</v>
      </c>
      <c r="C721" t="s">
        <v>40</v>
      </c>
      <c r="D721">
        <v>5.3495869999999996</v>
      </c>
      <c r="E721">
        <v>0.50019460000000004</v>
      </c>
      <c r="F721" t="s">
        <v>48</v>
      </c>
      <c r="G721">
        <v>-249.93049999999999</v>
      </c>
      <c r="H721">
        <v>0.2995314</v>
      </c>
      <c r="I721">
        <v>358.34789999999998</v>
      </c>
      <c r="J721">
        <v>-319.53710000000001</v>
      </c>
      <c r="K721">
        <v>1.115928</v>
      </c>
      <c r="L721">
        <v>367.51490000000001</v>
      </c>
      <c r="M721">
        <v>0.99983650000000002</v>
      </c>
      <c r="N721">
        <v>-1.125724E-2</v>
      </c>
      <c r="O721">
        <v>1.415433E-2</v>
      </c>
      <c r="P721">
        <v>0.97737220000000002</v>
      </c>
      <c r="Q721">
        <v>0.17725879999999999</v>
      </c>
      <c r="R721">
        <v>-0.1154265</v>
      </c>
      <c r="S721">
        <v>3.0304570000000002</v>
      </c>
      <c r="T721">
        <v>-3.5500289999999997E-2</v>
      </c>
      <c r="U721">
        <v>-0.39819339999999998</v>
      </c>
      <c r="V721">
        <v>0.12924140000000001</v>
      </c>
      <c r="W721">
        <v>0.1882364</v>
      </c>
      <c r="X721">
        <v>0.97358290000000003</v>
      </c>
      <c r="Y721">
        <v>0.14427960000000001</v>
      </c>
      <c r="Z721">
        <v>-1.663589E-3</v>
      </c>
      <c r="AA721">
        <v>0.98953559999999996</v>
      </c>
      <c r="AB721">
        <v>23</v>
      </c>
      <c r="AC721">
        <v>69.6066</v>
      </c>
      <c r="AD721">
        <v>-0.81639659999999903</v>
      </c>
      <c r="AE721">
        <v>-9.16700000000003</v>
      </c>
      <c r="AF721">
        <v>10.150006267109299</v>
      </c>
      <c r="AG721">
        <v>-0.81639659999999903</v>
      </c>
      <c r="AH721">
        <v>69.460472852127495</v>
      </c>
      <c r="AI721">
        <v>90.666313464384899</v>
      </c>
      <c r="AJ721">
        <v>81.686415987507004</v>
      </c>
      <c r="AK721">
        <v>70.202894665903898</v>
      </c>
      <c r="AL721">
        <v>79.150119318952704</v>
      </c>
      <c r="AM721">
        <v>82.438297922501604</v>
      </c>
      <c r="AN721">
        <v>0.99999997246566397</v>
      </c>
    </row>
    <row r="722" spans="1:40" x14ac:dyDescent="0.25">
      <c r="A722" t="str">
        <f>"20190303170511564"</f>
        <v>20190303170511564</v>
      </c>
      <c r="B722" t="str">
        <f>"1551603911555623"</f>
        <v>1551603911555623</v>
      </c>
      <c r="C722" t="s">
        <v>40</v>
      </c>
      <c r="D722">
        <v>5.3618560000000004</v>
      </c>
      <c r="E722">
        <v>0.50002879999999905</v>
      </c>
      <c r="F722" t="s">
        <v>41</v>
      </c>
      <c r="G722">
        <v>-213.0641</v>
      </c>
      <c r="H722">
        <v>7.9986089999999996E-2</v>
      </c>
      <c r="I722">
        <v>355.87209999999999</v>
      </c>
      <c r="J722">
        <v>-319.39150000000001</v>
      </c>
      <c r="K722">
        <v>1.1150960000000001</v>
      </c>
      <c r="L722">
        <v>367.51690000000002</v>
      </c>
      <c r="M722">
        <v>0.99982300000000002</v>
      </c>
      <c r="N722">
        <v>-1.2368499999999999E-2</v>
      </c>
      <c r="O722">
        <v>1.4181849999999999E-2</v>
      </c>
      <c r="P722">
        <v>0.97731489999999999</v>
      </c>
      <c r="Q722">
        <v>0.17494860000000001</v>
      </c>
      <c r="R722">
        <v>-0.1193685</v>
      </c>
      <c r="S722">
        <v>3.0355829999999999</v>
      </c>
      <c r="T722">
        <v>-2.9535059999999998E-2</v>
      </c>
      <c r="U722">
        <v>-0.3319397</v>
      </c>
      <c r="V722">
        <v>0.13320899999999999</v>
      </c>
      <c r="W722">
        <v>0.18700700000000001</v>
      </c>
      <c r="X722">
        <v>0.97328499999999996</v>
      </c>
      <c r="Y722">
        <v>0.12277639999999999</v>
      </c>
      <c r="Z722">
        <v>-1.319829E-3</v>
      </c>
      <c r="AA722">
        <v>0.99243349999999997</v>
      </c>
      <c r="AB722">
        <v>23</v>
      </c>
      <c r="AC722">
        <v>106.3274</v>
      </c>
      <c r="AD722">
        <v>-1.0351099100000001</v>
      </c>
      <c r="AE722">
        <v>-11.6448</v>
      </c>
      <c r="AF722">
        <v>13.150431692998801</v>
      </c>
      <c r="AG722">
        <v>-1.0351099100000001</v>
      </c>
      <c r="AH722">
        <v>106.141607770096</v>
      </c>
      <c r="AI722">
        <v>90.554500559931</v>
      </c>
      <c r="AJ722">
        <v>82.937320770305007</v>
      </c>
      <c r="AK722">
        <v>106.958151658763</v>
      </c>
      <c r="AL722">
        <v>79.221832292817396</v>
      </c>
      <c r="AM722">
        <v>82.206614129374898</v>
      </c>
      <c r="AN722">
        <v>0.99999997347749903</v>
      </c>
    </row>
    <row r="723" spans="1:40" x14ac:dyDescent="0.25">
      <c r="A723" t="str">
        <f>"20190303170511579"</f>
        <v>20190303170511579</v>
      </c>
      <c r="B723" t="str">
        <f>"1551603911565383"</f>
        <v>1551603911565383</v>
      </c>
      <c r="C723" t="s">
        <v>40</v>
      </c>
      <c r="D723">
        <v>5.3606290000000003</v>
      </c>
      <c r="E723">
        <v>0.49913980000000002</v>
      </c>
      <c r="F723" t="s">
        <v>41</v>
      </c>
      <c r="G723">
        <v>-230.2321</v>
      </c>
      <c r="H723">
        <v>7.9986860000000007E-2</v>
      </c>
      <c r="I723">
        <v>357.44220000000001</v>
      </c>
      <c r="J723">
        <v>-319.23680000000002</v>
      </c>
      <c r="K723">
        <v>1.1141289999999999</v>
      </c>
      <c r="L723">
        <v>367.51909999999998</v>
      </c>
      <c r="M723">
        <v>0.99980760000000002</v>
      </c>
      <c r="N723">
        <v>-1.3522070000000001E-2</v>
      </c>
      <c r="O723">
        <v>1.421233E-2</v>
      </c>
      <c r="P723">
        <v>0.97687290000000004</v>
      </c>
      <c r="Q723">
        <v>0.17171719999999999</v>
      </c>
      <c r="R723">
        <v>-0.12740770000000001</v>
      </c>
      <c r="S723">
        <v>3.034027</v>
      </c>
      <c r="T723">
        <v>-3.5223959999999999E-2</v>
      </c>
      <c r="U723">
        <v>-0.34283449999999999</v>
      </c>
      <c r="V723">
        <v>0.14127120000000001</v>
      </c>
      <c r="W723">
        <v>0.18489159999999999</v>
      </c>
      <c r="X723">
        <v>0.97255210000000003</v>
      </c>
      <c r="Y723">
        <v>0.12637599999999999</v>
      </c>
      <c r="Z723">
        <v>-1.561436E-3</v>
      </c>
      <c r="AA723">
        <v>0.99198120000000001</v>
      </c>
      <c r="AB723">
        <v>23</v>
      </c>
      <c r="AC723">
        <v>89.0047</v>
      </c>
      <c r="AD723">
        <v>-1.0341421399999999</v>
      </c>
      <c r="AE723">
        <v>-10.076899999999901</v>
      </c>
      <c r="AF723">
        <v>11.3394503740974</v>
      </c>
      <c r="AG723">
        <v>-1.0341421399999999</v>
      </c>
      <c r="AH723">
        <v>88.840637821620405</v>
      </c>
      <c r="AI723">
        <v>90.6615501261426</v>
      </c>
      <c r="AJ723">
        <v>82.726205610197198</v>
      </c>
      <c r="AK723">
        <v>89.567357409408203</v>
      </c>
      <c r="AL723">
        <v>79.345187722250998</v>
      </c>
      <c r="AM723">
        <v>81.735122288631601</v>
      </c>
      <c r="AN723">
        <v>1.0000000214572</v>
      </c>
    </row>
    <row r="724" spans="1:40" x14ac:dyDescent="0.25">
      <c r="A724" t="str">
        <f>"20190303170511601"</f>
        <v>20190303170511601</v>
      </c>
      <c r="B724" t="str">
        <f>"1551603911595639"</f>
        <v>1551603911595639</v>
      </c>
      <c r="C724" t="s">
        <v>40</v>
      </c>
      <c r="D724">
        <v>5.3385579999999999</v>
      </c>
      <c r="E724">
        <v>0.52602969999999905</v>
      </c>
      <c r="F724" t="s">
        <v>41</v>
      </c>
      <c r="G724">
        <v>-246.58600000000001</v>
      </c>
      <c r="H724">
        <v>7.998624E-2</v>
      </c>
      <c r="I724">
        <v>358.88799999999998</v>
      </c>
      <c r="J724">
        <v>-318.99849999999998</v>
      </c>
      <c r="K724">
        <v>1.112576</v>
      </c>
      <c r="L724">
        <v>367.52260000000001</v>
      </c>
      <c r="M724">
        <v>0.99978350000000005</v>
      </c>
      <c r="N724">
        <v>-1.515646E-2</v>
      </c>
      <c r="O724">
        <v>1.4258079999999999E-2</v>
      </c>
      <c r="P724">
        <v>0.97625459999999997</v>
      </c>
      <c r="Q724">
        <v>0.16855110000000001</v>
      </c>
      <c r="R724">
        <v>-0.13608039999999999</v>
      </c>
      <c r="S724">
        <v>3.031647</v>
      </c>
      <c r="T724">
        <v>-4.3153759999999999E-2</v>
      </c>
      <c r="U724">
        <v>-0.3601685</v>
      </c>
      <c r="V724">
        <v>0.149978799999999</v>
      </c>
      <c r="W724">
        <v>0.1833051</v>
      </c>
      <c r="X724">
        <v>0.97154810000000003</v>
      </c>
      <c r="Y724">
        <v>0.13209399999999999</v>
      </c>
      <c r="Z724">
        <v>-1.9284619999999999E-3</v>
      </c>
      <c r="AA724">
        <v>0.99123530000000004</v>
      </c>
      <c r="AB724">
        <v>23</v>
      </c>
      <c r="AC724">
        <v>72.412499999999994</v>
      </c>
      <c r="AD724">
        <v>-1.03258976</v>
      </c>
      <c r="AE724">
        <v>-8.6345999999999705</v>
      </c>
      <c r="AF724">
        <v>9.6643662461229294</v>
      </c>
      <c r="AG724">
        <v>-1.03258976</v>
      </c>
      <c r="AH724">
        <v>72.267521449079098</v>
      </c>
      <c r="AI724">
        <v>90.8113890569999</v>
      </c>
      <c r="AJ724">
        <v>82.383003614411706</v>
      </c>
      <c r="AK724">
        <v>72.918179303550602</v>
      </c>
      <c r="AL724">
        <v>79.437668539577004</v>
      </c>
      <c r="AM724">
        <v>81.224466862142506</v>
      </c>
      <c r="AN724">
        <v>1.0000000553745201</v>
      </c>
    </row>
    <row r="725" spans="1:40" x14ac:dyDescent="0.25">
      <c r="A725" t="str">
        <f>"20190303170511615"</f>
        <v>20190303170511615</v>
      </c>
      <c r="B725" t="str">
        <f>"1551603911605399"</f>
        <v>1551603911605399</v>
      </c>
      <c r="C725" t="s">
        <v>40</v>
      </c>
      <c r="D725">
        <v>5.3468970000000002</v>
      </c>
      <c r="E725">
        <v>0.52602969999999905</v>
      </c>
      <c r="F725" t="s">
        <v>43</v>
      </c>
      <c r="G725">
        <v>-300.76280000000003</v>
      </c>
      <c r="H725">
        <v>-0.05</v>
      </c>
      <c r="I725">
        <v>363.9325</v>
      </c>
      <c r="J725">
        <v>-318.84989999999999</v>
      </c>
      <c r="K725">
        <v>1.1115809999999999</v>
      </c>
      <c r="L725">
        <v>367.5247</v>
      </c>
      <c r="M725">
        <v>0.99976929999999997</v>
      </c>
      <c r="N725">
        <v>-1.6046419999999999E-2</v>
      </c>
      <c r="O725">
        <v>1.428718E-2</v>
      </c>
      <c r="P725">
        <v>0.97589590000000004</v>
      </c>
      <c r="Q725">
        <v>0.16676070000000001</v>
      </c>
      <c r="R725">
        <v>-0.14077909999999999</v>
      </c>
      <c r="S725">
        <v>3.0232540000000001</v>
      </c>
      <c r="T725">
        <v>-0.19274069999999999</v>
      </c>
      <c r="U725">
        <v>-0.5951843</v>
      </c>
      <c r="V725">
        <v>0.15470039999999999</v>
      </c>
      <c r="W725">
        <v>0.18237220000000001</v>
      </c>
      <c r="X725">
        <v>0.97098309999999999</v>
      </c>
      <c r="Y725">
        <v>0.2066365</v>
      </c>
      <c r="Z725">
        <v>-8.8683110000000002E-3</v>
      </c>
      <c r="AA725">
        <v>0.97837759999999996</v>
      </c>
      <c r="AB725">
        <v>23</v>
      </c>
      <c r="AC725">
        <v>18.0870999999999</v>
      </c>
      <c r="AD725">
        <v>-1.161581</v>
      </c>
      <c r="AE725">
        <v>-3.5921999999999898</v>
      </c>
      <c r="AF725">
        <v>3.8350630361508702</v>
      </c>
      <c r="AG725">
        <v>-1.161581</v>
      </c>
      <c r="AH725">
        <v>17.962650546286199</v>
      </c>
      <c r="AI725">
        <v>93.618632245700695</v>
      </c>
      <c r="AJ725">
        <v>77.948178236902294</v>
      </c>
      <c r="AK725">
        <v>18.404178698295901</v>
      </c>
      <c r="AL725">
        <v>79.4920357352282</v>
      </c>
      <c r="AM725">
        <v>80.947521646788402</v>
      </c>
      <c r="AN725">
        <v>1.0000000067893</v>
      </c>
    </row>
    <row r="726" spans="1:40" x14ac:dyDescent="0.25">
      <c r="A726" t="str">
        <f>"20190303170511634"</f>
        <v>20190303170511634</v>
      </c>
      <c r="B726" t="str">
        <f>"1551603911624919"</f>
        <v>1551603911624919</v>
      </c>
      <c r="C726" t="s">
        <v>40</v>
      </c>
      <c r="D726">
        <v>5.1027019999999998</v>
      </c>
      <c r="E726">
        <v>0.58567829999999999</v>
      </c>
      <c r="F726" t="s">
        <v>43</v>
      </c>
      <c r="G726">
        <v>-301.15789999999998</v>
      </c>
      <c r="H726">
        <v>-0.05</v>
      </c>
      <c r="I726">
        <v>363.95339999999999</v>
      </c>
      <c r="J726">
        <v>-318.64389999999997</v>
      </c>
      <c r="K726">
        <v>1.11016</v>
      </c>
      <c r="L726">
        <v>367.52760000000001</v>
      </c>
      <c r="M726">
        <v>0.99975400000000003</v>
      </c>
      <c r="N726">
        <v>-1.6935800000000001E-2</v>
      </c>
      <c r="O726">
        <v>1.4329629999999999E-2</v>
      </c>
      <c r="P726">
        <v>0.97520580000000001</v>
      </c>
      <c r="Q726">
        <v>0.1643474</v>
      </c>
      <c r="R726">
        <v>-0.1482019</v>
      </c>
      <c r="S726">
        <v>3.0200499999999999</v>
      </c>
      <c r="T726">
        <v>-0.19828399999999999</v>
      </c>
      <c r="U726">
        <v>-0.60961909999999997</v>
      </c>
      <c r="V726">
        <v>0.16215450000000001</v>
      </c>
      <c r="W726">
        <v>0.18080979999999999</v>
      </c>
      <c r="X726">
        <v>0.97005859999999999</v>
      </c>
      <c r="Y726">
        <v>0.21132380000000001</v>
      </c>
      <c r="Z726">
        <v>-9.3614609999999997E-3</v>
      </c>
      <c r="AA726">
        <v>0.97737130000000005</v>
      </c>
      <c r="AB726">
        <v>24</v>
      </c>
      <c r="AC726">
        <v>17.485999999999901</v>
      </c>
      <c r="AD726">
        <v>-1.1601600000000001</v>
      </c>
      <c r="AE726">
        <v>-3.57420000000001</v>
      </c>
      <c r="AF726">
        <v>3.8083445665514599</v>
      </c>
      <c r="AG726">
        <v>-1.1601600000000001</v>
      </c>
      <c r="AH726">
        <v>17.359626650554301</v>
      </c>
      <c r="AI726">
        <v>93.7348861653916</v>
      </c>
      <c r="AJ726">
        <v>77.626501825743901</v>
      </c>
      <c r="AK726">
        <v>17.8102806549986</v>
      </c>
      <c r="AL726">
        <v>79.583067844225198</v>
      </c>
      <c r="AM726">
        <v>80.510206495060601</v>
      </c>
      <c r="AN726">
        <v>0.99999997654012396</v>
      </c>
    </row>
    <row r="727" spans="1:40" x14ac:dyDescent="0.25">
      <c r="A727" t="str">
        <f>"20190303170511648"</f>
        <v>20190303170511648</v>
      </c>
      <c r="B727" t="str">
        <f>"1551603911635655"</f>
        <v>1551603911635655</v>
      </c>
      <c r="C727" t="s">
        <v>40</v>
      </c>
      <c r="D727">
        <v>5.070068</v>
      </c>
      <c r="E727">
        <v>0.59475089999999997</v>
      </c>
      <c r="F727" t="s">
        <v>50</v>
      </c>
      <c r="G727">
        <v>-268.68560000000002</v>
      </c>
      <c r="H727">
        <v>0.75992369999999898</v>
      </c>
      <c r="I727">
        <v>348.51170000000002</v>
      </c>
      <c r="J727">
        <v>-318.49489999999997</v>
      </c>
      <c r="K727">
        <v>1.1090960000000001</v>
      </c>
      <c r="L727">
        <v>367.52980000000002</v>
      </c>
      <c r="M727">
        <v>0.99974660000000004</v>
      </c>
      <c r="N727">
        <v>-1.7336819999999999E-2</v>
      </c>
      <c r="O727">
        <v>1.436131E-2</v>
      </c>
      <c r="P727">
        <v>0.97490489999999996</v>
      </c>
      <c r="Q727">
        <v>0.16321440000000001</v>
      </c>
      <c r="R727">
        <v>-0.15139810000000001</v>
      </c>
      <c r="S727">
        <v>2.9113159999999998</v>
      </c>
      <c r="T727">
        <v>-2.0405530000000002E-2</v>
      </c>
      <c r="U727">
        <v>-1.1081540000000001</v>
      </c>
      <c r="V727">
        <v>0.16537739999999901</v>
      </c>
      <c r="W727">
        <v>0.18005979999999999</v>
      </c>
      <c r="X727">
        <v>0.96965400000000002</v>
      </c>
      <c r="Y727">
        <v>0.369093</v>
      </c>
      <c r="Z727">
        <v>-4.4146589999999996E-3</v>
      </c>
      <c r="AA727">
        <v>0.92938200000000004</v>
      </c>
      <c r="AB727">
        <v>24</v>
      </c>
      <c r="AC727">
        <v>49.809299999999901</v>
      </c>
      <c r="AD727">
        <v>-0.34917229999999999</v>
      </c>
      <c r="AE727">
        <v>-19.0181</v>
      </c>
      <c r="AF727">
        <v>19.730726140541801</v>
      </c>
      <c r="AG727">
        <v>-0.34917229999999999</v>
      </c>
      <c r="AH727">
        <v>49.528871511104001</v>
      </c>
      <c r="AI727">
        <v>90.375243168551904</v>
      </c>
      <c r="AJ727">
        <v>68.279236443729303</v>
      </c>
      <c r="AK727">
        <v>53.315406670976401</v>
      </c>
      <c r="AL727">
        <v>79.626757497373006</v>
      </c>
      <c r="AM727">
        <v>80.321162821397095</v>
      </c>
      <c r="AN727">
        <v>1.00000004786139</v>
      </c>
    </row>
    <row r="728" spans="1:40" x14ac:dyDescent="0.25">
      <c r="A728" t="str">
        <f>"20190303170511668"</f>
        <v>20190303170511668</v>
      </c>
      <c r="B728" t="str">
        <f>"1551603911655175"</f>
        <v>1551603911655175</v>
      </c>
      <c r="C728" t="s">
        <v>40</v>
      </c>
      <c r="D728">
        <v>5.097461</v>
      </c>
      <c r="E728">
        <v>0.60453020000000002</v>
      </c>
      <c r="F728" t="s">
        <v>50</v>
      </c>
      <c r="G728">
        <v>-272.19400000000002</v>
      </c>
      <c r="H728">
        <v>0.84377259999999998</v>
      </c>
      <c r="I728">
        <v>348.51170000000002</v>
      </c>
      <c r="J728">
        <v>-318.27949999999998</v>
      </c>
      <c r="K728">
        <v>1.107497</v>
      </c>
      <c r="L728">
        <v>367.53280000000001</v>
      </c>
      <c r="M728">
        <v>0.9997395</v>
      </c>
      <c r="N728">
        <v>-1.7708979999999999E-2</v>
      </c>
      <c r="O728">
        <v>1.4406510000000001E-2</v>
      </c>
      <c r="P728">
        <v>0.97448520000000005</v>
      </c>
      <c r="Q728">
        <v>0.1610568</v>
      </c>
      <c r="R728">
        <v>-0.15633169999999999</v>
      </c>
      <c r="S728">
        <v>2.8952939999999998</v>
      </c>
      <c r="T728">
        <v>-1.6586420000000001E-2</v>
      </c>
      <c r="U728">
        <v>-1.1892400000000001</v>
      </c>
      <c r="V728">
        <v>0.17034859999999999</v>
      </c>
      <c r="W728">
        <v>0.1782542</v>
      </c>
      <c r="X728">
        <v>0.96912679999999995</v>
      </c>
      <c r="Y728">
        <v>0.39320739999999998</v>
      </c>
      <c r="Z728">
        <v>-4.5344410000000002E-3</v>
      </c>
      <c r="AA728">
        <v>0.91943869999999905</v>
      </c>
      <c r="AB728">
        <v>24</v>
      </c>
      <c r="AC728">
        <v>46.085499999999897</v>
      </c>
      <c r="AD728">
        <v>-0.26372439999999903</v>
      </c>
      <c r="AE728">
        <v>-19.021099999999901</v>
      </c>
      <c r="AF728">
        <v>19.682609931363501</v>
      </c>
      <c r="AG728">
        <v>-0.26372439999999903</v>
      </c>
      <c r="AH728">
        <v>45.805363512032599</v>
      </c>
      <c r="AI728">
        <v>90.303081079541997</v>
      </c>
      <c r="AJ728">
        <v>66.746755495742093</v>
      </c>
      <c r="AK728">
        <v>49.855852321856901</v>
      </c>
      <c r="AL728">
        <v>79.731911411940303</v>
      </c>
      <c r="AM728">
        <v>80.030656100887299</v>
      </c>
      <c r="AN728">
        <v>0.99999997990891898</v>
      </c>
    </row>
    <row r="729" spans="1:40" x14ac:dyDescent="0.25">
      <c r="A729" t="str">
        <f>"20190303170511691"</f>
        <v>20190303170511691</v>
      </c>
      <c r="B729" t="str">
        <f>"1551603911675670"</f>
        <v>1551603911675670</v>
      </c>
      <c r="C729" t="s">
        <v>40</v>
      </c>
      <c r="D729">
        <v>5.0898149999999998</v>
      </c>
      <c r="E729">
        <v>0.60891770000000001</v>
      </c>
      <c r="F729" t="s">
        <v>50</v>
      </c>
      <c r="G729">
        <v>-275.57429999999999</v>
      </c>
      <c r="H729">
        <v>0.86740280000000003</v>
      </c>
      <c r="I729">
        <v>348.51170000000002</v>
      </c>
      <c r="J729">
        <v>-318.03480000000002</v>
      </c>
      <c r="K729">
        <v>1.1056360000000001</v>
      </c>
      <c r="L729">
        <v>367.53640000000001</v>
      </c>
      <c r="M729">
        <v>0.99973259999999997</v>
      </c>
      <c r="N729">
        <v>-1.805257E-2</v>
      </c>
      <c r="O729">
        <v>1.4456159999999999E-2</v>
      </c>
      <c r="P729">
        <v>0.97417500000000001</v>
      </c>
      <c r="Q729">
        <v>0.16040360000000001</v>
      </c>
      <c r="R729">
        <v>-0.15891569999999999</v>
      </c>
      <c r="S729">
        <v>2.875702</v>
      </c>
      <c r="T729">
        <v>-1.6162159999999998E-2</v>
      </c>
      <c r="U729">
        <v>-1.280853</v>
      </c>
      <c r="V729">
        <v>0.17297599999999999</v>
      </c>
      <c r="W729">
        <v>0.17792849999999999</v>
      </c>
      <c r="X729">
        <v>0.96872119999999995</v>
      </c>
      <c r="Y729">
        <v>0.42000680000000001</v>
      </c>
      <c r="Z729">
        <v>-4.9185019999999999E-3</v>
      </c>
      <c r="AA729">
        <v>0.90750770000000003</v>
      </c>
      <c r="AB729">
        <v>24</v>
      </c>
      <c r="AC729">
        <v>42.460500000000003</v>
      </c>
      <c r="AD729">
        <v>-0.23823320000000001</v>
      </c>
      <c r="AE729">
        <v>-19.024699999999999</v>
      </c>
      <c r="AF729">
        <v>19.636112336229999</v>
      </c>
      <c r="AG729">
        <v>-0.23823320000000001</v>
      </c>
      <c r="AH729">
        <v>42.1798868776037</v>
      </c>
      <c r="AI729">
        <v>90.2933730933307</v>
      </c>
      <c r="AJ729">
        <v>65.036487000074899</v>
      </c>
      <c r="AK729">
        <v>46.527158947716501</v>
      </c>
      <c r="AL729">
        <v>79.750876078725497</v>
      </c>
      <c r="AM729">
        <v>79.875897431915703</v>
      </c>
      <c r="AN729">
        <v>1.0000000055088401</v>
      </c>
    </row>
    <row r="730" spans="1:40" x14ac:dyDescent="0.25">
      <c r="A730" t="str">
        <f>"20190303170511713"</f>
        <v>20190303170511713</v>
      </c>
      <c r="B730" t="str">
        <f>"1551603911704951"</f>
        <v>1551603911704951</v>
      </c>
      <c r="C730" t="s">
        <v>40</v>
      </c>
      <c r="D730">
        <v>5.0509300000000001</v>
      </c>
      <c r="E730">
        <v>0.61201149999999904</v>
      </c>
      <c r="F730" t="s">
        <v>50</v>
      </c>
      <c r="G730">
        <v>-276.8261</v>
      </c>
      <c r="H730">
        <v>0.89446999999999999</v>
      </c>
      <c r="I730">
        <v>348.51170000000002</v>
      </c>
      <c r="J730">
        <v>-317.78129999999999</v>
      </c>
      <c r="K730">
        <v>1.103567</v>
      </c>
      <c r="L730">
        <v>367.5401</v>
      </c>
      <c r="M730">
        <v>0.99972939999999999</v>
      </c>
      <c r="N730">
        <v>-1.81885E-2</v>
      </c>
      <c r="O730">
        <v>1.4507259999999999E-2</v>
      </c>
      <c r="P730">
        <v>0.97380679999999997</v>
      </c>
      <c r="Q730">
        <v>0.1611484</v>
      </c>
      <c r="R730">
        <v>-0.16041129999999901</v>
      </c>
      <c r="S730">
        <v>2.8660890000000001</v>
      </c>
      <c r="T730">
        <v>-1.468122E-2</v>
      </c>
      <c r="U730">
        <v>-1.3231809999999999</v>
      </c>
      <c r="V730">
        <v>0.17451549999999999</v>
      </c>
      <c r="W730">
        <v>0.17879790000000001</v>
      </c>
      <c r="X730">
        <v>0.9682849</v>
      </c>
      <c r="Y730">
        <v>0.43225619999999998</v>
      </c>
      <c r="Z730">
        <v>-4.994737E-3</v>
      </c>
      <c r="AA730">
        <v>0.90173700000000001</v>
      </c>
      <c r="AB730">
        <v>24</v>
      </c>
      <c r="AC730">
        <v>40.955199999999898</v>
      </c>
      <c r="AD730">
        <v>-0.20909699999999901</v>
      </c>
      <c r="AE730">
        <v>-19.028399999999898</v>
      </c>
      <c r="AF730">
        <v>19.620222234231999</v>
      </c>
      <c r="AG730">
        <v>-0.20909699999999901</v>
      </c>
      <c r="AH730">
        <v>40.673921040150503</v>
      </c>
      <c r="AI730">
        <v>90.265292234535096</v>
      </c>
      <c r="AJ730">
        <v>64.248341062495896</v>
      </c>
      <c r="AK730">
        <v>45.159325668752601</v>
      </c>
      <c r="AL730">
        <v>79.700251268354094</v>
      </c>
      <c r="AM730">
        <v>79.783175648518906</v>
      </c>
      <c r="AN730">
        <v>0.999999998176335</v>
      </c>
    </row>
    <row r="731" spans="1:40" x14ac:dyDescent="0.25">
      <c r="A731" t="str">
        <f>"20190303170511727"</f>
        <v>20190303170511727</v>
      </c>
      <c r="B731" t="str">
        <f>"1551603911715689"</f>
        <v>1551603911715689</v>
      </c>
      <c r="C731" t="s">
        <v>40</v>
      </c>
      <c r="D731">
        <v>5.0776529999999998</v>
      </c>
      <c r="E731">
        <v>0.61255499999999996</v>
      </c>
      <c r="F731" t="s">
        <v>50</v>
      </c>
      <c r="G731">
        <v>-277.52859999999998</v>
      </c>
      <c r="H731">
        <v>1.006284</v>
      </c>
      <c r="I731">
        <v>348.51170000000002</v>
      </c>
      <c r="J731">
        <v>-317.63670000000002</v>
      </c>
      <c r="K731">
        <v>1.102298</v>
      </c>
      <c r="L731">
        <v>367.54219999999998</v>
      </c>
      <c r="M731">
        <v>0.99973060000000002</v>
      </c>
      <c r="N731">
        <v>-1.8100789999999999E-2</v>
      </c>
      <c r="O731">
        <v>1.4536210000000001E-2</v>
      </c>
      <c r="P731">
        <v>0.97373529999999997</v>
      </c>
      <c r="Q731">
        <v>0.16178879999999901</v>
      </c>
      <c r="R731">
        <v>-0.1601997</v>
      </c>
      <c r="S731">
        <v>2.8591609999999998</v>
      </c>
      <c r="T731">
        <v>-6.9044830000000003E-3</v>
      </c>
      <c r="U731">
        <v>-1.351593</v>
      </c>
      <c r="V731">
        <v>0.17433089999999901</v>
      </c>
      <c r="W731">
        <v>0.1793525</v>
      </c>
      <c r="X731">
        <v>0.96821559999999995</v>
      </c>
      <c r="Y731">
        <v>0.44046049999999998</v>
      </c>
      <c r="Z731">
        <v>-4.476308E-3</v>
      </c>
      <c r="AA731">
        <v>0.89776089999999997</v>
      </c>
      <c r="AB731">
        <v>24</v>
      </c>
      <c r="AC731">
        <v>40.1081</v>
      </c>
      <c r="AD731">
        <v>-9.6014000000000002E-2</v>
      </c>
      <c r="AE731">
        <v>-19.0304999999999</v>
      </c>
      <c r="AF731">
        <v>19.611512150552102</v>
      </c>
      <c r="AG731">
        <v>-9.6014000000000002E-2</v>
      </c>
      <c r="AH731">
        <v>39.826998001126199</v>
      </c>
      <c r="AI731">
        <v>90.123918204354993</v>
      </c>
      <c r="AJ731">
        <v>63.783556487067003</v>
      </c>
      <c r="AK731">
        <v>44.393810348979599</v>
      </c>
      <c r="AL731">
        <v>79.667953114490203</v>
      </c>
      <c r="AM731">
        <v>79.793040417734801</v>
      </c>
      <c r="AN731">
        <v>1.0000000150171999</v>
      </c>
    </row>
    <row r="732" spans="1:40" x14ac:dyDescent="0.25">
      <c r="A732" t="str">
        <f>"20190303170511746"</f>
        <v>20190303170511746</v>
      </c>
      <c r="B732" t="str">
        <f>"1551603911734809"</f>
        <v>1551603911734809</v>
      </c>
      <c r="C732" t="s">
        <v>40</v>
      </c>
      <c r="D732">
        <v>5.0582390000000004</v>
      </c>
      <c r="E732">
        <v>0.61323490000000003</v>
      </c>
      <c r="F732" t="s">
        <v>50</v>
      </c>
      <c r="G732">
        <v>-277.4821</v>
      </c>
      <c r="H732">
        <v>1.038929</v>
      </c>
      <c r="I732">
        <v>348.51170000000002</v>
      </c>
      <c r="J732">
        <v>-317.42840000000001</v>
      </c>
      <c r="K732">
        <v>1.10033</v>
      </c>
      <c r="L732">
        <v>367.5453</v>
      </c>
      <c r="M732">
        <v>0.99973670000000003</v>
      </c>
      <c r="N732">
        <v>-1.7716389999999999E-2</v>
      </c>
      <c r="O732">
        <v>1.457756E-2</v>
      </c>
      <c r="P732">
        <v>0.97389170000000003</v>
      </c>
      <c r="Q732">
        <v>0.16269649999999999</v>
      </c>
      <c r="R732">
        <v>-0.1583186</v>
      </c>
      <c r="S732">
        <v>2.858765</v>
      </c>
      <c r="T732">
        <v>-4.5058729999999996E-3</v>
      </c>
      <c r="U732">
        <v>-1.3548579999999999</v>
      </c>
      <c r="V732">
        <v>0.17249159999999999</v>
      </c>
      <c r="W732">
        <v>0.17989089999999999</v>
      </c>
      <c r="X732">
        <v>0.96844509999999995</v>
      </c>
      <c r="Y732">
        <v>0.44138719999999998</v>
      </c>
      <c r="Z732">
        <v>-4.2152270000000002E-3</v>
      </c>
      <c r="AA732">
        <v>0.89730689999999902</v>
      </c>
      <c r="AB732">
        <v>24</v>
      </c>
      <c r="AC732">
        <v>39.946300000000001</v>
      </c>
      <c r="AD732">
        <v>-6.1400999999999997E-2</v>
      </c>
      <c r="AE732">
        <v>-19.0335999999999</v>
      </c>
      <c r="AF732">
        <v>19.613950158840598</v>
      </c>
      <c r="AG732">
        <v>-6.1400999999999997E-2</v>
      </c>
      <c r="AH732">
        <v>39.664470646570997</v>
      </c>
      <c r="AI732">
        <v>90.079504914480495</v>
      </c>
      <c r="AJ732">
        <v>63.687756019197799</v>
      </c>
      <c r="AK732">
        <v>44.249079567703703</v>
      </c>
      <c r="AL732">
        <v>79.636594892801099</v>
      </c>
      <c r="AM732">
        <v>79.900845607318601</v>
      </c>
      <c r="AN732">
        <v>0.99999999984368904</v>
      </c>
    </row>
    <row r="733" spans="1:40" x14ac:dyDescent="0.25">
      <c r="A733" t="str">
        <f>"20190303170511768"</f>
        <v>20190303170511768</v>
      </c>
      <c r="B733" t="str">
        <f>"1551603911755306"</f>
        <v>1551603911755306</v>
      </c>
      <c r="C733" t="s">
        <v>40</v>
      </c>
      <c r="D733">
        <v>5.1061480000000001</v>
      </c>
      <c r="E733">
        <v>0.61394589999999905</v>
      </c>
      <c r="F733" t="s">
        <v>50</v>
      </c>
      <c r="G733">
        <v>-277.23689999999999</v>
      </c>
      <c r="H733">
        <v>1.0831299999999999</v>
      </c>
      <c r="I733">
        <v>348.51170000000002</v>
      </c>
      <c r="J733">
        <v>-317.18540000000002</v>
      </c>
      <c r="K733">
        <v>1.0978859999999999</v>
      </c>
      <c r="L733">
        <v>367.5489</v>
      </c>
      <c r="M733">
        <v>0.99974819999999998</v>
      </c>
      <c r="N733">
        <v>-1.7023030000000001E-2</v>
      </c>
      <c r="O733">
        <v>1.462397E-2</v>
      </c>
      <c r="P733">
        <v>0.9746475</v>
      </c>
      <c r="Q733">
        <v>0.162138</v>
      </c>
      <c r="R733">
        <v>-0.15418709999999999</v>
      </c>
      <c r="S733">
        <v>2.8604129999999999</v>
      </c>
      <c r="T733">
        <v>-1.2185570000000001E-3</v>
      </c>
      <c r="U733">
        <v>-1.354614</v>
      </c>
      <c r="V733">
        <v>0.16841610000000001</v>
      </c>
      <c r="W733">
        <v>0.178675</v>
      </c>
      <c r="X733">
        <v>0.96938709999999995</v>
      </c>
      <c r="Y733">
        <v>0.44117079999999997</v>
      </c>
      <c r="Z733">
        <v>-3.8041009999999998E-3</v>
      </c>
      <c r="AA733">
        <v>0.89741499999999996</v>
      </c>
      <c r="AB733">
        <v>25</v>
      </c>
      <c r="AC733">
        <v>39.948500000000003</v>
      </c>
      <c r="AD733">
        <v>-1.47560000000002E-2</v>
      </c>
      <c r="AE733">
        <v>-19.037199999999899</v>
      </c>
      <c r="AF733">
        <v>19.619451766387002</v>
      </c>
      <c r="AG733">
        <v>-1.47560000000002E-2</v>
      </c>
      <c r="AH733">
        <v>39.665782646979402</v>
      </c>
      <c r="AI733">
        <v>90.019105216405507</v>
      </c>
      <c r="AJ733">
        <v>63.682123845504996</v>
      </c>
      <c r="AK733">
        <v>44.252654365026899</v>
      </c>
      <c r="AL733">
        <v>79.707408644149197</v>
      </c>
      <c r="AM733">
        <v>80.144116114292203</v>
      </c>
      <c r="AN733">
        <v>1.0000000440053001</v>
      </c>
    </row>
    <row r="734" spans="1:40" x14ac:dyDescent="0.25">
      <c r="A734" t="str">
        <f>"20190303170511782"</f>
        <v>20190303170511782</v>
      </c>
      <c r="B734" t="str">
        <f>"1551603911775801"</f>
        <v>1551603911775801</v>
      </c>
      <c r="C734" t="s">
        <v>40</v>
      </c>
      <c r="D734">
        <v>5.084301</v>
      </c>
      <c r="E734">
        <v>0.61450360000000004</v>
      </c>
      <c r="F734" t="s">
        <v>50</v>
      </c>
      <c r="G734">
        <v>-276.69830000000002</v>
      </c>
      <c r="H734">
        <v>1.0582039999999999</v>
      </c>
      <c r="I734">
        <v>348.51170000000002</v>
      </c>
      <c r="J734">
        <v>-317.02859999999998</v>
      </c>
      <c r="K734">
        <v>1.0962639999999999</v>
      </c>
      <c r="L734">
        <v>367.55119999999999</v>
      </c>
      <c r="M734">
        <v>0.99975610000000004</v>
      </c>
      <c r="N734">
        <v>-1.652795E-2</v>
      </c>
      <c r="O734">
        <v>1.465411E-2</v>
      </c>
      <c r="P734">
        <v>0.97509210000000002</v>
      </c>
      <c r="Q734">
        <v>0.16204209999999999</v>
      </c>
      <c r="R734">
        <v>-0.151451799999999</v>
      </c>
      <c r="S734">
        <v>2.865326</v>
      </c>
      <c r="T734">
        <v>-2.8027299999999998E-3</v>
      </c>
      <c r="U734">
        <v>-1.3472900000000001</v>
      </c>
      <c r="V734">
        <v>0.16571669999999999</v>
      </c>
      <c r="W734">
        <v>0.1781073</v>
      </c>
      <c r="X734">
        <v>0.96995659999999895</v>
      </c>
      <c r="Y734">
        <v>0.43872250000000002</v>
      </c>
      <c r="Z734">
        <v>-3.7943370000000001E-3</v>
      </c>
      <c r="AA734">
        <v>0.89861460000000004</v>
      </c>
      <c r="AB734">
        <v>25</v>
      </c>
      <c r="AC734">
        <v>40.330299999999902</v>
      </c>
      <c r="AD734">
        <v>-3.8059999999999698E-2</v>
      </c>
      <c r="AE734">
        <v>-19.039499999999901</v>
      </c>
      <c r="AF734">
        <v>19.628526078355701</v>
      </c>
      <c r="AG734">
        <v>-3.8059999999999698E-2</v>
      </c>
      <c r="AH734">
        <v>40.046894076910199</v>
      </c>
      <c r="AI734">
        <v>90.048895663383803</v>
      </c>
      <c r="AJ734">
        <v>63.888745574187602</v>
      </c>
      <c r="AK734">
        <v>44.598589773439599</v>
      </c>
      <c r="AL734">
        <v>79.740465459412107</v>
      </c>
      <c r="AM734">
        <v>80.304649969582101</v>
      </c>
      <c r="AN734">
        <v>1.0000000204278601</v>
      </c>
    </row>
    <row r="735" spans="1:40" x14ac:dyDescent="0.25">
      <c r="A735" t="str">
        <f>"20190303170511796"</f>
        <v>20190303170511796</v>
      </c>
      <c r="B735" t="str">
        <f>"1551603911785562"</f>
        <v>1551603911785562</v>
      </c>
      <c r="C735" t="s">
        <v>40</v>
      </c>
      <c r="D735">
        <v>5.0978479999999999</v>
      </c>
      <c r="E735">
        <v>0.61475059999999904</v>
      </c>
      <c r="F735" t="s">
        <v>50</v>
      </c>
      <c r="G735">
        <v>-276.37520000000001</v>
      </c>
      <c r="H735">
        <v>1.0501480000000001</v>
      </c>
      <c r="I735">
        <v>348.51170000000002</v>
      </c>
      <c r="J735">
        <v>-316.87950000000001</v>
      </c>
      <c r="K735">
        <v>1.094711</v>
      </c>
      <c r="L735">
        <v>367.55349999999999</v>
      </c>
      <c r="M735">
        <v>0.99976399999999999</v>
      </c>
      <c r="N735">
        <v>-1.6012499999999999E-2</v>
      </c>
      <c r="O735">
        <v>1.468362E-2</v>
      </c>
      <c r="P735">
        <v>0.97541310000000003</v>
      </c>
      <c r="Q735">
        <v>0.16220179999999901</v>
      </c>
      <c r="R735">
        <v>-0.14919760000000001</v>
      </c>
      <c r="S735">
        <v>2.8685299999999998</v>
      </c>
      <c r="T735">
        <v>-3.2484530000000001E-3</v>
      </c>
      <c r="U735">
        <v>-1.343445</v>
      </c>
      <c r="V735">
        <v>0.163495899999999</v>
      </c>
      <c r="W735">
        <v>0.17777229999999999</v>
      </c>
      <c r="X735">
        <v>0.9703948</v>
      </c>
      <c r="Y735">
        <v>0.43737419999999999</v>
      </c>
      <c r="Z735">
        <v>-3.703362E-3</v>
      </c>
      <c r="AA735">
        <v>0.89927199999999996</v>
      </c>
      <c r="AB735">
        <v>25</v>
      </c>
      <c r="AC735">
        <v>40.504300000000001</v>
      </c>
      <c r="AD735">
        <v>-4.4563000000000103E-2</v>
      </c>
      <c r="AE735">
        <v>-19.041799999999899</v>
      </c>
      <c r="AF735">
        <v>19.634553101385301</v>
      </c>
      <c r="AG735">
        <v>-4.4563000000000103E-2</v>
      </c>
      <c r="AH735">
        <v>40.2202538346396</v>
      </c>
      <c r="AI735">
        <v>90.057047475961596</v>
      </c>
      <c r="AJ735">
        <v>63.979491126732903</v>
      </c>
      <c r="AK735">
        <v>44.756971299172299</v>
      </c>
      <c r="AL735">
        <v>79.759970446127497</v>
      </c>
      <c r="AM735">
        <v>80.436402015835398</v>
      </c>
      <c r="AN735">
        <v>0.99999998391556899</v>
      </c>
    </row>
    <row r="736" spans="1:40" x14ac:dyDescent="0.25">
      <c r="A736" t="str">
        <f>"20190303170511814"</f>
        <v>20190303170511814</v>
      </c>
      <c r="B736" t="str">
        <f>"1551603911805081"</f>
        <v>1551603911805081</v>
      </c>
      <c r="C736" t="s">
        <v>40</v>
      </c>
      <c r="D736">
        <v>5.0769039999999999</v>
      </c>
      <c r="E736">
        <v>0.61546889999999999</v>
      </c>
      <c r="F736" t="s">
        <v>50</v>
      </c>
      <c r="G736">
        <v>-276.02339999999998</v>
      </c>
      <c r="H736">
        <v>1.0621449999999999</v>
      </c>
      <c r="I736">
        <v>348.51170000000002</v>
      </c>
      <c r="J736">
        <v>-316.67570000000001</v>
      </c>
      <c r="K736">
        <v>1.0926</v>
      </c>
      <c r="L736">
        <v>367.55650000000003</v>
      </c>
      <c r="M736">
        <v>0.99977550000000004</v>
      </c>
      <c r="N736">
        <v>-1.5239340000000001E-2</v>
      </c>
      <c r="O736">
        <v>1.4724889999999999E-2</v>
      </c>
      <c r="P736">
        <v>0.9757825</v>
      </c>
      <c r="Q736">
        <v>0.16379349999999901</v>
      </c>
      <c r="R736">
        <v>-0.14498359999999999</v>
      </c>
      <c r="S736">
        <v>2.8713069999999998</v>
      </c>
      <c r="T736">
        <v>-2.2830960000000001E-3</v>
      </c>
      <c r="U736">
        <v>-1.3382259999999999</v>
      </c>
      <c r="V736">
        <v>0.1593281</v>
      </c>
      <c r="W736">
        <v>0.17861969999999999</v>
      </c>
      <c r="X736">
        <v>0.97093229999999997</v>
      </c>
      <c r="Y736">
        <v>0.43573630000000002</v>
      </c>
      <c r="Z736">
        <v>-3.446083E-3</v>
      </c>
      <c r="AA736">
        <v>0.90006779999999997</v>
      </c>
      <c r="AB736">
        <v>25</v>
      </c>
      <c r="AC736">
        <v>40.652299999999997</v>
      </c>
      <c r="AD736">
        <v>-3.0454999999999899E-2</v>
      </c>
      <c r="AE736">
        <v>-19.044799999999999</v>
      </c>
      <c r="AF736">
        <v>19.6413958332022</v>
      </c>
      <c r="AG736">
        <v>-3.0454999999999899E-2</v>
      </c>
      <c r="AH736">
        <v>40.367407856347398</v>
      </c>
      <c r="AI736">
        <v>90.038869595317294</v>
      </c>
      <c r="AJ736">
        <v>64.0540348659747</v>
      </c>
      <c r="AK736">
        <v>44.892237355964497</v>
      </c>
      <c r="AL736">
        <v>79.710628300333696</v>
      </c>
      <c r="AM736">
        <v>80.6809302994821</v>
      </c>
      <c r="AN736">
        <v>0.999999985930494</v>
      </c>
    </row>
    <row r="737" spans="1:40" x14ac:dyDescent="0.25">
      <c r="A737" t="str">
        <f>"20190303170511836"</f>
        <v>20190303170511836</v>
      </c>
      <c r="B737" t="str">
        <f>"1551603911825578"</f>
        <v>1551603911825578</v>
      </c>
      <c r="C737" t="s">
        <v>40</v>
      </c>
      <c r="D737">
        <v>5.1280400000000004</v>
      </c>
      <c r="E737">
        <v>0.61605730000000003</v>
      </c>
      <c r="F737" t="s">
        <v>50</v>
      </c>
      <c r="G737">
        <v>-275.54860000000002</v>
      </c>
      <c r="H737">
        <v>1.1414679999999999</v>
      </c>
      <c r="I737">
        <v>348.51170000000002</v>
      </c>
      <c r="J737">
        <v>-316.4452</v>
      </c>
      <c r="K737">
        <v>1.090255</v>
      </c>
      <c r="L737">
        <v>367.56</v>
      </c>
      <c r="M737">
        <v>0.9997895</v>
      </c>
      <c r="N737">
        <v>-1.424633E-2</v>
      </c>
      <c r="O737">
        <v>1.477263E-2</v>
      </c>
      <c r="P737">
        <v>0.97620220000000002</v>
      </c>
      <c r="Q737">
        <v>0.16515779999999999</v>
      </c>
      <c r="R737">
        <v>-0.14054229999999901</v>
      </c>
      <c r="S737">
        <v>2.8760379999999999</v>
      </c>
      <c r="T737">
        <v>3.4227369999999999E-3</v>
      </c>
      <c r="U737">
        <v>-1.3318179999999999</v>
      </c>
      <c r="V737">
        <v>0.15493989999999999</v>
      </c>
      <c r="W737">
        <v>0.17902589999999999</v>
      </c>
      <c r="X737">
        <v>0.97156750000000003</v>
      </c>
      <c r="Y737">
        <v>0.43356670000000003</v>
      </c>
      <c r="Z737">
        <v>-2.7761230000000001E-3</v>
      </c>
      <c r="AA737">
        <v>0.90111719999999895</v>
      </c>
      <c r="AB737">
        <v>25</v>
      </c>
      <c r="AC737">
        <v>40.8965999999999</v>
      </c>
      <c r="AD737">
        <v>5.1212999999999897E-2</v>
      </c>
      <c r="AE737">
        <v>-19.048299999999902</v>
      </c>
      <c r="AF737">
        <v>19.650407270292199</v>
      </c>
      <c r="AG737">
        <v>5.1212999999999897E-2</v>
      </c>
      <c r="AH737">
        <v>40.610662060954397</v>
      </c>
      <c r="AI737">
        <v>89.934959843421098</v>
      </c>
      <c r="AJ737">
        <v>64.178908661206194</v>
      </c>
      <c r="AK737">
        <v>45.115041856223101</v>
      </c>
      <c r="AL737">
        <v>79.686973889539004</v>
      </c>
      <c r="AM737">
        <v>80.9391024936007</v>
      </c>
      <c r="AN737">
        <v>1.0000000262695301</v>
      </c>
    </row>
    <row r="738" spans="1:40" x14ac:dyDescent="0.25">
      <c r="A738" t="str">
        <f>"20190303170511857"</f>
        <v>20190303170511857</v>
      </c>
      <c r="B738" t="str">
        <f>"1551603911844819"</f>
        <v>1551603911844819</v>
      </c>
      <c r="C738" t="s">
        <v>40</v>
      </c>
      <c r="D738">
        <v>5.0865179999999999</v>
      </c>
      <c r="E738">
        <v>0.61675999999999997</v>
      </c>
      <c r="F738" t="s">
        <v>50</v>
      </c>
      <c r="G738">
        <v>-274.99259999999998</v>
      </c>
      <c r="H738">
        <v>1.219816</v>
      </c>
      <c r="I738">
        <v>348.51170000000002</v>
      </c>
      <c r="J738">
        <v>-316.19369999999998</v>
      </c>
      <c r="K738">
        <v>1.087804</v>
      </c>
      <c r="L738">
        <v>367.56380000000001</v>
      </c>
      <c r="M738">
        <v>0.9998051</v>
      </c>
      <c r="N738">
        <v>-1.305134E-2</v>
      </c>
      <c r="O738">
        <v>1.4823650000000001E-2</v>
      </c>
      <c r="P738">
        <v>0.97684439999999995</v>
      </c>
      <c r="Q738">
        <v>0.16607820000000001</v>
      </c>
      <c r="R738">
        <v>-0.13488320000000001</v>
      </c>
      <c r="S738">
        <v>2.8810120000000001</v>
      </c>
      <c r="T738">
        <v>9.010077E-3</v>
      </c>
      <c r="U738">
        <v>-1.3238829999999999</v>
      </c>
      <c r="V738">
        <v>0.1493408</v>
      </c>
      <c r="W738">
        <v>0.17879329999999999</v>
      </c>
      <c r="X738">
        <v>0.97248670000000004</v>
      </c>
      <c r="Y738">
        <v>0.43097390000000002</v>
      </c>
      <c r="Z738">
        <v>-2.0772030000000001E-3</v>
      </c>
      <c r="AA738">
        <v>0.902362</v>
      </c>
      <c r="AB738">
        <v>25</v>
      </c>
      <c r="AC738">
        <v>41.201099999999997</v>
      </c>
      <c r="AD738">
        <v>0.13201199999999999</v>
      </c>
      <c r="AE738">
        <v>-19.052099999999999</v>
      </c>
      <c r="AF738">
        <v>19.660642598550599</v>
      </c>
      <c r="AG738">
        <v>0.13201199999999999</v>
      </c>
      <c r="AH738">
        <v>40.913780494326602</v>
      </c>
      <c r="AI738">
        <v>89.833370920177899</v>
      </c>
      <c r="AJ738">
        <v>64.333927902620303</v>
      </c>
      <c r="AK738">
        <v>45.392683649394698</v>
      </c>
      <c r="AL738">
        <v>79.700519686832294</v>
      </c>
      <c r="AM738">
        <v>81.269524222667698</v>
      </c>
      <c r="AN738">
        <v>1.0000000501732</v>
      </c>
    </row>
    <row r="739" spans="1:40" x14ac:dyDescent="0.25">
      <c r="A739" t="str">
        <f>"20190303170511880"</f>
        <v>20190303170511880</v>
      </c>
      <c r="B739" t="str">
        <f>"1551603911875075"</f>
        <v>1551603911875075</v>
      </c>
      <c r="C739" t="s">
        <v>40</v>
      </c>
      <c r="D739">
        <v>5.4772550000000004</v>
      </c>
      <c r="E739">
        <v>0.61745729999999999</v>
      </c>
      <c r="F739" t="s">
        <v>50</v>
      </c>
      <c r="G739">
        <v>-274.32479999999998</v>
      </c>
      <c r="H739">
        <v>1.3225340000000001</v>
      </c>
      <c r="I739">
        <v>348.51170000000002</v>
      </c>
      <c r="J739">
        <v>-315.928</v>
      </c>
      <c r="K739">
        <v>1.085388</v>
      </c>
      <c r="L739">
        <v>367.56779999999998</v>
      </c>
      <c r="M739">
        <v>0.99982040000000005</v>
      </c>
      <c r="N739">
        <v>-1.174852E-2</v>
      </c>
      <c r="O739">
        <v>1.4874109999999999E-2</v>
      </c>
      <c r="P739">
        <v>0.97780940000000005</v>
      </c>
      <c r="Q739">
        <v>0.16648379999999999</v>
      </c>
      <c r="R739">
        <v>-0.12716830000000001</v>
      </c>
      <c r="S739">
        <v>2.8869630000000002</v>
      </c>
      <c r="T739">
        <v>1.6190530000000002E-2</v>
      </c>
      <c r="U739">
        <v>-1.31369</v>
      </c>
      <c r="V739">
        <v>0.14169109999999999</v>
      </c>
      <c r="W739">
        <v>0.1779435</v>
      </c>
      <c r="X739">
        <v>0.97378629999999999</v>
      </c>
      <c r="Y739">
        <v>0.42767579999999999</v>
      </c>
      <c r="Z739">
        <v>-1.2416619999999999E-3</v>
      </c>
      <c r="AA739">
        <v>0.90393129999999999</v>
      </c>
      <c r="AB739">
        <v>25</v>
      </c>
      <c r="AC739">
        <v>41.603200000000001</v>
      </c>
      <c r="AD739">
        <v>0.237146</v>
      </c>
      <c r="AE739">
        <v>-19.056099999999901</v>
      </c>
      <c r="AF739">
        <v>19.672316522239601</v>
      </c>
      <c r="AG739">
        <v>0.237146</v>
      </c>
      <c r="AH739">
        <v>41.314025320455599</v>
      </c>
      <c r="AI739">
        <v>89.703064654269795</v>
      </c>
      <c r="AJ739">
        <v>64.537818074121105</v>
      </c>
      <c r="AK739">
        <v>45.759206327860902</v>
      </c>
      <c r="AL739">
        <v>79.750002725830598</v>
      </c>
      <c r="AM739">
        <v>81.721257562560695</v>
      </c>
      <c r="AN739">
        <v>1.0000000075395701</v>
      </c>
    </row>
    <row r="740" spans="1:40" x14ac:dyDescent="0.25">
      <c r="A740" t="str">
        <f>"20190303170511904"</f>
        <v>20190303170511904</v>
      </c>
      <c r="B740" t="str">
        <f>"1551603911895572"</f>
        <v>1551603911895572</v>
      </c>
      <c r="C740" t="s">
        <v>40</v>
      </c>
      <c r="D740">
        <v>5.3931659999999999</v>
      </c>
      <c r="E740">
        <v>0.58475699999999997</v>
      </c>
      <c r="F740" t="s">
        <v>50</v>
      </c>
      <c r="G740">
        <v>-273.37639999999999</v>
      </c>
      <c r="H740">
        <v>1.3912789999999999</v>
      </c>
      <c r="I740">
        <v>348.51170000000002</v>
      </c>
      <c r="J740">
        <v>-315.66460000000001</v>
      </c>
      <c r="K740">
        <v>1.0832329999999999</v>
      </c>
      <c r="L740">
        <v>367.5718</v>
      </c>
      <c r="M740">
        <v>0.99983379999999999</v>
      </c>
      <c r="N740">
        <v>-1.0494760000000001E-2</v>
      </c>
      <c r="O740">
        <v>1.4918600000000001E-2</v>
      </c>
      <c r="P740">
        <v>0.97882899999999995</v>
      </c>
      <c r="Q740">
        <v>0.16758960000000001</v>
      </c>
      <c r="R740">
        <v>-0.11750679999999999</v>
      </c>
      <c r="S740">
        <v>2.8958740000000001</v>
      </c>
      <c r="T740">
        <v>2.0822879999999998E-2</v>
      </c>
      <c r="U740">
        <v>-1.296875</v>
      </c>
      <c r="V740">
        <v>0.13209019999999999</v>
      </c>
      <c r="W740">
        <v>0.17783889999999999</v>
      </c>
      <c r="X740">
        <v>0.97515410000000002</v>
      </c>
      <c r="Y740">
        <v>0.42229519999999998</v>
      </c>
      <c r="Z740">
        <v>-6.1652019999999905E-4</v>
      </c>
      <c r="AA740">
        <v>0.90645810000000004</v>
      </c>
      <c r="AB740">
        <v>25</v>
      </c>
      <c r="AC740">
        <v>42.288200000000003</v>
      </c>
      <c r="AD740">
        <v>0.30804599999999999</v>
      </c>
      <c r="AE740">
        <v>-19.060099999999899</v>
      </c>
      <c r="AF740">
        <v>19.688025665846801</v>
      </c>
      <c r="AG740">
        <v>0.30804599999999999</v>
      </c>
      <c r="AH740">
        <v>41.997275441500499</v>
      </c>
      <c r="AI740">
        <v>89.619484546636002</v>
      </c>
      <c r="AJ740">
        <v>64.883148698223394</v>
      </c>
      <c r="AK740">
        <v>46.384096320467599</v>
      </c>
      <c r="AL740">
        <v>79.756092997863306</v>
      </c>
      <c r="AM740">
        <v>82.285910342822106</v>
      </c>
      <c r="AN740">
        <v>1.0000000070180299</v>
      </c>
    </row>
    <row r="741" spans="1:40" x14ac:dyDescent="0.25">
      <c r="A741" t="str">
        <f>"20190303170511924"</f>
        <v>20190303170511924</v>
      </c>
      <c r="B741" t="str">
        <f>"1551603911915091"</f>
        <v>1551603911915091</v>
      </c>
      <c r="C741" t="s">
        <v>40</v>
      </c>
      <c r="D741">
        <v>5.6167769999999999</v>
      </c>
      <c r="E741">
        <v>0.51029399999999903</v>
      </c>
      <c r="F741" t="s">
        <v>50</v>
      </c>
      <c r="G741">
        <v>-245.3451</v>
      </c>
      <c r="H741">
        <v>1.100036</v>
      </c>
      <c r="I741">
        <v>343.46129999999999</v>
      </c>
      <c r="J741">
        <v>-315.4255</v>
      </c>
      <c r="K741">
        <v>1.081493</v>
      </c>
      <c r="L741">
        <v>367.57560000000001</v>
      </c>
      <c r="M741">
        <v>0.99984379999999995</v>
      </c>
      <c r="N741">
        <v>-9.4329989999999992E-3</v>
      </c>
      <c r="O741">
        <v>1.4952210000000001E-2</v>
      </c>
      <c r="P741">
        <v>0.98000089999999995</v>
      </c>
      <c r="Q741">
        <v>0.16943989999999901</v>
      </c>
      <c r="R741">
        <v>-0.10434740000000001</v>
      </c>
      <c r="S741">
        <v>2.9436040000000001</v>
      </c>
      <c r="T741">
        <v>7.0667270000000001E-4</v>
      </c>
      <c r="U741">
        <v>-1.009277</v>
      </c>
      <c r="V741">
        <v>0.1189843</v>
      </c>
      <c r="W741">
        <v>0.1786642</v>
      </c>
      <c r="X741">
        <v>0.97668920000000004</v>
      </c>
      <c r="Y741">
        <v>0.33844400000000002</v>
      </c>
      <c r="Z741">
        <v>-1.4606199999999999E-3</v>
      </c>
      <c r="AA741">
        <v>0.94098539999999997</v>
      </c>
      <c r="AB741">
        <v>26</v>
      </c>
      <c r="AC741">
        <v>70.080399999999997</v>
      </c>
      <c r="AD741">
        <v>1.85429999999999E-2</v>
      </c>
      <c r="AE741">
        <v>-24.1143</v>
      </c>
      <c r="AF741">
        <v>25.159505824270799</v>
      </c>
      <c r="AG741">
        <v>1.85429999999999E-2</v>
      </c>
      <c r="AH741">
        <v>69.711982525551804</v>
      </c>
      <c r="AI741">
        <v>89.9856646843253</v>
      </c>
      <c r="AJ741">
        <v>70.155158581593099</v>
      </c>
      <c r="AK741">
        <v>74.113167418531006</v>
      </c>
      <c r="AL741">
        <v>79.708036858089898</v>
      </c>
      <c r="AM741">
        <v>83.054218324664205</v>
      </c>
      <c r="AN741">
        <v>0.99999997670238405</v>
      </c>
    </row>
    <row r="742" spans="1:40" x14ac:dyDescent="0.25">
      <c r="A742" t="str">
        <f>"20190303170511938"</f>
        <v>20190303170511938</v>
      </c>
      <c r="B742" t="str">
        <f>"1551603911924852"</f>
        <v>1551603911924852</v>
      </c>
      <c r="C742" t="s">
        <v>40</v>
      </c>
      <c r="D742">
        <v>5.281301</v>
      </c>
      <c r="E742">
        <v>0.49849719999999997</v>
      </c>
      <c r="F742" t="s">
        <v>51</v>
      </c>
      <c r="G742">
        <v>416.69200000000001</v>
      </c>
      <c r="H742">
        <v>-0.1</v>
      </c>
      <c r="I742">
        <v>275.76330000000002</v>
      </c>
      <c r="J742">
        <v>-315.26220000000001</v>
      </c>
      <c r="K742">
        <v>1.0804260000000001</v>
      </c>
      <c r="L742">
        <v>367.57799999999997</v>
      </c>
      <c r="M742">
        <v>0.99984960000000001</v>
      </c>
      <c r="N742">
        <v>-8.7596529999999992E-3</v>
      </c>
      <c r="O742">
        <v>1.497131E-2</v>
      </c>
      <c r="P742">
        <v>0.98016250000000005</v>
      </c>
      <c r="Q742">
        <v>0.171126</v>
      </c>
      <c r="R742">
        <v>-9.9987980000000004E-2</v>
      </c>
      <c r="S742">
        <v>3.0216669999999999</v>
      </c>
      <c r="T742">
        <v>-4.8763749999999996E-3</v>
      </c>
      <c r="U742">
        <v>-0.37893680000000002</v>
      </c>
      <c r="V742">
        <v>0.11464770000000001</v>
      </c>
      <c r="W742">
        <v>0.17969399999999999</v>
      </c>
      <c r="X742">
        <v>0.97701899999999997</v>
      </c>
      <c r="Y742">
        <v>0.1392719</v>
      </c>
      <c r="Z742">
        <v>-6.1778460000000001E-4</v>
      </c>
      <c r="AA742">
        <v>0.99025399999999997</v>
      </c>
      <c r="AB742">
        <v>26</v>
      </c>
      <c r="AC742">
        <v>731.95419999999899</v>
      </c>
      <c r="AD742">
        <v>-1.180426</v>
      </c>
      <c r="AE742">
        <v>-91.814700000000002</v>
      </c>
      <c r="AF742">
        <v>102.76287899403501</v>
      </c>
      <c r="AG742">
        <v>-1.180426</v>
      </c>
      <c r="AH742">
        <v>730.49564949711203</v>
      </c>
      <c r="AI742">
        <v>90.091682849549997</v>
      </c>
      <c r="AJ742">
        <v>81.992430892731704</v>
      </c>
      <c r="AK742">
        <v>737.68929546177606</v>
      </c>
      <c r="AL742">
        <v>79.648064128055594</v>
      </c>
      <c r="AM742">
        <v>83.307268610145499</v>
      </c>
      <c r="AN742">
        <v>1.00000007755614</v>
      </c>
    </row>
    <row r="743" spans="1:40" x14ac:dyDescent="0.25">
      <c r="A743" t="str">
        <f>"20190303170511957"</f>
        <v>20190303170511957</v>
      </c>
      <c r="B743" t="str">
        <f>"1551603911945294"</f>
        <v>1551603911945294</v>
      </c>
      <c r="C743" t="s">
        <v>40</v>
      </c>
      <c r="D743">
        <v>5.3101799999999999</v>
      </c>
      <c r="E743">
        <v>0.48315930000000001</v>
      </c>
      <c r="F743" t="s">
        <v>47</v>
      </c>
      <c r="G743">
        <v>-169.2955</v>
      </c>
      <c r="H743">
        <v>0.37972450000000002</v>
      </c>
      <c r="I743">
        <v>354.51920000000001</v>
      </c>
      <c r="J743">
        <v>-315.03919999999999</v>
      </c>
      <c r="K743">
        <v>1.0790999999999999</v>
      </c>
      <c r="L743">
        <v>367.58139999999997</v>
      </c>
      <c r="M743">
        <v>0.99985639999999998</v>
      </c>
      <c r="N743">
        <v>-7.901277E-3</v>
      </c>
      <c r="O743">
        <v>1.499313E-2</v>
      </c>
      <c r="P743">
        <v>0.98044100000000001</v>
      </c>
      <c r="Q743">
        <v>0.173288</v>
      </c>
      <c r="R743">
        <v>-9.3310989999999996E-2</v>
      </c>
      <c r="S743">
        <v>3.0355829999999999</v>
      </c>
      <c r="T743">
        <v>-1.457024E-2</v>
      </c>
      <c r="U743">
        <v>-0.27157589999999998</v>
      </c>
      <c r="V743">
        <v>0.1079987</v>
      </c>
      <c r="W743">
        <v>0.18101890000000001</v>
      </c>
      <c r="X743">
        <v>0.97753179999999995</v>
      </c>
      <c r="Y743">
        <v>0.104029</v>
      </c>
      <c r="Z743">
        <v>-6.1458940000000005E-4</v>
      </c>
      <c r="AA743">
        <v>0.99457410000000002</v>
      </c>
      <c r="AB743">
        <v>26</v>
      </c>
      <c r="AC743">
        <v>145.74369999999999</v>
      </c>
      <c r="AD743">
        <v>-0.69937549999999904</v>
      </c>
      <c r="AE743">
        <v>-13.062199999999899</v>
      </c>
      <c r="AF743">
        <v>15.24560581275</v>
      </c>
      <c r="AG743">
        <v>-0.69937549999999904</v>
      </c>
      <c r="AH743">
        <v>145.52814313139399</v>
      </c>
      <c r="AI743">
        <v>90.273849904077593</v>
      </c>
      <c r="AJ743">
        <v>84.019478229162303</v>
      </c>
      <c r="AK743">
        <v>146.32620430380601</v>
      </c>
      <c r="AL743">
        <v>79.570886435939101</v>
      </c>
      <c r="AM743">
        <v>83.695472613411098</v>
      </c>
      <c r="AN743">
        <v>0.99999999068506895</v>
      </c>
    </row>
    <row r="744" spans="1:40" x14ac:dyDescent="0.25">
      <c r="A744" t="str">
        <f>"20190303170511981"</f>
        <v>20190303170511981</v>
      </c>
      <c r="B744" t="str">
        <f>"1551603911975550"</f>
        <v>1551603911975550</v>
      </c>
      <c r="C744" t="s">
        <v>40</v>
      </c>
      <c r="D744">
        <v>5.327439</v>
      </c>
      <c r="E744">
        <v>0.47275470000000003</v>
      </c>
      <c r="F744" t="s">
        <v>49</v>
      </c>
      <c r="G744">
        <v>-190.20240000000001</v>
      </c>
      <c r="H744" s="1">
        <v>-6.4984920000000003E-6</v>
      </c>
      <c r="I744">
        <v>362.30410000000001</v>
      </c>
      <c r="J744">
        <v>-314.75920000000002</v>
      </c>
      <c r="K744">
        <v>1.077628</v>
      </c>
      <c r="L744">
        <v>367.58569999999997</v>
      </c>
      <c r="M744">
        <v>0.99986339999999996</v>
      </c>
      <c r="N744">
        <v>-6.924515E-3</v>
      </c>
      <c r="O744">
        <v>1.501284E-2</v>
      </c>
      <c r="P744">
        <v>0.98063909999999999</v>
      </c>
      <c r="Q744">
        <v>0.17522739999999901</v>
      </c>
      <c r="R744">
        <v>-8.7419609999999995E-2</v>
      </c>
      <c r="S744">
        <v>3.052216</v>
      </c>
      <c r="T744">
        <v>-2.6383759999999999E-2</v>
      </c>
      <c r="U744">
        <v>-0.12902830000000001</v>
      </c>
      <c r="V744">
        <v>0.102133</v>
      </c>
      <c r="W744">
        <v>0.18200369999999999</v>
      </c>
      <c r="X744">
        <v>0.9779793</v>
      </c>
      <c r="Y744">
        <v>5.7227119999999999E-2</v>
      </c>
      <c r="Z744">
        <v>-4.7127040000000001E-4</v>
      </c>
      <c r="AA744">
        <v>0.9983611</v>
      </c>
      <c r="AB744">
        <v>26</v>
      </c>
      <c r="AC744">
        <v>124.5568</v>
      </c>
      <c r="AD744">
        <v>-1.0776344984919899</v>
      </c>
      <c r="AE744">
        <v>-5.2815999999999601</v>
      </c>
      <c r="AF744">
        <v>7.1504664674751304</v>
      </c>
      <c r="AG744">
        <v>-1.0776344984919899</v>
      </c>
      <c r="AH744">
        <v>124.45416916342199</v>
      </c>
      <c r="AI744">
        <v>90.495288473501603</v>
      </c>
      <c r="AJ744">
        <v>86.711708077792196</v>
      </c>
      <c r="AK744">
        <v>124.664071363695</v>
      </c>
      <c r="AL744">
        <v>79.513508574850306</v>
      </c>
      <c r="AM744">
        <v>84.038059481858895</v>
      </c>
      <c r="AN744">
        <v>1.0000000038655901</v>
      </c>
    </row>
    <row r="745" spans="1:40" x14ac:dyDescent="0.25">
      <c r="A745" t="str">
        <f>"20190303170512003"</f>
        <v>20190303170512003</v>
      </c>
      <c r="B745" t="str">
        <f>"1551603911995070"</f>
        <v>1551603911995070</v>
      </c>
      <c r="C745" t="s">
        <v>40</v>
      </c>
      <c r="D745">
        <v>5.3059779999999996</v>
      </c>
      <c r="E745">
        <v>0.46971220000000002</v>
      </c>
      <c r="F745" t="s">
        <v>41</v>
      </c>
      <c r="G745">
        <v>-233.0685</v>
      </c>
      <c r="H745" s="1">
        <v>-3.449377E-6</v>
      </c>
      <c r="I745">
        <v>366.83460000000002</v>
      </c>
      <c r="J745">
        <v>-314.495</v>
      </c>
      <c r="K745">
        <v>1.0764359999999999</v>
      </c>
      <c r="L745">
        <v>367.58969999999999</v>
      </c>
      <c r="M745">
        <v>0.99986850000000005</v>
      </c>
      <c r="N745">
        <v>-6.1121250000000004E-3</v>
      </c>
      <c r="O745">
        <v>1.5023480000000001E-2</v>
      </c>
      <c r="P745">
        <v>0.98087820000000003</v>
      </c>
      <c r="Q745">
        <v>0.17655129999999999</v>
      </c>
      <c r="R745">
        <v>-8.1902059999999999E-2</v>
      </c>
      <c r="S745">
        <v>3.0638730000000001</v>
      </c>
      <c r="T745">
        <v>-4.0417309999999998E-2</v>
      </c>
      <c r="U745">
        <v>-2.816772E-2</v>
      </c>
      <c r="V745">
        <v>9.6631900000000007E-2</v>
      </c>
      <c r="W745">
        <v>0.18253349999999999</v>
      </c>
      <c r="X745">
        <v>0.97843950000000002</v>
      </c>
      <c r="Y745">
        <v>2.4211750000000001E-2</v>
      </c>
      <c r="Z745">
        <v>-3.4003000000000001E-4</v>
      </c>
      <c r="AA745">
        <v>0.99970680000000001</v>
      </c>
      <c r="AB745">
        <v>26</v>
      </c>
      <c r="AC745">
        <v>81.426500000000004</v>
      </c>
      <c r="AD745">
        <v>-1.076439449377</v>
      </c>
      <c r="AE745">
        <v>-0.75509999999997002</v>
      </c>
      <c r="AF745">
        <v>1.9780013228065001</v>
      </c>
      <c r="AG745">
        <v>-1.076439449377</v>
      </c>
      <c r="AH745">
        <v>81.391742533008099</v>
      </c>
      <c r="AI745">
        <v>90.7574925714095</v>
      </c>
      <c r="AJ745">
        <v>88.607858475889302</v>
      </c>
      <c r="AK745">
        <v>81.422889679012698</v>
      </c>
      <c r="AL745">
        <v>79.482636385910695</v>
      </c>
      <c r="AM745">
        <v>84.359688337726794</v>
      </c>
      <c r="AN745">
        <v>1.0000000289400499</v>
      </c>
    </row>
    <row r="746" spans="1:40" x14ac:dyDescent="0.25">
      <c r="A746" t="str">
        <f>"20190303170512024"</f>
        <v>20190303170512024</v>
      </c>
      <c r="B746" t="str">
        <f>"1551603912015566"</f>
        <v>1551603912015566</v>
      </c>
      <c r="C746" t="s">
        <v>40</v>
      </c>
      <c r="D746">
        <v>5.2805929999999996</v>
      </c>
      <c r="E746">
        <v>0.46786719999999998</v>
      </c>
      <c r="F746" t="s">
        <v>41</v>
      </c>
      <c r="G746">
        <v>-240.13640000000001</v>
      </c>
      <c r="H746" s="1">
        <v>-4.9481400000000004E-6</v>
      </c>
      <c r="I746">
        <v>367.89670000000001</v>
      </c>
      <c r="J746">
        <v>-314.2473</v>
      </c>
      <c r="K746">
        <v>1.07548</v>
      </c>
      <c r="L746">
        <v>367.59339999999997</v>
      </c>
      <c r="M746">
        <v>0.99987239999999999</v>
      </c>
      <c r="N746">
        <v>-5.4427750000000004E-3</v>
      </c>
      <c r="O746">
        <v>1.5028939999999999E-2</v>
      </c>
      <c r="P746">
        <v>0.98109599999999997</v>
      </c>
      <c r="Q746">
        <v>0.17750270000000001</v>
      </c>
      <c r="R746">
        <v>-7.7095060000000007E-2</v>
      </c>
      <c r="S746">
        <v>3.0675659999999998</v>
      </c>
      <c r="T746">
        <v>-4.4407130000000003E-2</v>
      </c>
      <c r="U746">
        <v>1.266479E-2</v>
      </c>
      <c r="V746">
        <v>9.1836089999999995E-2</v>
      </c>
      <c r="W746">
        <v>0.1828312</v>
      </c>
      <c r="X746">
        <v>0.97884570000000004</v>
      </c>
      <c r="Y746">
        <v>1.0898730000000001E-2</v>
      </c>
      <c r="Z746">
        <v>-2.442888E-4</v>
      </c>
      <c r="AA746">
        <v>0.99994059999999996</v>
      </c>
      <c r="AB746">
        <v>27</v>
      </c>
      <c r="AC746">
        <v>74.110899999999901</v>
      </c>
      <c r="AD746">
        <v>-1.07548494814</v>
      </c>
      <c r="AE746">
        <v>0.30330000000003499</v>
      </c>
      <c r="AF746">
        <v>0.81038819180495703</v>
      </c>
      <c r="AG746">
        <v>-1.07548494814</v>
      </c>
      <c r="AH746">
        <v>74.091485040274904</v>
      </c>
      <c r="AI746">
        <v>90.831576479367797</v>
      </c>
      <c r="AJ746">
        <v>89.373342676578105</v>
      </c>
      <c r="AK746">
        <v>74.103721582443995</v>
      </c>
      <c r="AL746">
        <v>79.465287280969903</v>
      </c>
      <c r="AM746">
        <v>84.640153590640395</v>
      </c>
      <c r="AN746">
        <v>1.0000000097641999</v>
      </c>
    </row>
    <row r="747" spans="1:40" x14ac:dyDescent="0.25">
      <c r="A747" t="str">
        <f>"20190303170512046"</f>
        <v>20190303170512046</v>
      </c>
      <c r="B747" t="str">
        <f>"1551603912035086"</f>
        <v>1551603912035086</v>
      </c>
      <c r="C747" t="s">
        <v>40</v>
      </c>
      <c r="D747">
        <v>5.3100440000000004</v>
      </c>
      <c r="E747">
        <v>0.46670299999999998</v>
      </c>
      <c r="F747" t="s">
        <v>41</v>
      </c>
      <c r="G747">
        <v>-244.77430000000001</v>
      </c>
      <c r="H747" s="1">
        <v>-2.6377939999999998E-6</v>
      </c>
      <c r="I747">
        <v>368.56169999999997</v>
      </c>
      <c r="J747">
        <v>-313.97750000000002</v>
      </c>
      <c r="K747">
        <v>1.074603</v>
      </c>
      <c r="L747">
        <v>367.59750000000003</v>
      </c>
      <c r="M747">
        <v>0.99987539999999997</v>
      </c>
      <c r="N747">
        <v>-4.804015E-3</v>
      </c>
      <c r="O747">
        <v>1.503226E-2</v>
      </c>
      <c r="P747">
        <v>0.98095200000000005</v>
      </c>
      <c r="Q747">
        <v>0.17958350000000001</v>
      </c>
      <c r="R747">
        <v>-7.4046840000000003E-2</v>
      </c>
      <c r="S747">
        <v>3.0697939999999999</v>
      </c>
      <c r="T747">
        <v>-4.7522189999999999E-2</v>
      </c>
      <c r="U747">
        <v>4.278564E-2</v>
      </c>
      <c r="V747">
        <v>8.8790620000000001E-2</v>
      </c>
      <c r="W747">
        <v>0.18428520000000001</v>
      </c>
      <c r="X747">
        <v>0.978854</v>
      </c>
      <c r="Y747">
        <v>1.0952430000000001E-3</v>
      </c>
      <c r="Z747">
        <v>-1.715648E-4</v>
      </c>
      <c r="AA747">
        <v>0.99999939999999998</v>
      </c>
      <c r="AB747">
        <v>27</v>
      </c>
      <c r="AC747">
        <v>69.203199999999995</v>
      </c>
      <c r="AD747">
        <v>-1.0746056377940001</v>
      </c>
      <c r="AE747">
        <v>0.96419999999994799</v>
      </c>
      <c r="AF747">
        <v>7.6183152839357199E-2</v>
      </c>
      <c r="AG747">
        <v>-1.0746056377940001</v>
      </c>
      <c r="AH747">
        <v>69.1931936563644</v>
      </c>
      <c r="AI747">
        <v>90.889760649106705</v>
      </c>
      <c r="AJ747">
        <v>89.936916174362906</v>
      </c>
      <c r="AK747">
        <v>69.201579675009597</v>
      </c>
      <c r="AL747">
        <v>79.380538936304703</v>
      </c>
      <c r="AM747">
        <v>84.816956059668499</v>
      </c>
      <c r="AN747">
        <v>0.99999998122751199</v>
      </c>
    </row>
    <row r="748" spans="1:40" x14ac:dyDescent="0.25">
      <c r="A748" t="str">
        <f>"20190303170512069"</f>
        <v>20190303170512069</v>
      </c>
      <c r="B748" t="str">
        <f>"1551603912055582"</f>
        <v>1551603912055582</v>
      </c>
      <c r="C748" t="s">
        <v>40</v>
      </c>
      <c r="D748">
        <v>5.3294100000000002</v>
      </c>
      <c r="E748">
        <v>0.46612530000000002</v>
      </c>
      <c r="F748" t="s">
        <v>41</v>
      </c>
      <c r="G748">
        <v>-241.40629999999999</v>
      </c>
      <c r="H748" s="1">
        <v>-4.1423930000000004E-6</v>
      </c>
      <c r="I748">
        <v>369.05489999999998</v>
      </c>
      <c r="J748">
        <v>-313.70080000000002</v>
      </c>
      <c r="K748">
        <v>1.0738350000000001</v>
      </c>
      <c r="L748">
        <v>367.60169999999999</v>
      </c>
      <c r="M748">
        <v>0.99987800000000004</v>
      </c>
      <c r="N748">
        <v>-4.2358989999999996E-3</v>
      </c>
      <c r="O748">
        <v>1.503326E-2</v>
      </c>
      <c r="P748">
        <v>0.98029719999999998</v>
      </c>
      <c r="Q748">
        <v>0.18310750000000001</v>
      </c>
      <c r="R748">
        <v>-7.4088230000000005E-2</v>
      </c>
      <c r="S748">
        <v>3.0711979999999999</v>
      </c>
      <c r="T748">
        <v>-4.5477150000000001E-2</v>
      </c>
      <c r="U748">
        <v>6.167603E-2</v>
      </c>
      <c r="V748">
        <v>8.8824089999999994E-2</v>
      </c>
      <c r="W748">
        <v>0.18724959999999999</v>
      </c>
      <c r="X748">
        <v>0.97828820000000005</v>
      </c>
      <c r="Y748">
        <v>-5.0455259999999998E-3</v>
      </c>
      <c r="Z748">
        <v>-1.1084430000000001E-4</v>
      </c>
      <c r="AA748">
        <v>0.99998719999999996</v>
      </c>
      <c r="AB748">
        <v>27</v>
      </c>
      <c r="AC748">
        <v>72.294499999999999</v>
      </c>
      <c r="AD748">
        <v>-1.073839142393</v>
      </c>
      <c r="AE748">
        <v>1.4531999999999801</v>
      </c>
      <c r="AF748">
        <v>-0.36612324208201902</v>
      </c>
      <c r="AG748">
        <v>-1.073839142393</v>
      </c>
      <c r="AH748">
        <v>72.292233164933194</v>
      </c>
      <c r="AI748">
        <v>90.851006181481495</v>
      </c>
      <c r="AJ748">
        <v>90.290171382013</v>
      </c>
      <c r="AK748">
        <v>72.301135210349202</v>
      </c>
      <c r="AL748">
        <v>79.207682313823398</v>
      </c>
      <c r="AM748">
        <v>84.812030521485894</v>
      </c>
      <c r="AN748">
        <v>0.999999966961863</v>
      </c>
    </row>
    <row r="749" spans="1:40" x14ac:dyDescent="0.25">
      <c r="A749" t="str">
        <f>"20190303170512092"</f>
        <v>20190303170512092</v>
      </c>
      <c r="B749" t="str">
        <f>"1551603912084861"</f>
        <v>1551603912084861</v>
      </c>
      <c r="C749" t="s">
        <v>40</v>
      </c>
      <c r="D749">
        <v>5.3152730000000004</v>
      </c>
      <c r="E749">
        <v>0.46580070000000001</v>
      </c>
      <c r="F749" t="s">
        <v>41</v>
      </c>
      <c r="G749">
        <v>-236.72239999999999</v>
      </c>
      <c r="H749" s="1">
        <v>-1.4526399999999999E-6</v>
      </c>
      <c r="I749">
        <v>369.25420000000003</v>
      </c>
      <c r="J749">
        <v>-313.41430000000003</v>
      </c>
      <c r="K749">
        <v>1.0731619999999999</v>
      </c>
      <c r="L749">
        <v>367.60599999999999</v>
      </c>
      <c r="M749">
        <v>0.99988010000000005</v>
      </c>
      <c r="N749">
        <v>-3.730845E-3</v>
      </c>
      <c r="O749">
        <v>1.503375E-2</v>
      </c>
      <c r="P749">
        <v>0.98001879999999997</v>
      </c>
      <c r="Q749">
        <v>0.1846805</v>
      </c>
      <c r="R749">
        <v>-7.386972E-2</v>
      </c>
      <c r="S749">
        <v>3.0733030000000001</v>
      </c>
      <c r="T749">
        <v>-4.2872069999999998E-2</v>
      </c>
      <c r="U749">
        <v>6.5978999999999996E-2</v>
      </c>
      <c r="V749">
        <v>8.8602239999999999E-2</v>
      </c>
      <c r="W749">
        <v>0.18832779999999999</v>
      </c>
      <c r="X749">
        <v>0.97810140000000001</v>
      </c>
      <c r="Y749">
        <v>-6.4306659999999998E-3</v>
      </c>
      <c r="Z749" s="1">
        <v>-9.6741339999999998E-5</v>
      </c>
      <c r="AA749">
        <v>0.99997930000000002</v>
      </c>
      <c r="AB749">
        <v>27</v>
      </c>
      <c r="AC749">
        <v>76.691900000000004</v>
      </c>
      <c r="AD749">
        <v>-1.07316345264</v>
      </c>
      <c r="AE749">
        <v>1.6482000000000301</v>
      </c>
      <c r="AF749">
        <v>-0.49494206864761697</v>
      </c>
      <c r="AG749">
        <v>-1.07316345264</v>
      </c>
      <c r="AH749">
        <v>76.693001229875904</v>
      </c>
      <c r="AI749">
        <v>90.801669549247706</v>
      </c>
      <c r="AJ749">
        <v>90.369756007762106</v>
      </c>
      <c r="AK749">
        <v>76.702106132055803</v>
      </c>
      <c r="AL749">
        <v>79.144787782443998</v>
      </c>
      <c r="AM749">
        <v>84.823934740192797</v>
      </c>
      <c r="AN749">
        <v>1.0000000329339001</v>
      </c>
    </row>
    <row r="750" spans="1:40" x14ac:dyDescent="0.25">
      <c r="A750" t="str">
        <f>"20190303170512115"</f>
        <v>20190303170512115</v>
      </c>
      <c r="B750" t="str">
        <f>"1551603912105358"</f>
        <v>1551603912105358</v>
      </c>
      <c r="C750" t="s">
        <v>40</v>
      </c>
      <c r="D750">
        <v>5.3453059999999999</v>
      </c>
      <c r="E750">
        <v>0.46583809999999898</v>
      </c>
      <c r="F750" t="s">
        <v>41</v>
      </c>
      <c r="G750">
        <v>-241.90649999999999</v>
      </c>
      <c r="H750" s="1">
        <v>-3.8780769999999998E-6</v>
      </c>
      <c r="I750">
        <v>369.21190000000001</v>
      </c>
      <c r="J750">
        <v>-313.14269999999999</v>
      </c>
      <c r="K750">
        <v>1.072608</v>
      </c>
      <c r="L750">
        <v>367.61009999999999</v>
      </c>
      <c r="M750">
        <v>0.99988160000000004</v>
      </c>
      <c r="N750">
        <v>-3.3216600000000002E-3</v>
      </c>
      <c r="O750">
        <v>1.5034189999999999E-2</v>
      </c>
      <c r="P750">
        <v>0.9802883</v>
      </c>
      <c r="Q750">
        <v>0.1832782</v>
      </c>
      <c r="R750">
        <v>-7.378324E-2</v>
      </c>
      <c r="S750">
        <v>3.0750730000000002</v>
      </c>
      <c r="T750">
        <v>-4.614973E-2</v>
      </c>
      <c r="U750">
        <v>6.9061280000000003E-2</v>
      </c>
      <c r="V750">
        <v>8.8520509999999997E-2</v>
      </c>
      <c r="W750">
        <v>0.18652589999999999</v>
      </c>
      <c r="X750">
        <v>0.97845400000000005</v>
      </c>
      <c r="Y750">
        <v>-7.4197439999999998E-3</v>
      </c>
      <c r="Z750">
        <v>-1.076459E-4</v>
      </c>
      <c r="AA750">
        <v>0.99997250000000004</v>
      </c>
      <c r="AB750">
        <v>27</v>
      </c>
      <c r="AC750">
        <v>71.236199999999997</v>
      </c>
      <c r="AD750">
        <v>-1.072611878077</v>
      </c>
      <c r="AE750">
        <v>1.6018000000000201</v>
      </c>
      <c r="AF750">
        <v>-0.53051442003583105</v>
      </c>
      <c r="AG750">
        <v>-1.072611878077</v>
      </c>
      <c r="AH750">
        <v>71.236088449092804</v>
      </c>
      <c r="AI750">
        <v>90.862621565375505</v>
      </c>
      <c r="AJ750">
        <v>90.426689280329796</v>
      </c>
      <c r="AK750">
        <v>71.246138416884193</v>
      </c>
      <c r="AL750">
        <v>79.2498914140143</v>
      </c>
      <c r="AM750">
        <v>84.830536895287096</v>
      </c>
      <c r="AN750">
        <v>1.0000000110887299</v>
      </c>
    </row>
    <row r="751" spans="1:40" x14ac:dyDescent="0.25">
      <c r="A751" t="str">
        <f>"20190303170512136"</f>
        <v>20190303170512136</v>
      </c>
      <c r="B751" t="str">
        <f>"1551603912124879"</f>
        <v>1551603912124879</v>
      </c>
      <c r="C751" t="s">
        <v>40</v>
      </c>
      <c r="D751">
        <v>5.4450669999999999</v>
      </c>
      <c r="E751">
        <v>0.4659392</v>
      </c>
      <c r="F751" t="s">
        <v>41</v>
      </c>
      <c r="G751">
        <v>-255.8287</v>
      </c>
      <c r="H751" s="1">
        <v>-1.8991510000000001E-6</v>
      </c>
      <c r="I751">
        <v>368.89839999999998</v>
      </c>
      <c r="J751">
        <v>-312.86450000000002</v>
      </c>
      <c r="K751">
        <v>1.0721290000000001</v>
      </c>
      <c r="L751">
        <v>367.61430000000001</v>
      </c>
      <c r="M751">
        <v>0.99988259999999995</v>
      </c>
      <c r="N751">
        <v>-2.9651510000000001E-3</v>
      </c>
      <c r="O751">
        <v>1.503495E-2</v>
      </c>
      <c r="P751">
        <v>0.98097299999999998</v>
      </c>
      <c r="Q751">
        <v>0.1799771</v>
      </c>
      <c r="R751">
        <v>-7.2804259999999996E-2</v>
      </c>
      <c r="S751">
        <v>3.0763240000000001</v>
      </c>
      <c r="T751">
        <v>-5.7572129999999999E-2</v>
      </c>
      <c r="U751">
        <v>6.9152829999999998E-2</v>
      </c>
      <c r="V751">
        <v>8.7552420000000006E-2</v>
      </c>
      <c r="W751">
        <v>0.18287800000000001</v>
      </c>
      <c r="X751">
        <v>0.97922940000000003</v>
      </c>
      <c r="Y751">
        <v>-7.4399690000000003E-3</v>
      </c>
      <c r="Z751">
        <v>-1.5608160000000001E-4</v>
      </c>
      <c r="AA751">
        <v>0.99997230000000004</v>
      </c>
      <c r="AB751">
        <v>28</v>
      </c>
      <c r="AC751">
        <v>57.035800000000002</v>
      </c>
      <c r="AD751">
        <v>-1.0721308991509999</v>
      </c>
      <c r="AE751">
        <v>1.2840999999999601</v>
      </c>
      <c r="AF751">
        <v>-0.426270163487113</v>
      </c>
      <c r="AG751">
        <v>-1.0721308991509999</v>
      </c>
      <c r="AH751">
        <v>57.0285189721303</v>
      </c>
      <c r="AI751">
        <v>91.076998418635995</v>
      </c>
      <c r="AJ751">
        <v>90.428259875964301</v>
      </c>
      <c r="AK751">
        <v>57.0401888765441</v>
      </c>
      <c r="AL751">
        <v>79.462559787011102</v>
      </c>
      <c r="AM751">
        <v>84.890797998694296</v>
      </c>
      <c r="AN751">
        <v>1.0000000034781</v>
      </c>
    </row>
    <row r="752" spans="1:40" x14ac:dyDescent="0.25">
      <c r="A752" t="str">
        <f>"20190303170512160"</f>
        <v>20190303170512160</v>
      </c>
      <c r="B752" t="str">
        <f>"1551603912145374"</f>
        <v>1551603912145374</v>
      </c>
      <c r="C752" t="s">
        <v>40</v>
      </c>
      <c r="D752">
        <v>5.3796099999999996</v>
      </c>
      <c r="E752">
        <v>0.46595419999999999</v>
      </c>
      <c r="F752" t="s">
        <v>41</v>
      </c>
      <c r="G752">
        <v>-265.28489999999999</v>
      </c>
      <c r="H752" s="1">
        <v>-2.1627780000000001E-6</v>
      </c>
      <c r="I752">
        <v>368.72719999999998</v>
      </c>
      <c r="J752">
        <v>-312.5822</v>
      </c>
      <c r="K752">
        <v>1.071723</v>
      </c>
      <c r="L752">
        <v>367.61849999999998</v>
      </c>
      <c r="M752">
        <v>0.99988350000000004</v>
      </c>
      <c r="N752">
        <v>-2.6607549999999999E-3</v>
      </c>
      <c r="O752">
        <v>1.503586E-2</v>
      </c>
      <c r="P752">
        <v>0.9811744</v>
      </c>
      <c r="Q752">
        <v>0.17888609999999999</v>
      </c>
      <c r="R752">
        <v>-7.2777659999999994E-2</v>
      </c>
      <c r="S752">
        <v>3.0762019999999999</v>
      </c>
      <c r="T752">
        <v>-6.9317340000000005E-2</v>
      </c>
      <c r="U752">
        <v>7.1960449999999995E-2</v>
      </c>
      <c r="V752">
        <v>8.7529850000000006E-2</v>
      </c>
      <c r="W752">
        <v>0.18148929999999999</v>
      </c>
      <c r="X752">
        <v>0.97948970000000002</v>
      </c>
      <c r="Y752">
        <v>-8.3523790000000001E-3</v>
      </c>
      <c r="Z752">
        <v>-1.9350190000000001E-4</v>
      </c>
      <c r="AA752">
        <v>0.99996510000000005</v>
      </c>
      <c r="AB752">
        <v>28</v>
      </c>
      <c r="AC752">
        <v>47.2973</v>
      </c>
      <c r="AD752">
        <v>-1.071725162778</v>
      </c>
      <c r="AE752">
        <v>1.10869999999999</v>
      </c>
      <c r="AF752">
        <v>-0.39721279319291503</v>
      </c>
      <c r="AG752">
        <v>-1.071725162778</v>
      </c>
      <c r="AH752">
        <v>47.284358961171002</v>
      </c>
      <c r="AI752">
        <v>91.298371229275801</v>
      </c>
      <c r="AJ752">
        <v>90.481302523569695</v>
      </c>
      <c r="AK752">
        <v>47.298170949799797</v>
      </c>
      <c r="AL752">
        <v>79.543480196749499</v>
      </c>
      <c r="AM752">
        <v>84.893458370985996</v>
      </c>
      <c r="AN752">
        <v>0.99999995653079998</v>
      </c>
    </row>
    <row r="753" spans="1:40" x14ac:dyDescent="0.25">
      <c r="A753" t="str">
        <f>"20190303170512182"</f>
        <v>20190303170512182</v>
      </c>
      <c r="B753" t="str">
        <f>"1551603912175630"</f>
        <v>1551603912175630</v>
      </c>
      <c r="C753" t="s">
        <v>40</v>
      </c>
      <c r="D753">
        <v>5.4865690000000003</v>
      </c>
      <c r="E753">
        <v>0.46612330000000002</v>
      </c>
      <c r="F753" t="s">
        <v>41</v>
      </c>
      <c r="G753">
        <v>-269.31959999999998</v>
      </c>
      <c r="H753" s="1">
        <v>-4.8053649999999899E-7</v>
      </c>
      <c r="I753">
        <v>368.62810000000002</v>
      </c>
      <c r="J753">
        <v>-312.29109999999997</v>
      </c>
      <c r="K753">
        <v>1.0713729999999999</v>
      </c>
      <c r="L753">
        <v>367.62290000000002</v>
      </c>
      <c r="M753">
        <v>0.9998842</v>
      </c>
      <c r="N753">
        <v>-2.3973559999999998E-3</v>
      </c>
      <c r="O753">
        <v>1.503704E-2</v>
      </c>
      <c r="P753">
        <v>0.98113660000000003</v>
      </c>
      <c r="Q753">
        <v>0.17849179999999901</v>
      </c>
      <c r="R753">
        <v>-7.424501E-2</v>
      </c>
      <c r="S753">
        <v>3.076813</v>
      </c>
      <c r="T753">
        <v>-7.622015E-2</v>
      </c>
      <c r="U753">
        <v>7.1807860000000001E-2</v>
      </c>
      <c r="V753">
        <v>8.8997209999999993E-2</v>
      </c>
      <c r="W753">
        <v>0.180837</v>
      </c>
      <c r="X753">
        <v>0.97947819999999997</v>
      </c>
      <c r="Y753">
        <v>-8.2973809999999995E-3</v>
      </c>
      <c r="Z753">
        <v>-2.2363529999999999E-4</v>
      </c>
      <c r="AA753">
        <v>0.99996549999999995</v>
      </c>
      <c r="AB753">
        <v>28</v>
      </c>
      <c r="AC753">
        <v>42.971499999999899</v>
      </c>
      <c r="AD753">
        <v>-1.0713734805364901</v>
      </c>
      <c r="AE753">
        <v>1.0052000000000001</v>
      </c>
      <c r="AF753">
        <v>-0.35869756637900202</v>
      </c>
      <c r="AG753">
        <v>-1.0713734805364901</v>
      </c>
      <c r="AH753">
        <v>42.955069906554897</v>
      </c>
      <c r="AI753">
        <v>91.428709481325598</v>
      </c>
      <c r="AJ753">
        <v>90.478438960453303</v>
      </c>
      <c r="AK753">
        <v>42.969925945432401</v>
      </c>
      <c r="AL753">
        <v>79.581483884891796</v>
      </c>
      <c r="AM753">
        <v>84.808255116781396</v>
      </c>
      <c r="AN753">
        <v>1.00000003411601</v>
      </c>
    </row>
    <row r="754" spans="1:40" x14ac:dyDescent="0.25">
      <c r="A754" t="str">
        <f>"20190303170512203"</f>
        <v>20190303170512203</v>
      </c>
      <c r="B754" t="str">
        <f>"1551603912195150"</f>
        <v>1551603912195150</v>
      </c>
      <c r="C754" t="s">
        <v>40</v>
      </c>
      <c r="D754">
        <v>5.3570520000000004</v>
      </c>
      <c r="E754">
        <v>0.50208319999999995</v>
      </c>
      <c r="F754" t="s">
        <v>41</v>
      </c>
      <c r="G754">
        <v>-271.40100000000001</v>
      </c>
      <c r="H754" s="1">
        <v>-3.8677170000000001E-6</v>
      </c>
      <c r="I754">
        <v>368.50880000000001</v>
      </c>
      <c r="J754">
        <v>-312.0136</v>
      </c>
      <c r="K754">
        <v>1.0710999999999999</v>
      </c>
      <c r="L754">
        <v>367.62700000000001</v>
      </c>
      <c r="M754">
        <v>0.99988449999999995</v>
      </c>
      <c r="N754">
        <v>-2.1892729999999998E-3</v>
      </c>
      <c r="O754">
        <v>1.50382999999999E-2</v>
      </c>
      <c r="P754">
        <v>0.98096539999999999</v>
      </c>
      <c r="Q754">
        <v>0.17829329999999999</v>
      </c>
      <c r="R754">
        <v>-7.6931869999999999E-2</v>
      </c>
      <c r="S754">
        <v>3.077423</v>
      </c>
      <c r="T754">
        <v>-8.0632449999999994E-2</v>
      </c>
      <c r="U754">
        <v>6.6680909999999996E-2</v>
      </c>
      <c r="V754">
        <v>9.1682310000000003E-2</v>
      </c>
      <c r="W754">
        <v>0.18043409999999999</v>
      </c>
      <c r="X754">
        <v>0.97930479999999998</v>
      </c>
      <c r="Y754">
        <v>-6.6272980000000002E-3</v>
      </c>
      <c r="Z754">
        <v>-2.6691220000000002E-4</v>
      </c>
      <c r="AA754">
        <v>0.99997800000000003</v>
      </c>
      <c r="AB754">
        <v>28</v>
      </c>
      <c r="AC754">
        <v>40.612599999999901</v>
      </c>
      <c r="AD754">
        <v>-1.0711038677169999</v>
      </c>
      <c r="AE754">
        <v>0.88180000000005498</v>
      </c>
      <c r="AF754">
        <v>-0.27076609636402699</v>
      </c>
      <c r="AG754">
        <v>-1.0711038677169999</v>
      </c>
      <c r="AH754">
        <v>40.593046195083197</v>
      </c>
      <c r="AI754">
        <v>91.511444342679397</v>
      </c>
      <c r="AJ754">
        <v>90.382171971213495</v>
      </c>
      <c r="AK754">
        <v>40.608077733014397</v>
      </c>
      <c r="AL754">
        <v>79.604954092575397</v>
      </c>
      <c r="AM754">
        <v>84.651570514550897</v>
      </c>
      <c r="AN754">
        <v>1.0000000008563901</v>
      </c>
    </row>
    <row r="755" spans="1:40" x14ac:dyDescent="0.25">
      <c r="A755" t="str">
        <f>"20190303170512225"</f>
        <v>20190303170512225</v>
      </c>
      <c r="B755" t="str">
        <f>"1551603912215646"</f>
        <v>1551603912215646</v>
      </c>
      <c r="C755" t="s">
        <v>40</v>
      </c>
      <c r="D755">
        <v>5.360328</v>
      </c>
      <c r="E755">
        <v>0.51014910000000002</v>
      </c>
      <c r="F755" t="s">
        <v>42</v>
      </c>
      <c r="G755">
        <v>-311.065</v>
      </c>
      <c r="H755">
        <v>0.94277120000000003</v>
      </c>
      <c r="I755">
        <v>367.5607</v>
      </c>
      <c r="J755">
        <v>-311.74160000000001</v>
      </c>
      <c r="K755">
        <v>1.0708740000000001</v>
      </c>
      <c r="L755">
        <v>367.63119999999998</v>
      </c>
      <c r="M755">
        <v>0.99988489999999997</v>
      </c>
      <c r="N755">
        <v>-2.020511E-3</v>
      </c>
      <c r="O755">
        <v>1.5039500000000001E-2</v>
      </c>
      <c r="P755">
        <v>0.98073540000000003</v>
      </c>
      <c r="Q755">
        <v>0.17845129999999901</v>
      </c>
      <c r="R755">
        <v>-7.9457020000000003E-2</v>
      </c>
      <c r="S755">
        <v>3.1178590000000002</v>
      </c>
      <c r="T755">
        <v>-0.42192849999999998</v>
      </c>
      <c r="U755">
        <v>-0.2171631</v>
      </c>
      <c r="V755">
        <v>9.4204780000000002E-2</v>
      </c>
      <c r="W755">
        <v>0.18042620000000001</v>
      </c>
      <c r="X755">
        <v>0.97906680000000001</v>
      </c>
      <c r="Y755">
        <v>8.3576120000000004E-2</v>
      </c>
      <c r="Z755">
        <v>-7.7011569999999897E-3</v>
      </c>
      <c r="AA755">
        <v>0.99647160000000001</v>
      </c>
      <c r="AB755">
        <v>29</v>
      </c>
      <c r="AC755">
        <v>0.67660000000000697</v>
      </c>
      <c r="AD755">
        <v>-0.12810279999999899</v>
      </c>
      <c r="AE755">
        <v>-7.04999999999813E-2</v>
      </c>
      <c r="AF755">
        <v>7.7905100163154897E-2</v>
      </c>
      <c r="AG755">
        <v>-0.12810279999999899</v>
      </c>
      <c r="AH755">
        <v>0.65233024062043798</v>
      </c>
      <c r="AI755">
        <v>101.033745732025</v>
      </c>
      <c r="AJ755">
        <v>83.189657595382201</v>
      </c>
      <c r="AK755">
        <v>0.66933868469347402</v>
      </c>
      <c r="AL755">
        <v>79.605414026402798</v>
      </c>
      <c r="AM755">
        <v>84.503979431430494</v>
      </c>
      <c r="AN755">
        <v>0.99999997654176398</v>
      </c>
    </row>
    <row r="756" spans="1:40" x14ac:dyDescent="0.25">
      <c r="A756" t="str">
        <f>"20190303170512247"</f>
        <v>20190303170512247</v>
      </c>
      <c r="B756" t="str">
        <f>"1551603912235166"</f>
        <v>1551603912235166</v>
      </c>
      <c r="C756" t="s">
        <v>40</v>
      </c>
      <c r="D756">
        <v>5.362171</v>
      </c>
      <c r="E756">
        <v>0.51340399999999997</v>
      </c>
      <c r="F756" t="s">
        <v>42</v>
      </c>
      <c r="G756">
        <v>-310.81689999999998</v>
      </c>
      <c r="H756">
        <v>0.91956819999999895</v>
      </c>
      <c r="I756">
        <v>367.54599999999999</v>
      </c>
      <c r="J756">
        <v>-311.45119999999997</v>
      </c>
      <c r="K756">
        <v>1.07067</v>
      </c>
      <c r="L756">
        <v>367.63560000000001</v>
      </c>
      <c r="M756">
        <v>0.99988509999999997</v>
      </c>
      <c r="N756">
        <v>-1.8732670000000001E-3</v>
      </c>
      <c r="O756">
        <v>1.504078E-2</v>
      </c>
      <c r="P756">
        <v>0.98070999999999997</v>
      </c>
      <c r="Q756">
        <v>0.1777773</v>
      </c>
      <c r="R756">
        <v>-8.1260520000000003E-2</v>
      </c>
      <c r="S756">
        <v>3.1288450000000001</v>
      </c>
      <c r="T756">
        <v>-0.51208279999999995</v>
      </c>
      <c r="U756">
        <v>-0.287323</v>
      </c>
      <c r="V756">
        <v>9.6008780000000002E-2</v>
      </c>
      <c r="W756">
        <v>0.17960809999999999</v>
      </c>
      <c r="X756">
        <v>0.97904199999999997</v>
      </c>
      <c r="Y756">
        <v>0.1048195</v>
      </c>
      <c r="Z756">
        <v>-1.1015219999999999E-2</v>
      </c>
      <c r="AA756">
        <v>0.99443020000000004</v>
      </c>
      <c r="AB756">
        <v>29</v>
      </c>
      <c r="AC756">
        <v>0.63429999999999598</v>
      </c>
      <c r="AD756">
        <v>-0.15110180000000001</v>
      </c>
      <c r="AE756">
        <v>-8.9600000000018498E-2</v>
      </c>
      <c r="AF756">
        <v>9.3905557054905803E-2</v>
      </c>
      <c r="AG756">
        <v>-0.15110180000000001</v>
      </c>
      <c r="AH756">
        <v>0.59952441964162295</v>
      </c>
      <c r="AI756">
        <v>103.98231216206101</v>
      </c>
      <c r="AJ756">
        <v>81.097897606700897</v>
      </c>
      <c r="AK756">
        <v>0.625363524164671</v>
      </c>
      <c r="AL756">
        <v>79.653066386705405</v>
      </c>
      <c r="AM756">
        <v>84.3992538413885</v>
      </c>
      <c r="AN756">
        <v>0.99999999659334904</v>
      </c>
    </row>
    <row r="757" spans="1:40" x14ac:dyDescent="0.25">
      <c r="A757" t="str">
        <f>"20190303170512271"</f>
        <v>20190303170512271</v>
      </c>
      <c r="B757" t="str">
        <f>"1551603912265422"</f>
        <v>1551603912265422</v>
      </c>
      <c r="C757" t="s">
        <v>40</v>
      </c>
      <c r="D757">
        <v>5.3666499999999999</v>
      </c>
      <c r="E757">
        <v>0.51512769999999997</v>
      </c>
      <c r="F757" t="s">
        <v>42</v>
      </c>
      <c r="G757">
        <v>-310.56029999999998</v>
      </c>
      <c r="H757">
        <v>0.91112479999999996</v>
      </c>
      <c r="I757">
        <v>367.54500000000002</v>
      </c>
      <c r="J757">
        <v>-311.14409999999998</v>
      </c>
      <c r="K757">
        <v>1.0704910000000001</v>
      </c>
      <c r="L757">
        <v>367.64019999999999</v>
      </c>
      <c r="M757">
        <v>0.99988540000000004</v>
      </c>
      <c r="N757">
        <v>-1.74948799999999E-3</v>
      </c>
      <c r="O757">
        <v>1.504227E-2</v>
      </c>
      <c r="P757">
        <v>0.98081200000000002</v>
      </c>
      <c r="Q757">
        <v>0.17688499999999999</v>
      </c>
      <c r="R757">
        <v>-8.1972899999999904E-2</v>
      </c>
      <c r="S757">
        <v>3.1343990000000002</v>
      </c>
      <c r="T757">
        <v>-0.56136439999999999</v>
      </c>
      <c r="U757">
        <v>-0.31777949999999999</v>
      </c>
      <c r="V757">
        <v>9.6724299999999999E-2</v>
      </c>
      <c r="W757">
        <v>0.17859430000000001</v>
      </c>
      <c r="X757">
        <v>0.97915700000000006</v>
      </c>
      <c r="Y757">
        <v>0.1137785</v>
      </c>
      <c r="Z757">
        <v>-1.2824139999999999E-2</v>
      </c>
      <c r="AA757">
        <v>0.99342339999999996</v>
      </c>
      <c r="AB757">
        <v>29</v>
      </c>
      <c r="AC757">
        <v>0.58379999999999599</v>
      </c>
      <c r="AD757">
        <v>-0.15936620000000001</v>
      </c>
      <c r="AE757">
        <v>-9.5199999999976997E-2</v>
      </c>
      <c r="AF757">
        <v>9.6934602720734606E-2</v>
      </c>
      <c r="AG757">
        <v>-0.15936620000000001</v>
      </c>
      <c r="AH757">
        <v>0.54289416709207505</v>
      </c>
      <c r="AI757">
        <v>106.118184154224</v>
      </c>
      <c r="AJ757">
        <v>79.876431322577304</v>
      </c>
      <c r="AK757">
        <v>0.57404527658509996</v>
      </c>
      <c r="AL757">
        <v>79.712107255840493</v>
      </c>
      <c r="AM757">
        <v>84.358440162490396</v>
      </c>
      <c r="AN757">
        <v>0.99999997242598904</v>
      </c>
    </row>
    <row r="758" spans="1:40" x14ac:dyDescent="0.25">
      <c r="A758" t="str">
        <f>"20190303170512293"</f>
        <v>20190303170512293</v>
      </c>
      <c r="B758" t="str">
        <f>"1551603912284942"</f>
        <v>1551603912284942</v>
      </c>
      <c r="C758" t="s">
        <v>40</v>
      </c>
      <c r="D758">
        <v>5.3680709999999996</v>
      </c>
      <c r="E758">
        <v>0.51607599999999998</v>
      </c>
      <c r="F758" t="s">
        <v>42</v>
      </c>
      <c r="G758">
        <v>-310.29880000000003</v>
      </c>
      <c r="H758">
        <v>0.9102595</v>
      </c>
      <c r="I758">
        <v>367.55040000000002</v>
      </c>
      <c r="J758">
        <v>-310.85090000000002</v>
      </c>
      <c r="K758">
        <v>1.07036</v>
      </c>
      <c r="L758">
        <v>367.64460000000003</v>
      </c>
      <c r="M758">
        <v>0.99988549999999998</v>
      </c>
      <c r="N758">
        <v>-1.657812E-3</v>
      </c>
      <c r="O758">
        <v>1.504348E-2</v>
      </c>
      <c r="P758">
        <v>0.98061770000000004</v>
      </c>
      <c r="Q758">
        <v>0.17797460000000001</v>
      </c>
      <c r="R758">
        <v>-8.1941429999999996E-2</v>
      </c>
      <c r="S758">
        <v>3.1381839999999999</v>
      </c>
      <c r="T758">
        <v>-0.59493699999999905</v>
      </c>
      <c r="U758">
        <v>-0.33270260000000001</v>
      </c>
      <c r="V758">
        <v>9.669084E-2</v>
      </c>
      <c r="W758">
        <v>0.17959449999999999</v>
      </c>
      <c r="X758">
        <v>0.9789774</v>
      </c>
      <c r="Y758">
        <v>0.1180156</v>
      </c>
      <c r="Z758">
        <v>-1.395164E-2</v>
      </c>
      <c r="AA758">
        <v>0.99291370000000001</v>
      </c>
      <c r="AB758">
        <v>29</v>
      </c>
      <c r="AC758">
        <v>0.55209999999999504</v>
      </c>
      <c r="AD758">
        <v>-0.16010050000000001</v>
      </c>
      <c r="AE758">
        <v>-9.42000000000007E-2</v>
      </c>
      <c r="AF758">
        <v>9.4752419261804499E-2</v>
      </c>
      <c r="AG758">
        <v>-0.16010050000000001</v>
      </c>
      <c r="AH758">
        <v>0.50902668841937704</v>
      </c>
      <c r="AI758">
        <v>107.182203848396</v>
      </c>
      <c r="AJ758">
        <v>79.455400661147294</v>
      </c>
      <c r="AK758">
        <v>0.54195789557807195</v>
      </c>
      <c r="AL758">
        <v>79.653858800463496</v>
      </c>
      <c r="AM758">
        <v>84.359351218812705</v>
      </c>
      <c r="AN758">
        <v>1.00000002634045</v>
      </c>
    </row>
    <row r="759" spans="1:40" x14ac:dyDescent="0.25">
      <c r="A759" t="str">
        <f>"20190303170512315"</f>
        <v>20190303170512315</v>
      </c>
      <c r="B759" t="str">
        <f>"1551603912305439"</f>
        <v>1551603912305439</v>
      </c>
      <c r="C759" t="s">
        <v>40</v>
      </c>
      <c r="D759">
        <v>5.3655480000000004</v>
      </c>
      <c r="E759">
        <v>0.51670959999999999</v>
      </c>
      <c r="F759" t="s">
        <v>42</v>
      </c>
      <c r="G759">
        <v>-310.03399999999999</v>
      </c>
      <c r="H759">
        <v>0.91307150000000004</v>
      </c>
      <c r="I759">
        <v>367.55560000000003</v>
      </c>
      <c r="J759">
        <v>-310.56119999999999</v>
      </c>
      <c r="K759">
        <v>1.0702590000000001</v>
      </c>
      <c r="L759">
        <v>367.649</v>
      </c>
      <c r="M759">
        <v>0.99988560000000004</v>
      </c>
      <c r="N759">
        <v>-1.5897890000000001E-3</v>
      </c>
      <c r="O759">
        <v>1.504455E-2</v>
      </c>
      <c r="P759">
        <v>0.98031570000000001</v>
      </c>
      <c r="Q759">
        <v>0.1801005</v>
      </c>
      <c r="R759">
        <v>-8.0901529999999999E-2</v>
      </c>
      <c r="S759">
        <v>3.140625</v>
      </c>
      <c r="T759">
        <v>-0.60489519999999997</v>
      </c>
      <c r="U759">
        <v>-0.34060669999999998</v>
      </c>
      <c r="V759">
        <v>9.5647720000000006E-2</v>
      </c>
      <c r="W759">
        <v>0.18165339999999999</v>
      </c>
      <c r="X759">
        <v>0.97869989999999996</v>
      </c>
      <c r="Y759">
        <v>0.1202906</v>
      </c>
      <c r="Z759">
        <v>-1.438277E-2</v>
      </c>
      <c r="AA759">
        <v>0.99263449999999998</v>
      </c>
      <c r="AB759">
        <v>29</v>
      </c>
      <c r="AC759">
        <v>0.52719999999999301</v>
      </c>
      <c r="AD759">
        <v>-0.15718750000000001</v>
      </c>
      <c r="AE759">
        <v>-9.3399999999974101E-2</v>
      </c>
      <c r="AF759">
        <v>9.3280916207242298E-2</v>
      </c>
      <c r="AG759">
        <v>-0.15718750000000001</v>
      </c>
      <c r="AH759">
        <v>0.48401707765602597</v>
      </c>
      <c r="AI759">
        <v>107.686860270363</v>
      </c>
      <c r="AJ759">
        <v>79.091563003926893</v>
      </c>
      <c r="AK759">
        <v>0.51737971640507097</v>
      </c>
      <c r="AL759">
        <v>79.533919164767696</v>
      </c>
      <c r="AM759">
        <v>84.418245301168596</v>
      </c>
      <c r="AN759">
        <v>0.99999996916638301</v>
      </c>
    </row>
    <row r="760" spans="1:40" x14ac:dyDescent="0.25">
      <c r="A760" t="str">
        <f>"20190303170512337"</f>
        <v>20190303170512337</v>
      </c>
      <c r="B760" t="str">
        <f>"1551603912324958"</f>
        <v>1551603912324958</v>
      </c>
      <c r="C760" t="s">
        <v>40</v>
      </c>
      <c r="D760">
        <v>5.3766400000000001</v>
      </c>
      <c r="E760">
        <v>0.51731349999999998</v>
      </c>
      <c r="F760" t="s">
        <v>42</v>
      </c>
      <c r="G760">
        <v>-309.76710000000003</v>
      </c>
      <c r="H760">
        <v>0.91686219999999996</v>
      </c>
      <c r="I760">
        <v>367.5625</v>
      </c>
      <c r="J760">
        <v>-310.27499999999998</v>
      </c>
      <c r="K760">
        <v>1.0701700000000001</v>
      </c>
      <c r="L760">
        <v>367.6533</v>
      </c>
      <c r="M760">
        <v>0.99988560000000004</v>
      </c>
      <c r="N760">
        <v>-1.541957E-3</v>
      </c>
      <c r="O760">
        <v>1.5045609999999999E-2</v>
      </c>
      <c r="P760">
        <v>0.9802824</v>
      </c>
      <c r="Q760">
        <v>0.1809296</v>
      </c>
      <c r="R760">
        <v>-7.9441520000000002E-2</v>
      </c>
      <c r="S760">
        <v>3.1436459999999999</v>
      </c>
      <c r="T760">
        <v>-0.60740090000000002</v>
      </c>
      <c r="U760">
        <v>-0.3415222</v>
      </c>
      <c r="V760">
        <v>9.4188149999999998E-2</v>
      </c>
      <c r="W760">
        <v>0.1824355</v>
      </c>
      <c r="X760">
        <v>0.97869600000000001</v>
      </c>
      <c r="Y760">
        <v>0.12045690000000001</v>
      </c>
      <c r="Z760">
        <v>-1.4441280000000001E-2</v>
      </c>
      <c r="AA760">
        <v>0.99261350000000004</v>
      </c>
      <c r="AB760">
        <v>29</v>
      </c>
      <c r="AC760">
        <v>0.50789999999994895</v>
      </c>
      <c r="AD760">
        <v>-0.15330779999999999</v>
      </c>
      <c r="AE760">
        <v>-9.0800000000001505E-2</v>
      </c>
      <c r="AF760">
        <v>9.0445969294972797E-2</v>
      </c>
      <c r="AG760">
        <v>-0.15330779999999999</v>
      </c>
      <c r="AH760">
        <v>0.46538754343441602</v>
      </c>
      <c r="AI760">
        <v>107.919619478092</v>
      </c>
      <c r="AJ760">
        <v>79.001922472094293</v>
      </c>
      <c r="AK760">
        <v>0.49826631482217199</v>
      </c>
      <c r="AL760">
        <v>79.488346849351402</v>
      </c>
      <c r="AM760">
        <v>84.5028745368123</v>
      </c>
      <c r="AN760">
        <v>0.99999998983833605</v>
      </c>
    </row>
    <row r="761" spans="1:40" x14ac:dyDescent="0.25">
      <c r="A761" t="str">
        <f>"20190303170512360"</f>
        <v>20190303170512360</v>
      </c>
      <c r="B761" t="str">
        <f>"1551603912345454"</f>
        <v>1551603912345454</v>
      </c>
      <c r="C761" t="s">
        <v>40</v>
      </c>
      <c r="D761">
        <v>5.3870699999999996</v>
      </c>
      <c r="E761">
        <v>0.51779010000000003</v>
      </c>
      <c r="F761" t="s">
        <v>42</v>
      </c>
      <c r="G761">
        <v>-309.49930000000001</v>
      </c>
      <c r="H761">
        <v>0.91924870000000003</v>
      </c>
      <c r="I761">
        <v>367.56889999999999</v>
      </c>
      <c r="J761">
        <v>-309.96370000000002</v>
      </c>
      <c r="K761">
        <v>1.0700860000000001</v>
      </c>
      <c r="L761">
        <v>367.65800000000002</v>
      </c>
      <c r="M761">
        <v>0.99988560000000004</v>
      </c>
      <c r="N761">
        <v>-1.50866E-3</v>
      </c>
      <c r="O761">
        <v>1.504665E-2</v>
      </c>
      <c r="P761">
        <v>0.98034639999999995</v>
      </c>
      <c r="Q761">
        <v>0.1812995</v>
      </c>
      <c r="R761">
        <v>-7.7792459999999994E-2</v>
      </c>
      <c r="S761">
        <v>3.1456909999999998</v>
      </c>
      <c r="T761">
        <v>-0.61216619999999899</v>
      </c>
      <c r="U761">
        <v>-0.34109499999999998</v>
      </c>
      <c r="V761">
        <v>9.2541399999999996E-2</v>
      </c>
      <c r="W761">
        <v>0.18277299999999999</v>
      </c>
      <c r="X761">
        <v>0.9787901</v>
      </c>
      <c r="Y761">
        <v>0.120224499999999</v>
      </c>
      <c r="Z761">
        <v>-1.451904E-2</v>
      </c>
      <c r="AA761">
        <v>0.99264059999999998</v>
      </c>
      <c r="AB761">
        <v>30</v>
      </c>
      <c r="AC761">
        <v>0.46440000000001103</v>
      </c>
      <c r="AD761">
        <v>-0.15083730000000001</v>
      </c>
      <c r="AE761">
        <v>-8.9100000000030294E-2</v>
      </c>
      <c r="AF761">
        <v>8.7204538349800603E-2</v>
      </c>
      <c r="AG761">
        <v>-0.15083730000000001</v>
      </c>
      <c r="AH761">
        <v>0.42024673232502702</v>
      </c>
      <c r="AI761">
        <v>109.36345993572201</v>
      </c>
      <c r="AJ761">
        <v>78.277042275440806</v>
      </c>
      <c r="AK761">
        <v>0.45493278471655002</v>
      </c>
      <c r="AL761">
        <v>79.468678624472304</v>
      </c>
      <c r="AM761">
        <v>84.598926961240295</v>
      </c>
      <c r="AN761">
        <v>0.99999997005048402</v>
      </c>
    </row>
    <row r="762" spans="1:40" x14ac:dyDescent="0.25">
      <c r="A762" t="str">
        <f>"20190303170512382"</f>
        <v>20190303170512382</v>
      </c>
      <c r="B762" t="str">
        <f>"1551603912375711"</f>
        <v>1551603912375711</v>
      </c>
      <c r="C762" t="s">
        <v>40</v>
      </c>
      <c r="D762">
        <v>5.4365189999999997</v>
      </c>
      <c r="E762">
        <v>0.51840200000000003</v>
      </c>
      <c r="F762" t="s">
        <v>42</v>
      </c>
      <c r="G762">
        <v>-309.22789999999998</v>
      </c>
      <c r="H762">
        <v>0.92602960000000001</v>
      </c>
      <c r="I762">
        <v>367.57850000000002</v>
      </c>
      <c r="J762">
        <v>-309.66160000000002</v>
      </c>
      <c r="K762">
        <v>1.0700210000000001</v>
      </c>
      <c r="L762">
        <v>367.66250000000002</v>
      </c>
      <c r="M762">
        <v>0.99988589999999999</v>
      </c>
      <c r="N762">
        <v>-1.492897E-3</v>
      </c>
      <c r="O762">
        <v>1.504397E-2</v>
      </c>
      <c r="P762">
        <v>0.98058069999999997</v>
      </c>
      <c r="Q762">
        <v>0.18083179999999999</v>
      </c>
      <c r="R762">
        <v>-7.5905039999999993E-2</v>
      </c>
      <c r="S762">
        <v>3.1471559999999998</v>
      </c>
      <c r="T762">
        <v>-0.616286</v>
      </c>
      <c r="U762">
        <v>-0.33996579999999998</v>
      </c>
      <c r="V762">
        <v>9.0655849999999996E-2</v>
      </c>
      <c r="W762">
        <v>0.18229010000000001</v>
      </c>
      <c r="X762">
        <v>0.97905660000000005</v>
      </c>
      <c r="Y762">
        <v>0.1197971</v>
      </c>
      <c r="Z762">
        <v>-1.456527E-2</v>
      </c>
      <c r="AA762">
        <v>0.99269160000000001</v>
      </c>
      <c r="AB762">
        <v>30</v>
      </c>
      <c r="AC762">
        <v>0.43370000000004399</v>
      </c>
      <c r="AD762">
        <v>-0.14399139999999899</v>
      </c>
      <c r="AE762">
        <v>-8.40000000000031E-2</v>
      </c>
      <c r="AF762">
        <v>8.1822041358572406E-2</v>
      </c>
      <c r="AG762">
        <v>-0.14399139999999899</v>
      </c>
      <c r="AH762">
        <v>0.39086094117298398</v>
      </c>
      <c r="AI762">
        <v>109.828262083053</v>
      </c>
      <c r="AJ762">
        <v>78.176554354981207</v>
      </c>
      <c r="AK762">
        <v>0.42450046532445002</v>
      </c>
      <c r="AL762">
        <v>79.496819788220407</v>
      </c>
      <c r="AM762">
        <v>84.709775991261097</v>
      </c>
      <c r="AN762">
        <v>0.99999999485039603</v>
      </c>
    </row>
    <row r="763" spans="1:40" x14ac:dyDescent="0.25">
      <c r="A763" t="str">
        <f>"20190303170512404"</f>
        <v>20190303170512404</v>
      </c>
      <c r="B763" t="str">
        <f>"1551603912395230"</f>
        <v>1551603912395230</v>
      </c>
      <c r="C763" t="s">
        <v>40</v>
      </c>
      <c r="D763">
        <v>5.4122979999999998</v>
      </c>
      <c r="E763">
        <v>0.51879449999999905</v>
      </c>
      <c r="F763" t="s">
        <v>42</v>
      </c>
      <c r="G763">
        <v>-308.95609999999999</v>
      </c>
      <c r="H763">
        <v>0.93017519999999998</v>
      </c>
      <c r="I763">
        <v>367.58620000000002</v>
      </c>
      <c r="J763">
        <v>-309.3698</v>
      </c>
      <c r="K763">
        <v>1.069963</v>
      </c>
      <c r="L763">
        <v>367.6669</v>
      </c>
      <c r="M763">
        <v>0.99988600000000005</v>
      </c>
      <c r="N763">
        <v>-1.4956800000000001E-3</v>
      </c>
      <c r="O763">
        <v>1.502822E-2</v>
      </c>
      <c r="P763">
        <v>0.98061229999999999</v>
      </c>
      <c r="Q763">
        <v>0.1812839</v>
      </c>
      <c r="R763">
        <v>-7.4405860000000004E-2</v>
      </c>
      <c r="S763">
        <v>3.1482540000000001</v>
      </c>
      <c r="T763">
        <v>-0.62414530000000001</v>
      </c>
      <c r="U763">
        <v>-0.33978269999999999</v>
      </c>
      <c r="V763">
        <v>8.9144920000000002E-2</v>
      </c>
      <c r="W763">
        <v>0.1827435</v>
      </c>
      <c r="X763">
        <v>0.97911079999999995</v>
      </c>
      <c r="Y763">
        <v>0.1196281</v>
      </c>
      <c r="Z763">
        <v>-1.472213E-2</v>
      </c>
      <c r="AA763">
        <v>0.99270959999999997</v>
      </c>
      <c r="AB763">
        <v>30</v>
      </c>
      <c r="AC763">
        <v>0.41370000000000501</v>
      </c>
      <c r="AD763">
        <v>-0.13978779999999899</v>
      </c>
      <c r="AE763">
        <v>-8.06999999999789E-2</v>
      </c>
      <c r="AF763">
        <v>7.8296346971471198E-2</v>
      </c>
      <c r="AG763">
        <v>-0.13978779999999899</v>
      </c>
      <c r="AH763">
        <v>0.37157177092267701</v>
      </c>
      <c r="AI763">
        <v>110.20981588756899</v>
      </c>
      <c r="AJ763">
        <v>78.100901587484202</v>
      </c>
      <c r="AK763">
        <v>0.40464370491153201</v>
      </c>
      <c r="AL763">
        <v>79.470397922493106</v>
      </c>
      <c r="AM763">
        <v>84.797744853331594</v>
      </c>
      <c r="AN763">
        <v>0.99999998111534805</v>
      </c>
    </row>
    <row r="764" spans="1:40" x14ac:dyDescent="0.25">
      <c r="A764" t="str">
        <f>"20190303170512426"</f>
        <v>20190303170512426</v>
      </c>
      <c r="B764" t="str">
        <f>"1551603912415726"</f>
        <v>1551603912415726</v>
      </c>
      <c r="C764" t="s">
        <v>40</v>
      </c>
      <c r="D764">
        <v>5.4299939999999998</v>
      </c>
      <c r="E764">
        <v>0.51911679999999905</v>
      </c>
      <c r="F764" t="s">
        <v>42</v>
      </c>
      <c r="G764">
        <v>-308.43239999999997</v>
      </c>
      <c r="H764">
        <v>0.88341999999999998</v>
      </c>
      <c r="I764">
        <v>367.56580000000002</v>
      </c>
      <c r="J764">
        <v>-309.06229999999999</v>
      </c>
      <c r="K764">
        <v>1.0699050000000001</v>
      </c>
      <c r="L764">
        <v>367.67149999999998</v>
      </c>
      <c r="M764">
        <v>0.99988659999999996</v>
      </c>
      <c r="N764">
        <v>-1.516292E-3</v>
      </c>
      <c r="O764">
        <v>1.498818E-2</v>
      </c>
      <c r="P764">
        <v>0.98060570000000002</v>
      </c>
      <c r="Q764">
        <v>0.18166479999999999</v>
      </c>
      <c r="R764">
        <v>-7.3557410000000004E-2</v>
      </c>
      <c r="S764">
        <v>3.1495359999999999</v>
      </c>
      <c r="T764">
        <v>-0.62684090000000003</v>
      </c>
      <c r="U764">
        <v>-0.33871459999999998</v>
      </c>
      <c r="V764">
        <v>8.8263850000000005E-2</v>
      </c>
      <c r="W764">
        <v>0.18314150000000001</v>
      </c>
      <c r="X764">
        <v>0.97911630000000005</v>
      </c>
      <c r="Y764">
        <v>0.1192011</v>
      </c>
      <c r="Z764">
        <v>-1.472948E-2</v>
      </c>
      <c r="AA764">
        <v>0.9927608</v>
      </c>
      <c r="AB764">
        <v>30</v>
      </c>
      <c r="AC764">
        <v>0.62990000000002</v>
      </c>
      <c r="AD764">
        <v>-0.18648499999999901</v>
      </c>
      <c r="AE764">
        <v>-0.105699999999956</v>
      </c>
      <c r="AF764">
        <v>0.106085598096189</v>
      </c>
      <c r="AG764">
        <v>-0.18648499999999901</v>
      </c>
      <c r="AH764">
        <v>0.57889528111526201</v>
      </c>
      <c r="AI764">
        <v>107.581474259514</v>
      </c>
      <c r="AJ764">
        <v>79.615470739822896</v>
      </c>
      <c r="AK764">
        <v>0.61737391898746796</v>
      </c>
      <c r="AL764">
        <v>79.447203193586205</v>
      </c>
      <c r="AM764">
        <v>84.848912502974102</v>
      </c>
      <c r="AN764">
        <v>1.00000002258238</v>
      </c>
    </row>
    <row r="765" spans="1:40" x14ac:dyDescent="0.25">
      <c r="A765" t="str">
        <f>"20190303170512448"</f>
        <v>20190303170512448</v>
      </c>
      <c r="B765" t="str">
        <f>"1551603912435246"</f>
        <v>1551603912435246</v>
      </c>
      <c r="C765" t="s">
        <v>40</v>
      </c>
      <c r="D765">
        <v>5.4113989999999896</v>
      </c>
      <c r="E765">
        <v>0.51935900000000002</v>
      </c>
      <c r="F765" t="s">
        <v>42</v>
      </c>
      <c r="G765">
        <v>-308.15559999999999</v>
      </c>
      <c r="H765">
        <v>0.88882510000000003</v>
      </c>
      <c r="I765">
        <v>367.57380000000001</v>
      </c>
      <c r="J765">
        <v>-308.75599999999997</v>
      </c>
      <c r="K765">
        <v>1.069852</v>
      </c>
      <c r="L765">
        <v>367.67610000000002</v>
      </c>
      <c r="M765">
        <v>0.99988750000000004</v>
      </c>
      <c r="N765">
        <v>-1.550767E-3</v>
      </c>
      <c r="O765">
        <v>1.492506E-2</v>
      </c>
      <c r="P765">
        <v>0.9806686</v>
      </c>
      <c r="Q765">
        <v>0.1818767</v>
      </c>
      <c r="R765">
        <v>-7.2182129999999997E-2</v>
      </c>
      <c r="S765">
        <v>3.1504819999999998</v>
      </c>
      <c r="T765">
        <v>-0.62923859999999998</v>
      </c>
      <c r="U765">
        <v>-0.33914179999999999</v>
      </c>
      <c r="V765">
        <v>8.683594E-2</v>
      </c>
      <c r="W765">
        <v>0.1833834</v>
      </c>
      <c r="X765">
        <v>0.97919869999999998</v>
      </c>
      <c r="Y765">
        <v>0.1192221</v>
      </c>
      <c r="Z765">
        <v>-1.4771370000000001E-2</v>
      </c>
      <c r="AA765">
        <v>0.99275769999999997</v>
      </c>
      <c r="AB765">
        <v>31</v>
      </c>
      <c r="AC765">
        <v>0.60039999999997895</v>
      </c>
      <c r="AD765">
        <v>-0.18102689999999999</v>
      </c>
      <c r="AE765">
        <v>-0.10230000000001301</v>
      </c>
      <c r="AF765">
        <v>0.10221918767077599</v>
      </c>
      <c r="AG765">
        <v>-0.18102689999999999</v>
      </c>
      <c r="AH765">
        <v>0.55019955764432504</v>
      </c>
      <c r="AI765">
        <v>107.925618513605</v>
      </c>
      <c r="AJ765">
        <v>79.475262661155</v>
      </c>
      <c r="AK765">
        <v>0.58816583892954399</v>
      </c>
      <c r="AL765">
        <v>79.433104575077095</v>
      </c>
      <c r="AM765">
        <v>84.932232193834693</v>
      </c>
      <c r="AN765">
        <v>1.0000000229764601</v>
      </c>
    </row>
    <row r="766" spans="1:40" x14ac:dyDescent="0.25">
      <c r="A766" t="str">
        <f>"20190303170512459"</f>
        <v>20190303170512459</v>
      </c>
      <c r="B766" t="str">
        <f>"1551603912445006"</f>
        <v>1551603912445006</v>
      </c>
      <c r="C766" t="s">
        <v>40</v>
      </c>
      <c r="D766">
        <v>5.4194950000000004</v>
      </c>
      <c r="E766">
        <v>0.51947370000000004</v>
      </c>
      <c r="F766" t="s">
        <v>42</v>
      </c>
      <c r="G766">
        <v>-307.87759999999997</v>
      </c>
      <c r="H766">
        <v>0.89378809999999997</v>
      </c>
      <c r="I766">
        <v>367.58150000000001</v>
      </c>
      <c r="J766">
        <v>-308.59989999999999</v>
      </c>
      <c r="K766">
        <v>1.069825</v>
      </c>
      <c r="L766">
        <v>367.67840000000001</v>
      </c>
      <c r="M766">
        <v>0.99988809999999995</v>
      </c>
      <c r="N766">
        <v>-1.5724859999999999E-3</v>
      </c>
      <c r="O766">
        <v>1.488216E-2</v>
      </c>
      <c r="P766">
        <v>0.98074870000000003</v>
      </c>
      <c r="Q766">
        <v>0.18178359999999999</v>
      </c>
      <c r="R766">
        <v>-7.1322250000000004E-2</v>
      </c>
      <c r="S766">
        <v>3.151459</v>
      </c>
      <c r="T766">
        <v>-0.63178590000000001</v>
      </c>
      <c r="U766">
        <v>-0.33807369999999998</v>
      </c>
      <c r="V766">
        <v>8.5940320000000001E-2</v>
      </c>
      <c r="W766">
        <v>0.18330979999999999</v>
      </c>
      <c r="X766">
        <v>0.97929149999999998</v>
      </c>
      <c r="Y766">
        <v>0.11880350000000001</v>
      </c>
      <c r="Z766">
        <v>-1.4776340000000001E-2</v>
      </c>
      <c r="AA766">
        <v>0.99280780000000002</v>
      </c>
      <c r="AB766">
        <v>31</v>
      </c>
      <c r="AC766">
        <v>0.72230000000001804</v>
      </c>
      <c r="AD766">
        <v>-0.1760369</v>
      </c>
      <c r="AE766">
        <v>-9.6900000000005093E-2</v>
      </c>
      <c r="AF766">
        <v>0.10170442242432599</v>
      </c>
      <c r="AG766">
        <v>-0.1760369</v>
      </c>
      <c r="AH766">
        <v>0.68104061289630002</v>
      </c>
      <c r="AI766">
        <v>104.340369503432</v>
      </c>
      <c r="AJ766">
        <v>81.506400685373407</v>
      </c>
      <c r="AK766">
        <v>0.71073841609726196</v>
      </c>
      <c r="AL766">
        <v>79.437394354625098</v>
      </c>
      <c r="AM766">
        <v>84.984705678633802</v>
      </c>
      <c r="AN766">
        <v>1.00000003167499</v>
      </c>
    </row>
    <row r="767" spans="1:40" x14ac:dyDescent="0.25">
      <c r="A767" t="str">
        <f>"20190303170512472"</f>
        <v>20190303170512472</v>
      </c>
      <c r="B767" t="str">
        <f>"1551603912465502"</f>
        <v>1551603912465502</v>
      </c>
      <c r="C767" t="s">
        <v>40</v>
      </c>
      <c r="D767">
        <v>5.3793949999999997</v>
      </c>
      <c r="E767">
        <v>0.51969049999999894</v>
      </c>
      <c r="F767" t="s">
        <v>42</v>
      </c>
      <c r="G767">
        <v>-307.86500000000001</v>
      </c>
      <c r="H767">
        <v>0.92214099999999999</v>
      </c>
      <c r="I767">
        <v>367.5994</v>
      </c>
      <c r="J767">
        <v>-308.43</v>
      </c>
      <c r="K767">
        <v>1.0697950000000001</v>
      </c>
      <c r="L767">
        <v>367.68090000000001</v>
      </c>
      <c r="M767">
        <v>0.99988880000000002</v>
      </c>
      <c r="N767">
        <v>-1.6006389999999901E-3</v>
      </c>
      <c r="O767">
        <v>1.482119E-2</v>
      </c>
      <c r="P767">
        <v>0.98089800000000005</v>
      </c>
      <c r="Q767">
        <v>0.18130940000000001</v>
      </c>
      <c r="R767">
        <v>-7.0468619999999996E-2</v>
      </c>
      <c r="S767">
        <v>3.1517330000000001</v>
      </c>
      <c r="T767">
        <v>-0.63354440000000001</v>
      </c>
      <c r="U767">
        <v>-0.33746340000000002</v>
      </c>
      <c r="V767">
        <v>8.5035529999999998E-2</v>
      </c>
      <c r="W767">
        <v>0.1828602</v>
      </c>
      <c r="X767">
        <v>0.97945450000000001</v>
      </c>
      <c r="Y767">
        <v>0.1185358</v>
      </c>
      <c r="Z767">
        <v>-1.477786E-2</v>
      </c>
      <c r="AA767">
        <v>0.99283980000000005</v>
      </c>
      <c r="AB767">
        <v>31</v>
      </c>
      <c r="AC767">
        <v>0.56499999999999695</v>
      </c>
      <c r="AD767">
        <v>-0.14765400000000001</v>
      </c>
      <c r="AE767">
        <v>-8.1500000000005401E-2</v>
      </c>
      <c r="AF767">
        <v>8.4229754941767099E-2</v>
      </c>
      <c r="AG767">
        <v>-0.14765400000000001</v>
      </c>
      <c r="AH767">
        <v>0.52837950206469397</v>
      </c>
      <c r="AI767">
        <v>105.427507954912</v>
      </c>
      <c r="AJ767">
        <v>80.942604497380003</v>
      </c>
      <c r="AK767">
        <v>0.55505067654736095</v>
      </c>
      <c r="AL767">
        <v>79.4635971697153</v>
      </c>
      <c r="AM767">
        <v>85.038063984799706</v>
      </c>
      <c r="AN767">
        <v>1.00000000583833</v>
      </c>
    </row>
    <row r="768" spans="1:40" x14ac:dyDescent="0.25">
      <c r="A768" t="str">
        <f>"20190303170512483"</f>
        <v>20190303170512483</v>
      </c>
      <c r="B768" t="str">
        <f>"1551603912475263"</f>
        <v>1551603912475263</v>
      </c>
      <c r="C768" t="s">
        <v>40</v>
      </c>
      <c r="D768">
        <v>5.3779399999999997</v>
      </c>
      <c r="E768">
        <v>0.51979370000000003</v>
      </c>
      <c r="F768" t="s">
        <v>42</v>
      </c>
      <c r="G768">
        <v>-307.59699999999998</v>
      </c>
      <c r="H768">
        <v>0.90119910000000003</v>
      </c>
      <c r="I768">
        <v>367.59179999999998</v>
      </c>
      <c r="J768">
        <v>-308.27730000000003</v>
      </c>
      <c r="K768">
        <v>1.0697680000000001</v>
      </c>
      <c r="L768">
        <v>367.68310000000002</v>
      </c>
      <c r="M768">
        <v>0.9998899</v>
      </c>
      <c r="N768">
        <v>-1.627407E-3</v>
      </c>
      <c r="O768">
        <v>1.476159E-2</v>
      </c>
      <c r="P768">
        <v>0.9809601</v>
      </c>
      <c r="Q768">
        <v>0.18146399999999999</v>
      </c>
      <c r="R768">
        <v>-6.9199930000000007E-2</v>
      </c>
      <c r="S768">
        <v>3.1521300000000001</v>
      </c>
      <c r="T768">
        <v>-0.63792369999999898</v>
      </c>
      <c r="U768">
        <v>-0.33731080000000002</v>
      </c>
      <c r="V768">
        <v>8.3715339999999999E-2</v>
      </c>
      <c r="W768">
        <v>0.1830388</v>
      </c>
      <c r="X768">
        <v>0.97953489999999999</v>
      </c>
      <c r="Y768">
        <v>0.118384199999999</v>
      </c>
      <c r="Z768">
        <v>-1.4849869999999999E-2</v>
      </c>
      <c r="AA768">
        <v>0.99285679999999998</v>
      </c>
      <c r="AB768">
        <v>31</v>
      </c>
      <c r="AC768">
        <v>0.68030000000004498</v>
      </c>
      <c r="AD768">
        <v>-0.16856889999999999</v>
      </c>
      <c r="AE768">
        <v>-9.1300000000046497E-2</v>
      </c>
      <c r="AF768">
        <v>9.5568477564185503E-2</v>
      </c>
      <c r="AG768">
        <v>-0.16856889999999999</v>
      </c>
      <c r="AH768">
        <v>0.64026281337370805</v>
      </c>
      <c r="AI768">
        <v>104.59546531168699</v>
      </c>
      <c r="AJ768">
        <v>81.510455293178296</v>
      </c>
      <c r="AK768">
        <v>0.66894340428795795</v>
      </c>
      <c r="AL768">
        <v>79.453188837287797</v>
      </c>
      <c r="AM768">
        <v>85.115122130048604</v>
      </c>
      <c r="AN768">
        <v>1.0000000403873801</v>
      </c>
    </row>
    <row r="769" spans="1:40" x14ac:dyDescent="0.25">
      <c r="A769" t="str">
        <f>"20190303170512505"</f>
        <v>20190303170512505</v>
      </c>
      <c r="B769" t="str">
        <f>"1551603912495758"</f>
        <v>1551603912495758</v>
      </c>
      <c r="C769" t="s">
        <v>40</v>
      </c>
      <c r="D769">
        <v>5.3904690000000004</v>
      </c>
      <c r="E769">
        <v>0.52001200000000003</v>
      </c>
      <c r="F769" t="s">
        <v>42</v>
      </c>
      <c r="G769">
        <v>-307.32830000000001</v>
      </c>
      <c r="H769">
        <v>0.87748599999999999</v>
      </c>
      <c r="I769">
        <v>367.58210000000003</v>
      </c>
      <c r="J769">
        <v>-307.97840000000002</v>
      </c>
      <c r="K769">
        <v>1.0697159999999999</v>
      </c>
      <c r="L769">
        <v>367.68740000000003</v>
      </c>
      <c r="M769">
        <v>0.99989209999999995</v>
      </c>
      <c r="N769">
        <v>-1.6934280000000001E-3</v>
      </c>
      <c r="O769">
        <v>1.4596629999999999E-2</v>
      </c>
      <c r="P769">
        <v>0.98114860000000004</v>
      </c>
      <c r="Q769">
        <v>0.18180099999999999</v>
      </c>
      <c r="R769">
        <v>-6.5542530000000002E-2</v>
      </c>
      <c r="S769">
        <v>3.1528019999999999</v>
      </c>
      <c r="T769">
        <v>-0.6388855</v>
      </c>
      <c r="U769">
        <v>-0.33456419999999998</v>
      </c>
      <c r="V769">
        <v>7.9915360000000005E-2</v>
      </c>
      <c r="W769">
        <v>0.1834354</v>
      </c>
      <c r="X769">
        <v>0.97977809999999999</v>
      </c>
      <c r="Y769">
        <v>0.11735909999999999</v>
      </c>
      <c r="Z769">
        <v>-1.473613E-2</v>
      </c>
      <c r="AA769">
        <v>0.99298019999999998</v>
      </c>
      <c r="AB769">
        <v>31</v>
      </c>
      <c r="AC769">
        <v>0.650100000000009</v>
      </c>
      <c r="AD769">
        <v>-0.19222999999999901</v>
      </c>
      <c r="AE769">
        <v>-0.10529999999999901</v>
      </c>
      <c r="AF769">
        <v>0.105766829682424</v>
      </c>
      <c r="AG769">
        <v>-0.19222999999999901</v>
      </c>
      <c r="AH769">
        <v>0.59758042484200302</v>
      </c>
      <c r="AI769">
        <v>107.57598465785701</v>
      </c>
      <c r="AJ769">
        <v>79.963061957427399</v>
      </c>
      <c r="AK769">
        <v>0.63658570461126496</v>
      </c>
      <c r="AL769">
        <v>79.430074263357596</v>
      </c>
      <c r="AM769">
        <v>85.337006208997494</v>
      </c>
      <c r="AN769">
        <v>1.0000000679883401</v>
      </c>
    </row>
    <row r="770" spans="1:40" x14ac:dyDescent="0.25">
      <c r="A770" t="str">
        <f>"20190303170512527"</f>
        <v>20190303170512527</v>
      </c>
      <c r="B770" t="str">
        <f>"1551603912515278"</f>
        <v>1551603912515278</v>
      </c>
      <c r="C770" t="s">
        <v>40</v>
      </c>
      <c r="D770">
        <v>5.4083940000000004</v>
      </c>
      <c r="E770">
        <v>0.52026209999999995</v>
      </c>
      <c r="F770" t="s">
        <v>42</v>
      </c>
      <c r="G770">
        <v>-307.04680000000002</v>
      </c>
      <c r="H770">
        <v>0.88054909999999997</v>
      </c>
      <c r="I770">
        <v>367.59160000000003</v>
      </c>
      <c r="J770">
        <v>-307.66160000000002</v>
      </c>
      <c r="K770">
        <v>1.069663</v>
      </c>
      <c r="L770">
        <v>367.6918</v>
      </c>
      <c r="M770">
        <v>0.99989519999999998</v>
      </c>
      <c r="N770">
        <v>-1.7794110000000001E-3</v>
      </c>
      <c r="O770">
        <v>1.4367130000000001E-2</v>
      </c>
      <c r="P770">
        <v>0.9811261</v>
      </c>
      <c r="Q770">
        <v>0.18307419999999999</v>
      </c>
      <c r="R770">
        <v>-6.2253620000000003E-2</v>
      </c>
      <c r="S770">
        <v>3.1546940000000001</v>
      </c>
      <c r="T770">
        <v>-0.64059730000000004</v>
      </c>
      <c r="U770">
        <v>-0.32394410000000001</v>
      </c>
      <c r="V770">
        <v>7.6420810000000006E-2</v>
      </c>
      <c r="W770">
        <v>0.18478610000000001</v>
      </c>
      <c r="X770">
        <v>0.97980299999999998</v>
      </c>
      <c r="Y770">
        <v>0.11382490000000001</v>
      </c>
      <c r="Z770">
        <v>-1.436926E-2</v>
      </c>
      <c r="AA770">
        <v>0.99339690000000003</v>
      </c>
      <c r="AB770">
        <v>31</v>
      </c>
      <c r="AC770">
        <v>0.61480000000000201</v>
      </c>
      <c r="AD770">
        <v>-0.1891139</v>
      </c>
      <c r="AE770">
        <v>-0.10019999999997201</v>
      </c>
      <c r="AF770">
        <v>9.9821908624228295E-2</v>
      </c>
      <c r="AG770">
        <v>-0.1891139</v>
      </c>
      <c r="AH770">
        <v>0.561539368020049</v>
      </c>
      <c r="AI770">
        <v>108.344456384794</v>
      </c>
      <c r="AJ770">
        <v>79.920125260686106</v>
      </c>
      <c r="AK770">
        <v>0.60087847560962804</v>
      </c>
      <c r="AL770">
        <v>79.351337973207904</v>
      </c>
      <c r="AM770">
        <v>85.540181795323605</v>
      </c>
      <c r="AN770">
        <v>0.999999980881632</v>
      </c>
    </row>
    <row r="771" spans="1:40" x14ac:dyDescent="0.25">
      <c r="A771" t="str">
        <f>"20190303170512539"</f>
        <v>20190303170512539</v>
      </c>
      <c r="B771" t="str">
        <f>"1551603912525038"</f>
        <v>1551603912525038</v>
      </c>
      <c r="C771" t="s">
        <v>40</v>
      </c>
      <c r="D771">
        <v>5.3704289999999997</v>
      </c>
      <c r="E771">
        <v>0.52038240000000002</v>
      </c>
      <c r="F771" t="s">
        <v>42</v>
      </c>
      <c r="G771">
        <v>-306.76220000000001</v>
      </c>
      <c r="H771">
        <v>0.88768080000000005</v>
      </c>
      <c r="I771">
        <v>367.60160000000002</v>
      </c>
      <c r="J771">
        <v>-307.48349999999999</v>
      </c>
      <c r="K771">
        <v>1.0696349999999999</v>
      </c>
      <c r="L771">
        <v>367.6943</v>
      </c>
      <c r="M771">
        <v>0.99989740000000005</v>
      </c>
      <c r="N771">
        <v>-1.8349130000000001E-3</v>
      </c>
      <c r="O771">
        <v>1.421716E-2</v>
      </c>
      <c r="P771">
        <v>0.98109040000000003</v>
      </c>
      <c r="Q771">
        <v>0.1838011</v>
      </c>
      <c r="R771">
        <v>-6.0655689999999998E-2</v>
      </c>
      <c r="S771">
        <v>3.1568299999999998</v>
      </c>
      <c r="T771">
        <v>-0.63879730000000001</v>
      </c>
      <c r="U771">
        <v>-0.31622309999999998</v>
      </c>
      <c r="V771">
        <v>7.4687210000000004E-2</v>
      </c>
      <c r="W771">
        <v>0.18556310000000001</v>
      </c>
      <c r="X771">
        <v>0.97978989999999999</v>
      </c>
      <c r="Y771">
        <v>0.1112736</v>
      </c>
      <c r="Z771">
        <v>-1.4037559999999999E-2</v>
      </c>
      <c r="AA771">
        <v>0.99369070000000004</v>
      </c>
      <c r="AB771">
        <v>31</v>
      </c>
      <c r="AC771">
        <v>0.72129999999998495</v>
      </c>
      <c r="AD771">
        <v>-0.18195420000000001</v>
      </c>
      <c r="AE771">
        <v>-9.2699999999979299E-2</v>
      </c>
      <c r="AF771">
        <v>9.6880704720991098E-2</v>
      </c>
      <c r="AG771">
        <v>-0.18195420000000001</v>
      </c>
      <c r="AH771">
        <v>0.67749749253489799</v>
      </c>
      <c r="AI771">
        <v>104.88845064081799</v>
      </c>
      <c r="AJ771">
        <v>81.861995464716301</v>
      </c>
      <c r="AK771">
        <v>0.70816386114793395</v>
      </c>
      <c r="AL771">
        <v>79.306036378154502</v>
      </c>
      <c r="AM771">
        <v>85.640899923573699</v>
      </c>
      <c r="AN771">
        <v>1.0000000457806</v>
      </c>
    </row>
    <row r="772" spans="1:40" x14ac:dyDescent="0.25">
      <c r="A772" t="str">
        <f>"20190303170512552"</f>
        <v>20190303170512552</v>
      </c>
      <c r="B772" t="str">
        <f>"1551603912545541"</f>
        <v>1551603912545541</v>
      </c>
      <c r="C772" t="s">
        <v>40</v>
      </c>
      <c r="D772">
        <v>5.3870809999999896</v>
      </c>
      <c r="E772">
        <v>0.52066000000000001</v>
      </c>
      <c r="F772" t="s">
        <v>42</v>
      </c>
      <c r="G772">
        <v>-306.7473</v>
      </c>
      <c r="H772">
        <v>0.92093670000000005</v>
      </c>
      <c r="I772">
        <v>367.62139999999999</v>
      </c>
      <c r="J772">
        <v>-307.30880000000002</v>
      </c>
      <c r="K772">
        <v>1.0696110000000001</v>
      </c>
      <c r="L772">
        <v>367.69659999999999</v>
      </c>
      <c r="M772">
        <v>0.99989950000000005</v>
      </c>
      <c r="N772">
        <v>-1.896298E-3</v>
      </c>
      <c r="O772">
        <v>1.405066E-2</v>
      </c>
      <c r="P772">
        <v>0.98113939999999999</v>
      </c>
      <c r="Q772">
        <v>0.18394179999999999</v>
      </c>
      <c r="R772">
        <v>-5.9423480000000001E-2</v>
      </c>
      <c r="S772">
        <v>3.15802</v>
      </c>
      <c r="T772">
        <v>-0.63784890000000005</v>
      </c>
      <c r="U772">
        <v>-0.31213380000000002</v>
      </c>
      <c r="V772">
        <v>7.3303740000000006E-2</v>
      </c>
      <c r="W772">
        <v>0.18576029999999999</v>
      </c>
      <c r="X772">
        <v>0.97985699999999998</v>
      </c>
      <c r="Y772">
        <v>0.1098375</v>
      </c>
      <c r="Z772">
        <v>-1.3838019999999999E-2</v>
      </c>
      <c r="AA772">
        <v>0.99385319999999999</v>
      </c>
      <c r="AB772">
        <v>31</v>
      </c>
      <c r="AC772">
        <v>0.56150000000002298</v>
      </c>
      <c r="AD772">
        <v>-0.14867430000000001</v>
      </c>
      <c r="AE772">
        <v>-7.5199999999995201E-2</v>
      </c>
      <c r="AF772">
        <v>7.772860191033E-2</v>
      </c>
      <c r="AG772">
        <v>-0.14867430000000001</v>
      </c>
      <c r="AH772">
        <v>0.52427906916528699</v>
      </c>
      <c r="AI772">
        <v>105.66946764505199</v>
      </c>
      <c r="AJ772">
        <v>81.566868388530693</v>
      </c>
      <c r="AK772">
        <v>0.55046736996868795</v>
      </c>
      <c r="AL772">
        <v>79.294537603662604</v>
      </c>
      <c r="AM772">
        <v>85.721635041559495</v>
      </c>
      <c r="AN772">
        <v>1.00000003390153</v>
      </c>
    </row>
    <row r="773" spans="1:40" x14ac:dyDescent="0.25">
      <c r="A773" t="str">
        <f>"20190303170512565"</f>
        <v>20190303170512565</v>
      </c>
      <c r="B773" t="str">
        <f>"1551603912555300"</f>
        <v>1551603912555300</v>
      </c>
      <c r="C773" t="s">
        <v>40</v>
      </c>
      <c r="D773">
        <v>5.3463240000000001</v>
      </c>
      <c r="E773">
        <v>0.52081109999999997</v>
      </c>
      <c r="F773" t="s">
        <v>42</v>
      </c>
      <c r="G773">
        <v>-306.4735</v>
      </c>
      <c r="H773">
        <v>0.90047129999999997</v>
      </c>
      <c r="I773">
        <v>367.61450000000002</v>
      </c>
      <c r="J773">
        <v>-307.13260000000002</v>
      </c>
      <c r="K773">
        <v>1.0695870000000001</v>
      </c>
      <c r="L773">
        <v>367.69889999999998</v>
      </c>
      <c r="M773">
        <v>0.99990190000000001</v>
      </c>
      <c r="N773">
        <v>-1.961904E-3</v>
      </c>
      <c r="O773">
        <v>1.387156E-2</v>
      </c>
      <c r="P773">
        <v>0.98122160000000003</v>
      </c>
      <c r="Q773">
        <v>0.18396170000000001</v>
      </c>
      <c r="R773">
        <v>-5.798557E-2</v>
      </c>
      <c r="S773">
        <v>3.1588440000000002</v>
      </c>
      <c r="T773">
        <v>-0.63966099999999904</v>
      </c>
      <c r="U773">
        <v>-0.30975340000000001</v>
      </c>
      <c r="V773">
        <v>7.1703000000000003E-2</v>
      </c>
      <c r="W773">
        <v>0.1858419</v>
      </c>
      <c r="X773">
        <v>0.97996000000000005</v>
      </c>
      <c r="Y773">
        <v>0.1089014</v>
      </c>
      <c r="Z773">
        <v>-1.3746029999999999E-2</v>
      </c>
      <c r="AA773">
        <v>0.99395750000000005</v>
      </c>
      <c r="AB773">
        <v>31</v>
      </c>
      <c r="AC773">
        <v>0.659100000000023</v>
      </c>
      <c r="AD773">
        <v>-0.16911570000000001</v>
      </c>
      <c r="AE773">
        <v>-8.4399999999959605E-2</v>
      </c>
      <c r="AF773">
        <v>8.7844585531644204E-2</v>
      </c>
      <c r="AG773">
        <v>-0.16911570000000001</v>
      </c>
      <c r="AH773">
        <v>0.61784542471306003</v>
      </c>
      <c r="AI773">
        <v>105.16259746852</v>
      </c>
      <c r="AJ773">
        <v>81.907984257636002</v>
      </c>
      <c r="AK773">
        <v>0.646567676297368</v>
      </c>
      <c r="AL773">
        <v>79.289779772215098</v>
      </c>
      <c r="AM773">
        <v>85.815164726056594</v>
      </c>
      <c r="AN773">
        <v>1.0000000668022999</v>
      </c>
    </row>
    <row r="774" spans="1:40" x14ac:dyDescent="0.25">
      <c r="A774" t="str">
        <f>"20190303170512576"</f>
        <v>20190303170512576</v>
      </c>
      <c r="B774" t="str">
        <f>"1551603912565061"</f>
        <v>1551603912565061</v>
      </c>
      <c r="C774" t="s">
        <v>40</v>
      </c>
      <c r="D774">
        <v>5.3539839999999996</v>
      </c>
      <c r="E774">
        <v>0.52094870000000004</v>
      </c>
      <c r="F774" t="s">
        <v>42</v>
      </c>
      <c r="G774">
        <v>-306.19810000000001</v>
      </c>
      <c r="H774">
        <v>0.88012299999999999</v>
      </c>
      <c r="I774">
        <v>367.60789999999997</v>
      </c>
      <c r="J774">
        <v>-306.96359999999999</v>
      </c>
      <c r="K774">
        <v>1.069566</v>
      </c>
      <c r="L774">
        <v>367.7011</v>
      </c>
      <c r="M774">
        <v>0.99990449999999997</v>
      </c>
      <c r="N774">
        <v>-2.0328389999999998E-3</v>
      </c>
      <c r="O774">
        <v>1.367296E-2</v>
      </c>
      <c r="P774">
        <v>0.98124500000000003</v>
      </c>
      <c r="Q774">
        <v>0.18416550000000001</v>
      </c>
      <c r="R774">
        <v>-5.6934619999999998E-2</v>
      </c>
      <c r="S774">
        <v>3.159424</v>
      </c>
      <c r="T774">
        <v>-0.64063979999999998</v>
      </c>
      <c r="U774">
        <v>-0.30636600000000003</v>
      </c>
      <c r="V774">
        <v>7.0469799999999999E-2</v>
      </c>
      <c r="W774">
        <v>0.1861112</v>
      </c>
      <c r="X774">
        <v>0.97999829999999999</v>
      </c>
      <c r="Y774">
        <v>0.1076524</v>
      </c>
      <c r="Z774">
        <v>-1.360196E-2</v>
      </c>
      <c r="AA774">
        <v>0.99409559999999997</v>
      </c>
      <c r="AB774">
        <v>32</v>
      </c>
      <c r="AC774">
        <v>0.76549999999997398</v>
      </c>
      <c r="AD774">
        <v>-0.189443</v>
      </c>
      <c r="AE774">
        <v>-9.3200000000024305E-2</v>
      </c>
      <c r="AF774">
        <v>9.77582611442223E-2</v>
      </c>
      <c r="AG774">
        <v>-0.189443</v>
      </c>
      <c r="AH774">
        <v>0.72066224442599003</v>
      </c>
      <c r="AI774">
        <v>104.60039156174</v>
      </c>
      <c r="AJ774">
        <v>82.274946333018804</v>
      </c>
      <c r="AK774">
        <v>0.75153136888093197</v>
      </c>
      <c r="AL774">
        <v>79.274075544878201</v>
      </c>
      <c r="AM774">
        <v>85.887049573582999</v>
      </c>
      <c r="AN774">
        <v>1.0000000197401799</v>
      </c>
    </row>
    <row r="775" spans="1:40" x14ac:dyDescent="0.25">
      <c r="A775" t="str">
        <f>"20190303170512594"</f>
        <v>20190303170512594</v>
      </c>
      <c r="B775" t="str">
        <f>"1551603912585557"</f>
        <v>1551603912585557</v>
      </c>
      <c r="C775" t="s">
        <v>40</v>
      </c>
      <c r="D775">
        <v>5.3716019999999904</v>
      </c>
      <c r="E775">
        <v>0.52127869999999998</v>
      </c>
      <c r="F775" t="s">
        <v>42</v>
      </c>
      <c r="G775">
        <v>-306.1841</v>
      </c>
      <c r="H775">
        <v>0.91152100000000003</v>
      </c>
      <c r="I775">
        <v>367.62560000000002</v>
      </c>
      <c r="J775">
        <v>-306.7158</v>
      </c>
      <c r="K775">
        <v>1.0695349999999999</v>
      </c>
      <c r="L775">
        <v>367.70429999999999</v>
      </c>
      <c r="M775">
        <v>0.99990860000000004</v>
      </c>
      <c r="N775">
        <v>-2.1431449999999999E-3</v>
      </c>
      <c r="O775">
        <v>1.3354029999999999E-2</v>
      </c>
      <c r="P775">
        <v>0.98136480000000004</v>
      </c>
      <c r="Q775">
        <v>0.18432480000000001</v>
      </c>
      <c r="R775">
        <v>-5.4290819999999997E-2</v>
      </c>
      <c r="S775">
        <v>3.1599119999999998</v>
      </c>
      <c r="T775">
        <v>-0.64075519999999997</v>
      </c>
      <c r="U775">
        <v>-0.30450440000000001</v>
      </c>
      <c r="V775">
        <v>6.7533330000000003E-2</v>
      </c>
      <c r="W775">
        <v>0.1863746</v>
      </c>
      <c r="X775">
        <v>0.980155</v>
      </c>
      <c r="Y775">
        <v>0.1067636</v>
      </c>
      <c r="Z775">
        <v>-1.3454000000000001E-2</v>
      </c>
      <c r="AA775">
        <v>0.9941934</v>
      </c>
      <c r="AB775">
        <v>32</v>
      </c>
      <c r="AC775">
        <v>0.53169999999999995</v>
      </c>
      <c r="AD775">
        <v>-0.15801399999999999</v>
      </c>
      <c r="AE775">
        <v>-7.8699999999969295E-2</v>
      </c>
      <c r="AF775">
        <v>7.8968392981013394E-2</v>
      </c>
      <c r="AG775">
        <v>-0.15801399999999999</v>
      </c>
      <c r="AH775">
        <v>0.48839175096798498</v>
      </c>
      <c r="AI775">
        <v>107.71303104994701</v>
      </c>
      <c r="AJ775">
        <v>80.815297337442004</v>
      </c>
      <c r="AK775">
        <v>0.51935626856674999</v>
      </c>
      <c r="AL775">
        <v>79.258715231367006</v>
      </c>
      <c r="AM775">
        <v>86.058512033559694</v>
      </c>
      <c r="AN775">
        <v>1.0000000331055201</v>
      </c>
    </row>
    <row r="776" spans="1:40" x14ac:dyDescent="0.25">
      <c r="A776" t="str">
        <f>"20190303170512606"</f>
        <v>20190303170512606</v>
      </c>
      <c r="B776" t="str">
        <f>"1551603912595317"</f>
        <v>1551603912595317</v>
      </c>
      <c r="C776" t="s">
        <v>40</v>
      </c>
      <c r="D776">
        <v>5.3614560000000004</v>
      </c>
      <c r="E776">
        <v>0.52144619999999997</v>
      </c>
      <c r="F776" t="s">
        <v>42</v>
      </c>
      <c r="G776">
        <v>-305.90190000000001</v>
      </c>
      <c r="H776">
        <v>0.90420330000000004</v>
      </c>
      <c r="I776">
        <v>367.6275</v>
      </c>
      <c r="J776">
        <v>-306.55119999999999</v>
      </c>
      <c r="K776">
        <v>1.069515</v>
      </c>
      <c r="L776">
        <v>367.7063</v>
      </c>
      <c r="M776">
        <v>0.99991140000000001</v>
      </c>
      <c r="N776">
        <v>-2.2203140000000001E-3</v>
      </c>
      <c r="O776">
        <v>1.312553E-2</v>
      </c>
      <c r="P776">
        <v>0.98142620000000003</v>
      </c>
      <c r="Q776">
        <v>0.1843158</v>
      </c>
      <c r="R776">
        <v>-5.3201610000000003E-2</v>
      </c>
      <c r="S776">
        <v>3.1610719999999999</v>
      </c>
      <c r="T776">
        <v>-0.64215889999999998</v>
      </c>
      <c r="U776">
        <v>-0.29812620000000001</v>
      </c>
      <c r="V776">
        <v>6.6233009999999995E-2</v>
      </c>
      <c r="W776">
        <v>0.1864383</v>
      </c>
      <c r="X776">
        <v>0.98023159999999998</v>
      </c>
      <c r="Y776">
        <v>0.1045532</v>
      </c>
      <c r="Z776">
        <v>-1.3212679999999999E-2</v>
      </c>
      <c r="AA776">
        <v>0.99443150000000002</v>
      </c>
      <c r="AB776">
        <v>32</v>
      </c>
      <c r="AC776">
        <v>0.649299999999982</v>
      </c>
      <c r="AD776">
        <v>-0.16531169999999901</v>
      </c>
      <c r="AE776">
        <v>-7.8800000000000994E-2</v>
      </c>
      <c r="AF776">
        <v>8.2072809434775004E-2</v>
      </c>
      <c r="AG776">
        <v>-0.16531169999999901</v>
      </c>
      <c r="AH776">
        <v>0.60928829566236098</v>
      </c>
      <c r="AI776">
        <v>105.050325395016</v>
      </c>
      <c r="AJ776">
        <v>82.328279178818804</v>
      </c>
      <c r="AK776">
        <v>0.63662872338322196</v>
      </c>
      <c r="AL776">
        <v>79.255000241781602</v>
      </c>
      <c r="AM776">
        <v>86.134472199746199</v>
      </c>
      <c r="AN776">
        <v>1.0000000204795501</v>
      </c>
    </row>
    <row r="777" spans="1:40" x14ac:dyDescent="0.25">
      <c r="A777" t="str">
        <f>"20190303170512617"</f>
        <v>20190303170512617</v>
      </c>
      <c r="B777" t="str">
        <f>"1551603912605077"</f>
        <v>1551603912605077</v>
      </c>
      <c r="C777" t="s">
        <v>40</v>
      </c>
      <c r="D777">
        <v>5.365062</v>
      </c>
      <c r="E777">
        <v>0.52144619999999997</v>
      </c>
      <c r="F777" t="s">
        <v>42</v>
      </c>
      <c r="G777">
        <v>-305.62529999999998</v>
      </c>
      <c r="H777">
        <v>0.88116649999999996</v>
      </c>
      <c r="I777">
        <v>367.61930000000001</v>
      </c>
      <c r="J777">
        <v>-306.3811</v>
      </c>
      <c r="K777">
        <v>1.0694939999999999</v>
      </c>
      <c r="L777">
        <v>367.70830000000001</v>
      </c>
      <c r="M777">
        <v>0.99991459999999999</v>
      </c>
      <c r="N777">
        <v>-2.3058990000000001E-3</v>
      </c>
      <c r="O777">
        <v>1.286672E-2</v>
      </c>
      <c r="P777">
        <v>0.98145340000000003</v>
      </c>
      <c r="Q777">
        <v>0.1845241</v>
      </c>
      <c r="R777">
        <v>-5.1965789999999998E-2</v>
      </c>
      <c r="S777">
        <v>3.16153</v>
      </c>
      <c r="T777">
        <v>-0.64312309999999995</v>
      </c>
      <c r="U777">
        <v>-0.29611209999999999</v>
      </c>
      <c r="V777">
        <v>6.4756620000000001E-2</v>
      </c>
      <c r="W777">
        <v>0.18672730000000001</v>
      </c>
      <c r="X777">
        <v>0.98027520000000001</v>
      </c>
      <c r="Y777">
        <v>0.10367030000000001</v>
      </c>
      <c r="Z777">
        <v>-1.309277E-2</v>
      </c>
      <c r="AA777">
        <v>0.99452560000000001</v>
      </c>
      <c r="AB777">
        <v>32</v>
      </c>
      <c r="AC777">
        <v>0.75580000000002101</v>
      </c>
      <c r="AD777">
        <v>-0.18832749999999901</v>
      </c>
      <c r="AE777">
        <v>-8.8999999999998594E-2</v>
      </c>
      <c r="AF777">
        <v>9.30207628837567E-2</v>
      </c>
      <c r="AG777">
        <v>-0.18832749999999901</v>
      </c>
      <c r="AH777">
        <v>0.71104794228260704</v>
      </c>
      <c r="AI777">
        <v>104.714805857732</v>
      </c>
      <c r="AJ777">
        <v>82.546774450630494</v>
      </c>
      <c r="AK777">
        <v>0.74142382333457202</v>
      </c>
      <c r="AL777">
        <v>79.238145409938795</v>
      </c>
      <c r="AM777">
        <v>86.220553125047601</v>
      </c>
      <c r="AN777">
        <v>0.99999998606707696</v>
      </c>
    </row>
    <row r="778" spans="1:40" x14ac:dyDescent="0.25">
      <c r="A778" t="str">
        <f>"20190303170512629"</f>
        <v>20190303170512629</v>
      </c>
      <c r="B778" t="str">
        <f>"1551603912614837"</f>
        <v>1551603912614837</v>
      </c>
      <c r="C778" t="s">
        <v>40</v>
      </c>
      <c r="D778">
        <v>5.3698889999999997</v>
      </c>
      <c r="E778">
        <v>0.53035909999999997</v>
      </c>
      <c r="F778" t="s">
        <v>42</v>
      </c>
      <c r="G778">
        <v>-305.61090000000002</v>
      </c>
      <c r="H778">
        <v>0.91302169999999905</v>
      </c>
      <c r="I778">
        <v>367.637</v>
      </c>
      <c r="J778">
        <v>-306.21280000000002</v>
      </c>
      <c r="K778">
        <v>1.069474</v>
      </c>
      <c r="L778">
        <v>367.71019999999999</v>
      </c>
      <c r="M778">
        <v>0.99991779999999997</v>
      </c>
      <c r="N778">
        <v>-2.3949549999999998E-3</v>
      </c>
      <c r="O778">
        <v>1.2597290000000001E-2</v>
      </c>
      <c r="P778">
        <v>0.98147479999999998</v>
      </c>
      <c r="Q778">
        <v>0.1845784</v>
      </c>
      <c r="R778">
        <v>-5.1360540000000003E-2</v>
      </c>
      <c r="S778">
        <v>3.1620180000000002</v>
      </c>
      <c r="T778">
        <v>-0.64246859999999995</v>
      </c>
      <c r="U778">
        <v>-0.29190060000000001</v>
      </c>
      <c r="V778">
        <v>6.3900170000000006E-2</v>
      </c>
      <c r="W778">
        <v>0.186865</v>
      </c>
      <c r="X778">
        <v>0.98030519999999999</v>
      </c>
      <c r="Y778">
        <v>0.1021165</v>
      </c>
      <c r="Z778">
        <v>-1.287086E-2</v>
      </c>
      <c r="AA778">
        <v>0.99468920000000005</v>
      </c>
      <c r="AB778">
        <v>32</v>
      </c>
      <c r="AC778">
        <v>0.60189999999999999</v>
      </c>
      <c r="AD778">
        <v>-0.15645229999999999</v>
      </c>
      <c r="AE778">
        <v>-7.3200000000042495E-2</v>
      </c>
      <c r="AF778">
        <v>7.5734195427322695E-2</v>
      </c>
      <c r="AG778">
        <v>-0.15645229999999999</v>
      </c>
      <c r="AH778">
        <v>0.56341815189907096</v>
      </c>
      <c r="AI778">
        <v>105.387382961094</v>
      </c>
      <c r="AJ778">
        <v>82.344238686197897</v>
      </c>
      <c r="AK778">
        <v>0.58962106850220297</v>
      </c>
      <c r="AL778">
        <v>79.230114822776699</v>
      </c>
      <c r="AM778">
        <v>86.270510652805797</v>
      </c>
      <c r="AN778">
        <v>1.00000002254903</v>
      </c>
    </row>
    <row r="779" spans="1:40" x14ac:dyDescent="0.25">
      <c r="A779" t="str">
        <f>"20190303170512641"</f>
        <v>20190303170512641</v>
      </c>
      <c r="B779" t="str">
        <f>"1551603912635332"</f>
        <v>1551603912635332</v>
      </c>
      <c r="C779" t="s">
        <v>40</v>
      </c>
      <c r="D779">
        <v>5.3584670000000001</v>
      </c>
      <c r="E779">
        <v>0.53079639999999995</v>
      </c>
      <c r="F779" t="s">
        <v>42</v>
      </c>
      <c r="G779">
        <v>-305.33730000000003</v>
      </c>
      <c r="H779">
        <v>0.87958029999999998</v>
      </c>
      <c r="I779">
        <v>367.6105</v>
      </c>
      <c r="J779">
        <v>-306.03840000000002</v>
      </c>
      <c r="K779">
        <v>1.0694600000000001</v>
      </c>
      <c r="L779">
        <v>367.7122</v>
      </c>
      <c r="M779">
        <v>0.99992130000000001</v>
      </c>
      <c r="N779">
        <v>-2.4915879999999999E-3</v>
      </c>
      <c r="O779">
        <v>1.230495E-2</v>
      </c>
      <c r="P779">
        <v>0.98148610000000003</v>
      </c>
      <c r="Q779">
        <v>0.18466270000000001</v>
      </c>
      <c r="R779">
        <v>-5.0839410000000002E-2</v>
      </c>
      <c r="S779">
        <v>3.1669309999999999</v>
      </c>
      <c r="T779">
        <v>-0.68689820000000001</v>
      </c>
      <c r="U779">
        <v>-0.3601685</v>
      </c>
      <c r="V779">
        <v>6.31052E-2</v>
      </c>
      <c r="W779">
        <v>0.18704109999999999</v>
      </c>
      <c r="X779">
        <v>0.9803231</v>
      </c>
      <c r="Y779">
        <v>0.1221034</v>
      </c>
      <c r="Z779">
        <v>-1.5803709999999999E-2</v>
      </c>
      <c r="AA779">
        <v>0.99239149999999998</v>
      </c>
      <c r="AB779">
        <v>32</v>
      </c>
      <c r="AC779">
        <v>0.70109999999999595</v>
      </c>
      <c r="AD779">
        <v>-0.18987970000000001</v>
      </c>
      <c r="AE779">
        <v>-0.101699999999993</v>
      </c>
      <c r="AF779">
        <v>0.10292538310207799</v>
      </c>
      <c r="AG779">
        <v>-0.18987970000000001</v>
      </c>
      <c r="AH779">
        <v>0.65289303748252603</v>
      </c>
      <c r="AI779">
        <v>106.028318674505</v>
      </c>
      <c r="AJ779">
        <v>81.041329579934299</v>
      </c>
      <c r="AK779">
        <v>0.68768979442184497</v>
      </c>
      <c r="AL779">
        <v>79.219843810641294</v>
      </c>
      <c r="AM779">
        <v>86.316847075766802</v>
      </c>
      <c r="AN779">
        <v>1.00000000987493</v>
      </c>
    </row>
    <row r="780" spans="1:40" x14ac:dyDescent="0.25">
      <c r="A780" t="str">
        <f>"20190303170512652"</f>
        <v>20190303170512652</v>
      </c>
      <c r="B780" t="str">
        <f>"1551603912645092"</f>
        <v>1551603912645092</v>
      </c>
      <c r="C780" t="s">
        <v>40</v>
      </c>
      <c r="D780">
        <v>5.3405329999999998</v>
      </c>
      <c r="E780">
        <v>0.53107709999999997</v>
      </c>
      <c r="F780" t="s">
        <v>42</v>
      </c>
      <c r="G780">
        <v>-305.32229999999998</v>
      </c>
      <c r="H780">
        <v>0.91347959999999995</v>
      </c>
      <c r="I780">
        <v>367.63040000000001</v>
      </c>
      <c r="J780">
        <v>-305.8707</v>
      </c>
      <c r="K780">
        <v>1.069448</v>
      </c>
      <c r="L780">
        <v>367.714</v>
      </c>
      <c r="M780">
        <v>0.99992460000000005</v>
      </c>
      <c r="N780">
        <v>-2.5926259999999998E-3</v>
      </c>
      <c r="O780">
        <v>1.200389E-2</v>
      </c>
      <c r="P780">
        <v>0.98148919999999995</v>
      </c>
      <c r="Q780">
        <v>0.18479180000000001</v>
      </c>
      <c r="R780">
        <v>-5.031016E-2</v>
      </c>
      <c r="S780">
        <v>3.167694</v>
      </c>
      <c r="T780">
        <v>-0.69004799999999999</v>
      </c>
      <c r="U780">
        <v>-0.36135859999999997</v>
      </c>
      <c r="V780">
        <v>6.2292380000000001E-2</v>
      </c>
      <c r="W780">
        <v>0.1872665</v>
      </c>
      <c r="X780">
        <v>0.98033210000000004</v>
      </c>
      <c r="Y780">
        <v>0.1221247</v>
      </c>
      <c r="Z780">
        <v>-1.581347E-2</v>
      </c>
      <c r="AA780">
        <v>0.99238879999999996</v>
      </c>
      <c r="AB780">
        <v>32</v>
      </c>
      <c r="AC780">
        <v>0.54840000000001499</v>
      </c>
      <c r="AD780">
        <v>-0.15596839999999901</v>
      </c>
      <c r="AE780">
        <v>-8.3599999999989905E-2</v>
      </c>
      <c r="AF780">
        <v>8.3570679243618898E-2</v>
      </c>
      <c r="AG780">
        <v>-0.15596839999999901</v>
      </c>
      <c r="AH780">
        <v>0.50725825198124397</v>
      </c>
      <c r="AI780">
        <v>106.876938696751</v>
      </c>
      <c r="AJ780">
        <v>80.644572725086803</v>
      </c>
      <c r="AK780">
        <v>0.53723471074649198</v>
      </c>
      <c r="AL780">
        <v>79.206697533918003</v>
      </c>
      <c r="AM780">
        <v>86.364192754597099</v>
      </c>
      <c r="AN780">
        <v>1.0000000544593599</v>
      </c>
    </row>
    <row r="781" spans="1:40" x14ac:dyDescent="0.25">
      <c r="A781" t="str">
        <f>"20190303170512665"</f>
        <v>20190303170512665</v>
      </c>
      <c r="B781" t="str">
        <f>"1551603912654852"</f>
        <v>1551603912654852</v>
      </c>
      <c r="C781" t="s">
        <v>40</v>
      </c>
      <c r="D781">
        <v>5.3464609999999997</v>
      </c>
      <c r="E781">
        <v>0.53122740000000002</v>
      </c>
      <c r="F781" t="s">
        <v>42</v>
      </c>
      <c r="G781">
        <v>-305.04390000000001</v>
      </c>
      <c r="H781">
        <v>0.88932849999999997</v>
      </c>
      <c r="I781">
        <v>367.61939999999998</v>
      </c>
      <c r="J781">
        <v>-305.69029999999998</v>
      </c>
      <c r="K781">
        <v>1.069434</v>
      </c>
      <c r="L781">
        <v>367.71589999999998</v>
      </c>
      <c r="M781">
        <v>0.99992820000000004</v>
      </c>
      <c r="N781">
        <v>-2.7103219999999998E-3</v>
      </c>
      <c r="O781">
        <v>1.167173E-2</v>
      </c>
      <c r="P781">
        <v>0.98149560000000002</v>
      </c>
      <c r="Q781">
        <v>0.1848351</v>
      </c>
      <c r="R781">
        <v>-5.0027269999999999E-2</v>
      </c>
      <c r="S781">
        <v>3.1679689999999998</v>
      </c>
      <c r="T781">
        <v>-0.69016560000000005</v>
      </c>
      <c r="U781">
        <v>-0.3616028</v>
      </c>
      <c r="V781">
        <v>6.1696090000000002E-2</v>
      </c>
      <c r="W781">
        <v>0.18742200000000001</v>
      </c>
      <c r="X781">
        <v>0.98034010000000005</v>
      </c>
      <c r="Y781">
        <v>0.1218726</v>
      </c>
      <c r="Z781">
        <v>-1.5722759999999999E-2</v>
      </c>
      <c r="AA781">
        <v>0.9924212</v>
      </c>
      <c r="AB781">
        <v>32</v>
      </c>
      <c r="AC781">
        <v>0.646399999999971</v>
      </c>
      <c r="AD781">
        <v>-0.1801055</v>
      </c>
      <c r="AE781">
        <v>-9.6499999999991801E-2</v>
      </c>
      <c r="AF781">
        <v>9.6694916580664994E-2</v>
      </c>
      <c r="AG781">
        <v>-0.1801055</v>
      </c>
      <c r="AH781">
        <v>0.59968847987785101</v>
      </c>
      <c r="AI781">
        <v>106.515202115105</v>
      </c>
      <c r="AJ781">
        <v>80.840356417518606</v>
      </c>
      <c r="AK781">
        <v>0.63357254590220302</v>
      </c>
      <c r="AL781">
        <v>79.197627538069298</v>
      </c>
      <c r="AM781">
        <v>86.398933583066295</v>
      </c>
      <c r="AN781">
        <v>1.0000000626366401</v>
      </c>
    </row>
    <row r="782" spans="1:40" x14ac:dyDescent="0.25">
      <c r="A782" t="str">
        <f>"20190303170512677"</f>
        <v>20190303170512677</v>
      </c>
      <c r="B782" t="str">
        <f>"1551603912665589"</f>
        <v>1551603912665589</v>
      </c>
      <c r="C782" t="s">
        <v>40</v>
      </c>
      <c r="D782">
        <v>5.3996300000000002</v>
      </c>
      <c r="E782">
        <v>0.53122740000000002</v>
      </c>
      <c r="F782" t="s">
        <v>42</v>
      </c>
      <c r="G782">
        <v>-304.76310000000001</v>
      </c>
      <c r="H782">
        <v>0.86740159999999999</v>
      </c>
      <c r="I782">
        <v>367.60969999999998</v>
      </c>
      <c r="J782">
        <v>-305.51389999999998</v>
      </c>
      <c r="K782">
        <v>1.0694269999999999</v>
      </c>
      <c r="L782">
        <v>367.7176</v>
      </c>
      <c r="M782">
        <v>0.99993189999999998</v>
      </c>
      <c r="N782">
        <v>-2.8585780000000001E-3</v>
      </c>
      <c r="O782">
        <v>1.132989E-2</v>
      </c>
      <c r="P782">
        <v>0.98154189999999997</v>
      </c>
      <c r="Q782">
        <v>0.18458769999999999</v>
      </c>
      <c r="R782">
        <v>-5.0034219999999997E-2</v>
      </c>
      <c r="S782">
        <v>3.1681210000000002</v>
      </c>
      <c r="T782">
        <v>-0.69035360000000001</v>
      </c>
      <c r="U782">
        <v>-0.36206050000000001</v>
      </c>
      <c r="V782">
        <v>6.1379400000000001E-2</v>
      </c>
      <c r="W782">
        <v>0.18731610000000001</v>
      </c>
      <c r="X782">
        <v>0.98038020000000003</v>
      </c>
      <c r="Y782">
        <v>0.12167890000000001</v>
      </c>
      <c r="Z782">
        <v>-1.5640009999999999E-2</v>
      </c>
      <c r="AA782">
        <v>0.9924463</v>
      </c>
      <c r="AB782">
        <v>32</v>
      </c>
      <c r="AC782">
        <v>0.75079999999996905</v>
      </c>
      <c r="AD782">
        <v>-0.20202539999999999</v>
      </c>
      <c r="AE782">
        <v>-0.107900000000029</v>
      </c>
      <c r="AF782">
        <v>0.108689279931186</v>
      </c>
      <c r="AG782">
        <v>-0.20202539999999999</v>
      </c>
      <c r="AH782">
        <v>0.69988048566555505</v>
      </c>
      <c r="AI782">
        <v>105.920159387447</v>
      </c>
      <c r="AJ782">
        <v>81.172654937360093</v>
      </c>
      <c r="AK782">
        <v>0.73651905340769896</v>
      </c>
      <c r="AL782">
        <v>79.203804358030794</v>
      </c>
      <c r="AM782">
        <v>86.417515978636004</v>
      </c>
      <c r="AN782">
        <v>1.0000000443078001</v>
      </c>
    </row>
    <row r="783" spans="1:40" x14ac:dyDescent="0.25">
      <c r="A783" t="str">
        <f>"20190303170512689"</f>
        <v>20190303170512689</v>
      </c>
      <c r="B783" t="str">
        <f>"1551603912675349"</f>
        <v>1551603912675349</v>
      </c>
      <c r="C783" t="s">
        <v>40</v>
      </c>
      <c r="D783">
        <v>5.3907319999999999</v>
      </c>
      <c r="E783">
        <v>0.51168959999999997</v>
      </c>
      <c r="F783" t="s">
        <v>42</v>
      </c>
      <c r="G783">
        <v>-304.74799999999999</v>
      </c>
      <c r="H783">
        <v>0.90232100000000004</v>
      </c>
      <c r="I783">
        <v>367.62979999999999</v>
      </c>
      <c r="J783">
        <v>-305.33159999999998</v>
      </c>
      <c r="K783">
        <v>1.0694360000000001</v>
      </c>
      <c r="L783">
        <v>367.71940000000001</v>
      </c>
      <c r="M783">
        <v>0.99993529999999997</v>
      </c>
      <c r="N783">
        <v>-3.0564149999999998E-3</v>
      </c>
      <c r="O783">
        <v>1.096755E-2</v>
      </c>
      <c r="P783">
        <v>0.98152910000000004</v>
      </c>
      <c r="Q783">
        <v>0.18466009999999999</v>
      </c>
      <c r="R783">
        <v>-5.0016159999999997E-2</v>
      </c>
      <c r="S783">
        <v>3.1679379999999999</v>
      </c>
      <c r="T783">
        <v>-0.69118550000000001</v>
      </c>
      <c r="U783">
        <v>-0.3623962</v>
      </c>
      <c r="V783">
        <v>6.1017580000000002E-2</v>
      </c>
      <c r="W783">
        <v>0.18757979999999999</v>
      </c>
      <c r="X783">
        <v>0.98035229999999995</v>
      </c>
      <c r="Y783">
        <v>0.12143379999999999</v>
      </c>
      <c r="Z783">
        <v>-1.5565499999999999E-2</v>
      </c>
      <c r="AA783">
        <v>0.99247750000000001</v>
      </c>
      <c r="AB783">
        <v>32</v>
      </c>
      <c r="AC783">
        <v>0.58359999999998902</v>
      </c>
      <c r="AD783">
        <v>-0.16711500000000001</v>
      </c>
      <c r="AE783">
        <v>-8.9600000000018498E-2</v>
      </c>
      <c r="AF783">
        <v>8.8875556445894205E-2</v>
      </c>
      <c r="AG783">
        <v>-0.16711500000000001</v>
      </c>
      <c r="AH783">
        <v>0.53937345006370496</v>
      </c>
      <c r="AI783">
        <v>106.998882405944</v>
      </c>
      <c r="AJ783">
        <v>80.643134602998501</v>
      </c>
      <c r="AK783">
        <v>0.57162050907240103</v>
      </c>
      <c r="AL783">
        <v>79.188422105114597</v>
      </c>
      <c r="AM783">
        <v>86.438478438790696</v>
      </c>
      <c r="AN783">
        <v>0.999999979276193</v>
      </c>
    </row>
    <row r="784" spans="1:40" x14ac:dyDescent="0.25">
      <c r="A784" t="str">
        <f>"20190303170512706"</f>
        <v>20190303170512706</v>
      </c>
      <c r="B784" t="str">
        <f>"1551603912694869"</f>
        <v>1551603912694869</v>
      </c>
      <c r="C784" t="s">
        <v>40</v>
      </c>
      <c r="D784">
        <v>5.339137</v>
      </c>
      <c r="E784">
        <v>0.500884</v>
      </c>
      <c r="F784" t="s">
        <v>42</v>
      </c>
      <c r="G784">
        <v>-304.45960000000002</v>
      </c>
      <c r="H784">
        <v>0.89906119999999901</v>
      </c>
      <c r="I784">
        <v>367.66129999999998</v>
      </c>
      <c r="J784">
        <v>-305.09620000000001</v>
      </c>
      <c r="K784">
        <v>1.0694629999999901</v>
      </c>
      <c r="L784">
        <v>367.72149999999999</v>
      </c>
      <c r="M784">
        <v>0.99993940000000003</v>
      </c>
      <c r="N784">
        <v>-3.383264E-3</v>
      </c>
      <c r="O784">
        <v>1.0486399999999899E-2</v>
      </c>
      <c r="P784">
        <v>0.98148329999999995</v>
      </c>
      <c r="Q784">
        <v>0.18484129999999999</v>
      </c>
      <c r="R784">
        <v>-5.0243160000000002E-2</v>
      </c>
      <c r="S784">
        <v>3.1620789999999999</v>
      </c>
      <c r="T784">
        <v>-0.61797519999999995</v>
      </c>
      <c r="U784">
        <v>-0.20883180000000001</v>
      </c>
      <c r="V784">
        <v>6.0786350000000003E-2</v>
      </c>
      <c r="W784">
        <v>0.18807670000000001</v>
      </c>
      <c r="X784">
        <v>0.98027149999999996</v>
      </c>
      <c r="Y784">
        <v>7.4735360000000001E-2</v>
      </c>
      <c r="Z784">
        <v>-9.3476380000000001E-3</v>
      </c>
      <c r="AA784">
        <v>0.99715960000000003</v>
      </c>
      <c r="AB784">
        <v>32</v>
      </c>
      <c r="AC784">
        <v>0.63659999999998695</v>
      </c>
      <c r="AD784">
        <v>-0.17040179999999899</v>
      </c>
      <c r="AE784">
        <v>-6.0200000000008899E-2</v>
      </c>
      <c r="AF784">
        <v>6.2438326482197402E-2</v>
      </c>
      <c r="AG784">
        <v>-0.17040179999999899</v>
      </c>
      <c r="AH784">
        <v>0.59376745483893401</v>
      </c>
      <c r="AI784">
        <v>105.929297190329</v>
      </c>
      <c r="AJ784">
        <v>83.997055449862501</v>
      </c>
      <c r="AK784">
        <v>0.62088252389887999</v>
      </c>
      <c r="AL784">
        <v>79.1594363742729</v>
      </c>
      <c r="AM784">
        <v>86.451648802661396</v>
      </c>
      <c r="AN784">
        <v>1.0000000195707299</v>
      </c>
    </row>
    <row r="785" spans="1:40" x14ac:dyDescent="0.25">
      <c r="A785" t="str">
        <f>"20190303170512721"</f>
        <v>20190303170512721</v>
      </c>
      <c r="B785" t="str">
        <f>"1551603912715364"</f>
        <v>1551603912715364</v>
      </c>
      <c r="C785" t="s">
        <v>40</v>
      </c>
      <c r="D785">
        <v>5.3189109999999999</v>
      </c>
      <c r="E785">
        <v>0.49446600000000002</v>
      </c>
      <c r="F785" t="s">
        <v>42</v>
      </c>
      <c r="G785">
        <v>-304.15809999999999</v>
      </c>
      <c r="H785">
        <v>0.92145960000000005</v>
      </c>
      <c r="I785">
        <v>367.68329999999997</v>
      </c>
      <c r="J785">
        <v>-304.87610000000001</v>
      </c>
      <c r="K785">
        <v>1.0695159999999999</v>
      </c>
      <c r="L785">
        <v>367.72340000000003</v>
      </c>
      <c r="M785">
        <v>0.99994269999999996</v>
      </c>
      <c r="N785">
        <v>-3.7859740000000001E-3</v>
      </c>
      <c r="O785">
        <v>1.002217E-2</v>
      </c>
      <c r="P785">
        <v>0.98142770000000001</v>
      </c>
      <c r="Q785">
        <v>0.18492049999999999</v>
      </c>
      <c r="R785">
        <v>-5.1033330000000002E-2</v>
      </c>
      <c r="S785">
        <v>3.1434630000000001</v>
      </c>
      <c r="T785">
        <v>-0.4959964</v>
      </c>
      <c r="U785">
        <v>-0.12768550000000001</v>
      </c>
      <c r="V785">
        <v>6.1133220000000002E-2</v>
      </c>
      <c r="W785">
        <v>0.18854689999999999</v>
      </c>
      <c r="X785">
        <v>0.98015960000000002</v>
      </c>
      <c r="Y785">
        <v>4.984918E-2</v>
      </c>
      <c r="Z785">
        <v>-5.5353690000000001E-3</v>
      </c>
      <c r="AA785">
        <v>0.9987414</v>
      </c>
      <c r="AB785">
        <v>32</v>
      </c>
      <c r="AC785">
        <v>0.71800000000001696</v>
      </c>
      <c r="AD785">
        <v>-0.14805639999999901</v>
      </c>
      <c r="AE785">
        <v>-4.0100000000052198E-2</v>
      </c>
      <c r="AF785">
        <v>4.5370735862154503E-2</v>
      </c>
      <c r="AG785">
        <v>-0.14805639999999901</v>
      </c>
      <c r="AH785">
        <v>0.68838222800024496</v>
      </c>
      <c r="AI785">
        <v>102.11269174084499</v>
      </c>
      <c r="AJ785">
        <v>86.229133785541805</v>
      </c>
      <c r="AK785">
        <v>0.70558436283708403</v>
      </c>
      <c r="AL785">
        <v>79.132005170073398</v>
      </c>
      <c r="AM785">
        <v>86.431046388174593</v>
      </c>
      <c r="AN785">
        <v>1.0000000227796599</v>
      </c>
    </row>
    <row r="786" spans="1:40" x14ac:dyDescent="0.25">
      <c r="A786" t="str">
        <f>"20190303170512740"</f>
        <v>20190303170512740</v>
      </c>
      <c r="B786" t="str">
        <f>"1551603912734885"</f>
        <v>1551603912734885</v>
      </c>
      <c r="C786" t="s">
        <v>40</v>
      </c>
      <c r="D786">
        <v>5.3787289999999999</v>
      </c>
      <c r="E786">
        <v>0.49086069999999998</v>
      </c>
      <c r="F786" t="s">
        <v>42</v>
      </c>
      <c r="G786">
        <v>-304.13069999999999</v>
      </c>
      <c r="H786">
        <v>0.97831460000000003</v>
      </c>
      <c r="I786">
        <v>367.70389999999998</v>
      </c>
      <c r="J786">
        <v>-304.60090000000002</v>
      </c>
      <c r="K786">
        <v>1.069677</v>
      </c>
      <c r="L786">
        <v>367.72559999999999</v>
      </c>
      <c r="M786">
        <v>0.99994470000000002</v>
      </c>
      <c r="N786">
        <v>-4.6313329999999996E-3</v>
      </c>
      <c r="O786">
        <v>9.4457350000000002E-3</v>
      </c>
      <c r="P786">
        <v>0.98133269999999995</v>
      </c>
      <c r="Q786">
        <v>0.1849471</v>
      </c>
      <c r="R786">
        <v>-5.2732340000000003E-2</v>
      </c>
      <c r="S786">
        <v>3.1245729999999998</v>
      </c>
      <c r="T786">
        <v>-0.38237670000000001</v>
      </c>
      <c r="U786">
        <v>-8.1634520000000002E-2</v>
      </c>
      <c r="V786">
        <v>6.2277829999999999E-2</v>
      </c>
      <c r="W786">
        <v>0.18939629999999999</v>
      </c>
      <c r="X786">
        <v>0.97992369999999995</v>
      </c>
      <c r="Y786">
        <v>3.5221339999999997E-2</v>
      </c>
      <c r="Z786">
        <v>-3.3365579999999999E-3</v>
      </c>
      <c r="AA786">
        <v>0.99937399999999998</v>
      </c>
      <c r="AB786">
        <v>32</v>
      </c>
      <c r="AC786">
        <v>0.47020000000003298</v>
      </c>
      <c r="AD786">
        <v>-9.1362399999999899E-2</v>
      </c>
      <c r="AE786">
        <v>-2.1700000000009802E-2</v>
      </c>
      <c r="AF786">
        <v>2.51913946091172E-2</v>
      </c>
      <c r="AG786">
        <v>-9.1362399999999899E-2</v>
      </c>
      <c r="AH786">
        <v>0.45291092477891498</v>
      </c>
      <c r="AI786">
        <v>101.38766581851</v>
      </c>
      <c r="AJ786">
        <v>86.816427192765801</v>
      </c>
      <c r="AK786">
        <v>0.46272021814505199</v>
      </c>
      <c r="AL786">
        <v>79.082444631034903</v>
      </c>
      <c r="AM786">
        <v>86.363528846673404</v>
      </c>
      <c r="AN786">
        <v>0.99999997219244396</v>
      </c>
    </row>
    <row r="787" spans="1:40" x14ac:dyDescent="0.25">
      <c r="A787" t="str">
        <f>"20190303170512762"</f>
        <v>20190303170512762</v>
      </c>
      <c r="B787" t="str">
        <f>"1551603912755380"</f>
        <v>1551603912755380</v>
      </c>
      <c r="C787" t="s">
        <v>40</v>
      </c>
      <c r="D787">
        <v>5.3451570000000004</v>
      </c>
      <c r="E787">
        <v>0.48894779999999999</v>
      </c>
      <c r="F787" t="s">
        <v>42</v>
      </c>
      <c r="G787">
        <v>-303.83479999999997</v>
      </c>
      <c r="H787">
        <v>0.99077559999999998</v>
      </c>
      <c r="I787">
        <v>367.71050000000002</v>
      </c>
      <c r="J787">
        <v>-304.28210000000001</v>
      </c>
      <c r="K787">
        <v>1.069855</v>
      </c>
      <c r="L787">
        <v>367.72789999999998</v>
      </c>
      <c r="M787">
        <v>0.99994590000000005</v>
      </c>
      <c r="N787">
        <v>-5.6503350000000003E-3</v>
      </c>
      <c r="O787">
        <v>8.7324800000000008E-3</v>
      </c>
      <c r="P787">
        <v>0.98129540000000004</v>
      </c>
      <c r="Q787">
        <v>0.18451480000000001</v>
      </c>
      <c r="R787">
        <v>-5.4897889999999998E-2</v>
      </c>
      <c r="S787">
        <v>3.1143190000000001</v>
      </c>
      <c r="T787">
        <v>-0.32097290000000001</v>
      </c>
      <c r="U787">
        <v>-5.9722900000000002E-2</v>
      </c>
      <c r="V787">
        <v>6.3752550000000005E-2</v>
      </c>
      <c r="W787">
        <v>0.18995719999999999</v>
      </c>
      <c r="X787">
        <v>0.97972029999999999</v>
      </c>
      <c r="Y787">
        <v>2.7707519999999999E-2</v>
      </c>
      <c r="Z787">
        <v>-2.3507599999999999E-3</v>
      </c>
      <c r="AA787">
        <v>0.99961330000000004</v>
      </c>
      <c r="AB787">
        <v>32</v>
      </c>
      <c r="AC787">
        <v>0.447300000000041</v>
      </c>
      <c r="AD787">
        <v>-7.9079399999999994E-2</v>
      </c>
      <c r="AE787">
        <v>-1.7399999999952301E-2</v>
      </c>
      <c r="AF787">
        <v>2.0660650277020999E-2</v>
      </c>
      <c r="AG787">
        <v>-7.9079399999999994E-2</v>
      </c>
      <c r="AH787">
        <v>0.43359904126537702</v>
      </c>
      <c r="AI787">
        <v>100.324491234501</v>
      </c>
      <c r="AJ787">
        <v>87.271964938577398</v>
      </c>
      <c r="AK787">
        <v>0.44123524628080601</v>
      </c>
      <c r="AL787">
        <v>79.049713502845805</v>
      </c>
      <c r="AM787">
        <v>86.276887004052995</v>
      </c>
      <c r="AN787">
        <v>0.99999999584771604</v>
      </c>
    </row>
    <row r="788" spans="1:40" x14ac:dyDescent="0.25">
      <c r="A788" t="str">
        <f>"20190303170512774"</f>
        <v>20190303170512774</v>
      </c>
      <c r="B788" t="str">
        <f>"1551603912765140"</f>
        <v>1551603912765140</v>
      </c>
      <c r="C788" t="s">
        <v>40</v>
      </c>
      <c r="D788">
        <v>5.3656949999999997</v>
      </c>
      <c r="E788">
        <v>0.48819980000000002</v>
      </c>
      <c r="F788" t="s">
        <v>42</v>
      </c>
      <c r="G788">
        <v>-303.5369</v>
      </c>
      <c r="H788">
        <v>1.0009060000000001</v>
      </c>
      <c r="I788">
        <v>367.71539999999999</v>
      </c>
      <c r="J788">
        <v>-304.09879999999998</v>
      </c>
      <c r="K788">
        <v>1.069912</v>
      </c>
      <c r="L788">
        <v>367.72910000000002</v>
      </c>
      <c r="M788">
        <v>0.99994680000000002</v>
      </c>
      <c r="N788">
        <v>-6.1244309999999996E-3</v>
      </c>
      <c r="O788">
        <v>8.2928069999999993E-3</v>
      </c>
      <c r="P788">
        <v>0.98129980000000006</v>
      </c>
      <c r="Q788">
        <v>0.18416460000000001</v>
      </c>
      <c r="R788">
        <v>-5.5983970000000001E-2</v>
      </c>
      <c r="S788">
        <v>3.1083980000000002</v>
      </c>
      <c r="T788">
        <v>-0.28772759999999997</v>
      </c>
      <c r="U788">
        <v>-5.1635739999999999E-2</v>
      </c>
      <c r="V788">
        <v>6.4413150000000002E-2</v>
      </c>
      <c r="W788">
        <v>0.19006909999999999</v>
      </c>
      <c r="X788">
        <v>0.97965539999999995</v>
      </c>
      <c r="Y788">
        <v>2.475689E-2</v>
      </c>
      <c r="Z788">
        <v>-1.934526E-3</v>
      </c>
      <c r="AA788">
        <v>0.99969160000000001</v>
      </c>
      <c r="AB788">
        <v>32</v>
      </c>
      <c r="AC788">
        <v>0.56189999999997997</v>
      </c>
      <c r="AD788">
        <v>-6.9006000000000095E-2</v>
      </c>
      <c r="AE788">
        <v>-1.37000000000284E-2</v>
      </c>
      <c r="AF788">
        <v>1.8086724959974099E-2</v>
      </c>
      <c r="AG788">
        <v>-6.9006000000000095E-2</v>
      </c>
      <c r="AH788">
        <v>0.55342532559598701</v>
      </c>
      <c r="AI788">
        <v>97.103711829569306</v>
      </c>
      <c r="AJ788">
        <v>88.128158854506097</v>
      </c>
      <c r="AK788">
        <v>0.55800407585142497</v>
      </c>
      <c r="AL788">
        <v>79.043183285566698</v>
      </c>
      <c r="AM788">
        <v>86.238170048544106</v>
      </c>
      <c r="AN788">
        <v>1.0000000097084401</v>
      </c>
    </row>
    <row r="789" spans="1:40" x14ac:dyDescent="0.25">
      <c r="A789" t="str">
        <f>"20190303170512788"</f>
        <v>20190303170512788</v>
      </c>
      <c r="B789" t="str">
        <f>"1551603912774901"</f>
        <v>1551603912774901</v>
      </c>
      <c r="C789" t="s">
        <v>40</v>
      </c>
      <c r="D789">
        <v>5.3310529999999998</v>
      </c>
      <c r="E789">
        <v>0.48763489999999998</v>
      </c>
      <c r="F789" t="s">
        <v>42</v>
      </c>
      <c r="G789">
        <v>-303.2527</v>
      </c>
      <c r="H789">
        <v>0.99472519999999998</v>
      </c>
      <c r="I789">
        <v>367.71539999999999</v>
      </c>
      <c r="J789">
        <v>-303.90679999999998</v>
      </c>
      <c r="K789">
        <v>1.0699529999999999</v>
      </c>
      <c r="L789">
        <v>367.73020000000002</v>
      </c>
      <c r="M789">
        <v>0.99994769999999999</v>
      </c>
      <c r="N789">
        <v>-6.5819019999999997E-3</v>
      </c>
      <c r="O789">
        <v>7.8299300000000006E-3</v>
      </c>
      <c r="P789">
        <v>0.98126049999999998</v>
      </c>
      <c r="Q789">
        <v>0.1840038</v>
      </c>
      <c r="R789">
        <v>-5.7190530000000003E-2</v>
      </c>
      <c r="S789">
        <v>3.1061709999999998</v>
      </c>
      <c r="T789">
        <v>-0.27623999999999999</v>
      </c>
      <c r="U789">
        <v>-4.9011230000000003E-2</v>
      </c>
      <c r="V789">
        <v>6.517241E-2</v>
      </c>
      <c r="W789">
        <v>0.19035279999999999</v>
      </c>
      <c r="X789">
        <v>0.97955009999999998</v>
      </c>
      <c r="Y789">
        <v>2.3479320000000001E-2</v>
      </c>
      <c r="Z789">
        <v>-1.7628450000000001E-3</v>
      </c>
      <c r="AA789">
        <v>0.99972280000000002</v>
      </c>
      <c r="AB789">
        <v>32</v>
      </c>
      <c r="AC789">
        <v>0.65409999999997104</v>
      </c>
      <c r="AD789">
        <v>-7.5227799999999997E-2</v>
      </c>
      <c r="AE789">
        <v>-1.4800000000036499E-2</v>
      </c>
      <c r="AF789">
        <v>1.96612834112498E-2</v>
      </c>
      <c r="AG789">
        <v>-7.5227799999999997E-2</v>
      </c>
      <c r="AH789">
        <v>0.64543117399143402</v>
      </c>
      <c r="AI789">
        <v>96.645020330519202</v>
      </c>
      <c r="AJ789">
        <v>88.255181417879101</v>
      </c>
      <c r="AK789">
        <v>0.65009782980577502</v>
      </c>
      <c r="AL789">
        <v>79.026626252468901</v>
      </c>
      <c r="AM789">
        <v>86.193549695686301</v>
      </c>
      <c r="AN789">
        <v>1.00000001495152</v>
      </c>
    </row>
    <row r="790" spans="1:40" x14ac:dyDescent="0.25">
      <c r="A790" t="str">
        <f>"20190303170512801"</f>
        <v>20190303170512801</v>
      </c>
      <c r="B790" t="str">
        <f>"1551603912795396"</f>
        <v>1551603912795396</v>
      </c>
      <c r="C790" t="s">
        <v>40</v>
      </c>
      <c r="D790">
        <v>5.430193</v>
      </c>
      <c r="E790">
        <v>0.48679289999999997</v>
      </c>
      <c r="F790" t="s">
        <v>42</v>
      </c>
      <c r="G790">
        <v>-302.96690000000001</v>
      </c>
      <c r="H790">
        <v>0.98920359999999996</v>
      </c>
      <c r="I790">
        <v>367.71559999999999</v>
      </c>
      <c r="J790">
        <v>-303.7133</v>
      </c>
      <c r="K790">
        <v>1.0699780000000001</v>
      </c>
      <c r="L790">
        <v>367.73129999999998</v>
      </c>
      <c r="M790">
        <v>0.99994850000000002</v>
      </c>
      <c r="N790">
        <v>-6.9926190000000003E-3</v>
      </c>
      <c r="O790">
        <v>7.3629990000000003E-3</v>
      </c>
      <c r="P790">
        <v>0.98129659999999996</v>
      </c>
      <c r="Q790">
        <v>0.18340219999999999</v>
      </c>
      <c r="R790">
        <v>-5.8487079999999997E-2</v>
      </c>
      <c r="S790">
        <v>3.1045229999999999</v>
      </c>
      <c r="T790">
        <v>-0.26668609999999998</v>
      </c>
      <c r="U790">
        <v>-4.821777E-2</v>
      </c>
      <c r="V790">
        <v>6.6018660000000007E-2</v>
      </c>
      <c r="W790">
        <v>0.1901496</v>
      </c>
      <c r="X790">
        <v>0.97953290000000004</v>
      </c>
      <c r="Y790">
        <v>2.277786E-2</v>
      </c>
      <c r="Z790">
        <v>-1.63619E-3</v>
      </c>
      <c r="AA790">
        <v>0.99973920000000005</v>
      </c>
      <c r="AB790">
        <v>32</v>
      </c>
      <c r="AC790">
        <v>0.74639999999999396</v>
      </c>
      <c r="AD790">
        <v>-8.0774400000000093E-2</v>
      </c>
      <c r="AE790">
        <v>-1.5699999999981101E-2</v>
      </c>
      <c r="AF790">
        <v>2.0950205767522798E-2</v>
      </c>
      <c r="AG790">
        <v>-8.0774400000000093E-2</v>
      </c>
      <c r="AH790">
        <v>0.73762940303886304</v>
      </c>
      <c r="AI790">
        <v>96.2467979313152</v>
      </c>
      <c r="AJ790">
        <v>88.3731183246162</v>
      </c>
      <c r="AK790">
        <v>0.74233452771949804</v>
      </c>
      <c r="AL790">
        <v>79.038485389975605</v>
      </c>
      <c r="AM790">
        <v>86.144204376613303</v>
      </c>
      <c r="AN790">
        <v>1.0000000180153801</v>
      </c>
    </row>
    <row r="791" spans="1:40" x14ac:dyDescent="0.25">
      <c r="A791" t="str">
        <f>"20190303170512815"</f>
        <v>20190303170512815</v>
      </c>
      <c r="B791" t="str">
        <f>"1551603912805156"</f>
        <v>1551603912805156</v>
      </c>
      <c r="C791" t="s">
        <v>40</v>
      </c>
      <c r="D791">
        <v>5.4495180000000003</v>
      </c>
      <c r="E791">
        <v>0.48650969999999999</v>
      </c>
      <c r="F791" t="s">
        <v>43</v>
      </c>
      <c r="G791">
        <v>-289.91469999999998</v>
      </c>
      <c r="H791">
        <v>-0.05</v>
      </c>
      <c r="I791">
        <v>367.52719999999999</v>
      </c>
      <c r="J791">
        <v>-303.52289999999999</v>
      </c>
      <c r="K791">
        <v>1.069993</v>
      </c>
      <c r="L791">
        <v>367.73219999999998</v>
      </c>
      <c r="M791">
        <v>0.99994919999999998</v>
      </c>
      <c r="N791">
        <v>-7.366058E-3</v>
      </c>
      <c r="O791">
        <v>6.9109929999999998E-3</v>
      </c>
      <c r="P791">
        <v>0.98122659999999995</v>
      </c>
      <c r="Q791">
        <v>0.1834402</v>
      </c>
      <c r="R791">
        <v>-5.953162E-2</v>
      </c>
      <c r="S791">
        <v>3.1015320000000002</v>
      </c>
      <c r="T791">
        <v>-0.25174010000000002</v>
      </c>
      <c r="U791">
        <v>-4.586792E-2</v>
      </c>
      <c r="V791">
        <v>6.6627080000000005E-2</v>
      </c>
      <c r="W791">
        <v>0.19054989999999999</v>
      </c>
      <c r="X791">
        <v>0.97941389999999995</v>
      </c>
      <c r="Y791">
        <v>2.1600970000000001E-2</v>
      </c>
      <c r="Z791">
        <v>-1.464019E-3</v>
      </c>
      <c r="AA791">
        <v>0.99976560000000003</v>
      </c>
      <c r="AB791">
        <v>32</v>
      </c>
      <c r="AC791">
        <v>13.6082</v>
      </c>
      <c r="AD791">
        <v>-1.119993</v>
      </c>
      <c r="AE791">
        <v>-0.204999999999984</v>
      </c>
      <c r="AF791">
        <v>0.29703224458797101</v>
      </c>
      <c r="AG791">
        <v>-1.119993</v>
      </c>
      <c r="AH791">
        <v>13.5149321913966</v>
      </c>
      <c r="AI791">
        <v>94.736182692210306</v>
      </c>
      <c r="AJ791">
        <v>88.740951539123401</v>
      </c>
      <c r="AK791">
        <v>13.564512693511</v>
      </c>
      <c r="AL791">
        <v>79.015122643998197</v>
      </c>
      <c r="AM791">
        <v>86.108307163677296</v>
      </c>
      <c r="AN791">
        <v>1.00000000984627</v>
      </c>
    </row>
    <row r="792" spans="1:40" x14ac:dyDescent="0.25">
      <c r="A792" t="str">
        <f>"20190303170512829"</f>
        <v>20190303170512829</v>
      </c>
      <c r="B792" t="str">
        <f>"1551603912814918"</f>
        <v>1551603912814918</v>
      </c>
      <c r="C792" t="s">
        <v>40</v>
      </c>
      <c r="D792">
        <v>5.3618259999999998</v>
      </c>
      <c r="E792">
        <v>0.4862648</v>
      </c>
      <c r="F792" t="s">
        <v>43</v>
      </c>
      <c r="G792">
        <v>-289.37009999999998</v>
      </c>
      <c r="H792">
        <v>-0.05</v>
      </c>
      <c r="I792">
        <v>367.51659999999998</v>
      </c>
      <c r="J792">
        <v>-303.31270000000001</v>
      </c>
      <c r="K792">
        <v>1.070004</v>
      </c>
      <c r="L792">
        <v>367.73320000000001</v>
      </c>
      <c r="M792">
        <v>0.99994939999999999</v>
      </c>
      <c r="N792">
        <v>-7.7607669999999896E-3</v>
      </c>
      <c r="O792">
        <v>6.4133430000000002E-3</v>
      </c>
      <c r="P792">
        <v>0.98117849999999995</v>
      </c>
      <c r="Q792">
        <v>0.1832328</v>
      </c>
      <c r="R792">
        <v>-6.0947420000000002E-2</v>
      </c>
      <c r="S792">
        <v>3.1003720000000001</v>
      </c>
      <c r="T792">
        <v>-0.24534919999999999</v>
      </c>
      <c r="U792">
        <v>-4.7241209999999999E-2</v>
      </c>
      <c r="V792">
        <v>6.7561049999999997E-2</v>
      </c>
      <c r="W792">
        <v>0.19072539999999999</v>
      </c>
      <c r="X792">
        <v>0.97931579999999996</v>
      </c>
      <c r="Y792">
        <v>2.1557659999999999E-2</v>
      </c>
      <c r="Z792">
        <v>-1.3924129999999999E-3</v>
      </c>
      <c r="AA792">
        <v>0.99976659999999995</v>
      </c>
      <c r="AB792">
        <v>32</v>
      </c>
      <c r="AC792">
        <v>13.942600000000001</v>
      </c>
      <c r="AD792">
        <v>-1.120004</v>
      </c>
      <c r="AE792">
        <v>-0.21660000000002799</v>
      </c>
      <c r="AF792">
        <v>0.30405535657308103</v>
      </c>
      <c r="AG792">
        <v>-1.120004</v>
      </c>
      <c r="AH792">
        <v>13.851563567445201</v>
      </c>
      <c r="AI792">
        <v>94.621633041103095</v>
      </c>
      <c r="AJ792">
        <v>88.742503595110307</v>
      </c>
      <c r="AK792">
        <v>13.9000961105617</v>
      </c>
      <c r="AL792">
        <v>79.004879879751101</v>
      </c>
      <c r="AM792">
        <v>86.0535310287447</v>
      </c>
      <c r="AN792">
        <v>1.00000005490594</v>
      </c>
    </row>
    <row r="793" spans="1:40" x14ac:dyDescent="0.25">
      <c r="A793" t="str">
        <f>"20190303170512841"</f>
        <v>20190303170512841</v>
      </c>
      <c r="B793" t="str">
        <f>"1551603912835413"</f>
        <v>1551603912835413</v>
      </c>
      <c r="C793" t="s">
        <v>40</v>
      </c>
      <c r="D793">
        <v>5.4119529999999996</v>
      </c>
      <c r="E793">
        <v>0.48595179999999999</v>
      </c>
      <c r="F793" t="s">
        <v>42</v>
      </c>
      <c r="G793">
        <v>-302.3811</v>
      </c>
      <c r="H793">
        <v>0.99752700000000005</v>
      </c>
      <c r="I793">
        <v>367.7183</v>
      </c>
      <c r="J793">
        <v>-303.13279999999997</v>
      </c>
      <c r="K793">
        <v>1.070017</v>
      </c>
      <c r="L793">
        <v>367.73399999999998</v>
      </c>
      <c r="M793">
        <v>0.99994939999999999</v>
      </c>
      <c r="N793">
        <v>-8.0833090000000003E-3</v>
      </c>
      <c r="O793">
        <v>5.9876670000000003E-3</v>
      </c>
      <c r="P793">
        <v>0.98129060000000001</v>
      </c>
      <c r="Q793">
        <v>0.18243390000000001</v>
      </c>
      <c r="R793">
        <v>-6.1534239999999997E-2</v>
      </c>
      <c r="S793">
        <v>3.0995180000000002</v>
      </c>
      <c r="T793">
        <v>-0.24116480000000001</v>
      </c>
      <c r="U793">
        <v>-4.9530030000000003E-2</v>
      </c>
      <c r="V793">
        <v>6.7733840000000003E-2</v>
      </c>
      <c r="W793">
        <v>0.19024179999999999</v>
      </c>
      <c r="X793">
        <v>0.97939790000000004</v>
      </c>
      <c r="Y793">
        <v>2.187716E-2</v>
      </c>
      <c r="Z793">
        <v>-1.3551590000000001E-3</v>
      </c>
      <c r="AA793">
        <v>0.99975970000000003</v>
      </c>
      <c r="AB793">
        <v>32</v>
      </c>
      <c r="AC793">
        <v>0.75169999999997095</v>
      </c>
      <c r="AD793">
        <v>-7.2489999999999902E-2</v>
      </c>
      <c r="AE793">
        <v>-1.5700000000038E-2</v>
      </c>
      <c r="AF793">
        <v>2.0014745705172601E-2</v>
      </c>
      <c r="AG793">
        <v>-7.2489999999999902E-2</v>
      </c>
      <c r="AH793">
        <v>0.74467035259927505</v>
      </c>
      <c r="AI793">
        <v>95.557950078834196</v>
      </c>
      <c r="AJ793">
        <v>88.460413475209606</v>
      </c>
      <c r="AK793">
        <v>0.74845796420772404</v>
      </c>
      <c r="AL793">
        <v>79.033104642019893</v>
      </c>
      <c r="AM793">
        <v>86.043800407807197</v>
      </c>
      <c r="AN793">
        <v>1.0000000310363899</v>
      </c>
    </row>
    <row r="794" spans="1:40" x14ac:dyDescent="0.25">
      <c r="A794" t="str">
        <f>"20190303170512863"</f>
        <v>20190303170512863</v>
      </c>
      <c r="B794" t="str">
        <f>"1551603912854932"</f>
        <v>1551603912854932</v>
      </c>
      <c r="C794" t="s">
        <v>40</v>
      </c>
      <c r="D794">
        <v>5.3507129999999998</v>
      </c>
      <c r="E794">
        <v>0.48557860000000003</v>
      </c>
      <c r="F794" t="s">
        <v>43</v>
      </c>
      <c r="G794">
        <v>-288.25959999999998</v>
      </c>
      <c r="H794">
        <v>-0.05</v>
      </c>
      <c r="I794">
        <v>367.495</v>
      </c>
      <c r="J794">
        <v>-302.81970000000001</v>
      </c>
      <c r="K794">
        <v>1.070039</v>
      </c>
      <c r="L794">
        <v>367.73500000000001</v>
      </c>
      <c r="M794">
        <v>0.99994939999999999</v>
      </c>
      <c r="N794">
        <v>-8.5903569999999999E-3</v>
      </c>
      <c r="O794">
        <v>5.2401740000000002E-3</v>
      </c>
      <c r="P794">
        <v>0.98135039999999996</v>
      </c>
      <c r="Q794">
        <v>0.18178859999999999</v>
      </c>
      <c r="R794">
        <v>-6.2482889999999999E-2</v>
      </c>
      <c r="S794">
        <v>3.0974119999999998</v>
      </c>
      <c r="T794">
        <v>-0.2332485</v>
      </c>
      <c r="U794">
        <v>-4.977417E-2</v>
      </c>
      <c r="V794">
        <v>6.7952090000000007E-2</v>
      </c>
      <c r="W794">
        <v>0.1900925</v>
      </c>
      <c r="X794">
        <v>0.9794117</v>
      </c>
      <c r="Y794">
        <v>2.122839E-2</v>
      </c>
      <c r="Z794">
        <v>-1.2385160000000001E-3</v>
      </c>
      <c r="AA794">
        <v>0.99977389999999999</v>
      </c>
      <c r="AB794">
        <v>32</v>
      </c>
      <c r="AC794">
        <v>14.5601</v>
      </c>
      <c r="AD794">
        <v>-1.120039</v>
      </c>
      <c r="AE794">
        <v>-0.24000000000000901</v>
      </c>
      <c r="AF794">
        <v>0.31443680381880501</v>
      </c>
      <c r="AG794">
        <v>-1.120039</v>
      </c>
      <c r="AH794">
        <v>14.4730216837561</v>
      </c>
      <c r="AI794">
        <v>94.424149141968101</v>
      </c>
      <c r="AJ794">
        <v>88.755403782614394</v>
      </c>
      <c r="AK794">
        <v>14.519700910266399</v>
      </c>
      <c r="AL794">
        <v>79.041817133228093</v>
      </c>
      <c r="AM794">
        <v>86.031149274981502</v>
      </c>
      <c r="AN794">
        <v>0.99999996159425297</v>
      </c>
    </row>
    <row r="795" spans="1:40" x14ac:dyDescent="0.25">
      <c r="A795" t="str">
        <f>"20190303170512875"</f>
        <v>20190303170512875</v>
      </c>
      <c r="B795" t="str">
        <f>"1551603912865669"</f>
        <v>1551603912865669</v>
      </c>
      <c r="C795" t="s">
        <v>40</v>
      </c>
      <c r="D795">
        <v>5.4231490000000004</v>
      </c>
      <c r="E795">
        <v>0.4855199</v>
      </c>
      <c r="F795" t="s">
        <v>42</v>
      </c>
      <c r="G795">
        <v>-301.80489999999998</v>
      </c>
      <c r="H795">
        <v>0.9947397</v>
      </c>
      <c r="I795">
        <v>367.71850000000001</v>
      </c>
      <c r="J795">
        <v>-302.64429999999999</v>
      </c>
      <c r="K795">
        <v>1.0700529999999999</v>
      </c>
      <c r="L795">
        <v>367.7355</v>
      </c>
      <c r="M795">
        <v>0.99994930000000004</v>
      </c>
      <c r="N795">
        <v>-8.8410699999999995E-3</v>
      </c>
      <c r="O795">
        <v>4.8187780000000001E-3</v>
      </c>
      <c r="P795">
        <v>0.9813558</v>
      </c>
      <c r="Q795">
        <v>0.1816971</v>
      </c>
      <c r="R795">
        <v>-6.2663720000000006E-2</v>
      </c>
      <c r="S795">
        <v>3.0964360000000002</v>
      </c>
      <c r="T795">
        <v>-0.22986960000000001</v>
      </c>
      <c r="U795">
        <v>-4.974365E-2</v>
      </c>
      <c r="V795">
        <v>6.7719539999999995E-2</v>
      </c>
      <c r="W795">
        <v>0.19024740000000001</v>
      </c>
      <c r="X795">
        <v>0.97939779999999999</v>
      </c>
      <c r="Y795">
        <v>2.080653E-2</v>
      </c>
      <c r="Z795">
        <v>-1.1779900000000001E-3</v>
      </c>
      <c r="AA795">
        <v>0.99978279999999997</v>
      </c>
      <c r="AB795">
        <v>32</v>
      </c>
      <c r="AC795">
        <v>0.83940000000001103</v>
      </c>
      <c r="AD795">
        <v>-7.5313300000000194E-2</v>
      </c>
      <c r="AE795">
        <v>-1.69999999999959E-2</v>
      </c>
      <c r="AF795">
        <v>2.0876849551340001E-2</v>
      </c>
      <c r="AG795">
        <v>-7.5313300000000194E-2</v>
      </c>
      <c r="AH795">
        <v>0.832608433928957</v>
      </c>
      <c r="AI795">
        <v>95.166988211107594</v>
      </c>
      <c r="AJ795">
        <v>88.563664818282405</v>
      </c>
      <c r="AK795">
        <v>0.83626834225247904</v>
      </c>
      <c r="AL795">
        <v>79.032777804976504</v>
      </c>
      <c r="AM795">
        <v>86.044632588529197</v>
      </c>
      <c r="AN795">
        <v>1.0000000299747001</v>
      </c>
    </row>
    <row r="796" spans="1:40" x14ac:dyDescent="0.25">
      <c r="A796" t="str">
        <f>"20190303170512888"</f>
        <v>20190303170512888</v>
      </c>
      <c r="B796" t="str">
        <f>"1551603912875428"</f>
        <v>1551603912875428</v>
      </c>
      <c r="C796" t="s">
        <v>40</v>
      </c>
      <c r="D796">
        <v>5.443727</v>
      </c>
      <c r="E796">
        <v>0.48537710000000001</v>
      </c>
      <c r="F796" t="s">
        <v>43</v>
      </c>
      <c r="G796">
        <v>-287.36880000000002</v>
      </c>
      <c r="H796">
        <v>-0.05</v>
      </c>
      <c r="I796">
        <v>367.49009999999998</v>
      </c>
      <c r="J796">
        <v>-302.46679999999998</v>
      </c>
      <c r="K796">
        <v>1.070066</v>
      </c>
      <c r="L796">
        <v>367.73599999999999</v>
      </c>
      <c r="M796">
        <v>0.99994919999999998</v>
      </c>
      <c r="N796">
        <v>-9.0832719999999999E-3</v>
      </c>
      <c r="O796">
        <v>4.3928149999999996E-3</v>
      </c>
      <c r="P796">
        <v>0.98138789999999998</v>
      </c>
      <c r="Q796">
        <v>0.18135589999999999</v>
      </c>
      <c r="R796">
        <v>-6.3148070000000001E-2</v>
      </c>
      <c r="S796">
        <v>3.0958559999999999</v>
      </c>
      <c r="T796">
        <v>-0.2269996</v>
      </c>
      <c r="U796">
        <v>-4.974365E-2</v>
      </c>
      <c r="V796">
        <v>6.7785590000000007E-2</v>
      </c>
      <c r="W796">
        <v>0.19014400000000001</v>
      </c>
      <c r="X796">
        <v>0.97941330000000004</v>
      </c>
      <c r="Y796">
        <v>2.0387450000000001E-2</v>
      </c>
      <c r="Z796">
        <v>-1.1209270000000001E-3</v>
      </c>
      <c r="AA796">
        <v>0.99979150000000006</v>
      </c>
      <c r="AB796">
        <v>32</v>
      </c>
      <c r="AC796">
        <v>15.0979999999999</v>
      </c>
      <c r="AD796">
        <v>-1.120066</v>
      </c>
      <c r="AE796">
        <v>-0.245900000000006</v>
      </c>
      <c r="AF796">
        <v>0.31051457666765397</v>
      </c>
      <c r="AG796">
        <v>-1.120066</v>
      </c>
      <c r="AH796">
        <v>15.014163749791701</v>
      </c>
      <c r="AI796">
        <v>94.265489388997494</v>
      </c>
      <c r="AJ796">
        <v>88.815209484321997</v>
      </c>
      <c r="AK796">
        <v>15.059086302038301</v>
      </c>
      <c r="AL796">
        <v>79.0388122263154</v>
      </c>
      <c r="AM796">
        <v>86.040849457309605</v>
      </c>
      <c r="AN796">
        <v>1.00000001958226</v>
      </c>
    </row>
    <row r="797" spans="1:40" x14ac:dyDescent="0.25">
      <c r="A797" t="str">
        <f>"20190303170512901"</f>
        <v>20190303170512901</v>
      </c>
      <c r="B797" t="str">
        <f>"1551603912894948"</f>
        <v>1551603912894948</v>
      </c>
      <c r="C797" t="s">
        <v>40</v>
      </c>
      <c r="D797">
        <v>5.4490360000000004</v>
      </c>
      <c r="E797">
        <v>0.48504520000000001</v>
      </c>
      <c r="F797" t="s">
        <v>43</v>
      </c>
      <c r="G797">
        <v>-286.99360000000001</v>
      </c>
      <c r="H797">
        <v>-0.05</v>
      </c>
      <c r="I797">
        <v>367.48579999999998</v>
      </c>
      <c r="J797">
        <v>-302.26170000000002</v>
      </c>
      <c r="K797">
        <v>1.070079</v>
      </c>
      <c r="L797">
        <v>367.73630000000003</v>
      </c>
      <c r="M797">
        <v>0.99994890000000003</v>
      </c>
      <c r="N797">
        <v>-9.3427389999999992E-3</v>
      </c>
      <c r="O797">
        <v>3.9003459999999998E-3</v>
      </c>
      <c r="P797">
        <v>0.98132719999999996</v>
      </c>
      <c r="Q797">
        <v>0.1816034</v>
      </c>
      <c r="R797">
        <v>-6.3382599999999997E-2</v>
      </c>
      <c r="S797">
        <v>3.0950929999999999</v>
      </c>
      <c r="T797">
        <v>-0.2240463</v>
      </c>
      <c r="U797">
        <v>-5.0048830000000002E-2</v>
      </c>
      <c r="V797">
        <v>6.7536379999999993E-2</v>
      </c>
      <c r="W797">
        <v>0.1906458</v>
      </c>
      <c r="X797">
        <v>0.97933289999999995</v>
      </c>
      <c r="Y797">
        <v>2.000132E-2</v>
      </c>
      <c r="Z797">
        <v>-1.0620650000000001E-3</v>
      </c>
      <c r="AA797">
        <v>0.9997994</v>
      </c>
      <c r="AB797">
        <v>32</v>
      </c>
      <c r="AC797">
        <v>15.2681</v>
      </c>
      <c r="AD797">
        <v>-1.120079</v>
      </c>
      <c r="AE797">
        <v>-0.25050000000004502</v>
      </c>
      <c r="AF797">
        <v>0.30839229924331302</v>
      </c>
      <c r="AG797">
        <v>-1.120079</v>
      </c>
      <c r="AH797">
        <v>15.1853045409778</v>
      </c>
      <c r="AI797">
        <v>94.217671971969096</v>
      </c>
      <c r="AJ797">
        <v>88.836562775218795</v>
      </c>
      <c r="AK797">
        <v>15.229680127261799</v>
      </c>
      <c r="AL797">
        <v>79.009524775467</v>
      </c>
      <c r="AM797">
        <v>86.055036201828997</v>
      </c>
      <c r="AN797">
        <v>0.99999995635177596</v>
      </c>
    </row>
    <row r="798" spans="1:40" x14ac:dyDescent="0.25">
      <c r="A798" t="str">
        <f>"20190303170512915"</f>
        <v>20190303170512915</v>
      </c>
      <c r="B798" t="str">
        <f>"1551603912905684"</f>
        <v>1551603912905684</v>
      </c>
      <c r="C798" t="s">
        <v>40</v>
      </c>
      <c r="D798">
        <v>5.3031079999999999</v>
      </c>
      <c r="E798">
        <v>0.484815</v>
      </c>
      <c r="F798" t="s">
        <v>43</v>
      </c>
      <c r="G798">
        <v>-286.43180000000001</v>
      </c>
      <c r="H798">
        <v>-0.05</v>
      </c>
      <c r="I798">
        <v>367.4923</v>
      </c>
      <c r="J798">
        <v>-302.07429999999999</v>
      </c>
      <c r="K798">
        <v>1.0700889999999901</v>
      </c>
      <c r="L798">
        <v>367.73660000000001</v>
      </c>
      <c r="M798">
        <v>0.99994839999999996</v>
      </c>
      <c r="N798">
        <v>-9.5547329999999993E-3</v>
      </c>
      <c r="O798">
        <v>3.4517509999999999E-3</v>
      </c>
      <c r="P798">
        <v>0.98131979999999996</v>
      </c>
      <c r="Q798">
        <v>0.1815331</v>
      </c>
      <c r="R798">
        <v>-6.3695730000000006E-2</v>
      </c>
      <c r="S798">
        <v>3.0945130000000001</v>
      </c>
      <c r="T798">
        <v>-0.2189593</v>
      </c>
      <c r="U798">
        <v>-4.769897E-2</v>
      </c>
      <c r="V798">
        <v>6.7408560000000006E-2</v>
      </c>
      <c r="W798">
        <v>0.19078390000000001</v>
      </c>
      <c r="X798">
        <v>0.97931489999999999</v>
      </c>
      <c r="Y798">
        <v>1.8803799999999999E-2</v>
      </c>
      <c r="Z798">
        <v>-9.6532539999999998E-4</v>
      </c>
      <c r="AA798">
        <v>0.99982269999999895</v>
      </c>
      <c r="AB798">
        <v>32</v>
      </c>
      <c r="AC798">
        <v>15.642499999999901</v>
      </c>
      <c r="AD798">
        <v>-1.1200889999999999</v>
      </c>
      <c r="AE798">
        <v>-0.24430000000000901</v>
      </c>
      <c r="AF798">
        <v>0.29677373310055299</v>
      </c>
      <c r="AG798">
        <v>-1.1200889999999999</v>
      </c>
      <c r="AH798">
        <v>15.561792246450301</v>
      </c>
      <c r="AI798">
        <v>94.116125071837203</v>
      </c>
      <c r="AJ798">
        <v>88.907463794965807</v>
      </c>
      <c r="AK798">
        <v>15.6048726985599</v>
      </c>
      <c r="AL798">
        <v>79.0014652342023</v>
      </c>
      <c r="AM798">
        <v>86.062406825536897</v>
      </c>
      <c r="AN798">
        <v>1.00000004191124</v>
      </c>
    </row>
    <row r="799" spans="1:40" x14ac:dyDescent="0.25">
      <c r="A799" t="str">
        <f>"20190303170512932"</f>
        <v>20190303170512932</v>
      </c>
      <c r="B799" t="str">
        <f>"1551603912925205"</f>
        <v>1551603912925205</v>
      </c>
      <c r="C799" t="s">
        <v>40</v>
      </c>
      <c r="D799">
        <v>5.4413970000000003</v>
      </c>
      <c r="E799">
        <v>0.4844774</v>
      </c>
      <c r="F799" t="s">
        <v>43</v>
      </c>
      <c r="G799">
        <v>-286.13279999999997</v>
      </c>
      <c r="H799">
        <v>-0.05</v>
      </c>
      <c r="I799">
        <v>367.4939</v>
      </c>
      <c r="J799">
        <v>-301.83699999999999</v>
      </c>
      <c r="K799">
        <v>1.0701020000000001</v>
      </c>
      <c r="L799">
        <v>367.73680000000002</v>
      </c>
      <c r="M799">
        <v>0.99994780000000005</v>
      </c>
      <c r="N799">
        <v>-9.8046980000000006E-3</v>
      </c>
      <c r="O799">
        <v>2.885032E-3</v>
      </c>
      <c r="P799">
        <v>0.98126999999999998</v>
      </c>
      <c r="Q799">
        <v>0.18164269999999999</v>
      </c>
      <c r="R799">
        <v>-6.4149590000000006E-2</v>
      </c>
      <c r="S799">
        <v>3.0942989999999999</v>
      </c>
      <c r="T799">
        <v>-0.2174143</v>
      </c>
      <c r="U799">
        <v>-4.7119139999999997E-2</v>
      </c>
      <c r="V799">
        <v>6.7305390000000007E-2</v>
      </c>
      <c r="W799">
        <v>0.19113910000000001</v>
      </c>
      <c r="X799">
        <v>0.97925269999999998</v>
      </c>
      <c r="Y799">
        <v>1.805474E-2</v>
      </c>
      <c r="Z799">
        <v>-8.9630759999999895E-4</v>
      </c>
      <c r="AA799">
        <v>0.99983659999999996</v>
      </c>
      <c r="AB799">
        <v>32</v>
      </c>
      <c r="AC799">
        <v>15.7042</v>
      </c>
      <c r="AD799">
        <v>-1.1201019999999999</v>
      </c>
      <c r="AE799">
        <v>-0.24290000000001999</v>
      </c>
      <c r="AF799">
        <v>0.28674986434217398</v>
      </c>
      <c r="AG799">
        <v>-1.1201019999999999</v>
      </c>
      <c r="AH799">
        <v>15.6239697213145</v>
      </c>
      <c r="AI799">
        <v>94.099902677876401</v>
      </c>
      <c r="AJ799">
        <v>88.948557059580594</v>
      </c>
      <c r="AK799">
        <v>15.6666934554697</v>
      </c>
      <c r="AL799">
        <v>78.980731888131302</v>
      </c>
      <c r="AM799">
        <v>86.068165525110103</v>
      </c>
      <c r="AN799">
        <v>1.0000000107645699</v>
      </c>
    </row>
    <row r="800" spans="1:40" x14ac:dyDescent="0.25">
      <c r="A800" t="str">
        <f>"20190303170512946"</f>
        <v>20190303170512946</v>
      </c>
      <c r="B800" t="str">
        <f>"1551603912934964"</f>
        <v>1551603912934964</v>
      </c>
      <c r="C800" t="s">
        <v>40</v>
      </c>
      <c r="D800">
        <v>5.581359</v>
      </c>
      <c r="E800">
        <v>0.48429270000000002</v>
      </c>
      <c r="F800" t="s">
        <v>43</v>
      </c>
      <c r="G800">
        <v>-285.60329999999999</v>
      </c>
      <c r="H800">
        <v>-0.05</v>
      </c>
      <c r="I800">
        <v>367.49619999999999</v>
      </c>
      <c r="J800">
        <v>-301.63200000000001</v>
      </c>
      <c r="K800">
        <v>1.070112</v>
      </c>
      <c r="L800">
        <v>367.73689999999999</v>
      </c>
      <c r="M800">
        <v>0.99994709999999998</v>
      </c>
      <c r="N800">
        <v>-1.0003349999999999E-2</v>
      </c>
      <c r="O800">
        <v>2.3963589999999998E-3</v>
      </c>
      <c r="P800">
        <v>0.98129310000000003</v>
      </c>
      <c r="Q800">
        <v>0.18137800000000001</v>
      </c>
      <c r="R800">
        <v>-6.4541219999999996E-2</v>
      </c>
      <c r="S800">
        <v>3.0938110000000001</v>
      </c>
      <c r="T800">
        <v>-0.2134683</v>
      </c>
      <c r="U800">
        <v>-4.586792E-2</v>
      </c>
      <c r="V800">
        <v>6.7216349999999994E-2</v>
      </c>
      <c r="W800">
        <v>0.19106989999999999</v>
      </c>
      <c r="X800">
        <v>0.97927229999999998</v>
      </c>
      <c r="Y800">
        <v>1.7169340000000002E-2</v>
      </c>
      <c r="Z800">
        <v>-8.1878649999999904E-4</v>
      </c>
      <c r="AA800">
        <v>0.99985219999999997</v>
      </c>
      <c r="AB800">
        <v>32</v>
      </c>
      <c r="AC800">
        <v>16.028700000000001</v>
      </c>
      <c r="AD800">
        <v>-1.120112</v>
      </c>
      <c r="AE800">
        <v>-0.24070000000000299</v>
      </c>
      <c r="AF800">
        <v>0.27775565140472103</v>
      </c>
      <c r="AG800">
        <v>-1.120112</v>
      </c>
      <c r="AH800">
        <v>15.9502027636237</v>
      </c>
      <c r="AI800">
        <v>94.016426698355204</v>
      </c>
      <c r="AJ800">
        <v>89.002356367862603</v>
      </c>
      <c r="AK800">
        <v>15.9918969261042</v>
      </c>
      <c r="AL800">
        <v>78.9847709810401</v>
      </c>
      <c r="AM800">
        <v>86.073429111396393</v>
      </c>
      <c r="AN800">
        <v>0.999999990970311</v>
      </c>
    </row>
    <row r="801" spans="1:40" x14ac:dyDescent="0.25">
      <c r="A801" t="str">
        <f>"20190303170512964"</f>
        <v>20190303170512964</v>
      </c>
      <c r="B801" t="str">
        <f>"1551603912955460"</f>
        <v>1551603912955460</v>
      </c>
      <c r="C801" t="s">
        <v>40</v>
      </c>
      <c r="D801">
        <v>5.580063</v>
      </c>
      <c r="E801">
        <v>0.483958</v>
      </c>
      <c r="F801" t="s">
        <v>43</v>
      </c>
      <c r="G801">
        <v>-285.33170000000001</v>
      </c>
      <c r="H801">
        <v>-0.05</v>
      </c>
      <c r="I801">
        <v>367.49799999999999</v>
      </c>
      <c r="J801">
        <v>-301.36799999999999</v>
      </c>
      <c r="K801">
        <v>1.0701229999999999</v>
      </c>
      <c r="L801">
        <v>367.73689999999999</v>
      </c>
      <c r="M801">
        <v>0.99994609999999995</v>
      </c>
      <c r="N801">
        <v>-1.023278E-2</v>
      </c>
      <c r="O801">
        <v>1.7690879999999901E-3</v>
      </c>
      <c r="P801">
        <v>0.98126610000000003</v>
      </c>
      <c r="Q801">
        <v>0.1810949</v>
      </c>
      <c r="R801">
        <v>-6.5737229999999994E-2</v>
      </c>
      <c r="S801">
        <v>3.0935060000000001</v>
      </c>
      <c r="T801">
        <v>-0.21257709999999999</v>
      </c>
      <c r="U801">
        <v>-4.534912E-2</v>
      </c>
      <c r="V801">
        <v>6.7795309999999998E-2</v>
      </c>
      <c r="W801">
        <v>0.1910114</v>
      </c>
      <c r="X801">
        <v>0.9792438</v>
      </c>
      <c r="Y801">
        <v>1.6379439999999999E-2</v>
      </c>
      <c r="Z801">
        <v>-7.4933910000000005E-4</v>
      </c>
      <c r="AA801">
        <v>0.99986560000000002</v>
      </c>
      <c r="AB801">
        <v>32</v>
      </c>
      <c r="AC801">
        <v>16.036299999999901</v>
      </c>
      <c r="AD801">
        <v>-1.120123</v>
      </c>
      <c r="AE801">
        <v>-0.23889999999994399</v>
      </c>
      <c r="AF801">
        <v>0.26597336381478998</v>
      </c>
      <c r="AG801">
        <v>-1.120123</v>
      </c>
      <c r="AH801">
        <v>15.958011768269699</v>
      </c>
      <c r="AI801">
        <v>94.014557904829104</v>
      </c>
      <c r="AJ801">
        <v>89.045135411327806</v>
      </c>
      <c r="AK801">
        <v>15.999486146799301</v>
      </c>
      <c r="AL801">
        <v>78.988185658226598</v>
      </c>
      <c r="AM801">
        <v>86.039600330125594</v>
      </c>
      <c r="AN801">
        <v>0.99999998941319701</v>
      </c>
    </row>
    <row r="802" spans="1:40" x14ac:dyDescent="0.25">
      <c r="A802" t="str">
        <f>"20190303170512976"</f>
        <v>20190303170512976</v>
      </c>
      <c r="B802" t="str">
        <f>"1551603912965220"</f>
        <v>1551603912965220</v>
      </c>
      <c r="C802" t="s">
        <v>40</v>
      </c>
      <c r="D802">
        <v>5.472734</v>
      </c>
      <c r="E802">
        <v>0.48381220000000003</v>
      </c>
      <c r="F802" t="s">
        <v>43</v>
      </c>
      <c r="G802">
        <v>-284.9273</v>
      </c>
      <c r="H802">
        <v>-0.05</v>
      </c>
      <c r="I802">
        <v>367.48840000000001</v>
      </c>
      <c r="J802">
        <v>-301.1773</v>
      </c>
      <c r="K802">
        <v>1.07013</v>
      </c>
      <c r="L802">
        <v>367.73680000000002</v>
      </c>
      <c r="M802">
        <v>0.99994539999999998</v>
      </c>
      <c r="N802">
        <v>-1.03797E-2</v>
      </c>
      <c r="O802">
        <v>1.3166180000000001E-3</v>
      </c>
      <c r="P802">
        <v>0.98123879999999997</v>
      </c>
      <c r="Q802">
        <v>0.18091750000000001</v>
      </c>
      <c r="R802">
        <v>-6.6633049999999999E-2</v>
      </c>
      <c r="S802">
        <v>3.0930179999999998</v>
      </c>
      <c r="T802">
        <v>-0.21073040000000001</v>
      </c>
      <c r="U802">
        <v>-4.6752929999999998E-2</v>
      </c>
      <c r="V802">
        <v>6.8246100000000004E-2</v>
      </c>
      <c r="W802">
        <v>0.19097720000000001</v>
      </c>
      <c r="X802">
        <v>0.97921910000000001</v>
      </c>
      <c r="Y802">
        <v>1.6384470000000002E-2</v>
      </c>
      <c r="Z802">
        <v>-7.1856229999999995E-4</v>
      </c>
      <c r="AA802">
        <v>0.99986549999999996</v>
      </c>
      <c r="AB802">
        <v>32</v>
      </c>
      <c r="AC802">
        <v>16.25</v>
      </c>
      <c r="AD802">
        <v>-1.1201299999999901</v>
      </c>
      <c r="AE802">
        <v>-0.24840000000000301</v>
      </c>
      <c r="AF802">
        <v>0.26852040201467098</v>
      </c>
      <c r="AG802">
        <v>-1.1201299999999901</v>
      </c>
      <c r="AH802">
        <v>16.1728316978588</v>
      </c>
      <c r="AI802">
        <v>93.961433258751299</v>
      </c>
      <c r="AJ802">
        <v>89.048795377504803</v>
      </c>
      <c r="AK802">
        <v>16.213799047430602</v>
      </c>
      <c r="AL802">
        <v>78.990181298953701</v>
      </c>
      <c r="AM802">
        <v>86.013250921733103</v>
      </c>
      <c r="AN802">
        <v>0.99999993344492699</v>
      </c>
    </row>
    <row r="803" spans="1:40" x14ac:dyDescent="0.25">
      <c r="A803" t="str">
        <f>"20190303170512996"</f>
        <v>20190303170512996</v>
      </c>
      <c r="B803" t="str">
        <f>"1551603912985716"</f>
        <v>1551603912985716</v>
      </c>
      <c r="C803" t="s">
        <v>40</v>
      </c>
      <c r="D803">
        <v>5.5873269999999904</v>
      </c>
      <c r="E803">
        <v>0.48366229999999899</v>
      </c>
      <c r="F803" t="s">
        <v>43</v>
      </c>
      <c r="G803">
        <v>-284.66649999999998</v>
      </c>
      <c r="H803">
        <v>-0.05</v>
      </c>
      <c r="I803">
        <v>367.47719999999998</v>
      </c>
      <c r="J803">
        <v>-300.89780000000002</v>
      </c>
      <c r="K803">
        <v>1.0701419999999999</v>
      </c>
      <c r="L803">
        <v>367.7364</v>
      </c>
      <c r="M803">
        <v>0.99994400000000006</v>
      </c>
      <c r="N803">
        <v>-1.057726E-2</v>
      </c>
      <c r="O803">
        <v>6.5373890000000004E-4</v>
      </c>
      <c r="P803">
        <v>0.98100909999999997</v>
      </c>
      <c r="Q803">
        <v>0.1815843</v>
      </c>
      <c r="R803">
        <v>-6.8182320000000005E-2</v>
      </c>
      <c r="S803">
        <v>3.0927120000000001</v>
      </c>
      <c r="T803">
        <v>-0.2098168</v>
      </c>
      <c r="U803">
        <v>-4.8614499999999998E-2</v>
      </c>
      <c r="V803">
        <v>6.9145200000000004E-2</v>
      </c>
      <c r="W803">
        <v>0.19183420000000001</v>
      </c>
      <c r="X803">
        <v>0.97898859999999999</v>
      </c>
      <c r="Y803">
        <v>1.632635E-2</v>
      </c>
      <c r="Z803">
        <v>-6.7699500000000001E-4</v>
      </c>
      <c r="AA803">
        <v>0.99986649999999999</v>
      </c>
      <c r="AB803">
        <v>32</v>
      </c>
      <c r="AC803">
        <v>16.231300000000001</v>
      </c>
      <c r="AD803">
        <v>-1.120142</v>
      </c>
      <c r="AE803">
        <v>-0.25920000000002102</v>
      </c>
      <c r="AF803">
        <v>0.26853299302978201</v>
      </c>
      <c r="AG803">
        <v>-1.120142</v>
      </c>
      <c r="AH803">
        <v>16.154211446494099</v>
      </c>
      <c r="AI803">
        <v>93.966025910562806</v>
      </c>
      <c r="AJ803">
        <v>89.047654521937304</v>
      </c>
      <c r="AK803">
        <v>16.195226936556001</v>
      </c>
      <c r="AL803">
        <v>78.940155147315195</v>
      </c>
      <c r="AM803">
        <v>85.959952847976695</v>
      </c>
      <c r="AN803">
        <v>1.0000000489513099</v>
      </c>
    </row>
    <row r="804" spans="1:40" x14ac:dyDescent="0.25">
      <c r="A804" t="str">
        <f>"20190303170513011"</f>
        <v>20190303170513011</v>
      </c>
      <c r="B804" t="str">
        <f>"1551603913005236"</f>
        <v>1551603913005236</v>
      </c>
      <c r="C804" t="s">
        <v>40</v>
      </c>
      <c r="D804">
        <v>5.467676</v>
      </c>
      <c r="E804">
        <v>0.48341299999999998</v>
      </c>
      <c r="F804" t="s">
        <v>43</v>
      </c>
      <c r="G804">
        <v>-284.1103</v>
      </c>
      <c r="H804">
        <v>-0.05</v>
      </c>
      <c r="I804">
        <v>367.45150000000001</v>
      </c>
      <c r="J804">
        <v>-300.69069999999999</v>
      </c>
      <c r="K804">
        <v>1.070155</v>
      </c>
      <c r="L804">
        <v>367.73599999999999</v>
      </c>
      <c r="M804">
        <v>0.99994249999999996</v>
      </c>
      <c r="N804">
        <v>-1.0715219999999999E-2</v>
      </c>
      <c r="O804">
        <v>1.6495169999999901E-4</v>
      </c>
      <c r="P804">
        <v>0.98095410000000005</v>
      </c>
      <c r="Q804">
        <v>0.1815157</v>
      </c>
      <c r="R804">
        <v>-6.9147150000000004E-2</v>
      </c>
      <c r="S804">
        <v>3.09259</v>
      </c>
      <c r="T804">
        <v>-0.20635249999999999</v>
      </c>
      <c r="U804">
        <v>-5.2490229999999999E-2</v>
      </c>
      <c r="V804">
        <v>6.9629679999999999E-2</v>
      </c>
      <c r="W804">
        <v>0.19190009999999999</v>
      </c>
      <c r="X804">
        <v>0.97894130000000001</v>
      </c>
      <c r="Y804">
        <v>1.709103E-2</v>
      </c>
      <c r="Z804">
        <v>-6.704457E-4</v>
      </c>
      <c r="AA804">
        <v>0.99985369999999996</v>
      </c>
      <c r="AB804">
        <v>32</v>
      </c>
      <c r="AC804">
        <v>16.580399999999901</v>
      </c>
      <c r="AD804">
        <v>-1.120155</v>
      </c>
      <c r="AE804">
        <v>-0.28449999999997999</v>
      </c>
      <c r="AF804">
        <v>0.28593045415819401</v>
      </c>
      <c r="AG804">
        <v>-1.120155</v>
      </c>
      <c r="AH804">
        <v>16.505042429289499</v>
      </c>
      <c r="AI804">
        <v>93.881983550765099</v>
      </c>
      <c r="AJ804">
        <v>89.007517264221093</v>
      </c>
      <c r="AK804">
        <v>16.5454806228555</v>
      </c>
      <c r="AL804">
        <v>78.936307381991298</v>
      </c>
      <c r="AM804">
        <v>85.931544241520996</v>
      </c>
      <c r="AN804">
        <v>1.0000000047813</v>
      </c>
    </row>
    <row r="805" spans="1:40" x14ac:dyDescent="0.25">
      <c r="A805" t="str">
        <f>"20190303170513030"</f>
        <v>20190303170513030</v>
      </c>
      <c r="B805" t="str">
        <f>"1551603913025733"</f>
        <v>1551603913025733</v>
      </c>
      <c r="C805" t="s">
        <v>40</v>
      </c>
      <c r="D805">
        <v>5.3394209999999998</v>
      </c>
      <c r="E805">
        <v>0.48311749999999998</v>
      </c>
      <c r="F805" t="s">
        <v>43</v>
      </c>
      <c r="G805">
        <v>-283.65589999999997</v>
      </c>
      <c r="H805">
        <v>-0.05</v>
      </c>
      <c r="I805">
        <v>367.44420000000002</v>
      </c>
      <c r="J805">
        <v>-300.4067</v>
      </c>
      <c r="K805">
        <v>1.070087</v>
      </c>
      <c r="L805">
        <v>367.73540000000003</v>
      </c>
      <c r="M805">
        <v>0.99994419999999995</v>
      </c>
      <c r="N805">
        <v>-1.054926E-2</v>
      </c>
      <c r="O805">
        <v>-4.966708E-4</v>
      </c>
      <c r="P805">
        <v>0.98082689999999995</v>
      </c>
      <c r="Q805">
        <v>0.18150160000000001</v>
      </c>
      <c r="R805">
        <v>-7.0964979999999997E-2</v>
      </c>
      <c r="S805">
        <v>3.092133</v>
      </c>
      <c r="T805">
        <v>-0.20332790000000001</v>
      </c>
      <c r="U805">
        <v>-5.2978520000000001E-2</v>
      </c>
      <c r="V805">
        <v>7.0791770000000004E-2</v>
      </c>
      <c r="W805">
        <v>0.19172320000000001</v>
      </c>
      <c r="X805">
        <v>0.9788926</v>
      </c>
      <c r="Y805">
        <v>1.659335E-2</v>
      </c>
      <c r="Z805">
        <v>-6.0518729999999997E-4</v>
      </c>
      <c r="AA805">
        <v>0.99986209999999998</v>
      </c>
      <c r="AB805">
        <v>32</v>
      </c>
      <c r="AC805">
        <v>16.750800000000002</v>
      </c>
      <c r="AD805">
        <v>-1.1200870000000001</v>
      </c>
      <c r="AE805">
        <v>-0.29120000000000301</v>
      </c>
      <c r="AF805">
        <v>0.28162103995147197</v>
      </c>
      <c r="AG805">
        <v>-1.1200870000000001</v>
      </c>
      <c r="AH805">
        <v>16.6764001527545</v>
      </c>
      <c r="AI805">
        <v>93.8420105116287</v>
      </c>
      <c r="AJ805">
        <v>89.032515216500201</v>
      </c>
      <c r="AK805">
        <v>16.716346112488299</v>
      </c>
      <c r="AL805">
        <v>78.946634615041802</v>
      </c>
      <c r="AM805">
        <v>85.863672101242301</v>
      </c>
      <c r="AN805">
        <v>0.99999999122636596</v>
      </c>
    </row>
    <row r="806" spans="1:40" x14ac:dyDescent="0.25">
      <c r="A806" t="str">
        <f>"20190303170513042"</f>
        <v>20190303170513042</v>
      </c>
      <c r="B806" t="str">
        <f>"1551603913035493"</f>
        <v>1551603913035493</v>
      </c>
      <c r="C806" t="s">
        <v>40</v>
      </c>
      <c r="D806">
        <v>5.47349</v>
      </c>
      <c r="E806">
        <v>0.48304469999999999</v>
      </c>
      <c r="F806" t="s">
        <v>43</v>
      </c>
      <c r="G806">
        <v>-283.16370000000001</v>
      </c>
      <c r="H806">
        <v>-0.05</v>
      </c>
      <c r="I806">
        <v>367.42340000000002</v>
      </c>
      <c r="J806">
        <v>-300.23660000000001</v>
      </c>
      <c r="K806">
        <v>1.0699620000000001</v>
      </c>
      <c r="L806">
        <v>367.73489999999998</v>
      </c>
      <c r="M806">
        <v>0.99994859999999997</v>
      </c>
      <c r="N806">
        <v>-1.0103040000000001E-2</v>
      </c>
      <c r="O806">
        <v>-8.8605159999999999E-4</v>
      </c>
      <c r="P806">
        <v>0.98076280000000005</v>
      </c>
      <c r="Q806">
        <v>0.1815504</v>
      </c>
      <c r="R806">
        <v>-7.1719480000000002E-2</v>
      </c>
      <c r="S806">
        <v>3.0917659999999998</v>
      </c>
      <c r="T806">
        <v>-0.2008374</v>
      </c>
      <c r="U806">
        <v>-5.5938719999999997E-2</v>
      </c>
      <c r="V806">
        <v>7.1155410000000002E-2</v>
      </c>
      <c r="W806">
        <v>0.1913376</v>
      </c>
      <c r="X806">
        <v>0.97894170000000003</v>
      </c>
      <c r="Y806">
        <v>1.716341E-2</v>
      </c>
      <c r="Z806">
        <v>-5.9509289999999996E-4</v>
      </c>
      <c r="AA806">
        <v>0.99985250000000003</v>
      </c>
      <c r="AB806">
        <v>32</v>
      </c>
      <c r="AC806">
        <v>17.072900000000001</v>
      </c>
      <c r="AD806">
        <v>-1.1199619999999999</v>
      </c>
      <c r="AE806">
        <v>-0.31149999999996603</v>
      </c>
      <c r="AF806">
        <v>0.29510217329845501</v>
      </c>
      <c r="AG806">
        <v>-1.1199619999999999</v>
      </c>
      <c r="AH806">
        <v>17.000039017221901</v>
      </c>
      <c r="AI806">
        <v>93.7686312178908</v>
      </c>
      <c r="AJ806">
        <v>89.005507515131598</v>
      </c>
      <c r="AK806">
        <v>17.039446198782301</v>
      </c>
      <c r="AL806">
        <v>78.969144820864898</v>
      </c>
      <c r="AM806">
        <v>85.842706904147207</v>
      </c>
      <c r="AN806">
        <v>1.00000001077245</v>
      </c>
    </row>
    <row r="807" spans="1:40" x14ac:dyDescent="0.25">
      <c r="A807" t="str">
        <f>"20190303170513066"</f>
        <v>20190303170513066</v>
      </c>
      <c r="B807" t="str">
        <f>"1551603913055013"</f>
        <v>1551603913055013</v>
      </c>
      <c r="C807" t="s">
        <v>40</v>
      </c>
      <c r="D807">
        <v>5.3826140000000002</v>
      </c>
      <c r="E807">
        <v>0.48289130000000002</v>
      </c>
      <c r="F807" t="s">
        <v>43</v>
      </c>
      <c r="G807">
        <v>-282.81909999999999</v>
      </c>
      <c r="H807">
        <v>-0.05</v>
      </c>
      <c r="I807">
        <v>367.41129999999998</v>
      </c>
      <c r="J807">
        <v>-299.87950000000001</v>
      </c>
      <c r="K807">
        <v>1.0696810000000001</v>
      </c>
      <c r="L807">
        <v>367.73379999999997</v>
      </c>
      <c r="M807">
        <v>0.9999595</v>
      </c>
      <c r="N807">
        <v>-8.8400359999999904E-3</v>
      </c>
      <c r="O807">
        <v>-1.667595E-3</v>
      </c>
      <c r="P807">
        <v>0.98053710000000005</v>
      </c>
      <c r="Q807">
        <v>0.18213280000000001</v>
      </c>
      <c r="R807">
        <v>-7.3311550000000003E-2</v>
      </c>
      <c r="S807">
        <v>3.091431</v>
      </c>
      <c r="T807">
        <v>-0.19878109999999999</v>
      </c>
      <c r="U807">
        <v>-5.7434079999999998E-2</v>
      </c>
      <c r="V807">
        <v>7.1957480000000004E-2</v>
      </c>
      <c r="W807">
        <v>0.19068889999999999</v>
      </c>
      <c r="X807">
        <v>0.97900960000000004</v>
      </c>
      <c r="Y807">
        <v>1.687081E-2</v>
      </c>
      <c r="Z807">
        <v>-5.2408109999999995E-4</v>
      </c>
      <c r="AA807">
        <v>0.99985749999999995</v>
      </c>
      <c r="AB807">
        <v>33</v>
      </c>
      <c r="AC807">
        <v>17.060400000000001</v>
      </c>
      <c r="AD807">
        <v>-1.1196809999999999</v>
      </c>
      <c r="AE807">
        <v>-0.32249999999999002</v>
      </c>
      <c r="AF807">
        <v>0.29278791148727101</v>
      </c>
      <c r="AG807">
        <v>-1.1196809999999999</v>
      </c>
      <c r="AH807">
        <v>16.987767966731401</v>
      </c>
      <c r="AI807">
        <v>93.770410156271396</v>
      </c>
      <c r="AJ807">
        <v>89.012592420696905</v>
      </c>
      <c r="AK807">
        <v>17.027145115796099</v>
      </c>
      <c r="AL807">
        <v>79.007009287508595</v>
      </c>
      <c r="AM807">
        <v>85.796303137120802</v>
      </c>
      <c r="AN807">
        <v>0.99999996620165899</v>
      </c>
    </row>
    <row r="808" spans="1:40" x14ac:dyDescent="0.25">
      <c r="A808" t="str">
        <f>"20190303170513079"</f>
        <v>20190303170513079</v>
      </c>
      <c r="B808" t="str">
        <f>"1551603913065748"</f>
        <v>1551603913065748</v>
      </c>
      <c r="C808" t="s">
        <v>40</v>
      </c>
      <c r="D808">
        <v>5.7540180000000003</v>
      </c>
      <c r="E808">
        <v>0.48276760000000002</v>
      </c>
      <c r="F808" t="s">
        <v>43</v>
      </c>
      <c r="G808">
        <v>-282.2783</v>
      </c>
      <c r="H808">
        <v>-0.05</v>
      </c>
      <c r="I808">
        <v>367.38920000000002</v>
      </c>
      <c r="J808">
        <v>-299.69099999999997</v>
      </c>
      <c r="K808">
        <v>1.0695539999999999</v>
      </c>
      <c r="L808">
        <v>367.73320000000001</v>
      </c>
      <c r="M808">
        <v>0.99996470000000004</v>
      </c>
      <c r="N808">
        <v>-8.153759E-3</v>
      </c>
      <c r="O808">
        <v>-2.0697440000000001E-3</v>
      </c>
      <c r="P808">
        <v>0.98046630000000001</v>
      </c>
      <c r="Q808">
        <v>0.18222650000000001</v>
      </c>
      <c r="R808">
        <v>-7.4024599999999996E-2</v>
      </c>
      <c r="S808">
        <v>3.0915530000000002</v>
      </c>
      <c r="T808">
        <v>-0.1966659</v>
      </c>
      <c r="U808">
        <v>-6.0516359999999998E-2</v>
      </c>
      <c r="V808">
        <v>7.2261829999999999E-2</v>
      </c>
      <c r="W808">
        <v>0.19011500000000001</v>
      </c>
      <c r="X808">
        <v>0.97909889999999999</v>
      </c>
      <c r="Y808">
        <v>1.746489E-2</v>
      </c>
      <c r="Z808">
        <v>-5.1152469999999998E-4</v>
      </c>
      <c r="AA808">
        <v>0.99984740000000005</v>
      </c>
      <c r="AB808">
        <v>33</v>
      </c>
      <c r="AC808">
        <v>17.412699999999901</v>
      </c>
      <c r="AD808">
        <v>-1.1195539999999999</v>
      </c>
      <c r="AE808">
        <v>-0.34399999999999398</v>
      </c>
      <c r="AF808">
        <v>0.30669090797091397</v>
      </c>
      <c r="AG808">
        <v>-1.1195539999999999</v>
      </c>
      <c r="AH808">
        <v>17.3417141209848</v>
      </c>
      <c r="AI808">
        <v>93.693224225066402</v>
      </c>
      <c r="AJ808">
        <v>88.986820859471095</v>
      </c>
      <c r="AK808">
        <v>17.380520968196301</v>
      </c>
      <c r="AL808">
        <v>79.0405052423245</v>
      </c>
      <c r="AM808">
        <v>85.778971027561695</v>
      </c>
      <c r="AN808">
        <v>1.0000000706405701</v>
      </c>
    </row>
    <row r="809" spans="1:40" x14ac:dyDescent="0.25">
      <c r="A809" t="str">
        <f>"20190303170513092"</f>
        <v>20190303170513092</v>
      </c>
      <c r="B809" t="str">
        <f>"1551603913085269"</f>
        <v>1551603913085269</v>
      </c>
      <c r="C809" t="s">
        <v>40</v>
      </c>
      <c r="D809">
        <v>5.477894</v>
      </c>
      <c r="E809">
        <v>0.48263119999999998</v>
      </c>
      <c r="F809" t="s">
        <v>43</v>
      </c>
      <c r="G809">
        <v>-281.93529999999998</v>
      </c>
      <c r="H809">
        <v>-0.05</v>
      </c>
      <c r="I809">
        <v>367.37909999999999</v>
      </c>
      <c r="J809">
        <v>-299.50619999999998</v>
      </c>
      <c r="K809">
        <v>1.069447</v>
      </c>
      <c r="L809">
        <v>367.73250000000002</v>
      </c>
      <c r="M809">
        <v>0.99996910000000006</v>
      </c>
      <c r="N809">
        <v>-7.48650599999999E-3</v>
      </c>
      <c r="O809">
        <v>-2.4535970000000001E-3</v>
      </c>
      <c r="P809">
        <v>0.98040150000000004</v>
      </c>
      <c r="Q809">
        <v>0.18229020000000001</v>
      </c>
      <c r="R809">
        <v>-7.4723730000000002E-2</v>
      </c>
      <c r="S809">
        <v>3.0913390000000001</v>
      </c>
      <c r="T809">
        <v>-0.19491849999999999</v>
      </c>
      <c r="U809">
        <v>-6.1645510000000001E-2</v>
      </c>
      <c r="V809">
        <v>7.2572719999999993E-2</v>
      </c>
      <c r="W809">
        <v>0.1895288</v>
      </c>
      <c r="X809">
        <v>0.97918950000000005</v>
      </c>
      <c r="Y809">
        <v>1.7449180000000002E-2</v>
      </c>
      <c r="Z809">
        <v>-4.787231E-4</v>
      </c>
      <c r="AA809">
        <v>0.99984770000000001</v>
      </c>
      <c r="AB809">
        <v>33</v>
      </c>
      <c r="AC809">
        <v>17.570899999999899</v>
      </c>
      <c r="AD809">
        <v>-1.1194469999999901</v>
      </c>
      <c r="AE809">
        <v>-0.35340000000002098</v>
      </c>
      <c r="AF809">
        <v>0.30903197264980098</v>
      </c>
      <c r="AG809">
        <v>-1.1194469999999901</v>
      </c>
      <c r="AH809">
        <v>17.500707583244299</v>
      </c>
      <c r="AI809">
        <v>93.659415894332994</v>
      </c>
      <c r="AJ809">
        <v>88.988361603235305</v>
      </c>
      <c r="AK809">
        <v>17.5391969103534</v>
      </c>
      <c r="AL809">
        <v>79.074713445821502</v>
      </c>
      <c r="AM809">
        <v>85.7612678717134</v>
      </c>
      <c r="AN809">
        <v>1.0000000213139399</v>
      </c>
    </row>
    <row r="810" spans="1:40" x14ac:dyDescent="0.25">
      <c r="A810" t="str">
        <f>"20190303170513104"</f>
        <v>20190303170513104</v>
      </c>
      <c r="B810" t="str">
        <f>"1551603913095028"</f>
        <v>1551603913095028</v>
      </c>
      <c r="C810" t="s">
        <v>40</v>
      </c>
      <c r="D810">
        <v>5.4180890000000002</v>
      </c>
      <c r="E810">
        <v>0.48251929999999998</v>
      </c>
      <c r="F810" t="s">
        <v>43</v>
      </c>
      <c r="G810">
        <v>-281.40960000000001</v>
      </c>
      <c r="H810">
        <v>-0.05</v>
      </c>
      <c r="I810">
        <v>367.36419999999998</v>
      </c>
      <c r="J810">
        <v>-299.31310000000002</v>
      </c>
      <c r="K810">
        <v>1.0693429999999999</v>
      </c>
      <c r="L810">
        <v>367.73180000000002</v>
      </c>
      <c r="M810">
        <v>0.99997290000000005</v>
      </c>
      <c r="N810">
        <v>-6.7944090000000004E-3</v>
      </c>
      <c r="O810">
        <v>-2.8463350000000002E-3</v>
      </c>
      <c r="P810">
        <v>0.98027759999999997</v>
      </c>
      <c r="Q810">
        <v>0.18283669999999999</v>
      </c>
      <c r="R810">
        <v>-7.5011240000000007E-2</v>
      </c>
      <c r="S810">
        <v>3.0907290000000001</v>
      </c>
      <c r="T810">
        <v>-0.19119169999999999</v>
      </c>
      <c r="U810">
        <v>-6.2896729999999998E-2</v>
      </c>
      <c r="V810">
        <v>7.2464979999999998E-2</v>
      </c>
      <c r="W810">
        <v>0.1894014</v>
      </c>
      <c r="X810">
        <v>0.97922209999999998</v>
      </c>
      <c r="Y810">
        <v>1.7467280000000002E-2</v>
      </c>
      <c r="Z810">
        <v>-4.4253400000000002E-4</v>
      </c>
      <c r="AA810">
        <v>0.99984740000000005</v>
      </c>
      <c r="AB810">
        <v>33</v>
      </c>
      <c r="AC810">
        <v>17.903500000000001</v>
      </c>
      <c r="AD810">
        <v>-1.119343</v>
      </c>
      <c r="AE810">
        <v>-0.36760000000003801</v>
      </c>
      <c r="AF810">
        <v>0.315405619631551</v>
      </c>
      <c r="AG810">
        <v>-1.119343</v>
      </c>
      <c r="AH810">
        <v>17.834789431160001</v>
      </c>
      <c r="AI810">
        <v>93.590714248941396</v>
      </c>
      <c r="AJ810">
        <v>88.986838207757799</v>
      </c>
      <c r="AK810">
        <v>17.872664141374099</v>
      </c>
      <c r="AL810">
        <v>79.082147259358607</v>
      </c>
      <c r="AM810">
        <v>85.767678117917598</v>
      </c>
      <c r="AN810">
        <v>0.999999992388385</v>
      </c>
    </row>
    <row r="811" spans="1:40" x14ac:dyDescent="0.25">
      <c r="A811" t="str">
        <f>"20190303170513120"</f>
        <v>20190303170513120</v>
      </c>
      <c r="B811" t="str">
        <f>"1551603913105765"</f>
        <v>1551603913105765</v>
      </c>
      <c r="C811" t="s">
        <v>40</v>
      </c>
      <c r="D811">
        <v>5.4067249999999998</v>
      </c>
      <c r="E811">
        <v>0.48241699999999998</v>
      </c>
      <c r="F811" t="s">
        <v>43</v>
      </c>
      <c r="G811">
        <v>-280.88130000000001</v>
      </c>
      <c r="H811">
        <v>-0.05</v>
      </c>
      <c r="I811">
        <v>367.35789999999997</v>
      </c>
      <c r="J811">
        <v>-299.07089999999999</v>
      </c>
      <c r="K811">
        <v>1.069229</v>
      </c>
      <c r="L811">
        <v>367.73079999999999</v>
      </c>
      <c r="M811">
        <v>0.999977</v>
      </c>
      <c r="N811">
        <v>-5.9437429999999996E-3</v>
      </c>
      <c r="O811">
        <v>-3.3111849999999999E-3</v>
      </c>
      <c r="P811">
        <v>0.9800179</v>
      </c>
      <c r="Q811">
        <v>0.18404139999999999</v>
      </c>
      <c r="R811">
        <v>-7.5458620000000004E-2</v>
      </c>
      <c r="S811">
        <v>3.090576</v>
      </c>
      <c r="T811">
        <v>-0.18768670000000001</v>
      </c>
      <c r="U811">
        <v>-6.268311E-2</v>
      </c>
      <c r="V811">
        <v>7.2449970000000002E-2</v>
      </c>
      <c r="W811">
        <v>0.1897741</v>
      </c>
      <c r="X811">
        <v>0.97915110000000005</v>
      </c>
      <c r="Y811">
        <v>1.6937879999999999E-2</v>
      </c>
      <c r="Z811">
        <v>-3.8296199999999998E-4</v>
      </c>
      <c r="AA811">
        <v>0.99985650000000004</v>
      </c>
      <c r="AB811">
        <v>33</v>
      </c>
      <c r="AC811">
        <v>18.189599999999899</v>
      </c>
      <c r="AD811">
        <v>-1.119229</v>
      </c>
      <c r="AE811">
        <v>-0.372900000000015</v>
      </c>
      <c r="AF811">
        <v>0.31148893835506303</v>
      </c>
      <c r="AG811">
        <v>-1.119229</v>
      </c>
      <c r="AH811">
        <v>18.122151663754799</v>
      </c>
      <c r="AI811">
        <v>93.533593394254794</v>
      </c>
      <c r="AJ811">
        <v>89.015280049685103</v>
      </c>
      <c r="AK811">
        <v>18.159352406880799</v>
      </c>
      <c r="AL811">
        <v>79.060399233524194</v>
      </c>
      <c r="AM811">
        <v>85.768245878108502</v>
      </c>
      <c r="AN811">
        <v>1.0000000419074999</v>
      </c>
    </row>
    <row r="812" spans="1:40" x14ac:dyDescent="0.25">
      <c r="A812" t="str">
        <f>"20190303170513134"</f>
        <v>20190303170513134</v>
      </c>
      <c r="B812" t="str">
        <f>"1551603913125284"</f>
        <v>1551603913125284</v>
      </c>
      <c r="C812" t="s">
        <v>40</v>
      </c>
      <c r="D812">
        <v>5.4374120000000001</v>
      </c>
      <c r="E812">
        <v>0.48222209999999899</v>
      </c>
      <c r="F812" t="s">
        <v>43</v>
      </c>
      <c r="G812">
        <v>-280.15980000000002</v>
      </c>
      <c r="H812">
        <v>-0.05</v>
      </c>
      <c r="I812">
        <v>367.34199999999998</v>
      </c>
      <c r="J812">
        <v>-298.87549999999999</v>
      </c>
      <c r="K812">
        <v>1.069148</v>
      </c>
      <c r="L812">
        <v>367.72989999999999</v>
      </c>
      <c r="M812">
        <v>0.99997939999999996</v>
      </c>
      <c r="N812">
        <v>-5.2907220000000003E-3</v>
      </c>
      <c r="O812">
        <v>-3.6631860000000001E-3</v>
      </c>
      <c r="P812">
        <v>0.97981320000000005</v>
      </c>
      <c r="Q812">
        <v>0.18499380000000001</v>
      </c>
      <c r="R812">
        <v>-7.5787399999999894E-2</v>
      </c>
      <c r="S812">
        <v>3.0906370000000001</v>
      </c>
      <c r="T812">
        <v>-0.1829152</v>
      </c>
      <c r="U812">
        <v>-6.35376E-2</v>
      </c>
      <c r="V812">
        <v>7.2431850000000006E-2</v>
      </c>
      <c r="W812">
        <v>0.19008729999999999</v>
      </c>
      <c r="X812">
        <v>0.97909159999999995</v>
      </c>
      <c r="Y812">
        <v>1.6864319999999999E-2</v>
      </c>
      <c r="Z812">
        <v>-3.4599480000000002E-4</v>
      </c>
      <c r="AA812">
        <v>0.99985769999999996</v>
      </c>
      <c r="AB812">
        <v>33</v>
      </c>
      <c r="AC812">
        <v>18.715699999999899</v>
      </c>
      <c r="AD812">
        <v>-1.119148</v>
      </c>
      <c r="AE812">
        <v>-0.38790000000000102</v>
      </c>
      <c r="AF812">
        <v>0.31820005062163098</v>
      </c>
      <c r="AG812">
        <v>-1.119148</v>
      </c>
      <c r="AH812">
        <v>18.6503357427274</v>
      </c>
      <c r="AI812">
        <v>93.433523238660499</v>
      </c>
      <c r="AJ812">
        <v>89.022551041552703</v>
      </c>
      <c r="AK812">
        <v>18.686593237788799</v>
      </c>
      <c r="AL812">
        <v>79.042120563079294</v>
      </c>
      <c r="AM812">
        <v>85.7690442431837</v>
      </c>
      <c r="AN812">
        <v>0.999999957853135</v>
      </c>
    </row>
    <row r="813" spans="1:40" x14ac:dyDescent="0.25">
      <c r="A813" t="str">
        <f>"20190303170513154"</f>
        <v>20190303170513154</v>
      </c>
      <c r="B813" t="str">
        <f>"1551603913145781"</f>
        <v>1551603913145781</v>
      </c>
      <c r="C813" t="s">
        <v>40</v>
      </c>
      <c r="D813">
        <v>5.371899</v>
      </c>
      <c r="E813">
        <v>0.48207650000000002</v>
      </c>
      <c r="F813" t="s">
        <v>43</v>
      </c>
      <c r="G813">
        <v>-279.43360000000001</v>
      </c>
      <c r="H813">
        <v>-0.05</v>
      </c>
      <c r="I813">
        <v>367.33249999999998</v>
      </c>
      <c r="J813">
        <v>-298.56209999999999</v>
      </c>
      <c r="K813">
        <v>1.0690470000000001</v>
      </c>
      <c r="L813">
        <v>367.72840000000002</v>
      </c>
      <c r="M813">
        <v>0.99998189999999998</v>
      </c>
      <c r="N813">
        <v>-4.3413840000000002E-3</v>
      </c>
      <c r="O813">
        <v>-4.190315E-3</v>
      </c>
      <c r="P813">
        <v>0.97953219999999996</v>
      </c>
      <c r="Q813">
        <v>0.1864179</v>
      </c>
      <c r="R813">
        <v>-7.5930040000000004E-2</v>
      </c>
      <c r="S813">
        <v>3.0904850000000001</v>
      </c>
      <c r="T813">
        <v>-0.17789949999999999</v>
      </c>
      <c r="U813">
        <v>-6.3171389999999994E-2</v>
      </c>
      <c r="V813">
        <v>7.205889E-2</v>
      </c>
      <c r="W813">
        <v>0.19058169999999999</v>
      </c>
      <c r="X813">
        <v>0.97902299999999998</v>
      </c>
      <c r="Y813">
        <v>1.622374E-2</v>
      </c>
      <c r="Z813">
        <v>-2.7896000000000003E-4</v>
      </c>
      <c r="AA813">
        <v>0.99986830000000004</v>
      </c>
      <c r="AB813">
        <v>34</v>
      </c>
      <c r="AC813">
        <v>19.128499999999899</v>
      </c>
      <c r="AD813">
        <v>-1.1190469999999999</v>
      </c>
      <c r="AE813">
        <v>-0.39590000000004</v>
      </c>
      <c r="AF813">
        <v>0.31466487857458803</v>
      </c>
      <c r="AG813">
        <v>-1.1190469999999999</v>
      </c>
      <c r="AH813">
        <v>19.064771076741199</v>
      </c>
      <c r="AI813">
        <v>93.358785977299505</v>
      </c>
      <c r="AJ813">
        <v>89.054416516783206</v>
      </c>
      <c r="AK813">
        <v>19.100177391390002</v>
      </c>
      <c r="AL813">
        <v>79.013265974011006</v>
      </c>
      <c r="AM813">
        <v>85.790457540201302</v>
      </c>
      <c r="AN813">
        <v>0.99999995126595898</v>
      </c>
    </row>
    <row r="814" spans="1:40" x14ac:dyDescent="0.25">
      <c r="A814" t="str">
        <f>"20190303170513176"</f>
        <v>20190303170513176</v>
      </c>
      <c r="B814" t="str">
        <f>"1551603913165300"</f>
        <v>1551603913165300</v>
      </c>
      <c r="C814" t="s">
        <v>40</v>
      </c>
      <c r="D814">
        <v>5.4229450000000003</v>
      </c>
      <c r="E814">
        <v>0.48187000000000002</v>
      </c>
      <c r="F814" t="s">
        <v>41</v>
      </c>
      <c r="G814">
        <v>-279.19029999999998</v>
      </c>
      <c r="H814" s="1">
        <v>-8.670652E-7</v>
      </c>
      <c r="I814">
        <v>367.34070000000003</v>
      </c>
      <c r="J814">
        <v>-298.22480000000002</v>
      </c>
      <c r="K814">
        <v>1.0690090000000001</v>
      </c>
      <c r="L814">
        <v>367.72649999999999</v>
      </c>
      <c r="M814">
        <v>0.99998240000000005</v>
      </c>
      <c r="N814">
        <v>-3.6044760000000001E-3</v>
      </c>
      <c r="O814">
        <v>-4.6915129999999996E-3</v>
      </c>
      <c r="P814">
        <v>0.97940870000000002</v>
      </c>
      <c r="Q814">
        <v>0.1872306</v>
      </c>
      <c r="R814">
        <v>-7.5520680000000007E-2</v>
      </c>
      <c r="S814">
        <v>3.0903930000000002</v>
      </c>
      <c r="T814">
        <v>-0.17054549999999999</v>
      </c>
      <c r="U814">
        <v>-6.1828609999999999E-2</v>
      </c>
      <c r="V814">
        <v>7.1162879999999998E-2</v>
      </c>
      <c r="W814">
        <v>0.19067200000000001</v>
      </c>
      <c r="X814">
        <v>0.97907100000000002</v>
      </c>
      <c r="Y814">
        <v>1.5293340000000001E-2</v>
      </c>
      <c r="Z814">
        <v>-2.0743030000000001E-4</v>
      </c>
      <c r="AA814">
        <v>0.99988310000000002</v>
      </c>
      <c r="AB814">
        <v>34</v>
      </c>
      <c r="AC814">
        <v>19.034500000000001</v>
      </c>
      <c r="AD814">
        <v>-1.0690098670652</v>
      </c>
      <c r="AE814">
        <v>-0.38579999999996001</v>
      </c>
      <c r="AF814">
        <v>0.29556269874895602</v>
      </c>
      <c r="AG814">
        <v>-1.0690098670652</v>
      </c>
      <c r="AH814">
        <v>18.9762713450374</v>
      </c>
      <c r="AI814">
        <v>93.223904137888297</v>
      </c>
      <c r="AJ814">
        <v>89.1076684287966</v>
      </c>
      <c r="AK814">
        <v>19.0086562798442</v>
      </c>
      <c r="AL814">
        <v>79.007996005600901</v>
      </c>
      <c r="AM814">
        <v>85.842819156694802</v>
      </c>
      <c r="AN814">
        <v>0.99999999505744697</v>
      </c>
    </row>
    <row r="815" spans="1:40" x14ac:dyDescent="0.25">
      <c r="A815" t="str">
        <f>"20190303170513198"</f>
        <v>20190303170513198</v>
      </c>
      <c r="B815" t="str">
        <f>"1551603913185797"</f>
        <v>1551603913185797</v>
      </c>
      <c r="C815" t="s">
        <v>40</v>
      </c>
      <c r="D815">
        <v>5.3217990000000004</v>
      </c>
      <c r="E815">
        <v>0.48170590000000002</v>
      </c>
      <c r="F815" t="s">
        <v>41</v>
      </c>
      <c r="G815">
        <v>-278.51650000000001</v>
      </c>
      <c r="H815" s="1">
        <v>-1.093822E-6</v>
      </c>
      <c r="I815">
        <v>367.3503</v>
      </c>
      <c r="J815">
        <v>-297.89170000000001</v>
      </c>
      <c r="K815">
        <v>1.069086</v>
      </c>
      <c r="L815">
        <v>367.72449999999998</v>
      </c>
      <c r="M815">
        <v>0.99998149999999997</v>
      </c>
      <c r="N815">
        <v>-3.3342670000000001E-3</v>
      </c>
      <c r="O815">
        <v>-5.1204370000000003E-3</v>
      </c>
      <c r="P815">
        <v>0.9793636</v>
      </c>
      <c r="Q815">
        <v>0.1877191</v>
      </c>
      <c r="R815">
        <v>-7.4893730000000006E-2</v>
      </c>
      <c r="S815">
        <v>3.0905459999999998</v>
      </c>
      <c r="T815">
        <v>-0.1676358</v>
      </c>
      <c r="U815">
        <v>-5.8990479999999998E-2</v>
      </c>
      <c r="V815">
        <v>7.0120119999999994E-2</v>
      </c>
      <c r="W815">
        <v>0.1908958</v>
      </c>
      <c r="X815">
        <v>0.97910260000000005</v>
      </c>
      <c r="Y815">
        <v>1.394901E-2</v>
      </c>
      <c r="Z815">
        <v>-1.408239E-4</v>
      </c>
      <c r="AA815">
        <v>0.99990270000000003</v>
      </c>
      <c r="AB815">
        <v>34</v>
      </c>
      <c r="AC815">
        <v>19.3752</v>
      </c>
      <c r="AD815">
        <v>-1.0690870938220001</v>
      </c>
      <c r="AE815">
        <v>-0.374199999999973</v>
      </c>
      <c r="AF815">
        <v>0.27415069383514701</v>
      </c>
      <c r="AG815">
        <v>-1.0690870938220001</v>
      </c>
      <c r="AH815">
        <v>19.318067737364199</v>
      </c>
      <c r="AI815">
        <v>93.167273865263496</v>
      </c>
      <c r="AJ815">
        <v>89.186946460729303</v>
      </c>
      <c r="AK815">
        <v>19.349569683135002</v>
      </c>
      <c r="AL815">
        <v>78.9949329899068</v>
      </c>
      <c r="AM815">
        <v>85.903657777012995</v>
      </c>
      <c r="AN815">
        <v>0.99999996950660597</v>
      </c>
    </row>
    <row r="816" spans="1:40" x14ac:dyDescent="0.25">
      <c r="A816" t="str">
        <f>"20190303170513213"</f>
        <v>20190303170513213</v>
      </c>
      <c r="B816" t="str">
        <f>"1551603913205317"</f>
        <v>1551603913205317</v>
      </c>
      <c r="C816" t="s">
        <v>40</v>
      </c>
      <c r="D816">
        <v>5.3848609999999999</v>
      </c>
      <c r="E816">
        <v>0.48158119999999999</v>
      </c>
      <c r="F816" t="s">
        <v>41</v>
      </c>
      <c r="G816">
        <v>-277.8279</v>
      </c>
      <c r="H816" s="1">
        <v>-1.325021E-6</v>
      </c>
      <c r="I816">
        <v>367.3621</v>
      </c>
      <c r="J816">
        <v>-297.65269999999998</v>
      </c>
      <c r="K816">
        <v>1.0692010000000001</v>
      </c>
      <c r="L816">
        <v>367.72300000000001</v>
      </c>
      <c r="M816">
        <v>0.99997959999999997</v>
      </c>
      <c r="N816">
        <v>-3.4161209999999998E-3</v>
      </c>
      <c r="O816">
        <v>-5.4049320000000003E-3</v>
      </c>
      <c r="P816">
        <v>0.979352</v>
      </c>
      <c r="Q816">
        <v>0.1878204</v>
      </c>
      <c r="R816">
        <v>-7.4787770000000003E-2</v>
      </c>
      <c r="S816">
        <v>3.0905149999999999</v>
      </c>
      <c r="T816">
        <v>-0.16467509999999999</v>
      </c>
      <c r="U816">
        <v>-5.5816650000000002E-2</v>
      </c>
      <c r="V816">
        <v>6.9735249999999999E-2</v>
      </c>
      <c r="W816">
        <v>0.19107830000000001</v>
      </c>
      <c r="X816">
        <v>0.97909449999999998</v>
      </c>
      <c r="Y816">
        <v>1.264097E-2</v>
      </c>
      <c r="Z816" s="1">
        <v>-8.8810659999999896E-5</v>
      </c>
      <c r="AA816">
        <v>0.99992009999999998</v>
      </c>
      <c r="AB816">
        <v>34</v>
      </c>
      <c r="AC816">
        <v>19.8247999999999</v>
      </c>
      <c r="AD816">
        <v>-1.0692023250210001</v>
      </c>
      <c r="AE816">
        <v>-0.36090000000001499</v>
      </c>
      <c r="AF816">
        <v>0.25300672936018198</v>
      </c>
      <c r="AG816">
        <v>-1.0692023250210001</v>
      </c>
      <c r="AH816">
        <v>19.768977669299701</v>
      </c>
      <c r="AI816">
        <v>93.095564765254693</v>
      </c>
      <c r="AJ816">
        <v>89.266758927010102</v>
      </c>
      <c r="AK816">
        <v>19.7994869657322</v>
      </c>
      <c r="AL816">
        <v>78.984280550096202</v>
      </c>
      <c r="AM816">
        <v>85.926031967768793</v>
      </c>
      <c r="AN816">
        <v>0.99999998087685105</v>
      </c>
    </row>
    <row r="817" spans="1:40" x14ac:dyDescent="0.25">
      <c r="A817" t="str">
        <f>"20190303170513227"</f>
        <v>20190303170513227</v>
      </c>
      <c r="B817" t="str">
        <f>"1551603913215077"</f>
        <v>1551603913215077</v>
      </c>
      <c r="C817" t="s">
        <v>40</v>
      </c>
      <c r="D817">
        <v>5.3918049999999997</v>
      </c>
      <c r="E817">
        <v>0.48158119999999999</v>
      </c>
      <c r="F817" t="s">
        <v>41</v>
      </c>
      <c r="G817">
        <v>-277.2543</v>
      </c>
      <c r="H817" s="1">
        <v>-1.5606740000000001E-6</v>
      </c>
      <c r="I817">
        <v>367.3587</v>
      </c>
      <c r="J817">
        <v>-297.4307</v>
      </c>
      <c r="K817">
        <v>1.0693360000000001</v>
      </c>
      <c r="L817">
        <v>367.72149999999999</v>
      </c>
      <c r="M817">
        <v>0.99997749999999996</v>
      </c>
      <c r="N817">
        <v>-3.6092810000000002E-3</v>
      </c>
      <c r="O817">
        <v>-5.6651089999999998E-3</v>
      </c>
      <c r="P817">
        <v>0.97937600000000002</v>
      </c>
      <c r="Q817">
        <v>0.18772639999999999</v>
      </c>
      <c r="R817">
        <v>-7.4708040000000003E-2</v>
      </c>
      <c r="S817">
        <v>3.0900880000000002</v>
      </c>
      <c r="T817">
        <v>-0.161968899999999</v>
      </c>
      <c r="U817">
        <v>-5.5175780000000001E-2</v>
      </c>
      <c r="V817">
        <v>6.9397639999999997E-2</v>
      </c>
      <c r="W817">
        <v>0.19117519999999999</v>
      </c>
      <c r="X817">
        <v>0.97909959999999996</v>
      </c>
      <c r="Y817">
        <v>1.2177230000000001E-2</v>
      </c>
      <c r="Z817" s="1">
        <v>-6.4612529999999994E-5</v>
      </c>
      <c r="AA817">
        <v>0.99992590000000003</v>
      </c>
      <c r="AB817">
        <v>34</v>
      </c>
      <c r="AC817">
        <v>20.176400000000001</v>
      </c>
      <c r="AD817">
        <v>-1.0693375606739901</v>
      </c>
      <c r="AE817">
        <v>-0.36279999999999202</v>
      </c>
      <c r="AF817">
        <v>0.24779611614222999</v>
      </c>
      <c r="AG817">
        <v>-1.0693375606739901</v>
      </c>
      <c r="AH817">
        <v>20.1216293851515</v>
      </c>
      <c r="AI817">
        <v>93.041817038644794</v>
      </c>
      <c r="AJ817">
        <v>89.294443123744301</v>
      </c>
      <c r="AK817">
        <v>20.1515472072801</v>
      </c>
      <c r="AL817">
        <v>78.978624622467805</v>
      </c>
      <c r="AM817">
        <v>85.945710428589393</v>
      </c>
      <c r="AN817">
        <v>1.00000000812638</v>
      </c>
    </row>
    <row r="818" spans="1:40" x14ac:dyDescent="0.25">
      <c r="A818" t="str">
        <f>"20190303170513242"</f>
        <v>20190303170513242</v>
      </c>
      <c r="B818" t="str">
        <f>"1551603913235573"</f>
        <v>1551603913235573</v>
      </c>
      <c r="C818" t="s">
        <v>40</v>
      </c>
      <c r="D818">
        <v>5.4220319999999997</v>
      </c>
      <c r="E818">
        <v>0.47539300000000001</v>
      </c>
      <c r="F818" t="s">
        <v>41</v>
      </c>
      <c r="G818">
        <v>-277.06099999999998</v>
      </c>
      <c r="H818" s="1">
        <v>-1.6429979999999999E-6</v>
      </c>
      <c r="I818">
        <v>367.36219999999997</v>
      </c>
      <c r="J818">
        <v>-297.19150000000002</v>
      </c>
      <c r="K818">
        <v>1.069483</v>
      </c>
      <c r="L818">
        <v>367.71980000000002</v>
      </c>
      <c r="M818">
        <v>0.99997480000000005</v>
      </c>
      <c r="N818">
        <v>-3.8968700000000002E-3</v>
      </c>
      <c r="O818">
        <v>-5.9458879999999999E-3</v>
      </c>
      <c r="P818">
        <v>0.97927419999999998</v>
      </c>
      <c r="Q818">
        <v>0.18822249999999999</v>
      </c>
      <c r="R818">
        <v>-7.4798030000000001E-2</v>
      </c>
      <c r="S818">
        <v>3.0901179999999999</v>
      </c>
      <c r="T818">
        <v>-0.16221959999999999</v>
      </c>
      <c r="U818">
        <v>-5.450439E-2</v>
      </c>
      <c r="V818">
        <v>6.9208030000000004E-2</v>
      </c>
      <c r="W818">
        <v>0.1919544</v>
      </c>
      <c r="X818">
        <v>0.97896050000000001</v>
      </c>
      <c r="Y818">
        <v>1.167997E-2</v>
      </c>
      <c r="Z818" s="1">
        <v>-4.0380740000000001E-5</v>
      </c>
      <c r="AA818">
        <v>0.99993180000000004</v>
      </c>
      <c r="AB818">
        <v>34</v>
      </c>
      <c r="AC818">
        <v>20.130500000000001</v>
      </c>
      <c r="AD818">
        <v>-1.0694846429979901</v>
      </c>
      <c r="AE818">
        <v>-0.35760000000004699</v>
      </c>
      <c r="AF818">
        <v>0.23722970089335399</v>
      </c>
      <c r="AG818">
        <v>-1.0694846429979901</v>
      </c>
      <c r="AH818">
        <v>20.075624054091101</v>
      </c>
      <c r="AI818">
        <v>93.049211377880397</v>
      </c>
      <c r="AJ818">
        <v>89.322978553861603</v>
      </c>
      <c r="AK818">
        <v>20.105490705123302</v>
      </c>
      <c r="AL818">
        <v>78.933136693000606</v>
      </c>
      <c r="AM818">
        <v>85.956178275715502</v>
      </c>
      <c r="AN818">
        <v>0.99999995182804402</v>
      </c>
    </row>
    <row r="819" spans="1:40" x14ac:dyDescent="0.25">
      <c r="A819" t="str">
        <f>"20190303170513255"</f>
        <v>20190303170513255</v>
      </c>
      <c r="B819" t="str">
        <f>"1551603913245333"</f>
        <v>1551603913245333</v>
      </c>
      <c r="C819" t="s">
        <v>40</v>
      </c>
      <c r="D819">
        <v>5.4136419999999896</v>
      </c>
      <c r="E819">
        <v>0.47534320000000002</v>
      </c>
      <c r="F819" t="s">
        <v>41</v>
      </c>
      <c r="G819">
        <v>-223.7431</v>
      </c>
      <c r="H819" s="1">
        <v>-3.04644E-6</v>
      </c>
      <c r="I819">
        <v>367.47460000000001</v>
      </c>
      <c r="J819">
        <v>-297.00650000000002</v>
      </c>
      <c r="K819">
        <v>1.0695870000000001</v>
      </c>
      <c r="L819">
        <v>367.71850000000001</v>
      </c>
      <c r="M819">
        <v>0.99997250000000004</v>
      </c>
      <c r="N819">
        <v>-4.1430410000000001E-3</v>
      </c>
      <c r="O819">
        <v>-6.1656699999999998E-3</v>
      </c>
      <c r="P819">
        <v>0.97931179999999995</v>
      </c>
      <c r="Q819">
        <v>0.18808179999999999</v>
      </c>
      <c r="R819">
        <v>-7.4657429999999997E-2</v>
      </c>
      <c r="S819">
        <v>3.0713200000000001</v>
      </c>
      <c r="T819">
        <v>-4.47216E-2</v>
      </c>
      <c r="U819">
        <v>-1.025391E-2</v>
      </c>
      <c r="V819">
        <v>6.8845840000000005E-2</v>
      </c>
      <c r="W819">
        <v>0.1920578</v>
      </c>
      <c r="X819">
        <v>0.9789658</v>
      </c>
      <c r="Y819">
        <v>-2.8264509999999998E-3</v>
      </c>
      <c r="Z819" s="1">
        <v>9.0661390000000005E-5</v>
      </c>
      <c r="AA819">
        <v>0.999996</v>
      </c>
      <c r="AB819">
        <v>34</v>
      </c>
      <c r="AC819">
        <v>73.263400000000004</v>
      </c>
      <c r="AD819">
        <v>-1.0695900464399899</v>
      </c>
      <c r="AE819">
        <v>-0.24389999999999601</v>
      </c>
      <c r="AF819">
        <v>-0.20778213382719299</v>
      </c>
      <c r="AG819">
        <v>-1.0695900464399899</v>
      </c>
      <c r="AH819">
        <v>73.247899484611395</v>
      </c>
      <c r="AI819">
        <v>90.8365890925689</v>
      </c>
      <c r="AJ819">
        <v>90.162530358928194</v>
      </c>
      <c r="AK819">
        <v>73.256002997640493</v>
      </c>
      <c r="AL819">
        <v>78.927100449069798</v>
      </c>
      <c r="AM819">
        <v>85.977293066295701</v>
      </c>
      <c r="AN819">
        <v>0.99999999289789199</v>
      </c>
    </row>
    <row r="820" spans="1:40" x14ac:dyDescent="0.25">
      <c r="A820" t="str">
        <f>"20190303170513266"</f>
        <v>20190303170513266</v>
      </c>
      <c r="B820" t="str">
        <f>"1551603913255093"</f>
        <v>1551603913255093</v>
      </c>
      <c r="C820" t="s">
        <v>40</v>
      </c>
      <c r="D820">
        <v>5.300338</v>
      </c>
      <c r="E820">
        <v>0.4754466</v>
      </c>
      <c r="F820" t="s">
        <v>41</v>
      </c>
      <c r="G820">
        <v>-230.69139999999999</v>
      </c>
      <c r="H820" s="1">
        <v>-4.3475030000000002E-6</v>
      </c>
      <c r="I820">
        <v>367.52019999999999</v>
      </c>
      <c r="J820">
        <v>-296.82459999999998</v>
      </c>
      <c r="K820">
        <v>1.069682</v>
      </c>
      <c r="L820">
        <v>367.71710000000002</v>
      </c>
      <c r="M820">
        <v>0.99997009999999997</v>
      </c>
      <c r="N820">
        <v>-4.3862450000000004E-3</v>
      </c>
      <c r="O820">
        <v>-6.3839109999999999E-3</v>
      </c>
      <c r="P820">
        <v>0.97927839999999999</v>
      </c>
      <c r="Q820">
        <v>0.18810499999999999</v>
      </c>
      <c r="R820">
        <v>-7.5038369999999993E-2</v>
      </c>
      <c r="S820">
        <v>3.072235</v>
      </c>
      <c r="T820">
        <v>-4.955184E-2</v>
      </c>
      <c r="U820">
        <v>-9.1857910000000004E-3</v>
      </c>
      <c r="V820">
        <v>6.9006910000000005E-2</v>
      </c>
      <c r="W820">
        <v>0.19232079999999999</v>
      </c>
      <c r="X820">
        <v>0.97890279999999996</v>
      </c>
      <c r="Y820">
        <v>-3.3930789999999998E-3</v>
      </c>
      <c r="Z820">
        <v>1.097612E-4</v>
      </c>
      <c r="AA820">
        <v>0.99999420000000006</v>
      </c>
      <c r="AB820">
        <v>34</v>
      </c>
      <c r="AC820">
        <v>66.133199999999903</v>
      </c>
      <c r="AD820">
        <v>-1.0696863475030001</v>
      </c>
      <c r="AE820">
        <v>-0.196900000000027</v>
      </c>
      <c r="AF820">
        <v>-0.225237569104664</v>
      </c>
      <c r="AG820">
        <v>-1.0696863475030001</v>
      </c>
      <c r="AH820">
        <v>66.115812177328095</v>
      </c>
      <c r="AI820">
        <v>90.9269009752812</v>
      </c>
      <c r="AJ820">
        <v>90.195189497767601</v>
      </c>
      <c r="AK820">
        <v>66.124848436214094</v>
      </c>
      <c r="AL820">
        <v>78.911745126375493</v>
      </c>
      <c r="AM820">
        <v>85.967654007796895</v>
      </c>
      <c r="AN820">
        <v>0.99999996779411304</v>
      </c>
    </row>
    <row r="821" spans="1:40" x14ac:dyDescent="0.25">
      <c r="A821" t="str">
        <f>"20190303170513279"</f>
        <v>20190303170513279</v>
      </c>
      <c r="B821" t="str">
        <f>"1551603913265829"</f>
        <v>1551603913265829</v>
      </c>
      <c r="C821" t="s">
        <v>40</v>
      </c>
      <c r="D821">
        <v>5.3375199999999996</v>
      </c>
      <c r="E821">
        <v>0.47551189999999999</v>
      </c>
      <c r="F821" t="s">
        <v>41</v>
      </c>
      <c r="G821">
        <v>-233.4768</v>
      </c>
      <c r="H821" s="1">
        <v>-3.157398E-6</v>
      </c>
      <c r="I821">
        <v>367.49310000000003</v>
      </c>
      <c r="J821">
        <v>-296.6293</v>
      </c>
      <c r="K821">
        <v>1.0697749999999999</v>
      </c>
      <c r="L821">
        <v>367.71570000000003</v>
      </c>
      <c r="M821">
        <v>0.9999673</v>
      </c>
      <c r="N821">
        <v>-4.6497700000000001E-3</v>
      </c>
      <c r="O821">
        <v>-6.622714E-3</v>
      </c>
      <c r="P821">
        <v>0.97941290000000003</v>
      </c>
      <c r="Q821">
        <v>0.18738189999999999</v>
      </c>
      <c r="R821">
        <v>-7.5090130000000005E-2</v>
      </c>
      <c r="S821">
        <v>3.072632</v>
      </c>
      <c r="T821">
        <v>-5.1884060000000003E-2</v>
      </c>
      <c r="U821">
        <v>-1.0864260000000001E-2</v>
      </c>
      <c r="V821">
        <v>6.8815600000000005E-2</v>
      </c>
      <c r="W821">
        <v>0.1918599</v>
      </c>
      <c r="X821">
        <v>0.97900679999999995</v>
      </c>
      <c r="Y821">
        <v>-3.0859720000000002E-3</v>
      </c>
      <c r="Z821">
        <v>1.1425610000000001E-4</v>
      </c>
      <c r="AA821">
        <v>0.99999519999999997</v>
      </c>
      <c r="AB821">
        <v>35</v>
      </c>
      <c r="AC821">
        <v>63.152500000000003</v>
      </c>
      <c r="AD821">
        <v>-1.0697781573980001</v>
      </c>
      <c r="AE821">
        <v>-0.22259999999999899</v>
      </c>
      <c r="AF821">
        <v>-0.19559420685554199</v>
      </c>
      <c r="AG821">
        <v>-1.0697781573980001</v>
      </c>
      <c r="AH821">
        <v>63.134473024599998</v>
      </c>
      <c r="AI821">
        <v>90.970747221727606</v>
      </c>
      <c r="AJ821">
        <v>90.177505032662296</v>
      </c>
      <c r="AK821">
        <v>63.143838705718103</v>
      </c>
      <c r="AL821">
        <v>78.938654913847998</v>
      </c>
      <c r="AM821">
        <v>85.979222053543793</v>
      </c>
      <c r="AN821">
        <v>1.0000000612388</v>
      </c>
    </row>
    <row r="822" spans="1:40" x14ac:dyDescent="0.25">
      <c r="A822" t="str">
        <f>"20190303170513294"</f>
        <v>20190303170513294</v>
      </c>
      <c r="B822" t="str">
        <f>"1551603913285349"</f>
        <v>1551603913285349</v>
      </c>
      <c r="C822" t="s">
        <v>40</v>
      </c>
      <c r="D822">
        <v>5.4724180000000002</v>
      </c>
      <c r="E822">
        <v>0.47565360000000001</v>
      </c>
      <c r="F822" t="s">
        <v>41</v>
      </c>
      <c r="G822">
        <v>-236.8921</v>
      </c>
      <c r="H822" s="1">
        <v>-1.691275E-6</v>
      </c>
      <c r="I822">
        <v>367.49849999999998</v>
      </c>
      <c r="J822">
        <v>-296.40570000000002</v>
      </c>
      <c r="K822">
        <v>1.069866</v>
      </c>
      <c r="L822">
        <v>367.71390000000002</v>
      </c>
      <c r="M822">
        <v>0.99996399999999996</v>
      </c>
      <c r="N822">
        <v>-4.9499929999999998E-3</v>
      </c>
      <c r="O822">
        <v>-6.8989510000000004E-3</v>
      </c>
      <c r="P822">
        <v>0.97951279999999996</v>
      </c>
      <c r="Q822">
        <v>0.1867733</v>
      </c>
      <c r="R822">
        <v>-7.5302830000000001E-2</v>
      </c>
      <c r="S822">
        <v>3.0727229999999999</v>
      </c>
      <c r="T822">
        <v>-5.5026409999999998E-2</v>
      </c>
      <c r="U822">
        <v>-1.1169429999999999E-2</v>
      </c>
      <c r="V822">
        <v>6.8747879999999997E-2</v>
      </c>
      <c r="W822">
        <v>0.19154869999999999</v>
      </c>
      <c r="X822">
        <v>0.97907250000000001</v>
      </c>
      <c r="Y822">
        <v>-3.2628259999999999E-3</v>
      </c>
      <c r="Z822">
        <v>1.2667630000000001E-4</v>
      </c>
      <c r="AA822">
        <v>0.99999470000000001</v>
      </c>
      <c r="AB822">
        <v>35</v>
      </c>
      <c r="AC822">
        <v>59.513599999999997</v>
      </c>
      <c r="AD822">
        <v>-1.069867691275</v>
      </c>
      <c r="AE822">
        <v>-0.215400000000045</v>
      </c>
      <c r="AF822">
        <v>-0.19512848793227799</v>
      </c>
      <c r="AG822">
        <v>-1.069867691275</v>
      </c>
      <c r="AH822">
        <v>59.494443290579802</v>
      </c>
      <c r="AI822">
        <v>91.030213312869606</v>
      </c>
      <c r="AJ822">
        <v>90.187916687938198</v>
      </c>
      <c r="AK822">
        <v>59.504381976957397</v>
      </c>
      <c r="AL822">
        <v>78.956822389184296</v>
      </c>
      <c r="AM822">
        <v>85.983434523569201</v>
      </c>
      <c r="AN822">
        <v>1.00000006786621</v>
      </c>
    </row>
    <row r="823" spans="1:40" x14ac:dyDescent="0.25">
      <c r="A823" t="str">
        <f>"20190303170513308"</f>
        <v>20190303170513308</v>
      </c>
      <c r="B823" t="str">
        <f>"1551603913295109"</f>
        <v>1551603913295109</v>
      </c>
      <c r="C823" t="s">
        <v>40</v>
      </c>
      <c r="D823">
        <v>5.3198660000000002</v>
      </c>
      <c r="E823">
        <v>0.47581780000000001</v>
      </c>
      <c r="F823" t="s">
        <v>41</v>
      </c>
      <c r="G823">
        <v>-241.8657</v>
      </c>
      <c r="H823" s="1">
        <v>-4.2050929999999998E-6</v>
      </c>
      <c r="I823">
        <v>367.47719999999998</v>
      </c>
      <c r="J823">
        <v>-296.17520000000002</v>
      </c>
      <c r="K823">
        <v>1.0699419999999999</v>
      </c>
      <c r="L823">
        <v>367.71199999999999</v>
      </c>
      <c r="M823">
        <v>0.99996039999999997</v>
      </c>
      <c r="N823">
        <v>-5.2558589999999999E-3</v>
      </c>
      <c r="O823">
        <v>-7.1838340000000001E-3</v>
      </c>
      <c r="P823">
        <v>0.97976289999999999</v>
      </c>
      <c r="Q823">
        <v>0.1855311</v>
      </c>
      <c r="R823">
        <v>-7.5120939999999997E-2</v>
      </c>
      <c r="S823">
        <v>3.0731809999999999</v>
      </c>
      <c r="T823">
        <v>-6.0284259999999999E-2</v>
      </c>
      <c r="U823">
        <v>-1.333618E-2</v>
      </c>
      <c r="V823">
        <v>6.8276039999999996E-2</v>
      </c>
      <c r="W823">
        <v>0.19061069999999999</v>
      </c>
      <c r="X823">
        <v>0.97928850000000001</v>
      </c>
      <c r="Y823">
        <v>-2.8430489999999998E-3</v>
      </c>
      <c r="Z823">
        <v>1.3850360000000001E-4</v>
      </c>
      <c r="AA823">
        <v>0.99999590000000005</v>
      </c>
      <c r="AB823">
        <v>35</v>
      </c>
      <c r="AC823">
        <v>54.3095</v>
      </c>
      <c r="AD823">
        <v>-1.069946205093</v>
      </c>
      <c r="AE823">
        <v>-0.234800000000007</v>
      </c>
      <c r="AF823">
        <v>-0.15530159861169399</v>
      </c>
      <c r="AG823">
        <v>-1.069946205093</v>
      </c>
      <c r="AH823">
        <v>54.288714897172099</v>
      </c>
      <c r="AI823">
        <v>91.129059987398406</v>
      </c>
      <c r="AJ823">
        <v>90.163903343389194</v>
      </c>
      <c r="AK823">
        <v>54.299479451047802</v>
      </c>
      <c r="AL823">
        <v>79.011574037497994</v>
      </c>
      <c r="AM823">
        <v>86.011789296508496</v>
      </c>
      <c r="AN823">
        <v>1.0000000114124099</v>
      </c>
    </row>
    <row r="824" spans="1:40" x14ac:dyDescent="0.25">
      <c r="A824" t="str">
        <f>"20190303170513333"</f>
        <v>20190303170513333</v>
      </c>
      <c r="B824" t="str">
        <f>"1551603913325364"</f>
        <v>1551603913325364</v>
      </c>
      <c r="C824" t="s">
        <v>40</v>
      </c>
      <c r="D824">
        <v>5.1087109999999996</v>
      </c>
      <c r="E824">
        <v>0.47604940000000001</v>
      </c>
      <c r="F824" t="s">
        <v>41</v>
      </c>
      <c r="G824">
        <v>-245.64439999999999</v>
      </c>
      <c r="H824" s="1">
        <v>-2.420171E-6</v>
      </c>
      <c r="I824">
        <v>367.46969999999999</v>
      </c>
      <c r="J824">
        <v>-295.79689999999999</v>
      </c>
      <c r="K824">
        <v>1.0700320000000001</v>
      </c>
      <c r="L824">
        <v>367.7088</v>
      </c>
      <c r="M824">
        <v>0.99995429999999996</v>
      </c>
      <c r="N824">
        <v>-5.7392800000000002E-3</v>
      </c>
      <c r="O824">
        <v>-7.6458759999999898E-3</v>
      </c>
      <c r="P824">
        <v>0.97995480000000001</v>
      </c>
      <c r="Q824">
        <v>0.18446789999999999</v>
      </c>
      <c r="R824">
        <v>-7.523444E-2</v>
      </c>
      <c r="S824">
        <v>3.0731199999999999</v>
      </c>
      <c r="T824">
        <v>-6.5070630000000004E-2</v>
      </c>
      <c r="U824">
        <v>-1.473999E-2</v>
      </c>
      <c r="V824">
        <v>6.792637E-2</v>
      </c>
      <c r="W824">
        <v>0.19002559999999999</v>
      </c>
      <c r="X824">
        <v>0.97942649999999998</v>
      </c>
      <c r="Y824">
        <v>-2.8479619999999999E-3</v>
      </c>
      <c r="Z824">
        <v>1.5631679999999999E-4</v>
      </c>
      <c r="AA824">
        <v>0.99999590000000005</v>
      </c>
      <c r="AB824">
        <v>35</v>
      </c>
      <c r="AC824">
        <v>50.152500000000003</v>
      </c>
      <c r="AD824">
        <v>-1.0700344201709999</v>
      </c>
      <c r="AE824">
        <v>-0.239100000000007</v>
      </c>
      <c r="AF824">
        <v>-0.144307412234076</v>
      </c>
      <c r="AG824">
        <v>-1.0700344201709999</v>
      </c>
      <c r="AH824">
        <v>50.130043045375203</v>
      </c>
      <c r="AI824">
        <v>91.222797549721804</v>
      </c>
      <c r="AJ824">
        <v>90.164934684524596</v>
      </c>
      <c r="AK824">
        <v>50.141669437911098</v>
      </c>
      <c r="AL824">
        <v>79.045721751728905</v>
      </c>
      <c r="AM824">
        <v>86.032706453543994</v>
      </c>
      <c r="AN824">
        <v>0.99999999464949296</v>
      </c>
    </row>
    <row r="825" spans="1:40" x14ac:dyDescent="0.25">
      <c r="A825" t="str">
        <f>"20190303170513376"</f>
        <v>20190303170513376</v>
      </c>
      <c r="B825" t="str">
        <f>"1551603913365381"</f>
        <v>1551603913365381</v>
      </c>
      <c r="C825" t="s">
        <v>40</v>
      </c>
      <c r="D825">
        <v>5.3468489999999997</v>
      </c>
      <c r="E825">
        <v>0.47624810000000001</v>
      </c>
      <c r="F825" t="s">
        <v>41</v>
      </c>
      <c r="G825">
        <v>-248.68190000000001</v>
      </c>
      <c r="H825" s="1">
        <v>-1.065792E-6</v>
      </c>
      <c r="I825">
        <v>367.45389999999998</v>
      </c>
      <c r="J825">
        <v>-295.12540000000001</v>
      </c>
      <c r="K825">
        <v>1.070122</v>
      </c>
      <c r="L825">
        <v>367.70280000000002</v>
      </c>
      <c r="M825">
        <v>0.99994320000000003</v>
      </c>
      <c r="N825">
        <v>-6.5084280000000001E-3</v>
      </c>
      <c r="O825">
        <v>-8.4401800000000003E-3</v>
      </c>
      <c r="P825">
        <v>0.98013380000000005</v>
      </c>
      <c r="Q825">
        <v>0.1832395</v>
      </c>
      <c r="R825">
        <v>-7.5902520000000001E-2</v>
      </c>
      <c r="S825">
        <v>3.0732119999999998</v>
      </c>
      <c r="T825">
        <v>-6.9795969999999999E-2</v>
      </c>
      <c r="U825">
        <v>-1.663208E-2</v>
      </c>
      <c r="V825">
        <v>6.7809720000000004E-2</v>
      </c>
      <c r="W825">
        <v>0.18955359999999999</v>
      </c>
      <c r="X825">
        <v>0.97952600000000001</v>
      </c>
      <c r="Y825">
        <v>-3.0264409999999999E-3</v>
      </c>
      <c r="Z825">
        <v>1.8094119999999999E-4</v>
      </c>
      <c r="AA825">
        <v>0.99999539999999998</v>
      </c>
      <c r="AB825">
        <v>35</v>
      </c>
      <c r="AC825">
        <v>46.4435</v>
      </c>
      <c r="AD825">
        <v>-1.070123065792</v>
      </c>
      <c r="AE825">
        <v>-0.248900000000048</v>
      </c>
      <c r="AF825">
        <v>-0.143032733689133</v>
      </c>
      <c r="AG825">
        <v>-1.070123065792</v>
      </c>
      <c r="AH825">
        <v>46.419302891412499</v>
      </c>
      <c r="AI825">
        <v>91.320622716631703</v>
      </c>
      <c r="AJ825">
        <v>90.176546081604798</v>
      </c>
      <c r="AK825">
        <v>46.431856549825198</v>
      </c>
      <c r="AL825">
        <v>79.073265544271607</v>
      </c>
      <c r="AM825">
        <v>86.039898816007906</v>
      </c>
      <c r="AN825">
        <v>0.99999995503771799</v>
      </c>
    </row>
    <row r="826" spans="1:40" x14ac:dyDescent="0.25">
      <c r="A826" t="str">
        <f>"20190303170513388"</f>
        <v>20190303170513388</v>
      </c>
      <c r="B826" t="str">
        <f>"1551603913375141"</f>
        <v>1551603913375141</v>
      </c>
      <c r="C826" t="s">
        <v>40</v>
      </c>
      <c r="D826">
        <v>5.4765879999999996</v>
      </c>
      <c r="E826">
        <v>0.4762962</v>
      </c>
      <c r="F826" t="s">
        <v>41</v>
      </c>
      <c r="G826">
        <v>-250.78980000000001</v>
      </c>
      <c r="H826" s="1">
        <v>-4.323255E-6</v>
      </c>
      <c r="I826">
        <v>367.41890000000001</v>
      </c>
      <c r="J826">
        <v>-294.93770000000001</v>
      </c>
      <c r="K826">
        <v>1.0701350000000001</v>
      </c>
      <c r="L826">
        <v>367.70100000000002</v>
      </c>
      <c r="M826">
        <v>0.99994019999999995</v>
      </c>
      <c r="N826">
        <v>-6.6997069999999896E-3</v>
      </c>
      <c r="O826">
        <v>-8.6585780000000001E-3</v>
      </c>
      <c r="P826">
        <v>0.98008280000000003</v>
      </c>
      <c r="Q826">
        <v>0.1831083</v>
      </c>
      <c r="R826">
        <v>-7.6871320000000007E-2</v>
      </c>
      <c r="S826">
        <v>3.0731510000000002</v>
      </c>
      <c r="T826">
        <v>-7.4176430000000002E-2</v>
      </c>
      <c r="U826">
        <v>-1.9683840000000001E-2</v>
      </c>
      <c r="V826">
        <v>6.8565290000000001E-2</v>
      </c>
      <c r="W826">
        <v>0.18960840000000001</v>
      </c>
      <c r="X826">
        <v>0.97946290000000003</v>
      </c>
      <c r="Y826">
        <v>-2.251711E-3</v>
      </c>
      <c r="Z826">
        <v>1.8566559999999999E-4</v>
      </c>
      <c r="AA826">
        <v>0.99999740000000004</v>
      </c>
      <c r="AB826">
        <v>35</v>
      </c>
      <c r="AC826">
        <v>44.1478999999999</v>
      </c>
      <c r="AD826">
        <v>-1.0701393232550001</v>
      </c>
      <c r="AE826">
        <v>-0.282099999999957</v>
      </c>
      <c r="AF826">
        <v>-0.10011831627272499</v>
      </c>
      <c r="AG826">
        <v>-1.0701393232550001</v>
      </c>
      <c r="AH826">
        <v>44.122763419740402</v>
      </c>
      <c r="AI826">
        <v>91.389357462933802</v>
      </c>
      <c r="AJ826">
        <v>90.130008791036502</v>
      </c>
      <c r="AK826">
        <v>44.135852474409198</v>
      </c>
      <c r="AL826">
        <v>79.070068887320602</v>
      </c>
      <c r="AM826">
        <v>85.995659001561606</v>
      </c>
      <c r="AN826">
        <v>1.0000000584098701</v>
      </c>
    </row>
    <row r="827" spans="1:40" x14ac:dyDescent="0.25">
      <c r="A827" t="str">
        <f>"20190303170513400"</f>
        <v>20190303170513400</v>
      </c>
      <c r="B827" t="str">
        <f>"1551603913395637"</f>
        <v>1551603913395637</v>
      </c>
      <c r="C827" t="s">
        <v>40</v>
      </c>
      <c r="D827">
        <v>5.4038589999999997</v>
      </c>
      <c r="E827">
        <v>0.47628169999999997</v>
      </c>
      <c r="F827" t="s">
        <v>41</v>
      </c>
      <c r="G827">
        <v>-250.8793</v>
      </c>
      <c r="H827" s="1">
        <v>-4.2933960000000002E-6</v>
      </c>
      <c r="I827">
        <v>367.3707</v>
      </c>
      <c r="J827">
        <v>-294.73669999999998</v>
      </c>
      <c r="K827">
        <v>1.070147</v>
      </c>
      <c r="L827">
        <v>367.69909999999999</v>
      </c>
      <c r="M827">
        <v>0.99993679999999996</v>
      </c>
      <c r="N827">
        <v>-6.8932730000000001E-3</v>
      </c>
      <c r="O827">
        <v>-8.8909560000000002E-3</v>
      </c>
      <c r="P827">
        <v>0.98008609999999896</v>
      </c>
      <c r="Q827">
        <v>0.18273349999999999</v>
      </c>
      <c r="R827">
        <v>-7.7716419999999994E-2</v>
      </c>
      <c r="S827">
        <v>3.0730900000000001</v>
      </c>
      <c r="T827">
        <v>-7.4642539999999993E-2</v>
      </c>
      <c r="U827">
        <v>-2.3040769999999999E-2</v>
      </c>
      <c r="V827">
        <v>6.9182610000000005E-2</v>
      </c>
      <c r="W827">
        <v>0.18942300000000001</v>
      </c>
      <c r="X827">
        <v>0.97945530000000003</v>
      </c>
      <c r="Y827">
        <v>-1.3919609999999999E-3</v>
      </c>
      <c r="Z827">
        <v>1.7633270000000001E-4</v>
      </c>
      <c r="AA827">
        <v>0.99999899999999997</v>
      </c>
      <c r="AB827">
        <v>35</v>
      </c>
      <c r="AC827">
        <v>43.857399999999899</v>
      </c>
      <c r="AD827">
        <v>-1.070151293396</v>
      </c>
      <c r="AE827">
        <v>-0.32839999999998698</v>
      </c>
      <c r="AF827">
        <v>-6.1519799346890801E-2</v>
      </c>
      <c r="AG827">
        <v>-1.070151293396</v>
      </c>
      <c r="AH827">
        <v>43.832490151648599</v>
      </c>
      <c r="AI827">
        <v>91.398572465526001</v>
      </c>
      <c r="AJ827">
        <v>90.080415749422201</v>
      </c>
      <c r="AK827">
        <v>43.845595005323403</v>
      </c>
      <c r="AL827">
        <v>79.080886889473405</v>
      </c>
      <c r="AM827">
        <v>85.959693980511503</v>
      </c>
      <c r="AN827">
        <v>0.99999999557675101</v>
      </c>
    </row>
    <row r="828" spans="1:40" x14ac:dyDescent="0.25">
      <c r="A828" t="str">
        <f>"20190303170513412"</f>
        <v>20190303170513412</v>
      </c>
      <c r="B828" t="str">
        <f>"1551603913405398"</f>
        <v>1551603913405398</v>
      </c>
      <c r="C828" t="s">
        <v>40</v>
      </c>
      <c r="D828">
        <v>5.6061639999999997</v>
      </c>
      <c r="E828">
        <v>0.49034889999999998</v>
      </c>
      <c r="F828" t="s">
        <v>41</v>
      </c>
      <c r="G828">
        <v>-251.20179999999999</v>
      </c>
      <c r="H828" s="1">
        <v>-4.160616E-6</v>
      </c>
      <c r="I828">
        <v>367.33940000000001</v>
      </c>
      <c r="J828">
        <v>-294.55889999999999</v>
      </c>
      <c r="K828">
        <v>1.070152</v>
      </c>
      <c r="L828">
        <v>367.69729999999998</v>
      </c>
      <c r="M828">
        <v>0.99993399999999999</v>
      </c>
      <c r="N828">
        <v>-7.0512029999999998E-3</v>
      </c>
      <c r="O828">
        <v>-9.0960250000000006E-3</v>
      </c>
      <c r="P828">
        <v>0.98002279999999997</v>
      </c>
      <c r="Q828">
        <v>0.18272720000000001</v>
      </c>
      <c r="R828">
        <v>-7.8525979999999995E-2</v>
      </c>
      <c r="S828">
        <v>3.0729980000000001</v>
      </c>
      <c r="T828">
        <v>-7.5538640000000004E-2</v>
      </c>
      <c r="U828">
        <v>-2.5390630000000001E-2</v>
      </c>
      <c r="V828">
        <v>6.9792049999999994E-2</v>
      </c>
      <c r="W828">
        <v>0.1895705</v>
      </c>
      <c r="X828">
        <v>0.97938349999999996</v>
      </c>
      <c r="Y828">
        <v>-8.3234919999999998E-4</v>
      </c>
      <c r="Z828">
        <v>1.7258279999999901E-4</v>
      </c>
      <c r="AA828">
        <v>0.99999959999999999</v>
      </c>
      <c r="AB828">
        <v>35</v>
      </c>
      <c r="AC828">
        <v>43.357100000000003</v>
      </c>
      <c r="AD828">
        <v>-1.0701561606159999</v>
      </c>
      <c r="AE828">
        <v>-0.35789999999997202</v>
      </c>
      <c r="AF828">
        <v>-3.6479563390207997E-2</v>
      </c>
      <c r="AG828">
        <v>-1.0701561606159999</v>
      </c>
      <c r="AH828">
        <v>43.332164784387203</v>
      </c>
      <c r="AI828">
        <v>91.414721575033994</v>
      </c>
      <c r="AJ828">
        <v>90.048234943658201</v>
      </c>
      <c r="AK828">
        <v>43.345392717887997</v>
      </c>
      <c r="AL828">
        <v>79.072279556866604</v>
      </c>
      <c r="AM828">
        <v>85.923923951254807</v>
      </c>
      <c r="AN828">
        <v>0.99999997239284999</v>
      </c>
    </row>
    <row r="829" spans="1:40" x14ac:dyDescent="0.25">
      <c r="A829" t="str">
        <f>"20190303170513425"</f>
        <v>20190303170513425</v>
      </c>
      <c r="B829" t="str">
        <f>"1551603913415157"</f>
        <v>1551603913415157</v>
      </c>
      <c r="C829" t="s">
        <v>40</v>
      </c>
      <c r="D829">
        <v>5.3566209999999996</v>
      </c>
      <c r="E829">
        <v>0.50009199999999998</v>
      </c>
      <c r="F829" t="s">
        <v>49</v>
      </c>
      <c r="G829">
        <v>-190.24549999999999</v>
      </c>
      <c r="H829" s="1">
        <v>-6.4238299999999998E-6</v>
      </c>
      <c r="I829">
        <v>362.87909999999999</v>
      </c>
      <c r="J829">
        <v>-294.36</v>
      </c>
      <c r="K829">
        <v>1.0701579999999999</v>
      </c>
      <c r="L829">
        <v>367.69529999999997</v>
      </c>
      <c r="M829">
        <v>0.9999306</v>
      </c>
      <c r="N829">
        <v>-7.221707E-3</v>
      </c>
      <c r="O829">
        <v>-9.3241599999999997E-3</v>
      </c>
      <c r="P829">
        <v>0.97996850000000002</v>
      </c>
      <c r="Q829">
        <v>0.18259359999999999</v>
      </c>
      <c r="R829">
        <v>-7.950807E-2</v>
      </c>
      <c r="S829">
        <v>3.0556950000000001</v>
      </c>
      <c r="T829">
        <v>-3.1348590000000003E-2</v>
      </c>
      <c r="U829">
        <v>-0.14114380000000001</v>
      </c>
      <c r="V829">
        <v>7.0550840000000004E-2</v>
      </c>
      <c r="W829">
        <v>0.18960279999999999</v>
      </c>
      <c r="X829">
        <v>0.9793229</v>
      </c>
      <c r="Y829">
        <v>3.6821479999999997E-2</v>
      </c>
      <c r="Z829">
        <v>-2.935147E-4</v>
      </c>
      <c r="AA829">
        <v>0.99932180000000004</v>
      </c>
      <c r="AB829">
        <v>35</v>
      </c>
      <c r="AC829">
        <v>104.11450000000001</v>
      </c>
      <c r="AD829">
        <v>-1.0701644238300001</v>
      </c>
      <c r="AE829">
        <v>-4.8161999999999798</v>
      </c>
      <c r="AF829">
        <v>3.84477985505402</v>
      </c>
      <c r="AG829">
        <v>-1.0701644238300001</v>
      </c>
      <c r="AH829">
        <v>104.14390245682701</v>
      </c>
      <c r="AI829">
        <v>90.588339861043806</v>
      </c>
      <c r="AJ829">
        <v>87.885717212143604</v>
      </c>
      <c r="AK829">
        <v>104.220343517785</v>
      </c>
      <c r="AL829">
        <v>79.070394943606601</v>
      </c>
      <c r="AM829">
        <v>85.879505945376906</v>
      </c>
      <c r="AN829">
        <v>0.99999999262847705</v>
      </c>
    </row>
    <row r="830" spans="1:40" x14ac:dyDescent="0.25">
      <c r="A830" t="str">
        <f>"20190303170513438"</f>
        <v>20190303170513438</v>
      </c>
      <c r="B830" t="str">
        <f>"1551603913424918"</f>
        <v>1551603913424918</v>
      </c>
      <c r="C830" t="s">
        <v>40</v>
      </c>
      <c r="D830">
        <v>5.314603</v>
      </c>
      <c r="E830">
        <v>0.50919119999999995</v>
      </c>
      <c r="F830" t="s">
        <v>41</v>
      </c>
      <c r="G830">
        <v>-220.80869999999999</v>
      </c>
      <c r="H830" s="1">
        <v>-5.2145209999999997E-6</v>
      </c>
      <c r="I830">
        <v>362.34859999999998</v>
      </c>
      <c r="J830">
        <v>-294.1558</v>
      </c>
      <c r="K830">
        <v>1.0701639999999999</v>
      </c>
      <c r="L830">
        <v>367.69319999999999</v>
      </c>
      <c r="M830">
        <v>0.99992720000000002</v>
      </c>
      <c r="N830">
        <v>-7.381543E-3</v>
      </c>
      <c r="O830">
        <v>-9.5558229999999997E-3</v>
      </c>
      <c r="P830">
        <v>0.97986600000000001</v>
      </c>
      <c r="Q830">
        <v>0.18253920000000001</v>
      </c>
      <c r="R830">
        <v>-8.0884250000000005E-2</v>
      </c>
      <c r="S830">
        <v>3.0516049999999999</v>
      </c>
      <c r="T830">
        <v>-4.4400450000000001E-2</v>
      </c>
      <c r="U830">
        <v>-0.22183230000000001</v>
      </c>
      <c r="V830">
        <v>7.1700299999999995E-2</v>
      </c>
      <c r="W830">
        <v>0.18970300000000001</v>
      </c>
      <c r="X830">
        <v>0.97921999999999998</v>
      </c>
      <c r="Y830">
        <v>6.2958319999999998E-2</v>
      </c>
      <c r="Z830">
        <v>-6.2170059999999997E-4</v>
      </c>
      <c r="AA830">
        <v>0.99801589999999996</v>
      </c>
      <c r="AB830">
        <v>35</v>
      </c>
      <c r="AC830">
        <v>73.347099999999998</v>
      </c>
      <c r="AD830">
        <v>-1.070169214521</v>
      </c>
      <c r="AE830">
        <v>-5.3446000000000096</v>
      </c>
      <c r="AF830">
        <v>4.6424619579947599</v>
      </c>
      <c r="AG830">
        <v>-1.070169214521</v>
      </c>
      <c r="AH830">
        <v>73.379285752805998</v>
      </c>
      <c r="AI830">
        <v>90.833879902026496</v>
      </c>
      <c r="AJ830">
        <v>86.379912542985295</v>
      </c>
      <c r="AK830">
        <v>73.533783343243599</v>
      </c>
      <c r="AL830">
        <v>79.064547701081395</v>
      </c>
      <c r="AM830">
        <v>85.812170618285606</v>
      </c>
      <c r="AN830">
        <v>0.999999984814544</v>
      </c>
    </row>
    <row r="831" spans="1:40" x14ac:dyDescent="0.25">
      <c r="A831" t="str">
        <f>"20190303170513465"</f>
        <v>20190303170513465</v>
      </c>
      <c r="B831" t="str">
        <f>"1551603913455867"</f>
        <v>1551603913455867</v>
      </c>
      <c r="C831" t="s">
        <v>40</v>
      </c>
      <c r="D831">
        <v>5.2505249999999997</v>
      </c>
      <c r="E831">
        <v>0.5226343</v>
      </c>
      <c r="F831" t="s">
        <v>41</v>
      </c>
      <c r="G831">
        <v>-230.63229999999999</v>
      </c>
      <c r="H831" s="1">
        <v>-5.4440300000000003E-6</v>
      </c>
      <c r="I831">
        <v>361.48149999999998</v>
      </c>
      <c r="J831">
        <v>-293.73469999999998</v>
      </c>
      <c r="K831">
        <v>1.0701689999999999</v>
      </c>
      <c r="L831">
        <v>367.68869999999998</v>
      </c>
      <c r="M831">
        <v>0.99992040000000004</v>
      </c>
      <c r="N831">
        <v>-7.6809280000000001E-3</v>
      </c>
      <c r="O831">
        <v>-1.002454E-2</v>
      </c>
      <c r="P831">
        <v>0.9797167</v>
      </c>
      <c r="Q831">
        <v>0.18269820000000001</v>
      </c>
      <c r="R831">
        <v>-8.2322370000000006E-2</v>
      </c>
      <c r="S831">
        <v>3.0466000000000002</v>
      </c>
      <c r="T831">
        <v>-5.132544E-2</v>
      </c>
      <c r="U831">
        <v>-0.29791260000000003</v>
      </c>
      <c r="V831">
        <v>7.2676820000000003E-2</v>
      </c>
      <c r="W831">
        <v>0.1901552</v>
      </c>
      <c r="X831">
        <v>0.97906029999999999</v>
      </c>
      <c r="Y831">
        <v>8.7321449999999995E-2</v>
      </c>
      <c r="Z831">
        <v>-9.7831159999999993E-4</v>
      </c>
      <c r="AA831">
        <v>0.9961797</v>
      </c>
      <c r="AB831">
        <v>35</v>
      </c>
      <c r="AC831">
        <v>63.102399999999903</v>
      </c>
      <c r="AD831">
        <v>-1.0701744440300001</v>
      </c>
      <c r="AE831">
        <v>-6.2072000000000003</v>
      </c>
      <c r="AF831">
        <v>5.5727095321705997</v>
      </c>
      <c r="AG831">
        <v>-1.0701744440300001</v>
      </c>
      <c r="AH831">
        <v>63.143468052946801</v>
      </c>
      <c r="AI831">
        <v>90.967214360275506</v>
      </c>
      <c r="AJ831">
        <v>84.956444114519698</v>
      </c>
      <c r="AK831">
        <v>63.397933110032199</v>
      </c>
      <c r="AL831">
        <v>79.038158322396598</v>
      </c>
      <c r="AM831">
        <v>85.754651834741296</v>
      </c>
      <c r="AN831">
        <v>0.99999999564422104</v>
      </c>
    </row>
    <row r="832" spans="1:40" x14ac:dyDescent="0.25">
      <c r="A832" t="str">
        <f>"20190303170513488"</f>
        <v>20190303170513488</v>
      </c>
      <c r="B832" t="str">
        <f>"1551603913475387"</f>
        <v>1551603913475387</v>
      </c>
      <c r="C832" t="s">
        <v>40</v>
      </c>
      <c r="D832">
        <v>5.2364499999999996</v>
      </c>
      <c r="E832">
        <v>0.52662189999999998</v>
      </c>
      <c r="F832" t="s">
        <v>41</v>
      </c>
      <c r="G832">
        <v>-239.91650000000001</v>
      </c>
      <c r="H832" s="1">
        <v>-2.4537080000000001E-6</v>
      </c>
      <c r="I832">
        <v>360.44900000000001</v>
      </c>
      <c r="J832">
        <v>-293.37790000000001</v>
      </c>
      <c r="K832">
        <v>1.070187</v>
      </c>
      <c r="L832">
        <v>367.6848</v>
      </c>
      <c r="M832">
        <v>0.99991479999999999</v>
      </c>
      <c r="N832">
        <v>-7.8989530000000002E-3</v>
      </c>
      <c r="O832">
        <v>-1.040515E-2</v>
      </c>
      <c r="P832">
        <v>0.97973600000000005</v>
      </c>
      <c r="Q832">
        <v>0.18275069999999999</v>
      </c>
      <c r="R832">
        <v>-8.1973809999999994E-2</v>
      </c>
      <c r="S832">
        <v>3.0390630000000001</v>
      </c>
      <c r="T832">
        <v>-6.0431360000000003E-2</v>
      </c>
      <c r="U832">
        <v>-0.4088135</v>
      </c>
      <c r="V832">
        <v>7.1949799999999994E-2</v>
      </c>
      <c r="W832">
        <v>0.19042439999999999</v>
      </c>
      <c r="X832">
        <v>0.97906170000000003</v>
      </c>
      <c r="Y832">
        <v>0.1229662</v>
      </c>
      <c r="Z832">
        <v>-1.580801E-3</v>
      </c>
      <c r="AA832">
        <v>0.9924096</v>
      </c>
      <c r="AB832">
        <v>35</v>
      </c>
      <c r="AC832">
        <v>53.461399999999998</v>
      </c>
      <c r="AD832">
        <v>-1.0701894537079999</v>
      </c>
      <c r="AE832">
        <v>-7.2357999999999798</v>
      </c>
      <c r="AF832">
        <v>6.6764898259846897</v>
      </c>
      <c r="AG832">
        <v>-1.0701894537079999</v>
      </c>
      <c r="AH832">
        <v>53.5127397507555</v>
      </c>
      <c r="AI832">
        <v>91.136880968508294</v>
      </c>
      <c r="AJ832">
        <v>82.888270018969706</v>
      </c>
      <c r="AK832">
        <v>53.938243737587399</v>
      </c>
      <c r="AL832">
        <v>79.022447485578098</v>
      </c>
      <c r="AM832">
        <v>85.796973059400699</v>
      </c>
      <c r="AN832">
        <v>1.00000001912114</v>
      </c>
    </row>
    <row r="833" spans="1:40" x14ac:dyDescent="0.25">
      <c r="A833" t="str">
        <f>"20190303170513510"</f>
        <v>20190303170513510</v>
      </c>
      <c r="B833" t="str">
        <f>"1551603913495884"</f>
        <v>1551603913495884</v>
      </c>
      <c r="C833" t="s">
        <v>40</v>
      </c>
      <c r="D833">
        <v>5.2030799999999999</v>
      </c>
      <c r="E833">
        <v>0.52926859999999998</v>
      </c>
      <c r="F833" t="s">
        <v>41</v>
      </c>
      <c r="G833">
        <v>-241.17169999999999</v>
      </c>
      <c r="H833" s="1">
        <v>-5.8961839999999898E-6</v>
      </c>
      <c r="I833">
        <v>360.13869999999997</v>
      </c>
      <c r="J833">
        <v>-293.0204</v>
      </c>
      <c r="K833">
        <v>1.070203</v>
      </c>
      <c r="L833">
        <v>367.6807</v>
      </c>
      <c r="M833">
        <v>0.9999093</v>
      </c>
      <c r="N833">
        <v>-8.0893140000000002E-3</v>
      </c>
      <c r="O833">
        <v>-1.076763E-2</v>
      </c>
      <c r="P833">
        <v>0.97960369999999997</v>
      </c>
      <c r="Q833">
        <v>0.1835338</v>
      </c>
      <c r="R833">
        <v>-8.1804440000000006E-2</v>
      </c>
      <c r="S833">
        <v>3.0369259999999998</v>
      </c>
      <c r="T833">
        <v>-6.2255020000000001E-2</v>
      </c>
      <c r="U833">
        <v>-0.43896479999999999</v>
      </c>
      <c r="V833">
        <v>7.1420590000000006E-2</v>
      </c>
      <c r="W833">
        <v>0.1913956</v>
      </c>
      <c r="X833">
        <v>0.97891099999999998</v>
      </c>
      <c r="Y833">
        <v>0.1323529</v>
      </c>
      <c r="Z833">
        <v>-1.754745E-3</v>
      </c>
      <c r="AA833">
        <v>0.99120109999999995</v>
      </c>
      <c r="AB833">
        <v>35</v>
      </c>
      <c r="AC833">
        <v>51.848700000000001</v>
      </c>
      <c r="AD833">
        <v>-1.0702088961839999</v>
      </c>
      <c r="AE833">
        <v>-7.54200000000003</v>
      </c>
      <c r="AF833">
        <v>6.9803444951983504</v>
      </c>
      <c r="AG833">
        <v>-1.0702088961839999</v>
      </c>
      <c r="AH833">
        <v>51.905250072153699</v>
      </c>
      <c r="AI833">
        <v>91.170650705606803</v>
      </c>
      <c r="AJ833">
        <v>82.340677657648399</v>
      </c>
      <c r="AK833">
        <v>52.383447208120302</v>
      </c>
      <c r="AL833">
        <v>78.965758538364497</v>
      </c>
      <c r="AM833">
        <v>85.827137843817596</v>
      </c>
      <c r="AN833">
        <v>0.99999996114815304</v>
      </c>
    </row>
    <row r="834" spans="1:40" x14ac:dyDescent="0.25">
      <c r="A834" t="str">
        <f>"20190303170513533"</f>
        <v>20190303170513533</v>
      </c>
      <c r="B834" t="str">
        <f>"1551603913525162"</f>
        <v>1551603913525162</v>
      </c>
      <c r="C834" t="s">
        <v>40</v>
      </c>
      <c r="D834">
        <v>5.2382759999999999</v>
      </c>
      <c r="E834">
        <v>0.53183899999999995</v>
      </c>
      <c r="F834" t="s">
        <v>41</v>
      </c>
      <c r="G834">
        <v>-239.6523</v>
      </c>
      <c r="H834">
        <v>2.561422E-2</v>
      </c>
      <c r="I834">
        <v>359.6164</v>
      </c>
      <c r="J834">
        <v>-292.65559999999999</v>
      </c>
      <c r="K834">
        <v>1.070222</v>
      </c>
      <c r="L834">
        <v>367.6764</v>
      </c>
      <c r="M834">
        <v>0.99990440000000003</v>
      </c>
      <c r="N834">
        <v>-8.2541850000000007E-3</v>
      </c>
      <c r="O834">
        <v>-1.110717E-2</v>
      </c>
      <c r="P834">
        <v>0.97949450000000005</v>
      </c>
      <c r="Q834">
        <v>0.18408469999999999</v>
      </c>
      <c r="R834">
        <v>-8.1876660000000004E-2</v>
      </c>
      <c r="S834">
        <v>3.0352779999999999</v>
      </c>
      <c r="T834">
        <v>-5.9410329999999997E-2</v>
      </c>
      <c r="U834">
        <v>-0.45864870000000002</v>
      </c>
      <c r="V834">
        <v>7.1152430000000003E-2</v>
      </c>
      <c r="W834">
        <v>0.1921107</v>
      </c>
      <c r="X834">
        <v>0.97879050000000001</v>
      </c>
      <c r="Y834">
        <v>0.13838139999999999</v>
      </c>
      <c r="Z834">
        <v>-1.7960140000000001E-3</v>
      </c>
      <c r="AA834">
        <v>0.99037739999999996</v>
      </c>
      <c r="AB834">
        <v>35</v>
      </c>
      <c r="AC834">
        <v>53.003300000000003</v>
      </c>
      <c r="AD834">
        <v>-1.04460778</v>
      </c>
      <c r="AE834">
        <v>-8.06</v>
      </c>
      <c r="AF834">
        <v>7.4679310163098398</v>
      </c>
      <c r="AG834">
        <v>-1.04460778</v>
      </c>
      <c r="AH834">
        <v>53.069409725054001</v>
      </c>
      <c r="AI834">
        <v>91.116654141551706</v>
      </c>
      <c r="AJ834">
        <v>81.989929769957101</v>
      </c>
      <c r="AK834">
        <v>53.602457477657303</v>
      </c>
      <c r="AL834">
        <v>78.924012250847994</v>
      </c>
      <c r="AM834">
        <v>85.842240476996594</v>
      </c>
      <c r="AN834">
        <v>1.0000000161198199</v>
      </c>
    </row>
    <row r="835" spans="1:40" x14ac:dyDescent="0.25">
      <c r="A835" t="str">
        <f>"20190303170513555"</f>
        <v>20190303170513555</v>
      </c>
      <c r="B835" t="str">
        <f>"1551603913545659"</f>
        <v>1551603913545659</v>
      </c>
      <c r="C835" t="s">
        <v>40</v>
      </c>
      <c r="D835">
        <v>5.1711239999999998</v>
      </c>
      <c r="E835">
        <v>0.53266720000000001</v>
      </c>
      <c r="F835" t="s">
        <v>41</v>
      </c>
      <c r="G835">
        <v>-239.488</v>
      </c>
      <c r="H835">
        <v>7.9985509999999996E-2</v>
      </c>
      <c r="I835">
        <v>359.2706</v>
      </c>
      <c r="J835">
        <v>-292.3075</v>
      </c>
      <c r="K835">
        <v>1.070241</v>
      </c>
      <c r="L835">
        <v>367.67230000000001</v>
      </c>
      <c r="M835">
        <v>0.99990009999999996</v>
      </c>
      <c r="N835">
        <v>-8.3885980000000006E-3</v>
      </c>
      <c r="O835">
        <v>-1.139396E-2</v>
      </c>
      <c r="P835">
        <v>0.97942879999999999</v>
      </c>
      <c r="Q835">
        <v>0.18481059999999999</v>
      </c>
      <c r="R835">
        <v>-8.1023159999999997E-2</v>
      </c>
      <c r="S835">
        <v>3.033264</v>
      </c>
      <c r="T835">
        <v>-5.6493880000000003E-2</v>
      </c>
      <c r="U835">
        <v>-0.47955320000000001</v>
      </c>
      <c r="V835">
        <v>7.0007440000000004E-2</v>
      </c>
      <c r="W835">
        <v>0.19297310000000001</v>
      </c>
      <c r="X835">
        <v>0.9787034</v>
      </c>
      <c r="Y835">
        <v>0.1448586</v>
      </c>
      <c r="Z835">
        <v>-1.836135E-3</v>
      </c>
      <c r="AA835">
        <v>0.98945059999999996</v>
      </c>
      <c r="AB835">
        <v>35</v>
      </c>
      <c r="AC835">
        <v>52.819499999999998</v>
      </c>
      <c r="AD835">
        <v>-0.99025549000000002</v>
      </c>
      <c r="AE835">
        <v>-8.4016999999999999</v>
      </c>
      <c r="AF835">
        <v>7.7966374838715504</v>
      </c>
      <c r="AG835">
        <v>-0.99025549000000002</v>
      </c>
      <c r="AH835">
        <v>52.893670540434101</v>
      </c>
      <c r="AI835">
        <v>91.061082170191199</v>
      </c>
      <c r="AJ835">
        <v>81.614863551705497</v>
      </c>
      <c r="AK835">
        <v>53.474372789499597</v>
      </c>
      <c r="AL835">
        <v>78.8736580239745</v>
      </c>
      <c r="AM835">
        <v>85.908555563866898</v>
      </c>
      <c r="AN835">
        <v>1.00000000207526</v>
      </c>
    </row>
    <row r="836" spans="1:40" x14ac:dyDescent="0.25">
      <c r="A836" t="str">
        <f>"20190303170513576"</f>
        <v>20190303170513576</v>
      </c>
      <c r="B836" t="str">
        <f>"1551603913565179"</f>
        <v>1551603913565179</v>
      </c>
      <c r="C836" t="s">
        <v>40</v>
      </c>
      <c r="D836">
        <v>5.1436479999999998</v>
      </c>
      <c r="E836">
        <v>0.53339230000000004</v>
      </c>
      <c r="F836" t="s">
        <v>41</v>
      </c>
      <c r="G836">
        <v>-241.6071</v>
      </c>
      <c r="H836">
        <v>7.9985979999999998E-2</v>
      </c>
      <c r="I836">
        <v>359.58150000000001</v>
      </c>
      <c r="J836">
        <v>-291.97500000000002</v>
      </c>
      <c r="K836">
        <v>1.070263</v>
      </c>
      <c r="L836">
        <v>367.66820000000001</v>
      </c>
      <c r="M836">
        <v>0.99989629999999996</v>
      </c>
      <c r="N836">
        <v>-8.4999299999999993E-3</v>
      </c>
      <c r="O836">
        <v>-1.162993E-2</v>
      </c>
      <c r="P836">
        <v>0.97940139999999998</v>
      </c>
      <c r="Q836">
        <v>0.1851845</v>
      </c>
      <c r="R836">
        <v>-8.0499039999999994E-2</v>
      </c>
      <c r="S836">
        <v>3.0341490000000002</v>
      </c>
      <c r="T836">
        <v>-5.9261559999999998E-2</v>
      </c>
      <c r="U836">
        <v>-0.48419190000000001</v>
      </c>
      <c r="V836">
        <v>6.9238789999999995E-2</v>
      </c>
      <c r="W836">
        <v>0.1934611</v>
      </c>
      <c r="X836">
        <v>0.97866169999999997</v>
      </c>
      <c r="Y836">
        <v>0.1460526</v>
      </c>
      <c r="Z836">
        <v>-1.9145399999999999E-3</v>
      </c>
      <c r="AA836">
        <v>0.98927500000000002</v>
      </c>
      <c r="AB836">
        <v>35</v>
      </c>
      <c r="AC836">
        <v>50.367899999999999</v>
      </c>
      <c r="AD836">
        <v>-0.99027701999999995</v>
      </c>
      <c r="AE836">
        <v>-8.0867000000000004</v>
      </c>
      <c r="AF836">
        <v>7.4975314363653096</v>
      </c>
      <c r="AG836">
        <v>-0.99027701999999995</v>
      </c>
      <c r="AH836">
        <v>50.439537077406897</v>
      </c>
      <c r="AI836">
        <v>91.112520495069106</v>
      </c>
      <c r="AJ836">
        <v>81.545236372516598</v>
      </c>
      <c r="AK836">
        <v>51.003338388763702</v>
      </c>
      <c r="AL836">
        <v>78.845160263001105</v>
      </c>
      <c r="AM836">
        <v>85.953155854343393</v>
      </c>
      <c r="AN836">
        <v>0.99999996515038103</v>
      </c>
    </row>
    <row r="837" spans="1:40" x14ac:dyDescent="0.25">
      <c r="A837" t="str">
        <f>"20190303170513600"</f>
        <v>20190303170513600</v>
      </c>
      <c r="B837" t="str">
        <f>"1551603913585675"</f>
        <v>1551603913585675</v>
      </c>
      <c r="C837" t="s">
        <v>40</v>
      </c>
      <c r="D837">
        <v>5.1568759999999996</v>
      </c>
      <c r="E837">
        <v>0.53431799999999996</v>
      </c>
      <c r="F837" t="s">
        <v>41</v>
      </c>
      <c r="G837">
        <v>-241.8603</v>
      </c>
      <c r="H837">
        <v>6.5200129999999995E-2</v>
      </c>
      <c r="I837">
        <v>359.60109999999997</v>
      </c>
      <c r="J837">
        <v>-291.61739999999998</v>
      </c>
      <c r="K837">
        <v>1.0703</v>
      </c>
      <c r="L837">
        <v>367.66390000000001</v>
      </c>
      <c r="M837">
        <v>0.99989300000000003</v>
      </c>
      <c r="N837">
        <v>-8.6045040000000007E-3</v>
      </c>
      <c r="O837">
        <v>-1.184268E-2</v>
      </c>
      <c r="P837">
        <v>0.9793731</v>
      </c>
      <c r="Q837">
        <v>0.18571589999999999</v>
      </c>
      <c r="R837">
        <v>-7.9613459999999997E-2</v>
      </c>
      <c r="S837">
        <v>3.0344540000000002</v>
      </c>
      <c r="T837">
        <v>-6.08567E-2</v>
      </c>
      <c r="U837">
        <v>-0.48846440000000002</v>
      </c>
      <c r="V837">
        <v>6.8128939999999999E-2</v>
      </c>
      <c r="W837">
        <v>0.19410150000000001</v>
      </c>
      <c r="X837">
        <v>0.97861279999999995</v>
      </c>
      <c r="Y837">
        <v>0.14718239999999999</v>
      </c>
      <c r="Z837">
        <v>-1.9690369999999999E-3</v>
      </c>
      <c r="AA837">
        <v>0.98910739999999997</v>
      </c>
      <c r="AB837">
        <v>35</v>
      </c>
      <c r="AC837">
        <v>49.757099999999902</v>
      </c>
      <c r="AD837">
        <v>-1.00509987</v>
      </c>
      <c r="AE837">
        <v>-8.0628000000000295</v>
      </c>
      <c r="AF837">
        <v>7.4699852954237898</v>
      </c>
      <c r="AG837">
        <v>-1.00509987</v>
      </c>
      <c r="AH837">
        <v>49.829286737946497</v>
      </c>
      <c r="AI837">
        <v>91.142782442064302</v>
      </c>
      <c r="AJ837">
        <v>81.474191103487399</v>
      </c>
      <c r="AK837">
        <v>50.396118132997202</v>
      </c>
      <c r="AL837">
        <v>78.807759247242899</v>
      </c>
      <c r="AM837">
        <v>86.017615238539605</v>
      </c>
      <c r="AN837">
        <v>0.99999997854580602</v>
      </c>
    </row>
    <row r="838" spans="1:40" x14ac:dyDescent="0.25">
      <c r="A838" t="str">
        <f>"20190303170513621"</f>
        <v>20190303170513621</v>
      </c>
      <c r="B838" t="str">
        <f>"1551603913614955"</f>
        <v>1551603913614955</v>
      </c>
      <c r="C838" t="s">
        <v>40</v>
      </c>
      <c r="D838">
        <v>5.1514300000000004</v>
      </c>
      <c r="E838">
        <v>0.535385</v>
      </c>
      <c r="F838" t="s">
        <v>41</v>
      </c>
      <c r="G838">
        <v>-241.05240000000001</v>
      </c>
      <c r="H838">
        <v>7.9986130000000003E-2</v>
      </c>
      <c r="I838">
        <v>359.4479</v>
      </c>
      <c r="J838">
        <v>-291.25689999999997</v>
      </c>
      <c r="K838">
        <v>1.0703389999999999</v>
      </c>
      <c r="L838">
        <v>367.65949999999998</v>
      </c>
      <c r="M838">
        <v>0.9998901</v>
      </c>
      <c r="N838">
        <v>-8.6959040000000008E-3</v>
      </c>
      <c r="O838">
        <v>-1.201554E-2</v>
      </c>
      <c r="P838">
        <v>0.9793558</v>
      </c>
      <c r="Q838">
        <v>0.1862422</v>
      </c>
      <c r="R838">
        <v>-7.8591880000000003E-2</v>
      </c>
      <c r="S838">
        <v>3.0343930000000001</v>
      </c>
      <c r="T838">
        <v>-5.9428450000000001E-2</v>
      </c>
      <c r="U838">
        <v>-0.49304199999999998</v>
      </c>
      <c r="V838">
        <v>6.6921670000000003E-2</v>
      </c>
      <c r="W838">
        <v>0.1947236</v>
      </c>
      <c r="X838">
        <v>0.97857249999999996</v>
      </c>
      <c r="Y838">
        <v>0.14846960000000001</v>
      </c>
      <c r="Z838">
        <v>-1.9642430000000001E-3</v>
      </c>
      <c r="AA838">
        <v>0.98891499999999999</v>
      </c>
      <c r="AB838">
        <v>35</v>
      </c>
      <c r="AC838">
        <v>50.204499999999904</v>
      </c>
      <c r="AD838">
        <v>-0.99035287000000005</v>
      </c>
      <c r="AE838">
        <v>-8.2115999999999705</v>
      </c>
      <c r="AF838">
        <v>7.6048680654795699</v>
      </c>
      <c r="AG838">
        <v>-0.99035287000000005</v>
      </c>
      <c r="AH838">
        <v>50.280490187352598</v>
      </c>
      <c r="AI838">
        <v>91.115698000106406</v>
      </c>
      <c r="AJ838">
        <v>81.399265996616194</v>
      </c>
      <c r="AK838">
        <v>50.861994756211899</v>
      </c>
      <c r="AL838">
        <v>78.771422060615606</v>
      </c>
      <c r="AM838">
        <v>86.087802876015701</v>
      </c>
      <c r="AN838">
        <v>0.99999996403439795</v>
      </c>
    </row>
    <row r="839" spans="1:40" x14ac:dyDescent="0.25">
      <c r="A839" t="str">
        <f>"20190303170513643"</f>
        <v>20190303170513643</v>
      </c>
      <c r="B839" t="str">
        <f>"1551603913635451"</f>
        <v>1551603913635451</v>
      </c>
      <c r="C839" t="s">
        <v>40</v>
      </c>
      <c r="D839">
        <v>5.1031380000000004</v>
      </c>
      <c r="E839">
        <v>0.53601690000000002</v>
      </c>
      <c r="F839" t="s">
        <v>41</v>
      </c>
      <c r="G839">
        <v>-242.13910000000001</v>
      </c>
      <c r="H839">
        <v>6.3340460000000001E-2</v>
      </c>
      <c r="I839">
        <v>359.60300000000001</v>
      </c>
      <c r="J839">
        <v>-290.92380000000003</v>
      </c>
      <c r="K839">
        <v>1.0703739999999999</v>
      </c>
      <c r="L839">
        <v>367.65539999999999</v>
      </c>
      <c r="M839">
        <v>0.99988790000000005</v>
      </c>
      <c r="N839">
        <v>-8.7653509999999994E-3</v>
      </c>
      <c r="O839">
        <v>-1.214237E-2</v>
      </c>
      <c r="P839">
        <v>0.97936979999999996</v>
      </c>
      <c r="Q839">
        <v>0.18681249999999999</v>
      </c>
      <c r="R839">
        <v>-7.7048549999999993E-2</v>
      </c>
      <c r="S839">
        <v>3.035126</v>
      </c>
      <c r="T839">
        <v>-6.2225339999999997E-2</v>
      </c>
      <c r="U839">
        <v>-0.49783329999999998</v>
      </c>
      <c r="V839">
        <v>6.5240439999999997E-2</v>
      </c>
      <c r="W839">
        <v>0.19536709999999999</v>
      </c>
      <c r="X839">
        <v>0.97855780000000003</v>
      </c>
      <c r="Y839">
        <v>0.14982319999999999</v>
      </c>
      <c r="Z839">
        <v>-2.0451150000000001E-3</v>
      </c>
      <c r="AA839">
        <v>0.98871070000000005</v>
      </c>
      <c r="AB839">
        <v>35</v>
      </c>
      <c r="AC839">
        <v>48.784700000000001</v>
      </c>
      <c r="AD839">
        <v>-1.0070335399999999</v>
      </c>
      <c r="AE839">
        <v>-8.0523999999999702</v>
      </c>
      <c r="AF839">
        <v>7.4563287686484001</v>
      </c>
      <c r="AG839">
        <v>-1.0070335399999999</v>
      </c>
      <c r="AH839">
        <v>48.858615303080697</v>
      </c>
      <c r="AI839">
        <v>91.167255634332406</v>
      </c>
      <c r="AJ839">
        <v>81.323021605422895</v>
      </c>
      <c r="AK839">
        <v>49.434555167324902</v>
      </c>
      <c r="AL839">
        <v>78.733830579091702</v>
      </c>
      <c r="AM839">
        <v>86.185735521889299</v>
      </c>
      <c r="AN839">
        <v>0.99999999335732104</v>
      </c>
    </row>
    <row r="840" spans="1:40" x14ac:dyDescent="0.25">
      <c r="A840" t="str">
        <f>"20190303170513666"</f>
        <v>20190303170513666</v>
      </c>
      <c r="B840" t="str">
        <f>"1551603913654971"</f>
        <v>1551603913654971</v>
      </c>
      <c r="C840" t="s">
        <v>40</v>
      </c>
      <c r="D840">
        <v>5.1038249999999996</v>
      </c>
      <c r="E840">
        <v>0.53665669999999899</v>
      </c>
      <c r="F840" t="s">
        <v>41</v>
      </c>
      <c r="G840">
        <v>-241.84219999999999</v>
      </c>
      <c r="H840">
        <v>7.9985909999999993E-2</v>
      </c>
      <c r="I840">
        <v>359.58449999999999</v>
      </c>
      <c r="J840">
        <v>-290.5643</v>
      </c>
      <c r="K840">
        <v>1.0703959999999999</v>
      </c>
      <c r="L840">
        <v>367.65089999999998</v>
      </c>
      <c r="M840">
        <v>0.99988600000000005</v>
      </c>
      <c r="N840">
        <v>-8.8252299999999999E-3</v>
      </c>
      <c r="O840">
        <v>-1.225191E-2</v>
      </c>
      <c r="P840">
        <v>0.97940439999999995</v>
      </c>
      <c r="Q840">
        <v>0.1872412</v>
      </c>
      <c r="R840">
        <v>-7.5550270000000003E-2</v>
      </c>
      <c r="S840">
        <v>3.0356450000000001</v>
      </c>
      <c r="T840">
        <v>-6.1254500000000003E-2</v>
      </c>
      <c r="U840">
        <v>-0.49917600000000001</v>
      </c>
      <c r="V840">
        <v>6.3622910000000005E-2</v>
      </c>
      <c r="W840">
        <v>0.19585949999999999</v>
      </c>
      <c r="X840">
        <v>0.97856589999999999</v>
      </c>
      <c r="Y840">
        <v>0.15011459999999999</v>
      </c>
      <c r="Z840">
        <v>-2.0331559999999999E-3</v>
      </c>
      <c r="AA840">
        <v>0.9886665</v>
      </c>
      <c r="AB840">
        <v>35</v>
      </c>
      <c r="AC840">
        <v>48.722099999999998</v>
      </c>
      <c r="AD840">
        <v>-0.99041009000000002</v>
      </c>
      <c r="AE840">
        <v>-8.0663999999999803</v>
      </c>
      <c r="AF840">
        <v>7.4658297761168697</v>
      </c>
      <c r="AG840">
        <v>-0.99041009000000002</v>
      </c>
      <c r="AH840">
        <v>48.7976493465058</v>
      </c>
      <c r="AI840">
        <v>91.149360296575395</v>
      </c>
      <c r="AJ840">
        <v>81.301445435497598</v>
      </c>
      <c r="AK840">
        <v>49.375399827615297</v>
      </c>
      <c r="AL840">
        <v>78.705062666272795</v>
      </c>
      <c r="AM840">
        <v>86.280065781515702</v>
      </c>
      <c r="AN840">
        <v>1.0000000195299601</v>
      </c>
    </row>
    <row r="841" spans="1:40" x14ac:dyDescent="0.25">
      <c r="A841" t="str">
        <f>"20190303170513689"</f>
        <v>20190303170513689</v>
      </c>
      <c r="B841" t="str">
        <f>"1551603913675467"</f>
        <v>1551603913675467</v>
      </c>
      <c r="C841" t="s">
        <v>40</v>
      </c>
      <c r="D841">
        <v>5.0908689999999996</v>
      </c>
      <c r="E841">
        <v>0.53698330000000005</v>
      </c>
      <c r="F841" t="s">
        <v>41</v>
      </c>
      <c r="G841">
        <v>-240.2296</v>
      </c>
      <c r="H841">
        <v>7.9986329999999994E-2</v>
      </c>
      <c r="I841">
        <v>359.34899999999999</v>
      </c>
      <c r="J841">
        <v>-290.19560000000001</v>
      </c>
      <c r="K841">
        <v>1.070414</v>
      </c>
      <c r="L841">
        <v>367.6463</v>
      </c>
      <c r="M841">
        <v>0.99988449999999995</v>
      </c>
      <c r="N841">
        <v>-8.8716460000000004E-3</v>
      </c>
      <c r="O841">
        <v>-1.234561E-2</v>
      </c>
      <c r="P841">
        <v>0.97948380000000002</v>
      </c>
      <c r="Q841">
        <v>0.18742049999999999</v>
      </c>
      <c r="R841">
        <v>-7.406393E-2</v>
      </c>
      <c r="S841">
        <v>3.0359500000000001</v>
      </c>
      <c r="T841">
        <v>-5.9736850000000001E-2</v>
      </c>
      <c r="U841">
        <v>-0.50073239999999997</v>
      </c>
      <c r="V841">
        <v>6.2035109999999997E-2</v>
      </c>
      <c r="W841">
        <v>0.19608819999999999</v>
      </c>
      <c r="X841">
        <v>0.97862199999999999</v>
      </c>
      <c r="Y841">
        <v>0.1505011</v>
      </c>
      <c r="Z841">
        <v>-2.0103909999999998E-3</v>
      </c>
      <c r="AA841">
        <v>0.98860780000000004</v>
      </c>
      <c r="AB841">
        <v>36</v>
      </c>
      <c r="AC841">
        <v>49.966000000000001</v>
      </c>
      <c r="AD841">
        <v>-0.99042766999999998</v>
      </c>
      <c r="AE841">
        <v>-8.2972999999999999</v>
      </c>
      <c r="AF841">
        <v>7.67684724080521</v>
      </c>
      <c r="AG841">
        <v>-0.99042766999999998</v>
      </c>
      <c r="AH841">
        <v>50.045495206560297</v>
      </c>
      <c r="AI841">
        <v>91.120661808538003</v>
      </c>
      <c r="AJ841">
        <v>81.278958437084896</v>
      </c>
      <c r="AK841">
        <v>50.640562013054499</v>
      </c>
      <c r="AL841">
        <v>78.691699531860806</v>
      </c>
      <c r="AM841">
        <v>86.372858381937405</v>
      </c>
      <c r="AN841">
        <v>0.99999997796797502</v>
      </c>
    </row>
    <row r="842" spans="1:40" x14ac:dyDescent="0.25">
      <c r="A842" t="str">
        <f>"20190303170513711"</f>
        <v>20190303170513711</v>
      </c>
      <c r="B842" t="str">
        <f>"1551603913705723"</f>
        <v>1551603913705723</v>
      </c>
      <c r="C842" t="s">
        <v>40</v>
      </c>
      <c r="D842">
        <v>5.1938930000000001</v>
      </c>
      <c r="E842">
        <v>0.50001419999999996</v>
      </c>
      <c r="F842" t="s">
        <v>41</v>
      </c>
      <c r="G842">
        <v>-240.15389999999999</v>
      </c>
      <c r="H842">
        <v>7.9986340000000003E-2</v>
      </c>
      <c r="I842">
        <v>359.41340000000002</v>
      </c>
      <c r="J842">
        <v>-289.83819999999997</v>
      </c>
      <c r="K842">
        <v>1.0704279999999999</v>
      </c>
      <c r="L842">
        <v>367.64179999999999</v>
      </c>
      <c r="M842">
        <v>0.99988330000000003</v>
      </c>
      <c r="N842">
        <v>-8.9066279999999998E-3</v>
      </c>
      <c r="O842">
        <v>-1.242503E-2</v>
      </c>
      <c r="P842">
        <v>0.9795123</v>
      </c>
      <c r="Q842">
        <v>0.18768989999999999</v>
      </c>
      <c r="R842">
        <v>-7.2998899999999894E-2</v>
      </c>
      <c r="S842">
        <v>3.03653</v>
      </c>
      <c r="T842">
        <v>-6.0099119999999999E-2</v>
      </c>
      <c r="U842">
        <v>-0.49957279999999998</v>
      </c>
      <c r="V842">
        <v>6.088623E-2</v>
      </c>
      <c r="W842">
        <v>0.19639390000000001</v>
      </c>
      <c r="X842">
        <v>0.97863290000000003</v>
      </c>
      <c r="Y842">
        <v>0.1500244</v>
      </c>
      <c r="Z842">
        <v>-2.0130310000000002E-3</v>
      </c>
      <c r="AA842">
        <v>0.98868020000000001</v>
      </c>
      <c r="AB842">
        <v>36</v>
      </c>
      <c r="AC842">
        <v>49.684299999999901</v>
      </c>
      <c r="AD842">
        <v>-0.99044166</v>
      </c>
      <c r="AE842">
        <v>-8.2283999999999597</v>
      </c>
      <c r="AF842">
        <v>7.6074690193904999</v>
      </c>
      <c r="AG842">
        <v>-0.99044166</v>
      </c>
      <c r="AH842">
        <v>49.763458847767197</v>
      </c>
      <c r="AI842">
        <v>91.127115959834398</v>
      </c>
      <c r="AJ842">
        <v>81.308336857965003</v>
      </c>
      <c r="AK842">
        <v>50.351329635435299</v>
      </c>
      <c r="AL842">
        <v>78.673837423934202</v>
      </c>
      <c r="AM842">
        <v>86.439897605370803</v>
      </c>
      <c r="AN842">
        <v>1.0000000249616099</v>
      </c>
    </row>
    <row r="843" spans="1:40" x14ac:dyDescent="0.25">
      <c r="A843" t="str">
        <f>"20190303170513734"</f>
        <v>20190303170513734</v>
      </c>
      <c r="B843" t="str">
        <f>"1551603913725243"</f>
        <v>1551603913725243</v>
      </c>
      <c r="C843" t="s">
        <v>40</v>
      </c>
      <c r="D843">
        <v>5.1968019999999999</v>
      </c>
      <c r="E843">
        <v>0.49512840000000002</v>
      </c>
      <c r="F843" t="s">
        <v>43</v>
      </c>
      <c r="G843">
        <v>-158.03829999999999</v>
      </c>
      <c r="H843">
        <v>-0.05</v>
      </c>
      <c r="I843">
        <v>358.88749999999999</v>
      </c>
      <c r="J843">
        <v>-289.47879999999998</v>
      </c>
      <c r="K843">
        <v>1.0704400000000001</v>
      </c>
      <c r="L843">
        <v>367.63729999999998</v>
      </c>
      <c r="M843">
        <v>0.99988200000000005</v>
      </c>
      <c r="N843">
        <v>-8.9353699999999998E-3</v>
      </c>
      <c r="O843">
        <v>-1.249932E-2</v>
      </c>
      <c r="P843">
        <v>0.97941789999999995</v>
      </c>
      <c r="Q843">
        <v>0.1882036</v>
      </c>
      <c r="R843">
        <v>-7.293724E-2</v>
      </c>
      <c r="S843">
        <v>3.0526119999999999</v>
      </c>
      <c r="T843">
        <v>-2.5950190000000001E-2</v>
      </c>
      <c r="U843">
        <v>-0.20275879999999999</v>
      </c>
      <c r="V843">
        <v>6.074881E-2</v>
      </c>
      <c r="W843">
        <v>0.19693669999999999</v>
      </c>
      <c r="X843">
        <v>0.97853230000000002</v>
      </c>
      <c r="Y843">
        <v>5.3793870000000001E-2</v>
      </c>
      <c r="Z843">
        <v>-4.7446149999999998E-4</v>
      </c>
      <c r="AA843">
        <v>0.998552</v>
      </c>
      <c r="AB843">
        <v>36</v>
      </c>
      <c r="AC843">
        <v>131.44049999999999</v>
      </c>
      <c r="AD843">
        <v>-1.1204399999999901</v>
      </c>
      <c r="AE843">
        <v>-8.7497999999999898</v>
      </c>
      <c r="AF843">
        <v>7.1056199825512403</v>
      </c>
      <c r="AG843">
        <v>-1.1204399999999901</v>
      </c>
      <c r="AH843">
        <v>131.53008669424801</v>
      </c>
      <c r="AI843">
        <v>90.487352102915693</v>
      </c>
      <c r="AJ843">
        <v>86.907729009587996</v>
      </c>
      <c r="AK843">
        <v>131.72664471141101</v>
      </c>
      <c r="AL843">
        <v>78.642117202524702</v>
      </c>
      <c r="AM843">
        <v>86.447547903239197</v>
      </c>
      <c r="AN843">
        <v>0.99999997193329704</v>
      </c>
    </row>
    <row r="844" spans="1:40" x14ac:dyDescent="0.25">
      <c r="A844" t="str">
        <f>"20190303170513756"</f>
        <v>20190303170513756</v>
      </c>
      <c r="B844" t="str">
        <f>"1551603913745270"</f>
        <v>1551603913745270</v>
      </c>
      <c r="C844" t="s">
        <v>40</v>
      </c>
      <c r="D844">
        <v>5.1914699999999998</v>
      </c>
      <c r="E844">
        <v>0.49360530000000002</v>
      </c>
      <c r="F844" t="s">
        <v>47</v>
      </c>
      <c r="G844">
        <v>-158.19499999999999</v>
      </c>
      <c r="H844">
        <v>8.5803030000000002E-2</v>
      </c>
      <c r="I844">
        <v>360.62700000000001</v>
      </c>
      <c r="J844">
        <v>-289.12869999999998</v>
      </c>
      <c r="K844">
        <v>1.070451</v>
      </c>
      <c r="L844">
        <v>367.63279999999997</v>
      </c>
      <c r="M844">
        <v>0.99988089999999996</v>
      </c>
      <c r="N844">
        <v>-8.9590820000000002E-3</v>
      </c>
      <c r="O844">
        <v>-1.256992E-2</v>
      </c>
      <c r="P844">
        <v>0.97940439999999995</v>
      </c>
      <c r="Q844">
        <v>0.18795690000000001</v>
      </c>
      <c r="R844">
        <v>-7.3755039999999994E-2</v>
      </c>
      <c r="S844">
        <v>3.0553279999999998</v>
      </c>
      <c r="T844">
        <v>-2.2913099999999999E-2</v>
      </c>
      <c r="U844">
        <v>-0.16314699999999999</v>
      </c>
      <c r="V844">
        <v>6.149367E-2</v>
      </c>
      <c r="W844">
        <v>0.19671420000000001</v>
      </c>
      <c r="X844">
        <v>0.97853060000000003</v>
      </c>
      <c r="Y844">
        <v>4.0762310000000003E-2</v>
      </c>
      <c r="Z844">
        <v>-3.5383140000000001E-4</v>
      </c>
      <c r="AA844">
        <v>0.99916879999999997</v>
      </c>
      <c r="AB844">
        <v>36</v>
      </c>
      <c r="AC844">
        <v>130.93369999999999</v>
      </c>
      <c r="AD844">
        <v>-0.98464797000000004</v>
      </c>
      <c r="AE844">
        <v>-7.0058000000000202</v>
      </c>
      <c r="AF844">
        <v>5.3590521359005301</v>
      </c>
      <c r="AG844">
        <v>-0.98464797000000004</v>
      </c>
      <c r="AH844">
        <v>131.004033106978</v>
      </c>
      <c r="AI844">
        <v>90.430276587543304</v>
      </c>
      <c r="AJ844">
        <v>87.657476962580802</v>
      </c>
      <c r="AK844">
        <v>131.117297339879</v>
      </c>
      <c r="AL844">
        <v>78.655120664947603</v>
      </c>
      <c r="AM844">
        <v>86.404097554298005</v>
      </c>
      <c r="AN844">
        <v>1.00000004153403</v>
      </c>
    </row>
    <row r="845" spans="1:40" x14ac:dyDescent="0.25">
      <c r="A845" t="str">
        <f>"20190303170513778"</f>
        <v>20190303170513778</v>
      </c>
      <c r="B845" t="str">
        <f>"1551603913765767"</f>
        <v>1551603913765767</v>
      </c>
      <c r="C845" t="s">
        <v>40</v>
      </c>
      <c r="D845">
        <v>5.1311099999999996</v>
      </c>
      <c r="E845">
        <v>0.49281580000000003</v>
      </c>
      <c r="F845" t="s">
        <v>47</v>
      </c>
      <c r="G845">
        <v>-158.19499999999999</v>
      </c>
      <c r="H845">
        <v>5.3183080000000001E-2</v>
      </c>
      <c r="I845">
        <v>361.06920000000002</v>
      </c>
      <c r="J845">
        <v>-288.77390000000003</v>
      </c>
      <c r="K845">
        <v>1.070454</v>
      </c>
      <c r="L845">
        <v>367.62830000000002</v>
      </c>
      <c r="M845">
        <v>0.99987999999999999</v>
      </c>
      <c r="N845">
        <v>-8.9770909999999995E-3</v>
      </c>
      <c r="O845">
        <v>-1.264205E-2</v>
      </c>
      <c r="P845">
        <v>0.97952499999999998</v>
      </c>
      <c r="Q845">
        <v>0.18730089999999999</v>
      </c>
      <c r="R845">
        <v>-7.3823529999999998E-2</v>
      </c>
      <c r="S845">
        <v>3.0560610000000001</v>
      </c>
      <c r="T845">
        <v>-2.3741479999999999E-2</v>
      </c>
      <c r="U845">
        <v>-0.15319820000000001</v>
      </c>
      <c r="V845">
        <v>6.1487050000000001E-2</v>
      </c>
      <c r="W845">
        <v>0.19607740000000001</v>
      </c>
      <c r="X845">
        <v>0.97865880000000005</v>
      </c>
      <c r="Y845">
        <v>3.7433319999999999E-2</v>
      </c>
      <c r="Z845">
        <v>-3.2873780000000001E-4</v>
      </c>
      <c r="AA845">
        <v>0.99929900000000005</v>
      </c>
      <c r="AB845">
        <v>36</v>
      </c>
      <c r="AC845">
        <v>130.5789</v>
      </c>
      <c r="AD845">
        <v>-1.0172709200000001</v>
      </c>
      <c r="AE845">
        <v>-6.5590999999999999</v>
      </c>
      <c r="AF845">
        <v>4.9074275519256298</v>
      </c>
      <c r="AG845">
        <v>-1.0172709200000001</v>
      </c>
      <c r="AH845">
        <v>130.64347890546</v>
      </c>
      <c r="AI845">
        <v>90.445816951945503</v>
      </c>
      <c r="AJ845">
        <v>87.848780867917498</v>
      </c>
      <c r="AK845">
        <v>130.739574214633</v>
      </c>
      <c r="AL845">
        <v>78.692331120688905</v>
      </c>
      <c r="AM845">
        <v>86.404953411234999</v>
      </c>
      <c r="AN845">
        <v>1.00000002546295</v>
      </c>
    </row>
    <row r="846" spans="1:40" x14ac:dyDescent="0.25">
      <c r="A846" t="str">
        <f>"20190303170513800"</f>
        <v>20190303170513800</v>
      </c>
      <c r="B846" t="str">
        <f>"1551603913795049"</f>
        <v>1551603913795049</v>
      </c>
      <c r="C846" t="s">
        <v>40</v>
      </c>
      <c r="D846">
        <v>5.1343459999999999</v>
      </c>
      <c r="E846">
        <v>0.49249880000000001</v>
      </c>
      <c r="F846" t="s">
        <v>49</v>
      </c>
      <c r="G846">
        <v>-176.20410000000001</v>
      </c>
      <c r="H846">
        <v>7.9988050000000005E-2</v>
      </c>
      <c r="I846">
        <v>362.2192</v>
      </c>
      <c r="J846">
        <v>-288.41250000000002</v>
      </c>
      <c r="K846">
        <v>1.07046</v>
      </c>
      <c r="L846">
        <v>367.62360000000001</v>
      </c>
      <c r="M846">
        <v>0.99987890000000001</v>
      </c>
      <c r="N846">
        <v>-8.9884560000000006E-3</v>
      </c>
      <c r="O846">
        <v>-1.2716430000000001E-2</v>
      </c>
      <c r="P846">
        <v>0.97952629999999996</v>
      </c>
      <c r="Q846">
        <v>0.1872327</v>
      </c>
      <c r="R846">
        <v>-7.3975360000000004E-2</v>
      </c>
      <c r="S846">
        <v>3.0567929999999999</v>
      </c>
      <c r="T846">
        <v>-2.6895760000000001E-2</v>
      </c>
      <c r="U846">
        <v>-0.14688109999999999</v>
      </c>
      <c r="V846">
        <v>6.1563569999999998E-2</v>
      </c>
      <c r="W846">
        <v>0.19602130000000001</v>
      </c>
      <c r="X846">
        <v>0.97866520000000001</v>
      </c>
      <c r="Y846">
        <v>3.5286419999999999E-2</v>
      </c>
      <c r="Z846">
        <v>-3.162687E-4</v>
      </c>
      <c r="AA846">
        <v>0.99937719999999997</v>
      </c>
      <c r="AB846">
        <v>36</v>
      </c>
      <c r="AC846">
        <v>112.2084</v>
      </c>
      <c r="AD846">
        <v>-0.99047194999999999</v>
      </c>
      <c r="AE846">
        <v>-5.4044000000000096</v>
      </c>
      <c r="AF846">
        <v>3.9767061600879399</v>
      </c>
      <c r="AG846">
        <v>-0.99047194999999999</v>
      </c>
      <c r="AH846">
        <v>112.259327173437</v>
      </c>
      <c r="AI846">
        <v>90.505194717263905</v>
      </c>
      <c r="AJ846">
        <v>87.971186454785496</v>
      </c>
      <c r="AK846">
        <v>112.334107750052</v>
      </c>
      <c r="AL846">
        <v>78.695608715327893</v>
      </c>
      <c r="AM846">
        <v>86.400514645290698</v>
      </c>
      <c r="AN846">
        <v>0.99999999844793697</v>
      </c>
    </row>
    <row r="847" spans="1:40" x14ac:dyDescent="0.25">
      <c r="A847" t="str">
        <f>"20190303170513823"</f>
        <v>20190303170513823</v>
      </c>
      <c r="B847" t="str">
        <f>"1551603913815542"</f>
        <v>1551603913815542</v>
      </c>
      <c r="C847" t="s">
        <v>40</v>
      </c>
      <c r="D847">
        <v>5.0130420000000004</v>
      </c>
      <c r="E847">
        <v>0.49234699999999998</v>
      </c>
      <c r="F847" t="s">
        <v>43</v>
      </c>
      <c r="G847">
        <v>-159.3141</v>
      </c>
      <c r="H847">
        <v>-0.05</v>
      </c>
      <c r="I847">
        <v>361.50799999999998</v>
      </c>
      <c r="J847">
        <v>-288.04790000000003</v>
      </c>
      <c r="K847">
        <v>1.070465</v>
      </c>
      <c r="L847">
        <v>367.6189</v>
      </c>
      <c r="M847">
        <v>0.99987780000000004</v>
      </c>
      <c r="N847">
        <v>-8.9958520000000004E-3</v>
      </c>
      <c r="O847">
        <v>-1.279283E-2</v>
      </c>
      <c r="P847">
        <v>0.97950899999999996</v>
      </c>
      <c r="Q847">
        <v>0.18711710000000001</v>
      </c>
      <c r="R847">
        <v>-7.4494840000000007E-2</v>
      </c>
      <c r="S847">
        <v>3.0567929999999999</v>
      </c>
      <c r="T847">
        <v>-2.6530270000000002E-2</v>
      </c>
      <c r="U847">
        <v>-0.14480589999999999</v>
      </c>
      <c r="V847">
        <v>6.2006100000000001E-2</v>
      </c>
      <c r="W847">
        <v>0.1959137</v>
      </c>
      <c r="X847">
        <v>0.97865880000000005</v>
      </c>
      <c r="Y847">
        <v>3.4533229999999998E-2</v>
      </c>
      <c r="Z847">
        <v>-3.0927219999999999E-4</v>
      </c>
      <c r="AA847">
        <v>0.9994035</v>
      </c>
      <c r="AB847">
        <v>36</v>
      </c>
      <c r="AC847">
        <v>128.7338</v>
      </c>
      <c r="AD847">
        <v>-1.120465</v>
      </c>
      <c r="AE847">
        <v>-6.1108999999999503</v>
      </c>
      <c r="AF847">
        <v>4.4631264534405801</v>
      </c>
      <c r="AG847">
        <v>-1.120465</v>
      </c>
      <c r="AH847">
        <v>128.79170883455899</v>
      </c>
      <c r="AI847">
        <v>90.498151526493004</v>
      </c>
      <c r="AJ847">
        <v>88.015275810928102</v>
      </c>
      <c r="AK847">
        <v>128.873888759832</v>
      </c>
      <c r="AL847">
        <v>78.701895551879005</v>
      </c>
      <c r="AM847">
        <v>86.374686010040406</v>
      </c>
      <c r="AN847">
        <v>0.99999999055116995</v>
      </c>
    </row>
    <row r="848" spans="1:40" x14ac:dyDescent="0.25">
      <c r="A848" t="str">
        <f>"20190303170513845"</f>
        <v>20190303170513845</v>
      </c>
      <c r="B848" t="str">
        <f>"1551603913835062"</f>
        <v>1551603913835062</v>
      </c>
      <c r="C848" t="s">
        <v>40</v>
      </c>
      <c r="D848">
        <v>5.1300730000000003</v>
      </c>
      <c r="E848">
        <v>0.49228810000000001</v>
      </c>
      <c r="F848" t="s">
        <v>49</v>
      </c>
      <c r="G848">
        <v>-175.5335</v>
      </c>
      <c r="H848">
        <v>7.9988080000000003E-2</v>
      </c>
      <c r="I848">
        <v>362.26990000000001</v>
      </c>
      <c r="J848">
        <v>-287.69749999999999</v>
      </c>
      <c r="K848">
        <v>1.070468</v>
      </c>
      <c r="L848">
        <v>367.61430000000001</v>
      </c>
      <c r="M848">
        <v>0.99987680000000001</v>
      </c>
      <c r="N848">
        <v>-9.0012719999999994E-3</v>
      </c>
      <c r="O848">
        <v>-1.2866610000000001E-2</v>
      </c>
      <c r="P848">
        <v>0.97956460000000001</v>
      </c>
      <c r="Q848">
        <v>0.186832</v>
      </c>
      <c r="R848">
        <v>-7.4479799999999999E-2</v>
      </c>
      <c r="S848">
        <v>3.056854</v>
      </c>
      <c r="T848">
        <v>-2.6909829999999999E-2</v>
      </c>
      <c r="U848">
        <v>-0.1453247</v>
      </c>
      <c r="V848">
        <v>6.1916699999999901E-2</v>
      </c>
      <c r="W848">
        <v>0.19563459999999999</v>
      </c>
      <c r="X848">
        <v>0.97872029999999999</v>
      </c>
      <c r="Y848">
        <v>3.4627720000000001E-2</v>
      </c>
      <c r="Z848">
        <v>-3.108459E-4</v>
      </c>
      <c r="AA848">
        <v>0.99940030000000002</v>
      </c>
      <c r="AB848">
        <v>36</v>
      </c>
      <c r="AC848">
        <v>112.164</v>
      </c>
      <c r="AD848">
        <v>-0.99047991999999996</v>
      </c>
      <c r="AE848">
        <v>-5.3444000000000003</v>
      </c>
      <c r="AF848">
        <v>3.90042532010788</v>
      </c>
      <c r="AG848">
        <v>-0.99047991999999996</v>
      </c>
      <c r="AH848">
        <v>112.214750891771</v>
      </c>
      <c r="AI848">
        <v>90.505411248750605</v>
      </c>
      <c r="AJ848">
        <v>88.009281546146696</v>
      </c>
      <c r="AK848">
        <v>112.286885636088</v>
      </c>
      <c r="AL848">
        <v>78.718202465472302</v>
      </c>
      <c r="AM848">
        <v>86.380125926909102</v>
      </c>
      <c r="AN848">
        <v>1.0000000000440601</v>
      </c>
    </row>
    <row r="849" spans="1:40" x14ac:dyDescent="0.25">
      <c r="A849" t="str">
        <f>"20190303170513867"</f>
        <v>20190303170513867</v>
      </c>
      <c r="B849" t="str">
        <f>"1551603913855558"</f>
        <v>1551603913855558</v>
      </c>
      <c r="C849" t="s">
        <v>40</v>
      </c>
      <c r="D849">
        <v>4.955355</v>
      </c>
      <c r="E849">
        <v>0.49237069999999999</v>
      </c>
      <c r="F849" t="s">
        <v>49</v>
      </c>
      <c r="G849">
        <v>-177.85</v>
      </c>
      <c r="H849">
        <v>7.9987970000000005E-2</v>
      </c>
      <c r="I849">
        <v>362.40300000000002</v>
      </c>
      <c r="J849">
        <v>-287.34129999999999</v>
      </c>
      <c r="K849">
        <v>1.0704720000000001</v>
      </c>
      <c r="L849">
        <v>367.60969999999998</v>
      </c>
      <c r="M849">
        <v>0.99987579999999998</v>
      </c>
      <c r="N849">
        <v>-9.0059659999999903E-3</v>
      </c>
      <c r="O849">
        <v>-1.294171E-2</v>
      </c>
      <c r="P849">
        <v>0.97960340000000001</v>
      </c>
      <c r="Q849">
        <v>0.1867222</v>
      </c>
      <c r="R849">
        <v>-7.4245069999999996E-2</v>
      </c>
      <c r="S849">
        <v>3.0568240000000002</v>
      </c>
      <c r="T849">
        <v>-2.7562980000000001E-2</v>
      </c>
      <c r="U849">
        <v>-0.1450195</v>
      </c>
      <c r="V849">
        <v>6.1606830000000001E-2</v>
      </c>
      <c r="W849">
        <v>0.19553029999999999</v>
      </c>
      <c r="X849">
        <v>0.97876070000000004</v>
      </c>
      <c r="Y849">
        <v>3.4453490000000003E-2</v>
      </c>
      <c r="Z849">
        <v>-3.1036740000000001E-4</v>
      </c>
      <c r="AA849">
        <v>0.99940629999999997</v>
      </c>
      <c r="AB849">
        <v>36</v>
      </c>
      <c r="AC849">
        <v>109.4913</v>
      </c>
      <c r="AD849">
        <v>-0.99048402999999896</v>
      </c>
      <c r="AE849">
        <v>-5.2066999999999499</v>
      </c>
      <c r="AF849">
        <v>3.7888925837790199</v>
      </c>
      <c r="AG849">
        <v>-0.99048402999999896</v>
      </c>
      <c r="AH849">
        <v>109.54057201158101</v>
      </c>
      <c r="AI849">
        <v>90.517754217781004</v>
      </c>
      <c r="AJ849">
        <v>88.018989329389797</v>
      </c>
      <c r="AK849">
        <v>109.610554611541</v>
      </c>
      <c r="AL849">
        <v>78.724296142870102</v>
      </c>
      <c r="AM849">
        <v>86.398342517086604</v>
      </c>
      <c r="AN849">
        <v>1.00000000379261</v>
      </c>
    </row>
    <row r="850" spans="1:40" x14ac:dyDescent="0.25">
      <c r="A850" t="str">
        <f>"20190303170513889"</f>
        <v>20190303170513889</v>
      </c>
      <c r="B850" t="str">
        <f>"1551603913875078"</f>
        <v>1551603913875078</v>
      </c>
      <c r="C850" t="s">
        <v>40</v>
      </c>
      <c r="D850">
        <v>5.0124089999999999</v>
      </c>
      <c r="E850">
        <v>0.49243130000000002</v>
      </c>
      <c r="F850" t="s">
        <v>43</v>
      </c>
      <c r="G850">
        <v>-158.75319999999999</v>
      </c>
      <c r="H850">
        <v>-0.05</v>
      </c>
      <c r="I850">
        <v>361.52550000000002</v>
      </c>
      <c r="J850">
        <v>-286.97129999999999</v>
      </c>
      <c r="K850">
        <v>1.0704720000000001</v>
      </c>
      <c r="L850">
        <v>367.60480000000001</v>
      </c>
      <c r="M850">
        <v>0.99987470000000001</v>
      </c>
      <c r="N850">
        <v>-9.0104279999999991E-3</v>
      </c>
      <c r="O850">
        <v>-1.302003E-2</v>
      </c>
      <c r="P850">
        <v>0.97959180000000001</v>
      </c>
      <c r="Q850">
        <v>0.18692880000000001</v>
      </c>
      <c r="R850">
        <v>-7.3875789999999997E-2</v>
      </c>
      <c r="S850">
        <v>3.0565799999999999</v>
      </c>
      <c r="T850">
        <v>-2.6633980000000002E-2</v>
      </c>
      <c r="U850">
        <v>-0.1446228</v>
      </c>
      <c r="V850">
        <v>6.116017E-2</v>
      </c>
      <c r="W850">
        <v>0.1957412</v>
      </c>
      <c r="X850">
        <v>0.97874649999999996</v>
      </c>
      <c r="Y850">
        <v>3.4249710000000003E-2</v>
      </c>
      <c r="Z850">
        <v>-3.0742049999999999E-4</v>
      </c>
      <c r="AA850">
        <v>0.99941329999999995</v>
      </c>
      <c r="AB850">
        <v>36</v>
      </c>
      <c r="AC850">
        <v>128.21809999999999</v>
      </c>
      <c r="AD850">
        <v>-1.1204719999999999</v>
      </c>
      <c r="AE850">
        <v>-6.0792999999999804</v>
      </c>
      <c r="AF850">
        <v>4.40897753182547</v>
      </c>
      <c r="AG850">
        <v>-1.1204719999999999</v>
      </c>
      <c r="AH850">
        <v>128.276612619639</v>
      </c>
      <c r="AI850">
        <v>90.500159761277402</v>
      </c>
      <c r="AJ850">
        <v>88.031469701034396</v>
      </c>
      <c r="AK850">
        <v>128.35725100495</v>
      </c>
      <c r="AL850">
        <v>78.711973721129993</v>
      </c>
      <c r="AM850">
        <v>86.424335413730205</v>
      </c>
      <c r="AN850">
        <v>0.99999994751705801</v>
      </c>
    </row>
    <row r="851" spans="1:40" x14ac:dyDescent="0.25">
      <c r="A851" t="str">
        <f>"20190303170513912"</f>
        <v>20190303170513912</v>
      </c>
      <c r="B851" t="str">
        <f>"1551603913905334"</f>
        <v>1551603913905334</v>
      </c>
      <c r="C851" t="s">
        <v>40</v>
      </c>
      <c r="D851">
        <v>5.0140529999999996</v>
      </c>
      <c r="E851">
        <v>0.49258459999999898</v>
      </c>
      <c r="F851" t="s">
        <v>43</v>
      </c>
      <c r="G851">
        <v>-152.11330000000001</v>
      </c>
      <c r="H851">
        <v>-0.05</v>
      </c>
      <c r="I851">
        <v>361.21969999999999</v>
      </c>
      <c r="J851">
        <v>-286.60669999999999</v>
      </c>
      <c r="K851">
        <v>1.070468</v>
      </c>
      <c r="L851">
        <v>367.6</v>
      </c>
      <c r="M851">
        <v>0.99987360000000003</v>
      </c>
      <c r="N851">
        <v>-9.0147070000000003E-3</v>
      </c>
      <c r="O851">
        <v>-1.309657E-2</v>
      </c>
      <c r="P851">
        <v>0.97956399999999999</v>
      </c>
      <c r="Q851">
        <v>0.18708050000000001</v>
      </c>
      <c r="R851">
        <v>-7.3861389999999999E-2</v>
      </c>
      <c r="S851">
        <v>3.0564269999999998</v>
      </c>
      <c r="T851">
        <v>-2.5394440000000001E-2</v>
      </c>
      <c r="U851">
        <v>-0.14471439999999999</v>
      </c>
      <c r="V851">
        <v>6.107071E-2</v>
      </c>
      <c r="W851">
        <v>0.1958974</v>
      </c>
      <c r="X851">
        <v>0.9787209</v>
      </c>
      <c r="Y851">
        <v>3.4205619999999999E-2</v>
      </c>
      <c r="Z851">
        <v>-3.0555920000000002E-4</v>
      </c>
      <c r="AA851">
        <v>0.99941469999999999</v>
      </c>
      <c r="AB851">
        <v>36</v>
      </c>
      <c r="AC851">
        <v>134.49339999999901</v>
      </c>
      <c r="AD851">
        <v>-1.120468</v>
      </c>
      <c r="AE851">
        <v>-6.3803000000000303</v>
      </c>
      <c r="AF851">
        <v>4.6179591615409796</v>
      </c>
      <c r="AG851">
        <v>-1.120468</v>
      </c>
      <c r="AH851">
        <v>134.556109815014</v>
      </c>
      <c r="AI851">
        <v>90.476818418755101</v>
      </c>
      <c r="AJ851">
        <v>88.034383124164293</v>
      </c>
      <c r="AK851">
        <v>134.63999288438299</v>
      </c>
      <c r="AL851">
        <v>78.702848167522703</v>
      </c>
      <c r="AM851">
        <v>86.429458909193599</v>
      </c>
      <c r="AN851">
        <v>1.00000001152173</v>
      </c>
    </row>
    <row r="852" spans="1:40" x14ac:dyDescent="0.25">
      <c r="A852" t="str">
        <f>"20190303170513934"</f>
        <v>20190303170513934</v>
      </c>
      <c r="B852" t="str">
        <f>"1551603913925831"</f>
        <v>1551603913925831</v>
      </c>
      <c r="C852" t="s">
        <v>40</v>
      </c>
      <c r="D852">
        <v>5.066192</v>
      </c>
      <c r="E852">
        <v>0.49256349999999999</v>
      </c>
      <c r="F852" t="s">
        <v>47</v>
      </c>
      <c r="G852">
        <v>-158.19499999999999</v>
      </c>
      <c r="H852">
        <v>5.2001949999999998E-2</v>
      </c>
      <c r="I852">
        <v>361.4941</v>
      </c>
      <c r="J852">
        <v>-286.25299999999999</v>
      </c>
      <c r="K852">
        <v>1.070476</v>
      </c>
      <c r="L852">
        <v>367.59530000000001</v>
      </c>
      <c r="M852">
        <v>0.99987269999999995</v>
      </c>
      <c r="N852">
        <v>-9.0189280000000007E-3</v>
      </c>
      <c r="O852">
        <v>-1.31705E-2</v>
      </c>
      <c r="P852">
        <v>0.97959289999999999</v>
      </c>
      <c r="Q852">
        <v>0.18678629999999999</v>
      </c>
      <c r="R852">
        <v>-7.4221770000000006E-2</v>
      </c>
      <c r="S852">
        <v>3.056305</v>
      </c>
      <c r="T852">
        <v>-2.4238229999999999E-2</v>
      </c>
      <c r="U852">
        <v>-0.1453247</v>
      </c>
      <c r="V852">
        <v>6.1358089999999997E-2</v>
      </c>
      <c r="W852">
        <v>0.19560749999999999</v>
      </c>
      <c r="X852">
        <v>0.97876090000000004</v>
      </c>
      <c r="Y852">
        <v>3.4332910000000001E-2</v>
      </c>
      <c r="Z852">
        <v>-3.053323E-4</v>
      </c>
      <c r="AA852">
        <v>0.99941040000000003</v>
      </c>
      <c r="AB852">
        <v>36</v>
      </c>
      <c r="AC852">
        <v>128.05799999999999</v>
      </c>
      <c r="AD852">
        <v>-1.01847405</v>
      </c>
      <c r="AE852">
        <v>-6.1012000000000004</v>
      </c>
      <c r="AF852">
        <v>4.4137359149116904</v>
      </c>
      <c r="AG852">
        <v>-1.01847405</v>
      </c>
      <c r="AH852">
        <v>128.119165460548</v>
      </c>
      <c r="AI852">
        <v>90.455189044095206</v>
      </c>
      <c r="AJ852">
        <v>88.026926995553495</v>
      </c>
      <c r="AK852">
        <v>128.19921572468499</v>
      </c>
      <c r="AL852">
        <v>78.7197858200865</v>
      </c>
      <c r="AM852">
        <v>86.412847035186203</v>
      </c>
      <c r="AN852">
        <v>1.0000000043167501</v>
      </c>
    </row>
    <row r="853" spans="1:40" x14ac:dyDescent="0.25">
      <c r="A853" t="str">
        <f>"20190303170513958"</f>
        <v>20190303170513958</v>
      </c>
      <c r="B853" t="str">
        <f>"1551603913945349"</f>
        <v>1551603913945349</v>
      </c>
      <c r="C853" t="s">
        <v>40</v>
      </c>
      <c r="D853">
        <v>5.0665789999999999</v>
      </c>
      <c r="E853">
        <v>0.49252829999999898</v>
      </c>
      <c r="F853" t="s">
        <v>43</v>
      </c>
      <c r="G853">
        <v>-147.4913</v>
      </c>
      <c r="H853">
        <v>-0.05</v>
      </c>
      <c r="I853">
        <v>360.95389999999998</v>
      </c>
      <c r="J853">
        <v>-285.88049999999998</v>
      </c>
      <c r="K853">
        <v>1.0704800000000001</v>
      </c>
      <c r="L853">
        <v>367.59030000000001</v>
      </c>
      <c r="M853">
        <v>0.99987159999999997</v>
      </c>
      <c r="N853">
        <v>-9.0235969999999995E-3</v>
      </c>
      <c r="O853">
        <v>-1.324812E-2</v>
      </c>
      <c r="P853">
        <v>0.97961149999999997</v>
      </c>
      <c r="Q853">
        <v>0.18662709999999999</v>
      </c>
      <c r="R853">
        <v>-7.4375549999999999E-2</v>
      </c>
      <c r="S853">
        <v>3.0561219999999998</v>
      </c>
      <c r="T853">
        <v>-2.4677629999999999E-2</v>
      </c>
      <c r="U853">
        <v>-0.14627079999999901</v>
      </c>
      <c r="V853">
        <v>6.1435490000000002E-2</v>
      </c>
      <c r="W853">
        <v>0.19545309999999999</v>
      </c>
      <c r="X853">
        <v>0.97878690000000002</v>
      </c>
      <c r="Y853">
        <v>3.456675E-2</v>
      </c>
      <c r="Z853">
        <v>-3.0812370000000001E-4</v>
      </c>
      <c r="AA853">
        <v>0.99940229999999997</v>
      </c>
      <c r="AB853">
        <v>36</v>
      </c>
      <c r="AC853">
        <v>138.38919999999999</v>
      </c>
      <c r="AD853">
        <v>-1.1204799999999999</v>
      </c>
      <c r="AE853">
        <v>-6.6364000000000303</v>
      </c>
      <c r="AF853">
        <v>4.8020322337210004</v>
      </c>
      <c r="AG853">
        <v>-1.1204799999999999</v>
      </c>
      <c r="AH853">
        <v>138.455921734985</v>
      </c>
      <c r="AI853">
        <v>90.463387899754593</v>
      </c>
      <c r="AJ853">
        <v>88.013620967804897</v>
      </c>
      <c r="AK853">
        <v>138.543701598046</v>
      </c>
      <c r="AL853">
        <v>78.7288065250778</v>
      </c>
      <c r="AM853">
        <v>86.4084290255703</v>
      </c>
      <c r="AN853">
        <v>1.0000000146713699</v>
      </c>
    </row>
    <row r="854" spans="1:40" x14ac:dyDescent="0.25">
      <c r="A854" t="str">
        <f>"20190303170513978"</f>
        <v>20190303170513978</v>
      </c>
      <c r="B854" t="str">
        <f>"1551603913965847"</f>
        <v>1551603913965847</v>
      </c>
      <c r="C854" t="s">
        <v>40</v>
      </c>
      <c r="D854">
        <v>5.1247020000000001</v>
      </c>
      <c r="E854">
        <v>0.49254589999999998</v>
      </c>
      <c r="F854" t="s">
        <v>43</v>
      </c>
      <c r="G854">
        <v>-149.07259999999999</v>
      </c>
      <c r="H854">
        <v>-0.05</v>
      </c>
      <c r="I854">
        <v>361.01510000000002</v>
      </c>
      <c r="J854">
        <v>-285.52730000000003</v>
      </c>
      <c r="K854">
        <v>1.0704800000000001</v>
      </c>
      <c r="L854">
        <v>367.5856</v>
      </c>
      <c r="M854">
        <v>0.9998705</v>
      </c>
      <c r="N854">
        <v>-9.0283189999999999E-3</v>
      </c>
      <c r="O854">
        <v>-1.332181E-2</v>
      </c>
      <c r="P854">
        <v>0.97970639999999998</v>
      </c>
      <c r="Q854">
        <v>0.18624450000000001</v>
      </c>
      <c r="R854">
        <v>-7.4085979999999996E-2</v>
      </c>
      <c r="S854">
        <v>3.0560909999999999</v>
      </c>
      <c r="T854">
        <v>-2.5029900000000001E-2</v>
      </c>
      <c r="U854">
        <v>-0.14688109999999999</v>
      </c>
      <c r="V854">
        <v>6.1072170000000002E-2</v>
      </c>
      <c r="W854">
        <v>0.19507620000000001</v>
      </c>
      <c r="X854">
        <v>0.9788848</v>
      </c>
      <c r="Y854">
        <v>3.469266E-2</v>
      </c>
      <c r="Z854">
        <v>-3.0987940000000002E-4</v>
      </c>
      <c r="AA854">
        <v>0.99939800000000001</v>
      </c>
      <c r="AB854">
        <v>36</v>
      </c>
      <c r="AC854">
        <v>136.4547</v>
      </c>
      <c r="AD854">
        <v>-1.1204799999999999</v>
      </c>
      <c r="AE854">
        <v>-6.5704999999999796</v>
      </c>
      <c r="AF854">
        <v>4.7516995621438003</v>
      </c>
      <c r="AG854">
        <v>-1.1204799999999999</v>
      </c>
      <c r="AH854">
        <v>136.52094079699799</v>
      </c>
      <c r="AI854">
        <v>90.469953436183701</v>
      </c>
      <c r="AJ854">
        <v>88.006588072198497</v>
      </c>
      <c r="AK854">
        <v>136.608204000553</v>
      </c>
      <c r="AL854">
        <v>78.750824899529903</v>
      </c>
      <c r="AM854">
        <v>86.429970073154394</v>
      </c>
      <c r="AN854">
        <v>0.999999992712994</v>
      </c>
    </row>
    <row r="855" spans="1:40" x14ac:dyDescent="0.25">
      <c r="A855" t="str">
        <f>"20190303170514002"</f>
        <v>20190303170514002</v>
      </c>
      <c r="B855" t="str">
        <f>"1551603913995126"</f>
        <v>1551603913995126</v>
      </c>
      <c r="C855" t="s">
        <v>40</v>
      </c>
      <c r="D855">
        <v>5.062913</v>
      </c>
      <c r="E855">
        <v>0.49255700000000002</v>
      </c>
      <c r="F855" t="s">
        <v>43</v>
      </c>
      <c r="G855">
        <v>-153.43340000000001</v>
      </c>
      <c r="H855">
        <v>-0.05</v>
      </c>
      <c r="I855">
        <v>361.28699999999998</v>
      </c>
      <c r="J855">
        <v>-285.14499999999998</v>
      </c>
      <c r="K855">
        <v>1.0704830000000001</v>
      </c>
      <c r="L855">
        <v>367.5804</v>
      </c>
      <c r="M855">
        <v>0.99986949999999997</v>
      </c>
      <c r="N855">
        <v>-9.0338060000000001E-3</v>
      </c>
      <c r="O855">
        <v>-1.340159E-2</v>
      </c>
      <c r="P855">
        <v>0.97976149999999995</v>
      </c>
      <c r="Q855">
        <v>0.18595890000000001</v>
      </c>
      <c r="R855">
        <v>-7.4075260000000004E-2</v>
      </c>
      <c r="S855">
        <v>3.0560610000000001</v>
      </c>
      <c r="T855">
        <v>-2.5922890000000001E-2</v>
      </c>
      <c r="U855">
        <v>-0.1457214</v>
      </c>
      <c r="V855">
        <v>6.0982109999999999E-2</v>
      </c>
      <c r="W855">
        <v>0.194797</v>
      </c>
      <c r="X855">
        <v>0.97894599999999998</v>
      </c>
      <c r="Y855">
        <v>3.423491E-2</v>
      </c>
      <c r="Z855">
        <v>-3.0725890000000001E-4</v>
      </c>
      <c r="AA855">
        <v>0.99941380000000002</v>
      </c>
      <c r="AB855">
        <v>36</v>
      </c>
      <c r="AC855">
        <v>131.71159999999901</v>
      </c>
      <c r="AD855">
        <v>-1.1204829999999999</v>
      </c>
      <c r="AE855">
        <v>-6.2934000000000099</v>
      </c>
      <c r="AF855">
        <v>4.5272911865016496</v>
      </c>
      <c r="AG855">
        <v>-1.1204829999999999</v>
      </c>
      <c r="AH855">
        <v>131.77460074027499</v>
      </c>
      <c r="AI855">
        <v>90.486888571829894</v>
      </c>
      <c r="AJ855">
        <v>88.032301453233003</v>
      </c>
      <c r="AK855">
        <v>131.857109205001</v>
      </c>
      <c r="AL855">
        <v>78.767134627051504</v>
      </c>
      <c r="AM855">
        <v>86.435443309860304</v>
      </c>
      <c r="AN855">
        <v>0.99999997993252498</v>
      </c>
    </row>
    <row r="856" spans="1:40" x14ac:dyDescent="0.25">
      <c r="A856" t="str">
        <f>"20190303170514024"</f>
        <v>20190303170514024</v>
      </c>
      <c r="B856" t="str">
        <f>"1551603914015623"</f>
        <v>1551603914015623</v>
      </c>
      <c r="C856" t="s">
        <v>40</v>
      </c>
      <c r="D856">
        <v>5.1230029999999998</v>
      </c>
      <c r="E856">
        <v>0.49252699999999999</v>
      </c>
      <c r="F856" t="s">
        <v>43</v>
      </c>
      <c r="G856">
        <v>-155.83009999999999</v>
      </c>
      <c r="H856">
        <v>-0.05</v>
      </c>
      <c r="I856">
        <v>361.40120000000002</v>
      </c>
      <c r="J856">
        <v>-284.79360000000003</v>
      </c>
      <c r="K856">
        <v>1.0704830000000001</v>
      </c>
      <c r="L856">
        <v>367.57569999999998</v>
      </c>
      <c r="M856">
        <v>0.99986850000000005</v>
      </c>
      <c r="N856">
        <v>-9.039175E-3</v>
      </c>
      <c r="O856">
        <v>-1.347336E-2</v>
      </c>
      <c r="P856">
        <v>0.97982270000000005</v>
      </c>
      <c r="Q856">
        <v>0.18571560000000001</v>
      </c>
      <c r="R856">
        <v>-7.3874099999999998E-2</v>
      </c>
      <c r="S856">
        <v>3.0559690000000002</v>
      </c>
      <c r="T856">
        <v>-2.6479240000000001E-2</v>
      </c>
      <c r="U856">
        <v>-0.14602660000000001</v>
      </c>
      <c r="V856">
        <v>6.0709630000000001E-2</v>
      </c>
      <c r="W856">
        <v>0.19455890000000001</v>
      </c>
      <c r="X856">
        <v>0.9790103</v>
      </c>
      <c r="Y856">
        <v>3.4264089999999997E-2</v>
      </c>
      <c r="Z856">
        <v>-3.0838570000000002E-4</v>
      </c>
      <c r="AA856">
        <v>0.99941279999999999</v>
      </c>
      <c r="AB856">
        <v>36</v>
      </c>
      <c r="AC856">
        <v>128.96350000000001</v>
      </c>
      <c r="AD856">
        <v>-1.1204829999999999</v>
      </c>
      <c r="AE856">
        <v>-6.1744999999999601</v>
      </c>
      <c r="AF856">
        <v>4.43596297024291</v>
      </c>
      <c r="AG856">
        <v>-1.1204829999999999</v>
      </c>
      <c r="AH856">
        <v>129.02527013868999</v>
      </c>
      <c r="AI856">
        <v>90.497262491046698</v>
      </c>
      <c r="AJ856">
        <v>88.030913749517396</v>
      </c>
      <c r="AK856">
        <v>129.10636538911899</v>
      </c>
      <c r="AL856">
        <v>78.781043039626496</v>
      </c>
      <c r="AM856">
        <v>86.451562131287204</v>
      </c>
      <c r="AN856">
        <v>0.999999996125018</v>
      </c>
    </row>
    <row r="857" spans="1:40" x14ac:dyDescent="0.25">
      <c r="A857" t="str">
        <f>"20190303170514035"</f>
        <v>20190303170514035</v>
      </c>
      <c r="B857" t="str">
        <f>"1551603914025383"</f>
        <v>1551603914025383</v>
      </c>
      <c r="C857" t="s">
        <v>40</v>
      </c>
      <c r="D857">
        <v>5.1231949999999999</v>
      </c>
      <c r="E857">
        <v>0.49253469999999999</v>
      </c>
      <c r="F857" t="s">
        <v>43</v>
      </c>
      <c r="G857">
        <v>-159.68129999999999</v>
      </c>
      <c r="H857">
        <v>-0.05</v>
      </c>
      <c r="I857">
        <v>361.6336</v>
      </c>
      <c r="J857">
        <v>-284.59710000000001</v>
      </c>
      <c r="K857">
        <v>1.0704800000000001</v>
      </c>
      <c r="L857">
        <v>367.57299999999998</v>
      </c>
      <c r="M857">
        <v>0.99986790000000003</v>
      </c>
      <c r="N857">
        <v>-9.0423139999999992E-3</v>
      </c>
      <c r="O857">
        <v>-1.3510670000000001E-2</v>
      </c>
      <c r="P857">
        <v>0.97985009999999995</v>
      </c>
      <c r="Q857">
        <v>0.18570110000000001</v>
      </c>
      <c r="R857">
        <v>-7.3546589999999995E-2</v>
      </c>
      <c r="S857">
        <v>3.0560299999999998</v>
      </c>
      <c r="T857">
        <v>-2.7369259999999999E-2</v>
      </c>
      <c r="U857">
        <v>-0.14514160000000001</v>
      </c>
      <c r="V857">
        <v>6.034424E-2</v>
      </c>
      <c r="W857">
        <v>0.19454859999999999</v>
      </c>
      <c r="X857">
        <v>0.97903499999999999</v>
      </c>
      <c r="Y857">
        <v>3.3936969999999997E-2</v>
      </c>
      <c r="Z857">
        <v>-3.0660609999999999E-4</v>
      </c>
      <c r="AA857">
        <v>0.99942390000000003</v>
      </c>
      <c r="AB857">
        <v>36</v>
      </c>
      <c r="AC857">
        <v>124.9158</v>
      </c>
      <c r="AD857">
        <v>-1.1204799999999999</v>
      </c>
      <c r="AE857">
        <v>-5.9394000000000302</v>
      </c>
      <c r="AF857">
        <v>4.2507515572071304</v>
      </c>
      <c r="AG857">
        <v>-1.1204799999999999</v>
      </c>
      <c r="AH857">
        <v>124.974613520763</v>
      </c>
      <c r="AI857">
        <v>90.513383904221399</v>
      </c>
      <c r="AJ857">
        <v>88.051954209371701</v>
      </c>
      <c r="AK857">
        <v>125.051902779988</v>
      </c>
      <c r="AL857">
        <v>78.781645387214695</v>
      </c>
      <c r="AM857">
        <v>86.472953618988996</v>
      </c>
      <c r="AN857">
        <v>1.00000005814406</v>
      </c>
    </row>
    <row r="858" spans="1:40" x14ac:dyDescent="0.25">
      <c r="A858" t="str">
        <f>"20190303170514047"</f>
        <v>20190303170514047</v>
      </c>
      <c r="B858" t="str">
        <f>"1551603914035142"</f>
        <v>1551603914035142</v>
      </c>
      <c r="C858" t="s">
        <v>40</v>
      </c>
      <c r="D858">
        <v>5.1787929999999998</v>
      </c>
      <c r="E858">
        <v>0.49254019999999998</v>
      </c>
      <c r="F858" t="s">
        <v>43</v>
      </c>
      <c r="G858">
        <v>-159.751</v>
      </c>
      <c r="H858">
        <v>-0.05</v>
      </c>
      <c r="I858">
        <v>361.66980000000001</v>
      </c>
      <c r="J858">
        <v>-284.41370000000001</v>
      </c>
      <c r="K858">
        <v>1.070481</v>
      </c>
      <c r="L858">
        <v>367.57040000000001</v>
      </c>
      <c r="M858">
        <v>0.99986750000000002</v>
      </c>
      <c r="N858">
        <v>-9.0452950000000001E-3</v>
      </c>
      <c r="O858">
        <v>-1.354464E-2</v>
      </c>
      <c r="P858">
        <v>0.97984260000000001</v>
      </c>
      <c r="Q858">
        <v>0.18570490000000001</v>
      </c>
      <c r="R858">
        <v>-7.3637339999999996E-2</v>
      </c>
      <c r="S858">
        <v>3.0560610000000001</v>
      </c>
      <c r="T858">
        <v>-2.7427790000000001E-2</v>
      </c>
      <c r="U858">
        <v>-0.14450070000000001</v>
      </c>
      <c r="V858">
        <v>6.0401179999999999E-2</v>
      </c>
      <c r="W858">
        <v>0.19455520000000001</v>
      </c>
      <c r="X858">
        <v>0.97903010000000001</v>
      </c>
      <c r="Y858">
        <v>3.3693439999999998E-2</v>
      </c>
      <c r="Z858">
        <v>-3.0457109999999999E-4</v>
      </c>
      <c r="AA858">
        <v>0.99943210000000005</v>
      </c>
      <c r="AB858">
        <v>36</v>
      </c>
      <c r="AC858">
        <v>124.6627</v>
      </c>
      <c r="AD858">
        <v>-1.1204809999999901</v>
      </c>
      <c r="AE858">
        <v>-5.9005999999999901</v>
      </c>
      <c r="AF858">
        <v>4.2111390113496698</v>
      </c>
      <c r="AG858">
        <v>-1.1204809999999901</v>
      </c>
      <c r="AH858">
        <v>124.721134969565</v>
      </c>
      <c r="AI858">
        <v>90.514432016140404</v>
      </c>
      <c r="AJ858">
        <v>88.066174867357503</v>
      </c>
      <c r="AK858">
        <v>124.797238260871</v>
      </c>
      <c r="AL858">
        <v>78.781259009605805</v>
      </c>
      <c r="AM858">
        <v>86.469616334823698</v>
      </c>
      <c r="AN858">
        <v>0.99999998254922096</v>
      </c>
    </row>
    <row r="859" spans="1:40" x14ac:dyDescent="0.25">
      <c r="A859" t="str">
        <f>"20190303170514058"</f>
        <v>20190303170514058</v>
      </c>
      <c r="B859" t="str">
        <f>"1551603914045879"</f>
        <v>1551603914045879</v>
      </c>
      <c r="C859" t="s">
        <v>40</v>
      </c>
      <c r="D859">
        <v>5.1194110000000004</v>
      </c>
      <c r="E859">
        <v>0.4925214</v>
      </c>
      <c r="F859" t="s">
        <v>43</v>
      </c>
      <c r="G859">
        <v>-159.3192</v>
      </c>
      <c r="H859">
        <v>-0.05</v>
      </c>
      <c r="I859">
        <v>361.65050000000002</v>
      </c>
      <c r="J859">
        <v>-284.22309999999999</v>
      </c>
      <c r="K859">
        <v>1.0704830000000001</v>
      </c>
      <c r="L859">
        <v>367.56790000000001</v>
      </c>
      <c r="M859">
        <v>0.9998669</v>
      </c>
      <c r="N859">
        <v>-9.0484869999999992E-3</v>
      </c>
      <c r="O859">
        <v>-1.357824E-2</v>
      </c>
      <c r="P859">
        <v>0.97982780000000003</v>
      </c>
      <c r="Q859">
        <v>0.18569579999999999</v>
      </c>
      <c r="R859">
        <v>-7.3854660000000003E-2</v>
      </c>
      <c r="S859">
        <v>3.0560299999999998</v>
      </c>
      <c r="T859">
        <v>-2.7373080000000001E-2</v>
      </c>
      <c r="U859">
        <v>-0.1446228</v>
      </c>
      <c r="V859">
        <v>6.0584470000000001E-2</v>
      </c>
      <c r="W859">
        <v>0.19454959999999999</v>
      </c>
      <c r="X859">
        <v>0.97901990000000005</v>
      </c>
      <c r="Y859">
        <v>3.3700149999999998E-2</v>
      </c>
      <c r="Z859">
        <v>-3.0467299999999999E-4</v>
      </c>
      <c r="AA859">
        <v>0.99943199999999999</v>
      </c>
      <c r="AB859">
        <v>37</v>
      </c>
      <c r="AC859">
        <v>124.90389999999999</v>
      </c>
      <c r="AD859">
        <v>-1.1204829999999999</v>
      </c>
      <c r="AE859">
        <v>-5.9173999999999802</v>
      </c>
      <c r="AF859">
        <v>4.22047104655746</v>
      </c>
      <c r="AG859">
        <v>-1.1204829999999999</v>
      </c>
      <c r="AH859">
        <v>124.962701716154</v>
      </c>
      <c r="AI859">
        <v>90.513438368832496</v>
      </c>
      <c r="AJ859">
        <v>88.065636433176095</v>
      </c>
      <c r="AK859">
        <v>125.038972637368</v>
      </c>
      <c r="AL859">
        <v>78.781586254720196</v>
      </c>
      <c r="AM859">
        <v>86.458893651751197</v>
      </c>
      <c r="AN859">
        <v>0.99999999473067502</v>
      </c>
    </row>
    <row r="860" spans="1:40" x14ac:dyDescent="0.25">
      <c r="A860" t="str">
        <f>"20190303170514080"</f>
        <v>20190303170514080</v>
      </c>
      <c r="B860" t="str">
        <f>"1551603914075158"</f>
        <v>1551603914075158</v>
      </c>
      <c r="C860" t="s">
        <v>40</v>
      </c>
      <c r="D860">
        <v>5.1791010000000002</v>
      </c>
      <c r="E860">
        <v>0.4925795</v>
      </c>
      <c r="F860" t="s">
        <v>43</v>
      </c>
      <c r="G860">
        <v>-159.37459999999999</v>
      </c>
      <c r="H860">
        <v>-0.05</v>
      </c>
      <c r="I860">
        <v>361.64339999999999</v>
      </c>
      <c r="J860">
        <v>-283.87439999999998</v>
      </c>
      <c r="K860">
        <v>1.070489</v>
      </c>
      <c r="L860">
        <v>367.56299999999999</v>
      </c>
      <c r="M860">
        <v>0.99986609999999998</v>
      </c>
      <c r="N860">
        <v>-9.0545169999999998E-3</v>
      </c>
      <c r="O860">
        <v>-1.3630400000000001E-2</v>
      </c>
      <c r="P860">
        <v>0.9797882</v>
      </c>
      <c r="Q860">
        <v>0.18571289999999999</v>
      </c>
      <c r="R860">
        <v>-7.4333780000000002E-2</v>
      </c>
      <c r="S860">
        <v>3.0560299999999998</v>
      </c>
      <c r="T860">
        <v>-2.742708E-2</v>
      </c>
      <c r="U860">
        <v>-0.1450195</v>
      </c>
      <c r="V860">
        <v>6.1009439999999998E-2</v>
      </c>
      <c r="W860">
        <v>0.194573</v>
      </c>
      <c r="X860">
        <v>0.97898890000000005</v>
      </c>
      <c r="Y860">
        <v>3.3777460000000002E-2</v>
      </c>
      <c r="Z860">
        <v>-3.0561560000000001E-4</v>
      </c>
      <c r="AA860">
        <v>0.99942929999999996</v>
      </c>
      <c r="AB860">
        <v>37</v>
      </c>
      <c r="AC860">
        <v>124.49979999999999</v>
      </c>
      <c r="AD860">
        <v>-1.1204889999999901</v>
      </c>
      <c r="AE860">
        <v>-5.9196000000000604</v>
      </c>
      <c r="AF860">
        <v>4.2216572077079197</v>
      </c>
      <c r="AG860">
        <v>-1.1204889999999901</v>
      </c>
      <c r="AH860">
        <v>124.558856721558</v>
      </c>
      <c r="AI860">
        <v>90.515103636570103</v>
      </c>
      <c r="AJ860">
        <v>88.058824627203506</v>
      </c>
      <c r="AK860">
        <v>124.635415002961</v>
      </c>
      <c r="AL860">
        <v>78.780219873704894</v>
      </c>
      <c r="AM860">
        <v>86.434005792753695</v>
      </c>
      <c r="AN860">
        <v>1.0000000352106599</v>
      </c>
    </row>
    <row r="861" spans="1:40" x14ac:dyDescent="0.25">
      <c r="A861" t="str">
        <f>"20190303170514091"</f>
        <v>20190303170514091</v>
      </c>
      <c r="B861" t="str">
        <f>"1551603914084918"</f>
        <v>1551603914084918</v>
      </c>
      <c r="C861" t="s">
        <v>40</v>
      </c>
      <c r="D861">
        <v>5.1760469999999996</v>
      </c>
      <c r="E861">
        <v>0.49257210000000001</v>
      </c>
      <c r="F861" t="s">
        <v>43</v>
      </c>
      <c r="G861">
        <v>-157.66919999999999</v>
      </c>
      <c r="H861">
        <v>-0.05</v>
      </c>
      <c r="I861">
        <v>361.5034</v>
      </c>
      <c r="J861">
        <v>-283.68830000000003</v>
      </c>
      <c r="K861">
        <v>1.0704910000000001</v>
      </c>
      <c r="L861">
        <v>367.56049999999999</v>
      </c>
      <c r="M861">
        <v>0.99986580000000003</v>
      </c>
      <c r="N861">
        <v>-9.0578499999999992E-3</v>
      </c>
      <c r="O861">
        <v>-1.365193E-2</v>
      </c>
      <c r="P861">
        <v>0.97979059999999996</v>
      </c>
      <c r="Q861">
        <v>0.1856284</v>
      </c>
      <c r="R861">
        <v>-7.4515219999999993E-2</v>
      </c>
      <c r="S861">
        <v>3.0559080000000001</v>
      </c>
      <c r="T861">
        <v>-2.713132E-2</v>
      </c>
      <c r="U861">
        <v>-0.14672850000000001</v>
      </c>
      <c r="V861">
        <v>6.1167050000000001E-2</v>
      </c>
      <c r="W861">
        <v>0.19449250000000001</v>
      </c>
      <c r="X861">
        <v>0.97899499999999995</v>
      </c>
      <c r="Y861">
        <v>3.4315470000000001E-2</v>
      </c>
      <c r="Z861">
        <v>-3.1023239999999999E-4</v>
      </c>
      <c r="AA861">
        <v>0.99941100000000005</v>
      </c>
      <c r="AB861">
        <v>37</v>
      </c>
      <c r="AC861">
        <v>126.01909999999999</v>
      </c>
      <c r="AD861">
        <v>-1.1204909999999999</v>
      </c>
      <c r="AE861">
        <v>-6.0570999999999904</v>
      </c>
      <c r="AF861">
        <v>4.33571902042668</v>
      </c>
      <c r="AG861">
        <v>-1.1204909999999999</v>
      </c>
      <c r="AH861">
        <v>126.080104943987</v>
      </c>
      <c r="AI861">
        <v>90.508881171168497</v>
      </c>
      <c r="AJ861">
        <v>88.030454162491395</v>
      </c>
      <c r="AK861">
        <v>126.15960852107899</v>
      </c>
      <c r="AL861">
        <v>78.784921332661497</v>
      </c>
      <c r="AM861">
        <v>86.424839589896905</v>
      </c>
      <c r="AN861">
        <v>0.99999997529347495</v>
      </c>
    </row>
    <row r="862" spans="1:40" x14ac:dyDescent="0.25">
      <c r="A862" t="str">
        <f>"20190303170514102"</f>
        <v>20190303170514102</v>
      </c>
      <c r="B862" t="str">
        <f>"1551603914095654"</f>
        <v>1551603914095654</v>
      </c>
      <c r="C862" t="s">
        <v>40</v>
      </c>
      <c r="D862">
        <v>5.2355660000000004</v>
      </c>
      <c r="E862">
        <v>0.49257709999999999</v>
      </c>
      <c r="F862" t="s">
        <v>43</v>
      </c>
      <c r="G862">
        <v>-157.69839999999999</v>
      </c>
      <c r="H862">
        <v>-0.05</v>
      </c>
      <c r="I862">
        <v>361.49220000000003</v>
      </c>
      <c r="J862">
        <v>-283.49889999999999</v>
      </c>
      <c r="K862">
        <v>1.0705</v>
      </c>
      <c r="L862">
        <v>367.55790000000002</v>
      </c>
      <c r="M862">
        <v>0.99986549999999996</v>
      </c>
      <c r="N862">
        <v>-9.0612780000000007E-3</v>
      </c>
      <c r="O862">
        <v>-1.367203E-2</v>
      </c>
      <c r="P862">
        <v>0.97981589999999996</v>
      </c>
      <c r="Q862">
        <v>0.18538940000000001</v>
      </c>
      <c r="R862">
        <v>-7.4779029999999996E-2</v>
      </c>
      <c r="S862">
        <v>3.0558779999999999</v>
      </c>
      <c r="T862">
        <v>-2.7177449999999999E-2</v>
      </c>
      <c r="U862">
        <v>-0.14718629999999999</v>
      </c>
      <c r="V862">
        <v>6.1407990000000003E-2</v>
      </c>
      <c r="W862">
        <v>0.19425819999999999</v>
      </c>
      <c r="X862">
        <v>0.97902650000000002</v>
      </c>
      <c r="Y862">
        <v>3.4445209999999997E-2</v>
      </c>
      <c r="Z862">
        <v>-3.1155959999999998E-4</v>
      </c>
      <c r="AA862">
        <v>0.99940649999999998</v>
      </c>
      <c r="AB862">
        <v>37</v>
      </c>
      <c r="AC862">
        <v>125.8005</v>
      </c>
      <c r="AD862">
        <v>-1.1205000000000001</v>
      </c>
      <c r="AE862">
        <v>-6.0656999999999899</v>
      </c>
      <c r="AF862">
        <v>4.3447703433811604</v>
      </c>
      <c r="AG862">
        <v>-1.1205000000000001</v>
      </c>
      <c r="AH862">
        <v>125.861712784288</v>
      </c>
      <c r="AI862">
        <v>90.509765908796496</v>
      </c>
      <c r="AJ862">
        <v>88.022923831483993</v>
      </c>
      <c r="AK862">
        <v>125.941666237117</v>
      </c>
      <c r="AL862">
        <v>78.798607471435005</v>
      </c>
      <c r="AM862">
        <v>86.410908779994202</v>
      </c>
      <c r="AN862">
        <v>1.00000003860266</v>
      </c>
    </row>
    <row r="863" spans="1:40" x14ac:dyDescent="0.25">
      <c r="A863" t="str">
        <f>"20190303170514114"</f>
        <v>20190303170514114</v>
      </c>
      <c r="B863" t="str">
        <f>"1551603914105415"</f>
        <v>1551603914105415</v>
      </c>
      <c r="C863" t="s">
        <v>40</v>
      </c>
      <c r="D863">
        <v>5.1826309999999998</v>
      </c>
      <c r="E863">
        <v>0.49258429999999997</v>
      </c>
      <c r="F863" t="s">
        <v>49</v>
      </c>
      <c r="G863">
        <v>-175.13380000000001</v>
      </c>
      <c r="H863">
        <v>7.9988089999999998E-2</v>
      </c>
      <c r="I863">
        <v>362.31670000000003</v>
      </c>
      <c r="J863">
        <v>-283.31540000000001</v>
      </c>
      <c r="K863">
        <v>1.070506</v>
      </c>
      <c r="L863">
        <v>367.55529999999999</v>
      </c>
      <c r="M863">
        <v>0.99986520000000001</v>
      </c>
      <c r="N863">
        <v>-9.0647000000000002E-3</v>
      </c>
      <c r="O863">
        <v>-1.3685920000000001E-2</v>
      </c>
      <c r="P863">
        <v>0.97986870000000004</v>
      </c>
      <c r="Q863">
        <v>0.18508740000000001</v>
      </c>
      <c r="R863">
        <v>-7.4836379999999994E-2</v>
      </c>
      <c r="S863">
        <v>3.0558169999999998</v>
      </c>
      <c r="T863">
        <v>-2.7931689999999999E-2</v>
      </c>
      <c r="U863">
        <v>-0.1477966</v>
      </c>
      <c r="V863">
        <v>6.144782E-2</v>
      </c>
      <c r="W863">
        <v>0.19396070000000001</v>
      </c>
      <c r="X863">
        <v>0.97908289999999998</v>
      </c>
      <c r="Y863">
        <v>3.4631299999999997E-2</v>
      </c>
      <c r="Z863">
        <v>-3.1423539999999998E-4</v>
      </c>
      <c r="AA863">
        <v>0.99940010000000001</v>
      </c>
      <c r="AB863">
        <v>37</v>
      </c>
      <c r="AC863">
        <v>108.1816</v>
      </c>
      <c r="AD863">
        <v>-0.99051791</v>
      </c>
      <c r="AE863">
        <v>-5.23859999999996</v>
      </c>
      <c r="AF863">
        <v>3.7571694548663301</v>
      </c>
      <c r="AG863">
        <v>-0.99051791</v>
      </c>
      <c r="AH863">
        <v>108.234112833692</v>
      </c>
      <c r="AI863">
        <v>90.524019182604903</v>
      </c>
      <c r="AJ863">
        <v>88.011869441979002</v>
      </c>
      <c r="AK863">
        <v>108.303834784087</v>
      </c>
      <c r="AL863">
        <v>78.815982527407002</v>
      </c>
      <c r="AM863">
        <v>86.408793282555294</v>
      </c>
      <c r="AN863">
        <v>0.99999995639982497</v>
      </c>
    </row>
    <row r="864" spans="1:40" x14ac:dyDescent="0.25">
      <c r="A864" t="str">
        <f>"20190303170514126"</f>
        <v>20190303170514126</v>
      </c>
      <c r="B864" t="str">
        <f>"1551603914116150"</f>
        <v>1551603914116150</v>
      </c>
      <c r="C864" t="s">
        <v>40</v>
      </c>
      <c r="D864">
        <v>5.1821039999999998</v>
      </c>
      <c r="E864">
        <v>0.49256309999999898</v>
      </c>
      <c r="F864" t="s">
        <v>49</v>
      </c>
      <c r="G864">
        <v>-178.4196</v>
      </c>
      <c r="H864">
        <v>7.9987950000000002E-2</v>
      </c>
      <c r="I864">
        <v>362.47129999999999</v>
      </c>
      <c r="J864">
        <v>-283.1139</v>
      </c>
      <c r="K864">
        <v>1.070514</v>
      </c>
      <c r="L864">
        <v>367.55259999999998</v>
      </c>
      <c r="M864">
        <v>0.99986509999999995</v>
      </c>
      <c r="N864">
        <v>-9.0684979999999995E-3</v>
      </c>
      <c r="O864">
        <v>-1.3699930000000001E-2</v>
      </c>
      <c r="P864">
        <v>0.9798386</v>
      </c>
      <c r="Q864">
        <v>0.18525359999999999</v>
      </c>
      <c r="R864">
        <v>-7.4816549999999996E-2</v>
      </c>
      <c r="S864">
        <v>3.0557249999999998</v>
      </c>
      <c r="T864">
        <v>-2.8854850000000001E-2</v>
      </c>
      <c r="U864">
        <v>-0.14810179999999901</v>
      </c>
      <c r="V864">
        <v>6.1411930000000003E-2</v>
      </c>
      <c r="W864">
        <v>0.1941319</v>
      </c>
      <c r="X864">
        <v>0.97905129999999996</v>
      </c>
      <c r="Y864">
        <v>3.471817E-2</v>
      </c>
      <c r="Z864">
        <v>-3.1624959999999999E-4</v>
      </c>
      <c r="AA864">
        <v>0.99939710000000004</v>
      </c>
      <c r="AB864">
        <v>37</v>
      </c>
      <c r="AC864">
        <v>104.6943</v>
      </c>
      <c r="AD864">
        <v>-0.99052605000000005</v>
      </c>
      <c r="AE864">
        <v>-5.0812999999999899</v>
      </c>
      <c r="AF864">
        <v>3.6461340209235602</v>
      </c>
      <c r="AG864">
        <v>-0.99052605000000005</v>
      </c>
      <c r="AH864">
        <v>104.744736135016</v>
      </c>
      <c r="AI864">
        <v>90.541477525768997</v>
      </c>
      <c r="AJ864">
        <v>88.006355442340293</v>
      </c>
      <c r="AK864">
        <v>104.812857909458</v>
      </c>
      <c r="AL864">
        <v>78.805984308986197</v>
      </c>
      <c r="AM864">
        <v>86.410769784319996</v>
      </c>
      <c r="AN864">
        <v>1.0000000338878099</v>
      </c>
    </row>
    <row r="865" spans="1:40" x14ac:dyDescent="0.25">
      <c r="A865" t="str">
        <f>"20190303170514138"</f>
        <v>20190303170514138</v>
      </c>
      <c r="B865" t="str">
        <f>"1551603914126887"</f>
        <v>1551603914126887</v>
      </c>
      <c r="C865" t="s">
        <v>40</v>
      </c>
      <c r="D865">
        <v>5.242305</v>
      </c>
      <c r="E865">
        <v>0.49253999999999998</v>
      </c>
      <c r="F865" t="s">
        <v>49</v>
      </c>
      <c r="G865">
        <v>-176.3562</v>
      </c>
      <c r="H865">
        <v>7.9988039999999996E-2</v>
      </c>
      <c r="I865">
        <v>362.38479999999998</v>
      </c>
      <c r="J865">
        <v>-282.9196</v>
      </c>
      <c r="K865">
        <v>1.0705279999999999</v>
      </c>
      <c r="L865">
        <v>367.54989999999998</v>
      </c>
      <c r="M865">
        <v>0.99986489999999995</v>
      </c>
      <c r="N865">
        <v>-9.0722530000000006E-3</v>
      </c>
      <c r="O865">
        <v>-1.3710129999999999E-2</v>
      </c>
      <c r="P865">
        <v>0.97977550000000002</v>
      </c>
      <c r="Q865">
        <v>0.18539079999999999</v>
      </c>
      <c r="R865">
        <v>-7.5300019999999995E-2</v>
      </c>
      <c r="S865">
        <v>3.0557859999999999</v>
      </c>
      <c r="T865">
        <v>-2.835238E-2</v>
      </c>
      <c r="U865">
        <v>-0.14791869999999999</v>
      </c>
      <c r="V865">
        <v>6.1883510000000003E-2</v>
      </c>
      <c r="W865">
        <v>0.19427269999999999</v>
      </c>
      <c r="X865">
        <v>0.97899369999999997</v>
      </c>
      <c r="Y865">
        <v>3.4647339999999999E-2</v>
      </c>
      <c r="Z865">
        <v>-3.1511190000000001E-4</v>
      </c>
      <c r="AA865">
        <v>0.9993995</v>
      </c>
      <c r="AB865">
        <v>37</v>
      </c>
      <c r="AC865">
        <v>106.5634</v>
      </c>
      <c r="AD865">
        <v>-0.99053996</v>
      </c>
      <c r="AE865">
        <v>-5.16509999999999</v>
      </c>
      <c r="AF865">
        <v>3.7032371529785899</v>
      </c>
      <c r="AG865">
        <v>-0.99053996</v>
      </c>
      <c r="AH865">
        <v>106.61501032704599</v>
      </c>
      <c r="AI865">
        <v>90.531988163298195</v>
      </c>
      <c r="AJ865">
        <v>88.010649823175797</v>
      </c>
      <c r="AK865">
        <v>106.683904886631</v>
      </c>
      <c r="AL865">
        <v>78.797760764708897</v>
      </c>
      <c r="AM865">
        <v>86.383068865125495</v>
      </c>
      <c r="AN865">
        <v>1.0000000577074399</v>
      </c>
    </row>
    <row r="866" spans="1:40" x14ac:dyDescent="0.25">
      <c r="A866" t="str">
        <f>"20190303170514150"</f>
        <v>20190303170514150</v>
      </c>
      <c r="B866" t="str">
        <f>"1551603914136646"</f>
        <v>1551603914136646</v>
      </c>
      <c r="C866" t="s">
        <v>40</v>
      </c>
      <c r="D866">
        <v>5.2995549999999998</v>
      </c>
      <c r="E866">
        <v>0.49251739999999999</v>
      </c>
      <c r="F866" t="s">
        <v>43</v>
      </c>
      <c r="G866">
        <v>-159.91239999999999</v>
      </c>
      <c r="H866">
        <v>-0.05</v>
      </c>
      <c r="I866">
        <v>361.54750000000001</v>
      </c>
      <c r="J866">
        <v>-282.72680000000003</v>
      </c>
      <c r="K866">
        <v>1.070535</v>
      </c>
      <c r="L866">
        <v>367.54730000000001</v>
      </c>
      <c r="M866">
        <v>0.9998648</v>
      </c>
      <c r="N866">
        <v>-9.0760319999999995E-3</v>
      </c>
      <c r="O866">
        <v>-1.3716529999999999E-2</v>
      </c>
      <c r="P866">
        <v>0.97969030000000001</v>
      </c>
      <c r="Q866">
        <v>0.1857753</v>
      </c>
      <c r="R866">
        <v>-7.5462360000000006E-2</v>
      </c>
      <c r="S866">
        <v>3.0557249999999998</v>
      </c>
      <c r="T866">
        <v>-2.7835970000000002E-2</v>
      </c>
      <c r="U866">
        <v>-0.14910889999999999</v>
      </c>
      <c r="V866">
        <v>6.2038009999999998E-2</v>
      </c>
      <c r="W866">
        <v>0.1946609</v>
      </c>
      <c r="X866">
        <v>0.97890679999999997</v>
      </c>
      <c r="Y866">
        <v>3.5030310000000002E-2</v>
      </c>
      <c r="Z866">
        <v>-3.181015E-4</v>
      </c>
      <c r="AA866">
        <v>0.9993862</v>
      </c>
      <c r="AB866">
        <v>37</v>
      </c>
      <c r="AC866">
        <v>122.81440000000001</v>
      </c>
      <c r="AD866">
        <v>-1.1205350000000001</v>
      </c>
      <c r="AE866">
        <v>-5.9997999999999898</v>
      </c>
      <c r="AF866">
        <v>4.31422056358989</v>
      </c>
      <c r="AG866">
        <v>-1.1205350000000001</v>
      </c>
      <c r="AH866">
        <v>122.87494074764599</v>
      </c>
      <c r="AI866">
        <v>90.5221619101074</v>
      </c>
      <c r="AJ866">
        <v>87.989133260806597</v>
      </c>
      <c r="AK866">
        <v>122.955760993518</v>
      </c>
      <c r="AL866">
        <v>78.775085589792496</v>
      </c>
      <c r="AM866">
        <v>86.373741775851101</v>
      </c>
      <c r="AN866">
        <v>1.0000000518798999</v>
      </c>
    </row>
    <row r="867" spans="1:40" x14ac:dyDescent="0.25">
      <c r="A867" t="str">
        <f>"20190303170514169"</f>
        <v>20190303170514169</v>
      </c>
      <c r="B867" t="str">
        <f>"1551603914157142"</f>
        <v>1551603914157142</v>
      </c>
      <c r="C867" t="s">
        <v>40</v>
      </c>
      <c r="D867">
        <v>5.300834</v>
      </c>
      <c r="E867">
        <v>0.49250149999999998</v>
      </c>
      <c r="F867" t="s">
        <v>43</v>
      </c>
      <c r="G867">
        <v>-154.22890000000001</v>
      </c>
      <c r="H867">
        <v>-0.05</v>
      </c>
      <c r="I867">
        <v>361.2835</v>
      </c>
      <c r="J867">
        <v>-282.39589999999998</v>
      </c>
      <c r="K867">
        <v>1.0705499999999999</v>
      </c>
      <c r="L867">
        <v>367.54270000000002</v>
      </c>
      <c r="M867">
        <v>0.9998648</v>
      </c>
      <c r="N867">
        <v>-9.082616E-3</v>
      </c>
      <c r="O867">
        <v>-1.3716920000000001E-2</v>
      </c>
      <c r="P867">
        <v>0.97949569999999997</v>
      </c>
      <c r="Q867">
        <v>0.1866236</v>
      </c>
      <c r="R867">
        <v>-7.589543E-2</v>
      </c>
      <c r="S867">
        <v>3.0557560000000001</v>
      </c>
      <c r="T867">
        <v>-2.6646969999999999E-2</v>
      </c>
      <c r="U867">
        <v>-0.14895630000000001</v>
      </c>
      <c r="V867">
        <v>6.2468490000000002E-2</v>
      </c>
      <c r="W867">
        <v>0.19551579999999999</v>
      </c>
      <c r="X867">
        <v>0.97870900000000005</v>
      </c>
      <c r="Y867">
        <v>3.4979820000000002E-2</v>
      </c>
      <c r="Z867">
        <v>-3.163795E-4</v>
      </c>
      <c r="AA867">
        <v>0.99938800000000005</v>
      </c>
      <c r="AB867">
        <v>37</v>
      </c>
      <c r="AC867">
        <v>128.16699999999901</v>
      </c>
      <c r="AD867">
        <v>-1.1205499999999999</v>
      </c>
      <c r="AE867">
        <v>-6.2592000000000203</v>
      </c>
      <c r="AF867">
        <v>4.5001391429915696</v>
      </c>
      <c r="AG867">
        <v>-1.1205499999999999</v>
      </c>
      <c r="AH867">
        <v>128.23102293886899</v>
      </c>
      <c r="AI867">
        <v>90.500359849815993</v>
      </c>
      <c r="AJ867">
        <v>87.990086939655995</v>
      </c>
      <c r="AK867">
        <v>128.314855447675</v>
      </c>
      <c r="AL867">
        <v>78.725143507176199</v>
      </c>
      <c r="AM867">
        <v>86.3479111591502</v>
      </c>
      <c r="AN867">
        <v>1.0000000234867501</v>
      </c>
    </row>
    <row r="868" spans="1:40" x14ac:dyDescent="0.25">
      <c r="A868" t="str">
        <f>"20190303170514193"</f>
        <v>20190303170514193</v>
      </c>
      <c r="B868" t="str">
        <f>"1551603914185446"</f>
        <v>1551603914185446</v>
      </c>
      <c r="C868" t="s">
        <v>40</v>
      </c>
      <c r="D868">
        <v>5.2370400000000004</v>
      </c>
      <c r="E868">
        <v>0.49245630000000001</v>
      </c>
      <c r="F868" t="s">
        <v>47</v>
      </c>
      <c r="G868">
        <v>-158.19499999999999</v>
      </c>
      <c r="H868">
        <v>9.9516869999999993E-2</v>
      </c>
      <c r="I868">
        <v>361.4599</v>
      </c>
      <c r="J868">
        <v>-282.02589999999998</v>
      </c>
      <c r="K868">
        <v>1.0705659999999999</v>
      </c>
      <c r="L868">
        <v>367.5376</v>
      </c>
      <c r="M868">
        <v>0.99986489999999995</v>
      </c>
      <c r="N868">
        <v>-9.0901130000000004E-3</v>
      </c>
      <c r="O868">
        <v>-1.3696649999999999E-2</v>
      </c>
      <c r="P868">
        <v>0.97937629999999998</v>
      </c>
      <c r="Q868">
        <v>0.18736939999999999</v>
      </c>
      <c r="R868">
        <v>-7.5597929999999994E-2</v>
      </c>
      <c r="S868">
        <v>3.0557560000000001</v>
      </c>
      <c r="T868">
        <v>-2.3888469999999998E-2</v>
      </c>
      <c r="U868">
        <v>-0.14965819999999999</v>
      </c>
      <c r="V868">
        <v>6.2185860000000003E-2</v>
      </c>
      <c r="W868">
        <v>0.19627</v>
      </c>
      <c r="X868">
        <v>0.978576</v>
      </c>
      <c r="Y868">
        <v>3.5229490000000002E-2</v>
      </c>
      <c r="Z868">
        <v>-3.152928E-4</v>
      </c>
      <c r="AA868">
        <v>0.99937920000000002</v>
      </c>
      <c r="AB868">
        <v>37</v>
      </c>
      <c r="AC868">
        <v>123.8309</v>
      </c>
      <c r="AD868">
        <v>-0.97104913000000004</v>
      </c>
      <c r="AE868">
        <v>-6.0776999999999903</v>
      </c>
      <c r="AF868">
        <v>4.3807225732496802</v>
      </c>
      <c r="AG868">
        <v>-0.97104913000000004</v>
      </c>
      <c r="AH868">
        <v>123.894930495681</v>
      </c>
      <c r="AI868">
        <v>90.448776499869794</v>
      </c>
      <c r="AJ868">
        <v>87.9749583612073</v>
      </c>
      <c r="AK868">
        <v>123.97615685770501</v>
      </c>
      <c r="AL868">
        <v>78.681076886263099</v>
      </c>
      <c r="AM868">
        <v>86.3638973139021</v>
      </c>
      <c r="AN868">
        <v>0.99999999092996905</v>
      </c>
    </row>
    <row r="869" spans="1:40" x14ac:dyDescent="0.25">
      <c r="A869" t="str">
        <f>"20190303170514215"</f>
        <v>20190303170514215</v>
      </c>
      <c r="B869" t="str">
        <f>"1551603914204967"</f>
        <v>1551603914204967</v>
      </c>
      <c r="C869" t="s">
        <v>40</v>
      </c>
      <c r="D869">
        <v>5.2411830000000004</v>
      </c>
      <c r="E869">
        <v>0.49241279999999998</v>
      </c>
      <c r="F869" t="s">
        <v>47</v>
      </c>
      <c r="G869">
        <v>-158.19499999999999</v>
      </c>
      <c r="H869">
        <v>0.19509219999999999</v>
      </c>
      <c r="I869">
        <v>361.52379999999999</v>
      </c>
      <c r="J869">
        <v>-281.6585</v>
      </c>
      <c r="K869">
        <v>1.070586</v>
      </c>
      <c r="L869">
        <v>367.5326</v>
      </c>
      <c r="M869">
        <v>0.99986540000000002</v>
      </c>
      <c r="N869">
        <v>-9.097585E-3</v>
      </c>
      <c r="O869">
        <v>-1.365501E-2</v>
      </c>
      <c r="P869">
        <v>0.97940850000000002</v>
      </c>
      <c r="Q869">
        <v>0.18747140000000001</v>
      </c>
      <c r="R869">
        <v>-7.4924660000000004E-2</v>
      </c>
      <c r="S869">
        <v>3.055847</v>
      </c>
      <c r="T869">
        <v>-2.1602389999999999E-2</v>
      </c>
      <c r="U869">
        <v>-0.14840699999999901</v>
      </c>
      <c r="V869">
        <v>6.1545000000000002E-2</v>
      </c>
      <c r="W869">
        <v>0.19638230000000001</v>
      </c>
      <c r="X869">
        <v>0.97859399999999996</v>
      </c>
      <c r="Y869">
        <v>3.486177E-2</v>
      </c>
      <c r="Z869">
        <v>-3.095374E-4</v>
      </c>
      <c r="AA869">
        <v>0.99939210000000001</v>
      </c>
      <c r="AB869">
        <v>37</v>
      </c>
      <c r="AC869">
        <v>123.4635</v>
      </c>
      <c r="AD869">
        <v>-0.87549379999999999</v>
      </c>
      <c r="AE869">
        <v>-6.0087999999999999</v>
      </c>
      <c r="AF869">
        <v>4.3220578505693803</v>
      </c>
      <c r="AG869">
        <v>-0.87549379999999999</v>
      </c>
      <c r="AH869">
        <v>123.52784488601699</v>
      </c>
      <c r="AI869">
        <v>90.405824172220605</v>
      </c>
      <c r="AJ869">
        <v>87.996122280002794</v>
      </c>
      <c r="AK869">
        <v>123.60653354754901</v>
      </c>
      <c r="AL869">
        <v>78.674515035070101</v>
      </c>
      <c r="AM869">
        <v>86.401336416185501</v>
      </c>
      <c r="AN869">
        <v>1.0000000058071401</v>
      </c>
    </row>
    <row r="870" spans="1:40" x14ac:dyDescent="0.25">
      <c r="A870" t="str">
        <f>"20190303170514236"</f>
        <v>20190303170514236</v>
      </c>
      <c r="B870" t="str">
        <f>"1551603914225463"</f>
        <v>1551603914225463</v>
      </c>
      <c r="C870" t="s">
        <v>40</v>
      </c>
      <c r="D870">
        <v>5.2934080000000003</v>
      </c>
      <c r="E870">
        <v>0.49236279999999999</v>
      </c>
      <c r="F870" t="s">
        <v>47</v>
      </c>
      <c r="G870">
        <v>-158.19499999999999</v>
      </c>
      <c r="H870">
        <v>0.19408230000000001</v>
      </c>
      <c r="I870">
        <v>361.64179999999999</v>
      </c>
      <c r="J870">
        <v>-281.30489999999998</v>
      </c>
      <c r="K870">
        <v>1.070605</v>
      </c>
      <c r="L870">
        <v>367.52780000000001</v>
      </c>
      <c r="M870">
        <v>0.99986620000000004</v>
      </c>
      <c r="N870">
        <v>-9.1049110000000003E-3</v>
      </c>
      <c r="O870">
        <v>-1.3595960000000001E-2</v>
      </c>
      <c r="P870">
        <v>0.97943179999999996</v>
      </c>
      <c r="Q870">
        <v>0.18757940000000001</v>
      </c>
      <c r="R870">
        <v>-7.4347469999999999E-2</v>
      </c>
      <c r="S870">
        <v>3.0560299999999998</v>
      </c>
      <c r="T870">
        <v>-2.1693469999999999E-2</v>
      </c>
      <c r="U870">
        <v>-0.145813</v>
      </c>
      <c r="V870">
        <v>6.1016720000000003E-2</v>
      </c>
      <c r="W870">
        <v>0.1964996</v>
      </c>
      <c r="X870">
        <v>0.97860349999999996</v>
      </c>
      <c r="Y870">
        <v>3.4071589999999999E-2</v>
      </c>
      <c r="Z870">
        <v>-3.0335449999999999E-4</v>
      </c>
      <c r="AA870">
        <v>0.99941930000000001</v>
      </c>
      <c r="AB870">
        <v>37</v>
      </c>
      <c r="AC870">
        <v>123.109899999999</v>
      </c>
      <c r="AD870">
        <v>-0.87652269999999899</v>
      </c>
      <c r="AE870">
        <v>-5.8860000000000197</v>
      </c>
      <c r="AF870">
        <v>4.2113764006671603</v>
      </c>
      <c r="AG870">
        <v>-0.87652269999999899</v>
      </c>
      <c r="AH870">
        <v>123.17231959859799</v>
      </c>
      <c r="AI870">
        <v>90.407485028266706</v>
      </c>
      <c r="AJ870">
        <v>88.0417667336215</v>
      </c>
      <c r="AK870">
        <v>123.247410920193</v>
      </c>
      <c r="AL870">
        <v>78.667660294539999</v>
      </c>
      <c r="AM870">
        <v>86.432180452967103</v>
      </c>
      <c r="AN870">
        <v>0.99999997156598297</v>
      </c>
    </row>
    <row r="871" spans="1:40" x14ac:dyDescent="0.25">
      <c r="A871" t="str">
        <f>"20190303170514249"</f>
        <v>20190303170514249</v>
      </c>
      <c r="B871" t="str">
        <f>"1551603914235223"</f>
        <v>1551603914235223</v>
      </c>
      <c r="C871" t="s">
        <v>40</v>
      </c>
      <c r="D871">
        <v>5.3002589999999996</v>
      </c>
      <c r="E871">
        <v>0.49234129999999998</v>
      </c>
      <c r="F871" t="s">
        <v>47</v>
      </c>
      <c r="G871">
        <v>-158.19499999999999</v>
      </c>
      <c r="H871">
        <v>0.1920781</v>
      </c>
      <c r="I871">
        <v>361.74149999999997</v>
      </c>
      <c r="J871">
        <v>-281.07740000000001</v>
      </c>
      <c r="K871">
        <v>1.0707180000000001</v>
      </c>
      <c r="L871">
        <v>367.52480000000003</v>
      </c>
      <c r="M871">
        <v>0.99986299999999995</v>
      </c>
      <c r="N871">
        <v>-9.4907789999999995E-3</v>
      </c>
      <c r="O871">
        <v>-1.355554E-2</v>
      </c>
      <c r="P871">
        <v>0.97940130000000003</v>
      </c>
      <c r="Q871">
        <v>0.18766969999999999</v>
      </c>
      <c r="R871">
        <v>-7.4520859999999994E-2</v>
      </c>
      <c r="S871">
        <v>3.0562130000000001</v>
      </c>
      <c r="T871">
        <v>-2.180731E-2</v>
      </c>
      <c r="U871">
        <v>-0.1436462</v>
      </c>
      <c r="V871">
        <v>6.1225929999999998E-2</v>
      </c>
      <c r="W871">
        <v>0.19696849999999999</v>
      </c>
      <c r="X871">
        <v>0.97849620000000004</v>
      </c>
      <c r="Y871">
        <v>3.3402090000000002E-2</v>
      </c>
      <c r="Z871">
        <v>-3.0964159999999997E-4</v>
      </c>
      <c r="AA871">
        <v>0.99944189999999999</v>
      </c>
      <c r="AB871">
        <v>37</v>
      </c>
      <c r="AC871">
        <v>122.8824</v>
      </c>
      <c r="AD871">
        <v>-0.87863989999999903</v>
      </c>
      <c r="AE871">
        <v>-5.7833000000000503</v>
      </c>
      <c r="AF871">
        <v>4.1167461292036096</v>
      </c>
      <c r="AG871">
        <v>-0.87863989999999903</v>
      </c>
      <c r="AH871">
        <v>122.943236056114</v>
      </c>
      <c r="AI871">
        <v>90.409240107330604</v>
      </c>
      <c r="AJ871">
        <v>88.082171180374502</v>
      </c>
      <c r="AK871">
        <v>123.015279127089</v>
      </c>
      <c r="AL871">
        <v>78.640259222259502</v>
      </c>
      <c r="AM871">
        <v>86.419587558634603</v>
      </c>
      <c r="AN871">
        <v>1.0000000089555201</v>
      </c>
    </row>
    <row r="872" spans="1:40" x14ac:dyDescent="0.25">
      <c r="A872" t="str">
        <f>"20190303170514263"</f>
        <v>20190303170514263</v>
      </c>
      <c r="B872" t="str">
        <f>"1551603914255719"</f>
        <v>1551603914255719</v>
      </c>
      <c r="C872" t="s">
        <v>40</v>
      </c>
      <c r="D872">
        <v>5.35459</v>
      </c>
      <c r="E872">
        <v>0.49232910000000002</v>
      </c>
      <c r="F872" t="s">
        <v>47</v>
      </c>
      <c r="G872">
        <v>-158.19499999999999</v>
      </c>
      <c r="H872">
        <v>0.19707730000000001</v>
      </c>
      <c r="I872">
        <v>361.72840000000002</v>
      </c>
      <c r="J872">
        <v>-280.85649999999998</v>
      </c>
      <c r="K872">
        <v>1.070935</v>
      </c>
      <c r="L872">
        <v>367.52179999999998</v>
      </c>
      <c r="M872">
        <v>0.99985599999999997</v>
      </c>
      <c r="N872">
        <v>-1.025657E-2</v>
      </c>
      <c r="O872">
        <v>-1.35183E-2</v>
      </c>
      <c r="P872">
        <v>0.97950899999999996</v>
      </c>
      <c r="Q872">
        <v>0.18712110000000001</v>
      </c>
      <c r="R872">
        <v>-7.4484439999999999E-2</v>
      </c>
      <c r="S872">
        <v>3.056244</v>
      </c>
      <c r="T872">
        <v>-2.1726369999999998E-2</v>
      </c>
      <c r="U872">
        <v>-0.14416499999999999</v>
      </c>
      <c r="V872">
        <v>6.1222199999999997E-2</v>
      </c>
      <c r="W872">
        <v>0.19717090000000001</v>
      </c>
      <c r="X872">
        <v>0.97845570000000004</v>
      </c>
      <c r="Y872">
        <v>3.3607959999999999E-2</v>
      </c>
      <c r="Z872">
        <v>-3.3440379999999999E-4</v>
      </c>
      <c r="AA872">
        <v>0.99943499999999996</v>
      </c>
      <c r="AB872">
        <v>37</v>
      </c>
      <c r="AC872">
        <v>122.6615</v>
      </c>
      <c r="AD872">
        <v>-0.87385769999999996</v>
      </c>
      <c r="AE872">
        <v>-5.7933999999999601</v>
      </c>
      <c r="AF872">
        <v>4.1343989854367704</v>
      </c>
      <c r="AG872">
        <v>-0.87385769999999996</v>
      </c>
      <c r="AH872">
        <v>122.72239678348301</v>
      </c>
      <c r="AI872">
        <v>90.407742402942006</v>
      </c>
      <c r="AJ872">
        <v>88.070490287233</v>
      </c>
      <c r="AK872">
        <v>122.79512838273899</v>
      </c>
      <c r="AL872">
        <v>78.6284309397236</v>
      </c>
      <c r="AM872">
        <v>86.419657311716506</v>
      </c>
      <c r="AN872">
        <v>1.00000003922106</v>
      </c>
    </row>
    <row r="873" spans="1:40" x14ac:dyDescent="0.25">
      <c r="A873" t="str">
        <f>"20190303170514281"</f>
        <v>20190303170514281</v>
      </c>
      <c r="B873" t="str">
        <f>"1551603914275239"</f>
        <v>1551603914275239</v>
      </c>
      <c r="C873" t="s">
        <v>40</v>
      </c>
      <c r="D873">
        <v>5.3583400000000001</v>
      </c>
      <c r="E873">
        <v>0.49871729999999997</v>
      </c>
      <c r="F873" t="s">
        <v>47</v>
      </c>
      <c r="G873">
        <v>-158.19499999999999</v>
      </c>
      <c r="H873">
        <v>0.1204634</v>
      </c>
      <c r="I873">
        <v>361.73599999999999</v>
      </c>
      <c r="J873">
        <v>-280.57369999999997</v>
      </c>
      <c r="K873">
        <v>1.0715079999999999</v>
      </c>
      <c r="L873">
        <v>367.51799999999997</v>
      </c>
      <c r="M873">
        <v>0.99984360000000005</v>
      </c>
      <c r="N873">
        <v>-1.147484E-2</v>
      </c>
      <c r="O873">
        <v>-1.346058E-2</v>
      </c>
      <c r="P873">
        <v>0.97964379999999995</v>
      </c>
      <c r="Q873">
        <v>0.18645800000000001</v>
      </c>
      <c r="R873">
        <v>-7.437357E-2</v>
      </c>
      <c r="S873">
        <v>3.0563349999999998</v>
      </c>
      <c r="T873">
        <v>-2.3680570000000001E-2</v>
      </c>
      <c r="U873">
        <v>-0.14416499999999999</v>
      </c>
      <c r="V873">
        <v>6.1163299999999997E-2</v>
      </c>
      <c r="W873">
        <v>0.19770289999999999</v>
      </c>
      <c r="X873">
        <v>0.978352</v>
      </c>
      <c r="Y873">
        <v>3.366367E-2</v>
      </c>
      <c r="Z873">
        <v>-3.7377390000000002E-4</v>
      </c>
      <c r="AA873">
        <v>0.99943320000000002</v>
      </c>
      <c r="AB873">
        <v>37</v>
      </c>
      <c r="AC873">
        <v>122.378699999999</v>
      </c>
      <c r="AD873">
        <v>-0.95104460000000002</v>
      </c>
      <c r="AE873">
        <v>-5.7820000000000302</v>
      </c>
      <c r="AF873">
        <v>4.1338303204296398</v>
      </c>
      <c r="AG873">
        <v>-0.95104460000000002</v>
      </c>
      <c r="AH873">
        <v>122.43806751336101</v>
      </c>
      <c r="AI873">
        <v>90.444785824342205</v>
      </c>
      <c r="AJ873">
        <v>88.066278729834806</v>
      </c>
      <c r="AK873">
        <v>122.511523602295</v>
      </c>
      <c r="AL873">
        <v>78.597337203624505</v>
      </c>
      <c r="AM873">
        <v>86.422714754246101</v>
      </c>
      <c r="AN873">
        <v>1.0000000109196401</v>
      </c>
    </row>
    <row r="874" spans="1:40" x14ac:dyDescent="0.25">
      <c r="A874" t="str">
        <f>"20190303170514294"</f>
        <v>20190303170514294</v>
      </c>
      <c r="B874" t="str">
        <f>"1551603914284999"</f>
        <v>1551603914284999</v>
      </c>
      <c r="C874" t="s">
        <v>40</v>
      </c>
      <c r="D874">
        <v>5.3509609999999999</v>
      </c>
      <c r="E874">
        <v>0.49893280000000001</v>
      </c>
      <c r="F874" t="s">
        <v>41</v>
      </c>
      <c r="G874">
        <v>-230.4263</v>
      </c>
      <c r="H874" s="1">
        <v>-5.0243310000000001E-6</v>
      </c>
      <c r="I874">
        <v>364.3458</v>
      </c>
      <c r="J874">
        <v>-280.35989999999998</v>
      </c>
      <c r="K874">
        <v>1.0719099999999999</v>
      </c>
      <c r="L874">
        <v>367.51519999999999</v>
      </c>
      <c r="M874">
        <v>0.9998437</v>
      </c>
      <c r="N874">
        <v>-1.153713E-2</v>
      </c>
      <c r="O874">
        <v>-1.340322E-2</v>
      </c>
      <c r="P874">
        <v>0.97964130000000005</v>
      </c>
      <c r="Q874">
        <v>0.18642</v>
      </c>
      <c r="R874">
        <v>-7.4504039999999994E-2</v>
      </c>
      <c r="S874">
        <v>3.0600890000000001</v>
      </c>
      <c r="T874">
        <v>-6.5385579999999999E-2</v>
      </c>
      <c r="U874">
        <v>-0.193573</v>
      </c>
      <c r="V874">
        <v>6.1345480000000001E-2</v>
      </c>
      <c r="W874">
        <v>0.19772670000000001</v>
      </c>
      <c r="X874">
        <v>0.97833570000000003</v>
      </c>
      <c r="Y874">
        <v>4.9731280000000003E-2</v>
      </c>
      <c r="Z874">
        <v>-6.8640629999999997E-4</v>
      </c>
      <c r="AA874">
        <v>0.99876240000000005</v>
      </c>
      <c r="AB874">
        <v>37</v>
      </c>
      <c r="AC874">
        <v>49.933599999999899</v>
      </c>
      <c r="AD874">
        <v>-1.0719150243310001</v>
      </c>
      <c r="AE874">
        <v>-3.1693999999999898</v>
      </c>
      <c r="AF874">
        <v>2.49865293170819</v>
      </c>
      <c r="AG874">
        <v>-1.0719150243310001</v>
      </c>
      <c r="AH874">
        <v>49.948671817467002</v>
      </c>
      <c r="AI874">
        <v>91.227862781665806</v>
      </c>
      <c r="AJ874">
        <v>87.136199566086404</v>
      </c>
      <c r="AK874">
        <v>50.022615731502299</v>
      </c>
      <c r="AL874">
        <v>78.595945154727303</v>
      </c>
      <c r="AM874">
        <v>86.412027681824895</v>
      </c>
      <c r="AN874">
        <v>0.99999992885190203</v>
      </c>
    </row>
    <row r="875" spans="1:40" x14ac:dyDescent="0.25">
      <c r="A875" t="str">
        <f>"20190303170514307"</f>
        <v>20190303170514307</v>
      </c>
      <c r="B875" t="str">
        <f>"1551603914295735"</f>
        <v>1551603914295735</v>
      </c>
      <c r="C875" t="s">
        <v>40</v>
      </c>
      <c r="D875">
        <v>5.4158790000000003</v>
      </c>
      <c r="E875">
        <v>0.49934630000000002</v>
      </c>
      <c r="F875" t="s">
        <v>41</v>
      </c>
      <c r="G875">
        <v>-230.6292</v>
      </c>
      <c r="H875" s="1">
        <v>-4.9411449999999998E-6</v>
      </c>
      <c r="I875">
        <v>364.32400000000001</v>
      </c>
      <c r="J875">
        <v>-280.14920000000001</v>
      </c>
      <c r="K875">
        <v>1.072298</v>
      </c>
      <c r="L875">
        <v>367.51240000000001</v>
      </c>
      <c r="M875">
        <v>0.99984870000000003</v>
      </c>
      <c r="N875">
        <v>-1.1168920000000001E-2</v>
      </c>
      <c r="O875">
        <v>-1.334406E-2</v>
      </c>
      <c r="P875">
        <v>0.97959269999999998</v>
      </c>
      <c r="Q875">
        <v>0.1867634</v>
      </c>
      <c r="R875">
        <v>-7.4283260000000004E-2</v>
      </c>
      <c r="S875">
        <v>3.0599370000000001</v>
      </c>
      <c r="T875">
        <v>-6.595492E-2</v>
      </c>
      <c r="U875">
        <v>-0.1963501</v>
      </c>
      <c r="V875">
        <v>6.1178539999999997E-2</v>
      </c>
      <c r="W875">
        <v>0.19771040000000001</v>
      </c>
      <c r="X875">
        <v>0.97834949999999998</v>
      </c>
      <c r="Y875">
        <v>5.069601E-2</v>
      </c>
      <c r="Z875">
        <v>-6.9083929999999897E-4</v>
      </c>
      <c r="AA875">
        <v>0.99871390000000004</v>
      </c>
      <c r="AB875">
        <v>36</v>
      </c>
      <c r="AC875">
        <v>49.52</v>
      </c>
      <c r="AD875">
        <v>-1.072302941145</v>
      </c>
      <c r="AE875">
        <v>-3.1884000000000001</v>
      </c>
      <c r="AF875">
        <v>2.5260975090839302</v>
      </c>
      <c r="AG875">
        <v>-1.072302941145</v>
      </c>
      <c r="AH875">
        <v>49.535008514244197</v>
      </c>
      <c r="AI875">
        <v>91.238500699712105</v>
      </c>
      <c r="AJ875">
        <v>87.080661549917195</v>
      </c>
      <c r="AK875">
        <v>49.610967242427698</v>
      </c>
      <c r="AL875">
        <v>78.596898476074898</v>
      </c>
      <c r="AM875">
        <v>86.421816601401702</v>
      </c>
      <c r="AN875">
        <v>0.99999998008747004</v>
      </c>
    </row>
    <row r="876" spans="1:40" x14ac:dyDescent="0.25">
      <c r="A876" t="str">
        <f>"20190303170514319"</f>
        <v>20190303170514319</v>
      </c>
      <c r="B876" t="str">
        <f>"1551603914305495"</f>
        <v>1551603914305495</v>
      </c>
      <c r="C876" t="s">
        <v>40</v>
      </c>
      <c r="D876">
        <v>5.300503</v>
      </c>
      <c r="E876">
        <v>0.49922610000000001</v>
      </c>
      <c r="F876" t="s">
        <v>41</v>
      </c>
      <c r="G876">
        <v>-231.75110000000001</v>
      </c>
      <c r="H876" s="1">
        <v>-4.4514259999999997E-6</v>
      </c>
      <c r="I876">
        <v>364.37150000000003</v>
      </c>
      <c r="J876">
        <v>-279.93880000000001</v>
      </c>
      <c r="K876">
        <v>1.0726929999999999</v>
      </c>
      <c r="L876">
        <v>367.50959999999998</v>
      </c>
      <c r="M876">
        <v>0.99985990000000002</v>
      </c>
      <c r="N876">
        <v>-1.0191759999999999E-2</v>
      </c>
      <c r="O876">
        <v>-1.3283649999999999E-2</v>
      </c>
      <c r="P876">
        <v>0.97947700000000004</v>
      </c>
      <c r="Q876">
        <v>0.1872742</v>
      </c>
      <c r="R876">
        <v>-7.4522290000000005E-2</v>
      </c>
      <c r="S876">
        <v>3.060425</v>
      </c>
      <c r="T876">
        <v>-6.7806240000000004E-2</v>
      </c>
      <c r="U876">
        <v>-0.19860839999999999</v>
      </c>
      <c r="V876">
        <v>6.1473060000000003E-2</v>
      </c>
      <c r="W876">
        <v>0.19726579999999999</v>
      </c>
      <c r="X876">
        <v>0.97842079999999998</v>
      </c>
      <c r="Y876">
        <v>5.1479869999999997E-2</v>
      </c>
      <c r="Z876">
        <v>-6.7361210000000001E-4</v>
      </c>
      <c r="AA876">
        <v>0.99867379999999994</v>
      </c>
      <c r="AB876">
        <v>36</v>
      </c>
      <c r="AC876">
        <v>48.1877</v>
      </c>
      <c r="AD876">
        <v>-1.0726974514259999</v>
      </c>
      <c r="AE876">
        <v>-3.1380999999999499</v>
      </c>
      <c r="AF876">
        <v>2.4964494745460599</v>
      </c>
      <c r="AG876">
        <v>-1.0726974514259999</v>
      </c>
      <c r="AH876">
        <v>48.201350453792401</v>
      </c>
      <c r="AI876">
        <v>91.273173190044005</v>
      </c>
      <c r="AJ876">
        <v>87.035179960206193</v>
      </c>
      <c r="AK876">
        <v>48.2778740767504</v>
      </c>
      <c r="AL876">
        <v>78.622884156839305</v>
      </c>
      <c r="AM876">
        <v>86.404897238259906</v>
      </c>
      <c r="AN876">
        <v>0.99999999741402101</v>
      </c>
    </row>
    <row r="877" spans="1:40" x14ac:dyDescent="0.25">
      <c r="A877" t="str">
        <f>"20190303170514336"</f>
        <v>20190303170514336</v>
      </c>
      <c r="B877" t="str">
        <f>"1551603914325014"</f>
        <v>1551603914325014</v>
      </c>
      <c r="C877" t="s">
        <v>40</v>
      </c>
      <c r="D877">
        <v>5.4147089999999896</v>
      </c>
      <c r="E877">
        <v>0.49934679999999998</v>
      </c>
      <c r="F877" t="s">
        <v>41</v>
      </c>
      <c r="G877">
        <v>-230.9992</v>
      </c>
      <c r="H877" s="1">
        <v>-4.78015999999999E-6</v>
      </c>
      <c r="I877">
        <v>364.33659999999998</v>
      </c>
      <c r="J877">
        <v>-279.66469999999998</v>
      </c>
      <c r="K877">
        <v>1.0733649999999999</v>
      </c>
      <c r="L877">
        <v>367.5061</v>
      </c>
      <c r="M877">
        <v>0.99987519999999996</v>
      </c>
      <c r="N877">
        <v>-8.6785609999999996E-3</v>
      </c>
      <c r="O877">
        <v>-1.320283E-2</v>
      </c>
      <c r="P877">
        <v>0.97933539999999997</v>
      </c>
      <c r="Q877">
        <v>0.18790390000000001</v>
      </c>
      <c r="R877">
        <v>-7.4794920000000001E-2</v>
      </c>
      <c r="S877">
        <v>3.0605159999999998</v>
      </c>
      <c r="T877">
        <v>-6.7082760000000005E-2</v>
      </c>
      <c r="U877">
        <v>-0.1984253</v>
      </c>
      <c r="V877">
        <v>6.182236E-2</v>
      </c>
      <c r="W877">
        <v>0.19641500000000001</v>
      </c>
      <c r="X877">
        <v>0.97856989999999999</v>
      </c>
      <c r="Y877">
        <v>5.1500740000000003E-2</v>
      </c>
      <c r="Z877">
        <v>-6.1296460000000001E-4</v>
      </c>
      <c r="AA877">
        <v>0.99867280000000003</v>
      </c>
      <c r="AB877">
        <v>36</v>
      </c>
      <c r="AC877">
        <v>48.665499999999902</v>
      </c>
      <c r="AD877">
        <v>-1.07336978016</v>
      </c>
      <c r="AE877">
        <v>-3.1695000000000202</v>
      </c>
      <c r="AF877">
        <v>2.52545384676423</v>
      </c>
      <c r="AG877">
        <v>-1.07336978016</v>
      </c>
      <c r="AH877">
        <v>48.679524763864499</v>
      </c>
      <c r="AI877">
        <v>91.261455199848498</v>
      </c>
      <c r="AJ877">
        <v>87.030204360728305</v>
      </c>
      <c r="AK877">
        <v>48.756806407442198</v>
      </c>
      <c r="AL877">
        <v>78.672603640528393</v>
      </c>
      <c r="AM877">
        <v>86.385072719183199</v>
      </c>
      <c r="AN877">
        <v>0.99999995280348797</v>
      </c>
    </row>
    <row r="878" spans="1:40" x14ac:dyDescent="0.25">
      <c r="A878" t="str">
        <f>"20190303170514350"</f>
        <v>20190303170514350</v>
      </c>
      <c r="B878" t="str">
        <f>"1551603914335750"</f>
        <v>1551603914335750</v>
      </c>
      <c r="C878" t="s">
        <v>40</v>
      </c>
      <c r="D878">
        <v>5.4162119999999998</v>
      </c>
      <c r="E878">
        <v>0.49948510000000002</v>
      </c>
      <c r="F878" t="s">
        <v>41</v>
      </c>
      <c r="G878">
        <v>-231.7672</v>
      </c>
      <c r="H878" s="1">
        <v>-4.4438950000000004E-6</v>
      </c>
      <c r="I878">
        <v>364.37509999999997</v>
      </c>
      <c r="J878">
        <v>-279.4409</v>
      </c>
      <c r="K878">
        <v>1.074044</v>
      </c>
      <c r="L878">
        <v>367.50319999999999</v>
      </c>
      <c r="M878">
        <v>0.99988619999999995</v>
      </c>
      <c r="N878">
        <v>-7.420205E-3</v>
      </c>
      <c r="O878">
        <v>-1.313448E-2</v>
      </c>
      <c r="P878">
        <v>0.97913689999999998</v>
      </c>
      <c r="Q878">
        <v>0.18892729999999999</v>
      </c>
      <c r="R878">
        <v>-7.4817389999999998E-2</v>
      </c>
      <c r="S878">
        <v>3.061188</v>
      </c>
      <c r="T878">
        <v>-6.8600179999999997E-2</v>
      </c>
      <c r="U878">
        <v>-0.2001038</v>
      </c>
      <c r="V878">
        <v>6.1912189999999999E-2</v>
      </c>
      <c r="W878">
        <v>0.19620599999999999</v>
      </c>
      <c r="X878">
        <v>0.97860619999999998</v>
      </c>
      <c r="Y878">
        <v>5.2100420000000001E-2</v>
      </c>
      <c r="Z878">
        <v>-5.8003150000000001E-4</v>
      </c>
      <c r="AA878">
        <v>0.99864169999999997</v>
      </c>
      <c r="AB878">
        <v>37</v>
      </c>
      <c r="AC878">
        <v>47.673699999999997</v>
      </c>
      <c r="AD878">
        <v>-1.074048443895</v>
      </c>
      <c r="AE878">
        <v>-3.1281000000000101</v>
      </c>
      <c r="AF878">
        <v>2.50037998973312</v>
      </c>
      <c r="AG878">
        <v>-1.074048443895</v>
      </c>
      <c r="AH878">
        <v>47.686574304759503</v>
      </c>
      <c r="AI878">
        <v>91.288489776751504</v>
      </c>
      <c r="AJ878">
        <v>86.998523165561394</v>
      </c>
      <c r="AK878">
        <v>47.764158624184297</v>
      </c>
      <c r="AL878">
        <v>78.684816680742102</v>
      </c>
      <c r="AM878">
        <v>86.379967992597301</v>
      </c>
      <c r="AN878">
        <v>1.0000000041925099</v>
      </c>
    </row>
    <row r="879" spans="1:40" x14ac:dyDescent="0.25">
      <c r="A879" t="str">
        <f>"20190303170514371"</f>
        <v>20190303170514371</v>
      </c>
      <c r="B879" t="str">
        <f>"1551603914355272"</f>
        <v>1551603914355272</v>
      </c>
      <c r="C879" t="s">
        <v>40</v>
      </c>
      <c r="D879">
        <v>5.4152509999999996</v>
      </c>
      <c r="E879">
        <v>0.49948799999999999</v>
      </c>
      <c r="F879" t="s">
        <v>41</v>
      </c>
      <c r="G879">
        <v>-230.2105</v>
      </c>
      <c r="H879" s="1">
        <v>-5.1296830000000004E-6</v>
      </c>
      <c r="I879">
        <v>364.27359999999999</v>
      </c>
      <c r="J879">
        <v>-279.08139999999997</v>
      </c>
      <c r="K879">
        <v>1.0753699999999999</v>
      </c>
      <c r="L879">
        <v>367.49860000000001</v>
      </c>
      <c r="M879">
        <v>0.99990009999999996</v>
      </c>
      <c r="N879">
        <v>-5.51397E-3</v>
      </c>
      <c r="O879">
        <v>-1.301889E-2</v>
      </c>
      <c r="P879">
        <v>0.9787228</v>
      </c>
      <c r="Q879">
        <v>0.1910848</v>
      </c>
      <c r="R879">
        <v>-7.4757649999999995E-2</v>
      </c>
      <c r="S879">
        <v>3.0614620000000001</v>
      </c>
      <c r="T879">
        <v>-6.6791299999999998E-2</v>
      </c>
      <c r="U879">
        <v>-0.20083619999999999</v>
      </c>
      <c r="V879">
        <v>6.196989E-2</v>
      </c>
      <c r="W879">
        <v>0.1964959</v>
      </c>
      <c r="X879">
        <v>0.97854439999999998</v>
      </c>
      <c r="Y879">
        <v>5.2450120000000003E-2</v>
      </c>
      <c r="Z879">
        <v>-5.0430309999999895E-4</v>
      </c>
      <c r="AA879">
        <v>0.99862340000000005</v>
      </c>
      <c r="AB879">
        <v>37</v>
      </c>
      <c r="AC879">
        <v>48.870899999999899</v>
      </c>
      <c r="AD879">
        <v>-1.0753751296830001</v>
      </c>
      <c r="AE879">
        <v>-3.2250000000000201</v>
      </c>
      <c r="AF879">
        <v>2.58722487803335</v>
      </c>
      <c r="AG879">
        <v>-1.0753751296830001</v>
      </c>
      <c r="AH879">
        <v>48.885177378782501</v>
      </c>
      <c r="AI879">
        <v>91.258427504963507</v>
      </c>
      <c r="AJ879">
        <v>86.970474447242594</v>
      </c>
      <c r="AK879">
        <v>48.965403415003998</v>
      </c>
      <c r="AL879">
        <v>78.667877110485307</v>
      </c>
      <c r="AM879">
        <v>86.376375006861494</v>
      </c>
      <c r="AN879">
        <v>1.0000000243773901</v>
      </c>
    </row>
    <row r="880" spans="1:40" x14ac:dyDescent="0.25">
      <c r="A880" t="str">
        <f>"20190303170514385"</f>
        <v>20190303170514385</v>
      </c>
      <c r="B880" t="str">
        <f>"1551603914375767"</f>
        <v>1551603914375767</v>
      </c>
      <c r="C880" t="s">
        <v>40</v>
      </c>
      <c r="D880">
        <v>5.4156120000000003</v>
      </c>
      <c r="E880">
        <v>0.49955369999999999</v>
      </c>
      <c r="F880" t="s">
        <v>41</v>
      </c>
      <c r="G880">
        <v>-225.94630000000001</v>
      </c>
      <c r="H880" s="1">
        <v>-2.8546670000000001E-6</v>
      </c>
      <c r="I880">
        <v>364.01990000000001</v>
      </c>
      <c r="J880">
        <v>-278.8578</v>
      </c>
      <c r="K880">
        <v>1.0762849999999999</v>
      </c>
      <c r="L880">
        <v>367.49579999999997</v>
      </c>
      <c r="M880">
        <v>0.99990650000000003</v>
      </c>
      <c r="N880">
        <v>-4.4076080000000004E-3</v>
      </c>
      <c r="O880">
        <v>-1.2943700000000001E-2</v>
      </c>
      <c r="P880">
        <v>0.97845550000000003</v>
      </c>
      <c r="Q880">
        <v>0.19246160000000001</v>
      </c>
      <c r="R880">
        <v>-7.4723499999999998E-2</v>
      </c>
      <c r="S880">
        <v>3.0620729999999998</v>
      </c>
      <c r="T880">
        <v>-6.197155E-2</v>
      </c>
      <c r="U880">
        <v>-0.20047000000000001</v>
      </c>
      <c r="V880">
        <v>6.2012959999999999E-2</v>
      </c>
      <c r="W880">
        <v>0.19678899999999999</v>
      </c>
      <c r="X880">
        <v>0.97848270000000004</v>
      </c>
      <c r="Y880">
        <v>5.2395820000000003E-2</v>
      </c>
      <c r="Z880">
        <v>-4.4056459999999999E-4</v>
      </c>
      <c r="AA880">
        <v>0.99862629999999997</v>
      </c>
      <c r="AB880">
        <v>37</v>
      </c>
      <c r="AC880">
        <v>52.911499999999897</v>
      </c>
      <c r="AD880">
        <v>-1.0762878546669901</v>
      </c>
      <c r="AE880">
        <v>-3.4758999999999598</v>
      </c>
      <c r="AF880">
        <v>2.7895822837498798</v>
      </c>
      <c r="AG880">
        <v>-1.0762878546669901</v>
      </c>
      <c r="AH880">
        <v>52.930252064444502</v>
      </c>
      <c r="AI880">
        <v>91.163282290411502</v>
      </c>
      <c r="AJ880">
        <v>86.983132544103498</v>
      </c>
      <c r="AK880">
        <v>53.014637115324597</v>
      </c>
      <c r="AL880">
        <v>78.650748515200803</v>
      </c>
      <c r="AM880">
        <v>86.373635208065494</v>
      </c>
      <c r="AN880">
        <v>0.99999995596412405</v>
      </c>
    </row>
    <row r="881" spans="1:40" x14ac:dyDescent="0.25">
      <c r="A881" t="str">
        <f>"20190303170514398"</f>
        <v>20190303170514398</v>
      </c>
      <c r="B881" t="str">
        <f>"1551603914385526"</f>
        <v>1551603914385526</v>
      </c>
      <c r="C881" t="s">
        <v>40</v>
      </c>
      <c r="D881">
        <v>5.4172180000000001</v>
      </c>
      <c r="E881">
        <v>0.4995967</v>
      </c>
      <c r="F881" t="s">
        <v>41</v>
      </c>
      <c r="G881">
        <v>-224.73699999999999</v>
      </c>
      <c r="H881" s="1">
        <v>-3.2852119999999998E-6</v>
      </c>
      <c r="I881">
        <v>363.94839999999999</v>
      </c>
      <c r="J881">
        <v>-278.63200000000001</v>
      </c>
      <c r="K881">
        <v>1.077264</v>
      </c>
      <c r="L881">
        <v>367.49290000000002</v>
      </c>
      <c r="M881">
        <v>0.99991160000000001</v>
      </c>
      <c r="N881">
        <v>-3.366052E-3</v>
      </c>
      <c r="O881">
        <v>-1.286432E-2</v>
      </c>
      <c r="P881">
        <v>0.97823510000000002</v>
      </c>
      <c r="Q881">
        <v>0.1934698</v>
      </c>
      <c r="R881">
        <v>-7.5003500000000001E-2</v>
      </c>
      <c r="S881">
        <v>3.0627140000000002</v>
      </c>
      <c r="T881">
        <v>-6.0907360000000001E-2</v>
      </c>
      <c r="U881">
        <v>-0.2007446</v>
      </c>
      <c r="V881">
        <v>6.2374279999999997E-2</v>
      </c>
      <c r="W881">
        <v>0.1967769</v>
      </c>
      <c r="X881">
        <v>0.97846219999999995</v>
      </c>
      <c r="Y881">
        <v>5.255174E-2</v>
      </c>
      <c r="Z881">
        <v>-3.982406E-4</v>
      </c>
      <c r="AA881">
        <v>0.99861809999999995</v>
      </c>
      <c r="AB881">
        <v>37</v>
      </c>
      <c r="AC881">
        <v>53.895000000000003</v>
      </c>
      <c r="AD881">
        <v>-1.077267285212</v>
      </c>
      <c r="AE881">
        <v>-3.5445000000000202</v>
      </c>
      <c r="AF881">
        <v>2.8497465919520302</v>
      </c>
      <c r="AG881">
        <v>-1.077267285212</v>
      </c>
      <c r="AH881">
        <v>53.914690245338299</v>
      </c>
      <c r="AI881">
        <v>91.143077142006206</v>
      </c>
      <c r="AJ881">
        <v>86.974356168394706</v>
      </c>
      <c r="AK881">
        <v>54.000698001904603</v>
      </c>
      <c r="AL881">
        <v>78.651455988569595</v>
      </c>
      <c r="AM881">
        <v>86.352486768519697</v>
      </c>
      <c r="AN881">
        <v>0.99999998800398304</v>
      </c>
    </row>
    <row r="882" spans="1:40" x14ac:dyDescent="0.25">
      <c r="A882" t="str">
        <f>"20190303170514414"</f>
        <v>20190303170514414</v>
      </c>
      <c r="B882" t="str">
        <f>"1551603914405050"</f>
        <v>1551603914405050</v>
      </c>
      <c r="C882" t="s">
        <v>40</v>
      </c>
      <c r="D882">
        <v>5.5324419999999996</v>
      </c>
      <c r="E882">
        <v>0.49965860000000001</v>
      </c>
      <c r="F882" t="s">
        <v>41</v>
      </c>
      <c r="G882">
        <v>-221.4984</v>
      </c>
      <c r="H882" s="1">
        <v>-4.674582E-6</v>
      </c>
      <c r="I882">
        <v>363.72469999999998</v>
      </c>
      <c r="J882">
        <v>-278.36450000000002</v>
      </c>
      <c r="K882">
        <v>1.0785549999999999</v>
      </c>
      <c r="L882">
        <v>367.48950000000002</v>
      </c>
      <c r="M882">
        <v>0.99991529999999995</v>
      </c>
      <c r="N882">
        <v>-2.5683059999999998E-3</v>
      </c>
      <c r="O882">
        <v>-1.276644E-2</v>
      </c>
      <c r="P882">
        <v>0.97804740000000001</v>
      </c>
      <c r="Q882">
        <v>0.19438820000000001</v>
      </c>
      <c r="R882">
        <v>-7.5078179999999994E-2</v>
      </c>
      <c r="S882">
        <v>3.0627140000000002</v>
      </c>
      <c r="T882">
        <v>-5.774808E-2</v>
      </c>
      <c r="U882">
        <v>-0.2019958</v>
      </c>
      <c r="V882">
        <v>6.2548110000000004E-2</v>
      </c>
      <c r="W882">
        <v>0.1969138</v>
      </c>
      <c r="X882">
        <v>0.97842359999999995</v>
      </c>
      <c r="Y882">
        <v>5.3057090000000001E-2</v>
      </c>
      <c r="Z882">
        <v>-3.6018139999999997E-4</v>
      </c>
      <c r="AA882">
        <v>0.99859140000000002</v>
      </c>
      <c r="AB882">
        <v>37</v>
      </c>
      <c r="AC882">
        <v>56.866100000000003</v>
      </c>
      <c r="AD882">
        <v>-1.0785596745820001</v>
      </c>
      <c r="AE882">
        <v>-3.7648000000000299</v>
      </c>
      <c r="AF882">
        <v>3.0374253106764799</v>
      </c>
      <c r="AG882">
        <v>-1.0785596745820001</v>
      </c>
      <c r="AH882">
        <v>56.889153299547701</v>
      </c>
      <c r="AI882">
        <v>91.084594306672102</v>
      </c>
      <c r="AJ882">
        <v>86.943766041177298</v>
      </c>
      <c r="AK882">
        <v>56.980391422216599</v>
      </c>
      <c r="AL882">
        <v>78.643456102052596</v>
      </c>
      <c r="AM882">
        <v>86.342205215180797</v>
      </c>
      <c r="AN882">
        <v>1.00000002586598</v>
      </c>
    </row>
    <row r="883" spans="1:40" x14ac:dyDescent="0.25">
      <c r="A883" t="str">
        <f>"20190303170514427"</f>
        <v>20190303170514427</v>
      </c>
      <c r="B883" t="str">
        <f>"1551603914415783"</f>
        <v>1551603914415783</v>
      </c>
      <c r="C883" t="s">
        <v>40</v>
      </c>
      <c r="D883">
        <v>5.532851</v>
      </c>
      <c r="E883">
        <v>0.49970959999999998</v>
      </c>
      <c r="F883" t="s">
        <v>41</v>
      </c>
      <c r="G883">
        <v>-220.21600000000001</v>
      </c>
      <c r="H883" s="1">
        <v>-5.2399609999999998E-6</v>
      </c>
      <c r="I883">
        <v>363.6386</v>
      </c>
      <c r="J883">
        <v>-278.16030000000001</v>
      </c>
      <c r="K883">
        <v>1.0796680000000001</v>
      </c>
      <c r="L883">
        <v>367.48700000000002</v>
      </c>
      <c r="M883">
        <v>0.99991699999999994</v>
      </c>
      <c r="N883">
        <v>-2.2535200000000002E-3</v>
      </c>
      <c r="O883">
        <v>-1.268945E-2</v>
      </c>
      <c r="P883">
        <v>0.97806539999999997</v>
      </c>
      <c r="Q883">
        <v>0.19422429999999999</v>
      </c>
      <c r="R883">
        <v>-7.5265540000000006E-2</v>
      </c>
      <c r="S883">
        <v>3.0630489999999999</v>
      </c>
      <c r="T883">
        <v>-5.6814549999999998E-2</v>
      </c>
      <c r="U883">
        <v>-0.20285030000000001</v>
      </c>
      <c r="V883">
        <v>6.2811839999999994E-2</v>
      </c>
      <c r="W883">
        <v>0.19644159999999999</v>
      </c>
      <c r="X883">
        <v>0.97850159999999997</v>
      </c>
      <c r="Y883">
        <v>5.3404569999999998E-2</v>
      </c>
      <c r="Z883">
        <v>-3.4844990000000001E-4</v>
      </c>
      <c r="AA883">
        <v>0.99857289999999999</v>
      </c>
      <c r="AB883">
        <v>37</v>
      </c>
      <c r="AC883">
        <v>57.944299999999998</v>
      </c>
      <c r="AD883">
        <v>-1.0796732399609901</v>
      </c>
      <c r="AE883">
        <v>-3.8483999999999599</v>
      </c>
      <c r="AF883">
        <v>3.11173141439262</v>
      </c>
      <c r="AG883">
        <v>-1.0796732399609901</v>
      </c>
      <c r="AH883">
        <v>57.968431342383703</v>
      </c>
      <c r="AI883">
        <v>91.065487946644794</v>
      </c>
      <c r="AJ883">
        <v>86.927325430024297</v>
      </c>
      <c r="AK883">
        <v>58.061928998243403</v>
      </c>
      <c r="AL883">
        <v>78.671049894114503</v>
      </c>
      <c r="AM883">
        <v>86.327116499806095</v>
      </c>
      <c r="AN883">
        <v>1.00000000532865</v>
      </c>
    </row>
    <row r="884" spans="1:40" x14ac:dyDescent="0.25">
      <c r="A884" t="str">
        <f>"20190303170514441"</f>
        <v>20190303170514441</v>
      </c>
      <c r="B884" t="str">
        <f>"1551603914425543"</f>
        <v>1551603914425543</v>
      </c>
      <c r="C884" t="s">
        <v>40</v>
      </c>
      <c r="D884">
        <v>5.5336429999999996</v>
      </c>
      <c r="E884">
        <v>0.49973200000000001</v>
      </c>
      <c r="F884" t="s">
        <v>41</v>
      </c>
      <c r="G884">
        <v>-221.42420000000001</v>
      </c>
      <c r="H884" s="1">
        <v>-4.70990599999999E-6</v>
      </c>
      <c r="I884">
        <v>363.70479999999998</v>
      </c>
      <c r="J884">
        <v>-277.92899999999997</v>
      </c>
      <c r="K884">
        <v>1.0811630000000001</v>
      </c>
      <c r="L884">
        <v>367.48410000000001</v>
      </c>
      <c r="M884">
        <v>0.99991810000000003</v>
      </c>
      <c r="N884">
        <v>-2.2942589999999999E-3</v>
      </c>
      <c r="O884">
        <v>-1.259973E-2</v>
      </c>
      <c r="P884">
        <v>0.97816539999999996</v>
      </c>
      <c r="Q884">
        <v>0.19387489999999999</v>
      </c>
      <c r="R884">
        <v>-7.4866160000000001E-2</v>
      </c>
      <c r="S884">
        <v>3.0631710000000001</v>
      </c>
      <c r="T884">
        <v>-5.8291320000000001E-2</v>
      </c>
      <c r="U884">
        <v>-0.20419309999999999</v>
      </c>
      <c r="V884">
        <v>6.2499760000000001E-2</v>
      </c>
      <c r="W884">
        <v>0.1961321</v>
      </c>
      <c r="X884">
        <v>0.9785836</v>
      </c>
      <c r="Y884">
        <v>5.3926799999999997E-2</v>
      </c>
      <c r="Z884">
        <v>-3.6385109999999998E-4</v>
      </c>
      <c r="AA884">
        <v>0.99854480000000001</v>
      </c>
      <c r="AB884">
        <v>37</v>
      </c>
      <c r="AC884">
        <v>56.504800000000003</v>
      </c>
      <c r="AD884">
        <v>-1.081167709906</v>
      </c>
      <c r="AE884">
        <v>-3.7793000000000299</v>
      </c>
      <c r="AF884">
        <v>3.0659355002427202</v>
      </c>
      <c r="AG884">
        <v>-1.081167709906</v>
      </c>
      <c r="AH884">
        <v>56.527329685214902</v>
      </c>
      <c r="AI884">
        <v>91.094124075298495</v>
      </c>
      <c r="AJ884">
        <v>86.895427164989798</v>
      </c>
      <c r="AK884">
        <v>56.620737238661597</v>
      </c>
      <c r="AL884">
        <v>78.689134018910806</v>
      </c>
      <c r="AM884">
        <v>86.345621016161999</v>
      </c>
      <c r="AN884">
        <v>0.99999994141971205</v>
      </c>
    </row>
    <row r="885" spans="1:40" x14ac:dyDescent="0.25">
      <c r="A885" t="str">
        <f>"20190303170514452"</f>
        <v>20190303170514452</v>
      </c>
      <c r="B885" t="str">
        <f>"1551603914445063"</f>
        <v>1551603914445063</v>
      </c>
      <c r="C885" t="s">
        <v>40</v>
      </c>
      <c r="D885">
        <v>5.4771910000000004</v>
      </c>
      <c r="E885">
        <v>0.4997433</v>
      </c>
      <c r="F885" t="s">
        <v>41</v>
      </c>
      <c r="G885">
        <v>-222.47569999999999</v>
      </c>
      <c r="H885" s="1">
        <v>-4.2401479999999999E-6</v>
      </c>
      <c r="I885">
        <v>363.81020000000001</v>
      </c>
      <c r="J885">
        <v>-277.73079999999999</v>
      </c>
      <c r="K885">
        <v>1.08260499999999</v>
      </c>
      <c r="L885">
        <v>367.48169999999999</v>
      </c>
      <c r="M885">
        <v>0.99991870000000005</v>
      </c>
      <c r="N885">
        <v>-2.4201660000000001E-3</v>
      </c>
      <c r="O885">
        <v>-1.2523090000000001E-2</v>
      </c>
      <c r="P885">
        <v>0.97823150000000003</v>
      </c>
      <c r="Q885">
        <v>0.1934341</v>
      </c>
      <c r="R885">
        <v>-7.5143020000000005E-2</v>
      </c>
      <c r="S885">
        <v>3.0632320000000002</v>
      </c>
      <c r="T885">
        <v>-5.972338E-2</v>
      </c>
      <c r="U885">
        <v>-0.20294190000000001</v>
      </c>
      <c r="V885">
        <v>6.2850359999999994E-2</v>
      </c>
      <c r="W885">
        <v>0.19581509999999999</v>
      </c>
      <c r="X885">
        <v>0.97862470000000001</v>
      </c>
      <c r="Y885">
        <v>5.3595480000000001E-2</v>
      </c>
      <c r="Z885">
        <v>-3.732187E-4</v>
      </c>
      <c r="AA885">
        <v>0.99856259999999997</v>
      </c>
      <c r="AB885">
        <v>37</v>
      </c>
      <c r="AC885">
        <v>55.255099999999999</v>
      </c>
      <c r="AD885">
        <v>-1.0826092401480001</v>
      </c>
      <c r="AE885">
        <v>-3.67149999999998</v>
      </c>
      <c r="AF885">
        <v>2.9781072864147302</v>
      </c>
      <c r="AG885">
        <v>-1.0826092401480001</v>
      </c>
      <c r="AH885">
        <v>55.275619606482401</v>
      </c>
      <c r="AI885">
        <v>91.120407388965305</v>
      </c>
      <c r="AJ885">
        <v>86.916033442069306</v>
      </c>
      <c r="AK885">
        <v>55.366373266241503</v>
      </c>
      <c r="AL885">
        <v>78.707656748426999</v>
      </c>
      <c r="AM885">
        <v>86.325331261176601</v>
      </c>
      <c r="AN885">
        <v>1.00000001229511</v>
      </c>
    </row>
    <row r="886" spans="1:40" x14ac:dyDescent="0.25">
      <c r="A886" t="str">
        <f>"20190303170514464"</f>
        <v>20190303170514464</v>
      </c>
      <c r="B886" t="str">
        <f>"1551603914455798"</f>
        <v>1551603914455798</v>
      </c>
      <c r="C886" t="s">
        <v>40</v>
      </c>
      <c r="D886">
        <v>5.534535</v>
      </c>
      <c r="E886">
        <v>0.49977060000000001</v>
      </c>
      <c r="F886" t="s">
        <v>41</v>
      </c>
      <c r="G886">
        <v>-224.08029999999999</v>
      </c>
      <c r="H886" s="1">
        <v>-3.53374E-6</v>
      </c>
      <c r="I886">
        <v>363.91180000000003</v>
      </c>
      <c r="J886">
        <v>-277.54219999999998</v>
      </c>
      <c r="K886">
        <v>1.084017</v>
      </c>
      <c r="L886">
        <v>367.47930000000002</v>
      </c>
      <c r="M886">
        <v>0.99991929999999996</v>
      </c>
      <c r="N886">
        <v>-2.5373679999999999E-3</v>
      </c>
      <c r="O886">
        <v>-1.2450259999999999E-2</v>
      </c>
      <c r="P886">
        <v>0.97830209999999995</v>
      </c>
      <c r="Q886">
        <v>0.19312889999999999</v>
      </c>
      <c r="R886">
        <v>-7.5006539999999997E-2</v>
      </c>
      <c r="S886">
        <v>3.0633240000000002</v>
      </c>
      <c r="T886">
        <v>-6.1814429999999997E-2</v>
      </c>
      <c r="U886">
        <v>-0.20382690000000001</v>
      </c>
      <c r="V886">
        <v>6.2783640000000002E-2</v>
      </c>
      <c r="W886">
        <v>0.19562479999999999</v>
      </c>
      <c r="X886">
        <v>0.97866699999999995</v>
      </c>
      <c r="Y886">
        <v>5.395266E-2</v>
      </c>
      <c r="Z886">
        <v>-3.9288659999999999E-4</v>
      </c>
      <c r="AA886">
        <v>0.99854339999999997</v>
      </c>
      <c r="AB886">
        <v>37</v>
      </c>
      <c r="AC886">
        <v>53.461899999999901</v>
      </c>
      <c r="AD886">
        <v>-1.08402053374</v>
      </c>
      <c r="AE886">
        <v>-3.5674999999999901</v>
      </c>
      <c r="AF886">
        <v>2.9004196277679002</v>
      </c>
      <c r="AG886">
        <v>-1.08402053374</v>
      </c>
      <c r="AH886">
        <v>53.480282487811898</v>
      </c>
      <c r="AI886">
        <v>91.159496403782001</v>
      </c>
      <c r="AJ886">
        <v>86.895693994087694</v>
      </c>
      <c r="AK886">
        <v>53.569843657704197</v>
      </c>
      <c r="AL886">
        <v>78.718774710809001</v>
      </c>
      <c r="AM886">
        <v>86.329379729429107</v>
      </c>
      <c r="AN886">
        <v>0.99999997235784399</v>
      </c>
    </row>
    <row r="887" spans="1:40" x14ac:dyDescent="0.25">
      <c r="A887" t="str">
        <f>"20190303170514475"</f>
        <v>20190303170514475</v>
      </c>
      <c r="B887" t="str">
        <f>"1551603914465559"</f>
        <v>1551603914465559</v>
      </c>
      <c r="C887" t="s">
        <v>40</v>
      </c>
      <c r="D887">
        <v>5.4775330000000002</v>
      </c>
      <c r="E887">
        <v>0.49989820000000001</v>
      </c>
      <c r="F887" t="s">
        <v>41</v>
      </c>
      <c r="G887">
        <v>-224.7149</v>
      </c>
      <c r="H887" s="1">
        <v>-3.286239E-6</v>
      </c>
      <c r="I887">
        <v>363.97269999999997</v>
      </c>
      <c r="J887">
        <v>-277.34930000000003</v>
      </c>
      <c r="K887">
        <v>1.0855189999999999</v>
      </c>
      <c r="L887">
        <v>367.47699999999998</v>
      </c>
      <c r="M887">
        <v>0.99992029999999998</v>
      </c>
      <c r="N887">
        <v>-2.4997069999999999E-3</v>
      </c>
      <c r="O887">
        <v>-1.2376180000000001E-2</v>
      </c>
      <c r="P887">
        <v>0.97828380000000004</v>
      </c>
      <c r="Q887">
        <v>0.19330839999999999</v>
      </c>
      <c r="R887">
        <v>-7.4786899999999906E-2</v>
      </c>
      <c r="S887">
        <v>3.0633849999999998</v>
      </c>
      <c r="T887">
        <v>-6.2860849999999996E-2</v>
      </c>
      <c r="U887">
        <v>-0.20333860000000001</v>
      </c>
      <c r="V887">
        <v>6.2634499999999996E-2</v>
      </c>
      <c r="W887">
        <v>0.19576779999999999</v>
      </c>
      <c r="X887">
        <v>0.97864799999999996</v>
      </c>
      <c r="Y887">
        <v>5.3866579999999997E-2</v>
      </c>
      <c r="Z887">
        <v>-3.966951E-4</v>
      </c>
      <c r="AA887">
        <v>0.99854810000000005</v>
      </c>
      <c r="AB887">
        <v>37</v>
      </c>
      <c r="AC887">
        <v>52.634399999999999</v>
      </c>
      <c r="AD887">
        <v>-1.0855222862389999</v>
      </c>
      <c r="AE887">
        <v>-3.5043000000000002</v>
      </c>
      <c r="AF887">
        <v>2.85140930432628</v>
      </c>
      <c r="AG887">
        <v>-1.0855222862389999</v>
      </c>
      <c r="AH887">
        <v>52.651442769375102</v>
      </c>
      <c r="AI887">
        <v>91.179380154971497</v>
      </c>
      <c r="AJ887">
        <v>86.900098637014594</v>
      </c>
      <c r="AK887">
        <v>52.739769807532397</v>
      </c>
      <c r="AL887">
        <v>78.7104203000859</v>
      </c>
      <c r="AM887">
        <v>86.338004484862495</v>
      </c>
      <c r="AN887">
        <v>1.00000001000554</v>
      </c>
    </row>
    <row r="888" spans="1:40" x14ac:dyDescent="0.25">
      <c r="A888" t="str">
        <f>"20190303170514488"</f>
        <v>20190303170514488</v>
      </c>
      <c r="B888" t="str">
        <f>"1551603914475319"</f>
        <v>1551603914475319</v>
      </c>
      <c r="C888" t="s">
        <v>40</v>
      </c>
      <c r="D888">
        <v>5.532057</v>
      </c>
      <c r="E888">
        <v>0.50002170000000001</v>
      </c>
      <c r="F888" t="s">
        <v>41</v>
      </c>
      <c r="G888">
        <v>-224.04730000000001</v>
      </c>
      <c r="H888" s="1">
        <v>-3.5447900000000001E-6</v>
      </c>
      <c r="I888">
        <v>363.92930000000001</v>
      </c>
      <c r="J888">
        <v>-277.15550000000002</v>
      </c>
      <c r="K888">
        <v>1.0870500000000001</v>
      </c>
      <c r="L888">
        <v>367.47460000000001</v>
      </c>
      <c r="M888">
        <v>0.99992139999999996</v>
      </c>
      <c r="N888">
        <v>-2.4437579999999999E-3</v>
      </c>
      <c r="O888">
        <v>-1.2302199999999999E-2</v>
      </c>
      <c r="P888">
        <v>0.9782246</v>
      </c>
      <c r="Q888">
        <v>0.19365460000000001</v>
      </c>
      <c r="R888">
        <v>-7.4661720000000001E-2</v>
      </c>
      <c r="S888">
        <v>3.0633240000000002</v>
      </c>
      <c r="T888">
        <v>-6.2386160000000003E-2</v>
      </c>
      <c r="U888">
        <v>-0.20388790000000001</v>
      </c>
      <c r="V888">
        <v>6.2580609999999995E-2</v>
      </c>
      <c r="W888">
        <v>0.1960596</v>
      </c>
      <c r="X888">
        <v>0.97859300000000005</v>
      </c>
      <c r="Y888">
        <v>5.412016E-2</v>
      </c>
      <c r="Z888">
        <v>-3.9645940000000002E-4</v>
      </c>
      <c r="AA888">
        <v>0.99853440000000004</v>
      </c>
      <c r="AB888">
        <v>37</v>
      </c>
      <c r="AC888">
        <v>53.108199999999997</v>
      </c>
      <c r="AD888">
        <v>-1.08705354479</v>
      </c>
      <c r="AE888">
        <v>-3.5452999999999899</v>
      </c>
      <c r="AF888">
        <v>2.8904764607533702</v>
      </c>
      <c r="AG888">
        <v>-1.08705354479</v>
      </c>
      <c r="AH888">
        <v>53.125637052064498</v>
      </c>
      <c r="AI888">
        <v>91.170488449558604</v>
      </c>
      <c r="AJ888">
        <v>86.885703734655607</v>
      </c>
      <c r="AK888">
        <v>53.215315951021999</v>
      </c>
      <c r="AL888">
        <v>78.693370647053399</v>
      </c>
      <c r="AM888">
        <v>86.340941580644497</v>
      </c>
      <c r="AN888">
        <v>0.99999997957456599</v>
      </c>
    </row>
    <row r="889" spans="1:40" x14ac:dyDescent="0.25">
      <c r="A889" t="str">
        <f>"20190303170514501"</f>
        <v>20190303170514501</v>
      </c>
      <c r="B889" t="str">
        <f>"1551603914495815"</f>
        <v>1551603914495815</v>
      </c>
      <c r="C889" t="s">
        <v>40</v>
      </c>
      <c r="D889">
        <v>5.4749749999999997</v>
      </c>
      <c r="E889">
        <v>0.49999579999999999</v>
      </c>
      <c r="F889" t="s">
        <v>41</v>
      </c>
      <c r="G889">
        <v>-223.2397</v>
      </c>
      <c r="H889" s="1">
        <v>-3.9012089999999996E-6</v>
      </c>
      <c r="I889">
        <v>363.8732</v>
      </c>
      <c r="J889">
        <v>-276.92380000000003</v>
      </c>
      <c r="K889">
        <v>1.0889219999999999</v>
      </c>
      <c r="L889">
        <v>367.47179999999997</v>
      </c>
      <c r="M889">
        <v>0.9999228</v>
      </c>
      <c r="N889">
        <v>-2.3444030000000001E-3</v>
      </c>
      <c r="O889">
        <v>-1.221422E-2</v>
      </c>
      <c r="P889">
        <v>0.97810520000000001</v>
      </c>
      <c r="Q889">
        <v>0.1944331</v>
      </c>
      <c r="R889">
        <v>-7.4203279999999996E-2</v>
      </c>
      <c r="S889">
        <v>3.0633849999999998</v>
      </c>
      <c r="T889">
        <v>-6.1763999999999999E-2</v>
      </c>
      <c r="U889">
        <v>-0.20462040000000001</v>
      </c>
      <c r="V889">
        <v>6.2206829999999998E-2</v>
      </c>
      <c r="W889">
        <v>0.19674130000000001</v>
      </c>
      <c r="X889">
        <v>0.97848000000000002</v>
      </c>
      <c r="Y889">
        <v>5.4444569999999998E-2</v>
      </c>
      <c r="Z889">
        <v>-3.9475749999999998E-4</v>
      </c>
      <c r="AA889">
        <v>0.99851670000000003</v>
      </c>
      <c r="AB889">
        <v>37</v>
      </c>
      <c r="AC889">
        <v>53.684100000000001</v>
      </c>
      <c r="AD889">
        <v>-1.088925901209</v>
      </c>
      <c r="AE889">
        <v>-3.59859999999997</v>
      </c>
      <c r="AF889">
        <v>2.94141564207776</v>
      </c>
      <c r="AG889">
        <v>-1.088925901209</v>
      </c>
      <c r="AH889">
        <v>53.702053273726399</v>
      </c>
      <c r="AI889">
        <v>91.159899215822193</v>
      </c>
      <c r="AJ889">
        <v>86.864878341652002</v>
      </c>
      <c r="AK889">
        <v>53.793570353825103</v>
      </c>
      <c r="AL889">
        <v>78.653536174790105</v>
      </c>
      <c r="AM889">
        <v>86.362318552193301</v>
      </c>
      <c r="AN889">
        <v>0.99999996961216897</v>
      </c>
    </row>
    <row r="890" spans="1:40" x14ac:dyDescent="0.25">
      <c r="A890" t="str">
        <f>"20190303170514515"</f>
        <v>20190303170514515</v>
      </c>
      <c r="B890" t="str">
        <f>"1551603914505575"</f>
        <v>1551603914505575</v>
      </c>
      <c r="C890" t="s">
        <v>40</v>
      </c>
      <c r="D890">
        <v>5.2530999999999999</v>
      </c>
      <c r="E890">
        <v>0.50001370000000001</v>
      </c>
      <c r="F890" t="s">
        <v>41</v>
      </c>
      <c r="G890">
        <v>-221.1584</v>
      </c>
      <c r="H890" s="1">
        <v>-4.8110909999999999E-6</v>
      </c>
      <c r="I890">
        <v>363.77719999999999</v>
      </c>
      <c r="J890">
        <v>-276.70170000000002</v>
      </c>
      <c r="K890">
        <v>1.0907560000000001</v>
      </c>
      <c r="L890">
        <v>367.46910000000003</v>
      </c>
      <c r="M890">
        <v>0.99992380000000003</v>
      </c>
      <c r="N890">
        <v>-2.3266089999999999E-3</v>
      </c>
      <c r="O890">
        <v>-1.212907E-2</v>
      </c>
      <c r="P890">
        <v>0.97814579999999995</v>
      </c>
      <c r="Q890">
        <v>0.19456599999999999</v>
      </c>
      <c r="R890">
        <v>-7.3314180000000007E-2</v>
      </c>
      <c r="S890">
        <v>3.06366</v>
      </c>
      <c r="T890">
        <v>-5.9823750000000002E-2</v>
      </c>
      <c r="U890">
        <v>-0.2029724</v>
      </c>
      <c r="V890">
        <v>6.1397849999999997E-2</v>
      </c>
      <c r="W890">
        <v>0.1968578</v>
      </c>
      <c r="X890">
        <v>0.97850769999999998</v>
      </c>
      <c r="Y890">
        <v>5.3989580000000002E-2</v>
      </c>
      <c r="Z890">
        <v>-3.8103559999999999E-4</v>
      </c>
      <c r="AA890">
        <v>0.99854140000000002</v>
      </c>
      <c r="AB890">
        <v>37</v>
      </c>
      <c r="AC890">
        <v>55.543300000000002</v>
      </c>
      <c r="AD890">
        <v>-1.0907608110910001</v>
      </c>
      <c r="AE890">
        <v>-3.6919000000000302</v>
      </c>
      <c r="AF890">
        <v>3.0167797607431401</v>
      </c>
      <c r="AG890">
        <v>-1.0907608110910001</v>
      </c>
      <c r="AH890">
        <v>55.5626600499332</v>
      </c>
      <c r="AI890">
        <v>91.1229859262709</v>
      </c>
      <c r="AJ890">
        <v>86.892171875454096</v>
      </c>
      <c r="AK890">
        <v>55.655187638676502</v>
      </c>
      <c r="AL890">
        <v>78.646728473036205</v>
      </c>
      <c r="AM890">
        <v>86.409602250591206</v>
      </c>
      <c r="AN890">
        <v>1.00000000418237</v>
      </c>
    </row>
    <row r="891" spans="1:40" x14ac:dyDescent="0.25">
      <c r="A891" t="str">
        <f>"20190303170514527"</f>
        <v>20190303170514527</v>
      </c>
      <c r="B891" t="str">
        <f>"1551603914515336"</f>
        <v>1551603914515336</v>
      </c>
      <c r="C891" t="s">
        <v>40</v>
      </c>
      <c r="D891">
        <v>5.4734600000000002</v>
      </c>
      <c r="E891">
        <v>0.49997570000000002</v>
      </c>
      <c r="F891" t="s">
        <v>41</v>
      </c>
      <c r="G891">
        <v>-220.4769</v>
      </c>
      <c r="H891" s="1">
        <v>-5.1023479999999999E-6</v>
      </c>
      <c r="I891">
        <v>363.7835</v>
      </c>
      <c r="J891">
        <v>-276.49299999999999</v>
      </c>
      <c r="K891">
        <v>1.092489</v>
      </c>
      <c r="L891">
        <v>367.4667</v>
      </c>
      <c r="M891">
        <v>0.9999247</v>
      </c>
      <c r="N891">
        <v>-2.35914E-3</v>
      </c>
      <c r="O891">
        <v>-1.204791E-2</v>
      </c>
      <c r="P891">
        <v>0.97814330000000005</v>
      </c>
      <c r="Q891">
        <v>0.1946908</v>
      </c>
      <c r="R891">
        <v>-7.3015679999999999E-2</v>
      </c>
      <c r="S891">
        <v>3.063812</v>
      </c>
      <c r="T891">
        <v>-5.9437869999999997E-2</v>
      </c>
      <c r="U891">
        <v>-0.20083619999999999</v>
      </c>
      <c r="V891">
        <v>6.1176050000000003E-2</v>
      </c>
      <c r="W891">
        <v>0.19701479999999999</v>
      </c>
      <c r="X891">
        <v>0.97848999999999997</v>
      </c>
      <c r="Y891">
        <v>5.3374329999999998E-2</v>
      </c>
      <c r="Z891">
        <v>-3.7512359999999998E-4</v>
      </c>
      <c r="AA891">
        <v>0.99857450000000003</v>
      </c>
      <c r="AB891">
        <v>37</v>
      </c>
      <c r="AC891">
        <v>56.016100000000002</v>
      </c>
      <c r="AD891">
        <v>-1.0924941023479999</v>
      </c>
      <c r="AE891">
        <v>-3.6831999999999998</v>
      </c>
      <c r="AF891">
        <v>3.0069150758942098</v>
      </c>
      <c r="AG891">
        <v>-1.0924941023479999</v>
      </c>
      <c r="AH891">
        <v>56.035186730171802</v>
      </c>
      <c r="AI891">
        <v>91.115325591886403</v>
      </c>
      <c r="AJ891">
        <v>86.928386010521393</v>
      </c>
      <c r="AK891">
        <v>56.1264397011117</v>
      </c>
      <c r="AL891">
        <v>78.637553423258595</v>
      </c>
      <c r="AM891">
        <v>86.422474288130402</v>
      </c>
      <c r="AN891">
        <v>1.00000001030632</v>
      </c>
    </row>
    <row r="892" spans="1:40" x14ac:dyDescent="0.25">
      <c r="A892" t="str">
        <f>"20190303170514549"</f>
        <v>20190303170514549</v>
      </c>
      <c r="B892" t="str">
        <f>"1551603914535831"</f>
        <v>1551603914535831</v>
      </c>
      <c r="C892" t="s">
        <v>40</v>
      </c>
      <c r="D892">
        <v>5.5303649999999998</v>
      </c>
      <c r="E892">
        <v>0.50006189999999995</v>
      </c>
      <c r="F892" t="s">
        <v>41</v>
      </c>
      <c r="G892">
        <v>-220.14359999999999</v>
      </c>
      <c r="H892" s="1">
        <v>-5.2443820000000001E-6</v>
      </c>
      <c r="I892">
        <v>363.78879999999998</v>
      </c>
      <c r="J892">
        <v>-276.12819999999999</v>
      </c>
      <c r="K892">
        <v>1.095512</v>
      </c>
      <c r="L892">
        <v>367.4624</v>
      </c>
      <c r="M892">
        <v>0.99992590000000003</v>
      </c>
      <c r="N892">
        <v>-2.596307E-3</v>
      </c>
      <c r="O892">
        <v>-1.1900320000000001E-2</v>
      </c>
      <c r="P892">
        <v>0.97826869999999999</v>
      </c>
      <c r="Q892">
        <v>0.19426740000000001</v>
      </c>
      <c r="R892">
        <v>-7.2461460000000005E-2</v>
      </c>
      <c r="S892">
        <v>3.063965</v>
      </c>
      <c r="T892">
        <v>-5.9403659999999997E-2</v>
      </c>
      <c r="U892">
        <v>-0.19998170000000001</v>
      </c>
      <c r="V892">
        <v>6.0760139999999997E-2</v>
      </c>
      <c r="W892">
        <v>0.19682549999999999</v>
      </c>
      <c r="X892">
        <v>0.97855400000000003</v>
      </c>
      <c r="Y892">
        <v>5.3241009999999998E-2</v>
      </c>
      <c r="Z892">
        <v>-3.8515009999999999E-4</v>
      </c>
      <c r="AA892">
        <v>0.99858159999999896</v>
      </c>
      <c r="AB892">
        <v>37</v>
      </c>
      <c r="AC892">
        <v>55.9846</v>
      </c>
      <c r="AD892">
        <v>-1.095517244382</v>
      </c>
      <c r="AE892">
        <v>-3.67360000000002</v>
      </c>
      <c r="AF892">
        <v>3.00595693154935</v>
      </c>
      <c r="AG892">
        <v>-1.095517244382</v>
      </c>
      <c r="AH892">
        <v>56.003000393228596</v>
      </c>
      <c r="AI892">
        <v>91.119052923786398</v>
      </c>
      <c r="AJ892">
        <v>86.927601505171197</v>
      </c>
      <c r="AK892">
        <v>56.094313331665198</v>
      </c>
      <c r="AL892">
        <v>78.648616025753498</v>
      </c>
      <c r="AM892">
        <v>86.446965638300497</v>
      </c>
      <c r="AN892">
        <v>1.0000000014895301</v>
      </c>
    </row>
    <row r="893" spans="1:40" x14ac:dyDescent="0.25">
      <c r="A893" t="str">
        <f>"20190303170514564"</f>
        <v>20190303170514564</v>
      </c>
      <c r="B893" t="str">
        <f>"1551603914555350"</f>
        <v>1551603914555350</v>
      </c>
      <c r="C893" t="s">
        <v>40</v>
      </c>
      <c r="D893">
        <v>5.5255960000000002</v>
      </c>
      <c r="E893">
        <v>0.50019929999999901</v>
      </c>
      <c r="F893" t="s">
        <v>41</v>
      </c>
      <c r="G893">
        <v>-221.08090000000001</v>
      </c>
      <c r="H893" s="1">
        <v>-4.8228300000000002E-6</v>
      </c>
      <c r="I893">
        <v>363.89850000000001</v>
      </c>
      <c r="J893">
        <v>-275.89080000000001</v>
      </c>
      <c r="K893">
        <v>1.0974429999999999</v>
      </c>
      <c r="L893">
        <v>367.45960000000002</v>
      </c>
      <c r="M893">
        <v>0.99992639999999999</v>
      </c>
      <c r="N893">
        <v>-2.8297330000000001E-3</v>
      </c>
      <c r="O893">
        <v>-1.1799850000000001E-2</v>
      </c>
      <c r="P893">
        <v>0.97835439999999996</v>
      </c>
      <c r="Q893">
        <v>0.1938848</v>
      </c>
      <c r="R893">
        <v>-7.2329420000000005E-2</v>
      </c>
      <c r="S893">
        <v>3.0639949999999998</v>
      </c>
      <c r="T893">
        <v>-6.0977580000000003E-2</v>
      </c>
      <c r="U893">
        <v>-0.19836429999999999</v>
      </c>
      <c r="V893">
        <v>6.0722409999999997E-2</v>
      </c>
      <c r="W893">
        <v>0.1966726</v>
      </c>
      <c r="X893">
        <v>0.97858710000000004</v>
      </c>
      <c r="Y893">
        <v>5.2815220000000003E-2</v>
      </c>
      <c r="Z893">
        <v>-3.985773E-4</v>
      </c>
      <c r="AA893">
        <v>0.99860420000000005</v>
      </c>
      <c r="AB893">
        <v>38</v>
      </c>
      <c r="AC893">
        <v>54.809899999999999</v>
      </c>
      <c r="AD893">
        <v>-1.09744782283</v>
      </c>
      <c r="AE893">
        <v>-3.5611000000000099</v>
      </c>
      <c r="AF893">
        <v>2.9129379753962898</v>
      </c>
      <c r="AG893">
        <v>-1.09744782283</v>
      </c>
      <c r="AH893">
        <v>54.826216555902803</v>
      </c>
      <c r="AI893">
        <v>91.145112876956901</v>
      </c>
      <c r="AJ893">
        <v>86.958712730619794</v>
      </c>
      <c r="AK893">
        <v>54.914511936346102</v>
      </c>
      <c r="AL893">
        <v>78.6575513821317</v>
      </c>
      <c r="AM893">
        <v>86.449286103375599</v>
      </c>
      <c r="AN893">
        <v>1.0000000174766801</v>
      </c>
    </row>
    <row r="894" spans="1:40" x14ac:dyDescent="0.25">
      <c r="A894" t="str">
        <f>"20190303170514578"</f>
        <v>20190303170514578</v>
      </c>
      <c r="B894" t="str">
        <f>"1551603914565111"</f>
        <v>1551603914565111</v>
      </c>
      <c r="C894" t="s">
        <v>40</v>
      </c>
      <c r="D894">
        <v>5.3569149999999999</v>
      </c>
      <c r="E894">
        <v>0.50029170000000001</v>
      </c>
      <c r="F894" t="s">
        <v>41</v>
      </c>
      <c r="G894">
        <v>-223.03870000000001</v>
      </c>
      <c r="H894" s="1">
        <v>-3.9588290000000003E-6</v>
      </c>
      <c r="I894">
        <v>364.03460000000001</v>
      </c>
      <c r="J894">
        <v>-275.6345</v>
      </c>
      <c r="K894">
        <v>1.0994349999999999</v>
      </c>
      <c r="L894">
        <v>367.45670000000001</v>
      </c>
      <c r="M894">
        <v>0.99992689999999995</v>
      </c>
      <c r="N894">
        <v>-3.1584790000000001E-3</v>
      </c>
      <c r="O894">
        <v>-1.168391E-2</v>
      </c>
      <c r="P894">
        <v>0.97847859999999998</v>
      </c>
      <c r="Q894">
        <v>0.19322439999999999</v>
      </c>
      <c r="R894">
        <v>-7.2419960000000005E-2</v>
      </c>
      <c r="S894">
        <v>3.0643009999999999</v>
      </c>
      <c r="T894">
        <v>-6.3628439999999994E-2</v>
      </c>
      <c r="U894">
        <v>-0.1985779</v>
      </c>
      <c r="V894">
        <v>6.0921080000000002E-2</v>
      </c>
      <c r="W894">
        <v>0.1963355</v>
      </c>
      <c r="X894">
        <v>0.97864240000000002</v>
      </c>
      <c r="Y894">
        <v>5.2992780000000003E-2</v>
      </c>
      <c r="Z894">
        <v>-4.2789640000000001E-4</v>
      </c>
      <c r="AA894">
        <v>0.9985948</v>
      </c>
      <c r="AB894">
        <v>38</v>
      </c>
      <c r="AC894">
        <v>52.595799999999997</v>
      </c>
      <c r="AD894">
        <v>-1.0994389588289999</v>
      </c>
      <c r="AE894">
        <v>-3.4220999999999999</v>
      </c>
      <c r="AF894">
        <v>2.8061178517646499</v>
      </c>
      <c r="AG894">
        <v>-1.0994389588289999</v>
      </c>
      <c r="AH894">
        <v>52.609302348069299</v>
      </c>
      <c r="AI894">
        <v>91.195504640950404</v>
      </c>
      <c r="AJ894">
        <v>86.946804292668503</v>
      </c>
      <c r="AK894">
        <v>52.695557279269302</v>
      </c>
      <c r="AL894">
        <v>78.677249383421895</v>
      </c>
      <c r="AM894">
        <v>86.437899612565005</v>
      </c>
      <c r="AN894">
        <v>0.99999997681318797</v>
      </c>
    </row>
    <row r="895" spans="1:40" x14ac:dyDescent="0.25">
      <c r="A895" t="str">
        <f>"20190303170514594"</f>
        <v>20190303170514594</v>
      </c>
      <c r="B895" t="str">
        <f>"1551603914585607"</f>
        <v>1551603914585607</v>
      </c>
      <c r="C895" t="s">
        <v>40</v>
      </c>
      <c r="D895">
        <v>5.5234839999999998</v>
      </c>
      <c r="E895">
        <v>0.50038190000000005</v>
      </c>
      <c r="F895" t="s">
        <v>41</v>
      </c>
      <c r="G895">
        <v>-224.78450000000001</v>
      </c>
      <c r="H895" s="1">
        <v>-3.2149349999999998E-6</v>
      </c>
      <c r="I895">
        <v>364.15179999999998</v>
      </c>
      <c r="J895">
        <v>-275.36779999999999</v>
      </c>
      <c r="K895">
        <v>1.10141</v>
      </c>
      <c r="L895">
        <v>367.45370000000003</v>
      </c>
      <c r="M895">
        <v>0.99992700000000001</v>
      </c>
      <c r="N895">
        <v>-3.5411090000000002E-3</v>
      </c>
      <c r="O895">
        <v>-1.15569E-2</v>
      </c>
      <c r="P895">
        <v>0.97858000000000001</v>
      </c>
      <c r="Q895">
        <v>0.19269149999999999</v>
      </c>
      <c r="R895">
        <v>-7.2467069999999995E-2</v>
      </c>
      <c r="S895">
        <v>3.0643310000000001</v>
      </c>
      <c r="T895">
        <v>-6.6254380000000002E-2</v>
      </c>
      <c r="U895">
        <v>-0.19915769999999999</v>
      </c>
      <c r="V895">
        <v>6.1087240000000001E-2</v>
      </c>
      <c r="W895">
        <v>0.19617889999999999</v>
      </c>
      <c r="X895">
        <v>0.97866350000000002</v>
      </c>
      <c r="Y895">
        <v>5.330588E-2</v>
      </c>
      <c r="Z895">
        <v>-4.6141470000000002E-4</v>
      </c>
      <c r="AA895">
        <v>0.99857810000000002</v>
      </c>
      <c r="AB895">
        <v>38</v>
      </c>
      <c r="AC895">
        <v>50.583299999999902</v>
      </c>
      <c r="AD895">
        <v>-1.101413214935</v>
      </c>
      <c r="AE895">
        <v>-3.3019000000000398</v>
      </c>
      <c r="AF895">
        <v>2.71580756260194</v>
      </c>
      <c r="AG895">
        <v>-1.101413214935</v>
      </c>
      <c r="AH895">
        <v>50.594195978525804</v>
      </c>
      <c r="AI895">
        <v>91.245314495653702</v>
      </c>
      <c r="AJ895">
        <v>86.927412012721803</v>
      </c>
      <c r="AK895">
        <v>50.679003428447501</v>
      </c>
      <c r="AL895">
        <v>78.686400454797905</v>
      </c>
      <c r="AM895">
        <v>86.428286040960302</v>
      </c>
      <c r="AN895">
        <v>1.00000002896413</v>
      </c>
    </row>
    <row r="896" spans="1:40" x14ac:dyDescent="0.25">
      <c r="A896" t="str">
        <f>"20190303170514615"</f>
        <v>20190303170514615</v>
      </c>
      <c r="B896" t="str">
        <f>"1551603914605127"</f>
        <v>1551603914605127</v>
      </c>
      <c r="C896" t="s">
        <v>40</v>
      </c>
      <c r="D896">
        <v>5.3775890000000004</v>
      </c>
      <c r="E896">
        <v>0.50066339999999998</v>
      </c>
      <c r="F896" t="s">
        <v>41</v>
      </c>
      <c r="G896">
        <v>-226.25989999999999</v>
      </c>
      <c r="H896" s="1">
        <v>-2.6872759999999998E-6</v>
      </c>
      <c r="I896">
        <v>364.24790000000002</v>
      </c>
      <c r="J896">
        <v>-275.01310000000001</v>
      </c>
      <c r="K896">
        <v>1.1038809999999999</v>
      </c>
      <c r="L896">
        <v>367.44970000000001</v>
      </c>
      <c r="M896">
        <v>0.99992689999999995</v>
      </c>
      <c r="N896">
        <v>-4.1146200000000003E-3</v>
      </c>
      <c r="O896">
        <v>-1.137614E-2</v>
      </c>
      <c r="P896">
        <v>0.97869589999999995</v>
      </c>
      <c r="Q896">
        <v>0.1918385</v>
      </c>
      <c r="R896">
        <v>-7.3161279999999995E-2</v>
      </c>
      <c r="S896">
        <v>3.0643919999999998</v>
      </c>
      <c r="T896">
        <v>-6.8729280000000004E-2</v>
      </c>
      <c r="U896">
        <v>-0.20004269999999999</v>
      </c>
      <c r="V896">
        <v>6.194993E-2</v>
      </c>
      <c r="W896">
        <v>0.19588990000000001</v>
      </c>
      <c r="X896">
        <v>0.97866710000000001</v>
      </c>
      <c r="Y896">
        <v>5.3770749999999999E-2</v>
      </c>
      <c r="Z896">
        <v>-5.0497789999999997E-4</v>
      </c>
      <c r="AA896">
        <v>0.99855320000000003</v>
      </c>
      <c r="AB896">
        <v>38</v>
      </c>
      <c r="AC896">
        <v>48.7532</v>
      </c>
      <c r="AD896">
        <v>-1.1038836872759901</v>
      </c>
      <c r="AE896">
        <v>-3.2017999999999902</v>
      </c>
      <c r="AF896">
        <v>2.64561441529897</v>
      </c>
      <c r="AG896">
        <v>-1.1038836872759901</v>
      </c>
      <c r="AH896">
        <v>48.761578156417897</v>
      </c>
      <c r="AI896">
        <v>91.294958809132197</v>
      </c>
      <c r="AJ896">
        <v>86.894397825648994</v>
      </c>
      <c r="AK896">
        <v>48.845770944206897</v>
      </c>
      <c r="AL896">
        <v>78.703285897260301</v>
      </c>
      <c r="AM896">
        <v>86.377991994416206</v>
      </c>
      <c r="AN896">
        <v>0.99999996968571103</v>
      </c>
    </row>
    <row r="897" spans="1:40" x14ac:dyDescent="0.25">
      <c r="A897" t="str">
        <f>"20190303170514627"</f>
        <v>20190303170514627</v>
      </c>
      <c r="B897" t="str">
        <f>"1551603914615863"</f>
        <v>1551603914615863</v>
      </c>
      <c r="C897" t="s">
        <v>40</v>
      </c>
      <c r="D897">
        <v>5.4220420000000003</v>
      </c>
      <c r="E897">
        <v>0.50077269999999996</v>
      </c>
      <c r="F897" t="s">
        <v>41</v>
      </c>
      <c r="G897">
        <v>-228.99449999999999</v>
      </c>
      <c r="H897" s="1">
        <v>-1.7212449999999999E-6</v>
      </c>
      <c r="I897">
        <v>364.38099999999997</v>
      </c>
      <c r="J897">
        <v>-274.81369999999998</v>
      </c>
      <c r="K897">
        <v>1.105186</v>
      </c>
      <c r="L897">
        <v>367.44760000000002</v>
      </c>
      <c r="M897">
        <v>0.99992669999999995</v>
      </c>
      <c r="N897">
        <v>-4.465686E-3</v>
      </c>
      <c r="O897">
        <v>-1.126709E-2</v>
      </c>
      <c r="P897">
        <v>0.9787399</v>
      </c>
      <c r="Q897">
        <v>0.19148950000000001</v>
      </c>
      <c r="R897">
        <v>-7.3489349999999995E-2</v>
      </c>
      <c r="S897">
        <v>3.0644529999999999</v>
      </c>
      <c r="T897">
        <v>-7.350922E-2</v>
      </c>
      <c r="U897">
        <v>-0.20434569999999999</v>
      </c>
      <c r="V897">
        <v>6.237902E-2</v>
      </c>
      <c r="W897">
        <v>0.19588659999999999</v>
      </c>
      <c r="X897">
        <v>0.97864059999999997</v>
      </c>
      <c r="Y897">
        <v>5.527174E-2</v>
      </c>
      <c r="Z897">
        <v>-5.6601830000000005E-4</v>
      </c>
      <c r="AA897">
        <v>0.9984712</v>
      </c>
      <c r="AB897">
        <v>38</v>
      </c>
      <c r="AC897">
        <v>45.819200000000002</v>
      </c>
      <c r="AD897">
        <v>-1.1051877212450001</v>
      </c>
      <c r="AE897">
        <v>-3.06660000000005</v>
      </c>
      <c r="AF897">
        <v>2.5486750019227702</v>
      </c>
      <c r="AG897">
        <v>-1.1051877212450001</v>
      </c>
      <c r="AH897">
        <v>45.824301641257598</v>
      </c>
      <c r="AI897">
        <v>91.379457151531199</v>
      </c>
      <c r="AJ897">
        <v>86.816579423281993</v>
      </c>
      <c r="AK897">
        <v>45.9084284753201</v>
      </c>
      <c r="AL897">
        <v>78.703479777766901</v>
      </c>
      <c r="AM897">
        <v>86.352873505995802</v>
      </c>
      <c r="AN897">
        <v>1.00000006308203</v>
      </c>
    </row>
    <row r="898" spans="1:40" x14ac:dyDescent="0.25">
      <c r="A898" t="str">
        <f>"20190303170514650"</f>
        <v>20190303170514650</v>
      </c>
      <c r="B898" t="str">
        <f>"1551603914635383"</f>
        <v>1551603914635383</v>
      </c>
      <c r="C898" t="s">
        <v>40</v>
      </c>
      <c r="D898">
        <v>5.4180699999999904</v>
      </c>
      <c r="E898">
        <v>0.50096209999999997</v>
      </c>
      <c r="F898" t="s">
        <v>41</v>
      </c>
      <c r="G898">
        <v>-229.90479999999999</v>
      </c>
      <c r="H898" s="1">
        <v>-1.400201E-6</v>
      </c>
      <c r="I898">
        <v>364.42329999999998</v>
      </c>
      <c r="J898">
        <v>-274.43900000000002</v>
      </c>
      <c r="K898">
        <v>1.1074360000000001</v>
      </c>
      <c r="L898">
        <v>367.4436</v>
      </c>
      <c r="M898">
        <v>0.99992559999999997</v>
      </c>
      <c r="N898">
        <v>-5.1815489999999997E-3</v>
      </c>
      <c r="O898">
        <v>-1.104406E-2</v>
      </c>
      <c r="P898">
        <v>0.97895140000000003</v>
      </c>
      <c r="Q898">
        <v>0.19010969999999999</v>
      </c>
      <c r="R898">
        <v>-7.4249789999999996E-2</v>
      </c>
      <c r="S898">
        <v>3.0644230000000001</v>
      </c>
      <c r="T898">
        <v>-7.5413939999999999E-2</v>
      </c>
      <c r="U898">
        <v>-0.20635990000000001</v>
      </c>
      <c r="V898">
        <v>6.3344890000000001E-2</v>
      </c>
      <c r="W898">
        <v>0.19521230000000001</v>
      </c>
      <c r="X898">
        <v>0.97871319999999995</v>
      </c>
      <c r="Y898">
        <v>5.614661E-2</v>
      </c>
      <c r="Z898">
        <v>-6.2138919999999895E-4</v>
      </c>
      <c r="AA898">
        <v>0.99842229999999998</v>
      </c>
      <c r="AB898">
        <v>38</v>
      </c>
      <c r="AC898">
        <v>44.534199999999998</v>
      </c>
      <c r="AD898">
        <v>-1.1074374002009999</v>
      </c>
      <c r="AE898">
        <v>-3.0203000000000202</v>
      </c>
      <c r="AF898">
        <v>2.5267155202480298</v>
      </c>
      <c r="AG898">
        <v>-1.1074374002009999</v>
      </c>
      <c r="AH898">
        <v>44.537426038091098</v>
      </c>
      <c r="AI898">
        <v>91.4220986668969</v>
      </c>
      <c r="AJ898">
        <v>86.7529529650093</v>
      </c>
      <c r="AK898">
        <v>44.622785962040297</v>
      </c>
      <c r="AL898">
        <v>78.742873855487304</v>
      </c>
      <c r="AM898">
        <v>86.296831714396603</v>
      </c>
      <c r="AN898">
        <v>0.99999997250731998</v>
      </c>
    </row>
    <row r="899" spans="1:40" x14ac:dyDescent="0.25">
      <c r="A899" t="str">
        <f>"20190303170514671"</f>
        <v>20190303170514671</v>
      </c>
      <c r="B899" t="str">
        <f>"1551603914665639"</f>
        <v>1551603914665639</v>
      </c>
      <c r="C899" t="s">
        <v>40</v>
      </c>
      <c r="D899">
        <v>5.368169</v>
      </c>
      <c r="E899">
        <v>0.50118009999999902</v>
      </c>
      <c r="F899" t="s">
        <v>41</v>
      </c>
      <c r="G899">
        <v>-232.35939999999999</v>
      </c>
      <c r="H899" s="1">
        <v>-4.1574290000000004E-6</v>
      </c>
      <c r="I899">
        <v>364.55770000000001</v>
      </c>
      <c r="J899">
        <v>-274.06189999999998</v>
      </c>
      <c r="K899">
        <v>1.109467</v>
      </c>
      <c r="L899">
        <v>367.43959999999998</v>
      </c>
      <c r="M899">
        <v>0.99992400000000004</v>
      </c>
      <c r="N899">
        <v>-5.9510029999999998E-3</v>
      </c>
      <c r="O899">
        <v>-1.080127E-2</v>
      </c>
      <c r="P899">
        <v>0.97906570000000004</v>
      </c>
      <c r="Q899">
        <v>0.18964510000000001</v>
      </c>
      <c r="R899">
        <v>-7.3928279999999999E-2</v>
      </c>
      <c r="S899">
        <v>3.0642399999999999</v>
      </c>
      <c r="T899">
        <v>-8.0643649999999997E-2</v>
      </c>
      <c r="U899">
        <v>-0.210144</v>
      </c>
      <c r="V899">
        <v>6.3251479999999999E-2</v>
      </c>
      <c r="W899">
        <v>0.19550409999999999</v>
      </c>
      <c r="X899">
        <v>0.978661</v>
      </c>
      <c r="Y899">
        <v>5.7616540000000001E-2</v>
      </c>
      <c r="Z899">
        <v>-7.0917409999999995E-4</v>
      </c>
      <c r="AA899">
        <v>0.99833850000000002</v>
      </c>
      <c r="AB899">
        <v>38</v>
      </c>
      <c r="AC899">
        <v>41.702499999999901</v>
      </c>
      <c r="AD899">
        <v>-1.1094711574289999</v>
      </c>
      <c r="AE899">
        <v>-2.8818999999999702</v>
      </c>
      <c r="AF899">
        <v>2.4295724912348202</v>
      </c>
      <c r="AG899">
        <v>-1.1094711574289999</v>
      </c>
      <c r="AH899">
        <v>41.7018198372675</v>
      </c>
      <c r="AI899">
        <v>91.5214081482236</v>
      </c>
      <c r="AJ899">
        <v>86.665683412476099</v>
      </c>
      <c r="AK899">
        <v>41.787265123231599</v>
      </c>
      <c r="AL899">
        <v>78.725826538240099</v>
      </c>
      <c r="AM899">
        <v>86.302080657201003</v>
      </c>
      <c r="AN899">
        <v>0.99999997787999995</v>
      </c>
    </row>
    <row r="900" spans="1:40" x14ac:dyDescent="0.25">
      <c r="A900" t="str">
        <f>"20190303170514692"</f>
        <v>20190303170514692</v>
      </c>
      <c r="B900" t="str">
        <f>"1551603914685159"</f>
        <v>1551603914685159</v>
      </c>
      <c r="C900" t="s">
        <v>40</v>
      </c>
      <c r="D900">
        <v>5.4213680000000002</v>
      </c>
      <c r="E900">
        <v>0.50120500000000001</v>
      </c>
      <c r="F900" t="s">
        <v>41</v>
      </c>
      <c r="G900">
        <v>-235.03550000000001</v>
      </c>
      <c r="H900" s="1">
        <v>-2.9750349999999998E-6</v>
      </c>
      <c r="I900">
        <v>364.75150000000002</v>
      </c>
      <c r="J900">
        <v>-273.69779999999997</v>
      </c>
      <c r="K900">
        <v>1.111213</v>
      </c>
      <c r="L900">
        <v>367.4359</v>
      </c>
      <c r="M900">
        <v>0.99992190000000003</v>
      </c>
      <c r="N900">
        <v>-6.7197019999999897E-3</v>
      </c>
      <c r="O900">
        <v>-1.0548999999999999E-2</v>
      </c>
      <c r="P900">
        <v>0.97920689999999999</v>
      </c>
      <c r="Q900">
        <v>0.18932959999999999</v>
      </c>
      <c r="R900">
        <v>-7.2861220000000004E-2</v>
      </c>
      <c r="S900">
        <v>3.0650629999999999</v>
      </c>
      <c r="T900">
        <v>-8.7135550000000006E-2</v>
      </c>
      <c r="U900">
        <v>-0.21112059999999999</v>
      </c>
      <c r="V900">
        <v>6.2423850000000003E-2</v>
      </c>
      <c r="W900">
        <v>0.1959427</v>
      </c>
      <c r="X900">
        <v>0.97862640000000001</v>
      </c>
      <c r="Y900">
        <v>5.8162279999999997E-2</v>
      </c>
      <c r="Z900">
        <v>-7.9264359999999998E-4</v>
      </c>
      <c r="AA900">
        <v>0.99830680000000005</v>
      </c>
      <c r="AB900">
        <v>38</v>
      </c>
      <c r="AC900">
        <v>38.662299999999902</v>
      </c>
      <c r="AD900">
        <v>-1.1112159750349999</v>
      </c>
      <c r="AE900">
        <v>-2.6843999999999801</v>
      </c>
      <c r="AF900">
        <v>2.2745229443661401</v>
      </c>
      <c r="AG900">
        <v>-1.1112159750349999</v>
      </c>
      <c r="AH900">
        <v>38.656686746955202</v>
      </c>
      <c r="AI900">
        <v>91.643716221146406</v>
      </c>
      <c r="AJ900">
        <v>86.632652814610097</v>
      </c>
      <c r="AK900">
        <v>38.739484841952198</v>
      </c>
      <c r="AL900">
        <v>78.700200723630203</v>
      </c>
      <c r="AM900">
        <v>86.350206688524196</v>
      </c>
      <c r="AN900">
        <v>0.99999995475453496</v>
      </c>
    </row>
    <row r="901" spans="1:40" x14ac:dyDescent="0.25">
      <c r="A901" t="str">
        <f>"20190303170514715"</f>
        <v>20190303170514715</v>
      </c>
      <c r="B901" t="str">
        <f>"1551603914705655"</f>
        <v>1551603914705655</v>
      </c>
      <c r="C901" t="s">
        <v>40</v>
      </c>
      <c r="D901">
        <v>5.381132</v>
      </c>
      <c r="E901">
        <v>0.50139619999999996</v>
      </c>
      <c r="F901" t="s">
        <v>41</v>
      </c>
      <c r="G901">
        <v>-234.55119999999999</v>
      </c>
      <c r="H901" s="1">
        <v>-3.179053E-6</v>
      </c>
      <c r="I901">
        <v>364.77260000000001</v>
      </c>
      <c r="J901">
        <v>-273.3227</v>
      </c>
      <c r="K901">
        <v>1.1128</v>
      </c>
      <c r="L901">
        <v>367.4323</v>
      </c>
      <c r="M901">
        <v>0.99991909999999895</v>
      </c>
      <c r="N901">
        <v>-7.5184780000000003E-3</v>
      </c>
      <c r="O901">
        <v>-1.0272089999999999E-2</v>
      </c>
      <c r="P901">
        <v>0.9792788</v>
      </c>
      <c r="Q901">
        <v>0.18935669999999999</v>
      </c>
      <c r="R901">
        <v>-7.1814329999999996E-2</v>
      </c>
      <c r="S901">
        <v>3.064972</v>
      </c>
      <c r="T901">
        <v>-8.7002159999999995E-2</v>
      </c>
      <c r="U901">
        <v>-0.20852660000000001</v>
      </c>
      <c r="V901">
        <v>6.164232E-2</v>
      </c>
      <c r="W901">
        <v>0.19675339999999999</v>
      </c>
      <c r="X901">
        <v>0.97851330000000003</v>
      </c>
      <c r="Y901">
        <v>5.7599209999999998E-2</v>
      </c>
      <c r="Z901">
        <v>-8.1921390000000004E-4</v>
      </c>
      <c r="AA901">
        <v>0.99833950000000005</v>
      </c>
      <c r="AB901">
        <v>38</v>
      </c>
      <c r="AC901">
        <v>38.771500000000003</v>
      </c>
      <c r="AD901">
        <v>-1.112803179053</v>
      </c>
      <c r="AE901">
        <v>-2.65969999999998</v>
      </c>
      <c r="AF901">
        <v>2.2594315658067399</v>
      </c>
      <c r="AG901">
        <v>-1.112803179053</v>
      </c>
      <c r="AH901">
        <v>38.764991502472</v>
      </c>
      <c r="AI901">
        <v>91.641519362729099</v>
      </c>
      <c r="AJ901">
        <v>86.6642686931539</v>
      </c>
      <c r="AK901">
        <v>38.846723518240204</v>
      </c>
      <c r="AL901">
        <v>78.652829161709406</v>
      </c>
      <c r="AM901">
        <v>86.395364430003298</v>
      </c>
      <c r="AN901">
        <v>0.99999997715171596</v>
      </c>
    </row>
    <row r="902" spans="1:40" x14ac:dyDescent="0.25">
      <c r="A902" t="str">
        <f>"20190303170514737"</f>
        <v>20190303170514737</v>
      </c>
      <c r="B902" t="str">
        <f>"1551603914725175"</f>
        <v>1551603914725175</v>
      </c>
      <c r="C902" t="s">
        <v>40</v>
      </c>
      <c r="D902">
        <v>5.3711039999999999</v>
      </c>
      <c r="E902">
        <v>0.50153720000000002</v>
      </c>
      <c r="F902" t="s">
        <v>41</v>
      </c>
      <c r="G902">
        <v>-234.44820000000001</v>
      </c>
      <c r="H902" s="1">
        <v>-3.2164420000000001E-6</v>
      </c>
      <c r="I902">
        <v>364.8109</v>
      </c>
      <c r="J902">
        <v>-272.95</v>
      </c>
      <c r="K902">
        <v>1.1141700000000001</v>
      </c>
      <c r="L902">
        <v>367.42869999999999</v>
      </c>
      <c r="M902">
        <v>0.99991580000000002</v>
      </c>
      <c r="N902">
        <v>-8.288251E-3</v>
      </c>
      <c r="O902">
        <v>-9.9856040000000004E-3</v>
      </c>
      <c r="P902">
        <v>0.97935289999999997</v>
      </c>
      <c r="Q902">
        <v>0.18912219999999999</v>
      </c>
      <c r="R902">
        <v>-7.1421819999999997E-2</v>
      </c>
      <c r="S902">
        <v>3.065277</v>
      </c>
      <c r="T902">
        <v>-8.7744950000000002E-2</v>
      </c>
      <c r="U902">
        <v>-0.20669560000000001</v>
      </c>
      <c r="V902">
        <v>6.1524910000000002E-2</v>
      </c>
      <c r="W902">
        <v>0.19727330000000001</v>
      </c>
      <c r="X902">
        <v>0.97841599999999995</v>
      </c>
      <c r="Y902">
        <v>5.7283729999999998E-2</v>
      </c>
      <c r="Z902">
        <v>-8.5375049999999997E-4</v>
      </c>
      <c r="AA902">
        <v>0.99835759999999996</v>
      </c>
      <c r="AB902">
        <v>38</v>
      </c>
      <c r="AC902">
        <v>38.501799999999903</v>
      </c>
      <c r="AD902">
        <v>-1.114173216442</v>
      </c>
      <c r="AE902">
        <v>-2.6177999999999799</v>
      </c>
      <c r="AF902">
        <v>2.23133257868753</v>
      </c>
      <c r="AG902">
        <v>-1.114173216442</v>
      </c>
      <c r="AH902">
        <v>38.493934223040803</v>
      </c>
      <c r="AI902">
        <v>91.655136509127203</v>
      </c>
      <c r="AJ902">
        <v>86.682515284706199</v>
      </c>
      <c r="AK902">
        <v>38.574644509065102</v>
      </c>
      <c r="AL902">
        <v>78.622445500237305</v>
      </c>
      <c r="AM902">
        <v>86.401855273996205</v>
      </c>
      <c r="AN902">
        <v>0.99999996924969803</v>
      </c>
    </row>
    <row r="903" spans="1:40" x14ac:dyDescent="0.25">
      <c r="A903" t="str">
        <f>"20190303170514762"</f>
        <v>20190303170514762</v>
      </c>
      <c r="B903" t="str">
        <f>"1551603914755430"</f>
        <v>1551603914755430</v>
      </c>
      <c r="C903" t="s">
        <v>40</v>
      </c>
      <c r="D903">
        <v>5.3806010000000004</v>
      </c>
      <c r="E903">
        <v>0.50173559999999995</v>
      </c>
      <c r="F903" t="s">
        <v>41</v>
      </c>
      <c r="G903">
        <v>-234.47900000000001</v>
      </c>
      <c r="H903" s="1">
        <v>-3.1974690000000001E-6</v>
      </c>
      <c r="I903">
        <v>364.84339999999997</v>
      </c>
      <c r="J903">
        <v>-272.55160000000001</v>
      </c>
      <c r="K903">
        <v>1.1154329999999999</v>
      </c>
      <c r="L903">
        <v>367.42500000000001</v>
      </c>
      <c r="M903">
        <v>0.99991229999999998</v>
      </c>
      <c r="N903">
        <v>-9.0585430000000005E-3</v>
      </c>
      <c r="O903">
        <v>-9.6730449999999999E-3</v>
      </c>
      <c r="P903">
        <v>0.97941230000000001</v>
      </c>
      <c r="Q903">
        <v>0.18889800000000001</v>
      </c>
      <c r="R903">
        <v>-7.1200410000000006E-2</v>
      </c>
      <c r="S903">
        <v>3.0653380000000001</v>
      </c>
      <c r="T903">
        <v>-8.8776110000000005E-2</v>
      </c>
      <c r="U903">
        <v>-0.2059937</v>
      </c>
      <c r="V903">
        <v>6.1603940000000003E-2</v>
      </c>
      <c r="W903">
        <v>0.19780529999999999</v>
      </c>
      <c r="X903">
        <v>0.9783037</v>
      </c>
      <c r="Y903">
        <v>5.7365359999999997E-2</v>
      </c>
      <c r="Z903">
        <v>-8.9754919999999897E-4</v>
      </c>
      <c r="AA903">
        <v>0.99835280000000004</v>
      </c>
      <c r="AB903">
        <v>38</v>
      </c>
      <c r="AC903">
        <v>38.072600000000001</v>
      </c>
      <c r="AD903">
        <v>-1.1154361974689999</v>
      </c>
      <c r="AE903">
        <v>-2.5816000000000301</v>
      </c>
      <c r="AF903">
        <v>2.2112967894156399</v>
      </c>
      <c r="AG903">
        <v>-1.1154361974689999</v>
      </c>
      <c r="AH903">
        <v>38.0632695073188</v>
      </c>
      <c r="AI903">
        <v>91.675736652737896</v>
      </c>
      <c r="AJ903">
        <v>86.675122106162107</v>
      </c>
      <c r="AK903">
        <v>38.143761180411801</v>
      </c>
      <c r="AL903">
        <v>78.591352435074896</v>
      </c>
      <c r="AM903">
        <v>86.396833076704993</v>
      </c>
      <c r="AN903">
        <v>1.0000000557826501</v>
      </c>
    </row>
    <row r="904" spans="1:40" x14ac:dyDescent="0.25">
      <c r="A904" t="str">
        <f>"20190303170514784"</f>
        <v>20190303170514784</v>
      </c>
      <c r="B904" t="str">
        <f>"1551603914774951"</f>
        <v>1551603914774951</v>
      </c>
      <c r="C904" t="s">
        <v>40</v>
      </c>
      <c r="D904">
        <v>5.4017309999999998</v>
      </c>
      <c r="E904">
        <v>0.50186960000000003</v>
      </c>
      <c r="F904" t="s">
        <v>41</v>
      </c>
      <c r="G904">
        <v>-235.65639999999999</v>
      </c>
      <c r="H904" s="1">
        <v>-2.711E-6</v>
      </c>
      <c r="I904">
        <v>364.93060000000003</v>
      </c>
      <c r="J904">
        <v>-272.18259999999998</v>
      </c>
      <c r="K904">
        <v>1.1164259999999999</v>
      </c>
      <c r="L904">
        <v>367.42169999999999</v>
      </c>
      <c r="M904">
        <v>0.99990900000000005</v>
      </c>
      <c r="N904">
        <v>-9.7083069999999994E-3</v>
      </c>
      <c r="O904">
        <v>-9.3824029999999992E-3</v>
      </c>
      <c r="P904">
        <v>0.97932540000000001</v>
      </c>
      <c r="Q904">
        <v>0.18943660000000001</v>
      </c>
      <c r="R904">
        <v>-7.096334E-2</v>
      </c>
      <c r="S904">
        <v>3.0658569999999998</v>
      </c>
      <c r="T904">
        <v>-9.2688439999999997E-2</v>
      </c>
      <c r="U904">
        <v>-0.2072754</v>
      </c>
      <c r="V904">
        <v>6.1647569999999999E-2</v>
      </c>
      <c r="W904">
        <v>0.19897970000000001</v>
      </c>
      <c r="X904">
        <v>0.97806269999999995</v>
      </c>
      <c r="Y904">
        <v>5.8056280000000002E-2</v>
      </c>
      <c r="Z904">
        <v>-9.6635899999999997E-4</v>
      </c>
      <c r="AA904">
        <v>0.9983128</v>
      </c>
      <c r="AB904">
        <v>37</v>
      </c>
      <c r="AC904">
        <v>36.526199999999903</v>
      </c>
      <c r="AD904">
        <v>-1.116428711</v>
      </c>
      <c r="AE904">
        <v>-2.4910999999999599</v>
      </c>
      <c r="AF904">
        <v>2.1462748844549799</v>
      </c>
      <c r="AG904">
        <v>-1.116428711</v>
      </c>
      <c r="AH904">
        <v>36.514011234874403</v>
      </c>
      <c r="AI904">
        <v>91.748277281853703</v>
      </c>
      <c r="AJ904">
        <v>86.636054029928204</v>
      </c>
      <c r="AK904">
        <v>36.594069538750702</v>
      </c>
      <c r="AL904">
        <v>78.522698922773799</v>
      </c>
      <c r="AM904">
        <v>86.393401799183493</v>
      </c>
      <c r="AN904">
        <v>0.99999999451514199</v>
      </c>
    </row>
    <row r="905" spans="1:40" x14ac:dyDescent="0.25">
      <c r="A905" t="str">
        <f>"20190303170514805"</f>
        <v>20190303170514805</v>
      </c>
      <c r="B905" t="str">
        <f>"1551603914795447"</f>
        <v>1551603914795447</v>
      </c>
      <c r="C905" t="s">
        <v>40</v>
      </c>
      <c r="D905">
        <v>5.404102</v>
      </c>
      <c r="E905">
        <v>0.50201279999999904</v>
      </c>
      <c r="F905" t="s">
        <v>41</v>
      </c>
      <c r="G905">
        <v>-234.84299999999999</v>
      </c>
      <c r="H905" s="1">
        <v>-3.0329190000000001E-6</v>
      </c>
      <c r="I905">
        <v>364.89069999999998</v>
      </c>
      <c r="J905">
        <v>-271.82670000000002</v>
      </c>
      <c r="K905">
        <v>1.1172340000000001</v>
      </c>
      <c r="L905">
        <v>367.4187</v>
      </c>
      <c r="M905">
        <v>0.99990579999999996</v>
      </c>
      <c r="N905">
        <v>-1.027664E-2</v>
      </c>
      <c r="O905">
        <v>-9.1018379999999992E-3</v>
      </c>
      <c r="P905">
        <v>0.97919429999999996</v>
      </c>
      <c r="Q905">
        <v>0.19006390000000001</v>
      </c>
      <c r="R905">
        <v>-7.1096030000000005E-2</v>
      </c>
      <c r="S905">
        <v>3.0660099999999999</v>
      </c>
      <c r="T905">
        <v>-9.1671470000000005E-2</v>
      </c>
      <c r="U905">
        <v>-0.2078247</v>
      </c>
      <c r="V905">
        <v>6.205194E-2</v>
      </c>
      <c r="W905">
        <v>0.2001628</v>
      </c>
      <c r="X905">
        <v>0.97779570000000005</v>
      </c>
      <c r="Y905">
        <v>5.8510720000000002E-2</v>
      </c>
      <c r="Z905">
        <v>-9.962902E-4</v>
      </c>
      <c r="AA905">
        <v>0.99828629999999996</v>
      </c>
      <c r="AB905">
        <v>37</v>
      </c>
      <c r="AC905">
        <v>36.983699999999999</v>
      </c>
      <c r="AD905">
        <v>-1.117237032919</v>
      </c>
      <c r="AE905">
        <v>-2.52800000000002</v>
      </c>
      <c r="AF905">
        <v>2.1892692731493701</v>
      </c>
      <c r="AG905">
        <v>-1.117237032919</v>
      </c>
      <c r="AH905">
        <v>36.971595987283301</v>
      </c>
      <c r="AI905">
        <v>91.727857810744496</v>
      </c>
      <c r="AJ905">
        <v>86.611193424109302</v>
      </c>
      <c r="AK905">
        <v>37.053205372612297</v>
      </c>
      <c r="AL905">
        <v>78.453520828898206</v>
      </c>
      <c r="AM905">
        <v>86.368819177150201</v>
      </c>
      <c r="AN905">
        <v>1.0000000103500399</v>
      </c>
    </row>
    <row r="906" spans="1:40" x14ac:dyDescent="0.25">
      <c r="A906" t="str">
        <f>"20190303170514826"</f>
        <v>20190303170514826</v>
      </c>
      <c r="B906" t="str">
        <f>"1551603914814967"</f>
        <v>1551603914814967</v>
      </c>
      <c r="C906" t="s">
        <v>40</v>
      </c>
      <c r="D906">
        <v>5.4063739999999996</v>
      </c>
      <c r="E906">
        <v>0.5021738</v>
      </c>
      <c r="F906" t="s">
        <v>41</v>
      </c>
      <c r="G906">
        <v>-233.76240000000001</v>
      </c>
      <c r="H906" s="1">
        <v>-3.5065260000000001E-6</v>
      </c>
      <c r="I906">
        <v>364.834</v>
      </c>
      <c r="J906">
        <v>-271.46800000000002</v>
      </c>
      <c r="K906">
        <v>1.1179250000000001</v>
      </c>
      <c r="L906">
        <v>367.41559999999998</v>
      </c>
      <c r="M906">
        <v>0.99990290000000004</v>
      </c>
      <c r="N906">
        <v>-1.079542E-2</v>
      </c>
      <c r="O906">
        <v>-8.8179790000000001E-3</v>
      </c>
      <c r="P906">
        <v>0.97911749999999997</v>
      </c>
      <c r="Q906">
        <v>0.19021089999999999</v>
      </c>
      <c r="R906">
        <v>-7.1756210000000001E-2</v>
      </c>
      <c r="S906">
        <v>3.0661010000000002</v>
      </c>
      <c r="T906">
        <v>-8.9993950000000003E-2</v>
      </c>
      <c r="U906">
        <v>-0.20819090000000001</v>
      </c>
      <c r="V906">
        <v>6.2987799999999997E-2</v>
      </c>
      <c r="W906">
        <v>0.20081769999999999</v>
      </c>
      <c r="X906">
        <v>0.97760150000000001</v>
      </c>
      <c r="Y906">
        <v>5.8910940000000002E-2</v>
      </c>
      <c r="Z906">
        <v>-1.0184669999999999E-3</v>
      </c>
      <c r="AA906">
        <v>0.99826269999999995</v>
      </c>
      <c r="AB906">
        <v>37</v>
      </c>
      <c r="AC906">
        <v>37.705599999999997</v>
      </c>
      <c r="AD906">
        <v>-1.1179285065260001</v>
      </c>
      <c r="AE906">
        <v>-2.5815999999999799</v>
      </c>
      <c r="AF906">
        <v>2.2470270255509499</v>
      </c>
      <c r="AG906">
        <v>-1.1179285065260001</v>
      </c>
      <c r="AH906">
        <v>37.693919241844903</v>
      </c>
      <c r="AI906">
        <v>91.695775025030599</v>
      </c>
      <c r="AJ906">
        <v>86.588495250912899</v>
      </c>
      <c r="AK906">
        <v>37.777380036338997</v>
      </c>
      <c r="AL906">
        <v>78.415219470943896</v>
      </c>
      <c r="AM906">
        <v>86.313473822376395</v>
      </c>
      <c r="AN906">
        <v>0.99999995219218896</v>
      </c>
    </row>
    <row r="907" spans="1:40" x14ac:dyDescent="0.25">
      <c r="A907" t="str">
        <f>"20190303170514851"</f>
        <v>20190303170514851</v>
      </c>
      <c r="B907" t="str">
        <f>"1551603914835462"</f>
        <v>1551603914835462</v>
      </c>
      <c r="C907" t="s">
        <v>40</v>
      </c>
      <c r="D907">
        <v>5.4802949999999999</v>
      </c>
      <c r="E907">
        <v>0.50233700000000003</v>
      </c>
      <c r="F907" t="s">
        <v>41</v>
      </c>
      <c r="G907">
        <v>-233.38030000000001</v>
      </c>
      <c r="H907" s="1">
        <v>-3.6781610000000002E-6</v>
      </c>
      <c r="I907">
        <v>364.79059999999998</v>
      </c>
      <c r="J907">
        <v>-271.06869999999998</v>
      </c>
      <c r="K907">
        <v>1.1185689999999999</v>
      </c>
      <c r="L907">
        <v>367.41239999999999</v>
      </c>
      <c r="M907">
        <v>0.99990000000000001</v>
      </c>
      <c r="N907">
        <v>-1.131191E-2</v>
      </c>
      <c r="O907">
        <v>-8.5002830000000008E-3</v>
      </c>
      <c r="P907">
        <v>0.97919369999999994</v>
      </c>
      <c r="Q907">
        <v>0.18966930000000001</v>
      </c>
      <c r="R907">
        <v>-7.2149279999999996E-2</v>
      </c>
      <c r="S907">
        <v>3.0659480000000001</v>
      </c>
      <c r="T907">
        <v>-8.9989659999999999E-2</v>
      </c>
      <c r="U907">
        <v>-0.21130370000000001</v>
      </c>
      <c r="V907">
        <v>6.3689599999999999E-2</v>
      </c>
      <c r="W907">
        <v>0.20078270000000001</v>
      </c>
      <c r="X907">
        <v>0.97756330000000002</v>
      </c>
      <c r="Y907">
        <v>6.0238809999999997E-2</v>
      </c>
      <c r="Z907">
        <v>-1.0709459999999999E-3</v>
      </c>
      <c r="AA907">
        <v>0.99818340000000005</v>
      </c>
      <c r="AB907">
        <v>37</v>
      </c>
      <c r="AC907">
        <v>37.688399999999902</v>
      </c>
      <c r="AD907">
        <v>-1.1185726781609999</v>
      </c>
      <c r="AE907">
        <v>-2.6217999999999999</v>
      </c>
      <c r="AF907">
        <v>2.29930709693582</v>
      </c>
      <c r="AG907">
        <v>-1.1185726781609999</v>
      </c>
      <c r="AH907">
        <v>37.676297505076199</v>
      </c>
      <c r="AI907">
        <v>91.697400397222296</v>
      </c>
      <c r="AJ907">
        <v>86.507687493866797</v>
      </c>
      <c r="AK907">
        <v>37.762963491407298</v>
      </c>
      <c r="AL907">
        <v>78.4172674500537</v>
      </c>
      <c r="AM907">
        <v>86.272369052681796</v>
      </c>
      <c r="AN907">
        <v>1.00000003163716</v>
      </c>
    </row>
    <row r="908" spans="1:40" x14ac:dyDescent="0.25">
      <c r="A908" t="str">
        <f>"20190303170514872"</f>
        <v>20190303170514872</v>
      </c>
      <c r="B908" t="str">
        <f>"1551603914865719"</f>
        <v>1551603914865719</v>
      </c>
      <c r="C908" t="s">
        <v>40</v>
      </c>
      <c r="D908">
        <v>5.4209420000000001</v>
      </c>
      <c r="E908">
        <v>0.50245919999999999</v>
      </c>
      <c r="F908" t="s">
        <v>41</v>
      </c>
      <c r="G908">
        <v>-233.79</v>
      </c>
      <c r="H908" s="1">
        <v>-3.497962E-6</v>
      </c>
      <c r="I908">
        <v>364.81560000000002</v>
      </c>
      <c r="J908">
        <v>-270.70639999999997</v>
      </c>
      <c r="K908">
        <v>1.1190500000000001</v>
      </c>
      <c r="L908">
        <v>367.40960000000001</v>
      </c>
      <c r="M908">
        <v>0.99989749999999999</v>
      </c>
      <c r="N908">
        <v>-1.173018E-2</v>
      </c>
      <c r="O908">
        <v>-8.2105689999999992E-3</v>
      </c>
      <c r="P908">
        <v>0.97936900000000005</v>
      </c>
      <c r="Q908">
        <v>0.18867200000000001</v>
      </c>
      <c r="R908">
        <v>-7.2383130000000004E-2</v>
      </c>
      <c r="S908">
        <v>3.0658259999999999</v>
      </c>
      <c r="T908">
        <v>-9.1992019999999994E-2</v>
      </c>
      <c r="U908">
        <v>-0.213562</v>
      </c>
      <c r="V908">
        <v>6.4204960000000005E-2</v>
      </c>
      <c r="W908">
        <v>0.20019690000000001</v>
      </c>
      <c r="X908">
        <v>0.97764969999999995</v>
      </c>
      <c r="Y908">
        <v>6.1260009999999997E-2</v>
      </c>
      <c r="Z908">
        <v>-1.127812E-3</v>
      </c>
      <c r="AA908">
        <v>0.99812120000000004</v>
      </c>
      <c r="AB908">
        <v>37</v>
      </c>
      <c r="AC908">
        <v>36.916399999999904</v>
      </c>
      <c r="AD908">
        <v>-1.1190534979619999</v>
      </c>
      <c r="AE908">
        <v>-2.5939999999999901</v>
      </c>
      <c r="AF908">
        <v>2.2886943265425299</v>
      </c>
      <c r="AG908">
        <v>-1.1190534979619999</v>
      </c>
      <c r="AH908">
        <v>36.902712268254298</v>
      </c>
      <c r="AI908">
        <v>91.733600381985696</v>
      </c>
      <c r="AJ908">
        <v>86.451079791488695</v>
      </c>
      <c r="AK908">
        <v>36.990547106054201</v>
      </c>
      <c r="AL908">
        <v>78.451526626142197</v>
      </c>
      <c r="AM908">
        <v>86.242623224733904</v>
      </c>
      <c r="AN908">
        <v>1.00000000578415</v>
      </c>
    </row>
    <row r="909" spans="1:40" x14ac:dyDescent="0.25">
      <c r="A909" t="str">
        <f>"20190303170514894"</f>
        <v>20190303170514894</v>
      </c>
      <c r="B909" t="str">
        <f>"1551603914885239"</f>
        <v>1551603914885239</v>
      </c>
      <c r="C909" t="s">
        <v>40</v>
      </c>
      <c r="D909">
        <v>5.5111080000000001</v>
      </c>
      <c r="E909">
        <v>0.50260879999999997</v>
      </c>
      <c r="F909" t="s">
        <v>41</v>
      </c>
      <c r="G909">
        <v>-234.6516</v>
      </c>
      <c r="H909" s="1">
        <v>-3.1175939999999999E-6</v>
      </c>
      <c r="I909">
        <v>364.87630000000001</v>
      </c>
      <c r="J909">
        <v>-270.34640000000002</v>
      </c>
      <c r="K909">
        <v>1.1194539999999999</v>
      </c>
      <c r="L909">
        <v>367.40690000000001</v>
      </c>
      <c r="M909">
        <v>0.99989550000000005</v>
      </c>
      <c r="N909">
        <v>-1.2100690000000001E-2</v>
      </c>
      <c r="O909">
        <v>-7.9219930000000004E-3</v>
      </c>
      <c r="P909">
        <v>0.97956169999999998</v>
      </c>
      <c r="Q909">
        <v>0.1875522</v>
      </c>
      <c r="R909">
        <v>-7.2685189999999997E-2</v>
      </c>
      <c r="S909">
        <v>3.0656129999999999</v>
      </c>
      <c r="T909">
        <v>-9.5148800000000006E-2</v>
      </c>
      <c r="U909">
        <v>-0.2153931</v>
      </c>
      <c r="V909">
        <v>6.4788199999999893E-2</v>
      </c>
      <c r="W909">
        <v>0.19944190000000001</v>
      </c>
      <c r="X909">
        <v>0.97776549999999995</v>
      </c>
      <c r="Y909">
        <v>6.2142919999999997E-2</v>
      </c>
      <c r="Z909">
        <v>-1.1897909999999999E-3</v>
      </c>
      <c r="AA909">
        <v>0.99806649999999997</v>
      </c>
      <c r="AB909">
        <v>37</v>
      </c>
      <c r="AC909">
        <v>35.694800000000001</v>
      </c>
      <c r="AD909">
        <v>-1.119457117594</v>
      </c>
      <c r="AE909">
        <v>-2.53059999999999</v>
      </c>
      <c r="AF909">
        <v>2.2455283587179902</v>
      </c>
      <c r="AG909">
        <v>-1.119457117594</v>
      </c>
      <c r="AH909">
        <v>35.678811524589399</v>
      </c>
      <c r="AI909">
        <v>91.793574330546207</v>
      </c>
      <c r="AJ909">
        <v>86.398707883153506</v>
      </c>
      <c r="AK909">
        <v>35.7669284906477</v>
      </c>
      <c r="AL909">
        <v>78.495674970223007</v>
      </c>
      <c r="AM909">
        <v>86.209037913972907</v>
      </c>
      <c r="AN909">
        <v>0.999999977662549</v>
      </c>
    </row>
    <row r="910" spans="1:40" x14ac:dyDescent="0.25">
      <c r="A910" t="str">
        <f>"20190303170514916"</f>
        <v>20190303170514916</v>
      </c>
      <c r="B910" t="str">
        <f>"1551603914905735"</f>
        <v>1551603914905735</v>
      </c>
      <c r="C910" t="s">
        <v>40</v>
      </c>
      <c r="D910">
        <v>5.4498800000000003</v>
      </c>
      <c r="E910">
        <v>0.52095389999999997</v>
      </c>
      <c r="F910" t="s">
        <v>41</v>
      </c>
      <c r="G910">
        <v>-235.6465</v>
      </c>
      <c r="H910" s="1">
        <v>-2.7095749999999998E-6</v>
      </c>
      <c r="I910">
        <v>364.9486</v>
      </c>
      <c r="J910">
        <v>-269.97480000000002</v>
      </c>
      <c r="K910">
        <v>1.119807</v>
      </c>
      <c r="L910">
        <v>367.40429999999998</v>
      </c>
      <c r="M910">
        <v>0.9998937</v>
      </c>
      <c r="N910">
        <v>-1.244019E-2</v>
      </c>
      <c r="O910">
        <v>-7.6234179999999999E-3</v>
      </c>
      <c r="P910">
        <v>0.97958279999999998</v>
      </c>
      <c r="Q910">
        <v>0.18742610000000001</v>
      </c>
      <c r="R910">
        <v>-7.2725940000000003E-2</v>
      </c>
      <c r="S910">
        <v>3.0653990000000002</v>
      </c>
      <c r="T910">
        <v>-9.8892809999999998E-2</v>
      </c>
      <c r="U910">
        <v>-0.2171631</v>
      </c>
      <c r="V910">
        <v>6.5120960000000006E-2</v>
      </c>
      <c r="W910">
        <v>0.1996484</v>
      </c>
      <c r="X910">
        <v>0.97770119999999905</v>
      </c>
      <c r="Y910">
        <v>6.3015459999999995E-2</v>
      </c>
      <c r="Z910">
        <v>-1.256709E-3</v>
      </c>
      <c r="AA910">
        <v>0.9980118</v>
      </c>
      <c r="AB910">
        <v>37</v>
      </c>
      <c r="AC910">
        <v>34.328299999999999</v>
      </c>
      <c r="AD910">
        <v>-1.1198097095749999</v>
      </c>
      <c r="AE910">
        <v>-2.4556999999999798</v>
      </c>
      <c r="AF910">
        <v>2.1915892301058499</v>
      </c>
      <c r="AG910">
        <v>-1.1198097095749999</v>
      </c>
      <c r="AH910">
        <v>34.309701390910398</v>
      </c>
      <c r="AI910">
        <v>91.865572798551099</v>
      </c>
      <c r="AJ910">
        <v>86.345102347687401</v>
      </c>
      <c r="AK910">
        <v>34.397858169842699</v>
      </c>
      <c r="AL910">
        <v>78.483599999402202</v>
      </c>
      <c r="AM910">
        <v>86.189374432055004</v>
      </c>
      <c r="AN910">
        <v>0.99999992976765795</v>
      </c>
    </row>
    <row r="911" spans="1:40" x14ac:dyDescent="0.25">
      <c r="A911" t="str">
        <f>"20190303170514938"</f>
        <v>20190303170514938</v>
      </c>
      <c r="B911" t="str">
        <f>"1551603914925255"</f>
        <v>1551603914925255</v>
      </c>
      <c r="C911" t="s">
        <v>40</v>
      </c>
      <c r="D911">
        <v>5.4969760000000001</v>
      </c>
      <c r="E911">
        <v>0.52691999999999894</v>
      </c>
      <c r="F911" t="s">
        <v>42</v>
      </c>
      <c r="G911">
        <v>-269.13600000000002</v>
      </c>
      <c r="H911">
        <v>1.042913</v>
      </c>
      <c r="I911">
        <v>367.3073</v>
      </c>
      <c r="J911">
        <v>-269.59780000000001</v>
      </c>
      <c r="K911">
        <v>1.1201080000000001</v>
      </c>
      <c r="L911">
        <v>367.40170000000001</v>
      </c>
      <c r="M911">
        <v>0.99989209999999995</v>
      </c>
      <c r="N911">
        <v>-1.2744439999999999E-2</v>
      </c>
      <c r="O911">
        <v>-7.3209950000000003E-3</v>
      </c>
      <c r="P911">
        <v>0.97966509999999996</v>
      </c>
      <c r="Q911">
        <v>0.18699550000000001</v>
      </c>
      <c r="R911">
        <v>-7.272708E-2</v>
      </c>
      <c r="S911">
        <v>3.0902099999999999</v>
      </c>
      <c r="T911">
        <v>-0.28327780000000002</v>
      </c>
      <c r="U911">
        <v>-0.35739140000000003</v>
      </c>
      <c r="V911">
        <v>6.5417359999999994E-2</v>
      </c>
      <c r="W911">
        <v>0.1995162</v>
      </c>
      <c r="X911">
        <v>0.97770849999999998</v>
      </c>
      <c r="Y911">
        <v>0.1071276</v>
      </c>
      <c r="Z911">
        <v>-4.9956769999999996E-3</v>
      </c>
      <c r="AA911">
        <v>0.99423269999999997</v>
      </c>
      <c r="AB911">
        <v>37</v>
      </c>
      <c r="AC911">
        <v>0.46180000000003901</v>
      </c>
      <c r="AD911">
        <v>-7.7195000000000097E-2</v>
      </c>
      <c r="AE911">
        <v>-9.4400000000007298E-2</v>
      </c>
      <c r="AF911">
        <v>8.8638884650914906E-2</v>
      </c>
      <c r="AG911">
        <v>-7.7195000000000097E-2</v>
      </c>
      <c r="AH911">
        <v>0.45039818358006001</v>
      </c>
      <c r="AI911">
        <v>99.545947327727802</v>
      </c>
      <c r="AJ911">
        <v>78.866406287292506</v>
      </c>
      <c r="AK911">
        <v>0.46548302189164198</v>
      </c>
      <c r="AL911">
        <v>78.491331167934703</v>
      </c>
      <c r="AM911">
        <v>86.172110200291797</v>
      </c>
      <c r="AN911">
        <v>1.00000002801202</v>
      </c>
    </row>
    <row r="912" spans="1:40" x14ac:dyDescent="0.25">
      <c r="A912" t="str">
        <f>"20190303170514962"</f>
        <v>20190303170514962</v>
      </c>
      <c r="B912" t="str">
        <f>"1551603914955512"</f>
        <v>1551603914955512</v>
      </c>
      <c r="C912" t="s">
        <v>40</v>
      </c>
      <c r="D912">
        <v>5.471438</v>
      </c>
      <c r="E912">
        <v>0.53019450000000001</v>
      </c>
      <c r="F912" t="s">
        <v>42</v>
      </c>
      <c r="G912">
        <v>-268.81849999999997</v>
      </c>
      <c r="H912">
        <v>1.015676</v>
      </c>
      <c r="I912">
        <v>367.30130000000003</v>
      </c>
      <c r="J912">
        <v>-269.2088</v>
      </c>
      <c r="K912">
        <v>1.1203639999999999</v>
      </c>
      <c r="L912">
        <v>367.39909999999998</v>
      </c>
      <c r="M912">
        <v>0.99989079999999997</v>
      </c>
      <c r="N912">
        <v>-1.3020469999999999E-2</v>
      </c>
      <c r="O912">
        <v>-7.008795E-3</v>
      </c>
      <c r="P912">
        <v>0.97975639999999997</v>
      </c>
      <c r="Q912">
        <v>0.1865366</v>
      </c>
      <c r="R912">
        <v>-7.2678300000000001E-2</v>
      </c>
      <c r="S912">
        <v>3.1123349999999999</v>
      </c>
      <c r="T912">
        <v>-0.41740820000000001</v>
      </c>
      <c r="U912">
        <v>-0.39944459999999998</v>
      </c>
      <c r="V912">
        <v>6.5673750000000003E-2</v>
      </c>
      <c r="W912">
        <v>0.19932830000000001</v>
      </c>
      <c r="X912">
        <v>0.97772959999999998</v>
      </c>
      <c r="Y912">
        <v>0.11923880000000001</v>
      </c>
      <c r="Z912">
        <v>-7.8699349999999998E-3</v>
      </c>
      <c r="AA912">
        <v>0.99283440000000001</v>
      </c>
      <c r="AB912">
        <v>37</v>
      </c>
      <c r="AC912">
        <v>0.39030000000002402</v>
      </c>
      <c r="AD912">
        <v>-0.104687999999999</v>
      </c>
      <c r="AE912">
        <v>-9.7799999999949705E-2</v>
      </c>
      <c r="AF912">
        <v>8.9034721613687098E-2</v>
      </c>
      <c r="AG912">
        <v>-0.104687999999999</v>
      </c>
      <c r="AH912">
        <v>0.366187269004973</v>
      </c>
      <c r="AI912">
        <v>105.524934152787</v>
      </c>
      <c r="AJ912">
        <v>76.334285485949195</v>
      </c>
      <c r="AK912">
        <v>0.391126418154217</v>
      </c>
      <c r="AL912">
        <v>78.502317300829105</v>
      </c>
      <c r="AM912">
        <v>86.157235113890906</v>
      </c>
      <c r="AN912">
        <v>0.99999999166805598</v>
      </c>
    </row>
    <row r="913" spans="1:40" x14ac:dyDescent="0.25">
      <c r="A913" t="str">
        <f>"20190303170514985"</f>
        <v>20190303170514985</v>
      </c>
      <c r="B913" t="str">
        <f>"1551603914975031"</f>
        <v>1551603914975031</v>
      </c>
      <c r="C913" t="s">
        <v>40</v>
      </c>
      <c r="D913">
        <v>5.4842599999999999</v>
      </c>
      <c r="E913">
        <v>0.53070439999999997</v>
      </c>
      <c r="F913" t="s">
        <v>42</v>
      </c>
      <c r="G913">
        <v>-268.49790000000002</v>
      </c>
      <c r="H913">
        <v>0.99457799999999996</v>
      </c>
      <c r="I913">
        <v>367.30380000000002</v>
      </c>
      <c r="J913">
        <v>-268.84800000000001</v>
      </c>
      <c r="K913">
        <v>1.120563</v>
      </c>
      <c r="L913">
        <v>367.39690000000002</v>
      </c>
      <c r="M913">
        <v>0.99988980000000005</v>
      </c>
      <c r="N913">
        <v>-1.324296E-2</v>
      </c>
      <c r="O913">
        <v>-6.7189519999999898E-3</v>
      </c>
      <c r="P913">
        <v>0.97985820000000001</v>
      </c>
      <c r="Q913">
        <v>0.18601500000000001</v>
      </c>
      <c r="R913">
        <v>-7.2639899999999993E-2</v>
      </c>
      <c r="S913">
        <v>3.1365050000000001</v>
      </c>
      <c r="T913">
        <v>-0.55511160000000004</v>
      </c>
      <c r="U913">
        <v>-0.42019649999999997</v>
      </c>
      <c r="V913">
        <v>6.5919249999999999E-2</v>
      </c>
      <c r="W913">
        <v>0.19902600000000001</v>
      </c>
      <c r="X913">
        <v>0.9777747</v>
      </c>
      <c r="Y913">
        <v>0.1241666</v>
      </c>
      <c r="Z913">
        <v>-1.060148E-2</v>
      </c>
      <c r="AA913">
        <v>0.99220469999999905</v>
      </c>
      <c r="AB913">
        <v>37</v>
      </c>
      <c r="AC913">
        <v>0.35009999999999702</v>
      </c>
      <c r="AD913">
        <v>-0.12598499999999899</v>
      </c>
      <c r="AE913">
        <v>-9.3099999999992605E-2</v>
      </c>
      <c r="AF913">
        <v>8.0954534279442797E-2</v>
      </c>
      <c r="AG913">
        <v>-0.12598499999999899</v>
      </c>
      <c r="AH913">
        <v>0.31287746785188397</v>
      </c>
      <c r="AI913">
        <v>111.29722997990601</v>
      </c>
      <c r="AJ913">
        <v>75.493319884932106</v>
      </c>
      <c r="AK913">
        <v>0.34686909163949498</v>
      </c>
      <c r="AL913">
        <v>78.519992400311807</v>
      </c>
      <c r="AM913">
        <v>86.143090836158393</v>
      </c>
      <c r="AN913">
        <v>1.0000000300783201</v>
      </c>
    </row>
    <row r="914" spans="1:40" x14ac:dyDescent="0.25">
      <c r="A914" t="str">
        <f>"20190303170515006"</f>
        <v>20190303170515006</v>
      </c>
      <c r="B914" t="str">
        <f>"1551603914995528"</f>
        <v>1551603914995528</v>
      </c>
      <c r="C914" t="s">
        <v>40</v>
      </c>
      <c r="D914">
        <v>5.475422</v>
      </c>
      <c r="E914">
        <v>0.53111359999999996</v>
      </c>
      <c r="F914" t="s">
        <v>42</v>
      </c>
      <c r="G914">
        <v>-267.86680000000001</v>
      </c>
      <c r="H914">
        <v>0.93228520000000004</v>
      </c>
      <c r="I914">
        <v>367.26499999999999</v>
      </c>
      <c r="J914">
        <v>-268.49599999999998</v>
      </c>
      <c r="K914">
        <v>1.1207260000000001</v>
      </c>
      <c r="L914">
        <v>367.39479999999998</v>
      </c>
      <c r="M914">
        <v>0.99988900000000003</v>
      </c>
      <c r="N914">
        <v>-1.343427E-2</v>
      </c>
      <c r="O914">
        <v>-6.4364460000000002E-3</v>
      </c>
      <c r="P914">
        <v>0.97979530000000004</v>
      </c>
      <c r="Q914">
        <v>0.18639120000000001</v>
      </c>
      <c r="R914">
        <v>-7.2522950000000003E-2</v>
      </c>
      <c r="S914">
        <v>3.1449280000000002</v>
      </c>
      <c r="T914">
        <v>-0.60355199999999998</v>
      </c>
      <c r="U914">
        <v>-0.42233280000000001</v>
      </c>
      <c r="V914">
        <v>6.607905E-2</v>
      </c>
      <c r="W914">
        <v>0.19958809999999999</v>
      </c>
      <c r="X914">
        <v>0.97764930000000005</v>
      </c>
      <c r="Y914">
        <v>0.1244212</v>
      </c>
      <c r="Z914">
        <v>-1.149387E-2</v>
      </c>
      <c r="AA914">
        <v>0.99216289999999996</v>
      </c>
      <c r="AB914">
        <v>37</v>
      </c>
      <c r="AC914">
        <v>0.62919999999996801</v>
      </c>
      <c r="AD914">
        <v>-0.18844079999999999</v>
      </c>
      <c r="AE914">
        <v>-0.12979999999998801</v>
      </c>
      <c r="AF914">
        <v>0.115785579695817</v>
      </c>
      <c r="AG914">
        <v>-0.18844079999999999</v>
      </c>
      <c r="AH914">
        <v>0.58011278145916201</v>
      </c>
      <c r="AI914">
        <v>107.669366283218</v>
      </c>
      <c r="AJ914">
        <v>78.712574463844902</v>
      </c>
      <c r="AK914">
        <v>0.62084384089916</v>
      </c>
      <c r="AL914">
        <v>78.487126743038203</v>
      </c>
      <c r="AM914">
        <v>86.133274918633802</v>
      </c>
      <c r="AN914">
        <v>1.0000000021505</v>
      </c>
    </row>
    <row r="915" spans="1:40" x14ac:dyDescent="0.25">
      <c r="A915" t="str">
        <f>"20190303170515029"</f>
        <v>20190303170515029</v>
      </c>
      <c r="B915" t="str">
        <f>"1551603915025784"</f>
        <v>1551603915025784</v>
      </c>
      <c r="C915" t="s">
        <v>40</v>
      </c>
      <c r="D915">
        <v>5.4954400000000003</v>
      </c>
      <c r="E915">
        <v>0.53149609999999903</v>
      </c>
      <c r="F915" t="s">
        <v>42</v>
      </c>
      <c r="G915">
        <v>-267.53870000000001</v>
      </c>
      <c r="H915">
        <v>0.92896489999999998</v>
      </c>
      <c r="I915">
        <v>367.26589999999999</v>
      </c>
      <c r="J915">
        <v>-268.11470000000003</v>
      </c>
      <c r="K915">
        <v>1.120876</v>
      </c>
      <c r="L915">
        <v>367.39260000000002</v>
      </c>
      <c r="M915">
        <v>0.99988869999999996</v>
      </c>
      <c r="N915">
        <v>-1.3615729999999999E-2</v>
      </c>
      <c r="O915">
        <v>-6.1300599999999997E-3</v>
      </c>
      <c r="P915">
        <v>0.97965170000000001</v>
      </c>
      <c r="Q915">
        <v>0.1869942</v>
      </c>
      <c r="R915">
        <v>-7.2911749999999997E-2</v>
      </c>
      <c r="S915">
        <v>3.150604</v>
      </c>
      <c r="T915">
        <v>-0.63123249999999997</v>
      </c>
      <c r="U915">
        <v>-0.42337039999999998</v>
      </c>
      <c r="V915">
        <v>6.6768499999999995E-2</v>
      </c>
      <c r="W915">
        <v>0.20036699999999999</v>
      </c>
      <c r="X915">
        <v>0.97744310000000001</v>
      </c>
      <c r="Y915">
        <v>0.12460259999999999</v>
      </c>
      <c r="Z915">
        <v>-1.20383E-2</v>
      </c>
      <c r="AA915">
        <v>0.99213370000000001</v>
      </c>
      <c r="AB915">
        <v>37</v>
      </c>
      <c r="AC915">
        <v>0.57600000000002105</v>
      </c>
      <c r="AD915">
        <v>-0.1919111</v>
      </c>
      <c r="AE915">
        <v>-0.12670000000002801</v>
      </c>
      <c r="AF915">
        <v>0.11137358324634899</v>
      </c>
      <c r="AG915">
        <v>-0.1919111</v>
      </c>
      <c r="AH915">
        <v>0.52154239687825699</v>
      </c>
      <c r="AI915">
        <v>109.791508887403</v>
      </c>
      <c r="AJ915">
        <v>77.9457403409357</v>
      </c>
      <c r="AK915">
        <v>0.56678074869375905</v>
      </c>
      <c r="AL915">
        <v>78.441578880515095</v>
      </c>
      <c r="AM915">
        <v>86.092233261853707</v>
      </c>
      <c r="AN915">
        <v>0.999999990509429</v>
      </c>
    </row>
    <row r="916" spans="1:40" x14ac:dyDescent="0.25">
      <c r="A916" t="str">
        <f>"20190303170515051"</f>
        <v>20190303170515051</v>
      </c>
      <c r="B916" t="str">
        <f>"1551603915045303"</f>
        <v>1551603915045303</v>
      </c>
      <c r="C916" t="s">
        <v>40</v>
      </c>
      <c r="D916">
        <v>5.515422</v>
      </c>
      <c r="E916">
        <v>0.53169359999999999</v>
      </c>
      <c r="F916" t="s">
        <v>42</v>
      </c>
      <c r="G916">
        <v>-267.20800000000003</v>
      </c>
      <c r="H916">
        <v>0.93212390000000001</v>
      </c>
      <c r="I916">
        <v>367.27019999999999</v>
      </c>
      <c r="J916">
        <v>-267.74779999999998</v>
      </c>
      <c r="K916">
        <v>1.1209929999999999</v>
      </c>
      <c r="L916">
        <v>367.39069999999998</v>
      </c>
      <c r="M916">
        <v>0.99988829999999995</v>
      </c>
      <c r="N916">
        <v>-1.376847E-2</v>
      </c>
      <c r="O916">
        <v>-5.8351820000000004E-3</v>
      </c>
      <c r="P916">
        <v>0.97961469999999995</v>
      </c>
      <c r="Q916">
        <v>0.18684239999999999</v>
      </c>
      <c r="R916">
        <v>-7.3792800000000006E-2</v>
      </c>
      <c r="S916">
        <v>3.1560670000000002</v>
      </c>
      <c r="T916">
        <v>-0.65715219999999996</v>
      </c>
      <c r="U916">
        <v>-0.42572019999999999</v>
      </c>
      <c r="V916">
        <v>6.7938849999999995E-2</v>
      </c>
      <c r="W916">
        <v>0.20036419999999999</v>
      </c>
      <c r="X916">
        <v>0.97736299999999998</v>
      </c>
      <c r="Y916">
        <v>0.12518290000000001</v>
      </c>
      <c r="Z916">
        <v>-1.25959E-2</v>
      </c>
      <c r="AA916">
        <v>0.99205370000000004</v>
      </c>
      <c r="AB916">
        <v>37</v>
      </c>
      <c r="AC916">
        <v>0.53980000000001305</v>
      </c>
      <c r="AD916">
        <v>-0.18886910000000001</v>
      </c>
      <c r="AE916">
        <v>-0.120499999999992</v>
      </c>
      <c r="AF916">
        <v>0.105092920266671</v>
      </c>
      <c r="AG916">
        <v>-0.18886910000000001</v>
      </c>
      <c r="AH916">
        <v>0.48404900067915602</v>
      </c>
      <c r="AI916">
        <v>110.871975585451</v>
      </c>
      <c r="AJ916">
        <v>77.750499639610098</v>
      </c>
      <c r="AK916">
        <v>0.530112718092555</v>
      </c>
      <c r="AL916">
        <v>78.441742352389099</v>
      </c>
      <c r="AM916">
        <v>86.023629069373101</v>
      </c>
      <c r="AN916">
        <v>0.99999996687498005</v>
      </c>
    </row>
    <row r="917" spans="1:40" x14ac:dyDescent="0.25">
      <c r="A917" t="str">
        <f>"20190303170515073"</f>
        <v>20190303170515073</v>
      </c>
      <c r="B917" t="str">
        <f>"1551603915065799"</f>
        <v>1551603915065799</v>
      </c>
      <c r="C917" t="s">
        <v>40</v>
      </c>
      <c r="D917">
        <v>5.5012470000000002</v>
      </c>
      <c r="E917">
        <v>0.53178910000000001</v>
      </c>
      <c r="F917" t="s">
        <v>42</v>
      </c>
      <c r="G917">
        <v>-266.87720000000002</v>
      </c>
      <c r="H917">
        <v>0.93629150000000005</v>
      </c>
      <c r="I917">
        <v>367.27229999999997</v>
      </c>
      <c r="J917">
        <v>-267.38299999999998</v>
      </c>
      <c r="K917">
        <v>1.1210850000000001</v>
      </c>
      <c r="L917">
        <v>367.3888</v>
      </c>
      <c r="M917">
        <v>0.99988809999999995</v>
      </c>
      <c r="N917">
        <v>-1.3901459999999999E-2</v>
      </c>
      <c r="O917">
        <v>-5.5413839999999999E-3</v>
      </c>
      <c r="P917">
        <v>0.97959779999999996</v>
      </c>
      <c r="Q917">
        <v>0.18668489999999999</v>
      </c>
      <c r="R917">
        <v>-7.4410359999999995E-2</v>
      </c>
      <c r="S917">
        <v>3.1579280000000001</v>
      </c>
      <c r="T917">
        <v>-0.66999140000000001</v>
      </c>
      <c r="U917">
        <v>-0.4287415</v>
      </c>
      <c r="V917">
        <v>6.8844710000000003E-2</v>
      </c>
      <c r="W917">
        <v>0.20033709999999999</v>
      </c>
      <c r="X917">
        <v>0.97730519999999999</v>
      </c>
      <c r="Y917">
        <v>0.12619900000000001</v>
      </c>
      <c r="Z917">
        <v>-1.299122E-2</v>
      </c>
      <c r="AA917">
        <v>0.99191989999999997</v>
      </c>
      <c r="AB917">
        <v>37</v>
      </c>
      <c r="AC917">
        <v>0.50579999999996506</v>
      </c>
      <c r="AD917">
        <v>-0.1847935</v>
      </c>
      <c r="AE917">
        <v>-0.11650000000003</v>
      </c>
      <c r="AF917">
        <v>0.100904875577411</v>
      </c>
      <c r="AG917">
        <v>-0.1847935</v>
      </c>
      <c r="AH917">
        <v>0.44946568624678301</v>
      </c>
      <c r="AI917">
        <v>111.858461407905</v>
      </c>
      <c r="AJ917">
        <v>77.346907650636595</v>
      </c>
      <c r="AK917">
        <v>0.49633641279966001</v>
      </c>
      <c r="AL917">
        <v>78.443327599999293</v>
      </c>
      <c r="AM917">
        <v>85.970546252668896</v>
      </c>
      <c r="AN917">
        <v>1.00000000083921</v>
      </c>
    </row>
    <row r="918" spans="1:40" x14ac:dyDescent="0.25">
      <c r="A918" t="str">
        <f>"20190303170515095"</f>
        <v>20190303170515095</v>
      </c>
      <c r="B918" t="str">
        <f>"1551603915085319"</f>
        <v>1551603915085319</v>
      </c>
      <c r="C918" t="s">
        <v>40</v>
      </c>
      <c r="D918">
        <v>5.491314</v>
      </c>
      <c r="E918">
        <v>0.53186650000000002</v>
      </c>
      <c r="F918" t="s">
        <v>42</v>
      </c>
      <c r="G918">
        <v>-266.54649999999998</v>
      </c>
      <c r="H918">
        <v>0.94091760000000002</v>
      </c>
      <c r="I918">
        <v>367.2747</v>
      </c>
      <c r="J918">
        <v>-267.02300000000002</v>
      </c>
      <c r="K918">
        <v>1.1211660000000001</v>
      </c>
      <c r="L918">
        <v>367.38709999999998</v>
      </c>
      <c r="M918">
        <v>0.99988790000000005</v>
      </c>
      <c r="N918">
        <v>-1.40161E-2</v>
      </c>
      <c r="O918">
        <v>-5.2515249999999999E-3</v>
      </c>
      <c r="P918">
        <v>0.97955190000000003</v>
      </c>
      <c r="Q918">
        <v>0.18658710000000001</v>
      </c>
      <c r="R918">
        <v>-7.5251890000000002E-2</v>
      </c>
      <c r="S918">
        <v>3.1594850000000001</v>
      </c>
      <c r="T918">
        <v>-0.68052819999999903</v>
      </c>
      <c r="U918">
        <v>-0.43060300000000001</v>
      </c>
      <c r="V918">
        <v>6.9970599999999994E-2</v>
      </c>
      <c r="W918">
        <v>0.2003511</v>
      </c>
      <c r="X918">
        <v>0.97722240000000005</v>
      </c>
      <c r="Y918">
        <v>0.1268881</v>
      </c>
      <c r="Z918">
        <v>-1.331355E-2</v>
      </c>
      <c r="AA918">
        <v>0.99182769999999998</v>
      </c>
      <c r="AB918">
        <v>37</v>
      </c>
      <c r="AC918">
        <v>0.47649999999998699</v>
      </c>
      <c r="AD918">
        <v>-0.1802484</v>
      </c>
      <c r="AE918">
        <v>-0.112399999999979</v>
      </c>
      <c r="AF918">
        <v>9.6777625894718902E-2</v>
      </c>
      <c r="AG918">
        <v>-0.1802484</v>
      </c>
      <c r="AH918">
        <v>0.42013445031895102</v>
      </c>
      <c r="AI918">
        <v>112.688689421368</v>
      </c>
      <c r="AJ918">
        <v>77.0282355979069</v>
      </c>
      <c r="AK918">
        <v>0.46729899520669299</v>
      </c>
      <c r="AL918">
        <v>78.442509243449805</v>
      </c>
      <c r="AM918">
        <v>85.904524956413397</v>
      </c>
      <c r="AN918">
        <v>1.0000000335986601</v>
      </c>
    </row>
    <row r="919" spans="1:40" x14ac:dyDescent="0.25">
      <c r="A919" t="str">
        <f>"20190303170515130"</f>
        <v>20190303170515130</v>
      </c>
      <c r="B919" t="str">
        <f>"1551603915115575"</f>
        <v>1551603915115575</v>
      </c>
      <c r="C919" t="s">
        <v>40</v>
      </c>
      <c r="D919">
        <v>5.494319</v>
      </c>
      <c r="E919">
        <v>0.53212380000000004</v>
      </c>
      <c r="F919" t="s">
        <v>42</v>
      </c>
      <c r="G919">
        <v>-266.21620000000001</v>
      </c>
      <c r="H919">
        <v>0.94529280000000004</v>
      </c>
      <c r="I919">
        <v>367.27640000000002</v>
      </c>
      <c r="J919">
        <v>-266.4615</v>
      </c>
      <c r="K919">
        <v>1.121275</v>
      </c>
      <c r="L919">
        <v>367.38470000000001</v>
      </c>
      <c r="M919">
        <v>0.99988829999999995</v>
      </c>
      <c r="N919">
        <v>-1.4166299999999901E-2</v>
      </c>
      <c r="O919">
        <v>-4.7982550000000004E-3</v>
      </c>
      <c r="P919">
        <v>0.97916409999999998</v>
      </c>
      <c r="Q919">
        <v>0.18805140000000001</v>
      </c>
      <c r="R919">
        <v>-7.6646829999999999E-2</v>
      </c>
      <c r="S919">
        <v>3.1606139999999998</v>
      </c>
      <c r="T919">
        <v>-0.68905309999999997</v>
      </c>
      <c r="U919">
        <v>-0.43310549999999998</v>
      </c>
      <c r="V919">
        <v>7.1810639999999995E-2</v>
      </c>
      <c r="W919">
        <v>0.201957</v>
      </c>
      <c r="X919">
        <v>0.97675820000000002</v>
      </c>
      <c r="Y919">
        <v>0.12795480000000001</v>
      </c>
      <c r="Z919">
        <v>-1.368337E-2</v>
      </c>
      <c r="AA919">
        <v>0.99168559999999994</v>
      </c>
      <c r="AB919">
        <v>37</v>
      </c>
      <c r="AC919">
        <v>0.245299999999986</v>
      </c>
      <c r="AD919">
        <v>-0.17598220000000001</v>
      </c>
      <c r="AE919">
        <v>-0.10829999999998501</v>
      </c>
      <c r="AF919">
        <v>7.4872131537270695E-2</v>
      </c>
      <c r="AG919">
        <v>-0.17598220000000001</v>
      </c>
      <c r="AH919">
        <v>0.171812498121861</v>
      </c>
      <c r="AI919">
        <v>133.197615788913</v>
      </c>
      <c r="AJ919">
        <v>66.453480181364995</v>
      </c>
      <c r="AK919">
        <v>0.25708968339598698</v>
      </c>
      <c r="AL919">
        <v>78.348577431168593</v>
      </c>
      <c r="AM919">
        <v>85.795215693447005</v>
      </c>
      <c r="AN919">
        <v>0.99999998956672398</v>
      </c>
    </row>
    <row r="920" spans="1:40" x14ac:dyDescent="0.25">
      <c r="A920" t="str">
        <f>"20190303170515151"</f>
        <v>20190303170515151</v>
      </c>
      <c r="B920" t="str">
        <f>"1551603915145831"</f>
        <v>1551603915145831</v>
      </c>
      <c r="C920" t="s">
        <v>40</v>
      </c>
      <c r="D920">
        <v>5.5199040000000004</v>
      </c>
      <c r="E920">
        <v>0.5324236</v>
      </c>
      <c r="F920" t="s">
        <v>42</v>
      </c>
      <c r="G920">
        <v>-265.56979999999999</v>
      </c>
      <c r="H920">
        <v>0.92572840000000001</v>
      </c>
      <c r="I920">
        <v>367.26130000000001</v>
      </c>
      <c r="J920">
        <v>-266.09980000000002</v>
      </c>
      <c r="K920">
        <v>1.1213249999999999</v>
      </c>
      <c r="L920">
        <v>367.38319999999999</v>
      </c>
      <c r="M920">
        <v>0.99988840000000001</v>
      </c>
      <c r="N920">
        <v>-1.424712E-2</v>
      </c>
      <c r="O920">
        <v>-4.5055690000000001E-3</v>
      </c>
      <c r="P920">
        <v>0.97912160000000004</v>
      </c>
      <c r="Q920">
        <v>0.1881621</v>
      </c>
      <c r="R920">
        <v>-7.6916429999999994E-2</v>
      </c>
      <c r="S920">
        <v>3.1628720000000001</v>
      </c>
      <c r="T920">
        <v>-0.69367539999999905</v>
      </c>
      <c r="U920">
        <v>-0.43710329999999997</v>
      </c>
      <c r="V920">
        <v>7.2367409999999993E-2</v>
      </c>
      <c r="W920">
        <v>0.20214650000000001</v>
      </c>
      <c r="X920">
        <v>0.97667789999999999</v>
      </c>
      <c r="Y920">
        <v>0.12930449999999999</v>
      </c>
      <c r="Z920">
        <v>-1.397693E-2</v>
      </c>
      <c r="AA920">
        <v>0.99150640000000001</v>
      </c>
      <c r="AB920">
        <v>37</v>
      </c>
      <c r="AC920">
        <v>0.530000000000029</v>
      </c>
      <c r="AD920">
        <v>-0.19559659999999901</v>
      </c>
      <c r="AE920">
        <v>-0.12189999999998199</v>
      </c>
      <c r="AF920">
        <v>0.10582195349598</v>
      </c>
      <c r="AG920">
        <v>-0.19559659999999901</v>
      </c>
      <c r="AH920">
        <v>0.46977596196784799</v>
      </c>
      <c r="AI920">
        <v>112.106183806066</v>
      </c>
      <c r="AJ920">
        <v>77.305412640004903</v>
      </c>
      <c r="AK920">
        <v>0.51975549079935901</v>
      </c>
      <c r="AL920">
        <v>78.337491171186301</v>
      </c>
      <c r="AM920">
        <v>85.762385881951104</v>
      </c>
      <c r="AN920">
        <v>0.999999984920383</v>
      </c>
    </row>
    <row r="921" spans="1:40" x14ac:dyDescent="0.25">
      <c r="A921" t="str">
        <f>"20190303170515175"</f>
        <v>20190303170515175</v>
      </c>
      <c r="B921" t="str">
        <f>"1551603915165351"</f>
        <v>1551603915165351</v>
      </c>
      <c r="C921" t="s">
        <v>40</v>
      </c>
      <c r="D921">
        <v>5.5474550000000002</v>
      </c>
      <c r="E921">
        <v>0.53260649999999998</v>
      </c>
      <c r="F921" t="s">
        <v>42</v>
      </c>
      <c r="G921">
        <v>-265.24029999999999</v>
      </c>
      <c r="H921">
        <v>0.93106279999999997</v>
      </c>
      <c r="I921">
        <v>367.26389999999998</v>
      </c>
      <c r="J921">
        <v>-265.73059999999998</v>
      </c>
      <c r="K921">
        <v>1.12137</v>
      </c>
      <c r="L921">
        <v>367.3818</v>
      </c>
      <c r="M921">
        <v>0.99988869999999996</v>
      </c>
      <c r="N921">
        <v>-1.431871E-2</v>
      </c>
      <c r="O921">
        <v>-4.2069799999999999E-3</v>
      </c>
      <c r="P921">
        <v>0.97908189999999995</v>
      </c>
      <c r="Q921">
        <v>0.1880676</v>
      </c>
      <c r="R921">
        <v>-7.7650029999999995E-2</v>
      </c>
      <c r="S921">
        <v>3.1640320000000002</v>
      </c>
      <c r="T921">
        <v>-0.70032099999999997</v>
      </c>
      <c r="U921">
        <v>-0.43963619999999998</v>
      </c>
      <c r="V921">
        <v>7.3393760000000002E-2</v>
      </c>
      <c r="W921">
        <v>0.2021213</v>
      </c>
      <c r="X921">
        <v>0.97660650000000004</v>
      </c>
      <c r="Y921">
        <v>0.130244</v>
      </c>
      <c r="Z921">
        <v>-1.426816E-2</v>
      </c>
      <c r="AA921">
        <v>0.99137929999999996</v>
      </c>
      <c r="AB921">
        <v>37</v>
      </c>
      <c r="AC921">
        <v>0.49029999999999002</v>
      </c>
      <c r="AD921">
        <v>-0.19030719999999901</v>
      </c>
      <c r="AE921">
        <v>-0.11790000000002</v>
      </c>
      <c r="AF921">
        <v>0.10139526618772</v>
      </c>
      <c r="AG921">
        <v>-0.19030719999999901</v>
      </c>
      <c r="AH921">
        <v>0.429606767356638</v>
      </c>
      <c r="AI921">
        <v>113.322544113156</v>
      </c>
      <c r="AJ921">
        <v>76.720144319144794</v>
      </c>
      <c r="AK921">
        <v>0.48068680545209402</v>
      </c>
      <c r="AL921">
        <v>78.338965161140493</v>
      </c>
      <c r="AM921">
        <v>85.702196540873402</v>
      </c>
      <c r="AN921">
        <v>0.99999995988143797</v>
      </c>
    </row>
    <row r="922" spans="1:40" x14ac:dyDescent="0.25">
      <c r="A922" t="str">
        <f>"20190303170515190"</f>
        <v>20190303170515190</v>
      </c>
      <c r="B922" t="str">
        <f>"1551603915185848"</f>
        <v>1551603915185848</v>
      </c>
      <c r="C922" t="s">
        <v>40</v>
      </c>
      <c r="D922">
        <v>5.561941</v>
      </c>
      <c r="E922">
        <v>0.53233629999999998</v>
      </c>
      <c r="F922" t="s">
        <v>42</v>
      </c>
      <c r="G922">
        <v>-264.91019999999997</v>
      </c>
      <c r="H922">
        <v>0.93855670000000002</v>
      </c>
      <c r="I922">
        <v>367.26679999999999</v>
      </c>
      <c r="J922">
        <v>-265.47829999999999</v>
      </c>
      <c r="K922">
        <v>1.1213949999999999</v>
      </c>
      <c r="L922">
        <v>367.38099999999997</v>
      </c>
      <c r="M922">
        <v>0.99988900000000003</v>
      </c>
      <c r="N922">
        <v>-1.436195E-2</v>
      </c>
      <c r="O922">
        <v>-4.0030830000000002E-3</v>
      </c>
      <c r="P922">
        <v>0.97906769999999999</v>
      </c>
      <c r="Q922">
        <v>0.1880782</v>
      </c>
      <c r="R922">
        <v>-7.7802540000000003E-2</v>
      </c>
      <c r="S922">
        <v>3.1644290000000002</v>
      </c>
      <c r="T922">
        <v>-0.70521299999999998</v>
      </c>
      <c r="U922">
        <v>-0.44238280000000002</v>
      </c>
      <c r="V922">
        <v>7.3746249999999999E-2</v>
      </c>
      <c r="W922">
        <v>0.2021741</v>
      </c>
      <c r="X922">
        <v>0.97656909999999997</v>
      </c>
      <c r="Y922">
        <v>0.1312017</v>
      </c>
      <c r="Z922">
        <v>-1.4513180000000001E-2</v>
      </c>
      <c r="AA922">
        <v>0.99124939999999995</v>
      </c>
      <c r="AB922">
        <v>37</v>
      </c>
      <c r="AC922">
        <v>0.56810000000001504</v>
      </c>
      <c r="AD922">
        <v>-0.18283830000000001</v>
      </c>
      <c r="AE922">
        <v>-0.114199999999982</v>
      </c>
      <c r="AF922">
        <v>0.10179053588181</v>
      </c>
      <c r="AG922">
        <v>-0.18283830000000001</v>
      </c>
      <c r="AH922">
        <v>0.51707334495138702</v>
      </c>
      <c r="AI922">
        <v>109.133885908122</v>
      </c>
      <c r="AJ922">
        <v>78.863216471455502</v>
      </c>
      <c r="AK922">
        <v>0.55781359001122599</v>
      </c>
      <c r="AL922">
        <v>78.335877138230003</v>
      </c>
      <c r="AM922">
        <v>85.681468514270506</v>
      </c>
      <c r="AN922">
        <v>1.00000004158734</v>
      </c>
    </row>
    <row r="923" spans="1:40" x14ac:dyDescent="0.25">
      <c r="A923" t="str">
        <f>"20190303170515209"</f>
        <v>20190303170515209</v>
      </c>
      <c r="B923" t="str">
        <f>"1551603915195607"</f>
        <v>1551603915195607</v>
      </c>
      <c r="C923" t="s">
        <v>40</v>
      </c>
      <c r="D923">
        <v>5.5760430000000003</v>
      </c>
      <c r="E923">
        <v>0.50359770000000004</v>
      </c>
      <c r="F923" t="s">
        <v>42</v>
      </c>
      <c r="G923">
        <v>-264.59059999999999</v>
      </c>
      <c r="H923">
        <v>0.9236318</v>
      </c>
      <c r="I923">
        <v>367.25720000000001</v>
      </c>
      <c r="J923">
        <v>-265.17259999999999</v>
      </c>
      <c r="K923">
        <v>1.121429</v>
      </c>
      <c r="L923">
        <v>367.38</v>
      </c>
      <c r="M923">
        <v>0.99988909999999998</v>
      </c>
      <c r="N923">
        <v>-1.440872E-2</v>
      </c>
      <c r="O923">
        <v>-3.75582E-3</v>
      </c>
      <c r="P923">
        <v>0.97888580000000003</v>
      </c>
      <c r="Q923">
        <v>0.18877240000000001</v>
      </c>
      <c r="R923">
        <v>-7.8407950000000004E-2</v>
      </c>
      <c r="S923">
        <v>3.1645509999999999</v>
      </c>
      <c r="T923">
        <v>-0.70506080000000004</v>
      </c>
      <c r="U923">
        <v>-0.44088749999999999</v>
      </c>
      <c r="V923">
        <v>7.459404E-2</v>
      </c>
      <c r="W923">
        <v>0.20291190000000001</v>
      </c>
      <c r="X923">
        <v>0.97635159999999999</v>
      </c>
      <c r="Y923">
        <v>0.13098299999999999</v>
      </c>
      <c r="Z923">
        <v>-1.453863E-2</v>
      </c>
      <c r="AA923">
        <v>0.99127799999999999</v>
      </c>
      <c r="AB923">
        <v>37</v>
      </c>
      <c r="AC923">
        <v>0.58199999999999297</v>
      </c>
      <c r="AD923">
        <v>-0.19779719999999901</v>
      </c>
      <c r="AE923">
        <v>-0.12279999999998301</v>
      </c>
      <c r="AF923">
        <v>0.108603601366701</v>
      </c>
      <c r="AG923">
        <v>-0.19779719999999901</v>
      </c>
      <c r="AH923">
        <v>0.52446199563179496</v>
      </c>
      <c r="AI923">
        <v>110.26959643998801</v>
      </c>
      <c r="AJ923">
        <v>78.300760162770402</v>
      </c>
      <c r="AK923">
        <v>0.57094558358896397</v>
      </c>
      <c r="AL923">
        <v>78.2927088448197</v>
      </c>
      <c r="AM923">
        <v>85.631044262611894</v>
      </c>
      <c r="AN923">
        <v>0.99999997839384502</v>
      </c>
    </row>
    <row r="924" spans="1:40" x14ac:dyDescent="0.25">
      <c r="A924" t="str">
        <f>"20190303170515230"</f>
        <v>20190303170515230</v>
      </c>
      <c r="B924" t="str">
        <f>"1551603915225864"</f>
        <v>1551603915225864</v>
      </c>
      <c r="C924" t="s">
        <v>40</v>
      </c>
      <c r="D924">
        <v>5.4899690000000003</v>
      </c>
      <c r="E924">
        <v>0.48789500000000002</v>
      </c>
      <c r="F924" t="s">
        <v>42</v>
      </c>
      <c r="G924">
        <v>-264.23480000000001</v>
      </c>
      <c r="H924">
        <v>0.9867108</v>
      </c>
      <c r="I924">
        <v>367.31299999999999</v>
      </c>
      <c r="J924">
        <v>-264.8134</v>
      </c>
      <c r="K924">
        <v>1.1214550000000001</v>
      </c>
      <c r="L924">
        <v>367.37889999999999</v>
      </c>
      <c r="M924">
        <v>0.99988960000000005</v>
      </c>
      <c r="N924">
        <v>-1.445667E-2</v>
      </c>
      <c r="O924">
        <v>-3.4657730000000001E-3</v>
      </c>
      <c r="P924">
        <v>0.97882959999999997</v>
      </c>
      <c r="Q924">
        <v>0.18865090000000001</v>
      </c>
      <c r="R924">
        <v>-7.9394500000000007E-2</v>
      </c>
      <c r="S924">
        <v>3.133667</v>
      </c>
      <c r="T924">
        <v>-0.45029350000000001</v>
      </c>
      <c r="U924">
        <v>-0.2232971</v>
      </c>
      <c r="V924">
        <v>7.5864920000000002E-2</v>
      </c>
      <c r="W924">
        <v>0.20283670000000001</v>
      </c>
      <c r="X924">
        <v>0.97626930000000001</v>
      </c>
      <c r="Y924">
        <v>6.6894690000000007E-2</v>
      </c>
      <c r="Z924">
        <v>-4.817572E-3</v>
      </c>
      <c r="AA924">
        <v>0.99774839999999998</v>
      </c>
      <c r="AB924">
        <v>37</v>
      </c>
      <c r="AC924">
        <v>0.57859999999999401</v>
      </c>
      <c r="AD924">
        <v>-0.13474419999999901</v>
      </c>
      <c r="AE924">
        <v>-6.5899999999942296E-2</v>
      </c>
      <c r="AF924">
        <v>6.0647144568446797E-2</v>
      </c>
      <c r="AG924">
        <v>-0.13474419999999901</v>
      </c>
      <c r="AH924">
        <v>0.54941036480096495</v>
      </c>
      <c r="AI924">
        <v>103.699890244152</v>
      </c>
      <c r="AJ924">
        <v>83.700857665618003</v>
      </c>
      <c r="AK924">
        <v>0.56893393687551796</v>
      </c>
      <c r="AL924">
        <v>78.297109003054004</v>
      </c>
      <c r="AM924">
        <v>85.556531628744196</v>
      </c>
      <c r="AN924">
        <v>0.99999997953799302</v>
      </c>
    </row>
    <row r="925" spans="1:40" x14ac:dyDescent="0.25">
      <c r="A925" t="str">
        <f>"20190303170515245"</f>
        <v>20190303170515245</v>
      </c>
      <c r="B925" t="str">
        <f>"1551603915235624"</f>
        <v>1551603915235624</v>
      </c>
      <c r="C925" t="s">
        <v>40</v>
      </c>
      <c r="D925">
        <v>5.4903839999999997</v>
      </c>
      <c r="E925">
        <v>0.4861896</v>
      </c>
      <c r="F925" t="s">
        <v>42</v>
      </c>
      <c r="G925">
        <v>-263.88740000000001</v>
      </c>
      <c r="H925">
        <v>1.0299590000000001</v>
      </c>
      <c r="I925">
        <v>367.34730000000002</v>
      </c>
      <c r="J925">
        <v>-264.58240000000001</v>
      </c>
      <c r="K925">
        <v>1.12147</v>
      </c>
      <c r="L925">
        <v>367.37830000000002</v>
      </c>
      <c r="M925">
        <v>0.99988969999999999</v>
      </c>
      <c r="N925">
        <v>-1.4484459999999999E-2</v>
      </c>
      <c r="O925">
        <v>-3.2790580000000001E-3</v>
      </c>
      <c r="P925">
        <v>0.97889349999999997</v>
      </c>
      <c r="Q925">
        <v>0.18804699999999999</v>
      </c>
      <c r="R925">
        <v>-8.0036910000000003E-2</v>
      </c>
      <c r="S925">
        <v>3.1156619999999999</v>
      </c>
      <c r="T925">
        <v>-0.307959599999999</v>
      </c>
      <c r="U925">
        <v>-0.105834999999999</v>
      </c>
      <c r="V925">
        <v>7.6690629999999996E-2</v>
      </c>
      <c r="W925">
        <v>0.20226140000000001</v>
      </c>
      <c r="X925">
        <v>0.97632410000000003</v>
      </c>
      <c r="Y925">
        <v>3.0512629999999999E-2</v>
      </c>
      <c r="Z925">
        <v>-1.4497080000000001E-3</v>
      </c>
      <c r="AA925">
        <v>0.99953340000000002</v>
      </c>
      <c r="AB925">
        <v>36</v>
      </c>
      <c r="AC925">
        <v>0.69499999999999296</v>
      </c>
      <c r="AD925">
        <v>-9.1510999999999898E-2</v>
      </c>
      <c r="AE925">
        <v>-3.1000000000005901E-2</v>
      </c>
      <c r="AF925">
        <v>2.8232156406975802E-2</v>
      </c>
      <c r="AG925">
        <v>-9.1510999999999898E-2</v>
      </c>
      <c r="AH925">
        <v>0.68327541675464099</v>
      </c>
      <c r="AI925">
        <v>97.621796944267999</v>
      </c>
      <c r="AJ925">
        <v>87.633949982145396</v>
      </c>
      <c r="AK925">
        <v>0.68995406580265595</v>
      </c>
      <c r="AL925">
        <v>78.3307684679273</v>
      </c>
      <c r="AM925">
        <v>85.508617061940498</v>
      </c>
      <c r="AN925">
        <v>0.99999993745028104</v>
      </c>
    </row>
    <row r="926" spans="1:40" x14ac:dyDescent="0.25">
      <c r="A926" t="str">
        <f>"20190303170515259"</f>
        <v>20190303170515259</v>
      </c>
      <c r="B926" t="str">
        <f>"1551603915245383"</f>
        <v>1551603915245383</v>
      </c>
      <c r="C926" t="s">
        <v>40</v>
      </c>
      <c r="D926">
        <v>5.6086340000000003</v>
      </c>
      <c r="E926">
        <v>0.48462729999999998</v>
      </c>
      <c r="F926" t="s">
        <v>42</v>
      </c>
      <c r="G926">
        <v>-263.56139999999999</v>
      </c>
      <c r="H926">
        <v>1.0314829999999999</v>
      </c>
      <c r="I926">
        <v>367.3467</v>
      </c>
      <c r="J926">
        <v>-264.34879999999998</v>
      </c>
      <c r="K926">
        <v>1.121481</v>
      </c>
      <c r="L926">
        <v>367.3777</v>
      </c>
      <c r="M926">
        <v>0.99988999999999995</v>
      </c>
      <c r="N926">
        <v>-1.450946E-2</v>
      </c>
      <c r="O926">
        <v>-3.0901790000000002E-3</v>
      </c>
      <c r="P926">
        <v>0.97892489999999999</v>
      </c>
      <c r="Q926">
        <v>0.18779750000000001</v>
      </c>
      <c r="R926">
        <v>-8.0238980000000001E-2</v>
      </c>
      <c r="S926">
        <v>3.1095579999999998</v>
      </c>
      <c r="T926">
        <v>-0.27425369999999999</v>
      </c>
      <c r="U926">
        <v>-9.5428470000000001E-2</v>
      </c>
      <c r="V926">
        <v>7.7077820000000005E-2</v>
      </c>
      <c r="W926">
        <v>0.20203679999999999</v>
      </c>
      <c r="X926">
        <v>0.97634019999999999</v>
      </c>
      <c r="Y926">
        <v>2.7469339999999998E-2</v>
      </c>
      <c r="Z926">
        <v>-1.1813240000000001E-3</v>
      </c>
      <c r="AA926">
        <v>0.99962189999999995</v>
      </c>
      <c r="AB926">
        <v>36</v>
      </c>
      <c r="AC926">
        <v>0.78739999999999</v>
      </c>
      <c r="AD926">
        <v>-8.9997999999999995E-2</v>
      </c>
      <c r="AE926">
        <v>-3.1000000000005901E-2</v>
      </c>
      <c r="AF926">
        <v>2.8198573976571599E-2</v>
      </c>
      <c r="AG926">
        <v>-8.9997999999999995E-2</v>
      </c>
      <c r="AH926">
        <v>0.77735245900918004</v>
      </c>
      <c r="AI926">
        <v>96.599716093081895</v>
      </c>
      <c r="AJ926">
        <v>87.922498163052097</v>
      </c>
      <c r="AK926">
        <v>0.78305277287417296</v>
      </c>
      <c r="AL926">
        <v>78.343909382902893</v>
      </c>
      <c r="AM926">
        <v>85.486108906955593</v>
      </c>
      <c r="AN926">
        <v>1.00000002251311</v>
      </c>
    </row>
    <row r="927" spans="1:40" x14ac:dyDescent="0.25">
      <c r="A927" t="str">
        <f>"20190303170515273"</f>
        <v>20190303170515273</v>
      </c>
      <c r="B927" t="str">
        <f>"1551603915265977"</f>
        <v>1551603915265977</v>
      </c>
      <c r="C927" t="s">
        <v>40</v>
      </c>
      <c r="D927">
        <v>5.5490380000000004</v>
      </c>
      <c r="E927">
        <v>0.4825875</v>
      </c>
      <c r="F927" t="s">
        <v>41</v>
      </c>
      <c r="G927">
        <v>-250.47329999999999</v>
      </c>
      <c r="H927" s="1">
        <v>-4.5333990000000003E-6</v>
      </c>
      <c r="I927">
        <v>366.99959999999999</v>
      </c>
      <c r="J927">
        <v>-264.11579999999998</v>
      </c>
      <c r="K927">
        <v>1.1214869999999999</v>
      </c>
      <c r="L927">
        <v>367.37709999999998</v>
      </c>
      <c r="M927">
        <v>0.99989030000000001</v>
      </c>
      <c r="N927">
        <v>-1.45319E-2</v>
      </c>
      <c r="O927">
        <v>-2.901523E-3</v>
      </c>
      <c r="P927">
        <v>0.97903130000000005</v>
      </c>
      <c r="Q927">
        <v>0.1869702</v>
      </c>
      <c r="R927">
        <v>-8.087134E-2</v>
      </c>
      <c r="S927">
        <v>3.105804</v>
      </c>
      <c r="T927">
        <v>-0.25102529999999901</v>
      </c>
      <c r="U927">
        <v>-8.4625240000000004E-2</v>
      </c>
      <c r="V927">
        <v>7.7895240000000004E-2</v>
      </c>
      <c r="W927">
        <v>0.201233</v>
      </c>
      <c r="X927">
        <v>0.97644129999999996</v>
      </c>
      <c r="Y927">
        <v>2.4249550000000002E-2</v>
      </c>
      <c r="Z927">
        <v>-9.6279679999999998E-4</v>
      </c>
      <c r="AA927">
        <v>0.99970550000000002</v>
      </c>
      <c r="AB927">
        <v>36</v>
      </c>
      <c r="AC927">
        <v>13.642499999999901</v>
      </c>
      <c r="AD927">
        <v>-1.1214915333990001</v>
      </c>
      <c r="AE927">
        <v>-0.377499999999997</v>
      </c>
      <c r="AF927">
        <v>0.33564373564882299</v>
      </c>
      <c r="AG927">
        <v>-1.1214915333990001</v>
      </c>
      <c r="AH927">
        <v>13.552026451156101</v>
      </c>
      <c r="AI927">
        <v>94.729261967871807</v>
      </c>
      <c r="AJ927">
        <v>88.581242528377004</v>
      </c>
      <c r="AK927">
        <v>13.6024931872654</v>
      </c>
      <c r="AL927">
        <v>78.390929229584899</v>
      </c>
      <c r="AM927">
        <v>85.438909803177793</v>
      </c>
      <c r="AN927">
        <v>1.0000000005246701</v>
      </c>
    </row>
    <row r="928" spans="1:40" x14ac:dyDescent="0.25">
      <c r="A928" t="str">
        <f>"20190303170515297"</f>
        <v>20190303170515297</v>
      </c>
      <c r="B928" t="str">
        <f>"1551603915285496"</f>
        <v>1551603915285496</v>
      </c>
      <c r="C928" t="s">
        <v>40</v>
      </c>
      <c r="D928">
        <v>5.5569829999999998</v>
      </c>
      <c r="E928">
        <v>0.48209859999999999</v>
      </c>
      <c r="F928" t="s">
        <v>41</v>
      </c>
      <c r="G928">
        <v>-248.51349999999999</v>
      </c>
      <c r="H928" s="1">
        <v>-1.245906E-6</v>
      </c>
      <c r="I928">
        <v>367.02</v>
      </c>
      <c r="J928">
        <v>-263.7355</v>
      </c>
      <c r="K928">
        <v>1.1215029999999999</v>
      </c>
      <c r="L928">
        <v>367.37630000000001</v>
      </c>
      <c r="M928">
        <v>0.99989039999999996</v>
      </c>
      <c r="N928">
        <v>-1.456432E-2</v>
      </c>
      <c r="O928">
        <v>-2.5932640000000001E-3</v>
      </c>
      <c r="P928">
        <v>0.97896640000000001</v>
      </c>
      <c r="Q928">
        <v>0.18723010000000001</v>
      </c>
      <c r="R928">
        <v>-8.1053009999999995E-2</v>
      </c>
      <c r="S928">
        <v>3.1009519999999999</v>
      </c>
      <c r="T928">
        <v>-0.22289539999999999</v>
      </c>
      <c r="U928">
        <v>-7.0983889999999994E-2</v>
      </c>
      <c r="V928">
        <v>7.8379270000000001E-2</v>
      </c>
      <c r="W928">
        <v>0.20152349999999999</v>
      </c>
      <c r="X928">
        <v>0.97634259999999995</v>
      </c>
      <c r="Y928">
        <v>2.0233540000000001E-2</v>
      </c>
      <c r="Z928">
        <v>-7.2534819999999997E-4</v>
      </c>
      <c r="AA928">
        <v>0.99979499999999999</v>
      </c>
      <c r="AB928">
        <v>36</v>
      </c>
      <c r="AC928">
        <v>15.222</v>
      </c>
      <c r="AD928">
        <v>-1.1215042459060001</v>
      </c>
      <c r="AE928">
        <v>-0.35630000000003198</v>
      </c>
      <c r="AF928">
        <v>0.31511038727054402</v>
      </c>
      <c r="AG928">
        <v>-1.1215042459060001</v>
      </c>
      <c r="AH928">
        <v>15.140730488245699</v>
      </c>
      <c r="AI928">
        <v>94.2353630049477</v>
      </c>
      <c r="AJ928">
        <v>88.807726665921194</v>
      </c>
      <c r="AK928">
        <v>15.1854794474012</v>
      </c>
      <c r="AL928">
        <v>78.373936114365804</v>
      </c>
      <c r="AM928">
        <v>85.4102265727267</v>
      </c>
      <c r="AN928">
        <v>0.99999995179637002</v>
      </c>
    </row>
    <row r="929" spans="1:40" x14ac:dyDescent="0.25">
      <c r="A929" t="str">
        <f>"20190303170515309"</f>
        <v>20190303170515309</v>
      </c>
      <c r="B929" t="str">
        <f>"1551603915295255"</f>
        <v>1551603915295255</v>
      </c>
      <c r="C929" t="s">
        <v>40</v>
      </c>
      <c r="D929">
        <v>5.4796110000000002</v>
      </c>
      <c r="E929">
        <v>0.48160199999999997</v>
      </c>
      <c r="F929" t="s">
        <v>41</v>
      </c>
      <c r="G929">
        <v>-247.0093</v>
      </c>
      <c r="H929" s="1">
        <v>-1.857255E-6</v>
      </c>
      <c r="I929">
        <v>367.00580000000002</v>
      </c>
      <c r="J929">
        <v>-263.53070000000002</v>
      </c>
      <c r="K929">
        <v>1.1215120000000001</v>
      </c>
      <c r="L929">
        <v>367.3759</v>
      </c>
      <c r="M929">
        <v>0.99989079999999997</v>
      </c>
      <c r="N929">
        <v>-1.457965E-2</v>
      </c>
      <c r="O929">
        <v>-2.4272090000000001E-3</v>
      </c>
      <c r="P929">
        <v>0.97895489999999996</v>
      </c>
      <c r="Q929">
        <v>0.18725829999999999</v>
      </c>
      <c r="R929">
        <v>-8.1126950000000003E-2</v>
      </c>
      <c r="S929">
        <v>3.0984799999999999</v>
      </c>
      <c r="T929">
        <v>-0.20775569999999999</v>
      </c>
      <c r="U929">
        <v>-6.8634029999999999E-2</v>
      </c>
      <c r="V929">
        <v>7.8616060000000001E-2</v>
      </c>
      <c r="W929">
        <v>0.20156650000000001</v>
      </c>
      <c r="X929">
        <v>0.97631469999999998</v>
      </c>
      <c r="Y929">
        <v>1.9668069999999999E-2</v>
      </c>
      <c r="Z929">
        <v>-6.7497E-4</v>
      </c>
      <c r="AA929">
        <v>0.99980630000000004</v>
      </c>
      <c r="AB929">
        <v>36</v>
      </c>
      <c r="AC929">
        <v>16.5214</v>
      </c>
      <c r="AD929">
        <v>-1.1215138572550001</v>
      </c>
      <c r="AE929">
        <v>-0.370099999999979</v>
      </c>
      <c r="AF929">
        <v>0.32848086593706599</v>
      </c>
      <c r="AG929">
        <v>-1.1215138572550001</v>
      </c>
      <c r="AH929">
        <v>16.446501714715001</v>
      </c>
      <c r="AI929">
        <v>93.900278206992695</v>
      </c>
      <c r="AJ929">
        <v>88.855801334898402</v>
      </c>
      <c r="AK929">
        <v>16.487968694275999</v>
      </c>
      <c r="AL929">
        <v>78.371420948110696</v>
      </c>
      <c r="AM929">
        <v>85.396289023350604</v>
      </c>
      <c r="AN929">
        <v>0.999999966124131</v>
      </c>
    </row>
    <row r="930" spans="1:40" x14ac:dyDescent="0.25">
      <c r="A930" t="str">
        <f>"20190303170515321"</f>
        <v>20190303170515321</v>
      </c>
      <c r="B930" t="str">
        <f>"1551603915315752"</f>
        <v>1551603915315752</v>
      </c>
      <c r="C930" t="s">
        <v>40</v>
      </c>
      <c r="D930">
        <v>5.4555860000000003</v>
      </c>
      <c r="E930">
        <v>0.48083189999999998</v>
      </c>
      <c r="F930" t="s">
        <v>41</v>
      </c>
      <c r="G930">
        <v>-246.15209999999999</v>
      </c>
      <c r="H930" s="1">
        <v>-2.2614589999999998E-6</v>
      </c>
      <c r="I930">
        <v>367.01139999999998</v>
      </c>
      <c r="J930">
        <v>-263.33679999999998</v>
      </c>
      <c r="K930">
        <v>1.121521</v>
      </c>
      <c r="L930">
        <v>367.37560000000002</v>
      </c>
      <c r="M930">
        <v>0.99989090000000003</v>
      </c>
      <c r="N930">
        <v>-1.4593119999999999E-2</v>
      </c>
      <c r="O930">
        <v>-2.2698409999999999E-3</v>
      </c>
      <c r="P930">
        <v>0.97890809999999995</v>
      </c>
      <c r="Q930">
        <v>0.18743199999999999</v>
      </c>
      <c r="R930">
        <v>-8.1291749999999996E-2</v>
      </c>
      <c r="S930">
        <v>3.0973510000000002</v>
      </c>
      <c r="T930">
        <v>-0.19988539999999999</v>
      </c>
      <c r="U930">
        <v>-6.4971920000000002E-2</v>
      </c>
      <c r="V930">
        <v>7.893493E-2</v>
      </c>
      <c r="W930">
        <v>0.20175290000000001</v>
      </c>
      <c r="X930">
        <v>0.97625050000000002</v>
      </c>
      <c r="Y930">
        <v>1.86576E-2</v>
      </c>
      <c r="Z930">
        <v>-6.2445039999999995E-4</v>
      </c>
      <c r="AA930">
        <v>0.99982570000000004</v>
      </c>
      <c r="AB930">
        <v>36</v>
      </c>
      <c r="AC930">
        <v>17.1846999999999</v>
      </c>
      <c r="AD930">
        <v>-1.1215232614590001</v>
      </c>
      <c r="AE930">
        <v>-0.36420000000003899</v>
      </c>
      <c r="AF930">
        <v>0.32380980317334801</v>
      </c>
      <c r="AG930">
        <v>-1.1215232614590001</v>
      </c>
      <c r="AH930">
        <v>17.112628324910101</v>
      </c>
      <c r="AI930">
        <v>93.749005232429894</v>
      </c>
      <c r="AJ930">
        <v>88.915963059401605</v>
      </c>
      <c r="AK930">
        <v>17.1523967829905</v>
      </c>
      <c r="AL930">
        <v>78.3605173677023</v>
      </c>
      <c r="AM930">
        <v>85.377394279007405</v>
      </c>
      <c r="AN930">
        <v>0.999999997291382</v>
      </c>
    </row>
    <row r="931" spans="1:40" x14ac:dyDescent="0.25">
      <c r="A931" t="str">
        <f>"20190303170515334"</f>
        <v>20190303170515334</v>
      </c>
      <c r="B931" t="str">
        <f>"1551603915325513"</f>
        <v>1551603915325513</v>
      </c>
      <c r="C931" t="s">
        <v>40</v>
      </c>
      <c r="D931">
        <v>5.4417260000000001</v>
      </c>
      <c r="E931">
        <v>0.48059420000000003</v>
      </c>
      <c r="F931" t="s">
        <v>41</v>
      </c>
      <c r="G931">
        <v>-244.73609999999999</v>
      </c>
      <c r="H931" s="1">
        <v>-2.9305580000000001E-6</v>
      </c>
      <c r="I931">
        <v>367.01310000000001</v>
      </c>
      <c r="J931">
        <v>-263.13780000000003</v>
      </c>
      <c r="K931">
        <v>1.121534</v>
      </c>
      <c r="L931">
        <v>367.37529999999998</v>
      </c>
      <c r="M931">
        <v>0.99989130000000004</v>
      </c>
      <c r="N931">
        <v>-1.46053E-2</v>
      </c>
      <c r="O931">
        <v>-2.1087660000000002E-3</v>
      </c>
      <c r="P931">
        <v>0.97887480000000004</v>
      </c>
      <c r="Q931">
        <v>0.1876246</v>
      </c>
      <c r="R931">
        <v>-8.1247890000000003E-2</v>
      </c>
      <c r="S931">
        <v>3.095367</v>
      </c>
      <c r="T931">
        <v>-0.18663379999999999</v>
      </c>
      <c r="U931">
        <v>-6.0333249999999998E-2</v>
      </c>
      <c r="V931">
        <v>7.9049019999999998E-2</v>
      </c>
      <c r="W931">
        <v>0.20195650000000001</v>
      </c>
      <c r="X931">
        <v>0.97619920000000004</v>
      </c>
      <c r="Y931">
        <v>1.7342199999999999E-2</v>
      </c>
      <c r="Z931">
        <v>-5.5285999999999996E-4</v>
      </c>
      <c r="AA931">
        <v>0.9998494</v>
      </c>
      <c r="AB931">
        <v>36</v>
      </c>
      <c r="AC931">
        <v>18.401700000000002</v>
      </c>
      <c r="AD931">
        <v>-1.1215369305580001</v>
      </c>
      <c r="AE931">
        <v>-0.36219999999997199</v>
      </c>
      <c r="AF931">
        <v>0.32219382742656499</v>
      </c>
      <c r="AG931">
        <v>-1.1215369305580001</v>
      </c>
      <c r="AH931">
        <v>18.334344694176</v>
      </c>
      <c r="AI931">
        <v>93.499960256162595</v>
      </c>
      <c r="AJ931">
        <v>88.993231181353096</v>
      </c>
      <c r="AK931">
        <v>18.371441133288801</v>
      </c>
      <c r="AL931">
        <v>78.348607121305093</v>
      </c>
      <c r="AM931">
        <v>85.370499718707293</v>
      </c>
      <c r="AN931">
        <v>1.0000000267679201</v>
      </c>
    </row>
    <row r="932" spans="1:40" x14ac:dyDescent="0.25">
      <c r="A932" t="str">
        <f>"20190303170515346"</f>
        <v>20190303170515346</v>
      </c>
      <c r="B932" t="str">
        <f>"1551603915335271"</f>
        <v>1551603915335271</v>
      </c>
      <c r="C932" t="s">
        <v>40</v>
      </c>
      <c r="D932">
        <v>5.4670489999999896</v>
      </c>
      <c r="E932">
        <v>0.48035559999999999</v>
      </c>
      <c r="F932" t="s">
        <v>41</v>
      </c>
      <c r="G932">
        <v>-244.0266</v>
      </c>
      <c r="H932" s="1">
        <v>-3.2664819999999999E-6</v>
      </c>
      <c r="I932">
        <v>367.01010000000002</v>
      </c>
      <c r="J932">
        <v>-262.9409</v>
      </c>
      <c r="K932">
        <v>1.12154</v>
      </c>
      <c r="L932">
        <v>367.37509999999997</v>
      </c>
      <c r="M932">
        <v>0.99989130000000004</v>
      </c>
      <c r="N932">
        <v>-1.461673E-2</v>
      </c>
      <c r="O932">
        <v>-1.949117E-3</v>
      </c>
      <c r="P932">
        <v>0.97889510000000002</v>
      </c>
      <c r="Q932">
        <v>0.18757190000000001</v>
      </c>
      <c r="R932">
        <v>-8.1124669999999996E-2</v>
      </c>
      <c r="S932">
        <v>3.0946349999999998</v>
      </c>
      <c r="T932">
        <v>-0.18160780000000001</v>
      </c>
      <c r="U932">
        <v>-5.9143069999999999E-2</v>
      </c>
      <c r="V932">
        <v>7.9082120000000006E-2</v>
      </c>
      <c r="W932">
        <v>0.20191490000000001</v>
      </c>
      <c r="X932">
        <v>0.97620510000000005</v>
      </c>
      <c r="Y932">
        <v>1.712408E-2</v>
      </c>
      <c r="Z932">
        <v>-5.4148119999999998E-4</v>
      </c>
      <c r="AA932">
        <v>0.99985329999999994</v>
      </c>
      <c r="AB932">
        <v>36</v>
      </c>
      <c r="AC932">
        <v>18.914300000000001</v>
      </c>
      <c r="AD932">
        <v>-1.121543266482</v>
      </c>
      <c r="AE932">
        <v>-0.36499999999995197</v>
      </c>
      <c r="AF932">
        <v>0.32697994457865598</v>
      </c>
      <c r="AG932">
        <v>-1.121543266482</v>
      </c>
      <c r="AH932">
        <v>18.848727706877298</v>
      </c>
      <c r="AI932">
        <v>93.404706504797801</v>
      </c>
      <c r="AJ932">
        <v>89.006156164980695</v>
      </c>
      <c r="AK932">
        <v>18.884896381784799</v>
      </c>
      <c r="AL932">
        <v>78.351040479760002</v>
      </c>
      <c r="AM932">
        <v>85.368597520699197</v>
      </c>
      <c r="AN932">
        <v>1.00000000290585</v>
      </c>
    </row>
    <row r="933" spans="1:40" x14ac:dyDescent="0.25">
      <c r="A933" t="str">
        <f>"20190303170515359"</f>
        <v>20190303170515359</v>
      </c>
      <c r="B933" t="str">
        <f>"1551603915345032"</f>
        <v>1551603915345032</v>
      </c>
      <c r="C933" t="s">
        <v>40</v>
      </c>
      <c r="D933">
        <v>5.4489359999999998</v>
      </c>
      <c r="E933">
        <v>0.48021409999999998</v>
      </c>
      <c r="F933" t="s">
        <v>41</v>
      </c>
      <c r="G933">
        <v>-243.38130000000001</v>
      </c>
      <c r="H933" s="1">
        <v>-3.5710100000000001E-6</v>
      </c>
      <c r="I933">
        <v>367.0129</v>
      </c>
      <c r="J933">
        <v>-262.73259999999999</v>
      </c>
      <c r="K933">
        <v>1.121545</v>
      </c>
      <c r="L933">
        <v>367.37479999999999</v>
      </c>
      <c r="M933">
        <v>0.99989150000000004</v>
      </c>
      <c r="N933">
        <v>-1.462747E-2</v>
      </c>
      <c r="O933">
        <v>-1.7804050000000001E-3</v>
      </c>
      <c r="P933">
        <v>0.97893730000000001</v>
      </c>
      <c r="Q933">
        <v>0.18746789999999999</v>
      </c>
      <c r="R933">
        <v>-8.0857659999999998E-2</v>
      </c>
      <c r="S933">
        <v>3.0939640000000002</v>
      </c>
      <c r="T933">
        <v>-0.17740729999999999</v>
      </c>
      <c r="U933">
        <v>-5.7281489999999997E-2</v>
      </c>
      <c r="V933">
        <v>7.8980389999999998E-2</v>
      </c>
      <c r="W933">
        <v>0.20182149999999999</v>
      </c>
      <c r="X933">
        <v>0.97623260000000001</v>
      </c>
      <c r="Y933">
        <v>1.669766E-2</v>
      </c>
      <c r="Z933">
        <v>-5.2458259999999999E-4</v>
      </c>
      <c r="AA933">
        <v>0.99986050000000004</v>
      </c>
      <c r="AB933">
        <v>36</v>
      </c>
      <c r="AC933">
        <v>19.351299999999899</v>
      </c>
      <c r="AD933">
        <v>-1.1215485710099999</v>
      </c>
      <c r="AE933">
        <v>-0.36189999999999101</v>
      </c>
      <c r="AF933">
        <v>0.32634676072973801</v>
      </c>
      <c r="AG933">
        <v>-1.1215485710099999</v>
      </c>
      <c r="AH933">
        <v>19.287149958222901</v>
      </c>
      <c r="AI933">
        <v>93.327528967266105</v>
      </c>
      <c r="AJ933">
        <v>89.030623604343603</v>
      </c>
      <c r="AK933">
        <v>19.3224875964859</v>
      </c>
      <c r="AL933">
        <v>78.356503822287706</v>
      </c>
      <c r="AM933">
        <v>85.374659147749497</v>
      </c>
      <c r="AN933">
        <v>0.99999995458477997</v>
      </c>
    </row>
    <row r="934" spans="1:40" x14ac:dyDescent="0.25">
      <c r="A934" t="str">
        <f>"20190303170515376"</f>
        <v>20190303170515376</v>
      </c>
      <c r="B934" t="str">
        <f>"1551603915365309"</f>
        <v>1551603915365309</v>
      </c>
      <c r="C934" t="s">
        <v>40</v>
      </c>
      <c r="D934">
        <v>5.5879729999999999</v>
      </c>
      <c r="E934">
        <v>0.479763</v>
      </c>
      <c r="F934" t="s">
        <v>41</v>
      </c>
      <c r="G934">
        <v>-242.78020000000001</v>
      </c>
      <c r="H934" s="1">
        <v>-3.8547819999999998E-6</v>
      </c>
      <c r="I934">
        <v>367.01499999999999</v>
      </c>
      <c r="J934">
        <v>-262.46339999999998</v>
      </c>
      <c r="K934">
        <v>1.1215520000000001</v>
      </c>
      <c r="L934">
        <v>367.37459999999999</v>
      </c>
      <c r="M934">
        <v>0.99989170000000005</v>
      </c>
      <c r="N934">
        <v>-1.4639879999999999E-2</v>
      </c>
      <c r="O934">
        <v>-1.562E-3</v>
      </c>
      <c r="P934">
        <v>0.97909449999999998</v>
      </c>
      <c r="Q934">
        <v>0.18698500000000001</v>
      </c>
      <c r="R934">
        <v>-8.0067050000000001E-2</v>
      </c>
      <c r="S934">
        <v>3.0932010000000001</v>
      </c>
      <c r="T934">
        <v>-0.17387259999999999</v>
      </c>
      <c r="U934">
        <v>-5.5786130000000003E-2</v>
      </c>
      <c r="V934">
        <v>7.8403879999999995E-2</v>
      </c>
      <c r="W934">
        <v>0.20135259999999999</v>
      </c>
      <c r="X934">
        <v>0.97637589999999996</v>
      </c>
      <c r="Y934">
        <v>1.6438850000000001E-2</v>
      </c>
      <c r="Z934">
        <v>-5.1721799999999995E-4</v>
      </c>
      <c r="AA934">
        <v>0.9998648</v>
      </c>
      <c r="AB934">
        <v>36</v>
      </c>
      <c r="AC934">
        <v>19.6831999999999</v>
      </c>
      <c r="AD934">
        <v>-1.1215558547819999</v>
      </c>
      <c r="AE934">
        <v>-0.35959999999999998</v>
      </c>
      <c r="AF934">
        <v>0.32778721841615099</v>
      </c>
      <c r="AG934">
        <v>-1.1215558547819999</v>
      </c>
      <c r="AH934">
        <v>19.620057343779699</v>
      </c>
      <c r="AI934">
        <v>93.271225020407798</v>
      </c>
      <c r="AJ934">
        <v>89.042863289373798</v>
      </c>
      <c r="AK934">
        <v>19.6548208378799</v>
      </c>
      <c r="AL934">
        <v>78.383933075822398</v>
      </c>
      <c r="AM934">
        <v>85.408947524973101</v>
      </c>
      <c r="AN934">
        <v>0.99999996801331104</v>
      </c>
    </row>
    <row r="935" spans="1:40" x14ac:dyDescent="0.25">
      <c r="A935" t="str">
        <f>"20190303170515390"</f>
        <v>20190303170515390</v>
      </c>
      <c r="B935" t="str">
        <f>"1551603915385805"</f>
        <v>1551603915385805</v>
      </c>
      <c r="C935" t="s">
        <v>40</v>
      </c>
      <c r="D935">
        <v>5.3427379999999998</v>
      </c>
      <c r="E935">
        <v>0.47941590000000001</v>
      </c>
      <c r="F935" t="s">
        <v>41</v>
      </c>
      <c r="G935">
        <v>-241.83629999999999</v>
      </c>
      <c r="H935" s="1">
        <v>-4.2963599999999998E-6</v>
      </c>
      <c r="I935">
        <v>367.04090000000002</v>
      </c>
      <c r="J935">
        <v>-262.22829999999999</v>
      </c>
      <c r="K935">
        <v>1.1215580000000001</v>
      </c>
      <c r="L935">
        <v>367.37439999999998</v>
      </c>
      <c r="M935">
        <v>0.99989189999999994</v>
      </c>
      <c r="N935">
        <v>-1.4649540000000001E-2</v>
      </c>
      <c r="O935">
        <v>-1.371349E-3</v>
      </c>
      <c r="P935">
        <v>0.97914369999999995</v>
      </c>
      <c r="Q935">
        <v>0.18704419999999999</v>
      </c>
      <c r="R935">
        <v>-7.9327229999999999E-2</v>
      </c>
      <c r="S935">
        <v>3.0920719999999999</v>
      </c>
      <c r="T935">
        <v>-0.16812530000000001</v>
      </c>
      <c r="U935">
        <v>-5.0018310000000003E-2</v>
      </c>
      <c r="V935">
        <v>7.7850870000000003E-2</v>
      </c>
      <c r="W935">
        <v>0.2014213</v>
      </c>
      <c r="X935">
        <v>0.976406</v>
      </c>
      <c r="Y935">
        <v>1.477624E-2</v>
      </c>
      <c r="Z935">
        <v>-4.553127E-4</v>
      </c>
      <c r="AA935">
        <v>0.99989070000000002</v>
      </c>
      <c r="AB935">
        <v>36</v>
      </c>
      <c r="AC935">
        <v>20.391999999999999</v>
      </c>
      <c r="AD935">
        <v>-1.12156229636</v>
      </c>
      <c r="AE935">
        <v>-0.333499999999958</v>
      </c>
      <c r="AF935">
        <v>0.30461093508503401</v>
      </c>
      <c r="AG935">
        <v>-1.12156229636</v>
      </c>
      <c r="AH935">
        <v>20.330953274969598</v>
      </c>
      <c r="AI935">
        <v>93.157182458317493</v>
      </c>
      <c r="AJ935">
        <v>89.141623367269901</v>
      </c>
      <c r="AK935">
        <v>20.3641437550265</v>
      </c>
      <c r="AL935">
        <v>78.379914751513695</v>
      </c>
      <c r="AM935">
        <v>85.441332789381505</v>
      </c>
      <c r="AN935">
        <v>0.99999998744472296</v>
      </c>
    </row>
    <row r="936" spans="1:40" x14ac:dyDescent="0.25">
      <c r="A936" t="str">
        <f>"20190303170515409"</f>
        <v>20190303170515409</v>
      </c>
      <c r="B936" t="str">
        <f>"1551603915395566"</f>
        <v>1551603915395566</v>
      </c>
      <c r="C936" t="s">
        <v>40</v>
      </c>
      <c r="D936">
        <v>5.3890310000000001</v>
      </c>
      <c r="E936">
        <v>0.4792999</v>
      </c>
      <c r="F936" t="s">
        <v>41</v>
      </c>
      <c r="G936">
        <v>-241.0729</v>
      </c>
      <c r="H936" s="1">
        <v>-4.6527609999999997E-6</v>
      </c>
      <c r="I936">
        <v>367.06610000000001</v>
      </c>
      <c r="J936">
        <v>-261.92559999999997</v>
      </c>
      <c r="K936">
        <v>1.1215710000000001</v>
      </c>
      <c r="L936">
        <v>367.37419999999997</v>
      </c>
      <c r="M936">
        <v>0.999892</v>
      </c>
      <c r="N936">
        <v>-1.4660400000000001E-2</v>
      </c>
      <c r="O936">
        <v>-1.125638E-3</v>
      </c>
      <c r="P936">
        <v>0.9790934</v>
      </c>
      <c r="Q936">
        <v>0.1878466</v>
      </c>
      <c r="R936">
        <v>-7.8039620000000004E-2</v>
      </c>
      <c r="S936">
        <v>3.091583</v>
      </c>
      <c r="T936">
        <v>-0.16390160000000001</v>
      </c>
      <c r="U936">
        <v>-4.5043949999999999E-2</v>
      </c>
      <c r="V936">
        <v>7.6803679999999999E-2</v>
      </c>
      <c r="W936">
        <v>0.20223250000000001</v>
      </c>
      <c r="X936">
        <v>0.97632129999999995</v>
      </c>
      <c r="Y936">
        <v>1.3419439999999999E-2</v>
      </c>
      <c r="Z936">
        <v>-4.1077890000000003E-4</v>
      </c>
      <c r="AA936">
        <v>0.99990990000000002</v>
      </c>
      <c r="AB936">
        <v>36</v>
      </c>
      <c r="AC936">
        <v>20.852699999999899</v>
      </c>
      <c r="AD936">
        <v>-1.1215756527609999</v>
      </c>
      <c r="AE936">
        <v>-0.30809999999996701</v>
      </c>
      <c r="AF936">
        <v>0.28380385745453102</v>
      </c>
      <c r="AG936">
        <v>-1.1215756527609999</v>
      </c>
      <c r="AH936">
        <v>20.792895114691198</v>
      </c>
      <c r="AI936">
        <v>93.087274166672003</v>
      </c>
      <c r="AJ936">
        <v>89.218013966508806</v>
      </c>
      <c r="AK936">
        <v>20.8250561541841</v>
      </c>
      <c r="AL936">
        <v>78.332460412030002</v>
      </c>
      <c r="AM936">
        <v>85.502010596416497</v>
      </c>
      <c r="AN936">
        <v>1.0000000350757401</v>
      </c>
    </row>
    <row r="937" spans="1:40" x14ac:dyDescent="0.25">
      <c r="A937" t="str">
        <f>"20190303170515421"</f>
        <v>20190303170515421</v>
      </c>
      <c r="B937" t="str">
        <f>"1551603915415086"</f>
        <v>1551603915415086</v>
      </c>
      <c r="C937" t="s">
        <v>40</v>
      </c>
      <c r="D937">
        <v>5.4580960000000003</v>
      </c>
      <c r="E937">
        <v>0.47916839999999999</v>
      </c>
      <c r="F937" t="s">
        <v>41</v>
      </c>
      <c r="G937">
        <v>-240.19579999999999</v>
      </c>
      <c r="H937" s="1">
        <v>-5.0633119999999998E-6</v>
      </c>
      <c r="I937">
        <v>367.08890000000002</v>
      </c>
      <c r="J937">
        <v>-261.71230000000003</v>
      </c>
      <c r="K937">
        <v>1.1215790000000001</v>
      </c>
      <c r="L937">
        <v>367.3741</v>
      </c>
      <c r="M937">
        <v>0.99989209999999995</v>
      </c>
      <c r="N937">
        <v>-1.466722E-2</v>
      </c>
      <c r="O937">
        <v>-9.5260989999999997E-4</v>
      </c>
      <c r="P937">
        <v>0.97908189999999995</v>
      </c>
      <c r="Q937">
        <v>0.1882151</v>
      </c>
      <c r="R937">
        <v>-7.7292340000000001E-2</v>
      </c>
      <c r="S937">
        <v>3.09137</v>
      </c>
      <c r="T937">
        <v>-0.15955999999999901</v>
      </c>
      <c r="U937">
        <v>-4.058838E-2</v>
      </c>
      <c r="V937">
        <v>7.6225879999999996E-2</v>
      </c>
      <c r="W937">
        <v>0.20260649999999999</v>
      </c>
      <c r="X937">
        <v>0.97628899999999996</v>
      </c>
      <c r="Y937">
        <v>1.215568E-2</v>
      </c>
      <c r="Z937">
        <v>-3.6754520000000001E-4</v>
      </c>
      <c r="AA937">
        <v>0.99992599999999998</v>
      </c>
      <c r="AB937">
        <v>36</v>
      </c>
      <c r="AC937">
        <v>21.516500000000001</v>
      </c>
      <c r="AD937">
        <v>-1.121584063312</v>
      </c>
      <c r="AE937">
        <v>-0.28519999999997397</v>
      </c>
      <c r="AF937">
        <v>0.263983668673414</v>
      </c>
      <c r="AG937">
        <v>-1.121584063312</v>
      </c>
      <c r="AH937">
        <v>21.4584654102046</v>
      </c>
      <c r="AI937">
        <v>92.991768488701894</v>
      </c>
      <c r="AJ937">
        <v>89.295178530396896</v>
      </c>
      <c r="AK937">
        <v>21.4893782122552</v>
      </c>
      <c r="AL937">
        <v>78.310578343971201</v>
      </c>
      <c r="AM937">
        <v>85.535564910527597</v>
      </c>
      <c r="AN937">
        <v>0.99999999507251203</v>
      </c>
    </row>
    <row r="938" spans="1:40" x14ac:dyDescent="0.25">
      <c r="A938" t="str">
        <f>"20190303170515443"</f>
        <v>20190303170515443</v>
      </c>
      <c r="B938" t="str">
        <f>"1551603915435582"</f>
        <v>1551603915435582</v>
      </c>
      <c r="C938" t="s">
        <v>40</v>
      </c>
      <c r="D938">
        <v>5.4122019999999997</v>
      </c>
      <c r="E938">
        <v>0.4791031</v>
      </c>
      <c r="F938" t="s">
        <v>41</v>
      </c>
      <c r="G938">
        <v>-239.16069999999999</v>
      </c>
      <c r="H938" s="1">
        <v>-9.421426E-7</v>
      </c>
      <c r="I938">
        <v>367.09660000000002</v>
      </c>
      <c r="J938">
        <v>-261.3802</v>
      </c>
      <c r="K938">
        <v>1.121591</v>
      </c>
      <c r="L938">
        <v>367.3741</v>
      </c>
      <c r="M938">
        <v>0.99989209999999995</v>
      </c>
      <c r="N938">
        <v>-1.467628E-2</v>
      </c>
      <c r="O938">
        <v>-6.8292709999999998E-4</v>
      </c>
      <c r="P938">
        <v>0.97906780000000004</v>
      </c>
      <c r="Q938">
        <v>0.18902150000000001</v>
      </c>
      <c r="R938">
        <v>-7.5481899999999894E-2</v>
      </c>
      <c r="S938">
        <v>3.090668</v>
      </c>
      <c r="T938">
        <v>-0.1537104</v>
      </c>
      <c r="U938">
        <v>-3.80249E-2</v>
      </c>
      <c r="V938">
        <v>7.4679229999999999E-2</v>
      </c>
      <c r="W938">
        <v>0.2034203</v>
      </c>
      <c r="X938">
        <v>0.97623930000000003</v>
      </c>
      <c r="Y938">
        <v>1.16011E-2</v>
      </c>
      <c r="Z938">
        <v>-3.4957659999999998E-4</v>
      </c>
      <c r="AA938">
        <v>0.99993259999999995</v>
      </c>
      <c r="AB938">
        <v>36</v>
      </c>
      <c r="AC938">
        <v>22.2195</v>
      </c>
      <c r="AD938">
        <v>-1.1215919421425999</v>
      </c>
      <c r="AE938">
        <v>-0.27749999999997499</v>
      </c>
      <c r="AF938">
        <v>0.26165740082598299</v>
      </c>
      <c r="AG938">
        <v>-1.1215919421425999</v>
      </c>
      <c r="AH938">
        <v>22.163221039170502</v>
      </c>
      <c r="AI938">
        <v>92.896837245144496</v>
      </c>
      <c r="AJ938">
        <v>89.323601553416907</v>
      </c>
      <c r="AK938">
        <v>22.193125059603801</v>
      </c>
      <c r="AL938">
        <v>78.262959338442897</v>
      </c>
      <c r="AM938">
        <v>85.625572861344494</v>
      </c>
      <c r="AN938">
        <v>0.99999998835498605</v>
      </c>
    </row>
    <row r="939" spans="1:40" x14ac:dyDescent="0.25">
      <c r="A939" t="str">
        <f>"20190303170515456"</f>
        <v>20190303170515456</v>
      </c>
      <c r="B939" t="str">
        <f>"1551603915445342"</f>
        <v>1551603915445342</v>
      </c>
      <c r="C939" t="s">
        <v>40</v>
      </c>
      <c r="D939">
        <v>5.4277689999999996</v>
      </c>
      <c r="E939">
        <v>0.47912300000000002</v>
      </c>
      <c r="F939" t="s">
        <v>41</v>
      </c>
      <c r="G939">
        <v>-237.8108</v>
      </c>
      <c r="H939" s="1">
        <v>-1.3935990000000001E-6</v>
      </c>
      <c r="I939">
        <v>367.12630000000001</v>
      </c>
      <c r="J939">
        <v>-261.17649999999998</v>
      </c>
      <c r="K939">
        <v>1.12159599999999</v>
      </c>
      <c r="L939">
        <v>367.3741</v>
      </c>
      <c r="M939">
        <v>0.99989209999999995</v>
      </c>
      <c r="N939">
        <v>-1.468099E-2</v>
      </c>
      <c r="O939">
        <v>-5.1798830000000004E-4</v>
      </c>
      <c r="P939">
        <v>0.97910580000000003</v>
      </c>
      <c r="Q939">
        <v>0.18912309999999999</v>
      </c>
      <c r="R939">
        <v>-7.4728299999999998E-2</v>
      </c>
      <c r="S939">
        <v>3.0900270000000001</v>
      </c>
      <c r="T939">
        <v>-0.14704410000000001</v>
      </c>
      <c r="U939">
        <v>-3.2470699999999998E-2</v>
      </c>
      <c r="V939">
        <v>7.4087239999999999E-2</v>
      </c>
      <c r="W939">
        <v>0.20352680000000001</v>
      </c>
      <c r="X939">
        <v>0.97626219999999997</v>
      </c>
      <c r="Y939">
        <v>9.9751379999999997E-3</v>
      </c>
      <c r="Z939">
        <v>-2.9345080000000001E-4</v>
      </c>
      <c r="AA939">
        <v>0.99995020000000001</v>
      </c>
      <c r="AB939">
        <v>36</v>
      </c>
      <c r="AC939">
        <v>23.365699999999901</v>
      </c>
      <c r="AD939">
        <v>-1.12159739359899</v>
      </c>
      <c r="AE939">
        <v>-0.24779999999998301</v>
      </c>
      <c r="AF939">
        <v>0.235153727514578</v>
      </c>
      <c r="AG939">
        <v>-1.12159739359899</v>
      </c>
      <c r="AH939">
        <v>23.312115966994501</v>
      </c>
      <c r="AI939">
        <v>92.7543625533458</v>
      </c>
      <c r="AJ939">
        <v>89.422066225386004</v>
      </c>
      <c r="AK939">
        <v>23.340266254854299</v>
      </c>
      <c r="AL939">
        <v>78.256726863285394</v>
      </c>
      <c r="AM939">
        <v>85.660217801720407</v>
      </c>
      <c r="AN939">
        <v>0.99999998029894799</v>
      </c>
    </row>
    <row r="940" spans="1:40" x14ac:dyDescent="0.25">
      <c r="A940" t="str">
        <f>"20190303170515469"</f>
        <v>20190303170515469</v>
      </c>
      <c r="B940" t="str">
        <f>"1551603915455102"</f>
        <v>1551603915455102</v>
      </c>
      <c r="C940" t="s">
        <v>40</v>
      </c>
      <c r="D940">
        <v>5.5070160000000001</v>
      </c>
      <c r="E940">
        <v>0.47922599999999999</v>
      </c>
      <c r="F940" t="s">
        <v>41</v>
      </c>
      <c r="G940">
        <v>-237.7861</v>
      </c>
      <c r="H940" s="1">
        <v>-1.398177E-6</v>
      </c>
      <c r="I940">
        <v>367.14069999999998</v>
      </c>
      <c r="J940">
        <v>-260.9606</v>
      </c>
      <c r="K940">
        <v>1.1216010000000001</v>
      </c>
      <c r="L940">
        <v>367.3741</v>
      </c>
      <c r="M940">
        <v>0.99989220000000001</v>
      </c>
      <c r="N940">
        <v>-1.468562E-2</v>
      </c>
      <c r="O940">
        <v>-3.4315730000000002E-4</v>
      </c>
      <c r="P940">
        <v>0.97918709999999998</v>
      </c>
      <c r="Q940">
        <v>0.1889884</v>
      </c>
      <c r="R940">
        <v>-7.4002090000000006E-2</v>
      </c>
      <c r="S940">
        <v>3.0903019999999999</v>
      </c>
      <c r="T940">
        <v>-0.1481827</v>
      </c>
      <c r="U940">
        <v>-3.0822749999999999E-2</v>
      </c>
      <c r="V940">
        <v>7.3532410000000006E-2</v>
      </c>
      <c r="W940">
        <v>0.20339650000000001</v>
      </c>
      <c r="X940">
        <v>0.97633130000000001</v>
      </c>
      <c r="Y940">
        <v>9.6161089999999994E-3</v>
      </c>
      <c r="Z940">
        <v>-2.89673E-4</v>
      </c>
      <c r="AA940">
        <v>0.99995369999999995</v>
      </c>
      <c r="AB940">
        <v>36</v>
      </c>
      <c r="AC940">
        <v>23.174499999999899</v>
      </c>
      <c r="AD940">
        <v>-1.121602398177</v>
      </c>
      <c r="AE940">
        <v>-0.23340000000001701</v>
      </c>
      <c r="AF940">
        <v>0.22491983649971001</v>
      </c>
      <c r="AG940">
        <v>-1.121602398177</v>
      </c>
      <c r="AH940">
        <v>23.120427432447901</v>
      </c>
      <c r="AI940">
        <v>92.777185254312997</v>
      </c>
      <c r="AJ940">
        <v>89.442633537350304</v>
      </c>
      <c r="AK940">
        <v>23.148709370751899</v>
      </c>
      <c r="AL940">
        <v>78.264351988969906</v>
      </c>
      <c r="AM940">
        <v>85.692898817374299</v>
      </c>
      <c r="AN940">
        <v>0.99999997944617303</v>
      </c>
    </row>
    <row r="941" spans="1:40" x14ac:dyDescent="0.25">
      <c r="A941" t="str">
        <f>"20190303170515481"</f>
        <v>20190303170515481</v>
      </c>
      <c r="B941" t="str">
        <f>"1551603915475598"</f>
        <v>1551603915475598</v>
      </c>
      <c r="C941" t="s">
        <v>40</v>
      </c>
      <c r="D941">
        <v>5.4591750000000001</v>
      </c>
      <c r="E941">
        <v>0.47924850000000002</v>
      </c>
      <c r="F941" t="s">
        <v>41</v>
      </c>
      <c r="G941">
        <v>-237.38300000000001</v>
      </c>
      <c r="H941" s="1">
        <v>-1.5420119999999999E-6</v>
      </c>
      <c r="I941">
        <v>367.15289999999999</v>
      </c>
      <c r="J941">
        <v>-260.74419999999998</v>
      </c>
      <c r="K941">
        <v>1.121605</v>
      </c>
      <c r="L941">
        <v>367.37430000000001</v>
      </c>
      <c r="M941">
        <v>0.99989209999999995</v>
      </c>
      <c r="N941">
        <v>-1.4689799999999999E-2</v>
      </c>
      <c r="O941">
        <v>-1.6784889999999999E-4</v>
      </c>
      <c r="P941">
        <v>0.97923139999999997</v>
      </c>
      <c r="Q941">
        <v>0.18900520000000001</v>
      </c>
      <c r="R941">
        <v>-7.3368470000000005E-2</v>
      </c>
      <c r="S941">
        <v>3.0899049999999999</v>
      </c>
      <c r="T941">
        <v>-0.14698829999999999</v>
      </c>
      <c r="U941">
        <v>-2.8991699999999999E-2</v>
      </c>
      <c r="V941">
        <v>7.3070940000000001E-2</v>
      </c>
      <c r="W941">
        <v>0.2034175</v>
      </c>
      <c r="X941">
        <v>0.97636160000000005</v>
      </c>
      <c r="Y941">
        <v>9.2009129999999998E-3</v>
      </c>
      <c r="Z941">
        <v>-2.808372E-4</v>
      </c>
      <c r="AA941">
        <v>0.9999576</v>
      </c>
      <c r="AB941">
        <v>36</v>
      </c>
      <c r="AC941">
        <v>23.3612</v>
      </c>
      <c r="AD941">
        <v>-1.1216065420119901</v>
      </c>
      <c r="AE941">
        <v>-0.221400000000016</v>
      </c>
      <c r="AF941">
        <v>0.21697830914046201</v>
      </c>
      <c r="AG941">
        <v>-1.1216065420119901</v>
      </c>
      <c r="AH941">
        <v>23.3075153841394</v>
      </c>
      <c r="AI941">
        <v>92.754948573070905</v>
      </c>
      <c r="AJ941">
        <v>89.466627736252306</v>
      </c>
      <c r="AK941">
        <v>23.335495585129902</v>
      </c>
      <c r="AL941">
        <v>78.263123423594905</v>
      </c>
      <c r="AM941">
        <v>85.7199606177155</v>
      </c>
      <c r="AN941">
        <v>1.00000000776664</v>
      </c>
    </row>
    <row r="942" spans="1:40" x14ac:dyDescent="0.25">
      <c r="A942" t="str">
        <f>"20190303170515494"</f>
        <v>20190303170515494</v>
      </c>
      <c r="B942" t="str">
        <f>"1551603915485358"</f>
        <v>1551603915485358</v>
      </c>
      <c r="C942" t="s">
        <v>40</v>
      </c>
      <c r="D942">
        <v>5.5347759999999999</v>
      </c>
      <c r="E942">
        <v>0.47920190000000001</v>
      </c>
      <c r="F942" t="s">
        <v>41</v>
      </c>
      <c r="G942">
        <v>-236.5746</v>
      </c>
      <c r="H942" s="1">
        <v>-1.888079E-6</v>
      </c>
      <c r="I942">
        <v>367.15690000000001</v>
      </c>
      <c r="J942">
        <v>-260.55689999999998</v>
      </c>
      <c r="K942">
        <v>1.121605</v>
      </c>
      <c r="L942">
        <v>367.37439999999998</v>
      </c>
      <c r="M942">
        <v>0.99989209999999995</v>
      </c>
      <c r="N942">
        <v>-1.4692709999999999E-2</v>
      </c>
      <c r="O942" s="1">
        <v>-1.6196009999999999E-5</v>
      </c>
      <c r="P942">
        <v>0.97929750000000004</v>
      </c>
      <c r="Q942">
        <v>0.18902340000000001</v>
      </c>
      <c r="R942">
        <v>-7.2435849999999996E-2</v>
      </c>
      <c r="S942">
        <v>3.0892029999999999</v>
      </c>
      <c r="T942">
        <v>-0.14335619999999999</v>
      </c>
      <c r="U942">
        <v>-2.7771000000000001E-2</v>
      </c>
      <c r="V942">
        <v>7.2287039999999997E-2</v>
      </c>
      <c r="W942">
        <v>0.20343900000000001</v>
      </c>
      <c r="X942">
        <v>0.97641549999999999</v>
      </c>
      <c r="Y942">
        <v>8.9604449999999992E-3</v>
      </c>
      <c r="Z942">
        <v>-2.7315610000000002E-4</v>
      </c>
      <c r="AA942">
        <v>0.99995979999999995</v>
      </c>
      <c r="AB942">
        <v>36</v>
      </c>
      <c r="AC942">
        <v>23.982299999999899</v>
      </c>
      <c r="AD942">
        <v>-1.121606888079</v>
      </c>
      <c r="AE942">
        <v>-0.21749999999997199</v>
      </c>
      <c r="AF942">
        <v>0.216637737204632</v>
      </c>
      <c r="AG942">
        <v>-1.121606888079</v>
      </c>
      <c r="AH942">
        <v>23.929966854209599</v>
      </c>
      <c r="AI942">
        <v>92.68340182803</v>
      </c>
      <c r="AJ942">
        <v>89.481316082724106</v>
      </c>
      <c r="AK942">
        <v>23.957217024607299</v>
      </c>
      <c r="AL942">
        <v>78.261865589102797</v>
      </c>
      <c r="AM942">
        <v>85.765941576320898</v>
      </c>
      <c r="AN942">
        <v>1.0000000357565999</v>
      </c>
    </row>
    <row r="943" spans="1:40" x14ac:dyDescent="0.25">
      <c r="A943" t="str">
        <f>"20190303170515509"</f>
        <v>20190303170515509</v>
      </c>
      <c r="B943" t="str">
        <f>"1551603915495117"</f>
        <v>1551603915495117</v>
      </c>
      <c r="C943" t="s">
        <v>40</v>
      </c>
      <c r="D943">
        <v>5.4655129999999996</v>
      </c>
      <c r="E943">
        <v>0.47916140000000002</v>
      </c>
      <c r="F943" t="s">
        <v>41</v>
      </c>
      <c r="G943">
        <v>-236.3047</v>
      </c>
      <c r="H943" s="1">
        <v>-1.9996650000000002E-6</v>
      </c>
      <c r="I943">
        <v>367.18049999999999</v>
      </c>
      <c r="J943">
        <v>-260.31799999999998</v>
      </c>
      <c r="K943">
        <v>1.121605</v>
      </c>
      <c r="L943">
        <v>367.37450000000001</v>
      </c>
      <c r="M943">
        <v>0.99989209999999995</v>
      </c>
      <c r="N943">
        <v>-1.4696030000000001E-2</v>
      </c>
      <c r="O943">
        <v>1.774709E-4</v>
      </c>
      <c r="P943">
        <v>0.97933009999999998</v>
      </c>
      <c r="Q943">
        <v>0.18935579999999999</v>
      </c>
      <c r="R943">
        <v>-7.1114899999999995E-2</v>
      </c>
      <c r="S943">
        <v>3.0891419999999998</v>
      </c>
      <c r="T943">
        <v>-0.14286509999999999</v>
      </c>
      <c r="U943">
        <v>-2.4688720000000001E-2</v>
      </c>
      <c r="V943">
        <v>7.1155860000000001E-2</v>
      </c>
      <c r="W943">
        <v>0.2037737</v>
      </c>
      <c r="X943">
        <v>0.97642870000000004</v>
      </c>
      <c r="Y943">
        <v>8.1577449999999992E-3</v>
      </c>
      <c r="Z943">
        <v>-2.5411930000000002E-4</v>
      </c>
      <c r="AA943">
        <v>0.99996669999999999</v>
      </c>
      <c r="AB943">
        <v>36</v>
      </c>
      <c r="AC943">
        <v>24.013299999999902</v>
      </c>
      <c r="AD943">
        <v>-1.121606999665</v>
      </c>
      <c r="AE943">
        <v>-0.19400000000001599</v>
      </c>
      <c r="AF943">
        <v>0.197830557159066</v>
      </c>
      <c r="AG943">
        <v>-1.121606999665</v>
      </c>
      <c r="AH943">
        <v>23.960994980200802</v>
      </c>
      <c r="AI943">
        <v>92.679950759426603</v>
      </c>
      <c r="AJ943">
        <v>89.526956270064801</v>
      </c>
      <c r="AK943">
        <v>23.988047432674701</v>
      </c>
      <c r="AL943">
        <v>78.242277274517093</v>
      </c>
      <c r="AM943">
        <v>85.832018818008606</v>
      </c>
      <c r="AN943">
        <v>0.99999994170385798</v>
      </c>
    </row>
    <row r="944" spans="1:40" x14ac:dyDescent="0.25">
      <c r="A944" t="str">
        <f>"20190303170515521"</f>
        <v>20190303170515521</v>
      </c>
      <c r="B944" t="str">
        <f>"1551603915515614"</f>
        <v>1551603915515614</v>
      </c>
      <c r="C944" t="s">
        <v>40</v>
      </c>
      <c r="D944">
        <v>5.5767790000000002</v>
      </c>
      <c r="E944">
        <v>0.47926279999999999</v>
      </c>
      <c r="F944" t="s">
        <v>41</v>
      </c>
      <c r="G944">
        <v>-235.83750000000001</v>
      </c>
      <c r="H944" s="1">
        <v>-2.1949840000000001E-6</v>
      </c>
      <c r="I944">
        <v>367.20929999999998</v>
      </c>
      <c r="J944">
        <v>-260.10860000000002</v>
      </c>
      <c r="K944">
        <v>1.1216079999999999</v>
      </c>
      <c r="L944">
        <v>367.37470000000002</v>
      </c>
      <c r="M944">
        <v>0.999892</v>
      </c>
      <c r="N944">
        <v>-1.469845E-2</v>
      </c>
      <c r="O944">
        <v>3.4683039999999999E-4</v>
      </c>
      <c r="P944">
        <v>0.97929270000000002</v>
      </c>
      <c r="Q944">
        <v>0.18973010000000001</v>
      </c>
      <c r="R944">
        <v>-7.0630830000000006E-2</v>
      </c>
      <c r="S944">
        <v>3.089172</v>
      </c>
      <c r="T944">
        <v>-0.141534299999999</v>
      </c>
      <c r="U944">
        <v>-2.0843509999999999E-2</v>
      </c>
      <c r="V944">
        <v>7.0837810000000001E-2</v>
      </c>
      <c r="W944">
        <v>0.2041491</v>
      </c>
      <c r="X944">
        <v>0.97637350000000001</v>
      </c>
      <c r="Y944">
        <v>7.0839989999999997E-3</v>
      </c>
      <c r="Z944">
        <v>-2.2508129999999999E-4</v>
      </c>
      <c r="AA944">
        <v>0.9999749</v>
      </c>
      <c r="AB944">
        <v>36</v>
      </c>
      <c r="AC944">
        <v>24.271100000000001</v>
      </c>
      <c r="AD944">
        <v>-1.1216101949839901</v>
      </c>
      <c r="AE944">
        <v>-0.16540000000003299</v>
      </c>
      <c r="AF944">
        <v>0.17344846749378001</v>
      </c>
      <c r="AG944">
        <v>-1.1216101949839901</v>
      </c>
      <c r="AH944">
        <v>24.219322563157501</v>
      </c>
      <c r="AI944">
        <v>92.651436827211796</v>
      </c>
      <c r="AJ944">
        <v>89.589679057640296</v>
      </c>
      <c r="AK944">
        <v>24.245900255891399</v>
      </c>
      <c r="AL944">
        <v>78.220307656270805</v>
      </c>
      <c r="AM944">
        <v>85.8503497281405</v>
      </c>
      <c r="AN944">
        <v>1.00000003092932</v>
      </c>
    </row>
    <row r="945" spans="1:40" x14ac:dyDescent="0.25">
      <c r="A945" t="str">
        <f>"20190303170515535"</f>
        <v>20190303170515535</v>
      </c>
      <c r="B945" t="str">
        <f>"1551603915525373"</f>
        <v>1551603915525373</v>
      </c>
      <c r="C945" t="s">
        <v>40</v>
      </c>
      <c r="D945">
        <v>5.4822870000000004</v>
      </c>
      <c r="E945">
        <v>0.47928539999999997</v>
      </c>
      <c r="F945" t="s">
        <v>41</v>
      </c>
      <c r="G945">
        <v>-235.2475</v>
      </c>
      <c r="H945" s="1">
        <v>-2.4481229999999999E-6</v>
      </c>
      <c r="I945">
        <v>367.20909999999998</v>
      </c>
      <c r="J945">
        <v>-259.91039999999998</v>
      </c>
      <c r="K945">
        <v>1.1216109999999999</v>
      </c>
      <c r="L945">
        <v>367.375</v>
      </c>
      <c r="M945">
        <v>0.9998918</v>
      </c>
      <c r="N945">
        <v>-1.470023E-2</v>
      </c>
      <c r="O945">
        <v>5.0690070000000004E-4</v>
      </c>
      <c r="P945">
        <v>0.9793096</v>
      </c>
      <c r="Q945">
        <v>0.1898156</v>
      </c>
      <c r="R945">
        <v>-7.016377E-2</v>
      </c>
      <c r="S945">
        <v>3.088959</v>
      </c>
      <c r="T945">
        <v>-0.13935829999999999</v>
      </c>
      <c r="U945">
        <v>-2.056885E-2</v>
      </c>
      <c r="V945">
        <v>7.0527640000000003E-2</v>
      </c>
      <c r="W945">
        <v>0.2042368</v>
      </c>
      <c r="X945">
        <v>0.97637750000000001</v>
      </c>
      <c r="Y945">
        <v>7.155738E-3</v>
      </c>
      <c r="Z945">
        <v>-2.2937359999999999E-4</v>
      </c>
      <c r="AA945">
        <v>0.99997440000000004</v>
      </c>
      <c r="AB945">
        <v>36</v>
      </c>
      <c r="AC945">
        <v>24.662899999999901</v>
      </c>
      <c r="AD945">
        <v>-1.121613448123</v>
      </c>
      <c r="AE945">
        <v>-0.165900000000021</v>
      </c>
      <c r="AF945">
        <v>0.17803477157268799</v>
      </c>
      <c r="AG945">
        <v>-1.121613448123</v>
      </c>
      <c r="AH945">
        <v>24.611912017488201</v>
      </c>
      <c r="AI945">
        <v>92.609208362545203</v>
      </c>
      <c r="AJ945">
        <v>89.585547717874704</v>
      </c>
      <c r="AK945">
        <v>24.638099079747999</v>
      </c>
      <c r="AL945">
        <v>78.215173347744397</v>
      </c>
      <c r="AM945">
        <v>85.868473172032097</v>
      </c>
      <c r="AN945">
        <v>0.99999992049222597</v>
      </c>
    </row>
    <row r="946" spans="1:40" x14ac:dyDescent="0.25">
      <c r="A946" t="str">
        <f>"20190303170515554"</f>
        <v>20190303170515554</v>
      </c>
      <c r="B946" t="str">
        <f>"1551603915545870"</f>
        <v>1551603915545870</v>
      </c>
      <c r="C946" t="s">
        <v>40</v>
      </c>
      <c r="D946">
        <v>5.5090409999999999</v>
      </c>
      <c r="E946">
        <v>0.47936859999999998</v>
      </c>
      <c r="F946" t="s">
        <v>41</v>
      </c>
      <c r="G946">
        <v>-234.93700000000001</v>
      </c>
      <c r="H946" s="1">
        <v>-2.5796729999999999E-6</v>
      </c>
      <c r="I946">
        <v>367.21850000000001</v>
      </c>
      <c r="J946">
        <v>-259.5942</v>
      </c>
      <c r="K946">
        <v>1.1216140000000001</v>
      </c>
      <c r="L946">
        <v>367.37540000000001</v>
      </c>
      <c r="M946">
        <v>0.99989159999999999</v>
      </c>
      <c r="N946">
        <v>-1.470256E-2</v>
      </c>
      <c r="O946">
        <v>7.6267990000000003E-4</v>
      </c>
      <c r="P946">
        <v>0.97940130000000003</v>
      </c>
      <c r="Q946">
        <v>0.1896631</v>
      </c>
      <c r="R946">
        <v>-6.9289890000000007E-2</v>
      </c>
      <c r="S946">
        <v>3.0888979999999999</v>
      </c>
      <c r="T946">
        <v>-0.1387292</v>
      </c>
      <c r="U946">
        <v>-1.934814E-2</v>
      </c>
      <c r="V946">
        <v>6.9904800000000003E-2</v>
      </c>
      <c r="W946">
        <v>0.20408699999999999</v>
      </c>
      <c r="X946">
        <v>0.97645369999999998</v>
      </c>
      <c r="Y946">
        <v>7.0166539999999998E-3</v>
      </c>
      <c r="Z946">
        <v>-2.32131E-4</v>
      </c>
      <c r="AA946">
        <v>0.99997539999999996</v>
      </c>
      <c r="AB946">
        <v>36</v>
      </c>
      <c r="AC946">
        <v>24.6571999999999</v>
      </c>
      <c r="AD946">
        <v>-1.121616579673</v>
      </c>
      <c r="AE946">
        <v>-0.15690000000000701</v>
      </c>
      <c r="AF946">
        <v>0.17534473078884999</v>
      </c>
      <c r="AG946">
        <v>-1.121616579673</v>
      </c>
      <c r="AH946">
        <v>24.6061602785833</v>
      </c>
      <c r="AI946">
        <v>92.609826717519795</v>
      </c>
      <c r="AJ946">
        <v>89.591714315864607</v>
      </c>
      <c r="AK946">
        <v>24.632334302330001</v>
      </c>
      <c r="AL946">
        <v>78.223941953143694</v>
      </c>
      <c r="AM946">
        <v>85.905153100781504</v>
      </c>
      <c r="AN946">
        <v>1.00000000643786</v>
      </c>
    </row>
    <row r="947" spans="1:40" x14ac:dyDescent="0.25">
      <c r="A947" t="str">
        <f>"20190303170515567"</f>
        <v>20190303170515567</v>
      </c>
      <c r="B947" t="str">
        <f>"1551603915555630"</f>
        <v>1551603915555630</v>
      </c>
      <c r="C947" t="s">
        <v>40</v>
      </c>
      <c r="D947">
        <v>5.5137640000000001</v>
      </c>
      <c r="E947">
        <v>0.47936689999999998</v>
      </c>
      <c r="F947" t="s">
        <v>41</v>
      </c>
      <c r="G947">
        <v>-234.72649999999999</v>
      </c>
      <c r="H947" s="1">
        <v>-2.6678269999999998E-6</v>
      </c>
      <c r="I947">
        <v>367.23070000000001</v>
      </c>
      <c r="J947">
        <v>-259.39060000000001</v>
      </c>
      <c r="K947">
        <v>1.1216140000000001</v>
      </c>
      <c r="L947">
        <v>367.37569999999999</v>
      </c>
      <c r="M947">
        <v>0.99989159999999999</v>
      </c>
      <c r="N947">
        <v>-1.470369E-2</v>
      </c>
      <c r="O947">
        <v>9.2728120000000003E-4</v>
      </c>
      <c r="P947">
        <v>0.97951390000000005</v>
      </c>
      <c r="Q947">
        <v>0.1892393</v>
      </c>
      <c r="R947">
        <v>-6.8858840000000004E-2</v>
      </c>
      <c r="S947">
        <v>3.0888059999999999</v>
      </c>
      <c r="T947">
        <v>-0.13931489999999999</v>
      </c>
      <c r="U947">
        <v>-1.7974850000000001E-2</v>
      </c>
      <c r="V947">
        <v>6.9635580000000002E-2</v>
      </c>
      <c r="W947">
        <v>0.2036654</v>
      </c>
      <c r="X947">
        <v>0.97656100000000001</v>
      </c>
      <c r="Y947">
        <v>6.7371059999999997E-3</v>
      </c>
      <c r="Z947">
        <v>-2.2959179999999999E-4</v>
      </c>
      <c r="AA947">
        <v>0.99997729999999996</v>
      </c>
      <c r="AB947">
        <v>36</v>
      </c>
      <c r="AC947">
        <v>24.664100000000001</v>
      </c>
      <c r="AD947">
        <v>-1.1216166678270001</v>
      </c>
      <c r="AE947">
        <v>-0.14499999999998101</v>
      </c>
      <c r="AF947">
        <v>0.16752652436913501</v>
      </c>
      <c r="AG947">
        <v>-1.1216166678270001</v>
      </c>
      <c r="AH947">
        <v>24.6130559655216</v>
      </c>
      <c r="AI947">
        <v>92.609102555249294</v>
      </c>
      <c r="AJ947">
        <v>89.610027515658402</v>
      </c>
      <c r="AK947">
        <v>24.639168270211801</v>
      </c>
      <c r="AL947">
        <v>78.248616587403703</v>
      </c>
      <c r="AM947">
        <v>85.921316675442498</v>
      </c>
      <c r="AN947">
        <v>1.0000000479400399</v>
      </c>
    </row>
    <row r="948" spans="1:40" x14ac:dyDescent="0.25">
      <c r="A948" t="str">
        <f>"20190303170515599"</f>
        <v>20190303170515599</v>
      </c>
      <c r="B948" t="str">
        <f>"1551603915585886"</f>
        <v>1551603915585886</v>
      </c>
      <c r="C948" t="s">
        <v>40</v>
      </c>
      <c r="D948">
        <v>5.4607970000000003</v>
      </c>
      <c r="E948">
        <v>0.47944360000000003</v>
      </c>
      <c r="F948" t="s">
        <v>41</v>
      </c>
      <c r="G948">
        <v>-234.755</v>
      </c>
      <c r="H948" s="1">
        <v>-2.653611E-6</v>
      </c>
      <c r="I948">
        <v>367.24180000000001</v>
      </c>
      <c r="J948">
        <v>-258.88330000000002</v>
      </c>
      <c r="K948">
        <v>1.1216159999999999</v>
      </c>
      <c r="L948">
        <v>367.3766</v>
      </c>
      <c r="M948">
        <v>0.99989099999999997</v>
      </c>
      <c r="N948">
        <v>-1.470524E-2</v>
      </c>
      <c r="O948">
        <v>1.336837E-3</v>
      </c>
      <c r="P948">
        <v>0.9798597</v>
      </c>
      <c r="Q948">
        <v>0.1880868</v>
      </c>
      <c r="R948">
        <v>-6.7070080000000004E-2</v>
      </c>
      <c r="S948">
        <v>3.0887760000000002</v>
      </c>
      <c r="T948">
        <v>-0.14062620000000001</v>
      </c>
      <c r="U948">
        <v>-1.6784670000000002E-2</v>
      </c>
      <c r="V948">
        <v>6.8249870000000004E-2</v>
      </c>
      <c r="W948">
        <v>0.20251820000000001</v>
      </c>
      <c r="X948">
        <v>0.97689729999999997</v>
      </c>
      <c r="Y948">
        <v>6.7610589999999998E-3</v>
      </c>
      <c r="Z948">
        <v>-2.4475620000000001E-4</v>
      </c>
      <c r="AA948">
        <v>0.99997709999999995</v>
      </c>
      <c r="AB948">
        <v>36</v>
      </c>
      <c r="AC948">
        <v>24.128299999999999</v>
      </c>
      <c r="AD948">
        <v>-1.121618653611</v>
      </c>
      <c r="AE948">
        <v>-0.13479999999998399</v>
      </c>
      <c r="AF948">
        <v>0.16669876107861101</v>
      </c>
      <c r="AG948">
        <v>-1.121618653611</v>
      </c>
      <c r="AH948">
        <v>24.076073567379002</v>
      </c>
      <c r="AI948">
        <v>92.667214306283896</v>
      </c>
      <c r="AJ948">
        <v>89.603299814980204</v>
      </c>
      <c r="AK948">
        <v>24.1027619849452</v>
      </c>
      <c r="AL948">
        <v>78.315744725701805</v>
      </c>
      <c r="AM948">
        <v>86.003586205443995</v>
      </c>
      <c r="AN948">
        <v>1.00000000041677</v>
      </c>
    </row>
    <row r="949" spans="1:40" x14ac:dyDescent="0.25">
      <c r="A949" t="str">
        <f>"20190303170515613"</f>
        <v>20190303170515613</v>
      </c>
      <c r="B949" t="str">
        <f>"1551603915605405"</f>
        <v>1551603915605405</v>
      </c>
      <c r="C949" t="s">
        <v>40</v>
      </c>
      <c r="D949">
        <v>5.5305470000000003</v>
      </c>
      <c r="E949">
        <v>0.47948360000000001</v>
      </c>
      <c r="F949" t="s">
        <v>41</v>
      </c>
      <c r="G949">
        <v>-234.9109</v>
      </c>
      <c r="H949" s="1">
        <v>-2.5794440000000002E-6</v>
      </c>
      <c r="I949">
        <v>367.28300000000002</v>
      </c>
      <c r="J949">
        <v>-258.6551</v>
      </c>
      <c r="K949">
        <v>1.1216159999999999</v>
      </c>
      <c r="L949">
        <v>367.37709999999998</v>
      </c>
      <c r="M949">
        <v>0.99989070000000002</v>
      </c>
      <c r="N949">
        <v>-1.470552E-2</v>
      </c>
      <c r="O949">
        <v>1.5211160000000001E-3</v>
      </c>
      <c r="P949">
        <v>0.97991689999999998</v>
      </c>
      <c r="Q949">
        <v>0.1880317</v>
      </c>
      <c r="R949">
        <v>-6.6384579999999999E-2</v>
      </c>
      <c r="S949">
        <v>3.0885470000000002</v>
      </c>
      <c r="T949">
        <v>-0.1445062</v>
      </c>
      <c r="U949">
        <v>-1.205444E-2</v>
      </c>
      <c r="V949">
        <v>6.7745100000000003E-2</v>
      </c>
      <c r="W949">
        <v>0.20246359999999999</v>
      </c>
      <c r="X949">
        <v>0.97694369999999997</v>
      </c>
      <c r="Y949">
        <v>5.4156150000000004E-3</v>
      </c>
      <c r="Z949">
        <v>-2.152422E-4</v>
      </c>
      <c r="AA949">
        <v>0.99998529999999997</v>
      </c>
      <c r="AB949">
        <v>36</v>
      </c>
      <c r="AC949">
        <v>23.744199999999999</v>
      </c>
      <c r="AD949">
        <v>-1.1216185794439999</v>
      </c>
      <c r="AE949">
        <v>-9.4099999999969E-2</v>
      </c>
      <c r="AF949">
        <v>0.129931556630904</v>
      </c>
      <c r="AG949">
        <v>-1.1216185794439999</v>
      </c>
      <c r="AH949">
        <v>23.6911659928207</v>
      </c>
      <c r="AI949">
        <v>92.710508103826797</v>
      </c>
      <c r="AJ949">
        <v>89.685770840321595</v>
      </c>
      <c r="AK949">
        <v>23.718057604840801</v>
      </c>
      <c r="AL949">
        <v>78.318938660546905</v>
      </c>
      <c r="AM949">
        <v>86.033236419994495</v>
      </c>
      <c r="AN949">
        <v>0.99999995043432799</v>
      </c>
    </row>
    <row r="950" spans="1:40" x14ac:dyDescent="0.25">
      <c r="A950" t="str">
        <f>"20190303170515626"</f>
        <v>20190303170515626</v>
      </c>
      <c r="B950" t="str">
        <f>"1551603915615166"</f>
        <v>1551603915615166</v>
      </c>
      <c r="C950" t="s">
        <v>40</v>
      </c>
      <c r="D950">
        <v>5.5852370000000002</v>
      </c>
      <c r="E950">
        <v>0.47952689999999998</v>
      </c>
      <c r="F950" t="s">
        <v>41</v>
      </c>
      <c r="G950">
        <v>-234.7072</v>
      </c>
      <c r="H950" s="1">
        <v>-2.6646989999999998E-6</v>
      </c>
      <c r="I950">
        <v>367.29500000000002</v>
      </c>
      <c r="J950">
        <v>-258.44729999999998</v>
      </c>
      <c r="K950">
        <v>1.1216159999999999</v>
      </c>
      <c r="L950">
        <v>367.37759999999997</v>
      </c>
      <c r="M950">
        <v>0.99989050000000002</v>
      </c>
      <c r="N950">
        <v>-1.4705609999999999E-2</v>
      </c>
      <c r="O950">
        <v>1.6890659999999999E-3</v>
      </c>
      <c r="P950">
        <v>0.9800181</v>
      </c>
      <c r="Q950">
        <v>0.18773429999999999</v>
      </c>
      <c r="R950">
        <v>-6.5728830000000002E-2</v>
      </c>
      <c r="S950">
        <v>3.0885310000000001</v>
      </c>
      <c r="T950">
        <v>-0.14465329999999901</v>
      </c>
      <c r="U950">
        <v>-1.0589599999999999E-2</v>
      </c>
      <c r="V950">
        <v>6.725449E-2</v>
      </c>
      <c r="W950">
        <v>0.2021675</v>
      </c>
      <c r="X950">
        <v>0.97703899999999999</v>
      </c>
      <c r="Y950">
        <v>5.1096650000000002E-3</v>
      </c>
      <c r="Z950">
        <v>-2.1142510000000001E-4</v>
      </c>
      <c r="AA950">
        <v>0.99998690000000001</v>
      </c>
      <c r="AB950">
        <v>36</v>
      </c>
      <c r="AC950">
        <v>23.740099999999899</v>
      </c>
      <c r="AD950">
        <v>-1.1216186646989901</v>
      </c>
      <c r="AE950">
        <v>-8.2599999999956694E-2</v>
      </c>
      <c r="AF950">
        <v>0.12242953292636199</v>
      </c>
      <c r="AG950">
        <v>-1.1216186646989901</v>
      </c>
      <c r="AH950">
        <v>23.6870539362804</v>
      </c>
      <c r="AI950">
        <v>92.710982702734796</v>
      </c>
      <c r="AJ950">
        <v>89.703862156976101</v>
      </c>
      <c r="AK950">
        <v>23.713910297540401</v>
      </c>
      <c r="AL950">
        <v>78.336263197672395</v>
      </c>
      <c r="AM950">
        <v>86.062255916406798</v>
      </c>
      <c r="AN950">
        <v>1.0000000360012</v>
      </c>
    </row>
    <row r="951" spans="1:40" x14ac:dyDescent="0.25">
      <c r="A951" t="str">
        <f>"20190303170515638"</f>
        <v>20190303170515638</v>
      </c>
      <c r="B951" t="str">
        <f>"1551603915625903"</f>
        <v>1551603915625903</v>
      </c>
      <c r="C951" t="s">
        <v>40</v>
      </c>
      <c r="D951">
        <v>5.5313840000000001</v>
      </c>
      <c r="E951">
        <v>0.47957889999999997</v>
      </c>
      <c r="F951" t="s">
        <v>41</v>
      </c>
      <c r="G951">
        <v>-234.68440000000001</v>
      </c>
      <c r="H951" s="1">
        <v>-2.6723510000000002E-6</v>
      </c>
      <c r="I951">
        <v>367.30709999999999</v>
      </c>
      <c r="J951">
        <v>-258.24680000000001</v>
      </c>
      <c r="K951">
        <v>1.1216140000000001</v>
      </c>
      <c r="L951">
        <v>367.37810000000002</v>
      </c>
      <c r="M951">
        <v>0.9998901</v>
      </c>
      <c r="N951">
        <v>-1.4705559999999999E-2</v>
      </c>
      <c r="O951">
        <v>1.8508769999999999E-3</v>
      </c>
      <c r="P951">
        <v>0.98002769999999995</v>
      </c>
      <c r="Q951">
        <v>0.18793380000000001</v>
      </c>
      <c r="R951">
        <v>-6.5014810000000006E-2</v>
      </c>
      <c r="S951">
        <v>3.0884399999999999</v>
      </c>
      <c r="T951">
        <v>-0.14577470000000001</v>
      </c>
      <c r="U951">
        <v>-9.1552730000000002E-3</v>
      </c>
      <c r="V951">
        <v>6.6698930000000003E-2</v>
      </c>
      <c r="W951">
        <v>0.20236599999999999</v>
      </c>
      <c r="X951">
        <v>0.97703589999999996</v>
      </c>
      <c r="Y951">
        <v>4.8074210000000001E-3</v>
      </c>
      <c r="Z951">
        <v>-2.0887139999999999E-4</v>
      </c>
      <c r="AA951">
        <v>0.9999884</v>
      </c>
      <c r="AB951">
        <v>36</v>
      </c>
      <c r="AC951">
        <v>23.5624</v>
      </c>
      <c r="AD951">
        <v>-1.1216166723509999</v>
      </c>
      <c r="AE951">
        <v>-7.1000000000026306E-2</v>
      </c>
      <c r="AF951">
        <v>0.11435657758643</v>
      </c>
      <c r="AG951">
        <v>-1.1216166723509999</v>
      </c>
      <c r="AH951">
        <v>23.508958620520001</v>
      </c>
      <c r="AI951">
        <v>92.731488452060603</v>
      </c>
      <c r="AJ951">
        <v>89.721293585041707</v>
      </c>
      <c r="AK951">
        <v>23.535977498456599</v>
      </c>
      <c r="AL951">
        <v>78.324648898144105</v>
      </c>
      <c r="AM951">
        <v>86.094670478831105</v>
      </c>
      <c r="AN951">
        <v>0.99999994755397603</v>
      </c>
    </row>
    <row r="952" spans="1:40" x14ac:dyDescent="0.25">
      <c r="A952" t="str">
        <f>"20190303170515654"</f>
        <v>20190303170515654</v>
      </c>
      <c r="B952" t="str">
        <f>"1551603915645422"</f>
        <v>1551603915645422</v>
      </c>
      <c r="C952" t="s">
        <v>40</v>
      </c>
      <c r="D952">
        <v>5.6394650000000004</v>
      </c>
      <c r="E952">
        <v>0.47968870000000002</v>
      </c>
      <c r="F952" t="s">
        <v>41</v>
      </c>
      <c r="G952">
        <v>-234.399</v>
      </c>
      <c r="H952" s="1">
        <v>-2.7924740000000001E-6</v>
      </c>
      <c r="I952">
        <v>367.32010000000002</v>
      </c>
      <c r="J952">
        <v>-258.0027</v>
      </c>
      <c r="K952">
        <v>1.1216159999999999</v>
      </c>
      <c r="L952">
        <v>367.37869999999998</v>
      </c>
      <c r="M952">
        <v>0.99988969999999999</v>
      </c>
      <c r="N952">
        <v>-1.4705350000000001E-2</v>
      </c>
      <c r="O952">
        <v>2.04827E-3</v>
      </c>
      <c r="P952">
        <v>0.98007069999999996</v>
      </c>
      <c r="Q952">
        <v>0.1878389</v>
      </c>
      <c r="R952">
        <v>-6.4639000000000002E-2</v>
      </c>
      <c r="S952">
        <v>3.0885009999999999</v>
      </c>
      <c r="T952">
        <v>-0.14525839999999901</v>
      </c>
      <c r="U952">
        <v>-7.5073240000000001E-3</v>
      </c>
      <c r="V952">
        <v>6.6517030000000005E-2</v>
      </c>
      <c r="W952">
        <v>0.2022717</v>
      </c>
      <c r="X952">
        <v>0.97706789999999999</v>
      </c>
      <c r="Y952">
        <v>4.4716479999999999E-3</v>
      </c>
      <c r="Z952">
        <v>-2.041716E-4</v>
      </c>
      <c r="AA952">
        <v>0.99999000000000005</v>
      </c>
      <c r="AB952">
        <v>36</v>
      </c>
      <c r="AC952">
        <v>23.6037</v>
      </c>
      <c r="AD952">
        <v>-1.121618792474</v>
      </c>
      <c r="AE952">
        <v>-5.8599999999955799E-2</v>
      </c>
      <c r="AF952">
        <v>0.106710904119238</v>
      </c>
      <c r="AG952">
        <v>-1.121618792474</v>
      </c>
      <c r="AH952">
        <v>23.550353275000901</v>
      </c>
      <c r="AI952">
        <v>92.726703951866796</v>
      </c>
      <c r="AJ952">
        <v>89.740384251598897</v>
      </c>
      <c r="AK952">
        <v>23.5772889728661</v>
      </c>
      <c r="AL952">
        <v>78.330166825676599</v>
      </c>
      <c r="AM952">
        <v>86.105415356721295</v>
      </c>
      <c r="AN952">
        <v>1.0000000185556599</v>
      </c>
    </row>
    <row r="953" spans="1:40" x14ac:dyDescent="0.25">
      <c r="A953" t="str">
        <f>"20190303170515688"</f>
        <v>20190303170515688</v>
      </c>
      <c r="B953" t="str">
        <f>"1551603915675679"</f>
        <v>1551603915675679</v>
      </c>
      <c r="C953" t="s">
        <v>40</v>
      </c>
      <c r="D953">
        <v>5.5571679999999999</v>
      </c>
      <c r="E953">
        <v>0.4797592</v>
      </c>
      <c r="F953" t="s">
        <v>41</v>
      </c>
      <c r="G953">
        <v>-234.20740000000001</v>
      </c>
      <c r="H953" s="1">
        <v>-2.873958E-6</v>
      </c>
      <c r="I953">
        <v>367.32409999999999</v>
      </c>
      <c r="J953">
        <v>-257.46940000000001</v>
      </c>
      <c r="K953">
        <v>1.1216140000000001</v>
      </c>
      <c r="L953">
        <v>367.3802</v>
      </c>
      <c r="M953">
        <v>0.99988900000000003</v>
      </c>
      <c r="N953">
        <v>-1.470403E-2</v>
      </c>
      <c r="O953">
        <v>2.480009E-3</v>
      </c>
      <c r="P953">
        <v>0.98022659999999995</v>
      </c>
      <c r="Q953">
        <v>0.18728539999999999</v>
      </c>
      <c r="R953">
        <v>-6.3877080000000003E-2</v>
      </c>
      <c r="S953">
        <v>3.0884399999999999</v>
      </c>
      <c r="T953">
        <v>-0.1455767</v>
      </c>
      <c r="U953">
        <v>-7.0800780000000001E-3</v>
      </c>
      <c r="V953">
        <v>6.6179740000000001E-2</v>
      </c>
      <c r="W953">
        <v>0.20171829999999999</v>
      </c>
      <c r="X953">
        <v>0.9772052</v>
      </c>
      <c r="Y953">
        <v>4.7644569999999997E-3</v>
      </c>
      <c r="Z953">
        <v>-2.2766069999999999E-4</v>
      </c>
      <c r="AA953">
        <v>0.99998860000000001</v>
      </c>
      <c r="AB953">
        <v>36</v>
      </c>
      <c r="AC953">
        <v>23.261999999999901</v>
      </c>
      <c r="AD953">
        <v>-1.1216168739579999</v>
      </c>
      <c r="AE953">
        <v>-5.6100000000014902E-2</v>
      </c>
      <c r="AF953">
        <v>0.113532080091615</v>
      </c>
      <c r="AG953">
        <v>-1.1216168739579999</v>
      </c>
      <c r="AH953">
        <v>23.2078348804366</v>
      </c>
      <c r="AI953">
        <v>92.766875162062803</v>
      </c>
      <c r="AJ953">
        <v>89.719712882638902</v>
      </c>
      <c r="AK953">
        <v>23.2351998868692</v>
      </c>
      <c r="AL953">
        <v>78.3625416453892</v>
      </c>
      <c r="AM953">
        <v>86.125646211138999</v>
      </c>
      <c r="AN953">
        <v>1.00000001672419</v>
      </c>
    </row>
    <row r="954" spans="1:40" x14ac:dyDescent="0.25">
      <c r="A954" t="str">
        <f>"20190303170515700"</f>
        <v>20190303170515700</v>
      </c>
      <c r="B954" t="str">
        <f>"1551603915685437"</f>
        <v>1551603915685437</v>
      </c>
      <c r="C954" t="s">
        <v>40</v>
      </c>
      <c r="D954">
        <v>5.5012280000000002</v>
      </c>
      <c r="E954">
        <v>0.50448230000000005</v>
      </c>
      <c r="F954" t="s">
        <v>41</v>
      </c>
      <c r="G954">
        <v>-234.00739999999999</v>
      </c>
      <c r="H954" s="1">
        <v>-2.956898E-6</v>
      </c>
      <c r="I954">
        <v>367.34010000000001</v>
      </c>
      <c r="J954">
        <v>-257.27100000000002</v>
      </c>
      <c r="K954">
        <v>1.1216109999999999</v>
      </c>
      <c r="L954">
        <v>367.3809</v>
      </c>
      <c r="M954">
        <v>0.99988840000000001</v>
      </c>
      <c r="N954">
        <v>-1.4703280000000001E-2</v>
      </c>
      <c r="O954">
        <v>2.6404570000000001E-3</v>
      </c>
      <c r="P954">
        <v>0.98028530000000003</v>
      </c>
      <c r="Q954">
        <v>0.18706680000000001</v>
      </c>
      <c r="R954">
        <v>-6.3615980000000003E-2</v>
      </c>
      <c r="S954">
        <v>3.0883790000000002</v>
      </c>
      <c r="T954">
        <v>-0.14764189999999999</v>
      </c>
      <c r="U954">
        <v>-5.2795409999999996E-3</v>
      </c>
      <c r="V954">
        <v>6.6076220000000005E-2</v>
      </c>
      <c r="W954">
        <v>0.2014997</v>
      </c>
      <c r="X954">
        <v>0.9772573</v>
      </c>
      <c r="Y954">
        <v>4.3422859999999999E-3</v>
      </c>
      <c r="Z954">
        <v>-2.2302849999999999E-4</v>
      </c>
      <c r="AA954">
        <v>0.9999905</v>
      </c>
      <c r="AB954">
        <v>36</v>
      </c>
      <c r="AC954">
        <v>23.263599999999901</v>
      </c>
      <c r="AD954">
        <v>-1.1216139568979999</v>
      </c>
      <c r="AE954">
        <v>-4.0799999999990101E-2</v>
      </c>
      <c r="AF954">
        <v>0.10199594425999101</v>
      </c>
      <c r="AG954">
        <v>-1.1216139568979999</v>
      </c>
      <c r="AH954">
        <v>23.209460493709798</v>
      </c>
      <c r="AI954">
        <v>92.766680863834793</v>
      </c>
      <c r="AJ954">
        <v>89.748210454290202</v>
      </c>
      <c r="AK954">
        <v>23.2367699444228</v>
      </c>
      <c r="AL954">
        <v>78.375329036856499</v>
      </c>
      <c r="AM954">
        <v>86.131893761185793</v>
      </c>
      <c r="AN954">
        <v>1.0000000131764299</v>
      </c>
    </row>
    <row r="955" spans="1:40" x14ac:dyDescent="0.25">
      <c r="A955" t="str">
        <f>"20190303170515721"</f>
        <v>20190303170515721</v>
      </c>
      <c r="B955" t="str">
        <f>"1551603915715695"</f>
        <v>1551603915715695</v>
      </c>
      <c r="C955" t="s">
        <v>40</v>
      </c>
      <c r="D955">
        <v>5.5332109999999997</v>
      </c>
      <c r="E955">
        <v>0.51167240000000003</v>
      </c>
      <c r="F955" t="s">
        <v>41</v>
      </c>
      <c r="G955">
        <v>-239.56649999999999</v>
      </c>
      <c r="H955" s="1">
        <v>-1.0337360000000001E-6</v>
      </c>
      <c r="I955">
        <v>366.23340000000002</v>
      </c>
      <c r="J955">
        <v>-256.92930000000001</v>
      </c>
      <c r="K955">
        <v>1.121613</v>
      </c>
      <c r="L955">
        <v>367.38209999999998</v>
      </c>
      <c r="M955">
        <v>0.99988770000000005</v>
      </c>
      <c r="N955">
        <v>-1.470172E-2</v>
      </c>
      <c r="O955">
        <v>2.9168309999999999E-3</v>
      </c>
      <c r="P955">
        <v>0.98041769999999995</v>
      </c>
      <c r="Q955">
        <v>0.18657580000000001</v>
      </c>
      <c r="R955">
        <v>-6.3012070000000003E-2</v>
      </c>
      <c r="S955">
        <v>3.0846559999999998</v>
      </c>
      <c r="T955">
        <v>-0.19541739999999999</v>
      </c>
      <c r="U955">
        <v>-0.19992070000000001</v>
      </c>
      <c r="V955">
        <v>6.5744349999999993E-2</v>
      </c>
      <c r="W955">
        <v>0.20100879999999999</v>
      </c>
      <c r="X955">
        <v>0.97738080000000005</v>
      </c>
      <c r="Y955">
        <v>6.7416970000000007E-2</v>
      </c>
      <c r="Z955">
        <v>-2.7694479999999999E-3</v>
      </c>
      <c r="AA955">
        <v>0.99772099999999997</v>
      </c>
      <c r="AB955">
        <v>36</v>
      </c>
      <c r="AC955">
        <v>17.3628</v>
      </c>
      <c r="AD955">
        <v>-1.1216140337360001</v>
      </c>
      <c r="AE955">
        <v>-1.1486999999999601</v>
      </c>
      <c r="AF955">
        <v>1.1943825123145499</v>
      </c>
      <c r="AG955">
        <v>-1.1216140337360001</v>
      </c>
      <c r="AH955">
        <v>17.287548811308401</v>
      </c>
      <c r="AI955">
        <v>93.703336894425206</v>
      </c>
      <c r="AJ955">
        <v>86.047762212340004</v>
      </c>
      <c r="AK955">
        <v>17.365019767618101</v>
      </c>
      <c r="AL955">
        <v>78.404043398684294</v>
      </c>
      <c r="AM955">
        <v>86.151747775121905</v>
      </c>
      <c r="AN955">
        <v>1.0000000427214999</v>
      </c>
    </row>
    <row r="956" spans="1:40" x14ac:dyDescent="0.25">
      <c r="A956" t="str">
        <f>"20190303170515734"</f>
        <v>20190303170515734</v>
      </c>
      <c r="B956" t="str">
        <f>"1551603915725454"</f>
        <v>1551603915725454</v>
      </c>
      <c r="C956" t="s">
        <v>40</v>
      </c>
      <c r="D956">
        <v>5.5259589999999896</v>
      </c>
      <c r="E956">
        <v>0.51226099999999997</v>
      </c>
      <c r="F956" t="s">
        <v>41</v>
      </c>
      <c r="G956">
        <v>-238.2045</v>
      </c>
      <c r="H956" s="1">
        <v>-1.606054E-6</v>
      </c>
      <c r="I956">
        <v>365.82429999999999</v>
      </c>
      <c r="J956">
        <v>-256.74259999999998</v>
      </c>
      <c r="K956">
        <v>1.1216090000000001</v>
      </c>
      <c r="L956">
        <v>367.38279999999997</v>
      </c>
      <c r="M956">
        <v>0.99988730000000003</v>
      </c>
      <c r="N956">
        <v>-1.470075E-2</v>
      </c>
      <c r="O956">
        <v>3.0679779999999999E-3</v>
      </c>
      <c r="P956">
        <v>0.98048760000000001</v>
      </c>
      <c r="Q956">
        <v>0.18629109999999999</v>
      </c>
      <c r="R956">
        <v>-6.2767390000000006E-2</v>
      </c>
      <c r="S956">
        <v>3.0785520000000002</v>
      </c>
      <c r="T956">
        <v>-0.1844046</v>
      </c>
      <c r="U956">
        <v>-0.25610349999999998</v>
      </c>
      <c r="V956">
        <v>6.5648540000000005E-2</v>
      </c>
      <c r="W956">
        <v>0.20072390000000001</v>
      </c>
      <c r="X956">
        <v>0.97744580000000003</v>
      </c>
      <c r="Y956">
        <v>8.5767029999999994E-2</v>
      </c>
      <c r="Z956">
        <v>-3.3325429999999999E-3</v>
      </c>
      <c r="AA956">
        <v>0.99630960000000002</v>
      </c>
      <c r="AB956">
        <v>35</v>
      </c>
      <c r="AC956">
        <v>18.538099999999901</v>
      </c>
      <c r="AD956">
        <v>-1.1216106060539901</v>
      </c>
      <c r="AE956">
        <v>-1.55849999999998</v>
      </c>
      <c r="AF956">
        <v>1.6095227999000901</v>
      </c>
      <c r="AG956">
        <v>-1.1216106060539901</v>
      </c>
      <c r="AH956">
        <v>18.466107917892302</v>
      </c>
      <c r="AI956">
        <v>93.462714855770699</v>
      </c>
      <c r="AJ956">
        <v>85.018636685441905</v>
      </c>
      <c r="AK956">
        <v>18.570021960952499</v>
      </c>
      <c r="AL956">
        <v>78.420706708929302</v>
      </c>
      <c r="AM956">
        <v>86.157593834491607</v>
      </c>
      <c r="AN956">
        <v>1.0000000533864799</v>
      </c>
    </row>
    <row r="957" spans="1:40" x14ac:dyDescent="0.25">
      <c r="A957" t="str">
        <f>"20190303170515746"</f>
        <v>20190303170515746</v>
      </c>
      <c r="B957" t="str">
        <f>"1551603915735214"</f>
        <v>1551603915735214</v>
      </c>
      <c r="C957" t="s">
        <v>40</v>
      </c>
      <c r="D957">
        <v>5.5116100000000001</v>
      </c>
      <c r="E957">
        <v>0.51292369999999998</v>
      </c>
      <c r="F957" t="s">
        <v>41</v>
      </c>
      <c r="G957">
        <v>-238.0532</v>
      </c>
      <c r="H957" s="1">
        <v>-1.663098E-6</v>
      </c>
      <c r="I957">
        <v>365.80349999999999</v>
      </c>
      <c r="J957">
        <v>-256.53969999999998</v>
      </c>
      <c r="K957">
        <v>1.1216090000000001</v>
      </c>
      <c r="L957">
        <v>367.3836</v>
      </c>
      <c r="M957">
        <v>0.99988690000000002</v>
      </c>
      <c r="N957">
        <v>-1.469965E-2</v>
      </c>
      <c r="O957">
        <v>3.2324179999999999E-3</v>
      </c>
      <c r="P957">
        <v>0.98051860000000002</v>
      </c>
      <c r="Q957">
        <v>0.1861273</v>
      </c>
      <c r="R957">
        <v>-6.2771809999999997E-2</v>
      </c>
      <c r="S957">
        <v>3.0781399999999999</v>
      </c>
      <c r="T957">
        <v>-0.1847278</v>
      </c>
      <c r="U957">
        <v>-0.26010129999999998</v>
      </c>
      <c r="V957">
        <v>6.581439E-2</v>
      </c>
      <c r="W957">
        <v>0.20055899999999999</v>
      </c>
      <c r="X957">
        <v>0.97746840000000002</v>
      </c>
      <c r="Y957">
        <v>8.72227E-2</v>
      </c>
      <c r="Z957">
        <v>-3.3992829999999999E-3</v>
      </c>
      <c r="AA957">
        <v>0.99618300000000004</v>
      </c>
      <c r="AB957">
        <v>35</v>
      </c>
      <c r="AC957">
        <v>18.4864999999999</v>
      </c>
      <c r="AD957">
        <v>-1.1216106630980001</v>
      </c>
      <c r="AE957">
        <v>-1.5801000000000101</v>
      </c>
      <c r="AF957">
        <v>1.63388345612075</v>
      </c>
      <c r="AG957">
        <v>-1.1216106630980001</v>
      </c>
      <c r="AH957">
        <v>18.414003557058798</v>
      </c>
      <c r="AI957">
        <v>93.472014748908705</v>
      </c>
      <c r="AJ957">
        <v>84.9293970233133</v>
      </c>
      <c r="AK957">
        <v>18.520343210295401</v>
      </c>
      <c r="AL957">
        <v>78.430349800719398</v>
      </c>
      <c r="AM957">
        <v>86.148004625448394</v>
      </c>
      <c r="AN957">
        <v>0.99999995970531497</v>
      </c>
    </row>
    <row r="958" spans="1:40" x14ac:dyDescent="0.25">
      <c r="A958" t="str">
        <f>"20190303170515758"</f>
        <v>20190303170515758</v>
      </c>
      <c r="B958" t="str">
        <f>"1551603915745950"</f>
        <v>1551603915745950</v>
      </c>
      <c r="C958" t="s">
        <v>40</v>
      </c>
      <c r="D958">
        <v>5.5254690000000002</v>
      </c>
      <c r="E958">
        <v>0.51356040000000003</v>
      </c>
      <c r="F958" t="s">
        <v>41</v>
      </c>
      <c r="G958">
        <v>-237.8657</v>
      </c>
      <c r="H958" s="1">
        <v>-1.7358570000000001E-6</v>
      </c>
      <c r="I958">
        <v>365.76979999999998</v>
      </c>
      <c r="J958">
        <v>-256.3381</v>
      </c>
      <c r="K958">
        <v>1.121607</v>
      </c>
      <c r="L958">
        <v>367.38440000000003</v>
      </c>
      <c r="M958">
        <v>0.99988630000000001</v>
      </c>
      <c r="N958">
        <v>-1.469845E-2</v>
      </c>
      <c r="O958">
        <v>3.395847E-3</v>
      </c>
      <c r="P958">
        <v>0.98055709999999996</v>
      </c>
      <c r="Q958">
        <v>0.18600539999999999</v>
      </c>
      <c r="R958">
        <v>-6.2530879999999997E-2</v>
      </c>
      <c r="S958">
        <v>3.0776669999999999</v>
      </c>
      <c r="T958">
        <v>-0.18485270000000001</v>
      </c>
      <c r="U958">
        <v>-0.26596069999999999</v>
      </c>
      <c r="V958">
        <v>6.5734059999999997E-2</v>
      </c>
      <c r="W958">
        <v>0.20043610000000001</v>
      </c>
      <c r="X958">
        <v>0.97749909999999995</v>
      </c>
      <c r="Y958">
        <v>8.927599E-2</v>
      </c>
      <c r="Z958">
        <v>-3.4854090000000001E-3</v>
      </c>
      <c r="AA958">
        <v>0.99600080000000002</v>
      </c>
      <c r="AB958">
        <v>35</v>
      </c>
      <c r="AC958">
        <v>18.4724</v>
      </c>
      <c r="AD958">
        <v>-1.1216087358569999</v>
      </c>
      <c r="AE958">
        <v>-1.61460000000005</v>
      </c>
      <c r="AF958">
        <v>1.6712123828276999</v>
      </c>
      <c r="AG958">
        <v>-1.1216087358569999</v>
      </c>
      <c r="AH958">
        <v>18.399491103113199</v>
      </c>
      <c r="AI958">
        <v>93.4740927561039</v>
      </c>
      <c r="AJ958">
        <v>84.810106923207698</v>
      </c>
      <c r="AK958">
        <v>18.509247144019898</v>
      </c>
      <c r="AL958">
        <v>78.437538386463103</v>
      </c>
      <c r="AM958">
        <v>86.152812532735595</v>
      </c>
      <c r="AN958">
        <v>1.0000000436640499</v>
      </c>
    </row>
    <row r="959" spans="1:40" x14ac:dyDescent="0.25">
      <c r="A959" t="str">
        <f>"20190303170515772"</f>
        <v>20190303170515772</v>
      </c>
      <c r="B959" t="str">
        <f>"1551603915765470"</f>
        <v>1551603915765470</v>
      </c>
      <c r="C959" t="s">
        <v>40</v>
      </c>
      <c r="D959">
        <v>5.5245150000000001</v>
      </c>
      <c r="E959">
        <v>0.51418739999999996</v>
      </c>
      <c r="F959" t="s">
        <v>41</v>
      </c>
      <c r="G959">
        <v>-237.607</v>
      </c>
      <c r="H959" s="1">
        <v>-1.8313909999999999E-6</v>
      </c>
      <c r="I959">
        <v>365.74160000000001</v>
      </c>
      <c r="J959">
        <v>-256.1388</v>
      </c>
      <c r="K959">
        <v>1.121613</v>
      </c>
      <c r="L959">
        <v>367.3852</v>
      </c>
      <c r="M959">
        <v>0.99988560000000004</v>
      </c>
      <c r="N959">
        <v>-1.4697190000000001E-2</v>
      </c>
      <c r="O959">
        <v>3.5572529999999998E-3</v>
      </c>
      <c r="P959">
        <v>0.980487</v>
      </c>
      <c r="Q959">
        <v>0.18633330000000001</v>
      </c>
      <c r="R959">
        <v>-6.2652589999999994E-2</v>
      </c>
      <c r="S959">
        <v>3.0772550000000001</v>
      </c>
      <c r="T959">
        <v>-0.18426390000000001</v>
      </c>
      <c r="U959">
        <v>-0.26986690000000002</v>
      </c>
      <c r="V959">
        <v>6.6013589999999997E-2</v>
      </c>
      <c r="W959">
        <v>0.20076169999999999</v>
      </c>
      <c r="X959">
        <v>0.97741339999999999</v>
      </c>
      <c r="Y959">
        <v>9.0700749999999997E-2</v>
      </c>
      <c r="Z959">
        <v>-3.5367810000000001E-3</v>
      </c>
      <c r="AA959">
        <v>0.99587190000000003</v>
      </c>
      <c r="AB959">
        <v>35</v>
      </c>
      <c r="AC959">
        <v>18.5318</v>
      </c>
      <c r="AD959">
        <v>-1.1216148313909999</v>
      </c>
      <c r="AE959">
        <v>-1.64359999999999</v>
      </c>
      <c r="AF959">
        <v>1.7033282103112199</v>
      </c>
      <c r="AG959">
        <v>-1.1216148313909999</v>
      </c>
      <c r="AH959">
        <v>18.458746337328801</v>
      </c>
      <c r="AI959">
        <v>93.462532151040094</v>
      </c>
      <c r="AJ959">
        <v>84.727815491461001</v>
      </c>
      <c r="AK959">
        <v>18.571070598322699</v>
      </c>
      <c r="AL959">
        <v>78.418495350360601</v>
      </c>
      <c r="AM959">
        <v>86.1361643223172</v>
      </c>
      <c r="AN959">
        <v>1.0000000043755599</v>
      </c>
    </row>
    <row r="960" spans="1:40" x14ac:dyDescent="0.25">
      <c r="A960" t="str">
        <f>"20190303170515785"</f>
        <v>20190303170515785</v>
      </c>
      <c r="B960" t="str">
        <f>"1551603915775229"</f>
        <v>1551603915775229</v>
      </c>
      <c r="C960" t="s">
        <v>40</v>
      </c>
      <c r="D960">
        <v>5.5153449999999999</v>
      </c>
      <c r="E960">
        <v>0.51427009999999995</v>
      </c>
      <c r="F960" t="s">
        <v>41</v>
      </c>
      <c r="G960">
        <v>-236.61969999999999</v>
      </c>
      <c r="H960" s="1">
        <v>-2.1956249999999998E-6</v>
      </c>
      <c r="I960">
        <v>365.63549999999998</v>
      </c>
      <c r="J960">
        <v>-255.91480000000001</v>
      </c>
      <c r="K960">
        <v>1.121615</v>
      </c>
      <c r="L960">
        <v>367.38619999999997</v>
      </c>
      <c r="M960">
        <v>0.99988500000000002</v>
      </c>
      <c r="N960">
        <v>-1.4695720000000001E-2</v>
      </c>
      <c r="O960">
        <v>3.7386250000000002E-3</v>
      </c>
      <c r="P960">
        <v>0.98051169999999999</v>
      </c>
      <c r="Q960">
        <v>0.18627270000000001</v>
      </c>
      <c r="R960">
        <v>-6.2443360000000003E-2</v>
      </c>
      <c r="S960">
        <v>3.0756380000000001</v>
      </c>
      <c r="T960">
        <v>-0.176733</v>
      </c>
      <c r="U960">
        <v>-0.27569579999999999</v>
      </c>
      <c r="V960">
        <v>6.598271E-2</v>
      </c>
      <c r="W960">
        <v>0.2007005</v>
      </c>
      <c r="X960">
        <v>0.97742799999999996</v>
      </c>
      <c r="Y960">
        <v>9.2809619999999995E-2</v>
      </c>
      <c r="Z960">
        <v>-3.5024969999999998E-3</v>
      </c>
      <c r="AA960">
        <v>0.9956777</v>
      </c>
      <c r="AB960">
        <v>35</v>
      </c>
      <c r="AC960">
        <v>19.295100000000001</v>
      </c>
      <c r="AD960">
        <v>-1.1216171956250001</v>
      </c>
      <c r="AE960">
        <v>-1.7506999999999899</v>
      </c>
      <c r="AF960">
        <v>1.8167439457371799</v>
      </c>
      <c r="AG960">
        <v>-1.1216171956250001</v>
      </c>
      <c r="AH960">
        <v>19.223990690298098</v>
      </c>
      <c r="AI960">
        <v>93.324338892300005</v>
      </c>
      <c r="AJ960">
        <v>84.6013535444295</v>
      </c>
      <c r="AK960">
        <v>19.342192268679401</v>
      </c>
      <c r="AL960">
        <v>78.422074089521701</v>
      </c>
      <c r="AM960">
        <v>86.138023799178796</v>
      </c>
      <c r="AN960">
        <v>0.99999995195159497</v>
      </c>
    </row>
    <row r="961" spans="1:40" x14ac:dyDescent="0.25">
      <c r="A961" t="str">
        <f>"20190303170515800"</f>
        <v>20190303170515800</v>
      </c>
      <c r="B961" t="str">
        <f>"1551603915785967"</f>
        <v>1551603915785967</v>
      </c>
      <c r="C961" t="s">
        <v>40</v>
      </c>
      <c r="D961">
        <v>5.5246420000000001</v>
      </c>
      <c r="E961">
        <v>0.51443059999999996</v>
      </c>
      <c r="F961" t="s">
        <v>41</v>
      </c>
      <c r="G961">
        <v>-236.8038</v>
      </c>
      <c r="H961" s="1">
        <v>-2.1221680000000002E-6</v>
      </c>
      <c r="I961">
        <v>365.67610000000002</v>
      </c>
      <c r="J961">
        <v>-255.68620000000001</v>
      </c>
      <c r="K961">
        <v>1.121613</v>
      </c>
      <c r="L961">
        <v>367.38720000000001</v>
      </c>
      <c r="M961">
        <v>0.99988449999999995</v>
      </c>
      <c r="N961">
        <v>-1.469411E-2</v>
      </c>
      <c r="O961">
        <v>3.9240459999999996E-3</v>
      </c>
      <c r="P961">
        <v>0.98053290000000004</v>
      </c>
      <c r="Q961">
        <v>0.18617230000000001</v>
      </c>
      <c r="R961">
        <v>-6.2415739999999997E-2</v>
      </c>
      <c r="S961">
        <v>3.0763850000000001</v>
      </c>
      <c r="T961">
        <v>-0.18055070000000001</v>
      </c>
      <c r="U961">
        <v>-0.27526859999999997</v>
      </c>
      <c r="V961">
        <v>6.6137249999999995E-2</v>
      </c>
      <c r="W961">
        <v>0.2005982</v>
      </c>
      <c r="X961">
        <v>0.97743860000000005</v>
      </c>
      <c r="Y961">
        <v>9.2827770000000004E-2</v>
      </c>
      <c r="Z961">
        <v>-3.5725219999999999E-3</v>
      </c>
      <c r="AA961">
        <v>0.99567570000000005</v>
      </c>
      <c r="AB961">
        <v>35</v>
      </c>
      <c r="AC961">
        <v>18.882400000000001</v>
      </c>
      <c r="AD961">
        <v>-1.121615122168</v>
      </c>
      <c r="AE961">
        <v>-1.7110999999999801</v>
      </c>
      <c r="AF961">
        <v>1.77896450831868</v>
      </c>
      <c r="AG961">
        <v>-1.121615122168</v>
      </c>
      <c r="AH961">
        <v>18.809712483813101</v>
      </c>
      <c r="AI961">
        <v>93.397357365119504</v>
      </c>
      <c r="AJ961">
        <v>84.597212836451106</v>
      </c>
      <c r="AK961">
        <v>18.926912556670398</v>
      </c>
      <c r="AL961">
        <v>78.428057631976699</v>
      </c>
      <c r="AM961">
        <v>86.129047873842495</v>
      </c>
      <c r="AN961">
        <v>0.99999999522538097</v>
      </c>
    </row>
    <row r="962" spans="1:40" x14ac:dyDescent="0.25">
      <c r="A962" t="str">
        <f>"20190303170515823"</f>
        <v>20190303170515823</v>
      </c>
      <c r="B962" t="str">
        <f>"1551603915815246"</f>
        <v>1551603915815246</v>
      </c>
      <c r="C962" t="s">
        <v>40</v>
      </c>
      <c r="D962">
        <v>5.5138860000000003</v>
      </c>
      <c r="E962">
        <v>0.5149688</v>
      </c>
      <c r="F962" t="s">
        <v>41</v>
      </c>
      <c r="G962">
        <v>-236.3389</v>
      </c>
      <c r="H962" s="1">
        <v>-2.2886279999999999E-6</v>
      </c>
      <c r="I962">
        <v>365.64510000000001</v>
      </c>
      <c r="J962">
        <v>-255.3355</v>
      </c>
      <c r="K962">
        <v>1.121613</v>
      </c>
      <c r="L962">
        <v>367.38889999999998</v>
      </c>
      <c r="M962">
        <v>0.99988339999999998</v>
      </c>
      <c r="N962">
        <v>-1.469151E-2</v>
      </c>
      <c r="O962">
        <v>4.2085300000000003E-3</v>
      </c>
      <c r="P962">
        <v>0.98060460000000005</v>
      </c>
      <c r="Q962">
        <v>0.18582499999999999</v>
      </c>
      <c r="R962">
        <v>-6.2322900000000001E-2</v>
      </c>
      <c r="S962">
        <v>3.075806</v>
      </c>
      <c r="T962">
        <v>-0.17831159999999999</v>
      </c>
      <c r="U962">
        <v>-0.276947</v>
      </c>
      <c r="V962">
        <v>6.6324049999999996E-2</v>
      </c>
      <c r="W962">
        <v>0.2002488</v>
      </c>
      <c r="X962">
        <v>0.97749759999999997</v>
      </c>
      <c r="Y962">
        <v>9.3669119999999995E-2</v>
      </c>
      <c r="Z962">
        <v>-3.5792100000000002E-3</v>
      </c>
      <c r="AA962">
        <v>0.99559690000000001</v>
      </c>
      <c r="AB962">
        <v>35</v>
      </c>
      <c r="AC962">
        <v>18.996600000000001</v>
      </c>
      <c r="AD962">
        <v>-1.121615288628</v>
      </c>
      <c r="AE962">
        <v>-1.74379999999996</v>
      </c>
      <c r="AF962">
        <v>1.8174580853651701</v>
      </c>
      <c r="AG962">
        <v>-1.121615288628</v>
      </c>
      <c r="AH962">
        <v>18.923674094340601</v>
      </c>
      <c r="AI962">
        <v>93.376479859960796</v>
      </c>
      <c r="AJ962">
        <v>84.514053383946603</v>
      </c>
      <c r="AK962">
        <v>19.043807811899399</v>
      </c>
      <c r="AL962">
        <v>78.448491561902003</v>
      </c>
      <c r="AM962">
        <v>86.118381607486597</v>
      </c>
      <c r="AN962">
        <v>1.0000000097577999</v>
      </c>
    </row>
    <row r="963" spans="1:40" x14ac:dyDescent="0.25">
      <c r="A963" t="str">
        <f>"20190303170515844"</f>
        <v>20190303170515844</v>
      </c>
      <c r="B963" t="str">
        <f>"1551603915835742"</f>
        <v>1551603915835742</v>
      </c>
      <c r="C963" t="s">
        <v>40</v>
      </c>
      <c r="D963">
        <v>5.5250620000000001</v>
      </c>
      <c r="E963">
        <v>0.51523229999999998</v>
      </c>
      <c r="F963" t="s">
        <v>41</v>
      </c>
      <c r="G963">
        <v>-235.05430000000001</v>
      </c>
      <c r="H963" s="1">
        <v>-2.8284349999999998E-6</v>
      </c>
      <c r="I963">
        <v>365.5324</v>
      </c>
      <c r="J963">
        <v>-255.00059999999999</v>
      </c>
      <c r="K963">
        <v>1.1216140000000001</v>
      </c>
      <c r="L963">
        <v>367.39060000000001</v>
      </c>
      <c r="M963">
        <v>0.99988200000000005</v>
      </c>
      <c r="N963">
        <v>-1.468886E-2</v>
      </c>
      <c r="O963">
        <v>4.4806749999999999E-3</v>
      </c>
      <c r="P963">
        <v>0.98073710000000003</v>
      </c>
      <c r="Q963">
        <v>0.18521480000000001</v>
      </c>
      <c r="R963">
        <v>-6.2047430000000001E-2</v>
      </c>
      <c r="S963">
        <v>3.0736849999999998</v>
      </c>
      <c r="T963">
        <v>-0.16998369999999999</v>
      </c>
      <c r="U963">
        <v>-0.28134160000000002</v>
      </c>
      <c r="V963">
        <v>6.6316959999999994E-2</v>
      </c>
      <c r="W963">
        <v>0.19963810000000001</v>
      </c>
      <c r="X963">
        <v>0.97762300000000002</v>
      </c>
      <c r="Y963">
        <v>9.5425860000000001E-2</v>
      </c>
      <c r="Z963">
        <v>-3.5156440000000001E-3</v>
      </c>
      <c r="AA963">
        <v>0.99543040000000005</v>
      </c>
      <c r="AB963">
        <v>35</v>
      </c>
      <c r="AC963">
        <v>19.946299999999901</v>
      </c>
      <c r="AD963">
        <v>-1.1216168284350001</v>
      </c>
      <c r="AE963">
        <v>-1.8582000000000101</v>
      </c>
      <c r="AF963">
        <v>1.9414777135811601</v>
      </c>
      <c r="AG963">
        <v>-1.1216168284350001</v>
      </c>
      <c r="AH963">
        <v>19.875466996977298</v>
      </c>
      <c r="AI963">
        <v>93.214634625995402</v>
      </c>
      <c r="AJ963">
        <v>84.420926767857097</v>
      </c>
      <c r="AK963">
        <v>20.001538650066301</v>
      </c>
      <c r="AL963">
        <v>78.484203325482497</v>
      </c>
      <c r="AM963">
        <v>86.119291603871503</v>
      </c>
      <c r="AN963">
        <v>1.00000002014212</v>
      </c>
    </row>
    <row r="964" spans="1:40" x14ac:dyDescent="0.25">
      <c r="A964" t="str">
        <f>"20190303170515865"</f>
        <v>20190303170515865</v>
      </c>
      <c r="B964" t="str">
        <f>"1551603915855262"</f>
        <v>1551603915855262</v>
      </c>
      <c r="C964" t="s">
        <v>40</v>
      </c>
      <c r="D964">
        <v>5.5147810000000002</v>
      </c>
      <c r="E964">
        <v>0.51528180000000001</v>
      </c>
      <c r="F964" t="s">
        <v>41</v>
      </c>
      <c r="G964">
        <v>-234.63570000000001</v>
      </c>
      <c r="H964" s="1">
        <v>-3.0112090000000001E-6</v>
      </c>
      <c r="I964">
        <v>365.51429999999999</v>
      </c>
      <c r="J964">
        <v>-254.65430000000001</v>
      </c>
      <c r="K964">
        <v>1.1216140000000001</v>
      </c>
      <c r="L964">
        <v>367.39240000000001</v>
      </c>
      <c r="M964">
        <v>0.99988089999999996</v>
      </c>
      <c r="N964">
        <v>-1.4685999999999999E-2</v>
      </c>
      <c r="O964">
        <v>4.7610550000000001E-3</v>
      </c>
      <c r="P964">
        <v>0.98085120000000003</v>
      </c>
      <c r="Q964">
        <v>0.18473290000000001</v>
      </c>
      <c r="R964">
        <v>-6.1685499999999997E-2</v>
      </c>
      <c r="S964">
        <v>3.0729980000000001</v>
      </c>
      <c r="T964">
        <v>-0.1692477</v>
      </c>
      <c r="U964">
        <v>-0.28311160000000002</v>
      </c>
      <c r="V964">
        <v>6.6230919999999999E-2</v>
      </c>
      <c r="W964">
        <v>0.19915450000000001</v>
      </c>
      <c r="X964">
        <v>0.97772740000000002</v>
      </c>
      <c r="Y964">
        <v>9.6293229999999994E-2</v>
      </c>
      <c r="Z964">
        <v>-3.5451520000000002E-3</v>
      </c>
      <c r="AA964">
        <v>0.99534670000000003</v>
      </c>
      <c r="AB964">
        <v>35</v>
      </c>
      <c r="AC964">
        <v>20.0185999999999</v>
      </c>
      <c r="AD964">
        <v>-1.12161701120899</v>
      </c>
      <c r="AE964">
        <v>-1.8781000000000101</v>
      </c>
      <c r="AF964">
        <v>1.9672768050042999</v>
      </c>
      <c r="AG964">
        <v>-1.12161701120899</v>
      </c>
      <c r="AH964">
        <v>19.947357565415299</v>
      </c>
      <c r="AI964">
        <v>93.202781232071501</v>
      </c>
      <c r="AJ964">
        <v>84.367508252525496</v>
      </c>
      <c r="AK964">
        <v>20.0754894483266</v>
      </c>
      <c r="AL964">
        <v>78.5124786675526</v>
      </c>
      <c r="AM964">
        <v>86.124723680771993</v>
      </c>
      <c r="AN964">
        <v>0.99999995917252704</v>
      </c>
    </row>
    <row r="965" spans="1:40" x14ac:dyDescent="0.25">
      <c r="A965" t="str">
        <f>"20190303170515879"</f>
        <v>20190303170515879</v>
      </c>
      <c r="B965" t="str">
        <f>"1551603915865022"</f>
        <v>1551603915865022</v>
      </c>
      <c r="C965" t="s">
        <v>40</v>
      </c>
      <c r="D965">
        <v>5.5223719999999998</v>
      </c>
      <c r="E965">
        <v>0.51535559999999903</v>
      </c>
      <c r="F965" t="s">
        <v>41</v>
      </c>
      <c r="G965">
        <v>-233.62989999999999</v>
      </c>
      <c r="H965" s="1">
        <v>-3.4525540000000002E-6</v>
      </c>
      <c r="I965">
        <v>365.459</v>
      </c>
      <c r="J965">
        <v>-254.4385</v>
      </c>
      <c r="K965">
        <v>1.1216140000000001</v>
      </c>
      <c r="L965">
        <v>367.39359999999999</v>
      </c>
      <c r="M965">
        <v>0.99988010000000005</v>
      </c>
      <c r="N965">
        <v>-1.468416E-2</v>
      </c>
      <c r="O965">
        <v>4.9361709999999996E-3</v>
      </c>
      <c r="P965">
        <v>0.98084229999999994</v>
      </c>
      <c r="Q965">
        <v>0.1847665</v>
      </c>
      <c r="R965">
        <v>-6.1725580000000002E-2</v>
      </c>
      <c r="S965">
        <v>3.0716860000000001</v>
      </c>
      <c r="T965">
        <v>-0.16386870000000001</v>
      </c>
      <c r="U965">
        <v>-0.28247070000000002</v>
      </c>
      <c r="V965">
        <v>6.644282E-2</v>
      </c>
      <c r="W965">
        <v>0.19918630000000001</v>
      </c>
      <c r="X965">
        <v>0.97770659999999998</v>
      </c>
      <c r="Y965">
        <v>9.6310779999999999E-2</v>
      </c>
      <c r="Z965">
        <v>-3.4613819999999998E-3</v>
      </c>
      <c r="AA965">
        <v>0.99534529999999999</v>
      </c>
      <c r="AB965">
        <v>35</v>
      </c>
      <c r="AC965">
        <v>20.808599999999998</v>
      </c>
      <c r="AD965">
        <v>-1.1216174525539999</v>
      </c>
      <c r="AE965">
        <v>-1.9345999999999799</v>
      </c>
      <c r="AF965">
        <v>2.03145072979307</v>
      </c>
      <c r="AG965">
        <v>-1.1216174525539999</v>
      </c>
      <c r="AH965">
        <v>20.739057288439302</v>
      </c>
      <c r="AI965">
        <v>93.080959290965595</v>
      </c>
      <c r="AJ965">
        <v>84.405559351650297</v>
      </c>
      <c r="AK965">
        <v>20.868476585285801</v>
      </c>
      <c r="AL965">
        <v>78.510620038822594</v>
      </c>
      <c r="AM965">
        <v>86.112280581482395</v>
      </c>
      <c r="AN965">
        <v>1.0000000130604001</v>
      </c>
    </row>
    <row r="966" spans="1:40" x14ac:dyDescent="0.25">
      <c r="A966" t="str">
        <f>"20190303170515891"</f>
        <v>20190303170515891</v>
      </c>
      <c r="B966" t="str">
        <f>"1551603915885518"</f>
        <v>1551603915885518</v>
      </c>
      <c r="C966" t="s">
        <v>40</v>
      </c>
      <c r="D966">
        <v>5.5445609999999999</v>
      </c>
      <c r="E966">
        <v>0.51556709999999994</v>
      </c>
      <c r="F966" t="s">
        <v>41</v>
      </c>
      <c r="G966">
        <v>-233.2852</v>
      </c>
      <c r="H966" s="1">
        <v>-3.602483E-6</v>
      </c>
      <c r="I966">
        <v>365.44709999999998</v>
      </c>
      <c r="J966">
        <v>-254.2612</v>
      </c>
      <c r="K966">
        <v>1.1216120000000001</v>
      </c>
      <c r="L966">
        <v>367.39460000000003</v>
      </c>
      <c r="M966">
        <v>0.99987919999999997</v>
      </c>
      <c r="N966">
        <v>-1.468264E-2</v>
      </c>
      <c r="O966">
        <v>5.0802340000000003E-3</v>
      </c>
      <c r="P966">
        <v>0.9807941</v>
      </c>
      <c r="Q966">
        <v>0.18497060000000001</v>
      </c>
      <c r="R966">
        <v>-6.1877229999999998E-2</v>
      </c>
      <c r="S966">
        <v>3.0715029999999999</v>
      </c>
      <c r="T966">
        <v>-0.16286120000000001</v>
      </c>
      <c r="U966">
        <v>-0.28262330000000002</v>
      </c>
      <c r="V966">
        <v>6.6735639999999999E-2</v>
      </c>
      <c r="W966">
        <v>0.19938819999999999</v>
      </c>
      <c r="X966">
        <v>0.97764549999999995</v>
      </c>
      <c r="Y966">
        <v>9.651013E-2</v>
      </c>
      <c r="Z966">
        <v>-3.456378E-3</v>
      </c>
      <c r="AA966">
        <v>0.99532600000000004</v>
      </c>
      <c r="AB966">
        <v>35</v>
      </c>
      <c r="AC966">
        <v>20.975999999999999</v>
      </c>
      <c r="AD966">
        <v>-1.121615602483</v>
      </c>
      <c r="AE966">
        <v>-1.94750000000004</v>
      </c>
      <c r="AF966">
        <v>2.0482430881420699</v>
      </c>
      <c r="AG966">
        <v>-1.121615602483</v>
      </c>
      <c r="AH966">
        <v>20.906569484910101</v>
      </c>
      <c r="AI966">
        <v>93.056309875119894</v>
      </c>
      <c r="AJ966">
        <v>84.404516833212398</v>
      </c>
      <c r="AK966">
        <v>21.036586437329401</v>
      </c>
      <c r="AL966">
        <v>78.498815215182603</v>
      </c>
      <c r="AM966">
        <v>86.094956626371598</v>
      </c>
      <c r="AN966">
        <v>1.00000001180784</v>
      </c>
    </row>
    <row r="967" spans="1:40" x14ac:dyDescent="0.25">
      <c r="A967" t="str">
        <f>"20190303170515903"</f>
        <v>20190303170515903</v>
      </c>
      <c r="B967" t="str">
        <f>"1551603915895278"</f>
        <v>1551603915895278</v>
      </c>
      <c r="C967" t="s">
        <v>40</v>
      </c>
      <c r="D967">
        <v>5.5587559999999998</v>
      </c>
      <c r="E967">
        <v>0.51573059999999904</v>
      </c>
      <c r="F967" t="s">
        <v>41</v>
      </c>
      <c r="G967">
        <v>-232.78970000000001</v>
      </c>
      <c r="H967" s="1">
        <v>-3.8224610000000002E-6</v>
      </c>
      <c r="I967">
        <v>365.40539999999999</v>
      </c>
      <c r="J967">
        <v>-254.06540000000001</v>
      </c>
      <c r="K967">
        <v>1.121607</v>
      </c>
      <c r="L967">
        <v>367.39580000000001</v>
      </c>
      <c r="M967">
        <v>0.99987859999999995</v>
      </c>
      <c r="N967">
        <v>-1.468096E-2</v>
      </c>
      <c r="O967">
        <v>5.2391390000000003E-3</v>
      </c>
      <c r="P967">
        <v>0.98078299999999996</v>
      </c>
      <c r="Q967">
        <v>0.1849654</v>
      </c>
      <c r="R967">
        <v>-6.2069899999999997E-2</v>
      </c>
      <c r="S967">
        <v>3.071075</v>
      </c>
      <c r="T967">
        <v>-0.1604247</v>
      </c>
      <c r="U967">
        <v>-0.28451539999999997</v>
      </c>
      <c r="V967">
        <v>6.7084179999999993E-2</v>
      </c>
      <c r="W967">
        <v>0.19938110000000001</v>
      </c>
      <c r="X967">
        <v>0.97762300000000002</v>
      </c>
      <c r="Y967">
        <v>9.7292180000000006E-2</v>
      </c>
      <c r="Z967">
        <v>-3.4465609999999999E-3</v>
      </c>
      <c r="AA967">
        <v>0.99524990000000002</v>
      </c>
      <c r="AB967">
        <v>35</v>
      </c>
      <c r="AC967">
        <v>21.275700000000001</v>
      </c>
      <c r="AD967">
        <v>-1.121610822461</v>
      </c>
      <c r="AE967">
        <v>-1.9904000000000199</v>
      </c>
      <c r="AF967">
        <v>2.0960761991189201</v>
      </c>
      <c r="AG967">
        <v>-1.121610822461</v>
      </c>
      <c r="AH967">
        <v>21.206553354865001</v>
      </c>
      <c r="AI967">
        <v>93.012888397523795</v>
      </c>
      <c r="AJ967">
        <v>84.355164687222995</v>
      </c>
      <c r="AK967">
        <v>21.3393873263107</v>
      </c>
      <c r="AL967">
        <v>78.499229282487093</v>
      </c>
      <c r="AM967">
        <v>86.074535303320104</v>
      </c>
      <c r="AN967">
        <v>0.99999992018623796</v>
      </c>
    </row>
    <row r="968" spans="1:40" x14ac:dyDescent="0.25">
      <c r="A968" t="str">
        <f>"20190303170515915"</f>
        <v>20190303170515915</v>
      </c>
      <c r="B968" t="str">
        <f>"1551603915905038"</f>
        <v>1551603915905038</v>
      </c>
      <c r="C968" t="s">
        <v>40</v>
      </c>
      <c r="D968">
        <v>5.5439290000000003</v>
      </c>
      <c r="E968">
        <v>0.51587919999999998</v>
      </c>
      <c r="F968" t="s">
        <v>41</v>
      </c>
      <c r="G968">
        <v>-232.52080000000001</v>
      </c>
      <c r="H968" s="1">
        <v>-3.9406330000000003E-6</v>
      </c>
      <c r="I968">
        <v>365.3897</v>
      </c>
      <c r="J968">
        <v>-253.8674</v>
      </c>
      <c r="K968">
        <v>1.1216079999999999</v>
      </c>
      <c r="L968">
        <v>367.39690000000002</v>
      </c>
      <c r="M968">
        <v>0.99987780000000004</v>
      </c>
      <c r="N968">
        <v>-1.467916E-2</v>
      </c>
      <c r="O968">
        <v>5.4002520000000004E-3</v>
      </c>
      <c r="P968">
        <v>0.9807247</v>
      </c>
      <c r="Q968">
        <v>0.18523410000000001</v>
      </c>
      <c r="R968">
        <v>-6.219218E-2</v>
      </c>
      <c r="S968">
        <v>3.070862</v>
      </c>
      <c r="T968">
        <v>-0.15986779999999901</v>
      </c>
      <c r="U968">
        <v>-0.28591919999999998</v>
      </c>
      <c r="V968">
        <v>6.7363740000000005E-2</v>
      </c>
      <c r="W968">
        <v>0.19964699999999999</v>
      </c>
      <c r="X968">
        <v>0.97754960000000002</v>
      </c>
      <c r="Y968">
        <v>9.7909819999999995E-2</v>
      </c>
      <c r="Z968">
        <v>-3.4634829999999998E-3</v>
      </c>
      <c r="AA968">
        <v>0.9951892</v>
      </c>
      <c r="AB968">
        <v>35</v>
      </c>
      <c r="AC968">
        <v>21.346599999999899</v>
      </c>
      <c r="AD968">
        <v>-1.1216119406329901</v>
      </c>
      <c r="AE968">
        <v>-2.0072000000000099</v>
      </c>
      <c r="AF968">
        <v>2.11666776483843</v>
      </c>
      <c r="AG968">
        <v>-1.1216119406329901</v>
      </c>
      <c r="AH968">
        <v>21.277221731525401</v>
      </c>
      <c r="AI968">
        <v>93.002714759806807</v>
      </c>
      <c r="AJ968">
        <v>84.318881206196906</v>
      </c>
      <c r="AK968">
        <v>21.411643103334601</v>
      </c>
      <c r="AL968">
        <v>78.483682789652406</v>
      </c>
      <c r="AM968">
        <v>86.0579331326839</v>
      </c>
      <c r="AN968">
        <v>1.0000000092679699</v>
      </c>
    </row>
    <row r="969" spans="1:40" x14ac:dyDescent="0.25">
      <c r="A969" t="str">
        <f>"20190303170515929"</f>
        <v>20190303170515929</v>
      </c>
      <c r="B969" t="str">
        <f>"1551603915925534"</f>
        <v>1551603915925534</v>
      </c>
      <c r="C969" t="s">
        <v>40</v>
      </c>
      <c r="D969">
        <v>5.5579999999999998</v>
      </c>
      <c r="E969">
        <v>0.51618999999999904</v>
      </c>
      <c r="F969" t="s">
        <v>41</v>
      </c>
      <c r="G969">
        <v>-232.04390000000001</v>
      </c>
      <c r="H969" s="1">
        <v>-4.1522340000000003E-6</v>
      </c>
      <c r="I969">
        <v>365.35</v>
      </c>
      <c r="J969">
        <v>-253.6696</v>
      </c>
      <c r="K969">
        <v>1.12161</v>
      </c>
      <c r="L969">
        <v>367.39819999999997</v>
      </c>
      <c r="M969">
        <v>0.99987680000000001</v>
      </c>
      <c r="N969">
        <v>-1.4677330000000001E-2</v>
      </c>
      <c r="O969">
        <v>5.5616019999999997E-3</v>
      </c>
      <c r="P969">
        <v>0.98074919999999999</v>
      </c>
      <c r="Q969">
        <v>0.18502830000000001</v>
      </c>
      <c r="R969">
        <v>-6.2413219999999998E-2</v>
      </c>
      <c r="S969">
        <v>3.0705110000000002</v>
      </c>
      <c r="T969">
        <v>-0.15780739999999999</v>
      </c>
      <c r="U969">
        <v>-0.28799439999999998</v>
      </c>
      <c r="V969">
        <v>6.7743609999999996E-2</v>
      </c>
      <c r="W969">
        <v>0.19944000000000001</v>
      </c>
      <c r="X969">
        <v>0.97756560000000003</v>
      </c>
      <c r="Y969">
        <v>9.8750080000000004E-2</v>
      </c>
      <c r="Z969">
        <v>-3.4609490000000001E-3</v>
      </c>
      <c r="AA969">
        <v>0.99510620000000005</v>
      </c>
      <c r="AB969">
        <v>35</v>
      </c>
      <c r="AC969">
        <v>21.625699999999899</v>
      </c>
      <c r="AD969">
        <v>-1.121614152234</v>
      </c>
      <c r="AE969">
        <v>-2.0481999999999498</v>
      </c>
      <c r="AF969">
        <v>2.1626889747465299</v>
      </c>
      <c r="AG969">
        <v>-1.121614152234</v>
      </c>
      <c r="AH969">
        <v>21.556502260003398</v>
      </c>
      <c r="AI969">
        <v>92.963640411887397</v>
      </c>
      <c r="AJ969">
        <v>84.270884159108903</v>
      </c>
      <c r="AK969">
        <v>21.693732541762198</v>
      </c>
      <c r="AL969">
        <v>78.495786398046207</v>
      </c>
      <c r="AM969">
        <v>86.035838828439196</v>
      </c>
      <c r="AN969">
        <v>1.00000000629959</v>
      </c>
    </row>
    <row r="970" spans="1:40" x14ac:dyDescent="0.25">
      <c r="A970" t="str">
        <f>"20190303170515955"</f>
        <v>20190303170515955</v>
      </c>
      <c r="B970" t="str">
        <f>"1551603915945054"</f>
        <v>1551603915945054</v>
      </c>
      <c r="C970" t="s">
        <v>40</v>
      </c>
      <c r="D970">
        <v>5.546373</v>
      </c>
      <c r="E970">
        <v>0.51642069999999995</v>
      </c>
      <c r="F970" t="s">
        <v>41</v>
      </c>
      <c r="G970">
        <v>-231.70089999999999</v>
      </c>
      <c r="H970" s="1">
        <v>-4.3055849999999997E-6</v>
      </c>
      <c r="I970">
        <v>365.3152</v>
      </c>
      <c r="J970">
        <v>-253.25049999999999</v>
      </c>
      <c r="K970">
        <v>1.1215999999999999</v>
      </c>
      <c r="L970">
        <v>367.4008</v>
      </c>
      <c r="M970">
        <v>0.99987510000000002</v>
      </c>
      <c r="N970">
        <v>-1.467333E-2</v>
      </c>
      <c r="O970">
        <v>5.9037330000000004E-3</v>
      </c>
      <c r="P970">
        <v>0.98084800000000005</v>
      </c>
      <c r="Q970">
        <v>0.18426090000000001</v>
      </c>
      <c r="R970">
        <v>-6.3133220000000004E-2</v>
      </c>
      <c r="S970">
        <v>3.069931</v>
      </c>
      <c r="T970">
        <v>-0.15673509999999999</v>
      </c>
      <c r="U970">
        <v>-0.29107670000000002</v>
      </c>
      <c r="V970">
        <v>6.8800109999999998E-2</v>
      </c>
      <c r="W970">
        <v>0.19866990000000001</v>
      </c>
      <c r="X970">
        <v>0.97764859999999998</v>
      </c>
      <c r="Y970">
        <v>0.1000978</v>
      </c>
      <c r="Z970">
        <v>-3.498728E-3</v>
      </c>
      <c r="AA970">
        <v>0.99497150000000001</v>
      </c>
      <c r="AB970">
        <v>35</v>
      </c>
      <c r="AC970">
        <v>21.549600000000002</v>
      </c>
      <c r="AD970">
        <v>-1.121604305585</v>
      </c>
      <c r="AE970">
        <v>-2.0855999999999901</v>
      </c>
      <c r="AF970">
        <v>2.2068775622030201</v>
      </c>
      <c r="AG970">
        <v>-1.121604305585</v>
      </c>
      <c r="AH970">
        <v>21.4792639319537</v>
      </c>
      <c r="AI970">
        <v>92.973530954059399</v>
      </c>
      <c r="AJ970">
        <v>84.133754678530593</v>
      </c>
      <c r="AK970">
        <v>21.621449624190099</v>
      </c>
      <c r="AL970">
        <v>78.540810643235005</v>
      </c>
      <c r="AM970">
        <v>85.974557867473294</v>
      </c>
      <c r="AN970">
        <v>0.99999998469199003</v>
      </c>
    </row>
    <row r="971" spans="1:40" x14ac:dyDescent="0.25">
      <c r="A971" t="str">
        <f>"20190303170515979"</f>
        <v>20190303170515979</v>
      </c>
      <c r="B971" t="str">
        <f>"1551603915965551"</f>
        <v>1551603915965551</v>
      </c>
      <c r="C971" t="s">
        <v>40</v>
      </c>
      <c r="D971">
        <v>5.5579910000000003</v>
      </c>
      <c r="E971">
        <v>0.51666339999999999</v>
      </c>
      <c r="F971" t="s">
        <v>41</v>
      </c>
      <c r="G971">
        <v>-231.351</v>
      </c>
      <c r="H971" s="1">
        <v>-4.4589340000000003E-6</v>
      </c>
      <c r="I971">
        <v>365.29689999999999</v>
      </c>
      <c r="J971">
        <v>-252.88820000000001</v>
      </c>
      <c r="K971">
        <v>1.1216079999999999</v>
      </c>
      <c r="L971">
        <v>367.4033</v>
      </c>
      <c r="M971">
        <v>0.99987320000000002</v>
      </c>
      <c r="N971">
        <v>-1.466976E-2</v>
      </c>
      <c r="O971">
        <v>6.199853E-3</v>
      </c>
      <c r="P971">
        <v>0.9808981</v>
      </c>
      <c r="Q971">
        <v>0.18381929999999999</v>
      </c>
      <c r="R971">
        <v>-6.3639009999999996E-2</v>
      </c>
      <c r="S971">
        <v>3.069153</v>
      </c>
      <c r="T971">
        <v>-0.15718869999999999</v>
      </c>
      <c r="U971">
        <v>-0.29486079999999998</v>
      </c>
      <c r="V971">
        <v>6.9597069999999997E-2</v>
      </c>
      <c r="W971">
        <v>0.19822590000000001</v>
      </c>
      <c r="X971">
        <v>0.97768239999999995</v>
      </c>
      <c r="Y971">
        <v>0.1016281</v>
      </c>
      <c r="Z971">
        <v>-3.5685320000000001E-3</v>
      </c>
      <c r="AA971">
        <v>0.99481609999999998</v>
      </c>
      <c r="AB971">
        <v>35</v>
      </c>
      <c r="AC971">
        <v>21.537199999999999</v>
      </c>
      <c r="AD971">
        <v>-1.121612458934</v>
      </c>
      <c r="AE971">
        <v>-2.1063999999999998</v>
      </c>
      <c r="AF971">
        <v>2.2339001706237598</v>
      </c>
      <c r="AG971">
        <v>-1.121612458934</v>
      </c>
      <c r="AH971">
        <v>21.466058517009301</v>
      </c>
      <c r="AI971">
        <v>92.974976799514295</v>
      </c>
      <c r="AJ971">
        <v>84.058807682625996</v>
      </c>
      <c r="AK971">
        <v>21.611108086722801</v>
      </c>
      <c r="AL971">
        <v>78.566767147139998</v>
      </c>
      <c r="AM971">
        <v>85.928224598985906</v>
      </c>
      <c r="AN971">
        <v>1.0000000674265701</v>
      </c>
    </row>
    <row r="972" spans="1:40" x14ac:dyDescent="0.25">
      <c r="A972" t="str">
        <f>"20190303170516001"</f>
        <v>20190303170516001</v>
      </c>
      <c r="B972" t="str">
        <f>"1551603915995807"</f>
        <v>1551603915995807</v>
      </c>
      <c r="C972" t="s">
        <v>40</v>
      </c>
      <c r="D972">
        <v>5.5267520000000001</v>
      </c>
      <c r="E972">
        <v>0.51710879999999904</v>
      </c>
      <c r="F972" t="s">
        <v>41</v>
      </c>
      <c r="G972">
        <v>-230.9452</v>
      </c>
      <c r="H972" s="1">
        <v>-4.6367469999999901E-6</v>
      </c>
      <c r="I972">
        <v>365.27589999999998</v>
      </c>
      <c r="J972">
        <v>-252.53980000000001</v>
      </c>
      <c r="K972">
        <v>1.121615</v>
      </c>
      <c r="L972">
        <v>367.4058</v>
      </c>
      <c r="M972">
        <v>0.99987139999999997</v>
      </c>
      <c r="N972">
        <v>-1.466628E-2</v>
      </c>
      <c r="O972">
        <v>6.4848859999999996E-3</v>
      </c>
      <c r="P972">
        <v>0.98079749999999999</v>
      </c>
      <c r="Q972">
        <v>0.1845646</v>
      </c>
      <c r="R972">
        <v>-6.3026159999999998E-2</v>
      </c>
      <c r="S972">
        <v>3.0684809999999998</v>
      </c>
      <c r="T972">
        <v>-0.15684429999999999</v>
      </c>
      <c r="U972">
        <v>-0.29748540000000001</v>
      </c>
      <c r="V972">
        <v>6.9263030000000003E-2</v>
      </c>
      <c r="W972">
        <v>0.19896620000000001</v>
      </c>
      <c r="X972">
        <v>0.97755570000000003</v>
      </c>
      <c r="Y972">
        <v>0.1027739</v>
      </c>
      <c r="Z972">
        <v>-3.610537E-3</v>
      </c>
      <c r="AA972">
        <v>0.99469819999999998</v>
      </c>
      <c r="AB972">
        <v>35</v>
      </c>
      <c r="AC972">
        <v>21.5946</v>
      </c>
      <c r="AD972">
        <v>-1.1216196367469999</v>
      </c>
      <c r="AE972">
        <v>-2.1299000000000201</v>
      </c>
      <c r="AF972">
        <v>2.2638603122149901</v>
      </c>
      <c r="AG972">
        <v>-1.1216196367469999</v>
      </c>
      <c r="AH972">
        <v>21.522828487000901</v>
      </c>
      <c r="AI972">
        <v>92.966820272696694</v>
      </c>
      <c r="AJ972">
        <v>83.995471573062503</v>
      </c>
      <c r="AK972">
        <v>21.670607748829202</v>
      </c>
      <c r="AL972">
        <v>78.523488625666403</v>
      </c>
      <c r="AM972">
        <v>85.947178876951398</v>
      </c>
      <c r="AN972">
        <v>1.00000003133485</v>
      </c>
    </row>
    <row r="973" spans="1:40" x14ac:dyDescent="0.25">
      <c r="A973" t="str">
        <f>"20190303170516023"</f>
        <v>20190303170516023</v>
      </c>
      <c r="B973" t="str">
        <f>"1551603916015326"</f>
        <v>1551603916015326</v>
      </c>
      <c r="C973" t="s">
        <v>40</v>
      </c>
      <c r="D973">
        <v>5.516006</v>
      </c>
      <c r="E973">
        <v>0.51731519999999998</v>
      </c>
      <c r="F973" t="s">
        <v>41</v>
      </c>
      <c r="G973">
        <v>-230.5908</v>
      </c>
      <c r="H973" s="1">
        <v>-4.7910889999999997E-6</v>
      </c>
      <c r="I973">
        <v>365.2629</v>
      </c>
      <c r="J973">
        <v>-252.2029</v>
      </c>
      <c r="K973">
        <v>1.121618</v>
      </c>
      <c r="L973">
        <v>367.40820000000002</v>
      </c>
      <c r="M973">
        <v>0.99986960000000003</v>
      </c>
      <c r="N973">
        <v>-1.466288E-2</v>
      </c>
      <c r="O973">
        <v>6.7606189999999998E-3</v>
      </c>
      <c r="P973">
        <v>0.98069360000000005</v>
      </c>
      <c r="Q973">
        <v>0.18535170000000001</v>
      </c>
      <c r="R973">
        <v>-6.2329740000000002E-2</v>
      </c>
      <c r="S973">
        <v>3.0689850000000001</v>
      </c>
      <c r="T973">
        <v>-0.1568283</v>
      </c>
      <c r="U973">
        <v>-0.29962159999999999</v>
      </c>
      <c r="V973">
        <v>6.8835729999999998E-2</v>
      </c>
      <c r="W973">
        <v>0.19974749999999999</v>
      </c>
      <c r="X973">
        <v>0.97742649999999998</v>
      </c>
      <c r="Y973">
        <v>0.1037167</v>
      </c>
      <c r="Z973">
        <v>-3.650501E-3</v>
      </c>
      <c r="AA973">
        <v>0.99460020000000005</v>
      </c>
      <c r="AB973">
        <v>35</v>
      </c>
      <c r="AC973">
        <v>21.612100000000002</v>
      </c>
      <c r="AD973">
        <v>-1.121622791089</v>
      </c>
      <c r="AE973">
        <v>-2.14530000000001</v>
      </c>
      <c r="AF973">
        <v>2.28528274400515</v>
      </c>
      <c r="AG973">
        <v>-1.121622791089</v>
      </c>
      <c r="AH973">
        <v>21.539652184236299</v>
      </c>
      <c r="AI973">
        <v>92.964233405689995</v>
      </c>
      <c r="AJ973">
        <v>83.943771693827699</v>
      </c>
      <c r="AK973">
        <v>21.6895636452975</v>
      </c>
      <c r="AL973">
        <v>78.477805995975004</v>
      </c>
      <c r="AM973">
        <v>85.9715684671323</v>
      </c>
      <c r="AN973">
        <v>0.99999999219156599</v>
      </c>
    </row>
    <row r="974" spans="1:40" x14ac:dyDescent="0.25">
      <c r="A974" t="str">
        <f>"20190303170516045"</f>
        <v>20190303170516045</v>
      </c>
      <c r="B974" t="str">
        <f>"1551603916035823"</f>
        <v>1551603916035823</v>
      </c>
      <c r="C974" t="s">
        <v>40</v>
      </c>
      <c r="D974">
        <v>5.5136129999999897</v>
      </c>
      <c r="E974">
        <v>0.5174552</v>
      </c>
      <c r="F974" t="s">
        <v>41</v>
      </c>
      <c r="G974">
        <v>-230.04300000000001</v>
      </c>
      <c r="H974" s="1">
        <v>-5.0285969999999997E-6</v>
      </c>
      <c r="I974">
        <v>365.24880000000002</v>
      </c>
      <c r="J974">
        <v>-251.85599999999999</v>
      </c>
      <c r="K974">
        <v>1.1216200000000001</v>
      </c>
      <c r="L974">
        <v>367.41079999999999</v>
      </c>
      <c r="M974">
        <v>0.99986770000000003</v>
      </c>
      <c r="N974">
        <v>-1.465934E-2</v>
      </c>
      <c r="O974">
        <v>7.0445169999999897E-3</v>
      </c>
      <c r="P974">
        <v>0.98069720000000005</v>
      </c>
      <c r="Q974">
        <v>0.18541769999999999</v>
      </c>
      <c r="R974">
        <v>-6.2075390000000001E-2</v>
      </c>
      <c r="S974">
        <v>3.0694270000000001</v>
      </c>
      <c r="T974">
        <v>-0.15535860000000001</v>
      </c>
      <c r="U974">
        <v>-0.2991028</v>
      </c>
      <c r="V974">
        <v>6.8860199999999996E-2</v>
      </c>
      <c r="W974">
        <v>0.19981009999999999</v>
      </c>
      <c r="X974">
        <v>0.97741199999999995</v>
      </c>
      <c r="Y974">
        <v>0.10382139999999999</v>
      </c>
      <c r="Z974">
        <v>-3.6355599999999999E-3</v>
      </c>
      <c r="AA974">
        <v>0.99458930000000001</v>
      </c>
      <c r="AB974">
        <v>35</v>
      </c>
      <c r="AC974">
        <v>21.812999999999899</v>
      </c>
      <c r="AD974">
        <v>-1.121625028597</v>
      </c>
      <c r="AE974">
        <v>-2.1619999999999702</v>
      </c>
      <c r="AF974">
        <v>2.3095777489232399</v>
      </c>
      <c r="AG974">
        <v>-1.121625028597</v>
      </c>
      <c r="AH974">
        <v>21.740304174884699</v>
      </c>
      <c r="AI974">
        <v>92.936886437558101</v>
      </c>
      <c r="AJ974">
        <v>83.935936428875394</v>
      </c>
      <c r="AK974">
        <v>21.891391406203599</v>
      </c>
      <c r="AL974">
        <v>78.474145701675795</v>
      </c>
      <c r="AM974">
        <v>85.970081555138407</v>
      </c>
      <c r="AN974">
        <v>1.00000001047502</v>
      </c>
    </row>
    <row r="975" spans="1:40" x14ac:dyDescent="0.25">
      <c r="A975" t="str">
        <f>"20190303170516067"</f>
        <v>20190303170516067</v>
      </c>
      <c r="B975" t="str">
        <f>"1551603916055342"</f>
        <v>1551603916055342</v>
      </c>
      <c r="C975" t="s">
        <v>40</v>
      </c>
      <c r="D975">
        <v>5.5279099999999897</v>
      </c>
      <c r="E975">
        <v>0.51771339999999999</v>
      </c>
      <c r="F975" t="s">
        <v>41</v>
      </c>
      <c r="G975">
        <v>-229.857</v>
      </c>
      <c r="H975" s="1">
        <v>-1.1911530000000001E-6</v>
      </c>
      <c r="I975">
        <v>365.27010000000001</v>
      </c>
      <c r="J975">
        <v>-251.51859999999999</v>
      </c>
      <c r="K975">
        <v>1.1216250000000001</v>
      </c>
      <c r="L975">
        <v>367.4135</v>
      </c>
      <c r="M975">
        <v>0.99986580000000003</v>
      </c>
      <c r="N975">
        <v>-1.465585E-2</v>
      </c>
      <c r="O975">
        <v>7.3206649999999996E-3</v>
      </c>
      <c r="P975">
        <v>0.98069490000000004</v>
      </c>
      <c r="Q975">
        <v>0.18561059999999999</v>
      </c>
      <c r="R975">
        <v>-6.1532829999999997E-2</v>
      </c>
      <c r="S975">
        <v>3.0697329999999998</v>
      </c>
      <c r="T975">
        <v>-0.1565105</v>
      </c>
      <c r="U975">
        <v>-0.29870609999999997</v>
      </c>
      <c r="V975">
        <v>6.8588419999999997E-2</v>
      </c>
      <c r="W975">
        <v>0.1999988</v>
      </c>
      <c r="X975">
        <v>0.9773925</v>
      </c>
      <c r="Y975">
        <v>0.10395649999999999</v>
      </c>
      <c r="Z975">
        <v>-3.6715889999999998E-3</v>
      </c>
      <c r="AA975">
        <v>0.99457510000000005</v>
      </c>
      <c r="AB975">
        <v>35</v>
      </c>
      <c r="AC975">
        <v>21.6616</v>
      </c>
      <c r="AD975">
        <v>-1.1216261911530001</v>
      </c>
      <c r="AE975">
        <v>-2.1433999999999802</v>
      </c>
      <c r="AF975">
        <v>2.2958411742924301</v>
      </c>
      <c r="AG975">
        <v>-1.1216261911530001</v>
      </c>
      <c r="AH975">
        <v>21.588007926012601</v>
      </c>
      <c r="AI975">
        <v>92.957536494044803</v>
      </c>
      <c r="AJ975">
        <v>83.9295260736275</v>
      </c>
      <c r="AK975">
        <v>21.7386986322512</v>
      </c>
      <c r="AL975">
        <v>78.463111083842307</v>
      </c>
      <c r="AM975">
        <v>85.985855067986193</v>
      </c>
      <c r="AN975">
        <v>0.99999999520789296</v>
      </c>
    </row>
    <row r="976" spans="1:40" x14ac:dyDescent="0.25">
      <c r="A976" t="str">
        <f>"20190303170516090"</f>
        <v>20190303170516090</v>
      </c>
      <c r="B976" t="str">
        <f>"1551603916085598"</f>
        <v>1551603916085598</v>
      </c>
      <c r="C976" t="s">
        <v>40</v>
      </c>
      <c r="D976">
        <v>5.5297010000000002</v>
      </c>
      <c r="E976">
        <v>0.51805659999999998</v>
      </c>
      <c r="F976" t="s">
        <v>41</v>
      </c>
      <c r="G976">
        <v>-229.59399999999999</v>
      </c>
      <c r="H976" s="1">
        <v>-1.279264E-6</v>
      </c>
      <c r="I976">
        <v>365.27539999999999</v>
      </c>
      <c r="J976">
        <v>-251.15389999999999</v>
      </c>
      <c r="K976">
        <v>1.121631</v>
      </c>
      <c r="L976">
        <v>367.41649999999998</v>
      </c>
      <c r="M976">
        <v>0.99986359999999996</v>
      </c>
      <c r="N976">
        <v>-1.465209E-2</v>
      </c>
      <c r="O976">
        <v>7.6192880000000001E-3</v>
      </c>
      <c r="P976">
        <v>0.98060860000000005</v>
      </c>
      <c r="Q976">
        <v>0.18622240000000001</v>
      </c>
      <c r="R976">
        <v>-6.1057649999999998E-2</v>
      </c>
      <c r="S976">
        <v>3.0699770000000002</v>
      </c>
      <c r="T976">
        <v>-0.15705439999999901</v>
      </c>
      <c r="U976">
        <v>-0.29937740000000002</v>
      </c>
      <c r="V976">
        <v>6.8405259999999996E-2</v>
      </c>
      <c r="W976">
        <v>0.20060520000000001</v>
      </c>
      <c r="X976">
        <v>0.97728099999999996</v>
      </c>
      <c r="Y976">
        <v>0.1044593</v>
      </c>
      <c r="Z976">
        <v>-3.7090130000000002E-3</v>
      </c>
      <c r="AA976">
        <v>0.99452229999999997</v>
      </c>
      <c r="AB976">
        <v>35</v>
      </c>
      <c r="AC976">
        <v>21.559899999999899</v>
      </c>
      <c r="AD976">
        <v>-1.1216322792640001</v>
      </c>
      <c r="AE976">
        <v>-2.14109999999999</v>
      </c>
      <c r="AF976">
        <v>2.29916465270193</v>
      </c>
      <c r="AG976">
        <v>-1.1216322792640001</v>
      </c>
      <c r="AH976">
        <v>21.4853764266532</v>
      </c>
      <c r="AI976">
        <v>92.971447576448298</v>
      </c>
      <c r="AJ976">
        <v>83.891984014501702</v>
      </c>
      <c r="AK976">
        <v>21.637135144586601</v>
      </c>
      <c r="AL976">
        <v>78.427647584932103</v>
      </c>
      <c r="AM976">
        <v>85.996084347009599</v>
      </c>
      <c r="AN976">
        <v>0.99999993941185195</v>
      </c>
    </row>
    <row r="977" spans="1:40" x14ac:dyDescent="0.25">
      <c r="A977" t="str">
        <f>"20190303170516112"</f>
        <v>20190303170516112</v>
      </c>
      <c r="B977" t="str">
        <f>"1551603916105120"</f>
        <v>1551603916105120</v>
      </c>
      <c r="C977" t="s">
        <v>40</v>
      </c>
      <c r="D977">
        <v>5.514227</v>
      </c>
      <c r="E977">
        <v>0.51825889999999997</v>
      </c>
      <c r="F977" t="s">
        <v>41</v>
      </c>
      <c r="G977">
        <v>-229.18979999999999</v>
      </c>
      <c r="H977" s="1">
        <v>-1.4206950000000001E-6</v>
      </c>
      <c r="I977">
        <v>365.26080000000002</v>
      </c>
      <c r="J977">
        <v>-250.8073</v>
      </c>
      <c r="K977">
        <v>1.121642</v>
      </c>
      <c r="L977">
        <v>367.4194</v>
      </c>
      <c r="M977">
        <v>0.99986149999999996</v>
      </c>
      <c r="N977">
        <v>-1.4648629999999999E-2</v>
      </c>
      <c r="O977">
        <v>7.9034209999999903E-3</v>
      </c>
      <c r="P977">
        <v>0.98042070000000003</v>
      </c>
      <c r="Q977">
        <v>0.1873618</v>
      </c>
      <c r="R977">
        <v>-6.0587229999999999E-2</v>
      </c>
      <c r="S977">
        <v>3.0703279999999999</v>
      </c>
      <c r="T977">
        <v>-0.1567904</v>
      </c>
      <c r="U977">
        <v>-0.301330599999999</v>
      </c>
      <c r="V977">
        <v>6.8211620000000001E-2</v>
      </c>
      <c r="W977">
        <v>0.2017379</v>
      </c>
      <c r="X977">
        <v>0.97706139999999997</v>
      </c>
      <c r="Y977">
        <v>0.1053564</v>
      </c>
      <c r="Z977">
        <v>-3.7430649999999998E-3</v>
      </c>
      <c r="AA977">
        <v>0.99442750000000002</v>
      </c>
      <c r="AB977">
        <v>35</v>
      </c>
      <c r="AC977">
        <v>21.6175</v>
      </c>
      <c r="AD977">
        <v>-1.1216434206949999</v>
      </c>
      <c r="AE977">
        <v>-2.1585999999999701</v>
      </c>
      <c r="AF977">
        <v>2.3232104223543799</v>
      </c>
      <c r="AG977">
        <v>-1.1216434206949999</v>
      </c>
      <c r="AH977">
        <v>21.5423399496568</v>
      </c>
      <c r="AI977">
        <v>92.963371931997798</v>
      </c>
      <c r="AJ977">
        <v>83.844787229129196</v>
      </c>
      <c r="AK977">
        <v>21.6962623771078</v>
      </c>
      <c r="AL977">
        <v>78.361394789224903</v>
      </c>
      <c r="AM977">
        <v>86.006487369173499</v>
      </c>
      <c r="AN977">
        <v>0.99999999238469695</v>
      </c>
    </row>
    <row r="978" spans="1:40" x14ac:dyDescent="0.25">
      <c r="A978" t="str">
        <f>"20190303170516133"</f>
        <v>20190303170516133</v>
      </c>
      <c r="B978" t="str">
        <f>"1551603916125615"</f>
        <v>1551603916125615</v>
      </c>
      <c r="C978" t="s">
        <v>40</v>
      </c>
      <c r="D978">
        <v>5.504626</v>
      </c>
      <c r="E978">
        <v>0.51843939999999999</v>
      </c>
      <c r="F978" t="s">
        <v>41</v>
      </c>
      <c r="G978">
        <v>-228.45509999999999</v>
      </c>
      <c r="H978" s="1">
        <v>-1.6796960000000001E-6</v>
      </c>
      <c r="I978">
        <v>365.22710000000001</v>
      </c>
      <c r="J978">
        <v>-250.48169999999999</v>
      </c>
      <c r="K978">
        <v>1.1216440000000001</v>
      </c>
      <c r="L978">
        <v>367.42230000000001</v>
      </c>
      <c r="M978">
        <v>0.99985930000000001</v>
      </c>
      <c r="N978">
        <v>-1.4645210000000001E-2</v>
      </c>
      <c r="O978">
        <v>8.1705679999999996E-3</v>
      </c>
      <c r="P978">
        <v>0.98024579999999994</v>
      </c>
      <c r="Q978">
        <v>0.18820029999999999</v>
      </c>
      <c r="R978">
        <v>-6.0819230000000002E-2</v>
      </c>
      <c r="S978">
        <v>3.0707399999999998</v>
      </c>
      <c r="T978">
        <v>-0.15409030000000001</v>
      </c>
      <c r="U978">
        <v>-0.301178</v>
      </c>
      <c r="V978">
        <v>6.8703600000000004E-2</v>
      </c>
      <c r="W978">
        <v>0.2025701</v>
      </c>
      <c r="X978">
        <v>0.97685469999999996</v>
      </c>
      <c r="Y978">
        <v>0.1055653</v>
      </c>
      <c r="Z978">
        <v>-3.7056680000000001E-3</v>
      </c>
      <c r="AA978">
        <v>0.99440539999999999</v>
      </c>
      <c r="AB978">
        <v>35</v>
      </c>
      <c r="AC978">
        <v>22.026599999999998</v>
      </c>
      <c r="AD978">
        <v>-1.1216456796959999</v>
      </c>
      <c r="AE978">
        <v>-2.1951999999999998</v>
      </c>
      <c r="AF978">
        <v>2.36903317371601</v>
      </c>
      <c r="AG978">
        <v>-1.1216456796959999</v>
      </c>
      <c r="AH978">
        <v>21.951564227342601</v>
      </c>
      <c r="AI978">
        <v>92.908206059121099</v>
      </c>
      <c r="AJ978">
        <v>83.840425875023598</v>
      </c>
      <c r="AK978">
        <v>22.1075005198709</v>
      </c>
      <c r="AL978">
        <v>78.312707745489107</v>
      </c>
      <c r="AM978">
        <v>85.976929847960506</v>
      </c>
      <c r="AN978">
        <v>0.99999996748952902</v>
      </c>
    </row>
    <row r="979" spans="1:40" x14ac:dyDescent="0.25">
      <c r="A979" t="str">
        <f>"20190303170516156"</f>
        <v>20190303170516156</v>
      </c>
      <c r="B979" t="str">
        <f>"1551603916145134"</f>
        <v>1551603916145134</v>
      </c>
      <c r="C979" t="s">
        <v>40</v>
      </c>
      <c r="D979">
        <v>5.5269490000000001</v>
      </c>
      <c r="E979">
        <v>0.51864650000000001</v>
      </c>
      <c r="F979" t="s">
        <v>41</v>
      </c>
      <c r="G979">
        <v>-227.86600000000001</v>
      </c>
      <c r="H979" s="1">
        <v>-1.890395E-6</v>
      </c>
      <c r="I979">
        <v>365.18869999999998</v>
      </c>
      <c r="J979">
        <v>-250.13499999999999</v>
      </c>
      <c r="K979">
        <v>1.1216489999999999</v>
      </c>
      <c r="L979">
        <v>367.42540000000002</v>
      </c>
      <c r="M979">
        <v>0.999857</v>
      </c>
      <c r="N979">
        <v>-1.4641400000000001E-2</v>
      </c>
      <c r="O979">
        <v>8.4551219999999903E-3</v>
      </c>
      <c r="P979">
        <v>0.98008879999999998</v>
      </c>
      <c r="Q979">
        <v>0.18906439999999999</v>
      </c>
      <c r="R979">
        <v>-6.0667550000000001E-2</v>
      </c>
      <c r="S979">
        <v>3.0708769999999999</v>
      </c>
      <c r="T979">
        <v>-0.15230179999999999</v>
      </c>
      <c r="U979">
        <v>-0.30328369999999999</v>
      </c>
      <c r="V979">
        <v>6.8829340000000003E-2</v>
      </c>
      <c r="W979">
        <v>0.20342779999999999</v>
      </c>
      <c r="X979">
        <v>0.97666759999999997</v>
      </c>
      <c r="Y979">
        <v>0.1065212</v>
      </c>
      <c r="Z979">
        <v>-3.7104999999999998E-3</v>
      </c>
      <c r="AA979">
        <v>0.99430350000000001</v>
      </c>
      <c r="AB979">
        <v>35</v>
      </c>
      <c r="AC979">
        <v>22.268999999999998</v>
      </c>
      <c r="AD979">
        <v>-1.121650890395</v>
      </c>
      <c r="AE979">
        <v>-2.2367000000000399</v>
      </c>
      <c r="AF979">
        <v>2.4188520918266798</v>
      </c>
      <c r="AG979">
        <v>-1.121650890395</v>
      </c>
      <c r="AH979">
        <v>22.193548364125501</v>
      </c>
      <c r="AI979">
        <v>92.876234985034699</v>
      </c>
      <c r="AJ979">
        <v>83.779942693893801</v>
      </c>
      <c r="AK979">
        <v>22.353132557939901</v>
      </c>
      <c r="AL979">
        <v>78.262520276670202</v>
      </c>
      <c r="AM979">
        <v>85.968821586613899</v>
      </c>
      <c r="AN979">
        <v>0.99999997437371702</v>
      </c>
    </row>
    <row r="980" spans="1:40" x14ac:dyDescent="0.25">
      <c r="A980" t="str">
        <f>"20190303170516179"</f>
        <v>20190303170516179</v>
      </c>
      <c r="B980" t="str">
        <f>"1551603916165630"</f>
        <v>1551603916165630</v>
      </c>
      <c r="C980" t="s">
        <v>40</v>
      </c>
      <c r="D980">
        <v>5.5241160000000002</v>
      </c>
      <c r="E980">
        <v>0.51890769999999997</v>
      </c>
      <c r="F980" t="s">
        <v>41</v>
      </c>
      <c r="G980">
        <v>-227.1909</v>
      </c>
      <c r="H980" s="1">
        <v>-2.1307959999999999E-6</v>
      </c>
      <c r="I980">
        <v>365.14850000000001</v>
      </c>
      <c r="J980">
        <v>-249.77709999999999</v>
      </c>
      <c r="K980">
        <v>1.121653</v>
      </c>
      <c r="L980">
        <v>367.42869999999999</v>
      </c>
      <c r="M980">
        <v>0.99985460000000004</v>
      </c>
      <c r="N980">
        <v>-1.463739E-2</v>
      </c>
      <c r="O980">
        <v>8.7483830000000002E-3</v>
      </c>
      <c r="P980">
        <v>0.98005869999999995</v>
      </c>
      <c r="Q980">
        <v>0.18935160000000001</v>
      </c>
      <c r="R980">
        <v>-6.0256240000000003E-2</v>
      </c>
      <c r="S980">
        <v>3.0710600000000001</v>
      </c>
      <c r="T980">
        <v>-0.15013219999999999</v>
      </c>
      <c r="U980">
        <v>-0.30474849999999998</v>
      </c>
      <c r="V980">
        <v>6.8705059999999998E-2</v>
      </c>
      <c r="W980">
        <v>0.20371069999999999</v>
      </c>
      <c r="X980">
        <v>0.97661739999999997</v>
      </c>
      <c r="Y980">
        <v>0.10727979999999999</v>
      </c>
      <c r="Z980">
        <v>-3.7007279999999999E-3</v>
      </c>
      <c r="AA980">
        <v>0.99422200000000005</v>
      </c>
      <c r="AB980">
        <v>35</v>
      </c>
      <c r="AC980">
        <v>22.586199999999899</v>
      </c>
      <c r="AD980">
        <v>-1.1216551307960001</v>
      </c>
      <c r="AE980">
        <v>-2.2801999999999798</v>
      </c>
      <c r="AF980">
        <v>2.4716923773661699</v>
      </c>
      <c r="AG980">
        <v>-1.1216551307960001</v>
      </c>
      <c r="AH980">
        <v>22.510429656759602</v>
      </c>
      <c r="AI980">
        <v>92.835574386932606</v>
      </c>
      <c r="AJ980">
        <v>83.733905204551604</v>
      </c>
      <c r="AK980">
        <v>22.673482678509998</v>
      </c>
      <c r="AL980">
        <v>78.245964823650496</v>
      </c>
      <c r="AM980">
        <v>85.975870294321197</v>
      </c>
      <c r="AN980">
        <v>0.99999999027342601</v>
      </c>
    </row>
    <row r="981" spans="1:40" x14ac:dyDescent="0.25">
      <c r="A981" t="str">
        <f>"20190303170516203"</f>
        <v>20190303170516203</v>
      </c>
      <c r="B981" t="str">
        <f>"1551603916195887"</f>
        <v>1551603916195887</v>
      </c>
      <c r="C981" t="s">
        <v>40</v>
      </c>
      <c r="D981">
        <v>5.5436740000000002</v>
      </c>
      <c r="E981">
        <v>0.51921759999999995</v>
      </c>
      <c r="F981" t="s">
        <v>41</v>
      </c>
      <c r="G981">
        <v>-226.83420000000001</v>
      </c>
      <c r="H981" s="1">
        <v>-2.2531920000000001E-6</v>
      </c>
      <c r="I981">
        <v>365.14479999999998</v>
      </c>
      <c r="J981">
        <v>-249.4162</v>
      </c>
      <c r="K981">
        <v>1.1216569999999999</v>
      </c>
      <c r="L981">
        <v>367.43220000000002</v>
      </c>
      <c r="M981">
        <v>0.99985210000000002</v>
      </c>
      <c r="N981">
        <v>-1.463334E-2</v>
      </c>
      <c r="O981">
        <v>9.0440850000000003E-3</v>
      </c>
      <c r="P981">
        <v>0.98000359999999997</v>
      </c>
      <c r="Q981">
        <v>0.1897577</v>
      </c>
      <c r="R981">
        <v>-5.9877489999999998E-2</v>
      </c>
      <c r="S981">
        <v>3.071259</v>
      </c>
      <c r="T981">
        <v>-0.1501499</v>
      </c>
      <c r="U981">
        <v>-0.30572510000000003</v>
      </c>
      <c r="V981">
        <v>6.8615350000000006E-2</v>
      </c>
      <c r="W981">
        <v>0.20411119999999999</v>
      </c>
      <c r="X981">
        <v>0.97654010000000002</v>
      </c>
      <c r="Y981">
        <v>0.1078795</v>
      </c>
      <c r="Z981">
        <v>-3.7297910000000001E-3</v>
      </c>
      <c r="AA981">
        <v>0.99415699999999996</v>
      </c>
      <c r="AB981">
        <v>35</v>
      </c>
      <c r="AC981">
        <v>22.581999999999901</v>
      </c>
      <c r="AD981">
        <v>-1.121659253192</v>
      </c>
      <c r="AE981">
        <v>-2.2874000000000398</v>
      </c>
      <c r="AF981">
        <v>2.4854919858120001</v>
      </c>
      <c r="AG981">
        <v>-1.121659253192</v>
      </c>
      <c r="AH981">
        <v>22.5054260309504</v>
      </c>
      <c r="AI981">
        <v>92.836017777805793</v>
      </c>
      <c r="AJ981">
        <v>83.697812228892701</v>
      </c>
      <c r="AK981">
        <v>22.6700240565904</v>
      </c>
      <c r="AL981">
        <v>78.222525594443297</v>
      </c>
      <c r="AM981">
        <v>85.980790396288498</v>
      </c>
      <c r="AN981">
        <v>1.0000000075645299</v>
      </c>
    </row>
    <row r="982" spans="1:40" x14ac:dyDescent="0.25">
      <c r="A982" t="str">
        <f>"20190303170516226"</f>
        <v>20190303170516226</v>
      </c>
      <c r="B982" t="str">
        <f>"1551603916215406"</f>
        <v>1551603916215406</v>
      </c>
      <c r="C982" t="s">
        <v>40</v>
      </c>
      <c r="D982">
        <v>5.5263600000000004</v>
      </c>
      <c r="E982">
        <v>0.51934970000000003</v>
      </c>
      <c r="F982" t="s">
        <v>41</v>
      </c>
      <c r="G982">
        <v>-226.41640000000001</v>
      </c>
      <c r="H982" s="1">
        <v>-2.3988070000000002E-6</v>
      </c>
      <c r="I982">
        <v>365.1318</v>
      </c>
      <c r="J982">
        <v>-249.0762</v>
      </c>
      <c r="K982">
        <v>1.1216569999999999</v>
      </c>
      <c r="L982">
        <v>367.43560000000002</v>
      </c>
      <c r="M982">
        <v>0.99984960000000001</v>
      </c>
      <c r="N982">
        <v>-1.462954E-2</v>
      </c>
      <c r="O982">
        <v>9.3231549999999996E-3</v>
      </c>
      <c r="P982">
        <v>0.97987170000000001</v>
      </c>
      <c r="Q982">
        <v>0.19049930000000001</v>
      </c>
      <c r="R982">
        <v>-5.9678420000000003E-2</v>
      </c>
      <c r="S982">
        <v>3.0714570000000001</v>
      </c>
      <c r="T982">
        <v>-0.14978920000000001</v>
      </c>
      <c r="U982">
        <v>-0.30718990000000002</v>
      </c>
      <c r="V982">
        <v>6.8688529999999998E-2</v>
      </c>
      <c r="W982">
        <v>0.2048468</v>
      </c>
      <c r="X982">
        <v>0.9763809</v>
      </c>
      <c r="Y982">
        <v>0.10861949999999999</v>
      </c>
      <c r="Z982">
        <v>-3.7549250000000001E-3</v>
      </c>
      <c r="AA982">
        <v>0.99407630000000002</v>
      </c>
      <c r="AB982">
        <v>35</v>
      </c>
      <c r="AC982">
        <v>22.659799999999901</v>
      </c>
      <c r="AD982">
        <v>-1.1216593988069901</v>
      </c>
      <c r="AE982">
        <v>-2.3038000000000198</v>
      </c>
      <c r="AF982">
        <v>2.5088987446879201</v>
      </c>
      <c r="AG982">
        <v>-1.1216593988069901</v>
      </c>
      <c r="AH982">
        <v>22.5825672132877</v>
      </c>
      <c r="AI982">
        <v>92.8261426013391</v>
      </c>
      <c r="AJ982">
        <v>83.660498445304597</v>
      </c>
      <c r="AK982">
        <v>22.7491765710473</v>
      </c>
      <c r="AL982">
        <v>78.179468909330396</v>
      </c>
      <c r="AM982">
        <v>85.975864000671095</v>
      </c>
      <c r="AN982">
        <v>0.99999999375430504</v>
      </c>
    </row>
    <row r="983" spans="1:40" x14ac:dyDescent="0.25">
      <c r="A983" t="str">
        <f>"20190303170516246"</f>
        <v>20190303170516246</v>
      </c>
      <c r="B983" t="str">
        <f>"1551603916235903"</f>
        <v>1551603916235903</v>
      </c>
      <c r="C983" t="s">
        <v>40</v>
      </c>
      <c r="D983">
        <v>5.5358489999999998</v>
      </c>
      <c r="E983">
        <v>0.51959659999999996</v>
      </c>
      <c r="F983" t="s">
        <v>41</v>
      </c>
      <c r="G983">
        <v>-225.74600000000001</v>
      </c>
      <c r="H983" s="1">
        <v>-2.6345540000000002E-6</v>
      </c>
      <c r="I983">
        <v>365.10320000000002</v>
      </c>
      <c r="J983">
        <v>-248.74950000000001</v>
      </c>
      <c r="K983">
        <v>1.121653</v>
      </c>
      <c r="L983">
        <v>367.43889999999999</v>
      </c>
      <c r="M983">
        <v>0.99984709999999999</v>
      </c>
      <c r="N983">
        <v>-1.4625900000000001E-2</v>
      </c>
      <c r="O983">
        <v>9.5917929999999995E-3</v>
      </c>
      <c r="P983">
        <v>0.97988989999999998</v>
      </c>
      <c r="Q983">
        <v>0.1905104</v>
      </c>
      <c r="R983">
        <v>-5.9344269999999998E-2</v>
      </c>
      <c r="S983">
        <v>3.0716549999999998</v>
      </c>
      <c r="T983">
        <v>-0.14767749999999999</v>
      </c>
      <c r="U983">
        <v>-0.3070679</v>
      </c>
      <c r="V983">
        <v>6.8617899999999996E-2</v>
      </c>
      <c r="W983">
        <v>0.2048538</v>
      </c>
      <c r="X983">
        <v>0.97638440000000004</v>
      </c>
      <c r="Y983">
        <v>0.108845</v>
      </c>
      <c r="Z983">
        <v>-3.7270060000000002E-3</v>
      </c>
      <c r="AA983">
        <v>0.99405180000000004</v>
      </c>
      <c r="AB983">
        <v>34</v>
      </c>
      <c r="AC983">
        <v>23.003499999999999</v>
      </c>
      <c r="AD983">
        <v>-1.1216556345540001</v>
      </c>
      <c r="AE983">
        <v>-2.3356999999999699</v>
      </c>
      <c r="AF983">
        <v>2.5502594100379201</v>
      </c>
      <c r="AG983">
        <v>-1.1216556345540001</v>
      </c>
      <c r="AH983">
        <v>22.9260837322288</v>
      </c>
      <c r="AI983">
        <v>92.783811895284899</v>
      </c>
      <c r="AJ983">
        <v>83.652607789688602</v>
      </c>
      <c r="AK983">
        <v>23.094745067183101</v>
      </c>
      <c r="AL983">
        <v>78.179059176975798</v>
      </c>
      <c r="AM983">
        <v>85.980002667860902</v>
      </c>
      <c r="AN983">
        <v>0.99999999606910495</v>
      </c>
    </row>
    <row r="984" spans="1:40" x14ac:dyDescent="0.25">
      <c r="A984" t="str">
        <f>"20190303170516268"</f>
        <v>20190303170516268</v>
      </c>
      <c r="B984" t="str">
        <f>"1551603916255423"</f>
        <v>1551603916255423</v>
      </c>
      <c r="C984" t="s">
        <v>40</v>
      </c>
      <c r="D984">
        <v>5.5460599999999998</v>
      </c>
      <c r="E984">
        <v>0.51976560000000005</v>
      </c>
      <c r="F984" t="s">
        <v>41</v>
      </c>
      <c r="G984">
        <v>-225.37870000000001</v>
      </c>
      <c r="H984" s="1">
        <v>-2.7672610000000002E-6</v>
      </c>
      <c r="I984">
        <v>365.09269999999998</v>
      </c>
      <c r="J984">
        <v>-248.41200000000001</v>
      </c>
      <c r="K984">
        <v>1.121653</v>
      </c>
      <c r="L984">
        <v>367.4425</v>
      </c>
      <c r="M984">
        <v>0.99984439999999997</v>
      </c>
      <c r="N984">
        <v>-1.462228E-2</v>
      </c>
      <c r="O984">
        <v>9.8694260000000006E-3</v>
      </c>
      <c r="P984">
        <v>0.97988750000000002</v>
      </c>
      <c r="Q984">
        <v>0.19065460000000001</v>
      </c>
      <c r="R984">
        <v>-5.8919039999999999E-2</v>
      </c>
      <c r="S984">
        <v>3.071564</v>
      </c>
      <c r="T984">
        <v>-0.1474162</v>
      </c>
      <c r="U984">
        <v>-0.308349599999999</v>
      </c>
      <c r="V984">
        <v>6.8464960000000005E-2</v>
      </c>
      <c r="W984">
        <v>0.20499429999999999</v>
      </c>
      <c r="X984">
        <v>0.97636559999999994</v>
      </c>
      <c r="Y984">
        <v>0.10953400000000001</v>
      </c>
      <c r="Z984">
        <v>-3.7522409999999999E-3</v>
      </c>
      <c r="AA984">
        <v>0.99397599999999997</v>
      </c>
      <c r="AB984">
        <v>34</v>
      </c>
      <c r="AC984">
        <v>23.033300000000001</v>
      </c>
      <c r="AD984">
        <v>-1.1216557672609999</v>
      </c>
      <c r="AE984">
        <v>-2.3498000000000099</v>
      </c>
      <c r="AF984">
        <v>2.5710011818771799</v>
      </c>
      <c r="AG984">
        <v>-1.1216557672609999</v>
      </c>
      <c r="AH984">
        <v>22.955108999950799</v>
      </c>
      <c r="AI984">
        <v>92.780064324730901</v>
      </c>
      <c r="AJ984">
        <v>83.609433262695504</v>
      </c>
      <c r="AK984">
        <v>23.125855399034801</v>
      </c>
      <c r="AL984">
        <v>78.170834015459704</v>
      </c>
      <c r="AM984">
        <v>85.988856437281598</v>
      </c>
      <c r="AN984">
        <v>0.99999994932182401</v>
      </c>
    </row>
    <row r="985" spans="1:40" x14ac:dyDescent="0.25">
      <c r="A985" t="str">
        <f>"20190303170516291"</f>
        <v>20190303170516291</v>
      </c>
      <c r="B985" t="str">
        <f>"1551603916285679"</f>
        <v>1551603916285679</v>
      </c>
      <c r="C985" t="s">
        <v>40</v>
      </c>
      <c r="D985">
        <v>5.5443170000000004</v>
      </c>
      <c r="E985">
        <v>0.52480850000000001</v>
      </c>
      <c r="F985" t="s">
        <v>41</v>
      </c>
      <c r="G985">
        <v>-225.05510000000001</v>
      </c>
      <c r="H985" s="1">
        <v>-2.9054609999999999E-6</v>
      </c>
      <c r="I985">
        <v>365.09640000000002</v>
      </c>
      <c r="J985">
        <v>-248.06389999999999</v>
      </c>
      <c r="K985">
        <v>1.1216569999999999</v>
      </c>
      <c r="L985">
        <v>367.44619999999998</v>
      </c>
      <c r="M985">
        <v>0.9998416</v>
      </c>
      <c r="N985">
        <v>-1.46185E-2</v>
      </c>
      <c r="O985">
        <v>1.0155590000000001E-2</v>
      </c>
      <c r="P985">
        <v>0.97978080000000001</v>
      </c>
      <c r="Q985">
        <v>0.19124630000000001</v>
      </c>
      <c r="R985">
        <v>-5.8776790000000002E-2</v>
      </c>
      <c r="S985">
        <v>3.0717319999999999</v>
      </c>
      <c r="T985">
        <v>-0.147511</v>
      </c>
      <c r="U985">
        <v>-0.30853269999999999</v>
      </c>
      <c r="V985">
        <v>6.8601609999999993E-2</v>
      </c>
      <c r="W985">
        <v>0.20558090000000001</v>
      </c>
      <c r="X985">
        <v>0.97623269999999995</v>
      </c>
      <c r="Y985">
        <v>0.10987089999999899</v>
      </c>
      <c r="Z985">
        <v>-3.7739499999999999E-3</v>
      </c>
      <c r="AA985">
        <v>0.99393869999999895</v>
      </c>
      <c r="AB985">
        <v>34</v>
      </c>
      <c r="AC985">
        <v>23.008799999999901</v>
      </c>
      <c r="AD985">
        <v>-1.1216599054609999</v>
      </c>
      <c r="AE985">
        <v>-2.3497999999999601</v>
      </c>
      <c r="AF985">
        <v>2.5773099923059801</v>
      </c>
      <c r="AG985">
        <v>-1.1216599054609999</v>
      </c>
      <c r="AH985">
        <v>22.929817229051899</v>
      </c>
      <c r="AI985">
        <v>92.783013441095903</v>
      </c>
      <c r="AJ985">
        <v>83.586874914992407</v>
      </c>
      <c r="AK985">
        <v>23.101453761564098</v>
      </c>
      <c r="AL985">
        <v>78.136493341999</v>
      </c>
      <c r="AM985">
        <v>85.980331408220096</v>
      </c>
      <c r="AN985">
        <v>0.99999998594434603</v>
      </c>
    </row>
    <row r="986" spans="1:40" x14ac:dyDescent="0.25">
      <c r="A986" t="str">
        <f>"20190303170516313"</f>
        <v>20190303170516313</v>
      </c>
      <c r="B986" t="str">
        <f>"1551603916305216"</f>
        <v>1551603916305216</v>
      </c>
      <c r="C986" t="s">
        <v>40</v>
      </c>
      <c r="D986">
        <v>5.5155339999999997</v>
      </c>
      <c r="E986">
        <v>0.52545609999999998</v>
      </c>
      <c r="F986" t="s">
        <v>41</v>
      </c>
      <c r="G986">
        <v>-232.78049999999999</v>
      </c>
      <c r="H986" s="1">
        <v>-3.7678810000000001E-6</v>
      </c>
      <c r="I986">
        <v>365.7355</v>
      </c>
      <c r="J986">
        <v>-247.7199</v>
      </c>
      <c r="K986">
        <v>1.121658</v>
      </c>
      <c r="L986">
        <v>367.45</v>
      </c>
      <c r="M986">
        <v>0.99983880000000003</v>
      </c>
      <c r="N986">
        <v>-1.4614729999999999E-2</v>
      </c>
      <c r="O986">
        <v>1.043783E-2</v>
      </c>
      <c r="P986">
        <v>0.97979229999999995</v>
      </c>
      <c r="Q986">
        <v>0.191247</v>
      </c>
      <c r="R986">
        <v>-5.8581580000000001E-2</v>
      </c>
      <c r="S986">
        <v>3.085388</v>
      </c>
      <c r="T986">
        <v>-0.226437</v>
      </c>
      <c r="U986">
        <v>-0.3453369</v>
      </c>
      <c r="V986">
        <v>6.8683240000000007E-2</v>
      </c>
      <c r="W986">
        <v>0.2055777</v>
      </c>
      <c r="X986">
        <v>0.97622759999999997</v>
      </c>
      <c r="Y986">
        <v>0.12119539999999999</v>
      </c>
      <c r="Z986">
        <v>-5.9282029999999999E-3</v>
      </c>
      <c r="AA986">
        <v>0.99261100000000002</v>
      </c>
      <c r="AB986">
        <v>34</v>
      </c>
      <c r="AC986">
        <v>14.939399999999999</v>
      </c>
      <c r="AD986">
        <v>-1.1216617678809999</v>
      </c>
      <c r="AE986">
        <v>-1.7144999999999799</v>
      </c>
      <c r="AF986">
        <v>1.86000934118449</v>
      </c>
      <c r="AG986">
        <v>-1.1216617678809999</v>
      </c>
      <c r="AH986">
        <v>14.8381313830217</v>
      </c>
      <c r="AI986">
        <v>94.2895059602196</v>
      </c>
      <c r="AJ986">
        <v>82.855051038569698</v>
      </c>
      <c r="AK986">
        <v>14.996262961505799</v>
      </c>
      <c r="AL986">
        <v>78.136680288815995</v>
      </c>
      <c r="AM986">
        <v>85.975543100917406</v>
      </c>
      <c r="AN986">
        <v>0.99999995259797203</v>
      </c>
    </row>
    <row r="987" spans="1:40" x14ac:dyDescent="0.25">
      <c r="A987" t="str">
        <f>"20190303170516335"</f>
        <v>20190303170516335</v>
      </c>
      <c r="B987" t="str">
        <f>"1551603916325695"</f>
        <v>1551603916325695</v>
      </c>
      <c r="C987" t="s">
        <v>40</v>
      </c>
      <c r="D987">
        <v>5.5732809999999997</v>
      </c>
      <c r="E987">
        <v>0.52602450000000001</v>
      </c>
      <c r="F987" t="s">
        <v>41</v>
      </c>
      <c r="G987">
        <v>-230.85230000000001</v>
      </c>
      <c r="H987" s="1">
        <v>-4.6311579999999999E-6</v>
      </c>
      <c r="I987">
        <v>365.53199999999998</v>
      </c>
      <c r="J987">
        <v>-247.39099999999999</v>
      </c>
      <c r="K987">
        <v>1.1216630000000001</v>
      </c>
      <c r="L987">
        <v>367.45370000000003</v>
      </c>
      <c r="M987">
        <v>0.99983599999999995</v>
      </c>
      <c r="N987">
        <v>-1.461113E-2</v>
      </c>
      <c r="O987">
        <v>1.070802E-2</v>
      </c>
      <c r="P987">
        <v>0.97986689999999999</v>
      </c>
      <c r="Q987">
        <v>0.1910384</v>
      </c>
      <c r="R987">
        <v>-5.8015570000000002E-2</v>
      </c>
      <c r="S987">
        <v>3.080902</v>
      </c>
      <c r="T987">
        <v>-0.20487240000000001</v>
      </c>
      <c r="U987">
        <v>-0.35031129999999999</v>
      </c>
      <c r="V987">
        <v>6.8382810000000002E-2</v>
      </c>
      <c r="W987">
        <v>0.20536579999999999</v>
      </c>
      <c r="X987">
        <v>0.97629330000000003</v>
      </c>
      <c r="Y987">
        <v>0.1232674</v>
      </c>
      <c r="Z987">
        <v>-5.5388249999999998E-3</v>
      </c>
      <c r="AA987">
        <v>0.99235799999999996</v>
      </c>
      <c r="AB987">
        <v>34</v>
      </c>
      <c r="AC987">
        <v>16.538699999999899</v>
      </c>
      <c r="AD987">
        <v>-1.1216676311579901</v>
      </c>
      <c r="AE987">
        <v>-1.9217000000000399</v>
      </c>
      <c r="AF987">
        <v>2.0892237189650298</v>
      </c>
      <c r="AG987">
        <v>-1.1216676311579901</v>
      </c>
      <c r="AH987">
        <v>16.4425491625585</v>
      </c>
      <c r="AI987">
        <v>93.871490661440902</v>
      </c>
      <c r="AJ987">
        <v>82.758685183774304</v>
      </c>
      <c r="AK987">
        <v>16.612658335914499</v>
      </c>
      <c r="AL987">
        <v>78.149086102352399</v>
      </c>
      <c r="AM987">
        <v>85.993357935445701</v>
      </c>
      <c r="AN987">
        <v>0.99999996406901204</v>
      </c>
    </row>
    <row r="988" spans="1:40" x14ac:dyDescent="0.25">
      <c r="A988" t="str">
        <f>"20190303170516356"</f>
        <v>20190303170516356</v>
      </c>
      <c r="B988" t="str">
        <f>"1551603916345218"</f>
        <v>1551603916345218</v>
      </c>
      <c r="C988" t="s">
        <v>40</v>
      </c>
      <c r="D988">
        <v>5.5553220000000003</v>
      </c>
      <c r="E988">
        <v>0.52648119999999998</v>
      </c>
      <c r="F988" t="s">
        <v>41</v>
      </c>
      <c r="G988">
        <v>-228.6593</v>
      </c>
      <c r="H988" s="1">
        <v>-1.5916079999999999E-6</v>
      </c>
      <c r="I988">
        <v>365.29700000000003</v>
      </c>
      <c r="J988">
        <v>-247.04769999999999</v>
      </c>
      <c r="K988">
        <v>1.1216619999999999</v>
      </c>
      <c r="L988">
        <v>367.45769999999999</v>
      </c>
      <c r="M988">
        <v>0.99983290000000002</v>
      </c>
      <c r="N988">
        <v>-1.460737E-2</v>
      </c>
      <c r="O988">
        <v>1.0990669999999999E-2</v>
      </c>
      <c r="P988">
        <v>0.97992040000000002</v>
      </c>
      <c r="Q988">
        <v>0.1908926</v>
      </c>
      <c r="R988">
        <v>-5.7584650000000001E-2</v>
      </c>
      <c r="S988">
        <v>3.0765690000000001</v>
      </c>
      <c r="T988">
        <v>-0.18422530000000001</v>
      </c>
      <c r="U988">
        <v>-0.35421750000000002</v>
      </c>
      <c r="V988">
        <v>6.8229970000000001E-2</v>
      </c>
      <c r="W988">
        <v>0.20521700000000001</v>
      </c>
      <c r="X988">
        <v>0.97633530000000002</v>
      </c>
      <c r="Y988">
        <v>0.12500439999999999</v>
      </c>
      <c r="Z988">
        <v>-5.1396410000000003E-3</v>
      </c>
      <c r="AA988">
        <v>0.99214290000000005</v>
      </c>
      <c r="AB988">
        <v>34</v>
      </c>
      <c r="AC988">
        <v>18.388399999999901</v>
      </c>
      <c r="AD988">
        <v>-1.121663591608</v>
      </c>
      <c r="AE988">
        <v>-2.1607000000000198</v>
      </c>
      <c r="AF988">
        <v>2.35405217949423</v>
      </c>
      <c r="AG988">
        <v>-1.121663591608</v>
      </c>
      <c r="AH988">
        <v>18.2963888239046</v>
      </c>
      <c r="AI988">
        <v>93.479527732747698</v>
      </c>
      <c r="AJ988">
        <v>82.668481646901498</v>
      </c>
      <c r="AK988">
        <v>18.4812752501558</v>
      </c>
      <c r="AL988">
        <v>78.157797469364994</v>
      </c>
      <c r="AM988">
        <v>86.002455387384003</v>
      </c>
      <c r="AN988">
        <v>0.99999998196064499</v>
      </c>
    </row>
    <row r="989" spans="1:40" x14ac:dyDescent="0.25">
      <c r="A989" t="str">
        <f>"20190303170516380"</f>
        <v>20190303170516380</v>
      </c>
      <c r="B989" t="str">
        <f>"1551603916375471"</f>
        <v>1551603916375471</v>
      </c>
      <c r="C989" t="s">
        <v>40</v>
      </c>
      <c r="D989">
        <v>5.5876960000000002</v>
      </c>
      <c r="E989">
        <v>0.52716049999999903</v>
      </c>
      <c r="F989" t="s">
        <v>41</v>
      </c>
      <c r="G989">
        <v>-227.58099999999999</v>
      </c>
      <c r="H989" s="1">
        <v>-1.9835799999999998E-6</v>
      </c>
      <c r="I989">
        <v>365.2029</v>
      </c>
      <c r="J989">
        <v>-246.69839999999999</v>
      </c>
      <c r="K989">
        <v>1.1216619999999999</v>
      </c>
      <c r="L989">
        <v>367.46179999999998</v>
      </c>
      <c r="M989">
        <v>0.99982979999999999</v>
      </c>
      <c r="N989">
        <v>-1.460357E-2</v>
      </c>
      <c r="O989">
        <v>1.12782E-2</v>
      </c>
      <c r="P989">
        <v>0.97998949999999996</v>
      </c>
      <c r="Q989">
        <v>0.19052630000000001</v>
      </c>
      <c r="R989">
        <v>-5.7623220000000003E-2</v>
      </c>
      <c r="S989">
        <v>3.075043</v>
      </c>
      <c r="T989">
        <v>-0.1771828</v>
      </c>
      <c r="U989">
        <v>-0.35617070000000001</v>
      </c>
      <c r="V989">
        <v>6.8551260000000003E-2</v>
      </c>
      <c r="W989">
        <v>0.2048478</v>
      </c>
      <c r="X989">
        <v>0.97639039999999999</v>
      </c>
      <c r="Y989">
        <v>0.12598470000000001</v>
      </c>
      <c r="Z989">
        <v>-5.0217159999999999E-3</v>
      </c>
      <c r="AA989">
        <v>0.99201950000000005</v>
      </c>
      <c r="AB989">
        <v>34</v>
      </c>
      <c r="AC989">
        <v>19.1174</v>
      </c>
      <c r="AD989">
        <v>-1.12166398358</v>
      </c>
      <c r="AE989">
        <v>-2.2588999999999801</v>
      </c>
      <c r="AF989">
        <v>2.4660168922817101</v>
      </c>
      <c r="AG989">
        <v>-1.12166398358</v>
      </c>
      <c r="AH989">
        <v>19.026110189968701</v>
      </c>
      <c r="AI989">
        <v>93.345982595123104</v>
      </c>
      <c r="AJ989">
        <v>82.6149363462753</v>
      </c>
      <c r="AK989">
        <v>19.218018585845702</v>
      </c>
      <c r="AL989">
        <v>78.179411104367603</v>
      </c>
      <c r="AM989">
        <v>85.983918606505298</v>
      </c>
      <c r="AN989">
        <v>1.00000005481229</v>
      </c>
    </row>
    <row r="990" spans="1:40" x14ac:dyDescent="0.25">
      <c r="A990" t="str">
        <f>"20190303170516403"</f>
        <v>20190303170516403</v>
      </c>
      <c r="B990" t="str">
        <f>"1551603916395967"</f>
        <v>1551603916395967</v>
      </c>
      <c r="C990" t="s">
        <v>40</v>
      </c>
      <c r="D990">
        <v>5.5609799999999998</v>
      </c>
      <c r="E990">
        <v>0.5276267</v>
      </c>
      <c r="F990" t="s">
        <v>41</v>
      </c>
      <c r="G990">
        <v>-226.2415</v>
      </c>
      <c r="H990" s="1">
        <v>-2.4798759999999999E-6</v>
      </c>
      <c r="I990">
        <v>365.05079999999998</v>
      </c>
      <c r="J990">
        <v>-246.34909999999999</v>
      </c>
      <c r="K990">
        <v>1.121661</v>
      </c>
      <c r="L990">
        <v>367.46609999999998</v>
      </c>
      <c r="M990">
        <v>0.99982660000000001</v>
      </c>
      <c r="N990">
        <v>-1.459979E-2</v>
      </c>
      <c r="O990">
        <v>1.1565850000000001E-2</v>
      </c>
      <c r="P990">
        <v>0.97992630000000003</v>
      </c>
      <c r="Q990">
        <v>0.19094259999999999</v>
      </c>
      <c r="R990">
        <v>-5.7319630000000003E-2</v>
      </c>
      <c r="S990">
        <v>3.072708</v>
      </c>
      <c r="T990">
        <v>-0.1684775</v>
      </c>
      <c r="U990">
        <v>-0.36212159999999999</v>
      </c>
      <c r="V990">
        <v>6.8528870000000006E-2</v>
      </c>
      <c r="W990">
        <v>0.205259</v>
      </c>
      <c r="X990">
        <v>0.97630550000000005</v>
      </c>
      <c r="Y990">
        <v>0.1282702</v>
      </c>
      <c r="Z990">
        <v>-4.9057679999999996E-3</v>
      </c>
      <c r="AA990">
        <v>0.99172709999999997</v>
      </c>
      <c r="AB990">
        <v>34</v>
      </c>
      <c r="AC990">
        <v>20.107599999999898</v>
      </c>
      <c r="AD990">
        <v>-1.1216634798759999</v>
      </c>
      <c r="AE990">
        <v>-2.4152999999999998</v>
      </c>
      <c r="AF990">
        <v>2.6396276386317101</v>
      </c>
      <c r="AG990">
        <v>-1.1216634798759999</v>
      </c>
      <c r="AH990">
        <v>20.016915111445801</v>
      </c>
      <c r="AI990">
        <v>93.179788313244202</v>
      </c>
      <c r="AJ990">
        <v>82.487759010034594</v>
      </c>
      <c r="AK990">
        <v>20.221341538373299</v>
      </c>
      <c r="AL990">
        <v>78.155338275124706</v>
      </c>
      <c r="AM990">
        <v>85.984878051554503</v>
      </c>
      <c r="AN990">
        <v>0.99999994621736199</v>
      </c>
    </row>
    <row r="991" spans="1:40" x14ac:dyDescent="0.25">
      <c r="A991" t="str">
        <f>"20190303170516426"</f>
        <v>20190303170516426</v>
      </c>
      <c r="B991" t="str">
        <f>"1551603916415487"</f>
        <v>1551603916415487</v>
      </c>
      <c r="C991" t="s">
        <v>40</v>
      </c>
      <c r="D991">
        <v>5.5908480000000003</v>
      </c>
      <c r="E991">
        <v>0.52791460000000001</v>
      </c>
      <c r="F991" t="s">
        <v>41</v>
      </c>
      <c r="G991">
        <v>-225.1936</v>
      </c>
      <c r="H991" s="1">
        <v>-2.871893E-6</v>
      </c>
      <c r="I991">
        <v>364.95069999999998</v>
      </c>
      <c r="J991">
        <v>-246.0078</v>
      </c>
      <c r="K991">
        <v>1.1216649999999999</v>
      </c>
      <c r="L991">
        <v>367.47030000000001</v>
      </c>
      <c r="M991">
        <v>0.99982329999999997</v>
      </c>
      <c r="N991">
        <v>-1.4596069999999999E-2</v>
      </c>
      <c r="O991">
        <v>1.184671E-2</v>
      </c>
      <c r="P991">
        <v>0.97983849999999995</v>
      </c>
      <c r="Q991">
        <v>0.19135250000000001</v>
      </c>
      <c r="R991">
        <v>-5.7453780000000003E-2</v>
      </c>
      <c r="S991">
        <v>3.0718079999999999</v>
      </c>
      <c r="T991">
        <v>-0.16286619999999999</v>
      </c>
      <c r="U991">
        <v>-0.36523440000000001</v>
      </c>
      <c r="V991">
        <v>6.8936720000000007E-2</v>
      </c>
      <c r="W991">
        <v>0.20566400000000001</v>
      </c>
      <c r="X991">
        <v>0.97619160000000005</v>
      </c>
      <c r="Y991">
        <v>0.1295858</v>
      </c>
      <c r="Z991">
        <v>-4.8241600000000001E-3</v>
      </c>
      <c r="AA991">
        <v>0.99155649999999995</v>
      </c>
      <c r="AB991">
        <v>34</v>
      </c>
      <c r="AC991">
        <v>20.8142</v>
      </c>
      <c r="AD991">
        <v>-1.121667871893</v>
      </c>
      <c r="AE991">
        <v>-2.51960000000002</v>
      </c>
      <c r="AF991">
        <v>2.7581350325256602</v>
      </c>
      <c r="AG991">
        <v>-1.121667871893</v>
      </c>
      <c r="AH991">
        <v>20.723573078818202</v>
      </c>
      <c r="AI991">
        <v>93.071095608512394</v>
      </c>
      <c r="AJ991">
        <v>82.418961268604605</v>
      </c>
      <c r="AK991">
        <v>20.936378121002701</v>
      </c>
      <c r="AL991">
        <v>78.131628221310294</v>
      </c>
      <c r="AM991">
        <v>85.960591184902597</v>
      </c>
      <c r="AN991">
        <v>0.99999999608545898</v>
      </c>
    </row>
    <row r="992" spans="1:40" x14ac:dyDescent="0.25">
      <c r="A992" t="str">
        <f>"20190303170516446"</f>
        <v>20190303170516446</v>
      </c>
      <c r="B992" t="str">
        <f>"1551603916435982"</f>
        <v>1551603916435982</v>
      </c>
      <c r="C992" t="s">
        <v>40</v>
      </c>
      <c r="D992">
        <v>5.5979669999999997</v>
      </c>
      <c r="E992">
        <v>0.52835639999999995</v>
      </c>
      <c r="F992" t="s">
        <v>41</v>
      </c>
      <c r="G992">
        <v>-224.56299999999999</v>
      </c>
      <c r="H992" s="1">
        <v>-3.150632E-6</v>
      </c>
      <c r="I992">
        <v>364.90429999999998</v>
      </c>
      <c r="J992">
        <v>-245.6885</v>
      </c>
      <c r="K992">
        <v>1.1216660000000001</v>
      </c>
      <c r="L992">
        <v>367.47430000000003</v>
      </c>
      <c r="M992">
        <v>0.99982020000000005</v>
      </c>
      <c r="N992">
        <v>-1.4592620000000001E-2</v>
      </c>
      <c r="O992">
        <v>1.2109160000000001E-2</v>
      </c>
      <c r="P992">
        <v>0.97995699999999997</v>
      </c>
      <c r="Q992">
        <v>0.1908222</v>
      </c>
      <c r="R992">
        <v>-5.7194109999999999E-2</v>
      </c>
      <c r="S992">
        <v>3.071564</v>
      </c>
      <c r="T992">
        <v>-0.160657299999999</v>
      </c>
      <c r="U992">
        <v>-0.36752319999999999</v>
      </c>
      <c r="V992">
        <v>6.8936259999999999E-2</v>
      </c>
      <c r="W992">
        <v>0.20513200000000001</v>
      </c>
      <c r="X992">
        <v>0.97630360000000005</v>
      </c>
      <c r="Y992">
        <v>0.1305877</v>
      </c>
      <c r="Z992">
        <v>-4.8126280000000002E-3</v>
      </c>
      <c r="AA992">
        <v>0.99142509999999995</v>
      </c>
      <c r="AB992">
        <v>34</v>
      </c>
      <c r="AC992">
        <v>21.125499999999999</v>
      </c>
      <c r="AD992">
        <v>-1.121669150632</v>
      </c>
      <c r="AE992">
        <v>-2.5700000000000398</v>
      </c>
      <c r="AF992">
        <v>2.8178228649520101</v>
      </c>
      <c r="AG992">
        <v>-1.121669150632</v>
      </c>
      <c r="AH992">
        <v>21.034392976885499</v>
      </c>
      <c r="AI992">
        <v>93.025458140080602</v>
      </c>
      <c r="AJ992">
        <v>82.369932613810093</v>
      </c>
      <c r="AK992">
        <v>21.251916508582902</v>
      </c>
      <c r="AL992">
        <v>78.162774078509699</v>
      </c>
      <c r="AM992">
        <v>85.961079907595902</v>
      </c>
      <c r="AN992">
        <v>1.0000000323698699</v>
      </c>
    </row>
    <row r="993" spans="1:40" x14ac:dyDescent="0.25">
      <c r="A993" t="str">
        <f>"20190303170516469"</f>
        <v>20190303170516469</v>
      </c>
      <c r="B993" t="str">
        <f>"1551603916455502"</f>
        <v>1551603916455502</v>
      </c>
      <c r="C993" t="s">
        <v>40</v>
      </c>
      <c r="D993">
        <v>5.5550699999999997</v>
      </c>
      <c r="E993">
        <v>0.52857119999999902</v>
      </c>
      <c r="F993" t="s">
        <v>41</v>
      </c>
      <c r="G993">
        <v>-224.26920000000001</v>
      </c>
      <c r="H993" s="1">
        <v>-3.2787800000000001E-6</v>
      </c>
      <c r="I993">
        <v>364.89240000000001</v>
      </c>
      <c r="J993">
        <v>-245.34800000000001</v>
      </c>
      <c r="K993">
        <v>1.1216649999999999</v>
      </c>
      <c r="L993">
        <v>367.47879999999998</v>
      </c>
      <c r="M993">
        <v>0.99981690000000001</v>
      </c>
      <c r="N993">
        <v>-1.458894E-2</v>
      </c>
      <c r="O993">
        <v>1.2389600000000001E-2</v>
      </c>
      <c r="P993">
        <v>0.98008589999999995</v>
      </c>
      <c r="Q993">
        <v>0.190219</v>
      </c>
      <c r="R993">
        <v>-5.6996350000000001E-2</v>
      </c>
      <c r="S993">
        <v>3.0710600000000001</v>
      </c>
      <c r="T993">
        <v>-0.16082179999999999</v>
      </c>
      <c r="U993">
        <v>-0.37017820000000001</v>
      </c>
      <c r="V993">
        <v>6.9015530000000005E-2</v>
      </c>
      <c r="W993">
        <v>0.20452670000000001</v>
      </c>
      <c r="X993">
        <v>0.97642490000000004</v>
      </c>
      <c r="Y993">
        <v>0.13172710000000001</v>
      </c>
      <c r="Z993">
        <v>-4.8656749999999999E-3</v>
      </c>
      <c r="AA993">
        <v>0.99127410000000005</v>
      </c>
      <c r="AB993">
        <v>34</v>
      </c>
      <c r="AC993">
        <v>21.078799999999902</v>
      </c>
      <c r="AD993">
        <v>-1.1216682787800001</v>
      </c>
      <c r="AE993">
        <v>-2.5863999999999598</v>
      </c>
      <c r="AF993">
        <v>2.83946604399129</v>
      </c>
      <c r="AG993">
        <v>-1.1216682787800001</v>
      </c>
      <c r="AH993">
        <v>20.986588997523299</v>
      </c>
      <c r="AI993">
        <v>93.031799602107</v>
      </c>
      <c r="AJ993">
        <v>82.294723964855606</v>
      </c>
      <c r="AK993">
        <v>21.207489830094602</v>
      </c>
      <c r="AL993">
        <v>78.198205473625293</v>
      </c>
      <c r="AM993">
        <v>85.956951597838795</v>
      </c>
      <c r="AN993">
        <v>0.999999949867039</v>
      </c>
    </row>
    <row r="994" spans="1:40" x14ac:dyDescent="0.25">
      <c r="A994" t="str">
        <f>"20190303170516492"</f>
        <v>20190303170516492</v>
      </c>
      <c r="B994" t="str">
        <f>"1551603916485759"</f>
        <v>1551603916485759</v>
      </c>
      <c r="C994" t="s">
        <v>40</v>
      </c>
      <c r="D994">
        <v>5.5687959999999999</v>
      </c>
      <c r="E994">
        <v>0.52907919999999997</v>
      </c>
      <c r="F994" t="s">
        <v>41</v>
      </c>
      <c r="G994">
        <v>-224.036</v>
      </c>
      <c r="H994" s="1">
        <v>-3.3776460000000001E-6</v>
      </c>
      <c r="I994">
        <v>364.89890000000003</v>
      </c>
      <c r="J994">
        <v>-244.9992</v>
      </c>
      <c r="K994">
        <v>1.121659</v>
      </c>
      <c r="L994">
        <v>367.48340000000002</v>
      </c>
      <c r="M994">
        <v>0.99981330000000002</v>
      </c>
      <c r="N994">
        <v>-1.4585209999999999E-2</v>
      </c>
      <c r="O994">
        <v>1.267623E-2</v>
      </c>
      <c r="P994">
        <v>0.98016539999999996</v>
      </c>
      <c r="Q994">
        <v>0.1898475</v>
      </c>
      <c r="R994">
        <v>-5.6865649999999997E-2</v>
      </c>
      <c r="S994">
        <v>3.0706790000000002</v>
      </c>
      <c r="T994">
        <v>-0.1616117</v>
      </c>
      <c r="U994">
        <v>-0.37170409999999998</v>
      </c>
      <c r="V994">
        <v>6.9167290000000006E-2</v>
      </c>
      <c r="W994">
        <v>0.20415230000000001</v>
      </c>
      <c r="X994">
        <v>0.97649260000000004</v>
      </c>
      <c r="Y994">
        <v>0.13250770000000001</v>
      </c>
      <c r="Z994">
        <v>-4.9229479999999999E-3</v>
      </c>
      <c r="AA994">
        <v>0.99116979999999999</v>
      </c>
      <c r="AB994">
        <v>34</v>
      </c>
      <c r="AC994">
        <v>20.963200000000001</v>
      </c>
      <c r="AD994">
        <v>-1.121662377646</v>
      </c>
      <c r="AE994">
        <v>-2.58449999999999</v>
      </c>
      <c r="AF994">
        <v>2.8420401966142199</v>
      </c>
      <c r="AG994">
        <v>-1.121662377646</v>
      </c>
      <c r="AH994">
        <v>20.869895857655401</v>
      </c>
      <c r="AI994">
        <v>93.048347052060905</v>
      </c>
      <c r="AJ994">
        <v>82.245223641430201</v>
      </c>
      <c r="AK994">
        <v>21.092365255655402</v>
      </c>
      <c r="AL994">
        <v>78.220120434623098</v>
      </c>
      <c r="AM994">
        <v>85.948370798140701</v>
      </c>
      <c r="AN994">
        <v>1.00000003672799</v>
      </c>
    </row>
    <row r="995" spans="1:40" x14ac:dyDescent="0.25">
      <c r="A995" t="str">
        <f>"20190303170516504"</f>
        <v>20190303170516504</v>
      </c>
      <c r="B995" t="str">
        <f>"1551603916495520"</f>
        <v>1551603916495520</v>
      </c>
      <c r="C995" t="s">
        <v>40</v>
      </c>
      <c r="D995">
        <v>5.5535519999999998</v>
      </c>
      <c r="E995">
        <v>0.52929630000000005</v>
      </c>
      <c r="F995" t="s">
        <v>41</v>
      </c>
      <c r="G995">
        <v>-223.6027</v>
      </c>
      <c r="H995" s="1">
        <v>-3.5694710000000001E-6</v>
      </c>
      <c r="I995">
        <v>364.86559999999997</v>
      </c>
      <c r="J995">
        <v>-244.81049999999999</v>
      </c>
      <c r="K995">
        <v>1.1216619999999999</v>
      </c>
      <c r="L995">
        <v>367.48590000000002</v>
      </c>
      <c r="M995">
        <v>0.99981129999999996</v>
      </c>
      <c r="N995">
        <v>-1.4583199999999999E-2</v>
      </c>
      <c r="O995">
        <v>1.2829999999999999E-2</v>
      </c>
      <c r="P995">
        <v>0.98015560000000002</v>
      </c>
      <c r="Q995">
        <v>0.18989800000000001</v>
      </c>
      <c r="R995">
        <v>-5.6866449999999999E-2</v>
      </c>
      <c r="S995">
        <v>3.0700989999999999</v>
      </c>
      <c r="T995">
        <v>-0.16094220000000001</v>
      </c>
      <c r="U995">
        <v>-0.37561040000000001</v>
      </c>
      <c r="V995">
        <v>6.9318920000000006E-2</v>
      </c>
      <c r="W995">
        <v>0.2042004</v>
      </c>
      <c r="X995">
        <v>0.97647169999999905</v>
      </c>
      <c r="Y995">
        <v>0.13392419999999999</v>
      </c>
      <c r="Z995">
        <v>-4.9594069999999999E-3</v>
      </c>
      <c r="AA995">
        <v>0.99097919999999995</v>
      </c>
      <c r="AB995">
        <v>34</v>
      </c>
      <c r="AC995">
        <v>21.207799999999899</v>
      </c>
      <c r="AD995">
        <v>-1.121665569471</v>
      </c>
      <c r="AE995">
        <v>-2.6203000000000398</v>
      </c>
      <c r="AF995">
        <v>2.8842625353657598</v>
      </c>
      <c r="AG995">
        <v>-1.121665569471</v>
      </c>
      <c r="AH995">
        <v>21.114257658791399</v>
      </c>
      <c r="AI995">
        <v>93.012970929214106</v>
      </c>
      <c r="AJ995">
        <v>82.2213926400524</v>
      </c>
      <c r="AK995">
        <v>21.339844903477701</v>
      </c>
      <c r="AL995">
        <v>78.2173041475167</v>
      </c>
      <c r="AM995">
        <v>85.939431789757407</v>
      </c>
      <c r="AN995">
        <v>0.99999994846550599</v>
      </c>
    </row>
    <row r="996" spans="1:40" x14ac:dyDescent="0.25">
      <c r="A996" t="str">
        <f>"20190303170516516"</f>
        <v>20190303170516516</v>
      </c>
      <c r="B996" t="str">
        <f>"1551603916505280"</f>
        <v>1551603916505280</v>
      </c>
      <c r="C996" t="s">
        <v>40</v>
      </c>
      <c r="D996">
        <v>5.5517589999999997</v>
      </c>
      <c r="E996">
        <v>0.52950220000000003</v>
      </c>
      <c r="F996" t="s">
        <v>41</v>
      </c>
      <c r="G996">
        <v>-223.27209999999999</v>
      </c>
      <c r="H996" s="1">
        <v>-3.7165330000000002E-6</v>
      </c>
      <c r="I996">
        <v>364.83589999999998</v>
      </c>
      <c r="J996">
        <v>-244.6156</v>
      </c>
      <c r="K996">
        <v>1.1216600000000001</v>
      </c>
      <c r="L996">
        <v>367.48860000000002</v>
      </c>
      <c r="M996">
        <v>0.99980939999999996</v>
      </c>
      <c r="N996">
        <v>-1.458107E-2</v>
      </c>
      <c r="O996">
        <v>1.298559E-2</v>
      </c>
      <c r="P996">
        <v>0.98008969999999995</v>
      </c>
      <c r="Q996">
        <v>0.1903357</v>
      </c>
      <c r="R996">
        <v>-5.6541059999999997E-2</v>
      </c>
      <c r="S996">
        <v>3.0698089999999998</v>
      </c>
      <c r="T996">
        <v>-0.15986719999999999</v>
      </c>
      <c r="U996">
        <v>-0.37768550000000001</v>
      </c>
      <c r="V996">
        <v>6.9145910000000005E-2</v>
      </c>
      <c r="W996">
        <v>0.2046345</v>
      </c>
      <c r="X996">
        <v>0.97639319999999996</v>
      </c>
      <c r="Y996">
        <v>0.13475100000000001</v>
      </c>
      <c r="Z996">
        <v>-4.9650680000000004E-3</v>
      </c>
      <c r="AA996">
        <v>0.9908671</v>
      </c>
      <c r="AB996">
        <v>34</v>
      </c>
      <c r="AC996">
        <v>21.343499999999999</v>
      </c>
      <c r="AD996">
        <v>-1.1216637165329999</v>
      </c>
      <c r="AE996">
        <v>-2.65270000000003</v>
      </c>
      <c r="AF996">
        <v>2.9217172014940598</v>
      </c>
      <c r="AG996">
        <v>-1.1216637165329999</v>
      </c>
      <c r="AH996">
        <v>21.249455231256999</v>
      </c>
      <c r="AI996">
        <v>92.993472076670997</v>
      </c>
      <c r="AJ996">
        <v>82.171142850054693</v>
      </c>
      <c r="AK996">
        <v>21.478684981248001</v>
      </c>
      <c r="AL996">
        <v>78.191896829257999</v>
      </c>
      <c r="AM996">
        <v>85.949208041339404</v>
      </c>
      <c r="AN996">
        <v>1.0000000582330999</v>
      </c>
    </row>
    <row r="997" spans="1:40" x14ac:dyDescent="0.25">
      <c r="A997" t="str">
        <f>"20190303170516536"</f>
        <v>20190303170516536</v>
      </c>
      <c r="B997" t="str">
        <f>"1551603916525776"</f>
        <v>1551603916525776</v>
      </c>
      <c r="C997" t="s">
        <v>40</v>
      </c>
      <c r="D997">
        <v>5.4939479999999996</v>
      </c>
      <c r="E997">
        <v>0.52998230000000002</v>
      </c>
      <c r="F997" t="s">
        <v>41</v>
      </c>
      <c r="G997">
        <v>-222.83879999999999</v>
      </c>
      <c r="H997" s="1">
        <v>-3.9087130000000001E-6</v>
      </c>
      <c r="I997">
        <v>364.80040000000002</v>
      </c>
      <c r="J997">
        <v>-244.33320000000001</v>
      </c>
      <c r="K997">
        <v>1.1216600000000001</v>
      </c>
      <c r="L997">
        <v>367.49250000000001</v>
      </c>
      <c r="M997">
        <v>0.99980659999999999</v>
      </c>
      <c r="N997">
        <v>-1.4577990000000001E-2</v>
      </c>
      <c r="O997">
        <v>1.320317E-2</v>
      </c>
      <c r="P997">
        <v>0.97987429999999998</v>
      </c>
      <c r="Q997">
        <v>0.19149479999999999</v>
      </c>
      <c r="R997">
        <v>-5.6357749999999998E-2</v>
      </c>
      <c r="S997">
        <v>3.0698240000000001</v>
      </c>
      <c r="T997">
        <v>-0.158117799999999</v>
      </c>
      <c r="U997">
        <v>-0.37893680000000002</v>
      </c>
      <c r="V997">
        <v>6.9175589999999995E-2</v>
      </c>
      <c r="W997">
        <v>0.20578630000000001</v>
      </c>
      <c r="X997">
        <v>0.97614900000000004</v>
      </c>
      <c r="Y997">
        <v>0.1353674</v>
      </c>
      <c r="Z997">
        <v>-4.9475750000000001E-3</v>
      </c>
      <c r="AA997">
        <v>0.99078310000000003</v>
      </c>
      <c r="AB997">
        <v>34</v>
      </c>
      <c r="AC997">
        <v>21.494399999999999</v>
      </c>
      <c r="AD997">
        <v>-1.121663908713</v>
      </c>
      <c r="AE997">
        <v>-2.69209999999998</v>
      </c>
      <c r="AF997">
        <v>2.96773283180366</v>
      </c>
      <c r="AG997">
        <v>-1.121663908713</v>
      </c>
      <c r="AH997">
        <v>21.3996032503048</v>
      </c>
      <c r="AI997">
        <v>92.972030366410806</v>
      </c>
      <c r="AJ997">
        <v>82.104485396777804</v>
      </c>
      <c r="AK997">
        <v>21.633506127198402</v>
      </c>
      <c r="AL997">
        <v>78.124468637078294</v>
      </c>
      <c r="AM997">
        <v>85.946464654688299</v>
      </c>
      <c r="AN997">
        <v>1.00000006686026</v>
      </c>
    </row>
    <row r="998" spans="1:40" x14ac:dyDescent="0.25">
      <c r="A998" t="str">
        <f>"20190303170516559"</f>
        <v>20190303170516559</v>
      </c>
      <c r="B998" t="str">
        <f>"1551603916545295"</f>
        <v>1551603916545295</v>
      </c>
      <c r="C998" t="s">
        <v>40</v>
      </c>
      <c r="D998">
        <v>5.5157860000000003</v>
      </c>
      <c r="E998">
        <v>0.53027199999999997</v>
      </c>
      <c r="F998" t="s">
        <v>41</v>
      </c>
      <c r="G998">
        <v>-221.8186</v>
      </c>
      <c r="H998" s="1">
        <v>-4.3660259999999997E-6</v>
      </c>
      <c r="I998">
        <v>364.68959999999998</v>
      </c>
      <c r="J998">
        <v>-243.98249999999999</v>
      </c>
      <c r="K998">
        <v>1.121651</v>
      </c>
      <c r="L998">
        <v>367.4973</v>
      </c>
      <c r="M998">
        <v>0.9998032</v>
      </c>
      <c r="N998">
        <v>-1.4574129999999999E-2</v>
      </c>
      <c r="O998">
        <v>1.345262E-2</v>
      </c>
      <c r="P998">
        <v>0.97984499999999997</v>
      </c>
      <c r="Q998">
        <v>0.1916407</v>
      </c>
      <c r="R998">
        <v>-5.6366960000000001E-2</v>
      </c>
      <c r="S998">
        <v>3.0694889999999999</v>
      </c>
      <c r="T998">
        <v>-0.1529199</v>
      </c>
      <c r="U998">
        <v>-0.38211060000000002</v>
      </c>
      <c r="V998">
        <v>6.9436269999999994E-2</v>
      </c>
      <c r="W998">
        <v>0.20592530000000001</v>
      </c>
      <c r="X998">
        <v>0.97610110000000005</v>
      </c>
      <c r="Y998">
        <v>0.1366483</v>
      </c>
      <c r="Z998">
        <v>-4.8612789999999996E-3</v>
      </c>
      <c r="AA998">
        <v>0.99060769999999998</v>
      </c>
      <c r="AB998">
        <v>34</v>
      </c>
      <c r="AC998">
        <v>22.163899999999899</v>
      </c>
      <c r="AD998">
        <v>-1.121655366026</v>
      </c>
      <c r="AE998">
        <v>-2.8077000000000099</v>
      </c>
      <c r="AF998">
        <v>3.0978315501495701</v>
      </c>
      <c r="AG998">
        <v>-1.121655366026</v>
      </c>
      <c r="AH998">
        <v>22.068492077204802</v>
      </c>
      <c r="AI998">
        <v>92.881415283398994</v>
      </c>
      <c r="AJ998">
        <v>82.009401888364096</v>
      </c>
      <c r="AK998">
        <v>22.313068225479199</v>
      </c>
      <c r="AL998">
        <v>78.116329304872806</v>
      </c>
      <c r="AM998">
        <v>85.931041599838395</v>
      </c>
      <c r="AN998">
        <v>0.99999999109640603</v>
      </c>
    </row>
    <row r="999" spans="1:40" x14ac:dyDescent="0.25">
      <c r="A999" t="str">
        <f>"20190303170516572"</f>
        <v>20190303170516572</v>
      </c>
      <c r="B999" t="str">
        <f>"1551603916565790"</f>
        <v>1551603916565790</v>
      </c>
      <c r="C999" t="s">
        <v>40</v>
      </c>
      <c r="D999">
        <v>5.5546410000000002</v>
      </c>
      <c r="E999">
        <v>0.5305938</v>
      </c>
      <c r="F999" t="s">
        <v>41</v>
      </c>
      <c r="G999">
        <v>-221.1893</v>
      </c>
      <c r="H999" s="1">
        <v>-4.6437460000000001E-6</v>
      </c>
      <c r="I999">
        <v>364.64600000000002</v>
      </c>
      <c r="J999">
        <v>-243.79040000000001</v>
      </c>
      <c r="K999">
        <v>1.1216410000000001</v>
      </c>
      <c r="L999">
        <v>367.50009999999997</v>
      </c>
      <c r="M999">
        <v>0.99980179999999996</v>
      </c>
      <c r="N999">
        <v>-1.457201E-2</v>
      </c>
      <c r="O999">
        <v>1.3573170000000001E-2</v>
      </c>
      <c r="P999">
        <v>0.9798791</v>
      </c>
      <c r="Q999">
        <v>0.1914188</v>
      </c>
      <c r="R999">
        <v>-5.6533359999999998E-2</v>
      </c>
      <c r="S999">
        <v>3.0691679999999999</v>
      </c>
      <c r="T999">
        <v>-0.15103349999999999</v>
      </c>
      <c r="U999">
        <v>-0.3839417</v>
      </c>
      <c r="V999">
        <v>6.9727410000000004E-2</v>
      </c>
      <c r="W999">
        <v>0.20569950000000001</v>
      </c>
      <c r="X999">
        <v>0.976128</v>
      </c>
      <c r="Y999">
        <v>0.13736609999999999</v>
      </c>
      <c r="Z999">
        <v>-4.8384780000000002E-3</v>
      </c>
      <c r="AA999">
        <v>0.99050850000000001</v>
      </c>
      <c r="AB999">
        <v>34</v>
      </c>
      <c r="AC999">
        <v>22.601099999999999</v>
      </c>
      <c r="AD999">
        <v>-1.1216456437459901</v>
      </c>
      <c r="AE999">
        <v>-2.8541000000000101</v>
      </c>
      <c r="AF999">
        <v>3.15299442790801</v>
      </c>
      <c r="AG999">
        <v>-1.1216456437459901</v>
      </c>
      <c r="AH999">
        <v>22.505714310284699</v>
      </c>
      <c r="AI999">
        <v>92.825611789066102</v>
      </c>
      <c r="AJ999">
        <v>82.024910435047701</v>
      </c>
      <c r="AK999">
        <v>22.753167679000398</v>
      </c>
      <c r="AL999">
        <v>78.129550240838398</v>
      </c>
      <c r="AM999">
        <v>85.914150708486602</v>
      </c>
      <c r="AN999">
        <v>1.0000000341947699</v>
      </c>
    </row>
    <row r="1000" spans="1:40" x14ac:dyDescent="0.25">
      <c r="A1000" t="str">
        <f>"20190303170516584"</f>
        <v>20190303170516584</v>
      </c>
      <c r="B1000" t="str">
        <f>"1551603916575552"</f>
        <v>1551603916575552</v>
      </c>
      <c r="C1000" t="s">
        <v>40</v>
      </c>
      <c r="D1000">
        <v>5.546748</v>
      </c>
      <c r="E1000">
        <v>0.53079279999999995</v>
      </c>
      <c r="F1000" t="s">
        <v>41</v>
      </c>
      <c r="G1000">
        <v>-220.88079999999999</v>
      </c>
      <c r="H1000" s="1">
        <v>-4.7828399999999996E-6</v>
      </c>
      <c r="I1000">
        <v>364.608</v>
      </c>
      <c r="J1000">
        <v>-243.6131</v>
      </c>
      <c r="K1000">
        <v>1.121626</v>
      </c>
      <c r="L1000">
        <v>367.50259999999997</v>
      </c>
      <c r="M1000">
        <v>0.99980029999999998</v>
      </c>
      <c r="N1000">
        <v>-1.4570049999999999E-2</v>
      </c>
      <c r="O1000">
        <v>1.3678569999999999E-2</v>
      </c>
      <c r="P1000">
        <v>0.97997800000000002</v>
      </c>
      <c r="Q1000">
        <v>0.1908434</v>
      </c>
      <c r="R1000">
        <v>-5.6760900000000003E-2</v>
      </c>
      <c r="S1000">
        <v>3.0685880000000001</v>
      </c>
      <c r="T1000">
        <v>-0.15023590000000001</v>
      </c>
      <c r="U1000">
        <v>-0.38735960000000003</v>
      </c>
      <c r="V1000">
        <v>7.0066409999999996E-2</v>
      </c>
      <c r="W1000">
        <v>0.20512130000000001</v>
      </c>
      <c r="X1000">
        <v>0.97622540000000002</v>
      </c>
      <c r="Y1000">
        <v>0.138579799999999</v>
      </c>
      <c r="Z1000">
        <v>-4.8597320000000003E-3</v>
      </c>
      <c r="AA1000">
        <v>0.99033930000000003</v>
      </c>
      <c r="AB1000">
        <v>34</v>
      </c>
      <c r="AC1000">
        <v>22.732299999999999</v>
      </c>
      <c r="AD1000">
        <v>-1.1216307828399901</v>
      </c>
      <c r="AE1000">
        <v>-2.8945999999999601</v>
      </c>
      <c r="AF1000">
        <v>3.1976469744733298</v>
      </c>
      <c r="AG1000">
        <v>-1.1216307828399901</v>
      </c>
      <c r="AH1000">
        <v>22.636345286570901</v>
      </c>
      <c r="AI1000">
        <v>92.808844254820301</v>
      </c>
      <c r="AJ1000">
        <v>81.959505562277997</v>
      </c>
      <c r="AK1000">
        <v>22.888580771188799</v>
      </c>
      <c r="AL1000">
        <v>78.163400561525407</v>
      </c>
      <c r="AM1000">
        <v>85.894762162968405</v>
      </c>
      <c r="AN1000">
        <v>1.0000000405645599</v>
      </c>
    </row>
    <row r="1001" spans="1:40" x14ac:dyDescent="0.25">
      <c r="A1001" t="str">
        <f>"20190303170516603"</f>
        <v>20190303170516603</v>
      </c>
      <c r="B1001" t="str">
        <f>"1551603916595071"</f>
        <v>1551603916595071</v>
      </c>
      <c r="C1001" t="s">
        <v>40</v>
      </c>
      <c r="D1001">
        <v>5.5465559999999998</v>
      </c>
      <c r="E1001">
        <v>0.53105040000000003</v>
      </c>
      <c r="F1001" t="s">
        <v>41</v>
      </c>
      <c r="G1001">
        <v>-220.93979999999999</v>
      </c>
      <c r="H1001" s="1">
        <v>-4.755045E-6</v>
      </c>
      <c r="I1001">
        <v>364.62200000000001</v>
      </c>
      <c r="J1001">
        <v>-243.31120000000001</v>
      </c>
      <c r="K1001">
        <v>1.1215900000000001</v>
      </c>
      <c r="L1001">
        <v>367.5068</v>
      </c>
      <c r="M1001">
        <v>0.99979839999999998</v>
      </c>
      <c r="N1001">
        <v>-1.456669E-2</v>
      </c>
      <c r="O1001">
        <v>1.3824899999999999E-2</v>
      </c>
      <c r="P1001">
        <v>0.98018090000000002</v>
      </c>
      <c r="Q1001">
        <v>0.1895616</v>
      </c>
      <c r="R1001">
        <v>-5.7553430000000003E-2</v>
      </c>
      <c r="S1001">
        <v>3.0682680000000002</v>
      </c>
      <c r="T1001">
        <v>-0.15178420000000001</v>
      </c>
      <c r="U1001">
        <v>-0.38980100000000001</v>
      </c>
      <c r="V1001">
        <v>7.1019650000000004E-2</v>
      </c>
      <c r="W1001">
        <v>0.20383490000000001</v>
      </c>
      <c r="X1001">
        <v>0.97642589999999996</v>
      </c>
      <c r="Y1001">
        <v>0.139507399999999</v>
      </c>
      <c r="Z1001">
        <v>-4.9361800000000001E-3</v>
      </c>
      <c r="AA1001">
        <v>0.99020870000000005</v>
      </c>
      <c r="AB1001">
        <v>34</v>
      </c>
      <c r="AC1001">
        <v>22.371400000000001</v>
      </c>
      <c r="AD1001">
        <v>-1.1215947550449901</v>
      </c>
      <c r="AE1001">
        <v>-2.8848000000000402</v>
      </c>
      <c r="AF1001">
        <v>3.1859623483332302</v>
      </c>
      <c r="AG1001">
        <v>-1.1215947550449901</v>
      </c>
      <c r="AH1001">
        <v>22.2743036572069</v>
      </c>
      <c r="AI1001">
        <v>92.853628898679304</v>
      </c>
      <c r="AJ1001">
        <v>81.860018812271406</v>
      </c>
      <c r="AK1001">
        <v>22.528935489565502</v>
      </c>
      <c r="AL1001">
        <v>78.238696266742593</v>
      </c>
      <c r="AM1001">
        <v>85.839957445078696</v>
      </c>
      <c r="AN1001">
        <v>0.99999999766747105</v>
      </c>
    </row>
    <row r="1002" spans="1:40" x14ac:dyDescent="0.25">
      <c r="A1002" t="str">
        <f>"20190303170516627"</f>
        <v>20190303170516627</v>
      </c>
      <c r="B1002" t="str">
        <f>"1551603916615567"</f>
        <v>1551603916615567</v>
      </c>
      <c r="C1002" t="s">
        <v>40</v>
      </c>
      <c r="D1002">
        <v>5.5223120000000003</v>
      </c>
      <c r="E1002">
        <v>0.53136680000000003</v>
      </c>
      <c r="F1002" t="s">
        <v>41</v>
      </c>
      <c r="G1002">
        <v>-221.1841</v>
      </c>
      <c r="H1002" s="1">
        <v>-4.6432139999999998E-6</v>
      </c>
      <c r="I1002">
        <v>364.66160000000002</v>
      </c>
      <c r="J1002">
        <v>-242.9735</v>
      </c>
      <c r="K1002">
        <v>1.1215539999999999</v>
      </c>
      <c r="L1002">
        <v>367.51170000000002</v>
      </c>
      <c r="M1002">
        <v>0.99979660000000004</v>
      </c>
      <c r="N1002">
        <v>-1.4563E-2</v>
      </c>
      <c r="O1002">
        <v>1.394684E-2</v>
      </c>
      <c r="P1002">
        <v>0.98017209999999999</v>
      </c>
      <c r="Q1002">
        <v>0.18923180000000001</v>
      </c>
      <c r="R1002">
        <v>-5.87704E-2</v>
      </c>
      <c r="S1002">
        <v>3.0675349999999999</v>
      </c>
      <c r="T1002">
        <v>-0.1554885</v>
      </c>
      <c r="U1002">
        <v>-0.3944397</v>
      </c>
      <c r="V1002">
        <v>7.2374049999999995E-2</v>
      </c>
      <c r="W1002">
        <v>0.2034946</v>
      </c>
      <c r="X1002">
        <v>0.97639750000000003</v>
      </c>
      <c r="Y1002">
        <v>0.14111799999999999</v>
      </c>
      <c r="Z1002">
        <v>-5.0938440000000001E-3</v>
      </c>
      <c r="AA1002">
        <v>0.98997970000000002</v>
      </c>
      <c r="AB1002">
        <v>34</v>
      </c>
      <c r="AC1002">
        <v>21.789400000000001</v>
      </c>
      <c r="AD1002">
        <v>-1.1215586432139999</v>
      </c>
      <c r="AE1002">
        <v>-2.8500999999999901</v>
      </c>
      <c r="AF1002">
        <v>3.1455545087442101</v>
      </c>
      <c r="AG1002">
        <v>-1.1215586432139999</v>
      </c>
      <c r="AH1002">
        <v>21.691023893232401</v>
      </c>
      <c r="AI1002">
        <v>92.929319446778806</v>
      </c>
      <c r="AJ1002">
        <v>81.748691666098594</v>
      </c>
      <c r="AK1002">
        <v>21.9465925486037</v>
      </c>
      <c r="AL1002">
        <v>78.258612250527605</v>
      </c>
      <c r="AM1002">
        <v>85.760785855297698</v>
      </c>
      <c r="AN1002">
        <v>1.0000000666744</v>
      </c>
    </row>
    <row r="1003" spans="1:40" x14ac:dyDescent="0.25">
      <c r="A1003" t="str">
        <f>"20190303170516648"</f>
        <v>20190303170516648</v>
      </c>
      <c r="B1003" t="str">
        <f>"1551603916635087"</f>
        <v>1551603916635087</v>
      </c>
      <c r="C1003" t="s">
        <v>40</v>
      </c>
      <c r="D1003">
        <v>5.5496449999999999</v>
      </c>
      <c r="E1003">
        <v>0.53150149999999996</v>
      </c>
      <c r="F1003" t="s">
        <v>41</v>
      </c>
      <c r="G1003">
        <v>-220.8579</v>
      </c>
      <c r="H1003" s="1">
        <v>-4.7904050000000003E-6</v>
      </c>
      <c r="I1003">
        <v>364.6207</v>
      </c>
      <c r="J1003">
        <v>-242.6489</v>
      </c>
      <c r="K1003">
        <v>1.121521</v>
      </c>
      <c r="L1003">
        <v>367.5163</v>
      </c>
      <c r="M1003">
        <v>0.99979580000000001</v>
      </c>
      <c r="N1003">
        <v>-1.455947E-2</v>
      </c>
      <c r="O1003">
        <v>1.402429E-2</v>
      </c>
      <c r="P1003">
        <v>0.97995500000000002</v>
      </c>
      <c r="Q1003">
        <v>0.1900512</v>
      </c>
      <c r="R1003">
        <v>-5.9742660000000003E-2</v>
      </c>
      <c r="S1003">
        <v>3.0666959999999999</v>
      </c>
      <c r="T1003">
        <v>-0.15552199999999999</v>
      </c>
      <c r="U1003">
        <v>-0.40087889999999998</v>
      </c>
      <c r="V1003">
        <v>7.3435429999999996E-2</v>
      </c>
      <c r="W1003">
        <v>0.20430119999999999</v>
      </c>
      <c r="X1003">
        <v>0.97614970000000001</v>
      </c>
      <c r="Y1003">
        <v>0.14326920000000001</v>
      </c>
      <c r="Z1003">
        <v>-5.1681260000000003E-3</v>
      </c>
      <c r="AA1003">
        <v>0.9896703</v>
      </c>
      <c r="AB1003">
        <v>34</v>
      </c>
      <c r="AC1003">
        <v>21.791</v>
      </c>
      <c r="AD1003">
        <v>-1.121525790405</v>
      </c>
      <c r="AE1003">
        <v>-2.8956</v>
      </c>
      <c r="AF1003">
        <v>3.1926406008874801</v>
      </c>
      <c r="AG1003">
        <v>-1.121525790405</v>
      </c>
      <c r="AH1003">
        <v>21.691781260104701</v>
      </c>
      <c r="AI1003">
        <v>92.928226017676806</v>
      </c>
      <c r="AJ1003">
        <v>81.627203701778299</v>
      </c>
      <c r="AK1003">
        <v>21.9541373854955</v>
      </c>
      <c r="AL1003">
        <v>78.211404850471396</v>
      </c>
      <c r="AM1003">
        <v>85.697760784656396</v>
      </c>
      <c r="AN1003">
        <v>0.99999998975540705</v>
      </c>
    </row>
    <row r="1004" spans="1:40" x14ac:dyDescent="0.25">
      <c r="A1004" t="str">
        <f>"20190303170516661"</f>
        <v>20190303170516661</v>
      </c>
      <c r="B1004" t="str">
        <f>"1551603916655583"</f>
        <v>1551603916655583</v>
      </c>
      <c r="C1004" t="s">
        <v>40</v>
      </c>
      <c r="D1004">
        <v>5.5200559999999896</v>
      </c>
      <c r="E1004">
        <v>0.53176889999999999</v>
      </c>
      <c r="F1004" t="s">
        <v>41</v>
      </c>
      <c r="G1004">
        <v>-220.13149999999999</v>
      </c>
      <c r="H1004" s="1">
        <v>-5.1161839999999998E-6</v>
      </c>
      <c r="I1004">
        <v>364.54070000000002</v>
      </c>
      <c r="J1004">
        <v>-242.44</v>
      </c>
      <c r="K1004">
        <v>1.1215040000000001</v>
      </c>
      <c r="L1004">
        <v>367.51929999999999</v>
      </c>
      <c r="M1004">
        <v>0.99979530000000005</v>
      </c>
      <c r="N1004">
        <v>-1.4557290000000001E-2</v>
      </c>
      <c r="O1004">
        <v>1.4058940000000001E-2</v>
      </c>
      <c r="P1004">
        <v>0.97981439999999997</v>
      </c>
      <c r="Q1004">
        <v>0.1906378</v>
      </c>
      <c r="R1004">
        <v>-6.0176680000000003E-2</v>
      </c>
      <c r="S1004">
        <v>3.066284</v>
      </c>
      <c r="T1004">
        <v>-0.15272239999999901</v>
      </c>
      <c r="U1004">
        <v>-0.40518189999999998</v>
      </c>
      <c r="V1004">
        <v>7.3911379999999999E-2</v>
      </c>
      <c r="W1004">
        <v>0.20488000000000001</v>
      </c>
      <c r="X1004">
        <v>0.97599239999999998</v>
      </c>
      <c r="Y1004">
        <v>0.144691299999999</v>
      </c>
      <c r="Z1004">
        <v>-5.137399E-3</v>
      </c>
      <c r="AA1004">
        <v>0.98946350000000005</v>
      </c>
      <c r="AB1004">
        <v>34</v>
      </c>
      <c r="AC1004">
        <v>22.308499999999999</v>
      </c>
      <c r="AD1004">
        <v>-1.1215091161839901</v>
      </c>
      <c r="AE1004">
        <v>-2.9785999999999699</v>
      </c>
      <c r="AF1004">
        <v>3.2838186380740502</v>
      </c>
      <c r="AG1004">
        <v>-1.1215091161839901</v>
      </c>
      <c r="AH1004">
        <v>22.2092669525559</v>
      </c>
      <c r="AI1004">
        <v>92.859790582127005</v>
      </c>
      <c r="AJ1004">
        <v>81.589296762169198</v>
      </c>
      <c r="AK1004">
        <v>22.478718515861601</v>
      </c>
      <c r="AL1004">
        <v>78.177524773662</v>
      </c>
      <c r="AM1004">
        <v>85.669287591009805</v>
      </c>
      <c r="AN1004">
        <v>0.99999993567562995</v>
      </c>
    </row>
    <row r="1005" spans="1:40" x14ac:dyDescent="0.25">
      <c r="A1005" t="str">
        <f>"20190303170516675"</f>
        <v>20190303170516675</v>
      </c>
      <c r="B1005" t="str">
        <f>"1551603916665343"</f>
        <v>1551603916665343</v>
      </c>
      <c r="C1005" t="s">
        <v>40</v>
      </c>
      <c r="D1005">
        <v>5.554576</v>
      </c>
      <c r="E1005">
        <v>0.53191409999999995</v>
      </c>
      <c r="F1005" t="s">
        <v>41</v>
      </c>
      <c r="G1005">
        <v>-219.5213</v>
      </c>
      <c r="H1005" s="1">
        <v>-1.520474E-6</v>
      </c>
      <c r="I1005">
        <v>364.46179999999998</v>
      </c>
      <c r="J1005">
        <v>-242.2475</v>
      </c>
      <c r="K1005">
        <v>1.1214869999999999</v>
      </c>
      <c r="L1005">
        <v>367.52199999999999</v>
      </c>
      <c r="M1005">
        <v>0.99979510000000005</v>
      </c>
      <c r="N1005">
        <v>-1.4555230000000001E-2</v>
      </c>
      <c r="O1005">
        <v>1.4076450000000001E-2</v>
      </c>
      <c r="P1005">
        <v>0.97972320000000002</v>
      </c>
      <c r="Q1005">
        <v>0.19101760000000001</v>
      </c>
      <c r="R1005">
        <v>-6.0456450000000002E-2</v>
      </c>
      <c r="S1005">
        <v>3.0658720000000002</v>
      </c>
      <c r="T1005">
        <v>-0.1500254</v>
      </c>
      <c r="U1005">
        <v>-0.40899659999999999</v>
      </c>
      <c r="V1005">
        <v>7.4214530000000001E-2</v>
      </c>
      <c r="W1005">
        <v>0.20525379999999999</v>
      </c>
      <c r="X1005">
        <v>0.97589090000000001</v>
      </c>
      <c r="Y1005">
        <v>0.14594119999999999</v>
      </c>
      <c r="Z1005">
        <v>-5.1022059999999998E-3</v>
      </c>
      <c r="AA1005">
        <v>0.9892801</v>
      </c>
      <c r="AB1005">
        <v>34</v>
      </c>
      <c r="AC1005">
        <v>22.726199999999999</v>
      </c>
      <c r="AD1005">
        <v>-1.1214885204739999</v>
      </c>
      <c r="AE1005">
        <v>-3.0602</v>
      </c>
      <c r="AF1005">
        <v>3.3717700771884198</v>
      </c>
      <c r="AG1005">
        <v>-1.1214885204739999</v>
      </c>
      <c r="AH1005">
        <v>22.626747009612799</v>
      </c>
      <c r="AI1005">
        <v>92.806587366123907</v>
      </c>
      <c r="AJ1005">
        <v>81.524324422268805</v>
      </c>
      <c r="AK1005">
        <v>22.904066237068001</v>
      </c>
      <c r="AL1005">
        <v>78.155643146303106</v>
      </c>
      <c r="AM1005">
        <v>85.651142487188906</v>
      </c>
      <c r="AN1005">
        <v>0.99999998379018495</v>
      </c>
    </row>
    <row r="1006" spans="1:40" x14ac:dyDescent="0.25">
      <c r="A1006" t="str">
        <f>"20190303170516687"</f>
        <v>20190303170516687</v>
      </c>
      <c r="B1006" t="str">
        <f>"1551603916675103"</f>
        <v>1551603916675103</v>
      </c>
      <c r="C1006" t="s">
        <v>40</v>
      </c>
      <c r="D1006">
        <v>5.5531189999999997</v>
      </c>
      <c r="E1006">
        <v>0.53205049999999998</v>
      </c>
      <c r="F1006" t="s">
        <v>41</v>
      </c>
      <c r="G1006">
        <v>-219.0829</v>
      </c>
      <c r="H1006" s="1">
        <v>-1.6822219999999999E-6</v>
      </c>
      <c r="I1006">
        <v>364.41469999999998</v>
      </c>
      <c r="J1006">
        <v>-242.0504</v>
      </c>
      <c r="K1006">
        <v>1.1214710000000001</v>
      </c>
      <c r="L1006">
        <v>367.5247</v>
      </c>
      <c r="M1006">
        <v>0.99979490000000004</v>
      </c>
      <c r="N1006">
        <v>-1.4553109999999999E-2</v>
      </c>
      <c r="O1006">
        <v>1.408621E-2</v>
      </c>
      <c r="P1006">
        <v>0.97969349999999999</v>
      </c>
      <c r="Q1006">
        <v>0.19106090000000001</v>
      </c>
      <c r="R1006">
        <v>-6.0798240000000003E-2</v>
      </c>
      <c r="S1006">
        <v>3.0656590000000001</v>
      </c>
      <c r="T1006">
        <v>-0.1484201</v>
      </c>
      <c r="U1006">
        <v>-0.41122439999999999</v>
      </c>
      <c r="V1006">
        <v>7.4572959999999994E-2</v>
      </c>
      <c r="W1006">
        <v>0.20529210000000001</v>
      </c>
      <c r="X1006">
        <v>0.97585549999999999</v>
      </c>
      <c r="Y1006">
        <v>0.14666940000000001</v>
      </c>
      <c r="Z1006">
        <v>-5.0801129999999998E-3</v>
      </c>
      <c r="AA1006">
        <v>0.98917250000000001</v>
      </c>
      <c r="AB1006">
        <v>34</v>
      </c>
      <c r="AC1006">
        <v>22.967500000000001</v>
      </c>
      <c r="AD1006">
        <v>-1.12147268222199</v>
      </c>
      <c r="AE1006">
        <v>-3.1100000000000101</v>
      </c>
      <c r="AF1006">
        <v>3.4252311284981198</v>
      </c>
      <c r="AG1006">
        <v>-1.12147268222199</v>
      </c>
      <c r="AH1006">
        <v>22.867867249083801</v>
      </c>
      <c r="AI1006">
        <v>92.776691350540801</v>
      </c>
      <c r="AJ1006">
        <v>81.481361610689305</v>
      </c>
      <c r="AK1006">
        <v>23.150146042354098</v>
      </c>
      <c r="AL1006">
        <v>78.153400741807005</v>
      </c>
      <c r="AM1006">
        <v>85.630062293627205</v>
      </c>
      <c r="AN1006">
        <v>0.99999996478290998</v>
      </c>
    </row>
    <row r="1007" spans="1:40" x14ac:dyDescent="0.25">
      <c r="A1007" t="str">
        <f>"20190303170516703"</f>
        <v>20190303170516703</v>
      </c>
      <c r="B1007" t="str">
        <f>"1551603916695599"</f>
        <v>1551603916695599</v>
      </c>
      <c r="C1007" t="s">
        <v>40</v>
      </c>
      <c r="D1007">
        <v>5.5512509999999997</v>
      </c>
      <c r="E1007">
        <v>0.53230279999999996</v>
      </c>
      <c r="F1007" t="s">
        <v>41</v>
      </c>
      <c r="G1007">
        <v>-218.81039999999999</v>
      </c>
      <c r="H1007" s="1">
        <v>-1.7812979999999999E-6</v>
      </c>
      <c r="I1007">
        <v>364.39089999999999</v>
      </c>
      <c r="J1007">
        <v>-241.82169999999999</v>
      </c>
      <c r="K1007">
        <v>1.1214519999999999</v>
      </c>
      <c r="L1007">
        <v>367.52800000000002</v>
      </c>
      <c r="M1007">
        <v>0.99979499999999999</v>
      </c>
      <c r="N1007">
        <v>-1.455066E-2</v>
      </c>
      <c r="O1007">
        <v>1.40836E-2</v>
      </c>
      <c r="P1007">
        <v>0.97972389999999998</v>
      </c>
      <c r="Q1007">
        <v>0.19087709999999999</v>
      </c>
      <c r="R1007">
        <v>-6.0885540000000002E-2</v>
      </c>
      <c r="S1007">
        <v>3.0653839999999999</v>
      </c>
      <c r="T1007">
        <v>-0.1479229</v>
      </c>
      <c r="U1007">
        <v>-0.41336060000000002</v>
      </c>
      <c r="V1007">
        <v>7.4666940000000001E-2</v>
      </c>
      <c r="W1007">
        <v>0.20510310000000001</v>
      </c>
      <c r="X1007">
        <v>0.97588810000000004</v>
      </c>
      <c r="Y1007">
        <v>0.14735589999999901</v>
      </c>
      <c r="Z1007">
        <v>-5.0875190000000004E-3</v>
      </c>
      <c r="AA1007">
        <v>0.98907049999999996</v>
      </c>
      <c r="AB1007">
        <v>34</v>
      </c>
      <c r="AC1007">
        <v>23.011299999999999</v>
      </c>
      <c r="AD1007">
        <v>-1.1214537812980001</v>
      </c>
      <c r="AE1007">
        <v>-3.13710000000003</v>
      </c>
      <c r="AF1007">
        <v>3.45285382998755</v>
      </c>
      <c r="AG1007">
        <v>-1.1214537812980001</v>
      </c>
      <c r="AH1007">
        <v>22.911407153315501</v>
      </c>
      <c r="AI1007">
        <v>92.771001829833907</v>
      </c>
      <c r="AJ1007">
        <v>81.429757738670403</v>
      </c>
      <c r="AK1007">
        <v>23.197250610790999</v>
      </c>
      <c r="AL1007">
        <v>78.164465614159795</v>
      </c>
      <c r="AM1007">
        <v>85.624722081185396</v>
      </c>
      <c r="AN1007">
        <v>1.00000000864009</v>
      </c>
    </row>
    <row r="1008" spans="1:40" x14ac:dyDescent="0.25">
      <c r="A1008" t="str">
        <f>"20190303170516726"</f>
        <v>20190303170516726</v>
      </c>
      <c r="B1008" t="str">
        <f>"1551603916715118"</f>
        <v>1551603916715118</v>
      </c>
      <c r="C1008" t="s">
        <v>40</v>
      </c>
      <c r="D1008">
        <v>5.5193320000000003</v>
      </c>
      <c r="E1008">
        <v>0.53254650000000003</v>
      </c>
      <c r="F1008" t="s">
        <v>41</v>
      </c>
      <c r="G1008">
        <v>-218.53479999999999</v>
      </c>
      <c r="H1008" s="1">
        <v>-1.8795040000000001E-6</v>
      </c>
      <c r="I1008">
        <v>364.37419999999997</v>
      </c>
      <c r="J1008">
        <v>-241.47120000000001</v>
      </c>
      <c r="K1008">
        <v>1.121426</v>
      </c>
      <c r="L1008">
        <v>367.53289999999998</v>
      </c>
      <c r="M1008">
        <v>0.99979569999999995</v>
      </c>
      <c r="N1008">
        <v>-1.454682E-2</v>
      </c>
      <c r="O1008">
        <v>1.4037549999999999E-2</v>
      </c>
      <c r="P1008">
        <v>0.97985789999999995</v>
      </c>
      <c r="Q1008">
        <v>0.19016330000000001</v>
      </c>
      <c r="R1008">
        <v>-6.0962820000000001E-2</v>
      </c>
      <c r="S1008">
        <v>3.065048</v>
      </c>
      <c r="T1008">
        <v>-0.14760670000000001</v>
      </c>
      <c r="U1008">
        <v>-0.41510010000000003</v>
      </c>
      <c r="V1008">
        <v>7.4716279999999996E-2</v>
      </c>
      <c r="W1008">
        <v>0.20438149999999999</v>
      </c>
      <c r="X1008">
        <v>0.97603569999999995</v>
      </c>
      <c r="Y1008">
        <v>0.14787600000000001</v>
      </c>
      <c r="Z1008">
        <v>-5.0933599999999999E-3</v>
      </c>
      <c r="AA1008">
        <v>0.98899280000000001</v>
      </c>
      <c r="AB1008">
        <v>33</v>
      </c>
      <c r="AC1008">
        <v>22.936399999999999</v>
      </c>
      <c r="AD1008">
        <v>-1.121427879504</v>
      </c>
      <c r="AE1008">
        <v>-3.1587000000000098</v>
      </c>
      <c r="AF1008">
        <v>3.4722476395123998</v>
      </c>
      <c r="AG1008">
        <v>-1.121427879504</v>
      </c>
      <c r="AH1008">
        <v>22.836220122512302</v>
      </c>
      <c r="AI1008">
        <v>92.779494201118496</v>
      </c>
      <c r="AJ1008">
        <v>81.354396438165395</v>
      </c>
      <c r="AK1008">
        <v>23.1258957370923</v>
      </c>
      <c r="AL1008">
        <v>78.206704996097201</v>
      </c>
      <c r="AM1008">
        <v>85.622501638852995</v>
      </c>
      <c r="AN1008">
        <v>1.0000000038568799</v>
      </c>
    </row>
    <row r="1009" spans="1:40" x14ac:dyDescent="0.25">
      <c r="A1009" t="str">
        <f>"20190303170516741"</f>
        <v>20190303170516741</v>
      </c>
      <c r="B1009" t="str">
        <f>"1551603916735615"</f>
        <v>1551603916735615</v>
      </c>
      <c r="C1009" t="s">
        <v>40</v>
      </c>
      <c r="D1009">
        <v>5.5333899999999998</v>
      </c>
      <c r="E1009">
        <v>0.53279469999999995</v>
      </c>
      <c r="F1009" t="s">
        <v>41</v>
      </c>
      <c r="G1009">
        <v>-218.51230000000001</v>
      </c>
      <c r="H1009" s="1">
        <v>-1.8781070000000001E-6</v>
      </c>
      <c r="I1009">
        <v>364.40820000000002</v>
      </c>
      <c r="J1009">
        <v>-241.25540000000001</v>
      </c>
      <c r="K1009">
        <v>1.121408</v>
      </c>
      <c r="L1009">
        <v>367.53590000000003</v>
      </c>
      <c r="M1009">
        <v>0.99979629999999997</v>
      </c>
      <c r="N1009">
        <v>-1.454452E-2</v>
      </c>
      <c r="O1009">
        <v>1.399016E-2</v>
      </c>
      <c r="P1009">
        <v>0.97993280000000005</v>
      </c>
      <c r="Q1009">
        <v>0.1898311</v>
      </c>
      <c r="R1009">
        <v>-6.0794210000000001E-2</v>
      </c>
      <c r="S1009">
        <v>3.0647739999999999</v>
      </c>
      <c r="T1009">
        <v>-0.1496989</v>
      </c>
      <c r="U1009">
        <v>-0.41711429999999999</v>
      </c>
      <c r="V1009">
        <v>7.4512919999999996E-2</v>
      </c>
      <c r="W1009">
        <v>0.204045</v>
      </c>
      <c r="X1009">
        <v>0.97612169999999998</v>
      </c>
      <c r="Y1009">
        <v>0.1484724</v>
      </c>
      <c r="Z1009">
        <v>-5.1704000000000003E-3</v>
      </c>
      <c r="AA1009">
        <v>0.98890299999999998</v>
      </c>
      <c r="AB1009">
        <v>33</v>
      </c>
      <c r="AC1009">
        <v>22.743099999999998</v>
      </c>
      <c r="AD1009">
        <v>-1.1214098781070001</v>
      </c>
      <c r="AE1009">
        <v>-3.1276999999999999</v>
      </c>
      <c r="AF1009">
        <v>3.4374050531701199</v>
      </c>
      <c r="AG1009">
        <v>-1.1214098781070001</v>
      </c>
      <c r="AH1009">
        <v>22.6430829325171</v>
      </c>
      <c r="AI1009">
        <v>92.803220200029102</v>
      </c>
      <c r="AJ1009">
        <v>81.367940399498494</v>
      </c>
      <c r="AK1009">
        <v>22.929948065861801</v>
      </c>
      <c r="AL1009">
        <v>78.226400685195202</v>
      </c>
      <c r="AM1009">
        <v>85.634753170216996</v>
      </c>
      <c r="AN1009">
        <v>1.0000000552413999</v>
      </c>
    </row>
    <row r="1010" spans="1:40" x14ac:dyDescent="0.25">
      <c r="A1010" t="str">
        <f>"20190303170516753"</f>
        <v>20190303170516753</v>
      </c>
      <c r="B1010" t="str">
        <f>"1551603916745374"</f>
        <v>1551603916745374</v>
      </c>
      <c r="C1010" t="s">
        <v>40</v>
      </c>
      <c r="D1010">
        <v>5.5299019999999999</v>
      </c>
      <c r="E1010">
        <v>0.53290740000000003</v>
      </c>
      <c r="F1010" t="s">
        <v>41</v>
      </c>
      <c r="G1010">
        <v>-218.3965</v>
      </c>
      <c r="H1010" s="1">
        <v>-1.9171529999999998E-6</v>
      </c>
      <c r="I1010">
        <v>364.40960000000001</v>
      </c>
      <c r="J1010">
        <v>-241.07900000000001</v>
      </c>
      <c r="K1010">
        <v>1.1213879999999901</v>
      </c>
      <c r="L1010">
        <v>367.53829999999999</v>
      </c>
      <c r="M1010">
        <v>0.99979709999999999</v>
      </c>
      <c r="N1010">
        <v>-1.454277E-2</v>
      </c>
      <c r="O1010">
        <v>1.3935579999999999E-2</v>
      </c>
      <c r="P1010">
        <v>0.97980880000000004</v>
      </c>
      <c r="Q1010">
        <v>0.19045490000000001</v>
      </c>
      <c r="R1010">
        <v>-6.0842529999999999E-2</v>
      </c>
      <c r="S1010">
        <v>3.064575</v>
      </c>
      <c r="T1010">
        <v>-0.15034149999999999</v>
      </c>
      <c r="U1010">
        <v>-0.41912840000000001</v>
      </c>
      <c r="V1010">
        <v>7.4515929999999994E-2</v>
      </c>
      <c r="W1010">
        <v>0.2046616</v>
      </c>
      <c r="X1010">
        <v>0.97599230000000003</v>
      </c>
      <c r="Y1010">
        <v>0.14906229999999901</v>
      </c>
      <c r="Z1010">
        <v>-5.2056610000000003E-3</v>
      </c>
      <c r="AA1010">
        <v>0.98881410000000003</v>
      </c>
      <c r="AB1010">
        <v>33</v>
      </c>
      <c r="AC1010">
        <v>22.682500000000001</v>
      </c>
      <c r="AD1010">
        <v>-1.12138991715299</v>
      </c>
      <c r="AE1010">
        <v>-3.1286999999999798</v>
      </c>
      <c r="AF1010">
        <v>3.4362813144030002</v>
      </c>
      <c r="AG1010">
        <v>-1.12138991715299</v>
      </c>
      <c r="AH1010">
        <v>22.5825270886893</v>
      </c>
      <c r="AI1010">
        <v>92.810526194367995</v>
      </c>
      <c r="AJ1010">
        <v>81.3479298556299</v>
      </c>
      <c r="AK1010">
        <v>22.869981948602199</v>
      </c>
      <c r="AL1010">
        <v>78.190309627648503</v>
      </c>
      <c r="AM1010">
        <v>85.634000971619102</v>
      </c>
      <c r="AN1010">
        <v>0.99999998199880702</v>
      </c>
    </row>
    <row r="1011" spans="1:40" x14ac:dyDescent="0.25">
      <c r="A1011" t="str">
        <f>"20190303170516765"</f>
        <v>20190303170516765</v>
      </c>
      <c r="B1011" t="str">
        <f>"1551603916755135"</f>
        <v>1551603916755135</v>
      </c>
      <c r="C1011" t="s">
        <v>40</v>
      </c>
      <c r="D1011">
        <v>5.4606849999999998</v>
      </c>
      <c r="E1011">
        <v>0.53301929999999997</v>
      </c>
      <c r="F1011" t="s">
        <v>41</v>
      </c>
      <c r="G1011">
        <v>-217.84559999999999</v>
      </c>
      <c r="H1011" s="1">
        <v>-2.1200410000000001E-6</v>
      </c>
      <c r="I1011">
        <v>364.35169999999999</v>
      </c>
      <c r="J1011">
        <v>-240.88650000000001</v>
      </c>
      <c r="K1011">
        <v>1.1213660000000001</v>
      </c>
      <c r="L1011">
        <v>367.541</v>
      </c>
      <c r="M1011">
        <v>0.99979819999999997</v>
      </c>
      <c r="N1011">
        <v>-1.4540849999999999E-2</v>
      </c>
      <c r="O1011">
        <v>1.386538E-2</v>
      </c>
      <c r="P1011">
        <v>0.97975429999999997</v>
      </c>
      <c r="Q1011">
        <v>0.19070989999999999</v>
      </c>
      <c r="R1011">
        <v>-6.0922490000000003E-2</v>
      </c>
      <c r="S1011">
        <v>3.0644840000000002</v>
      </c>
      <c r="T1011">
        <v>-0.14791099999999999</v>
      </c>
      <c r="U1011">
        <v>-0.42031859999999999</v>
      </c>
      <c r="V1011">
        <v>7.4538099999999996E-2</v>
      </c>
      <c r="W1011">
        <v>0.20490990000000001</v>
      </c>
      <c r="X1011">
        <v>0.97593859999999999</v>
      </c>
      <c r="Y1011">
        <v>0.14938019999999999</v>
      </c>
      <c r="Z1011">
        <v>-5.1434460000000003E-3</v>
      </c>
      <c r="AA1011">
        <v>0.98876640000000005</v>
      </c>
      <c r="AB1011">
        <v>33</v>
      </c>
      <c r="AC1011">
        <v>23.040900000000001</v>
      </c>
      <c r="AD1011">
        <v>-1.1213681200409999</v>
      </c>
      <c r="AE1011">
        <v>-3.1892999999999998</v>
      </c>
      <c r="AF1011">
        <v>3.5003627432245201</v>
      </c>
      <c r="AG1011">
        <v>-1.1213681200409999</v>
      </c>
      <c r="AH1011">
        <v>22.9411415451927</v>
      </c>
      <c r="AI1011">
        <v>92.766436773174505</v>
      </c>
      <c r="AJ1011">
        <v>81.324710897518798</v>
      </c>
      <c r="AK1011">
        <v>23.233725082116401</v>
      </c>
      <c r="AL1011">
        <v>78.175776145632796</v>
      </c>
      <c r="AM1011">
        <v>85.632467647256206</v>
      </c>
      <c r="AN1011">
        <v>1.00000007321978</v>
      </c>
    </row>
    <row r="1012" spans="1:40" x14ac:dyDescent="0.25">
      <c r="A1012" t="str">
        <f>"20190303170516778"</f>
        <v>20190303170516778</v>
      </c>
      <c r="B1012" t="str">
        <f>"1551603916765871"</f>
        <v>1551603916765871</v>
      </c>
      <c r="C1012" t="s">
        <v>40</v>
      </c>
      <c r="D1012">
        <v>5.5357500000000002</v>
      </c>
      <c r="E1012">
        <v>0.53313129999999997</v>
      </c>
      <c r="F1012" t="s">
        <v>41</v>
      </c>
      <c r="G1012">
        <v>-217.49180000000001</v>
      </c>
      <c r="H1012" s="1">
        <v>-2.2490879999999999E-6</v>
      </c>
      <c r="I1012">
        <v>364.31920000000002</v>
      </c>
      <c r="J1012">
        <v>-240.6961</v>
      </c>
      <c r="K1012">
        <v>1.12134</v>
      </c>
      <c r="L1012">
        <v>367.54349999999999</v>
      </c>
      <c r="M1012">
        <v>0.99979960000000001</v>
      </c>
      <c r="N1012">
        <v>-1.4538880000000001E-2</v>
      </c>
      <c r="O1012">
        <v>1.376845E-2</v>
      </c>
      <c r="P1012">
        <v>0.97966050000000005</v>
      </c>
      <c r="Q1012">
        <v>0.19118099999999999</v>
      </c>
      <c r="R1012">
        <v>-6.095718E-2</v>
      </c>
      <c r="S1012">
        <v>3.064346</v>
      </c>
      <c r="T1012">
        <v>-0.14688129999999999</v>
      </c>
      <c r="U1012">
        <v>-0.42199710000000001</v>
      </c>
      <c r="V1012">
        <v>7.4491199999999994E-2</v>
      </c>
      <c r="W1012">
        <v>0.20537240000000001</v>
      </c>
      <c r="X1012">
        <v>0.97584490000000002</v>
      </c>
      <c r="Y1012">
        <v>0.14982419999999999</v>
      </c>
      <c r="Z1012">
        <v>-5.1244359999999996E-3</v>
      </c>
      <c r="AA1012">
        <v>0.98869940000000001</v>
      </c>
      <c r="AB1012">
        <v>33</v>
      </c>
      <c r="AC1012">
        <v>23.2042999999999</v>
      </c>
      <c r="AD1012">
        <v>-1.1213422490880001</v>
      </c>
      <c r="AE1012">
        <v>-3.2242999999999702</v>
      </c>
      <c r="AF1012">
        <v>3.5354154870478398</v>
      </c>
      <c r="AG1012">
        <v>-1.1213422490880001</v>
      </c>
      <c r="AH1012">
        <v>23.104767591490901</v>
      </c>
      <c r="AI1012">
        <v>92.746633166530003</v>
      </c>
      <c r="AJ1012">
        <v>81.300268419673401</v>
      </c>
      <c r="AK1012">
        <v>23.4005738511357</v>
      </c>
      <c r="AL1012">
        <v>78.148700329024805</v>
      </c>
      <c r="AM1012">
        <v>85.634787627263293</v>
      </c>
      <c r="AN1012">
        <v>1.0000000152076001</v>
      </c>
    </row>
    <row r="1013" spans="1:40" x14ac:dyDescent="0.25">
      <c r="A1013" t="str">
        <f>"20190303170516793"</f>
        <v>20190303170516793</v>
      </c>
      <c r="B1013" t="str">
        <f>"1551603916785391"</f>
        <v>1551603916785391</v>
      </c>
      <c r="C1013" t="s">
        <v>40</v>
      </c>
      <c r="D1013">
        <v>5.5173290000000001</v>
      </c>
      <c r="E1013">
        <v>0.53337369999999995</v>
      </c>
      <c r="F1013" t="s">
        <v>41</v>
      </c>
      <c r="G1013">
        <v>-217.01689999999999</v>
      </c>
      <c r="H1013" s="1">
        <v>-2.4213750000000002E-6</v>
      </c>
      <c r="I1013">
        <v>364.279</v>
      </c>
      <c r="J1013">
        <v>-240.47730000000001</v>
      </c>
      <c r="K1013">
        <v>1.12131</v>
      </c>
      <c r="L1013">
        <v>367.54640000000001</v>
      </c>
      <c r="M1013">
        <v>0.99980159999999996</v>
      </c>
      <c r="N1013">
        <v>-1.4536530000000001E-2</v>
      </c>
      <c r="O1013">
        <v>1.362701E-2</v>
      </c>
      <c r="P1013">
        <v>0.97951569999999999</v>
      </c>
      <c r="Q1013">
        <v>0.19174620000000001</v>
      </c>
      <c r="R1013">
        <v>-6.1502759999999997E-2</v>
      </c>
      <c r="S1013">
        <v>3.0643009999999999</v>
      </c>
      <c r="T1013">
        <v>-0.145111299999999</v>
      </c>
      <c r="U1013">
        <v>-0.42245480000000002</v>
      </c>
      <c r="V1013">
        <v>7.4915309999999999E-2</v>
      </c>
      <c r="W1013">
        <v>0.20592630000000001</v>
      </c>
      <c r="X1013">
        <v>0.97569570000000005</v>
      </c>
      <c r="Y1013">
        <v>0.1498362</v>
      </c>
      <c r="Z1013">
        <v>-5.0691570000000004E-3</v>
      </c>
      <c r="AA1013">
        <v>0.98869779999999996</v>
      </c>
      <c r="AB1013">
        <v>33</v>
      </c>
      <c r="AC1013">
        <v>23.4604</v>
      </c>
      <c r="AD1013">
        <v>-1.1213124213750001</v>
      </c>
      <c r="AE1013">
        <v>-3.2673999999999999</v>
      </c>
      <c r="AF1013">
        <v>3.5788053483254898</v>
      </c>
      <c r="AG1013">
        <v>-1.1213124213750001</v>
      </c>
      <c r="AH1013">
        <v>23.361339173360498</v>
      </c>
      <c r="AI1013">
        <v>92.716369150084901</v>
      </c>
      <c r="AJ1013">
        <v>81.290370932966198</v>
      </c>
      <c r="AK1013">
        <v>23.660459785057501</v>
      </c>
      <c r="AL1013">
        <v>78.116271125027396</v>
      </c>
      <c r="AM1013">
        <v>85.609362827070797</v>
      </c>
      <c r="AN1013">
        <v>1.0000000218512799</v>
      </c>
    </row>
    <row r="1014" spans="1:40" x14ac:dyDescent="0.25">
      <c r="A1014" t="str">
        <f>"20190303170516809"</f>
        <v>20190303170516809</v>
      </c>
      <c r="B1014" t="str">
        <f>"1551603916795151"</f>
        <v>1551603916795151</v>
      </c>
      <c r="C1014" t="s">
        <v>40</v>
      </c>
      <c r="D1014">
        <v>5.4735490000000002</v>
      </c>
      <c r="E1014">
        <v>0.53347</v>
      </c>
      <c r="F1014" t="s">
        <v>41</v>
      </c>
      <c r="G1014">
        <v>-216.41300000000001</v>
      </c>
      <c r="H1014" s="1">
        <v>-2.648073E-6</v>
      </c>
      <c r="I1014">
        <v>364.1995</v>
      </c>
      <c r="J1014">
        <v>-240.23679999999999</v>
      </c>
      <c r="K1014">
        <v>1.1212580000000001</v>
      </c>
      <c r="L1014">
        <v>367.5496</v>
      </c>
      <c r="M1014">
        <v>0.99980409999999997</v>
      </c>
      <c r="N1014">
        <v>-1.4533920000000001E-2</v>
      </c>
      <c r="O1014">
        <v>1.343511E-2</v>
      </c>
      <c r="P1014">
        <v>0.97946759999999999</v>
      </c>
      <c r="Q1014">
        <v>0.19182189999999999</v>
      </c>
      <c r="R1014">
        <v>-6.2028630000000001E-2</v>
      </c>
      <c r="S1014">
        <v>3.0639340000000002</v>
      </c>
      <c r="T1014">
        <v>-0.14276829999999999</v>
      </c>
      <c r="U1014">
        <v>-0.42614750000000001</v>
      </c>
      <c r="V1014">
        <v>7.5275819999999993E-2</v>
      </c>
      <c r="W1014">
        <v>0.2059907</v>
      </c>
      <c r="X1014">
        <v>0.97565440000000003</v>
      </c>
      <c r="Y1014">
        <v>0.15083659999999999</v>
      </c>
      <c r="Z1014">
        <v>-5.0263199999999999E-3</v>
      </c>
      <c r="AA1014">
        <v>0.98854600000000004</v>
      </c>
      <c r="AB1014">
        <v>33</v>
      </c>
      <c r="AC1014">
        <v>23.823799999999999</v>
      </c>
      <c r="AD1014">
        <v>-1.1212606480730001</v>
      </c>
      <c r="AE1014">
        <v>-3.3500999999999901</v>
      </c>
      <c r="AF1014">
        <v>3.6619524988821999</v>
      </c>
      <c r="AG1014">
        <v>-1.1212606480730001</v>
      </c>
      <c r="AH1014">
        <v>23.725101441260499</v>
      </c>
      <c r="AI1014">
        <v>92.674194717205296</v>
      </c>
      <c r="AJ1014">
        <v>81.225678974817697</v>
      </c>
      <c r="AK1014">
        <v>24.032219205539199</v>
      </c>
      <c r="AL1014">
        <v>78.112500931186304</v>
      </c>
      <c r="AM1014">
        <v>85.588131256032497</v>
      </c>
      <c r="AN1014">
        <v>1.00000006290125</v>
      </c>
    </row>
    <row r="1015" spans="1:40" x14ac:dyDescent="0.25">
      <c r="A1015" t="str">
        <f>"20190303170516829"</f>
        <v>20190303170516829</v>
      </c>
      <c r="B1015" t="str">
        <f>"1551603916815647"</f>
        <v>1551603916815647</v>
      </c>
      <c r="C1015" t="s">
        <v>40</v>
      </c>
      <c r="D1015">
        <v>5.4918519999999997</v>
      </c>
      <c r="E1015">
        <v>0.53991809999999996</v>
      </c>
      <c r="F1015" t="s">
        <v>41</v>
      </c>
      <c r="G1015">
        <v>-216.05600000000001</v>
      </c>
      <c r="H1015" s="1">
        <v>-2.7786730000000001E-6</v>
      </c>
      <c r="I1015">
        <v>364.16520000000003</v>
      </c>
      <c r="J1015">
        <v>-239.96170000000001</v>
      </c>
      <c r="K1015">
        <v>1.121197</v>
      </c>
      <c r="L1015">
        <v>367.553</v>
      </c>
      <c r="M1015">
        <v>0.99980789999999997</v>
      </c>
      <c r="N1015">
        <v>-1.4530990000000001E-2</v>
      </c>
      <c r="O1015">
        <v>1.3158939999999999E-2</v>
      </c>
      <c r="P1015">
        <v>0.97945269999999995</v>
      </c>
      <c r="Q1015">
        <v>0.191605</v>
      </c>
      <c r="R1015">
        <v>-6.2929780000000005E-2</v>
      </c>
      <c r="S1015">
        <v>3.0635530000000002</v>
      </c>
      <c r="T1015">
        <v>-0.14205599999999999</v>
      </c>
      <c r="U1015">
        <v>-0.42877199999999999</v>
      </c>
      <c r="V1015">
        <v>7.5935450000000002E-2</v>
      </c>
      <c r="W1015">
        <v>0.2057592</v>
      </c>
      <c r="X1015">
        <v>0.97565199999999996</v>
      </c>
      <c r="Y1015">
        <v>0.151412299999999</v>
      </c>
      <c r="Z1015">
        <v>-5.014676E-3</v>
      </c>
      <c r="AA1015">
        <v>0.98845799999999995</v>
      </c>
      <c r="AB1015">
        <v>33</v>
      </c>
      <c r="AC1015">
        <v>23.9057</v>
      </c>
      <c r="AD1015">
        <v>-1.1211997786729999</v>
      </c>
      <c r="AE1015">
        <v>-3.3878000000000199</v>
      </c>
      <c r="AF1015">
        <v>3.69414745324418</v>
      </c>
      <c r="AG1015">
        <v>-1.1211997786729999</v>
      </c>
      <c r="AH1015">
        <v>23.807706463299201</v>
      </c>
      <c r="AI1015">
        <v>92.664456615125204</v>
      </c>
      <c r="AJ1015">
        <v>81.179977241614196</v>
      </c>
      <c r="AK1015">
        <v>24.1186795117939</v>
      </c>
      <c r="AL1015">
        <v>78.126053695388293</v>
      </c>
      <c r="AM1015">
        <v>85.549614490648906</v>
      </c>
      <c r="AN1015">
        <v>0.99999993302766899</v>
      </c>
    </row>
    <row r="1016" spans="1:40" x14ac:dyDescent="0.25">
      <c r="A1016" t="str">
        <f>"20190303170516850"</f>
        <v>20190303170516850</v>
      </c>
      <c r="B1016" t="str">
        <f>"1551603916835167"</f>
        <v>1551603916835167</v>
      </c>
      <c r="C1016" t="s">
        <v>40</v>
      </c>
      <c r="D1016">
        <v>5.4652000000000003</v>
      </c>
      <c r="E1016">
        <v>0.53996529999999998</v>
      </c>
      <c r="F1016" t="s">
        <v>41</v>
      </c>
      <c r="G1016">
        <v>-212.17140000000001</v>
      </c>
      <c r="H1016" s="1">
        <v>-4.4866450000000001E-6</v>
      </c>
      <c r="I1016">
        <v>363.15660000000003</v>
      </c>
      <c r="J1016">
        <v>-239.6395</v>
      </c>
      <c r="K1016">
        <v>1.1211199999999999</v>
      </c>
      <c r="L1016">
        <v>367.55680000000001</v>
      </c>
      <c r="M1016">
        <v>0.99981319999999996</v>
      </c>
      <c r="N1016">
        <v>-1.4527669999999999E-2</v>
      </c>
      <c r="O1016">
        <v>1.275519E-2</v>
      </c>
      <c r="P1016">
        <v>0.97931820000000003</v>
      </c>
      <c r="Q1016">
        <v>0.1918735</v>
      </c>
      <c r="R1016">
        <v>-6.4191780000000004E-2</v>
      </c>
      <c r="S1016">
        <v>3.055984</v>
      </c>
      <c r="T1016">
        <v>-0.1232934</v>
      </c>
      <c r="U1016">
        <v>-0.48345949999999999</v>
      </c>
      <c r="V1016">
        <v>7.6837359999999993E-2</v>
      </c>
      <c r="W1016">
        <v>0.20600889999999999</v>
      </c>
      <c r="X1016">
        <v>0.97552879999999997</v>
      </c>
      <c r="Y1016">
        <v>0.16865740000000001</v>
      </c>
      <c r="Z1016">
        <v>-4.9405220000000001E-3</v>
      </c>
      <c r="AA1016">
        <v>0.98566229999999999</v>
      </c>
      <c r="AB1016">
        <v>33</v>
      </c>
      <c r="AC1016">
        <v>27.4681</v>
      </c>
      <c r="AD1016">
        <v>-1.1211244866450001</v>
      </c>
      <c r="AE1016">
        <v>-4.4001999999999803</v>
      </c>
      <c r="AF1016">
        <v>4.7425367977965101</v>
      </c>
      <c r="AG1016">
        <v>-1.1211244866450001</v>
      </c>
      <c r="AH1016">
        <v>27.365286285177302</v>
      </c>
      <c r="AI1016">
        <v>92.311611495153699</v>
      </c>
      <c r="AJ1016">
        <v>80.1680204918991</v>
      </c>
      <c r="AK1016">
        <v>27.795817470668599</v>
      </c>
      <c r="AL1016">
        <v>78.111435054642698</v>
      </c>
      <c r="AM1016">
        <v>85.496405595325996</v>
      </c>
      <c r="AN1016">
        <v>1.0000000432002001</v>
      </c>
    </row>
    <row r="1017" spans="1:40" x14ac:dyDescent="0.25">
      <c r="A1017" t="str">
        <f>"20190303170516864"</f>
        <v>20190303170516864</v>
      </c>
      <c r="B1017" t="str">
        <f>"1551603916855663"</f>
        <v>1551603916855663</v>
      </c>
      <c r="C1017" t="s">
        <v>40</v>
      </c>
      <c r="D1017">
        <v>5.4868759999999996</v>
      </c>
      <c r="E1017">
        <v>0.54008140000000004</v>
      </c>
      <c r="F1017" t="s">
        <v>41</v>
      </c>
      <c r="G1017">
        <v>-212.90610000000001</v>
      </c>
      <c r="H1017" s="1">
        <v>-4.1483099999999996E-6</v>
      </c>
      <c r="I1017">
        <v>363.28710000000001</v>
      </c>
      <c r="J1017">
        <v>-239.4247</v>
      </c>
      <c r="K1017">
        <v>1.1210719999999901</v>
      </c>
      <c r="L1017">
        <v>367.55930000000001</v>
      </c>
      <c r="M1017">
        <v>0.99981699999999996</v>
      </c>
      <c r="N1017">
        <v>-1.452546E-2</v>
      </c>
      <c r="O1017">
        <v>1.244525E-2</v>
      </c>
      <c r="P1017">
        <v>0.97914179999999995</v>
      </c>
      <c r="Q1017">
        <v>0.19247619999999999</v>
      </c>
      <c r="R1017">
        <v>-6.5072550000000007E-2</v>
      </c>
      <c r="S1017">
        <v>3.056473</v>
      </c>
      <c r="T1017">
        <v>-0.1281796</v>
      </c>
      <c r="U1017">
        <v>-0.48815920000000002</v>
      </c>
      <c r="V1017">
        <v>7.7437710000000007E-2</v>
      </c>
      <c r="W1017">
        <v>0.20659720000000001</v>
      </c>
      <c r="X1017">
        <v>0.97535689999999997</v>
      </c>
      <c r="Y1017">
        <v>0.16979129999999901</v>
      </c>
      <c r="Z1017">
        <v>-5.1169989999999997E-3</v>
      </c>
      <c r="AA1017">
        <v>0.98546679999999998</v>
      </c>
      <c r="AB1017">
        <v>33</v>
      </c>
      <c r="AC1017">
        <v>26.5185999999999</v>
      </c>
      <c r="AD1017">
        <v>-1.12107614830999</v>
      </c>
      <c r="AE1017">
        <v>-4.27219999999999</v>
      </c>
      <c r="AF1017">
        <v>4.5939320113823099</v>
      </c>
      <c r="AG1017">
        <v>-1.12107614830999</v>
      </c>
      <c r="AH1017">
        <v>26.417353326657199</v>
      </c>
      <c r="AI1017">
        <v>92.394121816393493</v>
      </c>
      <c r="AJ1017">
        <v>80.135014730147006</v>
      </c>
      <c r="AK1017">
        <v>26.837242403811899</v>
      </c>
      <c r="AL1017">
        <v>78.076986892558196</v>
      </c>
      <c r="AM1017">
        <v>85.460567745001399</v>
      </c>
      <c r="AN1017">
        <v>1.00000004217774</v>
      </c>
    </row>
    <row r="1018" spans="1:40" x14ac:dyDescent="0.25">
      <c r="A1018" t="str">
        <f>"20190303170516882"</f>
        <v>20190303170516882</v>
      </c>
      <c r="B1018" t="str">
        <f>"1551603916875183"</f>
        <v>1551603916875183</v>
      </c>
      <c r="C1018" t="s">
        <v>40</v>
      </c>
      <c r="D1018">
        <v>5.51281</v>
      </c>
      <c r="E1018">
        <v>0.5401511</v>
      </c>
      <c r="F1018" t="s">
        <v>41</v>
      </c>
      <c r="G1018">
        <v>-212.60640000000001</v>
      </c>
      <c r="H1018" s="1">
        <v>-4.2843340000000003E-6</v>
      </c>
      <c r="I1018">
        <v>363.24509999999998</v>
      </c>
      <c r="J1018">
        <v>-239.14070000000001</v>
      </c>
      <c r="K1018">
        <v>1.1210180000000001</v>
      </c>
      <c r="L1018">
        <v>367.56229999999999</v>
      </c>
      <c r="M1018">
        <v>0.99982309999999996</v>
      </c>
      <c r="N1018">
        <v>-1.452267E-2</v>
      </c>
      <c r="O1018">
        <v>1.1967230000000001E-2</v>
      </c>
      <c r="P1018">
        <v>0.97896240000000001</v>
      </c>
      <c r="Q1018">
        <v>0.19281190000000001</v>
      </c>
      <c r="R1018">
        <v>-6.6757670000000005E-2</v>
      </c>
      <c r="S1018">
        <v>3.0563660000000001</v>
      </c>
      <c r="T1018">
        <v>-0.1277636</v>
      </c>
      <c r="U1018">
        <v>-0.49166870000000001</v>
      </c>
      <c r="V1018">
        <v>7.8686039999999999E-2</v>
      </c>
      <c r="W1018">
        <v>0.20691399999999999</v>
      </c>
      <c r="X1018">
        <v>0.9751898</v>
      </c>
      <c r="Y1018">
        <v>0.17042929999999901</v>
      </c>
      <c r="Z1018">
        <v>-5.1084980000000004E-3</v>
      </c>
      <c r="AA1018">
        <v>0.98535660000000003</v>
      </c>
      <c r="AB1018">
        <v>33</v>
      </c>
      <c r="AC1018">
        <v>26.534300000000002</v>
      </c>
      <c r="AD1018">
        <v>-1.1210222843340001</v>
      </c>
      <c r="AE1018">
        <v>-4.3172000000000104</v>
      </c>
      <c r="AF1018">
        <v>4.6264215609388204</v>
      </c>
      <c r="AG1018">
        <v>-1.1210222843340001</v>
      </c>
      <c r="AH1018">
        <v>26.4347626134781</v>
      </c>
      <c r="AI1018">
        <v>92.391981254135203</v>
      </c>
      <c r="AJ1018">
        <v>80.073043451157602</v>
      </c>
      <c r="AK1018">
        <v>26.8599542414434</v>
      </c>
      <c r="AL1018">
        <v>78.058434471909905</v>
      </c>
      <c r="AM1018">
        <v>85.386916425971194</v>
      </c>
      <c r="AN1018">
        <v>1.0000000211554601</v>
      </c>
    </row>
    <row r="1019" spans="1:40" x14ac:dyDescent="0.25">
      <c r="A1019" t="str">
        <f>"20190303170516896"</f>
        <v>20190303170516896</v>
      </c>
      <c r="B1019" t="str">
        <f>"1551603916885919"</f>
        <v>1551603916885919</v>
      </c>
      <c r="C1019" t="s">
        <v>40</v>
      </c>
      <c r="D1019">
        <v>5.4803810000000004</v>
      </c>
      <c r="E1019">
        <v>0.54027169999999902</v>
      </c>
      <c r="F1019" t="s">
        <v>41</v>
      </c>
      <c r="G1019">
        <v>-212.03100000000001</v>
      </c>
      <c r="H1019" s="1">
        <v>-4.5479080000000003E-6</v>
      </c>
      <c r="I1019">
        <v>363.15069999999997</v>
      </c>
      <c r="J1019">
        <v>-238.92869999999999</v>
      </c>
      <c r="K1019">
        <v>1.1209720000000001</v>
      </c>
      <c r="L1019">
        <v>367.56450000000001</v>
      </c>
      <c r="M1019">
        <v>0.99982789999999999</v>
      </c>
      <c r="N1019">
        <v>-1.4520699999999999E-2</v>
      </c>
      <c r="O1019">
        <v>1.155572E-2</v>
      </c>
      <c r="P1019">
        <v>0.97882230000000003</v>
      </c>
      <c r="Q1019">
        <v>0.19317790000000001</v>
      </c>
      <c r="R1019">
        <v>-6.7746470000000003E-2</v>
      </c>
      <c r="S1019">
        <v>3.055466</v>
      </c>
      <c r="T1019">
        <v>-0.12634709999999999</v>
      </c>
      <c r="U1019">
        <v>-0.49722290000000002</v>
      </c>
      <c r="V1019">
        <v>7.9295710000000005E-2</v>
      </c>
      <c r="W1019">
        <v>0.20726620000000001</v>
      </c>
      <c r="X1019">
        <v>0.97506559999999998</v>
      </c>
      <c r="Y1019">
        <v>0.171817</v>
      </c>
      <c r="Z1019">
        <v>-5.0920990000000001E-3</v>
      </c>
      <c r="AA1019">
        <v>0.98511570000000004</v>
      </c>
      <c r="AB1019">
        <v>33</v>
      </c>
      <c r="AC1019">
        <v>26.8977</v>
      </c>
      <c r="AD1019">
        <v>-1.1209765479079901</v>
      </c>
      <c r="AE1019">
        <v>-4.4138000000000304</v>
      </c>
      <c r="AF1019">
        <v>4.7163833980450898</v>
      </c>
      <c r="AG1019">
        <v>-1.1209765479079901</v>
      </c>
      <c r="AH1019">
        <v>26.799567310343399</v>
      </c>
      <c r="AI1019">
        <v>92.358970720557593</v>
      </c>
      <c r="AJ1019">
        <v>80.018876702605098</v>
      </c>
      <c r="AK1019">
        <v>27.2344940984764</v>
      </c>
      <c r="AL1019">
        <v>78.037807563565295</v>
      </c>
      <c r="AM1019">
        <v>85.350740156223594</v>
      </c>
      <c r="AN1019">
        <v>1.0000000057951</v>
      </c>
    </row>
    <row r="1020" spans="1:40" x14ac:dyDescent="0.25">
      <c r="A1020" t="str">
        <f>"20190303170516911"</f>
        <v>20190303170516911</v>
      </c>
      <c r="B1020" t="str">
        <f>"1551603916905439"</f>
        <v>1551603916905439</v>
      </c>
      <c r="C1020" t="s">
        <v>40</v>
      </c>
      <c r="D1020">
        <v>5.4891160000000001</v>
      </c>
      <c r="E1020">
        <v>0.54046539999999998</v>
      </c>
      <c r="F1020" t="s">
        <v>41</v>
      </c>
      <c r="G1020">
        <v>-211.5103</v>
      </c>
      <c r="H1020" s="1">
        <v>-4.7860340000000001E-6</v>
      </c>
      <c r="I1020">
        <v>363.06760000000003</v>
      </c>
      <c r="J1020">
        <v>-238.73840000000001</v>
      </c>
      <c r="K1020">
        <v>1.1209340000000001</v>
      </c>
      <c r="L1020">
        <v>367.56630000000001</v>
      </c>
      <c r="M1020">
        <v>0.99983230000000001</v>
      </c>
      <c r="N1020">
        <v>-1.4518919999999999E-2</v>
      </c>
      <c r="O1020">
        <v>1.116136E-2</v>
      </c>
      <c r="P1020">
        <v>0.97868379999999999</v>
      </c>
      <c r="Q1020">
        <v>0.193442</v>
      </c>
      <c r="R1020">
        <v>-6.8982039999999994E-2</v>
      </c>
      <c r="S1020">
        <v>3.0549010000000001</v>
      </c>
      <c r="T1020">
        <v>-0.1248966</v>
      </c>
      <c r="U1020">
        <v>-0.50103759999999997</v>
      </c>
      <c r="V1020">
        <v>8.0165760000000003E-2</v>
      </c>
      <c r="W1020">
        <v>0.20751720000000001</v>
      </c>
      <c r="X1020">
        <v>0.9749411</v>
      </c>
      <c r="Y1020">
        <v>0.1726586</v>
      </c>
      <c r="Z1020">
        <v>-5.0594180000000004E-3</v>
      </c>
      <c r="AA1020">
        <v>0.98496870000000003</v>
      </c>
      <c r="AB1020">
        <v>33</v>
      </c>
      <c r="AC1020">
        <v>27.228100000000001</v>
      </c>
      <c r="AD1020">
        <v>-1.1209387860340001</v>
      </c>
      <c r="AE1020">
        <v>-4.4986999999999799</v>
      </c>
      <c r="AF1020">
        <v>4.7944444838037903</v>
      </c>
      <c r="AG1020">
        <v>-1.1209387860340001</v>
      </c>
      <c r="AH1020">
        <v>27.1314251592487</v>
      </c>
      <c r="AI1020">
        <v>92.329782168043394</v>
      </c>
      <c r="AJ1020">
        <v>79.978614644298602</v>
      </c>
      <c r="AK1020">
        <v>27.574579468093901</v>
      </c>
      <c r="AL1020">
        <v>78.023107147699406</v>
      </c>
      <c r="AM1020">
        <v>85.299357254624098</v>
      </c>
      <c r="AN1020">
        <v>1.0000000429207101</v>
      </c>
    </row>
    <row r="1021" spans="1:40" x14ac:dyDescent="0.25">
      <c r="A1021" t="str">
        <f>"20190303170516923"</f>
        <v>20190303170516923</v>
      </c>
      <c r="B1021" t="str">
        <f>"1551603916915199"</f>
        <v>1551603916915199</v>
      </c>
      <c r="C1021" t="s">
        <v>40</v>
      </c>
      <c r="D1021">
        <v>5.4291199999999904</v>
      </c>
      <c r="E1021">
        <v>0.54045369999999904</v>
      </c>
      <c r="F1021" t="s">
        <v>41</v>
      </c>
      <c r="G1021">
        <v>-211.00020000000001</v>
      </c>
      <c r="H1021" s="1">
        <v>-5.0222570000000001E-6</v>
      </c>
      <c r="I1021">
        <v>362.96960000000001</v>
      </c>
      <c r="J1021">
        <v>-238.54570000000001</v>
      </c>
      <c r="K1021">
        <v>1.1208940000000001</v>
      </c>
      <c r="L1021">
        <v>367.56810000000002</v>
      </c>
      <c r="M1021">
        <v>0.99983699999999998</v>
      </c>
      <c r="N1021">
        <v>-1.45171E-2</v>
      </c>
      <c r="O1021">
        <v>1.0740889999999999E-2</v>
      </c>
      <c r="P1021">
        <v>0.9785488</v>
      </c>
      <c r="Q1021">
        <v>0.19366330000000001</v>
      </c>
      <c r="R1021">
        <v>-7.0265809999999998E-2</v>
      </c>
      <c r="S1021">
        <v>3.0540310000000002</v>
      </c>
      <c r="T1021">
        <v>-0.12341729999999999</v>
      </c>
      <c r="U1021">
        <v>-0.50610350000000004</v>
      </c>
      <c r="V1021">
        <v>8.1058989999999997E-2</v>
      </c>
      <c r="W1021">
        <v>0.20772570000000001</v>
      </c>
      <c r="X1021">
        <v>0.97482279999999999</v>
      </c>
      <c r="Y1021">
        <v>0.17388239999999999</v>
      </c>
      <c r="Z1021">
        <v>-5.0358729999999997E-3</v>
      </c>
      <c r="AA1021">
        <v>0.98475349999999995</v>
      </c>
      <c r="AB1021">
        <v>33</v>
      </c>
      <c r="AC1021">
        <v>27.545500000000001</v>
      </c>
      <c r="AD1021">
        <v>-1.1208990222570001</v>
      </c>
      <c r="AE1021">
        <v>-4.5984999999999996</v>
      </c>
      <c r="AF1021">
        <v>4.8862572994611204</v>
      </c>
      <c r="AG1021">
        <v>-1.1208990222570001</v>
      </c>
      <c r="AH1021">
        <v>27.450291293090899</v>
      </c>
      <c r="AI1021">
        <v>92.302155879289003</v>
      </c>
      <c r="AJ1021">
        <v>79.906846827986001</v>
      </c>
      <c r="AK1021">
        <v>27.904308217373401</v>
      </c>
      <c r="AL1021">
        <v>78.010894448780405</v>
      </c>
      <c r="AM1021">
        <v>85.246645827924496</v>
      </c>
      <c r="AN1021">
        <v>1.00000000885007</v>
      </c>
    </row>
    <row r="1022" spans="1:40" x14ac:dyDescent="0.25">
      <c r="A1022" t="str">
        <f>"20190303170516938"</f>
        <v>20190303170516938</v>
      </c>
      <c r="B1022" t="str">
        <f>"1551603916925936"</f>
        <v>1551603916925936</v>
      </c>
      <c r="C1022" t="s">
        <v>40</v>
      </c>
      <c r="D1022">
        <v>5.4883470000000001</v>
      </c>
      <c r="E1022">
        <v>0.54053370000000001</v>
      </c>
      <c r="F1022" t="s">
        <v>41</v>
      </c>
      <c r="G1022">
        <v>-211.0377</v>
      </c>
      <c r="H1022" s="1">
        <v>-5.0045599999999899E-6</v>
      </c>
      <c r="I1022">
        <v>362.9787</v>
      </c>
      <c r="J1022">
        <v>-238.3229</v>
      </c>
      <c r="K1022">
        <v>1.120846</v>
      </c>
      <c r="L1022">
        <v>367.56990000000002</v>
      </c>
      <c r="M1022">
        <v>0.99984260000000003</v>
      </c>
      <c r="N1022">
        <v>-1.4515149999999999E-2</v>
      </c>
      <c r="O1022">
        <v>1.02042E-2</v>
      </c>
      <c r="P1022">
        <v>0.97824270000000002</v>
      </c>
      <c r="Q1022">
        <v>0.19413730000000001</v>
      </c>
      <c r="R1022">
        <v>-7.3157799999999995E-2</v>
      </c>
      <c r="S1022">
        <v>3.0538020000000001</v>
      </c>
      <c r="T1022">
        <v>-0.12443609999999999</v>
      </c>
      <c r="U1022">
        <v>-0.50949100000000003</v>
      </c>
      <c r="V1022">
        <v>8.344828E-2</v>
      </c>
      <c r="W1022">
        <v>0.20818</v>
      </c>
      <c r="X1022">
        <v>0.97452430000000001</v>
      </c>
      <c r="Y1022">
        <v>0.17442550000000001</v>
      </c>
      <c r="Z1022">
        <v>-5.0690969999999998E-3</v>
      </c>
      <c r="AA1022">
        <v>0.98465729999999996</v>
      </c>
      <c r="AB1022">
        <v>33</v>
      </c>
      <c r="AC1022">
        <v>27.2852</v>
      </c>
      <c r="AD1022">
        <v>-1.12085100456</v>
      </c>
      <c r="AE1022">
        <v>-4.5912000000000104</v>
      </c>
      <c r="AF1022">
        <v>4.8614361300970801</v>
      </c>
      <c r="AG1022">
        <v>-1.12085100456</v>
      </c>
      <c r="AH1022">
        <v>27.192301349489298</v>
      </c>
      <c r="AI1022">
        <v>92.323563127252498</v>
      </c>
      <c r="AJ1022">
        <v>79.863754948182901</v>
      </c>
      <c r="AK1022">
        <v>27.646177328934201</v>
      </c>
      <c r="AL1022">
        <v>77.984283964573294</v>
      </c>
      <c r="AM1022">
        <v>85.105715338239605</v>
      </c>
      <c r="AN1022">
        <v>1.00000006956272</v>
      </c>
    </row>
    <row r="1023" spans="1:40" x14ac:dyDescent="0.25">
      <c r="A1023" t="str">
        <f>"20190303170516953"</f>
        <v>20190303170516953</v>
      </c>
      <c r="B1023" t="str">
        <f>"1551603916945455"</f>
        <v>1551603916945455</v>
      </c>
      <c r="C1023" t="s">
        <v>40</v>
      </c>
      <c r="D1023">
        <v>5.4602170000000001</v>
      </c>
      <c r="E1023">
        <v>0.5406318</v>
      </c>
      <c r="F1023" t="s">
        <v>41</v>
      </c>
      <c r="G1023">
        <v>-210.3673</v>
      </c>
      <c r="H1023" s="1">
        <v>-5.3192550000000003E-6</v>
      </c>
      <c r="I1023">
        <v>362.82569999999998</v>
      </c>
      <c r="J1023">
        <v>-238.10730000000001</v>
      </c>
      <c r="K1023">
        <v>1.120798</v>
      </c>
      <c r="L1023">
        <v>367.57159999999999</v>
      </c>
      <c r="M1023">
        <v>0.99984810000000002</v>
      </c>
      <c r="N1023">
        <v>-1.451327E-2</v>
      </c>
      <c r="O1023">
        <v>9.6551729999999995E-3</v>
      </c>
      <c r="P1023">
        <v>0.97806139999999997</v>
      </c>
      <c r="Q1023">
        <v>0.194298</v>
      </c>
      <c r="R1023">
        <v>-7.5129390000000004E-2</v>
      </c>
      <c r="S1023">
        <v>3.0522459999999998</v>
      </c>
      <c r="T1023">
        <v>-0.1223766</v>
      </c>
      <c r="U1023">
        <v>-0.51797490000000002</v>
      </c>
      <c r="V1023">
        <v>8.4904640000000003E-2</v>
      </c>
      <c r="W1023">
        <v>0.2083255</v>
      </c>
      <c r="X1023">
        <v>0.97436730000000005</v>
      </c>
      <c r="Y1023">
        <v>0.1766308</v>
      </c>
      <c r="Z1023">
        <v>-5.0512049999999996E-3</v>
      </c>
      <c r="AA1023">
        <v>0.98426420000000003</v>
      </c>
      <c r="AB1023">
        <v>33</v>
      </c>
      <c r="AC1023">
        <v>27.74</v>
      </c>
      <c r="AD1023">
        <v>-1.120803319255</v>
      </c>
      <c r="AE1023">
        <v>-4.7458999999999998</v>
      </c>
      <c r="AF1023">
        <v>5.0056023070790197</v>
      </c>
      <c r="AG1023">
        <v>-1.120803319255</v>
      </c>
      <c r="AH1023">
        <v>27.649026687411901</v>
      </c>
      <c r="AI1023">
        <v>92.284225614655298</v>
      </c>
      <c r="AJ1023">
        <v>79.738274022544203</v>
      </c>
      <c r="AK1023">
        <v>28.120827357997499</v>
      </c>
      <c r="AL1023">
        <v>77.975759382439506</v>
      </c>
      <c r="AM1023">
        <v>85.019926560207907</v>
      </c>
      <c r="AN1023">
        <v>0.99999997357653403</v>
      </c>
    </row>
    <row r="1024" spans="1:40" x14ac:dyDescent="0.25">
      <c r="A1024" t="str">
        <f>"20190303170516966"</f>
        <v>20190303170516966</v>
      </c>
      <c r="B1024" t="str">
        <f>"1551603916955216"</f>
        <v>1551603916955216</v>
      </c>
      <c r="C1024" t="s">
        <v>40</v>
      </c>
      <c r="D1024">
        <v>5.4323230000000002</v>
      </c>
      <c r="E1024">
        <v>0.54067749999999903</v>
      </c>
      <c r="F1024" t="s">
        <v>41</v>
      </c>
      <c r="G1024">
        <v>-209.95939999999999</v>
      </c>
      <c r="H1024" s="1">
        <v>-5.51127899999999E-6</v>
      </c>
      <c r="I1024">
        <v>362.72989999999999</v>
      </c>
      <c r="J1024">
        <v>-237.91309999999999</v>
      </c>
      <c r="K1024">
        <v>1.1207579999999999</v>
      </c>
      <c r="L1024">
        <v>367.57299999999998</v>
      </c>
      <c r="M1024">
        <v>0.99985299999999999</v>
      </c>
      <c r="N1024">
        <v>-1.451155E-2</v>
      </c>
      <c r="O1024">
        <v>9.1408889999999993E-3</v>
      </c>
      <c r="P1024">
        <v>0.97800529999999997</v>
      </c>
      <c r="Q1024">
        <v>0.19393460000000001</v>
      </c>
      <c r="R1024">
        <v>-7.6781790000000003E-2</v>
      </c>
      <c r="S1024">
        <v>3.0511020000000002</v>
      </c>
      <c r="T1024">
        <v>-0.12148929999999999</v>
      </c>
      <c r="U1024">
        <v>-0.52481080000000002</v>
      </c>
      <c r="V1024">
        <v>8.6072670000000004E-2</v>
      </c>
      <c r="W1024">
        <v>0.20794950000000001</v>
      </c>
      <c r="X1024">
        <v>0.97434509999999996</v>
      </c>
      <c r="Y1024">
        <v>0.1783286</v>
      </c>
      <c r="Z1024">
        <v>-5.0568260000000004E-3</v>
      </c>
      <c r="AA1024">
        <v>0.983958</v>
      </c>
      <c r="AB1024">
        <v>33</v>
      </c>
      <c r="AC1024">
        <v>27.953700000000001</v>
      </c>
      <c r="AD1024">
        <v>-1.120763511279</v>
      </c>
      <c r="AE1024">
        <v>-4.8431000000000397</v>
      </c>
      <c r="AF1024">
        <v>5.0905016943454697</v>
      </c>
      <c r="AG1024">
        <v>-1.120763511279</v>
      </c>
      <c r="AH1024">
        <v>27.8647698883386</v>
      </c>
      <c r="AI1024">
        <v>92.265822464399093</v>
      </c>
      <c r="AJ1024">
        <v>79.647032985853102</v>
      </c>
      <c r="AK1024">
        <v>28.3480990417067</v>
      </c>
      <c r="AL1024">
        <v>77.9977845140548</v>
      </c>
      <c r="AM1024">
        <v>84.951653082557698</v>
      </c>
      <c r="AN1024">
        <v>0.999999936482592</v>
      </c>
    </row>
    <row r="1025" spans="1:40" x14ac:dyDescent="0.25">
      <c r="A1025" t="str">
        <f>"20190303170516979"</f>
        <v>20190303170516979</v>
      </c>
      <c r="B1025" t="str">
        <f>"1551603916965951"</f>
        <v>1551603916965951</v>
      </c>
      <c r="C1025" t="s">
        <v>40</v>
      </c>
      <c r="D1025">
        <v>5.4679630000000001</v>
      </c>
      <c r="E1025">
        <v>0.54068609999999995</v>
      </c>
      <c r="F1025" t="s">
        <v>41</v>
      </c>
      <c r="G1025">
        <v>-210.15710000000001</v>
      </c>
      <c r="H1025" s="1">
        <v>-5.4230380000000002E-6</v>
      </c>
      <c r="I1025">
        <v>362.74919999999997</v>
      </c>
      <c r="J1025">
        <v>-237.7165</v>
      </c>
      <c r="K1025">
        <v>1.120722</v>
      </c>
      <c r="L1025">
        <v>367.57429999999999</v>
      </c>
      <c r="M1025">
        <v>0.99985789999999997</v>
      </c>
      <c r="N1025">
        <v>-1.450974E-2</v>
      </c>
      <c r="O1025">
        <v>8.5954299999999994E-3</v>
      </c>
      <c r="P1025">
        <v>0.97793660000000004</v>
      </c>
      <c r="Q1025">
        <v>0.19358</v>
      </c>
      <c r="R1025">
        <v>-7.8531790000000004E-2</v>
      </c>
      <c r="S1025">
        <v>3.0502929999999999</v>
      </c>
      <c r="T1025">
        <v>-0.123168</v>
      </c>
      <c r="U1025">
        <v>-0.53012079999999995</v>
      </c>
      <c r="V1025">
        <v>8.7306789999999995E-2</v>
      </c>
      <c r="W1025">
        <v>0.20758289999999999</v>
      </c>
      <c r="X1025">
        <v>0.9743136</v>
      </c>
      <c r="Y1025">
        <v>0.17949270000000001</v>
      </c>
      <c r="Z1025">
        <v>-5.1288150000000001E-3</v>
      </c>
      <c r="AA1025">
        <v>0.98374589999999995</v>
      </c>
      <c r="AB1025">
        <v>33</v>
      </c>
      <c r="AC1025">
        <v>27.559399999999901</v>
      </c>
      <c r="AD1025">
        <v>-1.120727423038</v>
      </c>
      <c r="AE1025">
        <v>-4.8251000000000097</v>
      </c>
      <c r="AF1025">
        <v>5.0537226696355502</v>
      </c>
      <c r="AG1025">
        <v>-1.120727423038</v>
      </c>
      <c r="AH1025">
        <v>27.472822547776801</v>
      </c>
      <c r="AI1025">
        <v>92.297523976058898</v>
      </c>
      <c r="AJ1025">
        <v>79.576766873918103</v>
      </c>
      <c r="AK1025">
        <v>27.9562537103949</v>
      </c>
      <c r="AL1025">
        <v>78.019259270665998</v>
      </c>
      <c r="AM1025">
        <v>84.879486712583699</v>
      </c>
      <c r="AN1025">
        <v>1.0000000635487301</v>
      </c>
    </row>
    <row r="1026" spans="1:40" x14ac:dyDescent="0.25">
      <c r="A1026" t="str">
        <f>"20190303170516994"</f>
        <v>20190303170516994</v>
      </c>
      <c r="B1026" t="str">
        <f>"1551603916985471"</f>
        <v>1551603916985471</v>
      </c>
      <c r="C1026" t="s">
        <v>40</v>
      </c>
      <c r="D1026">
        <v>5.4416830000000003</v>
      </c>
      <c r="E1026">
        <v>0.54074259999999996</v>
      </c>
      <c r="F1026" t="s">
        <v>41</v>
      </c>
      <c r="G1026">
        <v>-210.5394</v>
      </c>
      <c r="H1026" s="1">
        <v>-5.2495070000000003E-6</v>
      </c>
      <c r="I1026">
        <v>362.80290000000002</v>
      </c>
      <c r="J1026">
        <v>-237.5052</v>
      </c>
      <c r="K1026">
        <v>1.120682</v>
      </c>
      <c r="L1026">
        <v>367.57549999999998</v>
      </c>
      <c r="M1026">
        <v>0.99986299999999995</v>
      </c>
      <c r="N1026">
        <v>-1.4507839999999999E-2</v>
      </c>
      <c r="O1026">
        <v>7.9890459999999996E-3</v>
      </c>
      <c r="P1026">
        <v>0.97787199999999996</v>
      </c>
      <c r="Q1026">
        <v>0.19247510000000001</v>
      </c>
      <c r="R1026">
        <v>-8.1975560000000003E-2</v>
      </c>
      <c r="S1026">
        <v>3.0495909999999999</v>
      </c>
      <c r="T1026">
        <v>-0.12575819999999999</v>
      </c>
      <c r="U1026">
        <v>-0.5354004</v>
      </c>
      <c r="V1026">
        <v>9.0172180000000005E-2</v>
      </c>
      <c r="W1026">
        <v>0.2064638</v>
      </c>
      <c r="X1026">
        <v>0.9742904</v>
      </c>
      <c r="Y1026">
        <v>0.1805785</v>
      </c>
      <c r="Z1026">
        <v>-5.226067E-3</v>
      </c>
      <c r="AA1026">
        <v>0.9835467</v>
      </c>
      <c r="AB1026">
        <v>33</v>
      </c>
      <c r="AC1026">
        <v>26.965800000000002</v>
      </c>
      <c r="AD1026">
        <v>-1.1206872495069999</v>
      </c>
      <c r="AE1026">
        <v>-4.77259999999995</v>
      </c>
      <c r="AF1026">
        <v>4.9795618550802097</v>
      </c>
      <c r="AG1026">
        <v>-1.1206872495069999</v>
      </c>
      <c r="AH1026">
        <v>26.881786777663301</v>
      </c>
      <c r="AI1026">
        <v>92.347360214238506</v>
      </c>
      <c r="AJ1026">
        <v>79.5055283820044</v>
      </c>
      <c r="AK1026">
        <v>27.362061993562001</v>
      </c>
      <c r="AL1026">
        <v>78.084798700242303</v>
      </c>
      <c r="AM1026">
        <v>84.712244939325203</v>
      </c>
      <c r="AN1026">
        <v>1.0000000531442701</v>
      </c>
    </row>
    <row r="1027" spans="1:40" x14ac:dyDescent="0.25">
      <c r="A1027" t="str">
        <f>"20190303170517009"</f>
        <v>20190303170517009</v>
      </c>
      <c r="B1027" t="str">
        <f>"1551603916995231"</f>
        <v>1551603916995231</v>
      </c>
      <c r="C1027" t="s">
        <v>40</v>
      </c>
      <c r="D1027">
        <v>5.4603570000000001</v>
      </c>
      <c r="E1027">
        <v>0.54072259999999905</v>
      </c>
      <c r="F1027" t="s">
        <v>41</v>
      </c>
      <c r="G1027">
        <v>-211.0317</v>
      </c>
      <c r="H1027" s="1">
        <v>-5.0326680000000001E-6</v>
      </c>
      <c r="I1027">
        <v>362.83460000000002</v>
      </c>
      <c r="J1027">
        <v>-237.2807</v>
      </c>
      <c r="K1027">
        <v>1.1206499999999999</v>
      </c>
      <c r="L1027">
        <v>367.57659999999998</v>
      </c>
      <c r="M1027">
        <v>0.99986799999999998</v>
      </c>
      <c r="N1027">
        <v>-1.4505779999999999E-2</v>
      </c>
      <c r="O1027">
        <v>7.3302109999999997E-3</v>
      </c>
      <c r="P1027">
        <v>0.97780619999999996</v>
      </c>
      <c r="Q1027">
        <v>0.19210759999999999</v>
      </c>
      <c r="R1027">
        <v>-8.3604949999999997E-2</v>
      </c>
      <c r="S1027">
        <v>3.0475310000000002</v>
      </c>
      <c r="T1027">
        <v>-0.12900889999999901</v>
      </c>
      <c r="U1027">
        <v>-0.54574579999999995</v>
      </c>
      <c r="V1027">
        <v>9.1172199999999995E-2</v>
      </c>
      <c r="W1027">
        <v>0.2060854</v>
      </c>
      <c r="X1027">
        <v>0.97427739999999996</v>
      </c>
      <c r="Y1027">
        <v>0.1832675</v>
      </c>
      <c r="Z1027">
        <v>-5.3896500000000002E-3</v>
      </c>
      <c r="AA1027">
        <v>0.98304829999999999</v>
      </c>
      <c r="AB1027">
        <v>33</v>
      </c>
      <c r="AC1027">
        <v>26.248999999999899</v>
      </c>
      <c r="AD1027">
        <v>-1.12065503266799</v>
      </c>
      <c r="AE1027">
        <v>-4.74199999999996</v>
      </c>
      <c r="AF1027">
        <v>4.9256092835419603</v>
      </c>
      <c r="AG1027">
        <v>-1.12065503266799</v>
      </c>
      <c r="AH1027">
        <v>26.167342956212501</v>
      </c>
      <c r="AI1027">
        <v>92.410004443122702</v>
      </c>
      <c r="AJ1027">
        <v>79.339669075516298</v>
      </c>
      <c r="AK1027">
        <v>26.650465885316201</v>
      </c>
      <c r="AL1027">
        <v>78.106955377383599</v>
      </c>
      <c r="AM1027">
        <v>84.653870119702006</v>
      </c>
      <c r="AN1027">
        <v>1.0000000071483699</v>
      </c>
    </row>
    <row r="1028" spans="1:40" x14ac:dyDescent="0.25">
      <c r="A1028" t="str">
        <f>"20190303170517028"</f>
        <v>20190303170517028</v>
      </c>
      <c r="B1028" t="str">
        <f>"1551603917015727"</f>
        <v>1551603917015727</v>
      </c>
      <c r="C1028" t="s">
        <v>40</v>
      </c>
      <c r="D1028">
        <v>5.4996600000000004</v>
      </c>
      <c r="E1028">
        <v>0.54072209999999998</v>
      </c>
      <c r="F1028" t="s">
        <v>41</v>
      </c>
      <c r="G1028">
        <v>-210.92580000000001</v>
      </c>
      <c r="H1028" s="1">
        <v>-5.0808980000000003E-6</v>
      </c>
      <c r="I1028">
        <v>362.81880000000001</v>
      </c>
      <c r="J1028">
        <v>-237.0009</v>
      </c>
      <c r="K1028">
        <v>1.120617</v>
      </c>
      <c r="L1028">
        <v>367.5779</v>
      </c>
      <c r="M1028">
        <v>0.99987380000000003</v>
      </c>
      <c r="N1028">
        <v>-1.450309E-2</v>
      </c>
      <c r="O1028">
        <v>6.4898569999999999E-3</v>
      </c>
      <c r="P1028">
        <v>0.97751690000000002</v>
      </c>
      <c r="Q1028">
        <v>0.19221050000000001</v>
      </c>
      <c r="R1028">
        <v>-8.6694930000000003E-2</v>
      </c>
      <c r="S1028">
        <v>3.0465390000000001</v>
      </c>
      <c r="T1028">
        <v>-0.12954369999999901</v>
      </c>
      <c r="U1028">
        <v>-0.54998780000000003</v>
      </c>
      <c r="V1028">
        <v>9.3453620000000001E-2</v>
      </c>
      <c r="W1028">
        <v>0.20617079999999999</v>
      </c>
      <c r="X1028">
        <v>0.97404310000000005</v>
      </c>
      <c r="Y1028">
        <v>0.1838207</v>
      </c>
      <c r="Z1028">
        <v>-5.3999919999999898E-3</v>
      </c>
      <c r="AA1028">
        <v>0.98294499999999996</v>
      </c>
      <c r="AB1028">
        <v>33</v>
      </c>
      <c r="AC1028">
        <v>26.0750999999999</v>
      </c>
      <c r="AD1028">
        <v>-1.1206220808980001</v>
      </c>
      <c r="AE1028">
        <v>-4.7590999999999797</v>
      </c>
      <c r="AF1028">
        <v>4.9194479298099498</v>
      </c>
      <c r="AG1028">
        <v>-1.1206220808980001</v>
      </c>
      <c r="AH1028">
        <v>25.997192833065299</v>
      </c>
      <c r="AI1028">
        <v>92.425248481668206</v>
      </c>
      <c r="AJ1028">
        <v>79.284621359107604</v>
      </c>
      <c r="AK1028">
        <v>26.482273259331201</v>
      </c>
      <c r="AL1028">
        <v>78.1019544760087</v>
      </c>
      <c r="AM1028">
        <v>84.519587156595605</v>
      </c>
      <c r="AN1028">
        <v>0.99999996926067602</v>
      </c>
    </row>
    <row r="1029" spans="1:40" x14ac:dyDescent="0.25">
      <c r="A1029" t="str">
        <f>"20190303170517052"</f>
        <v>20190303170517052</v>
      </c>
      <c r="B1029" t="str">
        <f>"1551603917045984"</f>
        <v>1551603917045984</v>
      </c>
      <c r="C1029" t="s">
        <v>40</v>
      </c>
      <c r="D1029">
        <v>5.4393180000000001</v>
      </c>
      <c r="E1029">
        <v>0.54053490000000004</v>
      </c>
      <c r="F1029" t="s">
        <v>41</v>
      </c>
      <c r="G1029">
        <v>-210.82040000000001</v>
      </c>
      <c r="H1029" s="1">
        <v>-5.1338809999999998E-6</v>
      </c>
      <c r="I1029">
        <v>362.77499999999998</v>
      </c>
      <c r="J1029">
        <v>-236.654</v>
      </c>
      <c r="K1029">
        <v>1.1205940000000001</v>
      </c>
      <c r="L1029">
        <v>367.57889999999998</v>
      </c>
      <c r="M1029">
        <v>0.99988030000000006</v>
      </c>
      <c r="N1029">
        <v>-1.4499700000000001E-2</v>
      </c>
      <c r="O1029">
        <v>5.4283739999999997E-3</v>
      </c>
      <c r="P1029">
        <v>0.9773695</v>
      </c>
      <c r="Q1029">
        <v>0.19182940000000001</v>
      </c>
      <c r="R1029">
        <v>-8.9164099999999996E-2</v>
      </c>
      <c r="S1029">
        <v>3.0450740000000001</v>
      </c>
      <c r="T1029">
        <v>-0.13034009999999999</v>
      </c>
      <c r="U1029">
        <v>-0.55862429999999996</v>
      </c>
      <c r="V1029">
        <v>9.4896140000000004E-2</v>
      </c>
      <c r="W1029">
        <v>0.2057774</v>
      </c>
      <c r="X1029">
        <v>0.97398689999999999</v>
      </c>
      <c r="Y1029">
        <v>0.18555389999999999</v>
      </c>
      <c r="Z1029">
        <v>-5.446139E-3</v>
      </c>
      <c r="AA1029">
        <v>0.98261900000000002</v>
      </c>
      <c r="AB1029">
        <v>33</v>
      </c>
      <c r="AC1029">
        <v>25.833600000000001</v>
      </c>
      <c r="AD1029">
        <v>-1.120599133881</v>
      </c>
      <c r="AE1029">
        <v>-4.8038999999999898</v>
      </c>
      <c r="AF1029">
        <v>4.9351027784726904</v>
      </c>
      <c r="AG1029">
        <v>-1.120599133881</v>
      </c>
      <c r="AH1029">
        <v>25.760288330464601</v>
      </c>
      <c r="AI1029">
        <v>92.446420842370998</v>
      </c>
      <c r="AJ1029">
        <v>79.154799393181506</v>
      </c>
      <c r="AK1029">
        <v>26.252684371728801</v>
      </c>
      <c r="AL1029">
        <v>78.124989501246205</v>
      </c>
      <c r="AM1029">
        <v>84.435201135681595</v>
      </c>
      <c r="AN1029">
        <v>1.0000000485546301</v>
      </c>
    </row>
    <row r="1030" spans="1:40" x14ac:dyDescent="0.25">
      <c r="A1030" t="str">
        <f>"20190303170517080"</f>
        <v>20190303170517080</v>
      </c>
      <c r="B1030" t="str">
        <f>"1551603917075263"</f>
        <v>1551603917075263</v>
      </c>
      <c r="C1030" t="s">
        <v>40</v>
      </c>
      <c r="D1030">
        <v>5.4295099999999996</v>
      </c>
      <c r="E1030">
        <v>0.54036419999999996</v>
      </c>
      <c r="F1030" t="s">
        <v>41</v>
      </c>
      <c r="G1030">
        <v>-210.93979999999999</v>
      </c>
      <c r="H1030" s="1">
        <v>-5.0753859999999998E-6</v>
      </c>
      <c r="I1030">
        <v>362.81599999999997</v>
      </c>
      <c r="J1030">
        <v>-236.24680000000001</v>
      </c>
      <c r="K1030">
        <v>1.120568</v>
      </c>
      <c r="L1030">
        <v>367.57979999999998</v>
      </c>
      <c r="M1030">
        <v>0.99988630000000001</v>
      </c>
      <c r="N1030">
        <v>-1.4495600000000001E-2</v>
      </c>
      <c r="O1030">
        <v>4.1718290000000002E-3</v>
      </c>
      <c r="P1030">
        <v>0.97746560000000005</v>
      </c>
      <c r="Q1030">
        <v>0.1902722</v>
      </c>
      <c r="R1030">
        <v>-9.1419849999999997E-2</v>
      </c>
      <c r="S1030">
        <v>3.0440670000000001</v>
      </c>
      <c r="T1030">
        <v>-0.1326572</v>
      </c>
      <c r="U1030">
        <v>-0.56384279999999998</v>
      </c>
      <c r="V1030">
        <v>9.5930020000000005E-2</v>
      </c>
      <c r="W1030">
        <v>0.20421300000000001</v>
      </c>
      <c r="X1030">
        <v>0.97421480000000005</v>
      </c>
      <c r="Y1030">
        <v>0.18599879999999999</v>
      </c>
      <c r="Z1030">
        <v>-5.4973929999999997E-3</v>
      </c>
      <c r="AA1030">
        <v>0.98253460000000004</v>
      </c>
      <c r="AB1030">
        <v>33</v>
      </c>
      <c r="AC1030">
        <v>25.306999999999999</v>
      </c>
      <c r="AD1030">
        <v>-1.1205730753859999</v>
      </c>
      <c r="AE1030">
        <v>-4.7637999999999998</v>
      </c>
      <c r="AF1030">
        <v>4.8601431823608303</v>
      </c>
      <c r="AG1030">
        <v>-1.1205730753859999</v>
      </c>
      <c r="AH1030">
        <v>25.239112400823501</v>
      </c>
      <c r="AI1030">
        <v>92.496361598737096</v>
      </c>
      <c r="AJ1030">
        <v>79.100314751951103</v>
      </c>
      <c r="AK1030">
        <v>25.727212646373701</v>
      </c>
      <c r="AL1030">
        <v>78.216567264561306</v>
      </c>
      <c r="AM1030">
        <v>84.376267627044896</v>
      </c>
      <c r="AN1030">
        <v>0.99999999732262002</v>
      </c>
    </row>
    <row r="1031" spans="1:40" x14ac:dyDescent="0.25">
      <c r="A1031" t="str">
        <f>"20190303170517094"</f>
        <v>20190303170517094</v>
      </c>
      <c r="B1031" t="str">
        <f>"1551603917086000"</f>
        <v>1551603917086000</v>
      </c>
      <c r="C1031" t="s">
        <v>40</v>
      </c>
      <c r="D1031">
        <v>5.5314269999999999</v>
      </c>
      <c r="E1031">
        <v>0.54036419999999996</v>
      </c>
      <c r="F1031" t="s">
        <v>41</v>
      </c>
      <c r="G1031">
        <v>-211.41900000000001</v>
      </c>
      <c r="H1031" s="1">
        <v>-4.848467E-6</v>
      </c>
      <c r="I1031">
        <v>362.93630000000002</v>
      </c>
      <c r="J1031">
        <v>-236.023</v>
      </c>
      <c r="K1031">
        <v>1.120552</v>
      </c>
      <c r="L1031">
        <v>367.58010000000002</v>
      </c>
      <c r="M1031">
        <v>0.99988900000000003</v>
      </c>
      <c r="N1031">
        <v>-1.449334E-2</v>
      </c>
      <c r="O1031">
        <v>3.4804060000000001E-3</v>
      </c>
      <c r="P1031">
        <v>0.97758310000000004</v>
      </c>
      <c r="Q1031">
        <v>0.18881210000000001</v>
      </c>
      <c r="R1031">
        <v>-9.3173980000000003E-2</v>
      </c>
      <c r="S1031">
        <v>3.0426790000000001</v>
      </c>
      <c r="T1031">
        <v>-0.13732720000000001</v>
      </c>
      <c r="U1031">
        <v>-0.56906129999999999</v>
      </c>
      <c r="V1031">
        <v>9.7008639999999993E-2</v>
      </c>
      <c r="W1031">
        <v>0.2027494</v>
      </c>
      <c r="X1031">
        <v>0.97441369999999905</v>
      </c>
      <c r="Y1031">
        <v>0.1870127</v>
      </c>
      <c r="Z1031">
        <v>-5.6554409999999998E-3</v>
      </c>
      <c r="AA1031">
        <v>0.98234120000000003</v>
      </c>
      <c r="AB1031">
        <v>33</v>
      </c>
      <c r="AC1031">
        <v>24.6039999999999</v>
      </c>
      <c r="AD1031">
        <v>-1.1205568484669901</v>
      </c>
      <c r="AE1031">
        <v>-4.6437999999999899</v>
      </c>
      <c r="AF1031">
        <v>4.7199592624994704</v>
      </c>
      <c r="AG1031">
        <v>-1.1205568484669901</v>
      </c>
      <c r="AH1031">
        <v>24.538539246014601</v>
      </c>
      <c r="AI1031">
        <v>92.5676036868811</v>
      </c>
      <c r="AJ1031">
        <v>79.112200121287898</v>
      </c>
      <c r="AK1031">
        <v>25.013467800736901</v>
      </c>
      <c r="AL1031">
        <v>78.302217626036693</v>
      </c>
      <c r="AM1031">
        <v>84.314600678319906</v>
      </c>
      <c r="AN1031">
        <v>1.0000000270913401</v>
      </c>
    </row>
    <row r="1032" spans="1:40" x14ac:dyDescent="0.25">
      <c r="A1032" t="str">
        <f>"20190303170517109"</f>
        <v>20190303170517109</v>
      </c>
      <c r="B1032" t="str">
        <f>"1551603917105520"</f>
        <v>1551603917105520</v>
      </c>
      <c r="C1032" t="s">
        <v>40</v>
      </c>
      <c r="D1032">
        <v>5.5150800000000002</v>
      </c>
      <c r="E1032">
        <v>0.50270820000000005</v>
      </c>
      <c r="F1032" t="s">
        <v>41</v>
      </c>
      <c r="G1032">
        <v>-211.95959999999999</v>
      </c>
      <c r="H1032" s="1">
        <v>-4.6002839999999901E-6</v>
      </c>
      <c r="I1032">
        <v>363.02800000000002</v>
      </c>
      <c r="J1032">
        <v>-235.8211</v>
      </c>
      <c r="K1032">
        <v>1.1205430000000001</v>
      </c>
      <c r="L1032">
        <v>367.58010000000002</v>
      </c>
      <c r="M1032">
        <v>0.99989090000000003</v>
      </c>
      <c r="N1032">
        <v>-1.449132E-2</v>
      </c>
      <c r="O1032">
        <v>2.8574400000000002E-3</v>
      </c>
      <c r="P1032">
        <v>0.97763160000000005</v>
      </c>
      <c r="Q1032">
        <v>0.1882848</v>
      </c>
      <c r="R1032">
        <v>-9.3730389999999997E-2</v>
      </c>
      <c r="S1032">
        <v>3.0413209999999999</v>
      </c>
      <c r="T1032">
        <v>-0.14162429999999901</v>
      </c>
      <c r="U1032">
        <v>-0.57531739999999998</v>
      </c>
      <c r="V1032">
        <v>9.6957539999999995E-2</v>
      </c>
      <c r="W1032">
        <v>0.20222129999999999</v>
      </c>
      <c r="X1032">
        <v>0.97452850000000002</v>
      </c>
      <c r="Y1032">
        <v>0.188416</v>
      </c>
      <c r="Z1032">
        <v>-5.8151210000000004E-3</v>
      </c>
      <c r="AA1032">
        <v>0.9820721</v>
      </c>
      <c r="AB1032">
        <v>33</v>
      </c>
      <c r="AC1032">
        <v>23.861499999999999</v>
      </c>
      <c r="AD1032">
        <v>-1.120547600284</v>
      </c>
      <c r="AE1032">
        <v>-4.5520999999999896</v>
      </c>
      <c r="AF1032">
        <v>4.6104610242570798</v>
      </c>
      <c r="AG1032">
        <v>-1.120547600284</v>
      </c>
      <c r="AH1032">
        <v>23.797755873587001</v>
      </c>
      <c r="AI1032">
        <v>92.646713011081999</v>
      </c>
      <c r="AJ1032">
        <v>79.035625184267005</v>
      </c>
      <c r="AK1032">
        <v>24.266132003258001</v>
      </c>
      <c r="AL1032">
        <v>78.333115343037903</v>
      </c>
      <c r="AM1032">
        <v>84.318240911285002</v>
      </c>
      <c r="AN1032">
        <v>1.00000000802439</v>
      </c>
    </row>
    <row r="1033" spans="1:40" x14ac:dyDescent="0.25">
      <c r="A1033" t="str">
        <f>"20190303170517127"</f>
        <v>20190303170517127</v>
      </c>
      <c r="B1033" t="str">
        <f>"1551603917115279"</f>
        <v>1551603917115279</v>
      </c>
      <c r="C1033" t="s">
        <v>40</v>
      </c>
      <c r="D1033">
        <v>5.5212110000000001</v>
      </c>
      <c r="E1033">
        <v>0.49525629999999998</v>
      </c>
      <c r="F1033" t="s">
        <v>41</v>
      </c>
      <c r="G1033">
        <v>-218.70760000000001</v>
      </c>
      <c r="H1033" s="1">
        <v>-1.375723E-6</v>
      </c>
      <c r="I1033">
        <v>366.04660000000001</v>
      </c>
      <c r="J1033">
        <v>-235.5385</v>
      </c>
      <c r="K1033">
        <v>1.1205449999999999</v>
      </c>
      <c r="L1033">
        <v>367.58010000000002</v>
      </c>
      <c r="M1033">
        <v>0.99989300000000003</v>
      </c>
      <c r="N1033">
        <v>-1.448848E-2</v>
      </c>
      <c r="O1033">
        <v>1.9874319999999999E-3</v>
      </c>
      <c r="P1033">
        <v>0.97737430000000003</v>
      </c>
      <c r="Q1033">
        <v>0.18941079999999999</v>
      </c>
      <c r="R1033">
        <v>-9.4142390000000006E-2</v>
      </c>
      <c r="S1033">
        <v>3.0810240000000002</v>
      </c>
      <c r="T1033">
        <v>-0.2017361</v>
      </c>
      <c r="U1033">
        <v>-0.27609250000000002</v>
      </c>
      <c r="V1033">
        <v>9.6523170000000005E-2</v>
      </c>
      <c r="W1033">
        <v>0.20334140000000001</v>
      </c>
      <c r="X1033">
        <v>0.9743385</v>
      </c>
      <c r="Y1033">
        <v>9.0993519999999994E-2</v>
      </c>
      <c r="Z1033">
        <v>-3.7322810000000001E-3</v>
      </c>
      <c r="AA1033">
        <v>0.99584450000000002</v>
      </c>
      <c r="AB1033">
        <v>33</v>
      </c>
      <c r="AC1033">
        <v>16.8308999999999</v>
      </c>
      <c r="AD1033">
        <v>-1.1205463757230001</v>
      </c>
      <c r="AE1033">
        <v>-1.5335000000000001</v>
      </c>
      <c r="AF1033">
        <v>1.5600926348555899</v>
      </c>
      <c r="AG1033">
        <v>-1.1205463757230001</v>
      </c>
      <c r="AH1033">
        <v>16.754167905267</v>
      </c>
      <c r="AI1033">
        <v>93.809904932231504</v>
      </c>
      <c r="AJ1033">
        <v>84.680147000444904</v>
      </c>
      <c r="AK1033">
        <v>16.8639157791823</v>
      </c>
      <c r="AL1033">
        <v>78.267576374911798</v>
      </c>
      <c r="AM1033">
        <v>84.342433887435803</v>
      </c>
      <c r="AN1033">
        <v>0.999999979941529</v>
      </c>
    </row>
    <row r="1034" spans="1:40" x14ac:dyDescent="0.25">
      <c r="A1034" t="str">
        <f>"20190303170517141"</f>
        <v>20190303170517141</v>
      </c>
      <c r="B1034" t="str">
        <f>"1551603917135776"</f>
        <v>1551603917135776</v>
      </c>
      <c r="C1034" t="s">
        <v>40</v>
      </c>
      <c r="D1034">
        <v>5.5174479999999999</v>
      </c>
      <c r="E1034">
        <v>0.48572290000000001</v>
      </c>
      <c r="F1034" t="s">
        <v>41</v>
      </c>
      <c r="G1034">
        <v>-216.4418</v>
      </c>
      <c r="H1034" s="1">
        <v>-2.1107669999999999E-6</v>
      </c>
      <c r="I1034">
        <v>366.22269999999997</v>
      </c>
      <c r="J1034">
        <v>-235.32929999999999</v>
      </c>
      <c r="K1034">
        <v>1.120547</v>
      </c>
      <c r="L1034">
        <v>367.57990000000001</v>
      </c>
      <c r="M1034">
        <v>0.99989419999999996</v>
      </c>
      <c r="N1034">
        <v>-1.448637E-2</v>
      </c>
      <c r="O1034">
        <v>1.34531E-3</v>
      </c>
      <c r="P1034">
        <v>0.97715689999999999</v>
      </c>
      <c r="Q1034">
        <v>0.1904535</v>
      </c>
      <c r="R1034">
        <v>-9.4296279999999996E-2</v>
      </c>
      <c r="S1034">
        <v>3.083405</v>
      </c>
      <c r="T1034">
        <v>-0.18092610000000001</v>
      </c>
      <c r="U1034">
        <v>-0.21917719999999999</v>
      </c>
      <c r="V1034">
        <v>9.6052760000000001E-2</v>
      </c>
      <c r="W1034">
        <v>0.20438010000000001</v>
      </c>
      <c r="X1034">
        <v>0.97416760000000002</v>
      </c>
      <c r="Y1034">
        <v>7.2090639999999998E-2</v>
      </c>
      <c r="Z1034">
        <v>-2.6933019999999998E-3</v>
      </c>
      <c r="AA1034">
        <v>0.99739440000000001</v>
      </c>
      <c r="AB1034">
        <v>33</v>
      </c>
      <c r="AC1034">
        <v>18.8874999999999</v>
      </c>
      <c r="AD1034">
        <v>-1.120549110767</v>
      </c>
      <c r="AE1034">
        <v>-1.3572000000000299</v>
      </c>
      <c r="AF1034">
        <v>1.3777864160245299</v>
      </c>
      <c r="AG1034">
        <v>-1.120549110767</v>
      </c>
      <c r="AH1034">
        <v>18.819756140384801</v>
      </c>
      <c r="AI1034">
        <v>93.398357896372005</v>
      </c>
      <c r="AJ1034">
        <v>85.812869972433703</v>
      </c>
      <c r="AK1034">
        <v>18.9033633753725</v>
      </c>
      <c r="AL1034">
        <v>78.206786121392895</v>
      </c>
      <c r="AM1034">
        <v>84.368847346257894</v>
      </c>
      <c r="AN1034">
        <v>0.99999993543469101</v>
      </c>
    </row>
    <row r="1035" spans="1:40" x14ac:dyDescent="0.25">
      <c r="A1035" t="str">
        <f>"20190303170517153"</f>
        <v>20190303170517153</v>
      </c>
      <c r="B1035" t="str">
        <f>"1551603917145536"</f>
        <v>1551603917145536</v>
      </c>
      <c r="C1035" t="s">
        <v>40</v>
      </c>
      <c r="D1035">
        <v>5.5117010000000004</v>
      </c>
      <c r="E1035">
        <v>0.48293259999999999</v>
      </c>
      <c r="F1035" t="s">
        <v>41</v>
      </c>
      <c r="G1035">
        <v>-213.43190000000001</v>
      </c>
      <c r="H1035" s="1">
        <v>-3.3441459999999999E-6</v>
      </c>
      <c r="I1035">
        <v>366.54899999999998</v>
      </c>
      <c r="J1035">
        <v>-235.16120000000001</v>
      </c>
      <c r="K1035">
        <v>1.1205510000000001</v>
      </c>
      <c r="L1035">
        <v>367.57960000000003</v>
      </c>
      <c r="M1035">
        <v>0.99989490000000003</v>
      </c>
      <c r="N1035">
        <v>-1.448468E-2</v>
      </c>
      <c r="O1035">
        <v>8.3021989999999997E-4</v>
      </c>
      <c r="P1035">
        <v>0.97695050000000005</v>
      </c>
      <c r="Q1035">
        <v>0.1912383</v>
      </c>
      <c r="R1035">
        <v>-9.4845970000000002E-2</v>
      </c>
      <c r="S1035">
        <v>3.0869140000000002</v>
      </c>
      <c r="T1035">
        <v>-0.15796489999999999</v>
      </c>
      <c r="U1035">
        <v>-0.1453247</v>
      </c>
      <c r="V1035">
        <v>9.6101030000000004E-2</v>
      </c>
      <c r="W1035">
        <v>0.2051605</v>
      </c>
      <c r="X1035">
        <v>0.97399880000000005</v>
      </c>
      <c r="Y1035">
        <v>4.777431E-2</v>
      </c>
      <c r="Z1035">
        <v>-1.5978069999999999E-3</v>
      </c>
      <c r="AA1035">
        <v>0.99885690000000005</v>
      </c>
      <c r="AB1035">
        <v>33</v>
      </c>
      <c r="AC1035">
        <v>21.729299999999899</v>
      </c>
      <c r="AD1035">
        <v>-1.120554344146</v>
      </c>
      <c r="AE1035">
        <v>-1.03059999999999</v>
      </c>
      <c r="AF1035">
        <v>1.04586655655673</v>
      </c>
      <c r="AG1035">
        <v>-1.120554344146</v>
      </c>
      <c r="AH1035">
        <v>21.670935691394298</v>
      </c>
      <c r="AI1035">
        <v>92.956562075195293</v>
      </c>
      <c r="AJ1035">
        <v>87.236977599026801</v>
      </c>
      <c r="AK1035">
        <v>21.725076124903602</v>
      </c>
      <c r="AL1035">
        <v>78.161104681379001</v>
      </c>
      <c r="AM1035">
        <v>84.365065571707703</v>
      </c>
      <c r="AN1035">
        <v>0.99999995056437396</v>
      </c>
    </row>
    <row r="1036" spans="1:40" x14ac:dyDescent="0.25">
      <c r="A1036" t="str">
        <f>"20190303170517166"</f>
        <v>20190303170517166</v>
      </c>
      <c r="B1036" t="str">
        <f>"1551603917155297"</f>
        <v>1551603917155297</v>
      </c>
      <c r="C1036" t="s">
        <v>40</v>
      </c>
      <c r="D1036">
        <v>5.5350809999999999</v>
      </c>
      <c r="E1036">
        <v>0.48106460000000001</v>
      </c>
      <c r="F1036" t="s">
        <v>41</v>
      </c>
      <c r="G1036">
        <v>-211.85470000000001</v>
      </c>
      <c r="H1036" s="1">
        <v>-4.0054050000000002E-6</v>
      </c>
      <c r="I1036">
        <v>366.6354</v>
      </c>
      <c r="J1036">
        <v>-234.97839999999999</v>
      </c>
      <c r="K1036">
        <v>1.120555</v>
      </c>
      <c r="L1036">
        <v>367.57920000000001</v>
      </c>
      <c r="M1036">
        <v>0.99989519999999998</v>
      </c>
      <c r="N1036">
        <v>-1.448282E-2</v>
      </c>
      <c r="O1036">
        <v>2.7037200000000001E-4</v>
      </c>
      <c r="P1036">
        <v>0.97687820000000003</v>
      </c>
      <c r="Q1036">
        <v>0.19128819999999999</v>
      </c>
      <c r="R1036">
        <v>-9.5488970000000006E-2</v>
      </c>
      <c r="S1036">
        <v>3.0877080000000001</v>
      </c>
      <c r="T1036">
        <v>-0.14845369999999999</v>
      </c>
      <c r="U1036">
        <v>-0.1250916</v>
      </c>
      <c r="V1036">
        <v>9.6197930000000001E-2</v>
      </c>
      <c r="W1036">
        <v>0.2052081</v>
      </c>
      <c r="X1036">
        <v>0.97397920000000004</v>
      </c>
      <c r="Y1036">
        <v>4.0688490000000001E-2</v>
      </c>
      <c r="Z1036">
        <v>-1.2812380000000001E-3</v>
      </c>
      <c r="AA1036">
        <v>0.99917109999999998</v>
      </c>
      <c r="AB1036">
        <v>33</v>
      </c>
      <c r="AC1036">
        <v>23.1236999999999</v>
      </c>
      <c r="AD1036">
        <v>-1.1205590054050001</v>
      </c>
      <c r="AE1036">
        <v>-0.94380000000000996</v>
      </c>
      <c r="AF1036">
        <v>0.94783052659240896</v>
      </c>
      <c r="AG1036">
        <v>-1.1205590054050001</v>
      </c>
      <c r="AH1036">
        <v>23.069360116577698</v>
      </c>
      <c r="AI1036">
        <v>92.778528981314196</v>
      </c>
      <c r="AJ1036">
        <v>87.647261922873</v>
      </c>
      <c r="AK1036">
        <v>23.1159990348694</v>
      </c>
      <c r="AL1036">
        <v>78.158318034898301</v>
      </c>
      <c r="AM1036">
        <v>84.359307633887795</v>
      </c>
      <c r="AN1036">
        <v>0.999999944037265</v>
      </c>
    </row>
    <row r="1037" spans="1:40" x14ac:dyDescent="0.25">
      <c r="A1037" t="str">
        <f>"20190303170517180"</f>
        <v>20190303170517180</v>
      </c>
      <c r="B1037" t="str">
        <f>"1551603917165818"</f>
        <v>1551603917165818</v>
      </c>
      <c r="C1037" t="s">
        <v>40</v>
      </c>
      <c r="D1037">
        <v>5.5386059999999997</v>
      </c>
      <c r="E1037">
        <v>0.47970200000000002</v>
      </c>
      <c r="F1037" t="s">
        <v>41</v>
      </c>
      <c r="G1037">
        <v>-210.84350000000001</v>
      </c>
      <c r="H1037" s="1">
        <v>-4.4273809999999999E-6</v>
      </c>
      <c r="I1037">
        <v>366.7022</v>
      </c>
      <c r="J1037">
        <v>-234.77780000000001</v>
      </c>
      <c r="K1037">
        <v>1.1205620000000001</v>
      </c>
      <c r="L1037">
        <v>367.57859999999999</v>
      </c>
      <c r="M1037">
        <v>0.99989519999999998</v>
      </c>
      <c r="N1037">
        <v>-1.4480760000000001E-2</v>
      </c>
      <c r="O1037">
        <v>-3.4275160000000001E-4</v>
      </c>
      <c r="P1037">
        <v>0.97672400000000004</v>
      </c>
      <c r="Q1037">
        <v>0.19152859999999999</v>
      </c>
      <c r="R1037">
        <v>-9.6577960000000004E-2</v>
      </c>
      <c r="S1037">
        <v>3.08812</v>
      </c>
      <c r="T1037">
        <v>-0.14337749999999999</v>
      </c>
      <c r="U1037">
        <v>-0.1122131</v>
      </c>
      <c r="V1037">
        <v>9.6688869999999996E-2</v>
      </c>
      <c r="W1037">
        <v>0.20544380000000001</v>
      </c>
      <c r="X1037">
        <v>0.97388090000000005</v>
      </c>
      <c r="Y1037">
        <v>3.5919970000000002E-2</v>
      </c>
      <c r="Z1037">
        <v>-1.0825539999999999E-3</v>
      </c>
      <c r="AA1037">
        <v>0.99935410000000002</v>
      </c>
      <c r="AB1037">
        <v>33</v>
      </c>
      <c r="AC1037">
        <v>23.9343</v>
      </c>
      <c r="AD1037">
        <v>-1.1205664273810001</v>
      </c>
      <c r="AE1037">
        <v>-0.87639999999998897</v>
      </c>
      <c r="AF1037">
        <v>0.86629921402483601</v>
      </c>
      <c r="AG1037">
        <v>-1.1205664273810001</v>
      </c>
      <c r="AH1037">
        <v>23.8823198826605</v>
      </c>
      <c r="AI1037">
        <v>92.684603904307806</v>
      </c>
      <c r="AJ1037">
        <v>87.922583045130494</v>
      </c>
      <c r="AK1037">
        <v>23.924283613602999</v>
      </c>
      <c r="AL1037">
        <v>78.144519491960196</v>
      </c>
      <c r="AM1037">
        <v>84.330139267439506</v>
      </c>
      <c r="AN1037">
        <v>0.99999994996256203</v>
      </c>
    </row>
    <row r="1038" spans="1:40" x14ac:dyDescent="0.25">
      <c r="A1038" t="str">
        <f>"20190303170517207"</f>
        <v>20190303170517207</v>
      </c>
      <c r="B1038" t="str">
        <f>"1551603917196074"</f>
        <v>1551603917196074</v>
      </c>
      <c r="C1038" t="s">
        <v>40</v>
      </c>
      <c r="D1038">
        <v>5.5262149999999997</v>
      </c>
      <c r="E1038">
        <v>0.47658309999999998</v>
      </c>
      <c r="F1038" t="s">
        <v>49</v>
      </c>
      <c r="G1038">
        <v>-209.92140000000001</v>
      </c>
      <c r="H1038" s="1">
        <v>-5.7080089999999999E-6</v>
      </c>
      <c r="I1038">
        <v>366.74009999999998</v>
      </c>
      <c r="J1038">
        <v>-234.37799999999999</v>
      </c>
      <c r="K1038">
        <v>1.1205540000000001</v>
      </c>
      <c r="L1038">
        <v>367.5772</v>
      </c>
      <c r="M1038">
        <v>0.99989399999999995</v>
      </c>
      <c r="N1038">
        <v>-1.4476650000000001E-2</v>
      </c>
      <c r="O1038">
        <v>-1.565625E-3</v>
      </c>
      <c r="P1038">
        <v>0.97695169999999998</v>
      </c>
      <c r="Q1038">
        <v>0.18926380000000001</v>
      </c>
      <c r="R1038">
        <v>-9.8715739999999996E-2</v>
      </c>
      <c r="S1038">
        <v>3.0884860000000001</v>
      </c>
      <c r="T1038">
        <v>-0.13923389999999999</v>
      </c>
      <c r="U1038">
        <v>-0.104187</v>
      </c>
      <c r="V1038">
        <v>9.7626920000000006E-2</v>
      </c>
      <c r="W1038">
        <v>0.203178</v>
      </c>
      <c r="X1038">
        <v>0.97426270000000004</v>
      </c>
      <c r="Y1038">
        <v>3.2107570000000002E-2</v>
      </c>
      <c r="Z1038">
        <v>-9.0792460000000005E-4</v>
      </c>
      <c r="AA1038">
        <v>0.99948400000000004</v>
      </c>
      <c r="AB1038">
        <v>33</v>
      </c>
      <c r="AC1038">
        <v>24.456599999999899</v>
      </c>
      <c r="AD1038">
        <v>-1.120559708009</v>
      </c>
      <c r="AE1038">
        <v>-0.83710000000002005</v>
      </c>
      <c r="AF1038">
        <v>0.79713362000960597</v>
      </c>
      <c r="AG1038">
        <v>-1.120559708009</v>
      </c>
      <c r="AH1038">
        <v>24.406703312988402</v>
      </c>
      <c r="AI1038">
        <v>92.627316882336402</v>
      </c>
      <c r="AJ1038">
        <v>88.129359697188207</v>
      </c>
      <c r="AK1038">
        <v>24.445413530468301</v>
      </c>
      <c r="AL1038">
        <v>78.277139082441707</v>
      </c>
      <c r="AM1038">
        <v>84.277723832678703</v>
      </c>
      <c r="AN1038">
        <v>1.00000006190198</v>
      </c>
    </row>
    <row r="1039" spans="1:40" x14ac:dyDescent="0.25">
      <c r="A1039" t="str">
        <f>"20190303170517230"</f>
        <v>20190303170517230</v>
      </c>
      <c r="B1039" t="str">
        <f>"1551603917215593"</f>
        <v>1551603917215593</v>
      </c>
      <c r="C1039" t="s">
        <v>40</v>
      </c>
      <c r="D1039">
        <v>5.5320349999999996</v>
      </c>
      <c r="E1039">
        <v>0.47504879999999999</v>
      </c>
      <c r="F1039" t="s">
        <v>41</v>
      </c>
      <c r="G1039">
        <v>-209.9803</v>
      </c>
      <c r="H1039" s="1">
        <v>-4.7624509999999998E-6</v>
      </c>
      <c r="I1039">
        <v>366.90069999999997</v>
      </c>
      <c r="J1039">
        <v>-234.0556</v>
      </c>
      <c r="K1039">
        <v>1.1205540000000001</v>
      </c>
      <c r="L1039">
        <v>367.57560000000001</v>
      </c>
      <c r="M1039">
        <v>0.99989209999999995</v>
      </c>
      <c r="N1039">
        <v>-1.447333E-2</v>
      </c>
      <c r="O1039">
        <v>-2.551162E-3</v>
      </c>
      <c r="P1039">
        <v>0.97682000000000002</v>
      </c>
      <c r="Q1039">
        <v>0.18905279999999999</v>
      </c>
      <c r="R1039">
        <v>-0.10041120000000001</v>
      </c>
      <c r="S1039">
        <v>3.0896150000000002</v>
      </c>
      <c r="T1039">
        <v>-0.14190259999999999</v>
      </c>
      <c r="U1039">
        <v>-8.5662840000000004E-2</v>
      </c>
      <c r="V1039">
        <v>9.8358479999999998E-2</v>
      </c>
      <c r="W1039">
        <v>0.2029619</v>
      </c>
      <c r="X1039">
        <v>0.97423409999999999</v>
      </c>
      <c r="Y1039">
        <v>2.5131299999999999E-2</v>
      </c>
      <c r="Z1039">
        <v>-6.7856779999999998E-4</v>
      </c>
      <c r="AA1039">
        <v>0.99968389999999996</v>
      </c>
      <c r="AB1039">
        <v>33</v>
      </c>
      <c r="AC1039">
        <v>24.075299999999999</v>
      </c>
      <c r="AD1039">
        <v>-1.1205587624510001</v>
      </c>
      <c r="AE1039">
        <v>-0.67490000000003603</v>
      </c>
      <c r="AF1039">
        <v>0.61214631135945596</v>
      </c>
      <c r="AG1039">
        <v>-1.1205587624510001</v>
      </c>
      <c r="AH1039">
        <v>24.024938370941999</v>
      </c>
      <c r="AI1039">
        <v>92.669559668717795</v>
      </c>
      <c r="AJ1039">
        <v>88.540441083092105</v>
      </c>
      <c r="AK1039">
        <v>24.0588453333526</v>
      </c>
      <c r="AL1039">
        <v>78.289783464505106</v>
      </c>
      <c r="AM1039">
        <v>84.2349640370347</v>
      </c>
      <c r="AN1039">
        <v>1.0000000025211599</v>
      </c>
    </row>
    <row r="1040" spans="1:40" x14ac:dyDescent="0.25">
      <c r="A1040" t="str">
        <f>"20190303170517253"</f>
        <v>20190303170517253</v>
      </c>
      <c r="B1040" t="str">
        <f>"1551603917245851"</f>
        <v>1551603917245851</v>
      </c>
      <c r="C1040" t="s">
        <v>40</v>
      </c>
      <c r="D1040">
        <v>5.541423</v>
      </c>
      <c r="E1040">
        <v>0.47374290000000002</v>
      </c>
      <c r="F1040" t="s">
        <v>49</v>
      </c>
      <c r="G1040">
        <v>-209.70930000000001</v>
      </c>
      <c r="H1040" s="1">
        <v>-5.6033140000000002E-6</v>
      </c>
      <c r="I1040">
        <v>366.95580000000001</v>
      </c>
      <c r="J1040">
        <v>-233.7133</v>
      </c>
      <c r="K1040">
        <v>1.1205579999999999</v>
      </c>
      <c r="L1040">
        <v>367.5736</v>
      </c>
      <c r="M1040">
        <v>0.99988900000000003</v>
      </c>
      <c r="N1040">
        <v>-1.4469799999999901E-2</v>
      </c>
      <c r="O1040">
        <v>-3.5981899999999998E-3</v>
      </c>
      <c r="P1040">
        <v>0.97644779999999998</v>
      </c>
      <c r="Q1040">
        <v>0.1896834</v>
      </c>
      <c r="R1040">
        <v>-0.10281270000000001</v>
      </c>
      <c r="S1040">
        <v>3.090668</v>
      </c>
      <c r="T1040">
        <v>-0.14225090000000001</v>
      </c>
      <c r="U1040">
        <v>-7.8674320000000006E-2</v>
      </c>
      <c r="V1040">
        <v>9.9739040000000001E-2</v>
      </c>
      <c r="W1040">
        <v>0.20358229999999999</v>
      </c>
      <c r="X1040">
        <v>0.97396430000000001</v>
      </c>
      <c r="Y1040">
        <v>2.182106E-2</v>
      </c>
      <c r="Z1040">
        <v>-5.4638519999999999E-4</v>
      </c>
      <c r="AA1040">
        <v>0.99976180000000003</v>
      </c>
      <c r="AB1040">
        <v>32</v>
      </c>
      <c r="AC1040">
        <v>24.003999999999898</v>
      </c>
      <c r="AD1040">
        <v>-1.1205636033139901</v>
      </c>
      <c r="AE1040">
        <v>-0.61779999999998803</v>
      </c>
      <c r="AF1040">
        <v>0.530261214707347</v>
      </c>
      <c r="AG1040">
        <v>-1.1205636033139901</v>
      </c>
      <c r="AH1040">
        <v>23.953900941190799</v>
      </c>
      <c r="AI1040">
        <v>92.677689204505299</v>
      </c>
      <c r="AJ1040">
        <v>88.731865491539395</v>
      </c>
      <c r="AK1040">
        <v>23.9859586017586</v>
      </c>
      <c r="AL1040">
        <v>78.253479698693894</v>
      </c>
      <c r="AM1040">
        <v>84.1529944212609</v>
      </c>
      <c r="AN1040">
        <v>1.00000004332395</v>
      </c>
    </row>
    <row r="1041" spans="1:40" x14ac:dyDescent="0.25">
      <c r="A1041" t="str">
        <f>"20190303170517273"</f>
        <v>20190303170517273</v>
      </c>
      <c r="B1041" t="str">
        <f>"1551603917266046"</f>
        <v>1551603917266046</v>
      </c>
      <c r="C1041" t="s">
        <v>40</v>
      </c>
      <c r="D1041">
        <v>5.6514329999999999</v>
      </c>
      <c r="E1041">
        <v>0.47289389999999998</v>
      </c>
      <c r="F1041" t="s">
        <v>49</v>
      </c>
      <c r="G1041">
        <v>-208.23240000000001</v>
      </c>
      <c r="H1041" s="1">
        <v>-5.0507770000000004E-6</v>
      </c>
      <c r="I1041">
        <v>366.9547</v>
      </c>
      <c r="J1041">
        <v>-233.41900000000001</v>
      </c>
      <c r="K1041">
        <v>1.1205540000000001</v>
      </c>
      <c r="L1041">
        <v>367.57159999999999</v>
      </c>
      <c r="M1041">
        <v>0.99988529999999998</v>
      </c>
      <c r="N1041">
        <v>-1.446676E-2</v>
      </c>
      <c r="O1041">
        <v>-4.4984810000000004E-3</v>
      </c>
      <c r="P1041">
        <v>0.97628839999999995</v>
      </c>
      <c r="Q1041">
        <v>0.18909880000000001</v>
      </c>
      <c r="R1041">
        <v>-0.1053687</v>
      </c>
      <c r="S1041">
        <v>3.090881</v>
      </c>
      <c r="T1041">
        <v>-0.1359262</v>
      </c>
      <c r="U1041">
        <v>-7.5073239999999999E-2</v>
      </c>
      <c r="V1041">
        <v>0.1014145</v>
      </c>
      <c r="W1041">
        <v>0.2029908</v>
      </c>
      <c r="X1041">
        <v>0.97391470000000002</v>
      </c>
      <c r="Y1041">
        <v>1.9760170000000001E-2</v>
      </c>
      <c r="Z1041">
        <v>-4.4462359999999999E-4</v>
      </c>
      <c r="AA1041">
        <v>0.99980469999999999</v>
      </c>
      <c r="AB1041">
        <v>32</v>
      </c>
      <c r="AC1041">
        <v>25.186599999999999</v>
      </c>
      <c r="AD1041">
        <v>-1.120559050777</v>
      </c>
      <c r="AE1041">
        <v>-0.61689999999998602</v>
      </c>
      <c r="AF1041">
        <v>0.50258624928878404</v>
      </c>
      <c r="AG1041">
        <v>-1.120559050777</v>
      </c>
      <c r="AH1041">
        <v>25.1393897945952</v>
      </c>
      <c r="AI1041">
        <v>92.551694136814504</v>
      </c>
      <c r="AJ1041">
        <v>88.854696327875303</v>
      </c>
      <c r="AK1041">
        <v>25.1693695743229</v>
      </c>
      <c r="AL1041">
        <v>78.288092435942602</v>
      </c>
      <c r="AM1041">
        <v>84.055170883485701</v>
      </c>
      <c r="AN1041">
        <v>1.00000000428549</v>
      </c>
    </row>
    <row r="1042" spans="1:40" x14ac:dyDescent="0.25">
      <c r="A1042" t="str">
        <f>"20190303170517296"</f>
        <v>20190303170517296</v>
      </c>
      <c r="B1042" t="str">
        <f>"1551603917285565"</f>
        <v>1551603917285565</v>
      </c>
      <c r="C1042" t="s">
        <v>40</v>
      </c>
      <c r="D1042">
        <v>5.5391309999999896</v>
      </c>
      <c r="E1042">
        <v>0.472304</v>
      </c>
      <c r="F1042" t="s">
        <v>49</v>
      </c>
      <c r="G1042">
        <v>-208.11750000000001</v>
      </c>
      <c r="H1042" s="1">
        <v>-4.9977119999999999E-6</v>
      </c>
      <c r="I1042">
        <v>366.95260000000002</v>
      </c>
      <c r="J1042">
        <v>-233.09520000000001</v>
      </c>
      <c r="K1042">
        <v>1.120555</v>
      </c>
      <c r="L1042">
        <v>367.56909999999999</v>
      </c>
      <c r="M1042">
        <v>0.99988049999999995</v>
      </c>
      <c r="N1042">
        <v>-1.446338E-2</v>
      </c>
      <c r="O1042">
        <v>-5.4895959999999898E-3</v>
      </c>
      <c r="P1042">
        <v>0.97604299999999999</v>
      </c>
      <c r="Q1042">
        <v>0.18903710000000001</v>
      </c>
      <c r="R1042">
        <v>-0.1077297</v>
      </c>
      <c r="S1042">
        <v>3.0912320000000002</v>
      </c>
      <c r="T1042">
        <v>-0.1369051</v>
      </c>
      <c r="U1042">
        <v>-7.5622560000000005E-2</v>
      </c>
      <c r="V1042">
        <v>0.10280739999999899</v>
      </c>
      <c r="W1042">
        <v>0.2029212</v>
      </c>
      <c r="X1042">
        <v>0.97378310000000001</v>
      </c>
      <c r="Y1042">
        <v>1.8945159999999999E-2</v>
      </c>
      <c r="Z1042">
        <v>-3.9277950000000001E-4</v>
      </c>
      <c r="AA1042">
        <v>0.9998205</v>
      </c>
      <c r="AB1042">
        <v>32</v>
      </c>
      <c r="AC1042">
        <v>24.977699999999999</v>
      </c>
      <c r="AD1042">
        <v>-1.120559997712</v>
      </c>
      <c r="AE1042">
        <v>-0.61649999999997296</v>
      </c>
      <c r="AF1042">
        <v>0.47839665357288802</v>
      </c>
      <c r="AG1042">
        <v>-1.120559997712</v>
      </c>
      <c r="AH1042">
        <v>24.9305626372334</v>
      </c>
      <c r="AI1042">
        <v>92.573081987575193</v>
      </c>
      <c r="AJ1042">
        <v>88.900676812980507</v>
      </c>
      <c r="AK1042">
        <v>24.960317936189</v>
      </c>
      <c r="AL1042">
        <v>78.292164340444501</v>
      </c>
      <c r="AM1042">
        <v>83.973308683685104</v>
      </c>
      <c r="AN1042">
        <v>0.99999995037490297</v>
      </c>
    </row>
    <row r="1043" spans="1:40" x14ac:dyDescent="0.25">
      <c r="A1043" t="str">
        <f>"20190303170517317"</f>
        <v>20190303170517317</v>
      </c>
      <c r="B1043" t="str">
        <f>"1551603917306062"</f>
        <v>1551603917306062</v>
      </c>
      <c r="C1043" t="s">
        <v>40</v>
      </c>
      <c r="D1043">
        <v>5.5565300000000004</v>
      </c>
      <c r="E1043">
        <v>0.47180630000000001</v>
      </c>
      <c r="F1043" t="s">
        <v>49</v>
      </c>
      <c r="G1043">
        <v>-207.69810000000001</v>
      </c>
      <c r="H1043" s="1">
        <v>-4.8080990000000004E-6</v>
      </c>
      <c r="I1043">
        <v>366.92680000000001</v>
      </c>
      <c r="J1043">
        <v>-232.77600000000001</v>
      </c>
      <c r="K1043">
        <v>1.120557</v>
      </c>
      <c r="L1043">
        <v>367.56630000000001</v>
      </c>
      <c r="M1043">
        <v>0.99987470000000001</v>
      </c>
      <c r="N1043">
        <v>-1.446009E-2</v>
      </c>
      <c r="O1043">
        <v>-6.4666480000000002E-3</v>
      </c>
      <c r="P1043">
        <v>0.97592290000000004</v>
      </c>
      <c r="Q1043">
        <v>0.18925110000000001</v>
      </c>
      <c r="R1043">
        <v>-0.1084372</v>
      </c>
      <c r="S1043">
        <v>3.091431</v>
      </c>
      <c r="T1043">
        <v>-0.13639889999999999</v>
      </c>
      <c r="U1043">
        <v>-7.8186039999999998E-2</v>
      </c>
      <c r="V1043">
        <v>0.10256129999999999</v>
      </c>
      <c r="W1043">
        <v>0.2031327</v>
      </c>
      <c r="X1043">
        <v>0.97376499999999999</v>
      </c>
      <c r="Y1043">
        <v>1.8795909999999999E-2</v>
      </c>
      <c r="Z1043">
        <v>-3.5873980000000001E-4</v>
      </c>
      <c r="AA1043">
        <v>0.99982329999999997</v>
      </c>
      <c r="AB1043">
        <v>32</v>
      </c>
      <c r="AC1043">
        <v>25.0778999999999</v>
      </c>
      <c r="AD1043">
        <v>-1.1205618080990001</v>
      </c>
      <c r="AE1043">
        <v>-0.63949999999999796</v>
      </c>
      <c r="AF1043">
        <v>0.47634928647675301</v>
      </c>
      <c r="AG1043">
        <v>-1.1205618080990001</v>
      </c>
      <c r="AH1043">
        <v>25.0315660470139</v>
      </c>
      <c r="AI1043">
        <v>92.5627252835165</v>
      </c>
      <c r="AJ1043">
        <v>88.909796144608407</v>
      </c>
      <c r="AK1043">
        <v>25.061162506446401</v>
      </c>
      <c r="AL1043">
        <v>78.279789059571698</v>
      </c>
      <c r="AM1043">
        <v>83.987518620956394</v>
      </c>
      <c r="AN1043">
        <v>0.99999999464598999</v>
      </c>
    </row>
    <row r="1044" spans="1:40" x14ac:dyDescent="0.25">
      <c r="A1044" t="str">
        <f>"20190303170517341"</f>
        <v>20190303170517341</v>
      </c>
      <c r="B1044" t="str">
        <f>"1551603917335341"</f>
        <v>1551603917335341</v>
      </c>
      <c r="C1044" t="s">
        <v>40</v>
      </c>
      <c r="D1044">
        <v>5.5775180000000004</v>
      </c>
      <c r="E1044">
        <v>0.47128789999999998</v>
      </c>
      <c r="F1044" t="s">
        <v>49</v>
      </c>
      <c r="G1044">
        <v>-207.18510000000001</v>
      </c>
      <c r="H1044" s="1">
        <v>-4.5684589999999999E-6</v>
      </c>
      <c r="I1044">
        <v>366.9298</v>
      </c>
      <c r="J1044">
        <v>-232.44370000000001</v>
      </c>
      <c r="K1044">
        <v>1.1205609999999999</v>
      </c>
      <c r="L1044">
        <v>367.56310000000002</v>
      </c>
      <c r="M1044">
        <v>0.99986759999999997</v>
      </c>
      <c r="N1044">
        <v>-1.445654E-2</v>
      </c>
      <c r="O1044">
        <v>-7.4843399999999999E-3</v>
      </c>
      <c r="P1044">
        <v>0.97587749999999995</v>
      </c>
      <c r="Q1044">
        <v>0.18902820000000001</v>
      </c>
      <c r="R1044">
        <v>-0.10923190000000001</v>
      </c>
      <c r="S1044">
        <v>3.0917050000000001</v>
      </c>
      <c r="T1044">
        <v>-0.1353779</v>
      </c>
      <c r="U1044">
        <v>-7.6904299999999995E-2</v>
      </c>
      <c r="V1044">
        <v>0.1023608</v>
      </c>
      <c r="W1044">
        <v>0.20290820000000001</v>
      </c>
      <c r="X1044">
        <v>0.9738329</v>
      </c>
      <c r="Y1044">
        <v>1.7364290000000001E-2</v>
      </c>
      <c r="Z1044">
        <v>-2.8620039999999999E-4</v>
      </c>
      <c r="AA1044">
        <v>0.99984919999999999</v>
      </c>
      <c r="AB1044">
        <v>32</v>
      </c>
      <c r="AC1044">
        <v>25.258600000000001</v>
      </c>
      <c r="AD1044">
        <v>-1.1205655684589999</v>
      </c>
      <c r="AE1044">
        <v>-0.63330000000001896</v>
      </c>
      <c r="AF1044">
        <v>0.44334655237660903</v>
      </c>
      <c r="AG1044">
        <v>-1.1205655684589999</v>
      </c>
      <c r="AH1044">
        <v>25.213041114536999</v>
      </c>
      <c r="AI1044">
        <v>92.544379734215994</v>
      </c>
      <c r="AJ1044">
        <v>88.992613837613703</v>
      </c>
      <c r="AK1044">
        <v>25.2418237376394</v>
      </c>
      <c r="AL1044">
        <v>78.292925528974294</v>
      </c>
      <c r="AM1044">
        <v>83.999602093538002</v>
      </c>
      <c r="AN1044">
        <v>0.99999999406314499</v>
      </c>
    </row>
    <row r="1045" spans="1:40" x14ac:dyDescent="0.25">
      <c r="A1045" t="str">
        <f>"20190303170517363"</f>
        <v>20190303170517363</v>
      </c>
      <c r="B1045" t="str">
        <f>"1551603917355837"</f>
        <v>1551603917355837</v>
      </c>
      <c r="C1045" t="s">
        <v>40</v>
      </c>
      <c r="D1045">
        <v>5.4999349999999998</v>
      </c>
      <c r="E1045">
        <v>0.47083779999999997</v>
      </c>
      <c r="F1045" t="s">
        <v>49</v>
      </c>
      <c r="G1045">
        <v>-206.69110000000001</v>
      </c>
      <c r="H1045" s="1">
        <v>-4.3378199999999999E-6</v>
      </c>
      <c r="I1045">
        <v>366.93220000000002</v>
      </c>
      <c r="J1045">
        <v>-232.1181</v>
      </c>
      <c r="K1045">
        <v>1.120565</v>
      </c>
      <c r="L1045">
        <v>367.55970000000002</v>
      </c>
      <c r="M1045">
        <v>0.99985970000000002</v>
      </c>
      <c r="N1045">
        <v>-1.445308E-2</v>
      </c>
      <c r="O1045">
        <v>-8.4820039999999996E-3</v>
      </c>
      <c r="P1045">
        <v>0.97592409999999996</v>
      </c>
      <c r="Q1045">
        <v>0.18927459999999999</v>
      </c>
      <c r="R1045">
        <v>-0.1083865</v>
      </c>
      <c r="S1045">
        <v>3.091736</v>
      </c>
      <c r="T1045">
        <v>-0.13452990000000001</v>
      </c>
      <c r="U1045">
        <v>-7.5744629999999993E-2</v>
      </c>
      <c r="V1045">
        <v>0.10054</v>
      </c>
      <c r="W1045">
        <v>0.20315749999999999</v>
      </c>
      <c r="X1045">
        <v>0.97397060000000002</v>
      </c>
      <c r="Y1045">
        <v>1.599391E-2</v>
      </c>
      <c r="Z1045">
        <v>-2.1714179999999999E-4</v>
      </c>
      <c r="AA1045">
        <v>0.99987210000000004</v>
      </c>
      <c r="AB1045">
        <v>32</v>
      </c>
      <c r="AC1045">
        <v>25.4269999999999</v>
      </c>
      <c r="AD1045">
        <v>-1.1205693378199999</v>
      </c>
      <c r="AE1045">
        <v>-0.62749999999999695</v>
      </c>
      <c r="AF1045">
        <v>0.41098528721696498</v>
      </c>
      <c r="AG1045">
        <v>-1.1205693378199999</v>
      </c>
      <c r="AH1045">
        <v>25.382141712991402</v>
      </c>
      <c r="AI1045">
        <v>92.527518471182802</v>
      </c>
      <c r="AJ1045">
        <v>89.072353109827304</v>
      </c>
      <c r="AK1045">
        <v>25.410188950213499</v>
      </c>
      <c r="AL1045">
        <v>78.278337875427198</v>
      </c>
      <c r="AM1045">
        <v>84.106406778031499</v>
      </c>
      <c r="AN1045">
        <v>0.99999999553530405</v>
      </c>
    </row>
    <row r="1046" spans="1:40" x14ac:dyDescent="0.25">
      <c r="A1046" t="str">
        <f>"20190303170517385"</f>
        <v>20190303170517385</v>
      </c>
      <c r="B1046" t="str">
        <f>"1551603917375389"</f>
        <v>1551603917375389</v>
      </c>
      <c r="C1046" t="s">
        <v>40</v>
      </c>
      <c r="D1046">
        <v>5.5657439999999996</v>
      </c>
      <c r="E1046">
        <v>0.4705761</v>
      </c>
      <c r="F1046" t="s">
        <v>49</v>
      </c>
      <c r="G1046">
        <v>-206.11779999999999</v>
      </c>
      <c r="H1046" s="1">
        <v>-4.0612210000000001E-6</v>
      </c>
      <c r="I1046">
        <v>366.9751</v>
      </c>
      <c r="J1046">
        <v>-231.8098</v>
      </c>
      <c r="K1046">
        <v>1.120571</v>
      </c>
      <c r="L1046">
        <v>367.55599999999998</v>
      </c>
      <c r="M1046">
        <v>0.9998513</v>
      </c>
      <c r="N1046">
        <v>-1.444981E-2</v>
      </c>
      <c r="O1046">
        <v>-9.4265089999999996E-3</v>
      </c>
      <c r="P1046">
        <v>0.97608640000000002</v>
      </c>
      <c r="Q1046">
        <v>0.18926399999999999</v>
      </c>
      <c r="R1046">
        <v>-0.1069321</v>
      </c>
      <c r="S1046">
        <v>3.092133</v>
      </c>
      <c r="T1046">
        <v>-0.13326559999999901</v>
      </c>
      <c r="U1046">
        <v>-6.9519040000000004E-2</v>
      </c>
      <c r="V1046">
        <v>9.8160839999999999E-2</v>
      </c>
      <c r="W1046">
        <v>0.20315279999999999</v>
      </c>
      <c r="X1046">
        <v>0.97421429999999998</v>
      </c>
      <c r="Y1046">
        <v>1.303847E-2</v>
      </c>
      <c r="Z1046">
        <v>-1.052319E-4</v>
      </c>
      <c r="AA1046">
        <v>0.999915</v>
      </c>
      <c r="AB1046">
        <v>32</v>
      </c>
      <c r="AC1046">
        <v>25.692</v>
      </c>
      <c r="AD1046">
        <v>-1.1205750612209999</v>
      </c>
      <c r="AE1046">
        <v>-0.58089999999998498</v>
      </c>
      <c r="AF1046">
        <v>0.33802036354540999</v>
      </c>
      <c r="AG1046">
        <v>-1.1205750612209999</v>
      </c>
      <c r="AH1046">
        <v>25.647569446961299</v>
      </c>
      <c r="AI1046">
        <v>92.501517738471705</v>
      </c>
      <c r="AJ1046">
        <v>89.244917962423699</v>
      </c>
      <c r="AK1046">
        <v>25.674262691861401</v>
      </c>
      <c r="AL1046">
        <v>78.278613625439306</v>
      </c>
      <c r="AM1046">
        <v>84.246354264689003</v>
      </c>
      <c r="AN1046">
        <v>1.0000000564909099</v>
      </c>
    </row>
    <row r="1047" spans="1:40" x14ac:dyDescent="0.25">
      <c r="A1047" t="str">
        <f>"20190303170517407"</f>
        <v>20190303170517407</v>
      </c>
      <c r="B1047" t="str">
        <f>"1551603917395885"</f>
        <v>1551603917395885</v>
      </c>
      <c r="C1047" t="s">
        <v>40</v>
      </c>
      <c r="D1047">
        <v>5.5142439999999997</v>
      </c>
      <c r="E1047">
        <v>0.470277</v>
      </c>
      <c r="F1047" t="s">
        <v>49</v>
      </c>
      <c r="G1047">
        <v>-205.5377</v>
      </c>
      <c r="H1047" s="1">
        <v>-3.780735E-6</v>
      </c>
      <c r="I1047">
        <v>367.02140000000003</v>
      </c>
      <c r="J1047">
        <v>-231.494</v>
      </c>
      <c r="K1047">
        <v>1.1205700000000001</v>
      </c>
      <c r="L1047">
        <v>367.55200000000002</v>
      </c>
      <c r="M1047">
        <v>0.9998416</v>
      </c>
      <c r="N1047">
        <v>-1.4446489999999999E-2</v>
      </c>
      <c r="O1047">
        <v>-1.039472E-2</v>
      </c>
      <c r="P1047">
        <v>0.97593529999999995</v>
      </c>
      <c r="Q1047">
        <v>0.19052069999999999</v>
      </c>
      <c r="R1047">
        <v>-0.1060778</v>
      </c>
      <c r="S1047">
        <v>3.0921479999999999</v>
      </c>
      <c r="T1047">
        <v>-0.13188800000000001</v>
      </c>
      <c r="U1047">
        <v>-6.2927250000000004E-2</v>
      </c>
      <c r="V1047">
        <v>9.6363110000000002E-2</v>
      </c>
      <c r="W1047">
        <v>0.20440949999999999</v>
      </c>
      <c r="X1047">
        <v>0.97413090000000002</v>
      </c>
      <c r="Y1047">
        <v>9.9437180000000007E-3</v>
      </c>
      <c r="Z1047" s="1">
        <v>9.1511609999999997E-6</v>
      </c>
      <c r="AA1047">
        <v>0.99995060000000002</v>
      </c>
      <c r="AB1047">
        <v>32</v>
      </c>
      <c r="AC1047">
        <v>25.956299999999999</v>
      </c>
      <c r="AD1047">
        <v>-1.120573780735</v>
      </c>
      <c r="AE1047">
        <v>-0.53059999999993501</v>
      </c>
      <c r="AF1047">
        <v>0.260249847897711</v>
      </c>
      <c r="AG1047">
        <v>-1.120573780735</v>
      </c>
      <c r="AH1047">
        <v>25.912138960762299</v>
      </c>
      <c r="AI1047">
        <v>92.476095766152</v>
      </c>
      <c r="AJ1047">
        <v>89.424566355668404</v>
      </c>
      <c r="AK1047">
        <v>25.937662984610899</v>
      </c>
      <c r="AL1047">
        <v>78.205066684841199</v>
      </c>
      <c r="AM1047">
        <v>84.3505589308526</v>
      </c>
      <c r="AN1047">
        <v>1.00000005149696</v>
      </c>
    </row>
    <row r="1048" spans="1:40" x14ac:dyDescent="0.25">
      <c r="A1048" t="str">
        <f>"20190303170517431"</f>
        <v>20190303170517431</v>
      </c>
      <c r="B1048" t="str">
        <f>"1551603917426141"</f>
        <v>1551603917426141</v>
      </c>
      <c r="C1048" t="s">
        <v>40</v>
      </c>
      <c r="D1048">
        <v>5.5792599999999997</v>
      </c>
      <c r="E1048">
        <v>0.4700609</v>
      </c>
      <c r="F1048" t="s">
        <v>49</v>
      </c>
      <c r="G1048">
        <v>-204.45179999999999</v>
      </c>
      <c r="H1048" s="1">
        <v>-3.2489759999999999E-6</v>
      </c>
      <c r="I1048">
        <v>367.04579999999999</v>
      </c>
      <c r="J1048">
        <v>-231.15620000000001</v>
      </c>
      <c r="K1048">
        <v>1.120576</v>
      </c>
      <c r="L1048">
        <v>367.54739999999998</v>
      </c>
      <c r="M1048">
        <v>0.99983040000000001</v>
      </c>
      <c r="N1048">
        <v>-1.444288E-2</v>
      </c>
      <c r="O1048">
        <v>-1.143124E-2</v>
      </c>
      <c r="P1048">
        <v>0.97588859999999999</v>
      </c>
      <c r="Q1048">
        <v>0.1908533</v>
      </c>
      <c r="R1048">
        <v>-0.10590819999999999</v>
      </c>
      <c r="S1048">
        <v>3.0927120000000001</v>
      </c>
      <c r="T1048">
        <v>-0.128155399999999</v>
      </c>
      <c r="U1048">
        <v>-5.7891850000000002E-2</v>
      </c>
      <c r="V1048">
        <v>9.5181000000000002E-2</v>
      </c>
      <c r="W1048">
        <v>0.2047419</v>
      </c>
      <c r="X1048">
        <v>0.97417719999999997</v>
      </c>
      <c r="Y1048">
        <v>7.2795999999999998E-3</v>
      </c>
      <c r="Z1048">
        <v>1.050114E-4</v>
      </c>
      <c r="AA1048">
        <v>0.99997349999999996</v>
      </c>
      <c r="AB1048">
        <v>32</v>
      </c>
      <c r="AC1048">
        <v>26.7044</v>
      </c>
      <c r="AD1048">
        <v>-1.120579248976</v>
      </c>
      <c r="AE1048">
        <v>-0.50159999999999605</v>
      </c>
      <c r="AF1048">
        <v>0.195926112755823</v>
      </c>
      <c r="AG1048">
        <v>-1.120579248976</v>
      </c>
      <c r="AH1048">
        <v>26.661459347663701</v>
      </c>
      <c r="AI1048">
        <v>92.406656148396095</v>
      </c>
      <c r="AJ1048">
        <v>89.578960133297699</v>
      </c>
      <c r="AK1048">
        <v>26.685717143108999</v>
      </c>
      <c r="AL1048">
        <v>78.185608771843107</v>
      </c>
      <c r="AM1048">
        <v>84.419685410231693</v>
      </c>
      <c r="AN1048">
        <v>0.99999994268822301</v>
      </c>
    </row>
    <row r="1049" spans="1:40" x14ac:dyDescent="0.25">
      <c r="A1049" t="str">
        <f>"20190303170517453"</f>
        <v>20190303170517453</v>
      </c>
      <c r="B1049" t="str">
        <f>"1551603917445660"</f>
        <v>1551603917445660</v>
      </c>
      <c r="C1049" t="s">
        <v>40</v>
      </c>
      <c r="D1049">
        <v>5.5761059999999896</v>
      </c>
      <c r="E1049">
        <v>0.46997990000000001</v>
      </c>
      <c r="F1049" t="s">
        <v>49</v>
      </c>
      <c r="G1049">
        <v>-203.89590000000001</v>
      </c>
      <c r="H1049" s="1">
        <v>-2.968132E-6</v>
      </c>
      <c r="I1049">
        <v>367.05079999999998</v>
      </c>
      <c r="J1049">
        <v>-230.82839999999999</v>
      </c>
      <c r="K1049">
        <v>1.120574</v>
      </c>
      <c r="L1049">
        <v>367.54259999999999</v>
      </c>
      <c r="M1049">
        <v>0.9998186</v>
      </c>
      <c r="N1049">
        <v>-1.4439520000000001E-2</v>
      </c>
      <c r="O1049">
        <v>-1.2437129999999999E-2</v>
      </c>
      <c r="P1049">
        <v>0.97609900000000005</v>
      </c>
      <c r="Q1049">
        <v>0.18950739999999999</v>
      </c>
      <c r="R1049">
        <v>-0.10638649999999999</v>
      </c>
      <c r="S1049">
        <v>3.0928650000000002</v>
      </c>
      <c r="T1049">
        <v>-0.1271371</v>
      </c>
      <c r="U1049">
        <v>-5.6335450000000002E-2</v>
      </c>
      <c r="V1049">
        <v>9.4669799999999998E-2</v>
      </c>
      <c r="W1049">
        <v>0.20339930000000001</v>
      </c>
      <c r="X1049">
        <v>0.97450829999999999</v>
      </c>
      <c r="Y1049">
        <v>5.7716869999999898E-3</v>
      </c>
      <c r="Z1049">
        <v>1.711583E-4</v>
      </c>
      <c r="AA1049">
        <v>0.99998330000000002</v>
      </c>
      <c r="AB1049">
        <v>32</v>
      </c>
      <c r="AC1049">
        <v>26.932499999999902</v>
      </c>
      <c r="AD1049">
        <v>-1.1205769681319999</v>
      </c>
      <c r="AE1049">
        <v>-0.49180000000001201</v>
      </c>
      <c r="AF1049">
        <v>0.15649327459728701</v>
      </c>
      <c r="AG1049">
        <v>-1.1205769681319999</v>
      </c>
      <c r="AH1049">
        <v>26.8899991072145</v>
      </c>
      <c r="AI1049">
        <v>92.386244715807393</v>
      </c>
      <c r="AJ1049">
        <v>89.666556220642704</v>
      </c>
      <c r="AK1049">
        <v>26.9137926512132</v>
      </c>
      <c r="AL1049">
        <v>78.264188814963205</v>
      </c>
      <c r="AM1049">
        <v>84.451342696319003</v>
      </c>
      <c r="AN1049">
        <v>1.0000000365207</v>
      </c>
    </row>
    <row r="1050" spans="1:40" x14ac:dyDescent="0.25">
      <c r="A1050" t="str">
        <f>"20190303170517473"</f>
        <v>20190303170517473</v>
      </c>
      <c r="B1050" t="str">
        <f>"1551603917465181"</f>
        <v>1551603917465181</v>
      </c>
      <c r="C1050" t="s">
        <v>40</v>
      </c>
      <c r="D1050">
        <v>6.3352009999999996</v>
      </c>
      <c r="E1050">
        <v>0.47007529999999997</v>
      </c>
      <c r="F1050" t="s">
        <v>49</v>
      </c>
      <c r="G1050">
        <v>-204.36940000000001</v>
      </c>
      <c r="H1050" s="1">
        <v>-3.2074789999999998E-6</v>
      </c>
      <c r="I1050">
        <v>367.04599999999999</v>
      </c>
      <c r="J1050">
        <v>-230.5265</v>
      </c>
      <c r="K1050">
        <v>1.1205670000000001</v>
      </c>
      <c r="L1050">
        <v>367.5378</v>
      </c>
      <c r="M1050">
        <v>0.99980659999999999</v>
      </c>
      <c r="N1050">
        <v>-1.4436249999999999E-2</v>
      </c>
      <c r="O1050">
        <v>-1.3363160000000001E-2</v>
      </c>
      <c r="P1050">
        <v>0.97613839999999996</v>
      </c>
      <c r="Q1050">
        <v>0.18887219999999999</v>
      </c>
      <c r="R1050">
        <v>-0.1071521</v>
      </c>
      <c r="S1050">
        <v>3.0925600000000002</v>
      </c>
      <c r="T1050">
        <v>-0.13097429999999999</v>
      </c>
      <c r="U1050">
        <v>-5.8044430000000001E-2</v>
      </c>
      <c r="V1050">
        <v>9.4527390000000003E-2</v>
      </c>
      <c r="W1050">
        <v>0.20276340000000001</v>
      </c>
      <c r="X1050">
        <v>0.97465460000000004</v>
      </c>
      <c r="Y1050">
        <v>5.4005859999999998E-3</v>
      </c>
      <c r="Z1050">
        <v>2.1944379999999999E-4</v>
      </c>
      <c r="AA1050">
        <v>0.99998540000000002</v>
      </c>
      <c r="AB1050">
        <v>32</v>
      </c>
      <c r="AC1050">
        <v>26.1570999999999</v>
      </c>
      <c r="AD1050">
        <v>-1.120570207479</v>
      </c>
      <c r="AE1050">
        <v>-0.49180000000001201</v>
      </c>
      <c r="AF1050">
        <v>0.14191780929556</v>
      </c>
      <c r="AG1050">
        <v>-1.120570207479</v>
      </c>
      <c r="AH1050">
        <v>26.113428461269699</v>
      </c>
      <c r="AI1050">
        <v>92.457112521461895</v>
      </c>
      <c r="AJ1050">
        <v>89.6886195365106</v>
      </c>
      <c r="AK1050">
        <v>26.137845440210601</v>
      </c>
      <c r="AL1050">
        <v>78.301398227181707</v>
      </c>
      <c r="AM1050">
        <v>84.460463925172704</v>
      </c>
      <c r="AN1050">
        <v>1.00000000657046</v>
      </c>
    </row>
    <row r="1051" spans="1:40" x14ac:dyDescent="0.25">
      <c r="A1051" t="str">
        <f>"20190303170517496"</f>
        <v>20190303170517496</v>
      </c>
      <c r="B1051" t="str">
        <f>"1551603917485676"</f>
        <v>1551603917485676</v>
      </c>
      <c r="C1051" t="s">
        <v>40</v>
      </c>
      <c r="D1051">
        <v>5.4422670000000002</v>
      </c>
      <c r="E1051">
        <v>0.52317239999999998</v>
      </c>
      <c r="F1051" t="s">
        <v>49</v>
      </c>
      <c r="G1051">
        <v>-204.60409999999999</v>
      </c>
      <c r="H1051" s="1">
        <v>-3.3313990000000002E-6</v>
      </c>
      <c r="I1051">
        <v>367.01979999999998</v>
      </c>
      <c r="J1051">
        <v>-230.2089</v>
      </c>
      <c r="K1051">
        <v>1.120571</v>
      </c>
      <c r="L1051">
        <v>367.5326</v>
      </c>
      <c r="M1051">
        <v>0.99979309999999999</v>
      </c>
      <c r="N1051">
        <v>-1.443265E-2</v>
      </c>
      <c r="O1051">
        <v>-1.433747E-2</v>
      </c>
      <c r="P1051">
        <v>0.97595100000000001</v>
      </c>
      <c r="Q1051">
        <v>0.18888050000000001</v>
      </c>
      <c r="R1051">
        <v>-0.10883</v>
      </c>
      <c r="S1051">
        <v>3.0924070000000001</v>
      </c>
      <c r="T1051">
        <v>-0.1336783</v>
      </c>
      <c r="U1051">
        <v>-6.1798100000000002E-2</v>
      </c>
      <c r="V1051">
        <v>9.5254569999999997E-2</v>
      </c>
      <c r="W1051">
        <v>0.20276620000000001</v>
      </c>
      <c r="X1051">
        <v>0.97458319999999998</v>
      </c>
      <c r="Y1051">
        <v>5.6405869999999999E-3</v>
      </c>
      <c r="Z1051">
        <v>2.4994140000000003E-4</v>
      </c>
      <c r="AA1051">
        <v>0.99998410000000004</v>
      </c>
      <c r="AB1051">
        <v>32</v>
      </c>
      <c r="AC1051">
        <v>25.604800000000001</v>
      </c>
      <c r="AD1051">
        <v>-1.120574331399</v>
      </c>
      <c r="AE1051">
        <v>-0.51280000000002701</v>
      </c>
      <c r="AF1051">
        <v>0.145322781000809</v>
      </c>
      <c r="AG1051">
        <v>-1.120574331399</v>
      </c>
      <c r="AH1051">
        <v>25.560583880763101</v>
      </c>
      <c r="AI1051">
        <v>92.5101953711536</v>
      </c>
      <c r="AJ1051">
        <v>89.674252656164498</v>
      </c>
      <c r="AK1051">
        <v>25.5855477539254</v>
      </c>
      <c r="AL1051">
        <v>78.301234191446596</v>
      </c>
      <c r="AM1051">
        <v>84.417711153033906</v>
      </c>
      <c r="AN1051">
        <v>0.999999989345282</v>
      </c>
    </row>
    <row r="1052" spans="1:40" x14ac:dyDescent="0.25">
      <c r="A1052" t="str">
        <f>"20190303170517519"</f>
        <v>20190303170517519</v>
      </c>
      <c r="B1052" t="str">
        <f>"1551603917505200"</f>
        <v>1551603917505200</v>
      </c>
      <c r="C1052" t="s">
        <v>40</v>
      </c>
      <c r="D1052">
        <v>5.4699080000000002</v>
      </c>
      <c r="E1052">
        <v>0.53296790000000005</v>
      </c>
      <c r="F1052" t="s">
        <v>41</v>
      </c>
      <c r="G1052">
        <v>-210.9434</v>
      </c>
      <c r="H1052" s="1">
        <v>-4.7829350000000003E-6</v>
      </c>
      <c r="I1052">
        <v>364.45609999999999</v>
      </c>
      <c r="J1052">
        <v>-229.8777</v>
      </c>
      <c r="K1052">
        <v>1.120573</v>
      </c>
      <c r="L1052">
        <v>367.52670000000001</v>
      </c>
      <c r="M1052">
        <v>0.99977800000000006</v>
      </c>
      <c r="N1052">
        <v>-1.442888E-2</v>
      </c>
      <c r="O1052">
        <v>-1.535396E-2</v>
      </c>
      <c r="P1052">
        <v>0.97571019999999997</v>
      </c>
      <c r="Q1052">
        <v>0.1890551</v>
      </c>
      <c r="R1052">
        <v>-0.1106714</v>
      </c>
      <c r="S1052">
        <v>3.053925</v>
      </c>
      <c r="T1052">
        <v>-0.17763039999999999</v>
      </c>
      <c r="U1052">
        <v>-0.48767090000000002</v>
      </c>
      <c r="V1052">
        <v>9.6104759999999997E-2</v>
      </c>
      <c r="W1052">
        <v>0.20293430000000001</v>
      </c>
      <c r="X1052">
        <v>0.97446480000000002</v>
      </c>
      <c r="Y1052">
        <v>0.1422273</v>
      </c>
      <c r="Z1052">
        <v>-4.4742109999999996E-3</v>
      </c>
      <c r="AA1052">
        <v>0.98982389999999998</v>
      </c>
      <c r="AB1052">
        <v>32</v>
      </c>
      <c r="AC1052">
        <v>18.9343</v>
      </c>
      <c r="AD1052">
        <v>-1.1205777829350001</v>
      </c>
      <c r="AE1052">
        <v>-3.07060000000001</v>
      </c>
      <c r="AF1052">
        <v>2.7700376151635999</v>
      </c>
      <c r="AG1052">
        <v>-1.1205777829350001</v>
      </c>
      <c r="AH1052">
        <v>18.9146663040001</v>
      </c>
      <c r="AI1052">
        <v>93.354758539020906</v>
      </c>
      <c r="AJ1052">
        <v>81.668306731581893</v>
      </c>
      <c r="AK1052">
        <v>19.1492403073518</v>
      </c>
      <c r="AL1052">
        <v>78.291399008785405</v>
      </c>
      <c r="AM1052">
        <v>84.367525729550195</v>
      </c>
      <c r="AN1052">
        <v>1.0000000507250899</v>
      </c>
    </row>
    <row r="1053" spans="1:40" x14ac:dyDescent="0.25">
      <c r="A1053" t="str">
        <f>"20190303170517542"</f>
        <v>20190303170517542</v>
      </c>
      <c r="B1053" t="str">
        <f>"1551603917535453"</f>
        <v>1551603917535453</v>
      </c>
      <c r="C1053" t="s">
        <v>40</v>
      </c>
      <c r="D1053">
        <v>5.435073</v>
      </c>
      <c r="E1053">
        <v>0.53915239999999998</v>
      </c>
      <c r="F1053" t="s">
        <v>41</v>
      </c>
      <c r="G1053">
        <v>-210.2073</v>
      </c>
      <c r="H1053" s="1">
        <v>-5.2090679999999998E-6</v>
      </c>
      <c r="I1053">
        <v>363.834</v>
      </c>
      <c r="J1053">
        <v>-229.56030000000001</v>
      </c>
      <c r="K1053">
        <v>1.1205769999999999</v>
      </c>
      <c r="L1053">
        <v>367.52080000000001</v>
      </c>
      <c r="M1053">
        <v>0.99976279999999995</v>
      </c>
      <c r="N1053">
        <v>-1.4425189999999999E-2</v>
      </c>
      <c r="O1053">
        <v>-1.632838E-2</v>
      </c>
      <c r="P1053">
        <v>0.97565159999999995</v>
      </c>
      <c r="Q1053">
        <v>0.18828149999999999</v>
      </c>
      <c r="R1053">
        <v>-0.1124918</v>
      </c>
      <c r="S1053">
        <v>3.043472</v>
      </c>
      <c r="T1053">
        <v>-0.1733787</v>
      </c>
      <c r="U1053">
        <v>-0.57135009999999997</v>
      </c>
      <c r="V1053">
        <v>9.6970929999999997E-2</v>
      </c>
      <c r="W1053">
        <v>0.20215630000000001</v>
      </c>
      <c r="X1053">
        <v>0.97454070000000004</v>
      </c>
      <c r="Y1053">
        <v>0.16811470000000001</v>
      </c>
      <c r="Z1053">
        <v>-5.2800759999999999E-3</v>
      </c>
      <c r="AA1053">
        <v>0.98575330000000005</v>
      </c>
      <c r="AB1053">
        <v>32</v>
      </c>
      <c r="AC1053">
        <v>19.353000000000002</v>
      </c>
      <c r="AD1053">
        <v>-1.120582209068</v>
      </c>
      <c r="AE1053">
        <v>-3.6867999999999999</v>
      </c>
      <c r="AF1053">
        <v>3.3594038803478599</v>
      </c>
      <c r="AG1053">
        <v>-1.120582209068</v>
      </c>
      <c r="AH1053">
        <v>19.348029229324801</v>
      </c>
      <c r="AI1053">
        <v>93.265947475503197</v>
      </c>
      <c r="AJ1053">
        <v>80.149918905964995</v>
      </c>
      <c r="AK1053">
        <v>19.669456880589902</v>
      </c>
      <c r="AL1053">
        <v>78.336918645818002</v>
      </c>
      <c r="AM1053">
        <v>84.317532058349798</v>
      </c>
      <c r="AN1053">
        <v>1.0000000534256199</v>
      </c>
    </row>
    <row r="1054" spans="1:40" x14ac:dyDescent="0.25">
      <c r="A1054" t="str">
        <f>"20190303170517563"</f>
        <v>20190303170517563</v>
      </c>
      <c r="B1054" t="str">
        <f>"1551603917555949"</f>
        <v>1551603917555949</v>
      </c>
      <c r="C1054" t="s">
        <v>40</v>
      </c>
      <c r="D1054">
        <v>5.4506750000000004</v>
      </c>
      <c r="E1054">
        <v>0.54143999999999903</v>
      </c>
      <c r="F1054" t="s">
        <v>41</v>
      </c>
      <c r="G1054">
        <v>-210.15799999999999</v>
      </c>
      <c r="H1054" s="1">
        <v>-5.2862600000000003E-6</v>
      </c>
      <c r="I1054">
        <v>363.51799999999997</v>
      </c>
      <c r="J1054">
        <v>-229.24780000000001</v>
      </c>
      <c r="K1054">
        <v>1.120574</v>
      </c>
      <c r="L1054">
        <v>367.5147</v>
      </c>
      <c r="M1054">
        <v>0.99974649999999998</v>
      </c>
      <c r="N1054">
        <v>-1.4421720000000001E-2</v>
      </c>
      <c r="O1054">
        <v>-1.7288959999999999E-2</v>
      </c>
      <c r="P1054">
        <v>0.97563480000000002</v>
      </c>
      <c r="Q1054">
        <v>0.18730060000000001</v>
      </c>
      <c r="R1054">
        <v>-0.11425970000000001</v>
      </c>
      <c r="S1054">
        <v>3.0364529999999998</v>
      </c>
      <c r="T1054">
        <v>-0.1753699</v>
      </c>
      <c r="U1054">
        <v>-0.6264343</v>
      </c>
      <c r="V1054">
        <v>9.7796729999999998E-2</v>
      </c>
      <c r="W1054">
        <v>0.2011723</v>
      </c>
      <c r="X1054">
        <v>0.97466169999999996</v>
      </c>
      <c r="Y1054">
        <v>0.18472939999999999</v>
      </c>
      <c r="Z1054">
        <v>-5.8818890000000004E-3</v>
      </c>
      <c r="AA1054">
        <v>0.98277179999999997</v>
      </c>
      <c r="AB1054">
        <v>32</v>
      </c>
      <c r="AC1054">
        <v>19.0898</v>
      </c>
      <c r="AD1054">
        <v>-1.1205792862599999</v>
      </c>
      <c r="AE1054">
        <v>-3.9966999999999699</v>
      </c>
      <c r="AF1054">
        <v>3.6539634873201501</v>
      </c>
      <c r="AG1054">
        <v>-1.1205792862599999</v>
      </c>
      <c r="AH1054">
        <v>19.093025185334401</v>
      </c>
      <c r="AI1054">
        <v>93.299128802497705</v>
      </c>
      <c r="AJ1054">
        <v>79.165911740496696</v>
      </c>
      <c r="AK1054">
        <v>19.471793903779801</v>
      </c>
      <c r="AL1054">
        <v>78.394479239099894</v>
      </c>
      <c r="AM1054">
        <v>84.270167837522806</v>
      </c>
      <c r="AN1054">
        <v>0.99999996206643504</v>
      </c>
    </row>
    <row r="1055" spans="1:40" x14ac:dyDescent="0.25">
      <c r="A1055" t="str">
        <f>"20190303170517586"</f>
        <v>20190303170517586</v>
      </c>
      <c r="B1055" t="str">
        <f>"1551603917575469"</f>
        <v>1551603917575469</v>
      </c>
      <c r="C1055" t="s">
        <v>40</v>
      </c>
      <c r="D1055">
        <v>5.4567209999999999</v>
      </c>
      <c r="E1055">
        <v>0.54293059999999904</v>
      </c>
      <c r="F1055" t="s">
        <v>41</v>
      </c>
      <c r="G1055">
        <v>-209.98910000000001</v>
      </c>
      <c r="H1055" s="1">
        <v>-5.3823369999999997E-6</v>
      </c>
      <c r="I1055">
        <v>363.38479999999998</v>
      </c>
      <c r="J1055">
        <v>-228.93190000000001</v>
      </c>
      <c r="K1055">
        <v>1.1205750000000001</v>
      </c>
      <c r="L1055">
        <v>367.50819999999999</v>
      </c>
      <c r="M1055">
        <v>0.99972939999999999</v>
      </c>
      <c r="N1055">
        <v>-1.4418169999999999E-2</v>
      </c>
      <c r="O1055">
        <v>-1.8259560000000001E-2</v>
      </c>
      <c r="P1055">
        <v>0.97555380000000003</v>
      </c>
      <c r="Q1055">
        <v>0.18682879999999999</v>
      </c>
      <c r="R1055">
        <v>-0.11571389999999999</v>
      </c>
      <c r="S1055">
        <v>3.0326390000000001</v>
      </c>
      <c r="T1055">
        <v>-0.176456</v>
      </c>
      <c r="U1055">
        <v>-0.65032959999999995</v>
      </c>
      <c r="V1055">
        <v>9.8301109999999997E-2</v>
      </c>
      <c r="W1055">
        <v>0.20069719999999999</v>
      </c>
      <c r="X1055">
        <v>0.97470889999999999</v>
      </c>
      <c r="Y1055">
        <v>0.1914138</v>
      </c>
      <c r="Z1055">
        <v>-6.1097959999999998E-3</v>
      </c>
      <c r="AA1055">
        <v>0.98149039999999999</v>
      </c>
      <c r="AB1055">
        <v>32</v>
      </c>
      <c r="AC1055">
        <v>18.942799999999998</v>
      </c>
      <c r="AD1055">
        <v>-1.120580382337</v>
      </c>
      <c r="AE1055">
        <v>-4.1234000000000002</v>
      </c>
      <c r="AF1055">
        <v>3.7642125950346101</v>
      </c>
      <c r="AG1055">
        <v>-1.120580382337</v>
      </c>
      <c r="AH1055">
        <v>18.9516208450802</v>
      </c>
      <c r="AI1055">
        <v>93.319182394141095</v>
      </c>
      <c r="AJ1055">
        <v>78.7659935779714</v>
      </c>
      <c r="AK1055">
        <v>19.3543000263398</v>
      </c>
      <c r="AL1055">
        <v>78.422267152217202</v>
      </c>
      <c r="AM1055">
        <v>84.241091772635002</v>
      </c>
      <c r="AN1055">
        <v>0.99999995702713995</v>
      </c>
    </row>
    <row r="1056" spans="1:40" x14ac:dyDescent="0.25">
      <c r="A1056" t="str">
        <f>"20190303170517608"</f>
        <v>20190303170517608</v>
      </c>
      <c r="B1056" t="str">
        <f>"1551603917595965"</f>
        <v>1551603917595965</v>
      </c>
      <c r="C1056" t="s">
        <v>40</v>
      </c>
      <c r="D1056">
        <v>5.4834310000000004</v>
      </c>
      <c r="E1056">
        <v>0.54394169999999997</v>
      </c>
      <c r="F1056" t="s">
        <v>49</v>
      </c>
      <c r="G1056">
        <v>-209.67439999999999</v>
      </c>
      <c r="H1056" s="1">
        <v>-6.1674579999999999E-6</v>
      </c>
      <c r="I1056">
        <v>363.26920000000001</v>
      </c>
      <c r="J1056">
        <v>-228.6138</v>
      </c>
      <c r="K1056">
        <v>1.120576</v>
      </c>
      <c r="L1056">
        <v>367.50130000000001</v>
      </c>
      <c r="M1056">
        <v>0.99971100000000002</v>
      </c>
      <c r="N1056">
        <v>-1.4414669999999999E-2</v>
      </c>
      <c r="O1056">
        <v>-1.9237669999999998E-2</v>
      </c>
      <c r="P1056">
        <v>0.97536990000000001</v>
      </c>
      <c r="Q1056">
        <v>0.18729789999999999</v>
      </c>
      <c r="R1056">
        <v>-0.1165055</v>
      </c>
      <c r="S1056">
        <v>3.0298310000000002</v>
      </c>
      <c r="T1056">
        <v>-0.17630370000000001</v>
      </c>
      <c r="U1056">
        <v>-0.66693119999999995</v>
      </c>
      <c r="V1056">
        <v>9.8139359999999995E-2</v>
      </c>
      <c r="W1056">
        <v>0.20116249999999999</v>
      </c>
      <c r="X1056">
        <v>0.97462930000000003</v>
      </c>
      <c r="Y1056">
        <v>0.195766</v>
      </c>
      <c r="Z1056">
        <v>-6.2223039999999997E-3</v>
      </c>
      <c r="AA1056">
        <v>0.98063089999999997</v>
      </c>
      <c r="AB1056">
        <v>32</v>
      </c>
      <c r="AC1056">
        <v>18.939399999999999</v>
      </c>
      <c r="AD1056">
        <v>-1.1205821674580001</v>
      </c>
      <c r="AE1056">
        <v>-4.2321</v>
      </c>
      <c r="AF1056">
        <v>3.8540785139469498</v>
      </c>
      <c r="AG1056">
        <v>-1.1205821674580001</v>
      </c>
      <c r="AH1056">
        <v>18.9541213870252</v>
      </c>
      <c r="AI1056">
        <v>93.315736065578093</v>
      </c>
      <c r="AJ1056">
        <v>78.506331154584004</v>
      </c>
      <c r="AK1056">
        <v>19.3744249757194</v>
      </c>
      <c r="AL1056">
        <v>78.395052654210104</v>
      </c>
      <c r="AM1056">
        <v>84.250037829711701</v>
      </c>
      <c r="AN1056">
        <v>0.99999997890297398</v>
      </c>
    </row>
    <row r="1057" spans="1:40" x14ac:dyDescent="0.25">
      <c r="A1057" t="str">
        <f>"20190303170517632"</f>
        <v>20190303170517632</v>
      </c>
      <c r="B1057" t="str">
        <f>"1551603917625244"</f>
        <v>1551603917625244</v>
      </c>
      <c r="C1057" t="s">
        <v>40</v>
      </c>
      <c r="D1057">
        <v>5.4241619999999999</v>
      </c>
      <c r="E1057">
        <v>0.54508540000000005</v>
      </c>
      <c r="F1057" t="s">
        <v>49</v>
      </c>
      <c r="G1057">
        <v>-209.15780000000001</v>
      </c>
      <c r="H1057" s="1">
        <v>-6.0131799999999997E-6</v>
      </c>
      <c r="I1057">
        <v>363.1497</v>
      </c>
      <c r="J1057">
        <v>-228.28100000000001</v>
      </c>
      <c r="K1057">
        <v>1.1205849999999999</v>
      </c>
      <c r="L1057">
        <v>367.49380000000002</v>
      </c>
      <c r="M1057">
        <v>0.99969090000000005</v>
      </c>
      <c r="N1057">
        <v>-1.441103E-2</v>
      </c>
      <c r="O1057">
        <v>-2.0260489999999999E-2</v>
      </c>
      <c r="P1057">
        <v>0.97512509999999997</v>
      </c>
      <c r="Q1057">
        <v>0.18835969999999999</v>
      </c>
      <c r="R1057">
        <v>-0.116842</v>
      </c>
      <c r="S1057">
        <v>3.0283359999999999</v>
      </c>
      <c r="T1057">
        <v>-0.17441889999999999</v>
      </c>
      <c r="U1057">
        <v>-0.67733759999999998</v>
      </c>
      <c r="V1057">
        <v>9.7481999999999999E-2</v>
      </c>
      <c r="W1057">
        <v>0.20222080000000001</v>
      </c>
      <c r="X1057">
        <v>0.97447629999999996</v>
      </c>
      <c r="Y1057">
        <v>0.1980788</v>
      </c>
      <c r="Z1057">
        <v>-6.213685E-3</v>
      </c>
      <c r="AA1057">
        <v>0.98016639999999999</v>
      </c>
      <c r="AB1057">
        <v>32</v>
      </c>
      <c r="AC1057">
        <v>19.123199999999901</v>
      </c>
      <c r="AD1057">
        <v>-1.1205910131800001</v>
      </c>
      <c r="AE1057">
        <v>-4.3441000000000196</v>
      </c>
      <c r="AF1057">
        <v>3.9428479713614601</v>
      </c>
      <c r="AG1057">
        <v>-1.1205910131800001</v>
      </c>
      <c r="AH1057">
        <v>19.144783415962401</v>
      </c>
      <c r="AI1057">
        <v>93.281133314135005</v>
      </c>
      <c r="AJ1057">
        <v>78.362705685519202</v>
      </c>
      <c r="AK1057">
        <v>19.578674786312799</v>
      </c>
      <c r="AL1057">
        <v>78.333144805216804</v>
      </c>
      <c r="AM1057">
        <v>84.287406042625307</v>
      </c>
      <c r="AN1057">
        <v>1.0000000257691599</v>
      </c>
    </row>
    <row r="1058" spans="1:40" x14ac:dyDescent="0.25">
      <c r="A1058" t="str">
        <f>"20190303170517654"</f>
        <v>20190303170517654</v>
      </c>
      <c r="B1058" t="str">
        <f>"1551603917645741"</f>
        <v>1551603917645741</v>
      </c>
      <c r="C1058" t="s">
        <v>40</v>
      </c>
      <c r="D1058">
        <v>5.4576209999999996</v>
      </c>
      <c r="E1058">
        <v>0.54570699999999905</v>
      </c>
      <c r="F1058" t="s">
        <v>49</v>
      </c>
      <c r="G1058">
        <v>-208.3767</v>
      </c>
      <c r="H1058" s="1">
        <v>-5.7791070000000003E-6</v>
      </c>
      <c r="I1058">
        <v>362.9742</v>
      </c>
      <c r="J1058">
        <v>-227.96539999999999</v>
      </c>
      <c r="K1058">
        <v>1.1205889999999901</v>
      </c>
      <c r="L1058">
        <v>367.4864</v>
      </c>
      <c r="M1058">
        <v>0.99967090000000003</v>
      </c>
      <c r="N1058">
        <v>-1.440755E-2</v>
      </c>
      <c r="O1058">
        <v>-2.1230860000000001E-2</v>
      </c>
      <c r="P1058">
        <v>0.9750645</v>
      </c>
      <c r="Q1058">
        <v>0.18835089999999999</v>
      </c>
      <c r="R1058">
        <v>-0.1173606</v>
      </c>
      <c r="S1058">
        <v>3.0270839999999999</v>
      </c>
      <c r="T1058">
        <v>-0.1704215</v>
      </c>
      <c r="U1058">
        <v>-0.68734740000000005</v>
      </c>
      <c r="V1058">
        <v>9.7052159999999998E-2</v>
      </c>
      <c r="W1058">
        <v>0.20221049999999999</v>
      </c>
      <c r="X1058">
        <v>0.97452130000000003</v>
      </c>
      <c r="Y1058">
        <v>0.20030919999999999</v>
      </c>
      <c r="Z1058">
        <v>-6.1495600000000001E-3</v>
      </c>
      <c r="AA1058">
        <v>0.97971339999999996</v>
      </c>
      <c r="AB1058">
        <v>32</v>
      </c>
      <c r="AC1058">
        <v>19.5886999999999</v>
      </c>
      <c r="AD1058">
        <v>-1.1205947791069999</v>
      </c>
      <c r="AE1058">
        <v>-4.5122</v>
      </c>
      <c r="AF1058">
        <v>4.0825674543449804</v>
      </c>
      <c r="AG1058">
        <v>-1.1205947791069999</v>
      </c>
      <c r="AH1058">
        <v>19.619122126810201</v>
      </c>
      <c r="AI1058">
        <v>93.200623402904</v>
      </c>
      <c r="AJ1058">
        <v>78.245005633878193</v>
      </c>
      <c r="AK1058">
        <v>20.0707011014795</v>
      </c>
      <c r="AL1058">
        <v>78.333746931591193</v>
      </c>
      <c r="AM1058">
        <v>84.312690721752006</v>
      </c>
      <c r="AN1058">
        <v>0.99999998611230201</v>
      </c>
    </row>
    <row r="1059" spans="1:40" x14ac:dyDescent="0.25">
      <c r="A1059" t="str">
        <f>"20190303170517675"</f>
        <v>20190303170517675</v>
      </c>
      <c r="B1059" t="str">
        <f>"1551603917665261"</f>
        <v>1551603917665261</v>
      </c>
      <c r="C1059" t="s">
        <v>40</v>
      </c>
      <c r="D1059">
        <v>5.4589759999999998</v>
      </c>
      <c r="E1059">
        <v>0.54620269999999904</v>
      </c>
      <c r="F1059" t="s">
        <v>49</v>
      </c>
      <c r="G1059">
        <v>-208.0592</v>
      </c>
      <c r="H1059" s="1">
        <v>-5.6812129999999996E-6</v>
      </c>
      <c r="I1059">
        <v>362.92070000000001</v>
      </c>
      <c r="J1059">
        <v>-227.65790000000001</v>
      </c>
      <c r="K1059">
        <v>1.1205889999999901</v>
      </c>
      <c r="L1059">
        <v>367.47890000000001</v>
      </c>
      <c r="M1059">
        <v>0.99965040000000005</v>
      </c>
      <c r="N1059">
        <v>-1.4404129999999999E-2</v>
      </c>
      <c r="O1059">
        <v>-2.2176189999999998E-2</v>
      </c>
      <c r="P1059">
        <v>0.97520799999999996</v>
      </c>
      <c r="Q1059">
        <v>0.1878311</v>
      </c>
      <c r="R1059">
        <v>-0.1170017</v>
      </c>
      <c r="S1059">
        <v>3.026062</v>
      </c>
      <c r="T1059">
        <v>-0.1703491</v>
      </c>
      <c r="U1059">
        <v>-0.69406129999999999</v>
      </c>
      <c r="V1059">
        <v>9.5763810000000005E-2</v>
      </c>
      <c r="W1059">
        <v>0.2016935</v>
      </c>
      <c r="X1059">
        <v>0.97475590000000001</v>
      </c>
      <c r="Y1059">
        <v>0.2015188</v>
      </c>
      <c r="Z1059">
        <v>-6.1514019999999899E-3</v>
      </c>
      <c r="AA1059">
        <v>0.97946529999999998</v>
      </c>
      <c r="AB1059">
        <v>32</v>
      </c>
      <c r="AC1059">
        <v>19.598700000000001</v>
      </c>
      <c r="AD1059">
        <v>-1.1205946812130001</v>
      </c>
      <c r="AE1059">
        <v>-4.5581999999999896</v>
      </c>
      <c r="AF1059">
        <v>4.1096633610155102</v>
      </c>
      <c r="AG1059">
        <v>-1.1205946812130001</v>
      </c>
      <c r="AH1059">
        <v>19.634079217961201</v>
      </c>
      <c r="AI1059">
        <v>93.197410396529094</v>
      </c>
      <c r="AJ1059">
        <v>78.177938764127006</v>
      </c>
      <c r="AK1059">
        <v>20.090846973624899</v>
      </c>
      <c r="AL1059">
        <v>78.363992436961098</v>
      </c>
      <c r="AM1059">
        <v>84.389045645540193</v>
      </c>
      <c r="AN1059">
        <v>1.0000000199163801</v>
      </c>
    </row>
    <row r="1060" spans="1:40" x14ac:dyDescent="0.25">
      <c r="A1060" t="str">
        <f>"20190303170517698"</f>
        <v>20190303170517698</v>
      </c>
      <c r="B1060" t="str">
        <f>"1551603917685757"</f>
        <v>1551603917685757</v>
      </c>
      <c r="C1060" t="s">
        <v>40</v>
      </c>
      <c r="D1060">
        <v>5.4534459999999996</v>
      </c>
      <c r="E1060">
        <v>0.54667290000000002</v>
      </c>
      <c r="F1060" t="s">
        <v>49</v>
      </c>
      <c r="G1060">
        <v>-207.90790000000001</v>
      </c>
      <c r="H1060" s="1">
        <v>-5.6296339999999999E-6</v>
      </c>
      <c r="I1060">
        <v>362.92649999999998</v>
      </c>
      <c r="J1060">
        <v>-227.34479999999999</v>
      </c>
      <c r="K1060">
        <v>1.12059</v>
      </c>
      <c r="L1060">
        <v>367.47089999999997</v>
      </c>
      <c r="M1060">
        <v>0.99962859999999998</v>
      </c>
      <c r="N1060">
        <v>-1.440076E-2</v>
      </c>
      <c r="O1060">
        <v>-2.3139050000000001E-2</v>
      </c>
      <c r="P1060">
        <v>0.97518780000000005</v>
      </c>
      <c r="Q1060">
        <v>0.18780450000000001</v>
      </c>
      <c r="R1060">
        <v>-0.1172105</v>
      </c>
      <c r="S1060">
        <v>3.0256810000000001</v>
      </c>
      <c r="T1060">
        <v>-0.17167399999999999</v>
      </c>
      <c r="U1060">
        <v>-0.69741819999999999</v>
      </c>
      <c r="V1060">
        <v>9.5030400000000001E-2</v>
      </c>
      <c r="W1060">
        <v>0.20166690000000001</v>
      </c>
      <c r="X1060">
        <v>0.97483310000000001</v>
      </c>
      <c r="Y1060">
        <v>0.20163020000000001</v>
      </c>
      <c r="Z1060">
        <v>-6.1488640000000004E-3</v>
      </c>
      <c r="AA1060">
        <v>0.97944240000000005</v>
      </c>
      <c r="AB1060">
        <v>32</v>
      </c>
      <c r="AC1060">
        <v>19.436899999999898</v>
      </c>
      <c r="AD1060">
        <v>-1.1205956296340001</v>
      </c>
      <c r="AE1060">
        <v>-4.5443999999999898</v>
      </c>
      <c r="AF1060">
        <v>4.0805248553485001</v>
      </c>
      <c r="AG1060">
        <v>-1.1205956296340001</v>
      </c>
      <c r="AH1060">
        <v>19.4754800643016</v>
      </c>
      <c r="AI1060">
        <v>93.223262172563295</v>
      </c>
      <c r="AJ1060">
        <v>78.1665010161758</v>
      </c>
      <c r="AK1060">
        <v>19.929895669453</v>
      </c>
      <c r="AL1060">
        <v>78.365547585500295</v>
      </c>
      <c r="AM1060">
        <v>84.432184409625705</v>
      </c>
      <c r="AN1060">
        <v>0.999999944167688</v>
      </c>
    </row>
    <row r="1061" spans="1:40" x14ac:dyDescent="0.25">
      <c r="A1061" t="str">
        <f>"20190303170517720"</f>
        <v>20190303170517720</v>
      </c>
      <c r="B1061" t="str">
        <f>"1551603917716013"</f>
        <v>1551603917716013</v>
      </c>
      <c r="C1061" t="s">
        <v>40</v>
      </c>
      <c r="D1061">
        <v>5.4728279999999998</v>
      </c>
      <c r="E1061">
        <v>0.54717740000000004</v>
      </c>
      <c r="F1061" t="s">
        <v>49</v>
      </c>
      <c r="G1061">
        <v>-207.5318</v>
      </c>
      <c r="H1061" s="1">
        <v>-5.5126219999999997E-6</v>
      </c>
      <c r="I1061">
        <v>362.8698</v>
      </c>
      <c r="J1061">
        <v>-227.02260000000001</v>
      </c>
      <c r="K1061">
        <v>1.1205889999999901</v>
      </c>
      <c r="L1061">
        <v>367.4624</v>
      </c>
      <c r="M1061">
        <v>0.99960510000000002</v>
      </c>
      <c r="N1061">
        <v>-1.439728E-2</v>
      </c>
      <c r="O1061">
        <v>-2.4131099999999999E-2</v>
      </c>
      <c r="P1061">
        <v>0.97507659999999996</v>
      </c>
      <c r="Q1061">
        <v>0.18791669999999999</v>
      </c>
      <c r="R1061">
        <v>-0.11795410000000001</v>
      </c>
      <c r="S1061">
        <v>3.0248409999999999</v>
      </c>
      <c r="T1061">
        <v>-0.17108129999999999</v>
      </c>
      <c r="U1061">
        <v>-0.70245360000000001</v>
      </c>
      <c r="V1061">
        <v>9.4805130000000001E-2</v>
      </c>
      <c r="W1061">
        <v>0.2017767</v>
      </c>
      <c r="X1061">
        <v>0.97483240000000004</v>
      </c>
      <c r="Y1061">
        <v>0.20226710000000001</v>
      </c>
      <c r="Z1061">
        <v>-6.1153010000000001E-3</v>
      </c>
      <c r="AA1061">
        <v>0.9793113</v>
      </c>
      <c r="AB1061">
        <v>32</v>
      </c>
      <c r="AC1061">
        <v>19.4908</v>
      </c>
      <c r="AD1061">
        <v>-1.1205945126219901</v>
      </c>
      <c r="AE1061">
        <v>-4.5926</v>
      </c>
      <c r="AF1061">
        <v>4.1080143700207099</v>
      </c>
      <c r="AG1061">
        <v>-1.1205945126219901</v>
      </c>
      <c r="AH1061">
        <v>19.534783377774001</v>
      </c>
      <c r="AI1061">
        <v>93.2129972667461</v>
      </c>
      <c r="AJ1061">
        <v>78.124182077754298</v>
      </c>
      <c r="AK1061">
        <v>19.9934808310752</v>
      </c>
      <c r="AL1061">
        <v>78.359125465560595</v>
      </c>
      <c r="AM1061">
        <v>84.445296335667194</v>
      </c>
      <c r="AN1061">
        <v>1.00000002871348</v>
      </c>
    </row>
    <row r="1062" spans="1:40" x14ac:dyDescent="0.25">
      <c r="A1062" t="str">
        <f>"20190303170517742"</f>
        <v>20190303170517742</v>
      </c>
      <c r="B1062" t="str">
        <f>"1551603917735533"</f>
        <v>1551603917735533</v>
      </c>
      <c r="C1062" t="s">
        <v>40</v>
      </c>
      <c r="D1062">
        <v>5.4396389999999997</v>
      </c>
      <c r="E1062">
        <v>0.54734469999999902</v>
      </c>
      <c r="F1062" t="s">
        <v>49</v>
      </c>
      <c r="G1062">
        <v>-207.15520000000001</v>
      </c>
      <c r="H1062" s="1">
        <v>-5.3968569999999998E-6</v>
      </c>
      <c r="I1062">
        <v>362.80369999999999</v>
      </c>
      <c r="J1062">
        <v>-226.7114</v>
      </c>
      <c r="K1062">
        <v>1.120587</v>
      </c>
      <c r="L1062">
        <v>367.45389999999998</v>
      </c>
      <c r="M1062">
        <v>0.99958170000000002</v>
      </c>
      <c r="N1062">
        <v>-1.439401E-2</v>
      </c>
      <c r="O1062">
        <v>-2.5089299999999998E-2</v>
      </c>
      <c r="P1062">
        <v>0.97495529999999997</v>
      </c>
      <c r="Q1062">
        <v>0.18819620000000001</v>
      </c>
      <c r="R1062">
        <v>-0.118509199999999</v>
      </c>
      <c r="S1062">
        <v>3.0237880000000001</v>
      </c>
      <c r="T1062">
        <v>-0.17055300000000001</v>
      </c>
      <c r="U1062">
        <v>-0.70904540000000005</v>
      </c>
      <c r="V1062">
        <v>9.4425629999999997E-2</v>
      </c>
      <c r="W1062">
        <v>0.20205409999999999</v>
      </c>
      <c r="X1062">
        <v>0.97481169999999995</v>
      </c>
      <c r="Y1062">
        <v>0.20342850000000001</v>
      </c>
      <c r="Z1062">
        <v>-6.1035280000000004E-3</v>
      </c>
      <c r="AA1062">
        <v>0.97907080000000002</v>
      </c>
      <c r="AB1062">
        <v>32</v>
      </c>
      <c r="AC1062">
        <v>19.556199999999901</v>
      </c>
      <c r="AD1062">
        <v>-1.120592396857</v>
      </c>
      <c r="AE1062">
        <v>-4.6501999999999803</v>
      </c>
      <c r="AF1062">
        <v>4.14515183212528</v>
      </c>
      <c r="AG1062">
        <v>-1.120592396857</v>
      </c>
      <c r="AH1062">
        <v>19.6057960585096</v>
      </c>
      <c r="AI1062">
        <v>93.200647581459606</v>
      </c>
      <c r="AJ1062">
        <v>78.062055446723505</v>
      </c>
      <c r="AK1062">
        <v>20.070506972150302</v>
      </c>
      <c r="AL1062">
        <v>78.342896491054702</v>
      </c>
      <c r="AM1062">
        <v>84.467276535318504</v>
      </c>
      <c r="AN1062">
        <v>0.99999995469229697</v>
      </c>
    </row>
    <row r="1063" spans="1:40" x14ac:dyDescent="0.25">
      <c r="A1063" t="str">
        <f>"20190303170517755"</f>
        <v>20190303170517755</v>
      </c>
      <c r="B1063" t="str">
        <f>"1551603917745292"</f>
        <v>1551603917745292</v>
      </c>
      <c r="C1063" t="s">
        <v>40</v>
      </c>
      <c r="D1063">
        <v>5.452261</v>
      </c>
      <c r="E1063">
        <v>0.54749150000000002</v>
      </c>
      <c r="F1063" t="s">
        <v>49</v>
      </c>
      <c r="G1063">
        <v>-206.42519999999999</v>
      </c>
      <c r="H1063" s="1">
        <v>-5.1583420000000001E-6</v>
      </c>
      <c r="I1063">
        <v>362.67290000000003</v>
      </c>
      <c r="J1063">
        <v>-226.536</v>
      </c>
      <c r="K1063">
        <v>1.12059</v>
      </c>
      <c r="L1063">
        <v>367.44889999999998</v>
      </c>
      <c r="M1063">
        <v>0.99956789999999995</v>
      </c>
      <c r="N1063">
        <v>-1.4392139999999999E-2</v>
      </c>
      <c r="O1063">
        <v>-2.5629260000000001E-2</v>
      </c>
      <c r="P1063">
        <v>0.97490889999999997</v>
      </c>
      <c r="Q1063">
        <v>0.18824109999999999</v>
      </c>
      <c r="R1063">
        <v>-0.1188205</v>
      </c>
      <c r="S1063">
        <v>3.0227050000000002</v>
      </c>
      <c r="T1063">
        <v>-0.1669717</v>
      </c>
      <c r="U1063">
        <v>-0.7123718</v>
      </c>
      <c r="V1063">
        <v>9.4209379999999995E-2</v>
      </c>
      <c r="W1063">
        <v>0.202098</v>
      </c>
      <c r="X1063">
        <v>0.97482360000000001</v>
      </c>
      <c r="Y1063">
        <v>0.2040111</v>
      </c>
      <c r="Z1063">
        <v>-6.0134150000000003E-3</v>
      </c>
      <c r="AA1063">
        <v>0.97895010000000005</v>
      </c>
      <c r="AB1063">
        <v>32</v>
      </c>
      <c r="AC1063">
        <v>20.110799999999902</v>
      </c>
      <c r="AD1063">
        <v>-1.120595158342</v>
      </c>
      <c r="AE1063">
        <v>-4.7759999999999501</v>
      </c>
      <c r="AF1063">
        <v>4.2464718160501702</v>
      </c>
      <c r="AG1063">
        <v>-1.120595158342</v>
      </c>
      <c r="AH1063">
        <v>20.167337246101699</v>
      </c>
      <c r="AI1063">
        <v>93.112255160546098</v>
      </c>
      <c r="AJ1063">
        <v>78.109392486310298</v>
      </c>
      <c r="AK1063">
        <v>20.6400035850629</v>
      </c>
      <c r="AL1063">
        <v>78.340329112797804</v>
      </c>
      <c r="AM1063">
        <v>84.479935986067403</v>
      </c>
      <c r="AN1063">
        <v>1.0000000300004701</v>
      </c>
    </row>
    <row r="1064" spans="1:40" x14ac:dyDescent="0.25">
      <c r="A1064" t="str">
        <f>"20190303170517767"</f>
        <v>20190303170517767</v>
      </c>
      <c r="B1064" t="str">
        <f>"1551603917756030"</f>
        <v>1551603917756030</v>
      </c>
      <c r="C1064" t="s">
        <v>40</v>
      </c>
      <c r="D1064">
        <v>5.4217009999999997</v>
      </c>
      <c r="E1064">
        <v>0.54763980000000001</v>
      </c>
      <c r="F1064" t="s">
        <v>49</v>
      </c>
      <c r="G1064">
        <v>-206.12440000000001</v>
      </c>
      <c r="H1064" s="1">
        <v>-5.0296769999999999E-6</v>
      </c>
      <c r="I1064">
        <v>362.62119999999999</v>
      </c>
      <c r="J1064">
        <v>-226.3595</v>
      </c>
      <c r="K1064">
        <v>1.120601</v>
      </c>
      <c r="L1064">
        <v>367.44380000000001</v>
      </c>
      <c r="M1064">
        <v>0.99955400000000005</v>
      </c>
      <c r="N1064">
        <v>-1.439023E-2</v>
      </c>
      <c r="O1064">
        <v>-2.617303E-2</v>
      </c>
      <c r="P1064">
        <v>0.97493810000000003</v>
      </c>
      <c r="Q1064">
        <v>0.18796750000000001</v>
      </c>
      <c r="R1064">
        <v>-0.1190136</v>
      </c>
      <c r="S1064">
        <v>3.0221100000000001</v>
      </c>
      <c r="T1064">
        <v>-0.165913</v>
      </c>
      <c r="U1064">
        <v>-0.71478269999999899</v>
      </c>
      <c r="V1064">
        <v>9.3868789999999994E-2</v>
      </c>
      <c r="W1064">
        <v>0.20182520000000001</v>
      </c>
      <c r="X1064">
        <v>0.97491289999999997</v>
      </c>
      <c r="Y1064">
        <v>0.2042651</v>
      </c>
      <c r="Z1064">
        <v>-5.9744259999999997E-3</v>
      </c>
      <c r="AA1064">
        <v>0.97889740000000003</v>
      </c>
      <c r="AB1064">
        <v>32</v>
      </c>
      <c r="AC1064">
        <v>20.2350999999999</v>
      </c>
      <c r="AD1064">
        <v>-1.120606029677</v>
      </c>
      <c r="AE1064">
        <v>-4.82260000000002</v>
      </c>
      <c r="AF1064">
        <v>4.2788615320685999</v>
      </c>
      <c r="AG1064">
        <v>-1.120606029677</v>
      </c>
      <c r="AH1064">
        <v>20.2955034825656</v>
      </c>
      <c r="AI1064">
        <v>93.092503703696195</v>
      </c>
      <c r="AJ1064">
        <v>78.094788288446694</v>
      </c>
      <c r="AK1064">
        <v>20.771901104501701</v>
      </c>
      <c r="AL1064">
        <v>78.356287459448893</v>
      </c>
      <c r="AM1064">
        <v>84.500270492313504</v>
      </c>
      <c r="AN1064">
        <v>0.99999996183875595</v>
      </c>
    </row>
    <row r="1065" spans="1:40" x14ac:dyDescent="0.25">
      <c r="A1065" t="str">
        <f>"20190303170517780"</f>
        <v>20190303170517780</v>
      </c>
      <c r="B1065" t="str">
        <f>"1551603917765789"</f>
        <v>1551603917765789</v>
      </c>
      <c r="C1065" t="s">
        <v>40</v>
      </c>
      <c r="D1065">
        <v>5.4830819999999996</v>
      </c>
      <c r="E1065">
        <v>0.54774809999999996</v>
      </c>
      <c r="F1065" t="s">
        <v>49</v>
      </c>
      <c r="G1065">
        <v>-205.9264</v>
      </c>
      <c r="H1065" s="1">
        <v>-4.9430449999999997E-6</v>
      </c>
      <c r="I1065">
        <v>362.59589999999997</v>
      </c>
      <c r="J1065">
        <v>-226.17779999999999</v>
      </c>
      <c r="K1065">
        <v>1.1206020000000001</v>
      </c>
      <c r="L1065">
        <v>367.43849999999998</v>
      </c>
      <c r="M1065">
        <v>0.99953930000000002</v>
      </c>
      <c r="N1065">
        <v>-1.438823E-2</v>
      </c>
      <c r="O1065">
        <v>-2.6732639999999998E-2</v>
      </c>
      <c r="P1065">
        <v>0.97489630000000005</v>
      </c>
      <c r="Q1065">
        <v>0.1879934</v>
      </c>
      <c r="R1065">
        <v>-0.1193154</v>
      </c>
      <c r="S1065">
        <v>3.0215610000000002</v>
      </c>
      <c r="T1065">
        <v>-0.16571040000000001</v>
      </c>
      <c r="U1065">
        <v>-0.71688839999999998</v>
      </c>
      <c r="V1065">
        <v>9.3623620000000005E-2</v>
      </c>
      <c r="W1065">
        <v>0.20184949999999999</v>
      </c>
      <c r="X1065">
        <v>0.97493149999999995</v>
      </c>
      <c r="Y1065">
        <v>0.2044038</v>
      </c>
      <c r="Z1065">
        <v>-5.9521670000000004E-3</v>
      </c>
      <c r="AA1065">
        <v>0.97886850000000003</v>
      </c>
      <c r="AB1065">
        <v>31</v>
      </c>
      <c r="AC1065">
        <v>20.251399999999901</v>
      </c>
      <c r="AD1065">
        <v>-1.1206069430450001</v>
      </c>
      <c r="AE1065">
        <v>-4.8426</v>
      </c>
      <c r="AF1065">
        <v>4.2870230684050696</v>
      </c>
      <c r="AG1065">
        <v>-1.1206069430450001</v>
      </c>
      <c r="AH1065">
        <v>20.314791639942101</v>
      </c>
      <c r="AI1065">
        <v>93.089450164353593</v>
      </c>
      <c r="AJ1065">
        <v>78.083730584781094</v>
      </c>
      <c r="AK1065">
        <v>20.792428575904701</v>
      </c>
      <c r="AL1065">
        <v>78.354866558104902</v>
      </c>
      <c r="AM1065">
        <v>84.514651176328101</v>
      </c>
      <c r="AN1065">
        <v>1.0000000162822</v>
      </c>
    </row>
    <row r="1066" spans="1:40" x14ac:dyDescent="0.25">
      <c r="A1066" t="str">
        <f>"20190303170517792"</f>
        <v>20190303170517792</v>
      </c>
      <c r="B1066" t="str">
        <f>"1551603917785309"</f>
        <v>1551603917785309</v>
      </c>
      <c r="C1066" t="s">
        <v>40</v>
      </c>
      <c r="D1066">
        <v>5.4585999999999997</v>
      </c>
      <c r="E1066">
        <v>0.54798359999999902</v>
      </c>
      <c r="F1066" t="s">
        <v>49</v>
      </c>
      <c r="G1066">
        <v>-205.63910000000001</v>
      </c>
      <c r="H1066" s="1">
        <v>-4.8192299999999999E-6</v>
      </c>
      <c r="I1066">
        <v>362.55079999999998</v>
      </c>
      <c r="J1066">
        <v>-226.02019999999999</v>
      </c>
      <c r="K1066">
        <v>1.1206020000000001</v>
      </c>
      <c r="L1066">
        <v>367.43380000000002</v>
      </c>
      <c r="M1066">
        <v>0.99952609999999997</v>
      </c>
      <c r="N1066">
        <v>-1.438654E-2</v>
      </c>
      <c r="O1066">
        <v>-2.7217769999999999E-2</v>
      </c>
      <c r="P1066">
        <v>0.97484360000000003</v>
      </c>
      <c r="Q1066">
        <v>0.1878909</v>
      </c>
      <c r="R1066">
        <v>-0.1199059</v>
      </c>
      <c r="S1066">
        <v>3.0210720000000002</v>
      </c>
      <c r="T1066">
        <v>-0.16483200000000001</v>
      </c>
      <c r="U1066">
        <v>-0.71893309999999999</v>
      </c>
      <c r="V1066">
        <v>9.3740199999999996E-2</v>
      </c>
      <c r="W1066">
        <v>0.2017458</v>
      </c>
      <c r="X1066">
        <v>0.97494170000000002</v>
      </c>
      <c r="Y1066">
        <v>0.20459459999999999</v>
      </c>
      <c r="Z1066">
        <v>-5.9181269999999996E-3</v>
      </c>
      <c r="AA1066">
        <v>0.9788289</v>
      </c>
      <c r="AB1066">
        <v>31</v>
      </c>
      <c r="AC1066">
        <v>20.381099999999901</v>
      </c>
      <c r="AD1066">
        <v>-1.1206068192299901</v>
      </c>
      <c r="AE1066">
        <v>-4.8830000000000302</v>
      </c>
      <c r="AF1066">
        <v>4.3140713010234499</v>
      </c>
      <c r="AG1066">
        <v>-1.1206068192299901</v>
      </c>
      <c r="AH1066">
        <v>20.448005413975402</v>
      </c>
      <c r="AI1066">
        <v>93.069393617819202</v>
      </c>
      <c r="AJ1066">
        <v>78.086584378903595</v>
      </c>
      <c r="AK1066">
        <v>20.928160364532399</v>
      </c>
      <c r="AL1066">
        <v>78.360932216938593</v>
      </c>
      <c r="AM1066">
        <v>84.5079196732258</v>
      </c>
      <c r="AN1066">
        <v>0.99999995565628397</v>
      </c>
    </row>
    <row r="1067" spans="1:40" x14ac:dyDescent="0.25">
      <c r="A1067" t="str">
        <f>"20190303170517803"</f>
        <v>20190303170517803</v>
      </c>
      <c r="B1067" t="str">
        <f>"1551603917796044"</f>
        <v>1551603917796044</v>
      </c>
      <c r="C1067" t="s">
        <v>40</v>
      </c>
      <c r="D1067">
        <v>5.4533959999999997</v>
      </c>
      <c r="E1067">
        <v>0.54810209999999904</v>
      </c>
      <c r="F1067" t="s">
        <v>49</v>
      </c>
      <c r="G1067">
        <v>-205.35</v>
      </c>
      <c r="H1067" s="1">
        <v>-4.6988209999999997E-6</v>
      </c>
      <c r="I1067">
        <v>362.48649999999998</v>
      </c>
      <c r="J1067">
        <v>-225.85069999999999</v>
      </c>
      <c r="K1067">
        <v>1.1206039999999999</v>
      </c>
      <c r="L1067">
        <v>367.42869999999999</v>
      </c>
      <c r="M1067">
        <v>0.9995117</v>
      </c>
      <c r="N1067">
        <v>-1.438473E-2</v>
      </c>
      <c r="O1067">
        <v>-2.7739730000000001E-2</v>
      </c>
      <c r="P1067">
        <v>0.97479919999999998</v>
      </c>
      <c r="Q1067">
        <v>0.18782550000000001</v>
      </c>
      <c r="R1067">
        <v>-0.1203684</v>
      </c>
      <c r="S1067">
        <v>3.0200809999999998</v>
      </c>
      <c r="T1067">
        <v>-0.16372900000000001</v>
      </c>
      <c r="U1067">
        <v>-0.72283940000000002</v>
      </c>
      <c r="V1067">
        <v>9.3692150000000002E-2</v>
      </c>
      <c r="W1067">
        <v>0.2016791</v>
      </c>
      <c r="X1067">
        <v>0.9749601</v>
      </c>
      <c r="Y1067">
        <v>0.2053565</v>
      </c>
      <c r="Z1067">
        <v>-5.8972549999999997E-3</v>
      </c>
      <c r="AA1067">
        <v>0.97866949999999997</v>
      </c>
      <c r="AB1067">
        <v>31</v>
      </c>
      <c r="AC1067">
        <v>20.500699999999899</v>
      </c>
      <c r="AD1067">
        <v>-1.120608698821</v>
      </c>
      <c r="AE1067">
        <v>-4.9422000000000104</v>
      </c>
      <c r="AF1067">
        <v>4.3592453127410504</v>
      </c>
      <c r="AG1067">
        <v>-1.120608698821</v>
      </c>
      <c r="AH1067">
        <v>20.571827632943201</v>
      </c>
      <c r="AI1067">
        <v>93.050388309962699</v>
      </c>
      <c r="AJ1067">
        <v>78.035796871872407</v>
      </c>
      <c r="AK1067">
        <v>21.058463279927501</v>
      </c>
      <c r="AL1067">
        <v>78.364833834041704</v>
      </c>
      <c r="AM1067">
        <v>84.510820606494505</v>
      </c>
      <c r="AN1067">
        <v>0.99999993747021898</v>
      </c>
    </row>
    <row r="1068" spans="1:40" x14ac:dyDescent="0.25">
      <c r="A1068" t="str">
        <f>"20190303170517816"</f>
        <v>20190303170517816</v>
      </c>
      <c r="B1068" t="str">
        <f>"1551603917805805"</f>
        <v>1551603917805805</v>
      </c>
      <c r="C1068" t="s">
        <v>40</v>
      </c>
      <c r="D1068">
        <v>5.4175899999999997</v>
      </c>
      <c r="E1068">
        <v>0.54825369999999995</v>
      </c>
      <c r="F1068" t="s">
        <v>49</v>
      </c>
      <c r="G1068">
        <v>-205.0967</v>
      </c>
      <c r="H1068" s="1">
        <v>-4.5908589999999999E-6</v>
      </c>
      <c r="I1068">
        <v>362.44130000000001</v>
      </c>
      <c r="J1068">
        <v>-225.67060000000001</v>
      </c>
      <c r="K1068">
        <v>1.1206039999999999</v>
      </c>
      <c r="L1068">
        <v>367.42309999999998</v>
      </c>
      <c r="M1068">
        <v>0.9994963</v>
      </c>
      <c r="N1068">
        <v>-1.4382789999999999E-2</v>
      </c>
      <c r="O1068">
        <v>-2.8294699999999999E-2</v>
      </c>
      <c r="P1068">
        <v>0.97471649999999999</v>
      </c>
      <c r="Q1068">
        <v>0.18784790000000001</v>
      </c>
      <c r="R1068">
        <v>-0.1210019</v>
      </c>
      <c r="S1068">
        <v>3.0193789999999998</v>
      </c>
      <c r="T1068">
        <v>-0.16303099999999901</v>
      </c>
      <c r="U1068">
        <v>-0.72558590000000001</v>
      </c>
      <c r="V1068">
        <v>9.3784619999999999E-2</v>
      </c>
      <c r="W1068">
        <v>0.20169960000000001</v>
      </c>
      <c r="X1068">
        <v>0.97494700000000001</v>
      </c>
      <c r="Y1068">
        <v>0.20570869999999999</v>
      </c>
      <c r="Z1068">
        <v>-5.8709060000000004E-3</v>
      </c>
      <c r="AA1068">
        <v>0.97859569999999996</v>
      </c>
      <c r="AB1068">
        <v>31</v>
      </c>
      <c r="AC1068">
        <v>20.573899999999998</v>
      </c>
      <c r="AD1068">
        <v>-1.120608590859</v>
      </c>
      <c r="AE1068">
        <v>-4.9817999999999598</v>
      </c>
      <c r="AF1068">
        <v>4.38532313134787</v>
      </c>
      <c r="AG1068">
        <v>-1.120608590859</v>
      </c>
      <c r="AH1068">
        <v>20.648768108122201</v>
      </c>
      <c r="AI1068">
        <v>93.038751689812599</v>
      </c>
      <c r="AJ1068">
        <v>78.0098445359409</v>
      </c>
      <c r="AK1068">
        <v>21.139026632351001</v>
      </c>
      <c r="AL1068">
        <v>78.363634988783801</v>
      </c>
      <c r="AM1068">
        <v>84.505362790932296</v>
      </c>
      <c r="AN1068">
        <v>0.99999996819885095</v>
      </c>
    </row>
    <row r="1069" spans="1:40" x14ac:dyDescent="0.25">
      <c r="A1069" t="str">
        <f>"20190303170517833"</f>
        <v>20190303170517833</v>
      </c>
      <c r="B1069" t="str">
        <f>"1551603917825325"</f>
        <v>1551603917825325</v>
      </c>
      <c r="C1069" t="s">
        <v>40</v>
      </c>
      <c r="D1069">
        <v>5.4644170000000001</v>
      </c>
      <c r="E1069">
        <v>0.54857119999999904</v>
      </c>
      <c r="F1069" t="s">
        <v>49</v>
      </c>
      <c r="G1069">
        <v>-204.78129999999999</v>
      </c>
      <c r="H1069" s="1">
        <v>-4.44987E-6</v>
      </c>
      <c r="I1069">
        <v>362.3777</v>
      </c>
      <c r="J1069">
        <v>-225.44049999999999</v>
      </c>
      <c r="K1069">
        <v>1.120603</v>
      </c>
      <c r="L1069">
        <v>367.41579999999999</v>
      </c>
      <c r="M1069">
        <v>0.99947600000000003</v>
      </c>
      <c r="N1069">
        <v>-1.438033E-2</v>
      </c>
      <c r="O1069">
        <v>-2.900368E-2</v>
      </c>
      <c r="P1069">
        <v>0.97462729999999997</v>
      </c>
      <c r="Q1069">
        <v>0.1876032</v>
      </c>
      <c r="R1069">
        <v>-0.1220962</v>
      </c>
      <c r="S1069">
        <v>3.0185089999999999</v>
      </c>
      <c r="T1069">
        <v>-0.1619283</v>
      </c>
      <c r="U1069">
        <v>-0.72906490000000002</v>
      </c>
      <c r="V1069">
        <v>9.4186249999999999E-2</v>
      </c>
      <c r="W1069">
        <v>0.2014521</v>
      </c>
      <c r="X1069">
        <v>0.97495949999999998</v>
      </c>
      <c r="Y1069">
        <v>0.20614840000000001</v>
      </c>
      <c r="Z1069">
        <v>-5.8320029999999997E-3</v>
      </c>
      <c r="AA1069">
        <v>0.97850329999999996</v>
      </c>
      <c r="AB1069">
        <v>31</v>
      </c>
      <c r="AC1069">
        <v>20.659199999999998</v>
      </c>
      <c r="AD1069">
        <v>-1.12060744987</v>
      </c>
      <c r="AE1069">
        <v>-5.0380999999999796</v>
      </c>
      <c r="AF1069">
        <v>4.4244382629009404</v>
      </c>
      <c r="AG1069">
        <v>-1.12060744987</v>
      </c>
      <c r="AH1069">
        <v>20.739051176359599</v>
      </c>
      <c r="AI1069">
        <v>93.024953451419293</v>
      </c>
      <c r="AJ1069">
        <v>77.957141203984406</v>
      </c>
      <c r="AK1069">
        <v>21.235339853522198</v>
      </c>
      <c r="AL1069">
        <v>78.378113405408001</v>
      </c>
      <c r="AM1069">
        <v>84.482047395721906</v>
      </c>
      <c r="AN1069">
        <v>1.00000001246186</v>
      </c>
    </row>
    <row r="1070" spans="1:40" x14ac:dyDescent="0.25">
      <c r="A1070" t="str">
        <f>"20190303170517854"</f>
        <v>20190303170517854</v>
      </c>
      <c r="B1070" t="str">
        <f>"1551603917845916"</f>
        <v>1551603917845916</v>
      </c>
      <c r="C1070" t="s">
        <v>40</v>
      </c>
      <c r="D1070">
        <v>5.4293100000000001</v>
      </c>
      <c r="E1070">
        <v>0.54879800000000001</v>
      </c>
      <c r="F1070" t="s">
        <v>49</v>
      </c>
      <c r="G1070">
        <v>-204.62450000000001</v>
      </c>
      <c r="H1070" s="1">
        <v>-4.3765170000000002E-6</v>
      </c>
      <c r="I1070">
        <v>362.3526</v>
      </c>
      <c r="J1070">
        <v>-225.13720000000001</v>
      </c>
      <c r="K1070">
        <v>1.120603</v>
      </c>
      <c r="L1070">
        <v>367.40600000000001</v>
      </c>
      <c r="M1070">
        <v>0.99944840000000001</v>
      </c>
      <c r="N1070">
        <v>-1.437709E-2</v>
      </c>
      <c r="O1070">
        <v>-2.9938159999999998E-2</v>
      </c>
      <c r="P1070">
        <v>0.97449920000000001</v>
      </c>
      <c r="Q1070">
        <v>0.18711159999999999</v>
      </c>
      <c r="R1070">
        <v>-0.12385839999999899</v>
      </c>
      <c r="S1070">
        <v>3.0174409999999998</v>
      </c>
      <c r="T1070">
        <v>-0.1624411</v>
      </c>
      <c r="U1070">
        <v>-0.73394780000000004</v>
      </c>
      <c r="V1070">
        <v>9.5035229999999998E-2</v>
      </c>
      <c r="W1070">
        <v>0.20095650000000001</v>
      </c>
      <c r="X1070">
        <v>0.97497940000000005</v>
      </c>
      <c r="Y1070">
        <v>0.20680560000000001</v>
      </c>
      <c r="Z1070">
        <v>-5.830834E-3</v>
      </c>
      <c r="AA1070">
        <v>0.97836460000000003</v>
      </c>
      <c r="AB1070">
        <v>31</v>
      </c>
      <c r="AC1070">
        <v>20.512699999999899</v>
      </c>
      <c r="AD1070">
        <v>-1.1206073765169999</v>
      </c>
      <c r="AE1070">
        <v>-5.0534000000000097</v>
      </c>
      <c r="AF1070">
        <v>4.42450932454088</v>
      </c>
      <c r="AG1070">
        <v>-1.1206073765169999</v>
      </c>
      <c r="AH1070">
        <v>20.5968557928501</v>
      </c>
      <c r="AI1070">
        <v>93.044879029762896</v>
      </c>
      <c r="AJ1070">
        <v>77.876262917860601</v>
      </c>
      <c r="AK1070">
        <v>21.0965047390963</v>
      </c>
      <c r="AL1070">
        <v>78.407102121538998</v>
      </c>
      <c r="AM1070">
        <v>84.432733467305596</v>
      </c>
      <c r="AN1070">
        <v>1.0000000201288799</v>
      </c>
    </row>
    <row r="1071" spans="1:40" x14ac:dyDescent="0.25">
      <c r="A1071" t="str">
        <f>"20190303170517877"</f>
        <v>20190303170517877</v>
      </c>
      <c r="B1071" t="str">
        <f>"1551603917865427"</f>
        <v>1551603917865427</v>
      </c>
      <c r="C1071" t="s">
        <v>40</v>
      </c>
      <c r="D1071">
        <v>5.4419709999999997</v>
      </c>
      <c r="E1071">
        <v>0.54907359999999905</v>
      </c>
      <c r="F1071" t="s">
        <v>49</v>
      </c>
      <c r="G1071">
        <v>-204.417</v>
      </c>
      <c r="H1071" s="1">
        <v>-4.2797860000000001E-6</v>
      </c>
      <c r="I1071">
        <v>362.31799999999998</v>
      </c>
      <c r="J1071">
        <v>-224.828</v>
      </c>
      <c r="K1071">
        <v>1.120608</v>
      </c>
      <c r="L1071">
        <v>367.39580000000001</v>
      </c>
      <c r="M1071">
        <v>0.99941959999999996</v>
      </c>
      <c r="N1071">
        <v>-1.4373789999999999E-2</v>
      </c>
      <c r="O1071">
        <v>-3.0891249999999999E-2</v>
      </c>
      <c r="P1071">
        <v>0.97434140000000002</v>
      </c>
      <c r="Q1071">
        <v>0.1866921</v>
      </c>
      <c r="R1071">
        <v>-0.125719</v>
      </c>
      <c r="S1071">
        <v>3.015701</v>
      </c>
      <c r="T1071">
        <v>-0.16309789999999999</v>
      </c>
      <c r="U1071">
        <v>-0.74053959999999996</v>
      </c>
      <c r="V1071">
        <v>9.5965709999999996E-2</v>
      </c>
      <c r="W1071">
        <v>0.20053190000000001</v>
      </c>
      <c r="X1071">
        <v>0.97497560000000005</v>
      </c>
      <c r="Y1071">
        <v>0.20801620000000001</v>
      </c>
      <c r="Z1071">
        <v>-5.8515679999999997E-3</v>
      </c>
      <c r="AA1071">
        <v>0.97810790000000003</v>
      </c>
      <c r="AB1071">
        <v>31</v>
      </c>
      <c r="AC1071">
        <v>20.410999999999898</v>
      </c>
      <c r="AD1071">
        <v>-1.1206122797859901</v>
      </c>
      <c r="AE1071">
        <v>-5.0777999999999599</v>
      </c>
      <c r="AF1071">
        <v>4.4322085897518004</v>
      </c>
      <c r="AG1071">
        <v>-1.1206122797859901</v>
      </c>
      <c r="AH1071">
        <v>20.499941722455301</v>
      </c>
      <c r="AI1071">
        <v>93.058385194843893</v>
      </c>
      <c r="AJ1071">
        <v>77.800095311090502</v>
      </c>
      <c r="AK1071">
        <v>21.003520073757599</v>
      </c>
      <c r="AL1071">
        <v>78.431934489707004</v>
      </c>
      <c r="AM1071">
        <v>84.378550626271604</v>
      </c>
      <c r="AN1071">
        <v>0.99999994050438501</v>
      </c>
    </row>
    <row r="1072" spans="1:40" x14ac:dyDescent="0.25">
      <c r="A1072" t="str">
        <f>"20190303170517889"</f>
        <v>20190303170517889</v>
      </c>
      <c r="B1072" t="str">
        <f>"1551603917875187"</f>
        <v>1551603917875187</v>
      </c>
      <c r="C1072" t="s">
        <v>40</v>
      </c>
      <c r="D1072">
        <v>5.4430740000000002</v>
      </c>
      <c r="E1072">
        <v>0.5492089</v>
      </c>
      <c r="F1072" t="s">
        <v>49</v>
      </c>
      <c r="G1072">
        <v>-204.21010000000001</v>
      </c>
      <c r="H1072" s="1">
        <v>-4.1850219999999999E-6</v>
      </c>
      <c r="I1072">
        <v>362.2758</v>
      </c>
      <c r="J1072">
        <v>-224.649</v>
      </c>
      <c r="K1072">
        <v>1.1206069999999999</v>
      </c>
      <c r="L1072">
        <v>367.38959999999997</v>
      </c>
      <c r="M1072">
        <v>0.99940229999999997</v>
      </c>
      <c r="N1072">
        <v>-1.437187E-2</v>
      </c>
      <c r="O1072">
        <v>-3.1442879999999999E-2</v>
      </c>
      <c r="P1072">
        <v>0.97423300000000002</v>
      </c>
      <c r="Q1072">
        <v>0.18685750000000001</v>
      </c>
      <c r="R1072">
        <v>-0.12631010000000001</v>
      </c>
      <c r="S1072">
        <v>3.0138400000000001</v>
      </c>
      <c r="T1072">
        <v>-0.16380639999999999</v>
      </c>
      <c r="U1072">
        <v>-0.74841309999999905</v>
      </c>
      <c r="V1072">
        <v>9.6020149999999999E-2</v>
      </c>
      <c r="W1072">
        <v>0.20069490000000001</v>
      </c>
      <c r="X1072">
        <v>0.97493680000000005</v>
      </c>
      <c r="Y1072">
        <v>0.21001829999999999</v>
      </c>
      <c r="Z1072">
        <v>-5.9162650000000004E-3</v>
      </c>
      <c r="AA1072">
        <v>0.97767959999999998</v>
      </c>
      <c r="AB1072">
        <v>31</v>
      </c>
      <c r="AC1072">
        <v>20.438899999999901</v>
      </c>
      <c r="AD1072">
        <v>-1.120611185022</v>
      </c>
      <c r="AE1072">
        <v>-5.1137999999999604</v>
      </c>
      <c r="AF1072">
        <v>4.4559411212013398</v>
      </c>
      <c r="AG1072">
        <v>-1.120611185022</v>
      </c>
      <c r="AH1072">
        <v>20.5315184773273</v>
      </c>
      <c r="AI1072">
        <v>93.053168219502794</v>
      </c>
      <c r="AJ1072">
        <v>77.755032999181907</v>
      </c>
      <c r="AK1072">
        <v>21.0393543553133</v>
      </c>
      <c r="AL1072">
        <v>78.422402620412001</v>
      </c>
      <c r="AM1072">
        <v>84.375159689773596</v>
      </c>
      <c r="AN1072">
        <v>1.00000003804313</v>
      </c>
    </row>
    <row r="1073" spans="1:40" x14ac:dyDescent="0.25">
      <c r="A1073" t="str">
        <f>"20190303170517901"</f>
        <v>20190303170517901</v>
      </c>
      <c r="B1073" t="str">
        <f>"1551603917895683"</f>
        <v>1551603917895683</v>
      </c>
      <c r="C1073" t="s">
        <v>40</v>
      </c>
      <c r="D1073">
        <v>5.4120670000000004</v>
      </c>
      <c r="E1073">
        <v>0.54943569999999997</v>
      </c>
      <c r="F1073" t="s">
        <v>49</v>
      </c>
      <c r="G1073">
        <v>-203.96430000000001</v>
      </c>
      <c r="H1073" s="1">
        <v>-4.0697119999999997E-6</v>
      </c>
      <c r="I1073">
        <v>362.238</v>
      </c>
      <c r="J1073">
        <v>-224.48490000000001</v>
      </c>
      <c r="K1073">
        <v>1.120608</v>
      </c>
      <c r="L1073">
        <v>367.38400000000001</v>
      </c>
      <c r="M1073">
        <v>0.99938629999999995</v>
      </c>
      <c r="N1073">
        <v>-1.437008E-2</v>
      </c>
      <c r="O1073">
        <v>-3.1948989999999997E-2</v>
      </c>
      <c r="P1073">
        <v>0.97408099999999997</v>
      </c>
      <c r="Q1073">
        <v>0.1869065</v>
      </c>
      <c r="R1073">
        <v>-0.12740650000000001</v>
      </c>
      <c r="S1073">
        <v>3.0133670000000001</v>
      </c>
      <c r="T1073">
        <v>-0.16325219999999999</v>
      </c>
      <c r="U1073">
        <v>-0.7504883</v>
      </c>
      <c r="V1073">
        <v>9.6625320000000001E-2</v>
      </c>
      <c r="W1073">
        <v>0.20074069999999999</v>
      </c>
      <c r="X1073">
        <v>0.9748675</v>
      </c>
      <c r="Y1073">
        <v>0.2101952</v>
      </c>
      <c r="Z1073">
        <v>-5.8893410000000002E-3</v>
      </c>
      <c r="AA1073">
        <v>0.97764169999999995</v>
      </c>
      <c r="AB1073">
        <v>31</v>
      </c>
      <c r="AC1073">
        <v>20.520600000000002</v>
      </c>
      <c r="AD1073">
        <v>-1.1206120697119999</v>
      </c>
      <c r="AE1073">
        <v>-5.1459999999999502</v>
      </c>
      <c r="AF1073">
        <v>4.4751363973012497</v>
      </c>
      <c r="AG1073">
        <v>-1.1206120697119999</v>
      </c>
      <c r="AH1073">
        <v>20.616703964705799</v>
      </c>
      <c r="AI1073">
        <v>93.040557461106204</v>
      </c>
      <c r="AJ1073">
        <v>77.753155171087698</v>
      </c>
      <c r="AK1073">
        <v>21.126549636737899</v>
      </c>
      <c r="AL1073">
        <v>78.419723065886302</v>
      </c>
      <c r="AM1073">
        <v>84.339538691034306</v>
      </c>
      <c r="AN1073">
        <v>0.99999996182892004</v>
      </c>
    </row>
    <row r="1074" spans="1:40" x14ac:dyDescent="0.25">
      <c r="A1074" t="str">
        <f>"20190303170517913"</f>
        <v>20190303170517913</v>
      </c>
      <c r="B1074" t="str">
        <f>"1551603917905443"</f>
        <v>1551603917905443</v>
      </c>
      <c r="C1074" t="s">
        <v>40</v>
      </c>
      <c r="D1074">
        <v>5.4537199999999997</v>
      </c>
      <c r="E1074">
        <v>0.54955109999999996</v>
      </c>
      <c r="F1074" t="s">
        <v>49</v>
      </c>
      <c r="G1074">
        <v>-203.76929999999999</v>
      </c>
      <c r="H1074" s="1">
        <v>-3.9831799999999997E-6</v>
      </c>
      <c r="I1074">
        <v>362.18560000000002</v>
      </c>
      <c r="J1074">
        <v>-224.32050000000001</v>
      </c>
      <c r="K1074">
        <v>1.1206069999999999</v>
      </c>
      <c r="L1074">
        <v>367.37819999999999</v>
      </c>
      <c r="M1074">
        <v>0.99936999999999998</v>
      </c>
      <c r="N1074">
        <v>-1.436831E-2</v>
      </c>
      <c r="O1074">
        <v>-3.2455690000000002E-2</v>
      </c>
      <c r="P1074">
        <v>0.9739778</v>
      </c>
      <c r="Q1074">
        <v>0.18666099999999999</v>
      </c>
      <c r="R1074">
        <v>-0.12854979999999999</v>
      </c>
      <c r="S1074">
        <v>3.012238</v>
      </c>
      <c r="T1074">
        <v>-0.16294729999999999</v>
      </c>
      <c r="U1074">
        <v>-0.7558899</v>
      </c>
      <c r="V1074">
        <v>9.7274680000000002E-2</v>
      </c>
      <c r="W1074">
        <v>0.20049210000000001</v>
      </c>
      <c r="X1074">
        <v>0.97485409999999995</v>
      </c>
      <c r="Y1074">
        <v>0.2114346</v>
      </c>
      <c r="Z1074">
        <v>-5.9049559999999899E-3</v>
      </c>
      <c r="AA1074">
        <v>0.97737430000000003</v>
      </c>
      <c r="AB1074">
        <v>31</v>
      </c>
      <c r="AC1074">
        <v>20.551200000000001</v>
      </c>
      <c r="AD1074">
        <v>-1.12061098318</v>
      </c>
      <c r="AE1074">
        <v>-5.1925999999999597</v>
      </c>
      <c r="AF1074">
        <v>4.5101863740400399</v>
      </c>
      <c r="AG1074">
        <v>-1.12061098318</v>
      </c>
      <c r="AH1074">
        <v>20.6512006209859</v>
      </c>
      <c r="AI1074">
        <v>93.034644475566296</v>
      </c>
      <c r="AJ1074">
        <v>77.680146784476094</v>
      </c>
      <c r="AK1074">
        <v>21.1676554486417</v>
      </c>
      <c r="AL1074">
        <v>78.434262607179704</v>
      </c>
      <c r="AM1074">
        <v>84.301669878409598</v>
      </c>
      <c r="AN1074">
        <v>0.99999998090916098</v>
      </c>
    </row>
    <row r="1075" spans="1:40" x14ac:dyDescent="0.25">
      <c r="A1075" t="str">
        <f>"20190303170517925"</f>
        <v>20190303170517925</v>
      </c>
      <c r="B1075" t="str">
        <f>"1551603917915203"</f>
        <v>1551603917915203</v>
      </c>
      <c r="C1075" t="s">
        <v>40</v>
      </c>
      <c r="D1075">
        <v>5.4499760000000004</v>
      </c>
      <c r="E1075">
        <v>0.54967730000000004</v>
      </c>
      <c r="F1075" t="s">
        <v>49</v>
      </c>
      <c r="G1075">
        <v>-203.67420000000001</v>
      </c>
      <c r="H1075" s="1">
        <v>-3.9395400000000004E-6</v>
      </c>
      <c r="I1075">
        <v>362.16669999999999</v>
      </c>
      <c r="J1075">
        <v>-224.14709999999999</v>
      </c>
      <c r="K1075">
        <v>1.1206069999999999</v>
      </c>
      <c r="L1075">
        <v>367.37209999999999</v>
      </c>
      <c r="M1075">
        <v>0.99935249999999998</v>
      </c>
      <c r="N1075">
        <v>-1.4366449999999999E-2</v>
      </c>
      <c r="O1075">
        <v>-3.2990520000000002E-2</v>
      </c>
      <c r="P1075">
        <v>0.97390750000000004</v>
      </c>
      <c r="Q1075">
        <v>0.1862029</v>
      </c>
      <c r="R1075">
        <v>-0.12974179999999999</v>
      </c>
      <c r="S1075">
        <v>3.0111690000000002</v>
      </c>
      <c r="T1075">
        <v>-0.1634362</v>
      </c>
      <c r="U1075">
        <v>-0.76007080000000005</v>
      </c>
      <c r="V1075">
        <v>9.7943500000000003E-2</v>
      </c>
      <c r="W1075">
        <v>0.2000315</v>
      </c>
      <c r="X1075">
        <v>0.97488180000000002</v>
      </c>
      <c r="Y1075">
        <v>0.2122666</v>
      </c>
      <c r="Z1075">
        <v>-5.9246580000000002E-3</v>
      </c>
      <c r="AA1075">
        <v>0.9771938</v>
      </c>
      <c r="AB1075">
        <v>31</v>
      </c>
      <c r="AC1075">
        <v>20.4728999999999</v>
      </c>
      <c r="AD1075">
        <v>-1.1206109395399999</v>
      </c>
      <c r="AE1075">
        <v>-5.2053999999999903</v>
      </c>
      <c r="AF1075">
        <v>4.5143805806230404</v>
      </c>
      <c r="AG1075">
        <v>-1.1206109395399999</v>
      </c>
      <c r="AH1075">
        <v>20.5755975822251</v>
      </c>
      <c r="AI1075">
        <v>93.045134917657407</v>
      </c>
      <c r="AJ1075">
        <v>77.625125023039999</v>
      </c>
      <c r="AK1075">
        <v>21.094800704680502</v>
      </c>
      <c r="AL1075">
        <v>78.461199244186901</v>
      </c>
      <c r="AM1075">
        <v>84.262912961466398</v>
      </c>
      <c r="AN1075">
        <v>1.00000002707786</v>
      </c>
    </row>
    <row r="1076" spans="1:40" x14ac:dyDescent="0.25">
      <c r="A1076" t="str">
        <f>"20190303170517938"</f>
        <v>20190303170517938</v>
      </c>
      <c r="B1076" t="str">
        <f>"1551603917925940"</f>
        <v>1551603917925940</v>
      </c>
      <c r="C1076" t="s">
        <v>40</v>
      </c>
      <c r="D1076">
        <v>5.4455090000000004</v>
      </c>
      <c r="E1076">
        <v>0.54979149999999999</v>
      </c>
      <c r="F1076" t="s">
        <v>49</v>
      </c>
      <c r="G1076">
        <v>-203.67959999999999</v>
      </c>
      <c r="H1076" s="1">
        <v>-3.9404329999999999E-6</v>
      </c>
      <c r="I1076">
        <v>362.1748</v>
      </c>
      <c r="J1076">
        <v>-223.9606</v>
      </c>
      <c r="K1076">
        <v>1.1206119999999999</v>
      </c>
      <c r="L1076">
        <v>367.36529999999999</v>
      </c>
      <c r="M1076">
        <v>0.99933340000000004</v>
      </c>
      <c r="N1076">
        <v>-1.4364450000000001E-2</v>
      </c>
      <c r="O1076">
        <v>-3.3565869999999998E-2</v>
      </c>
      <c r="P1076">
        <v>0.97386649999999997</v>
      </c>
      <c r="Q1076">
        <v>0.18581210000000001</v>
      </c>
      <c r="R1076">
        <v>-0.13060759999999999</v>
      </c>
      <c r="S1076">
        <v>3.0100709999999999</v>
      </c>
      <c r="T1076">
        <v>-0.16480300000000001</v>
      </c>
      <c r="U1076">
        <v>-0.76434329999999995</v>
      </c>
      <c r="V1076">
        <v>9.8245869999999999E-2</v>
      </c>
      <c r="W1076">
        <v>0.19963910000000001</v>
      </c>
      <c r="X1076">
        <v>0.97493180000000002</v>
      </c>
      <c r="Y1076">
        <v>0.21308589999999999</v>
      </c>
      <c r="Z1076">
        <v>-5.9632369999999997E-3</v>
      </c>
      <c r="AA1076">
        <v>0.97701530000000003</v>
      </c>
      <c r="AB1076">
        <v>31</v>
      </c>
      <c r="AC1076">
        <v>20.280999999999999</v>
      </c>
      <c r="AD1076">
        <v>-1.1206159404330001</v>
      </c>
      <c r="AE1076">
        <v>-5.1904999999999797</v>
      </c>
      <c r="AF1076">
        <v>4.4938783732992302</v>
      </c>
      <c r="AG1076">
        <v>-1.1206159404330001</v>
      </c>
      <c r="AH1076">
        <v>20.385399235560801</v>
      </c>
      <c r="AI1076">
        <v>93.072835827187006</v>
      </c>
      <c r="AJ1076">
        <v>77.568213158298803</v>
      </c>
      <c r="AK1076">
        <v>20.904909110377901</v>
      </c>
      <c r="AL1076">
        <v>78.484144826869496</v>
      </c>
      <c r="AM1076">
        <v>84.245613339094206</v>
      </c>
      <c r="AN1076">
        <v>1.00000001793605</v>
      </c>
    </row>
    <row r="1077" spans="1:40" x14ac:dyDescent="0.25">
      <c r="A1077" t="str">
        <f>"20190303170517952"</f>
        <v>20190303170517952</v>
      </c>
      <c r="B1077" t="str">
        <f>"1551603917945459"</f>
        <v>1551603917945459</v>
      </c>
      <c r="C1077" t="s">
        <v>40</v>
      </c>
      <c r="D1077">
        <v>5.4592869999999998</v>
      </c>
      <c r="E1077">
        <v>0.55002109999999904</v>
      </c>
      <c r="F1077" t="s">
        <v>49</v>
      </c>
      <c r="G1077">
        <v>-203.61330000000001</v>
      </c>
      <c r="H1077" s="1">
        <v>-3.907177E-6</v>
      </c>
      <c r="I1077">
        <v>362.17430000000002</v>
      </c>
      <c r="J1077">
        <v>-223.77440000000001</v>
      </c>
      <c r="K1077">
        <v>1.120611</v>
      </c>
      <c r="L1077">
        <v>367.35849999999999</v>
      </c>
      <c r="M1077">
        <v>0.99931389999999998</v>
      </c>
      <c r="N1077">
        <v>-1.4362450000000001E-2</v>
      </c>
      <c r="O1077">
        <v>-3.414039E-2</v>
      </c>
      <c r="P1077">
        <v>0.97362380000000004</v>
      </c>
      <c r="Q1077">
        <v>0.1862724</v>
      </c>
      <c r="R1077">
        <v>-0.1317555</v>
      </c>
      <c r="S1077">
        <v>3.0091709999999998</v>
      </c>
      <c r="T1077">
        <v>-0.16572799999999999</v>
      </c>
      <c r="U1077">
        <v>-0.76770019999999894</v>
      </c>
      <c r="V1077">
        <v>9.8839839999999998E-2</v>
      </c>
      <c r="W1077">
        <v>0.2000941</v>
      </c>
      <c r="X1077">
        <v>0.97477849999999999</v>
      </c>
      <c r="Y1077">
        <v>0.21361350000000001</v>
      </c>
      <c r="Z1077">
        <v>-5.9810139999999998E-3</v>
      </c>
      <c r="AA1077">
        <v>0.97689990000000004</v>
      </c>
      <c r="AB1077">
        <v>31</v>
      </c>
      <c r="AC1077">
        <v>20.161100000000001</v>
      </c>
      <c r="AD1077">
        <v>-1.120614907177</v>
      </c>
      <c r="AE1077">
        <v>-5.1841999999999704</v>
      </c>
      <c r="AF1077">
        <v>4.4798165493250401</v>
      </c>
      <c r="AG1077">
        <v>-1.120614907177</v>
      </c>
      <c r="AH1077">
        <v>20.2676206345641</v>
      </c>
      <c r="AI1077">
        <v>93.090273981389203</v>
      </c>
      <c r="AJ1077">
        <v>77.536129977990001</v>
      </c>
      <c r="AK1077">
        <v>20.7870387566965</v>
      </c>
      <c r="AL1077">
        <v>78.457538711410095</v>
      </c>
      <c r="AM1077">
        <v>84.210155108483804</v>
      </c>
      <c r="AN1077">
        <v>1.0000000434441401</v>
      </c>
    </row>
    <row r="1078" spans="1:40" x14ac:dyDescent="0.25">
      <c r="A1078" t="str">
        <f>"20190303170517965"</f>
        <v>20190303170517965</v>
      </c>
      <c r="B1078" t="str">
        <f>"1551603917955219"</f>
        <v>1551603917955219</v>
      </c>
      <c r="C1078" t="s">
        <v>40</v>
      </c>
      <c r="D1078">
        <v>5.4480629999999897</v>
      </c>
      <c r="E1078">
        <v>0.55013210000000001</v>
      </c>
      <c r="F1078" t="s">
        <v>49</v>
      </c>
      <c r="G1078">
        <v>-203.11869999999999</v>
      </c>
      <c r="H1078" s="1">
        <v>-3.6864649999999999E-6</v>
      </c>
      <c r="I1078">
        <v>362.04719999999998</v>
      </c>
      <c r="J1078">
        <v>-223.58770000000001</v>
      </c>
      <c r="K1078">
        <v>1.120609</v>
      </c>
      <c r="L1078">
        <v>367.35149999999999</v>
      </c>
      <c r="M1078">
        <v>0.99929409999999996</v>
      </c>
      <c r="N1078">
        <v>-1.436044E-2</v>
      </c>
      <c r="O1078">
        <v>-3.4716810000000001E-2</v>
      </c>
      <c r="P1078">
        <v>0.97348310000000005</v>
      </c>
      <c r="Q1078">
        <v>0.18658569999999999</v>
      </c>
      <c r="R1078">
        <v>-0.13235150000000001</v>
      </c>
      <c r="S1078">
        <v>3.0078279999999999</v>
      </c>
      <c r="T1078">
        <v>-0.163180399999999</v>
      </c>
      <c r="U1078">
        <v>-0.77340699999999996</v>
      </c>
      <c r="V1078">
        <v>9.8876389999999995E-2</v>
      </c>
      <c r="W1078">
        <v>0.20040430000000001</v>
      </c>
      <c r="X1078">
        <v>0.97471099999999999</v>
      </c>
      <c r="Y1078">
        <v>0.21490110000000001</v>
      </c>
      <c r="Z1078">
        <v>-5.9425349999999997E-3</v>
      </c>
      <c r="AA1078">
        <v>0.97661779999999998</v>
      </c>
      <c r="AB1078">
        <v>31</v>
      </c>
      <c r="AC1078">
        <v>20.469000000000001</v>
      </c>
      <c r="AD1078">
        <v>-1.1206126864649999</v>
      </c>
      <c r="AE1078">
        <v>-5.3043000000000102</v>
      </c>
      <c r="AF1078">
        <v>4.5775536916189301</v>
      </c>
      <c r="AG1078">
        <v>-1.1206126864649999</v>
      </c>
      <c r="AH1078">
        <v>20.5830162401836</v>
      </c>
      <c r="AI1078">
        <v>93.042131295341605</v>
      </c>
      <c r="AJ1078">
        <v>77.461775513289098</v>
      </c>
      <c r="AK1078">
        <v>21.1156417884084</v>
      </c>
      <c r="AL1078">
        <v>78.439397365310896</v>
      </c>
      <c r="AM1078">
        <v>84.2076302602091</v>
      </c>
      <c r="AN1078">
        <v>0.99999997873946</v>
      </c>
    </row>
    <row r="1079" spans="1:40" x14ac:dyDescent="0.25">
      <c r="A1079" t="str">
        <f>"20190303170517979"</f>
        <v>20190303170517979</v>
      </c>
      <c r="B1079" t="str">
        <f>"1551603917965955"</f>
        <v>1551603917965955</v>
      </c>
      <c r="C1079" t="s">
        <v>40</v>
      </c>
      <c r="D1079">
        <v>5.4661039999999996</v>
      </c>
      <c r="E1079">
        <v>0.55024240000000002</v>
      </c>
      <c r="F1079" t="s">
        <v>49</v>
      </c>
      <c r="G1079">
        <v>-202.7645</v>
      </c>
      <c r="H1079" s="1">
        <v>-3.5242040000000002E-6</v>
      </c>
      <c r="I1079">
        <v>361.9751</v>
      </c>
      <c r="J1079">
        <v>-223.39349999999999</v>
      </c>
      <c r="K1079">
        <v>1.1206119999999999</v>
      </c>
      <c r="L1079">
        <v>367.34410000000003</v>
      </c>
      <c r="M1079">
        <v>0.99927290000000002</v>
      </c>
      <c r="N1079">
        <v>-1.4358350000000001E-2</v>
      </c>
      <c r="O1079">
        <v>-3.5316010000000002E-2</v>
      </c>
      <c r="P1079">
        <v>0.97333219999999998</v>
      </c>
      <c r="Q1079">
        <v>0.18687680000000001</v>
      </c>
      <c r="R1079">
        <v>-0.13304649999999901</v>
      </c>
      <c r="S1079">
        <v>3.0071720000000002</v>
      </c>
      <c r="T1079">
        <v>-0.16183229999999901</v>
      </c>
      <c r="U1079">
        <v>-0.77642819999999901</v>
      </c>
      <c r="V1079">
        <v>9.8990330000000001E-2</v>
      </c>
      <c r="W1079">
        <v>0.20069300000000001</v>
      </c>
      <c r="X1079">
        <v>0.97464010000000001</v>
      </c>
      <c r="Y1079">
        <v>0.2152917</v>
      </c>
      <c r="Z1079">
        <v>-5.9007259999999898E-3</v>
      </c>
      <c r="AA1079">
        <v>0.97653190000000001</v>
      </c>
      <c r="AB1079">
        <v>31</v>
      </c>
      <c r="AC1079">
        <v>20.628999999999898</v>
      </c>
      <c r="AD1079">
        <v>-1.1206155242039999</v>
      </c>
      <c r="AE1079">
        <v>-5.3690000000000202</v>
      </c>
      <c r="AF1079">
        <v>4.6242608028480898</v>
      </c>
      <c r="AG1079">
        <v>-1.1206155242039999</v>
      </c>
      <c r="AH1079">
        <v>20.748417513421298</v>
      </c>
      <c r="AI1079">
        <v>93.017627240933507</v>
      </c>
      <c r="AJ1079">
        <v>77.435668343288</v>
      </c>
      <c r="AK1079">
        <v>21.287000644456501</v>
      </c>
      <c r="AL1079">
        <v>78.422513826189103</v>
      </c>
      <c r="AM1079">
        <v>84.2005819278736</v>
      </c>
      <c r="AN1079">
        <v>1.00000004510525</v>
      </c>
    </row>
    <row r="1080" spans="1:40" x14ac:dyDescent="0.25">
      <c r="A1080" t="str">
        <f>"20190303170517991"</f>
        <v>20190303170517991</v>
      </c>
      <c r="B1080" t="str">
        <f>"1551603917985475"</f>
        <v>1551603917985475</v>
      </c>
      <c r="C1080" t="s">
        <v>40</v>
      </c>
      <c r="D1080">
        <v>5.4632690000000004</v>
      </c>
      <c r="E1080">
        <v>0.55044510000000002</v>
      </c>
      <c r="F1080" t="s">
        <v>49</v>
      </c>
      <c r="G1080">
        <v>-202.45609999999999</v>
      </c>
      <c r="H1080" s="1">
        <v>-3.381563E-6</v>
      </c>
      <c r="I1080">
        <v>361.91849999999999</v>
      </c>
      <c r="J1080">
        <v>-223.24170000000001</v>
      </c>
      <c r="K1080">
        <v>1.1206160000000001</v>
      </c>
      <c r="L1080">
        <v>367.3383</v>
      </c>
      <c r="M1080">
        <v>0.99925649999999999</v>
      </c>
      <c r="N1080">
        <v>-1.435672E-2</v>
      </c>
      <c r="O1080">
        <v>-3.5784450000000002E-2</v>
      </c>
      <c r="P1080">
        <v>0.97321069999999998</v>
      </c>
      <c r="Q1080">
        <v>0.1870927</v>
      </c>
      <c r="R1080">
        <v>-0.1336321</v>
      </c>
      <c r="S1080">
        <v>3.0065919999999999</v>
      </c>
      <c r="T1080">
        <v>-0.1609188</v>
      </c>
      <c r="U1080">
        <v>-0.77911379999999997</v>
      </c>
      <c r="V1080">
        <v>9.9121529999999999E-2</v>
      </c>
      <c r="W1080">
        <v>0.20090649999999999</v>
      </c>
      <c r="X1080">
        <v>0.97458270000000002</v>
      </c>
      <c r="Y1080">
        <v>0.21570010000000001</v>
      </c>
      <c r="Z1080">
        <v>-5.8750900000000003E-3</v>
      </c>
      <c r="AA1080">
        <v>0.97644200000000003</v>
      </c>
      <c r="AB1080">
        <v>31</v>
      </c>
      <c r="AC1080">
        <v>20.785599999999999</v>
      </c>
      <c r="AD1080">
        <v>-1.1206193815629999</v>
      </c>
      <c r="AE1080">
        <v>-5.4198000000000004</v>
      </c>
      <c r="AF1080">
        <v>4.6597681942748803</v>
      </c>
      <c r="AG1080">
        <v>-1.1206193815629999</v>
      </c>
      <c r="AH1080">
        <v>20.909342417959</v>
      </c>
      <c r="AI1080">
        <v>92.994466226407496</v>
      </c>
      <c r="AJ1080">
        <v>77.436603999658999</v>
      </c>
      <c r="AK1080">
        <v>21.4515693545757</v>
      </c>
      <c r="AL1080">
        <v>78.410025956055506</v>
      </c>
      <c r="AM1080">
        <v>84.192608298978598</v>
      </c>
      <c r="AN1080">
        <v>0.99999996929554003</v>
      </c>
    </row>
    <row r="1081" spans="1:40" x14ac:dyDescent="0.25">
      <c r="A1081" t="str">
        <f>"20190303170518002"</f>
        <v>20190303170518002</v>
      </c>
      <c r="B1081" t="str">
        <f>"1551603917995235"</f>
        <v>1551603917995235</v>
      </c>
      <c r="C1081" t="s">
        <v>40</v>
      </c>
      <c r="D1081">
        <v>5.4532730000000003</v>
      </c>
      <c r="E1081">
        <v>0.55055240000000005</v>
      </c>
      <c r="F1081" t="s">
        <v>49</v>
      </c>
      <c r="G1081">
        <v>-202.17590000000001</v>
      </c>
      <c r="H1081" s="1">
        <v>-3.253791E-6</v>
      </c>
      <c r="I1081">
        <v>361.85890000000001</v>
      </c>
      <c r="J1081">
        <v>-223.0789</v>
      </c>
      <c r="K1081">
        <v>1.1206240000000001</v>
      </c>
      <c r="L1081">
        <v>367.33199999999999</v>
      </c>
      <c r="M1081">
        <v>0.99923839999999997</v>
      </c>
      <c r="N1081">
        <v>-1.435497E-2</v>
      </c>
      <c r="O1081">
        <v>-3.6286980000000003E-2</v>
      </c>
      <c r="P1081">
        <v>0.97308749999999999</v>
      </c>
      <c r="Q1081">
        <v>0.1872557</v>
      </c>
      <c r="R1081">
        <v>-0.13429869999999999</v>
      </c>
      <c r="S1081">
        <v>3.0059360000000002</v>
      </c>
      <c r="T1081">
        <v>-0.15990409999999999</v>
      </c>
      <c r="U1081">
        <v>-0.78186040000000001</v>
      </c>
      <c r="V1081">
        <v>9.9300620000000006E-2</v>
      </c>
      <c r="W1081">
        <v>0.20106669999999999</v>
      </c>
      <c r="X1081">
        <v>0.97453149999999999</v>
      </c>
      <c r="Y1081">
        <v>0.21609999999999999</v>
      </c>
      <c r="Z1081">
        <v>-5.8457179999999997E-3</v>
      </c>
      <c r="AA1081">
        <v>0.97635380000000005</v>
      </c>
      <c r="AB1081">
        <v>31</v>
      </c>
      <c r="AC1081">
        <v>20.902999999999899</v>
      </c>
      <c r="AD1081">
        <v>-1.120627253791</v>
      </c>
      <c r="AE1081">
        <v>-5.4730999999999801</v>
      </c>
      <c r="AF1081">
        <v>4.69827284547811</v>
      </c>
      <c r="AG1081">
        <v>-1.120627253791</v>
      </c>
      <c r="AH1081">
        <v>21.031285055436001</v>
      </c>
      <c r="AI1081">
        <v>92.976815822888298</v>
      </c>
      <c r="AJ1081">
        <v>77.407203876455</v>
      </c>
      <c r="AK1081">
        <v>21.578798026199301</v>
      </c>
      <c r="AL1081">
        <v>78.400656772704494</v>
      </c>
      <c r="AM1081">
        <v>84.181884015898902</v>
      </c>
      <c r="AN1081">
        <v>1.0000000377367599</v>
      </c>
    </row>
    <row r="1082" spans="1:40" x14ac:dyDescent="0.25">
      <c r="A1082" t="str">
        <f>"20190303170518014"</f>
        <v>20190303170518014</v>
      </c>
      <c r="B1082" t="str">
        <f>"1551603918005971"</f>
        <v>1551603918005971</v>
      </c>
      <c r="C1082" t="s">
        <v>40</v>
      </c>
      <c r="D1082">
        <v>5.4552940000000003</v>
      </c>
      <c r="E1082">
        <v>0.5506529</v>
      </c>
      <c r="F1082" t="s">
        <v>49</v>
      </c>
      <c r="G1082">
        <v>-201.93430000000001</v>
      </c>
      <c r="H1082" s="1">
        <v>-3.1427009999999998E-6</v>
      </c>
      <c r="I1082">
        <v>361.81150000000002</v>
      </c>
      <c r="J1082">
        <v>-222.90180000000001</v>
      </c>
      <c r="K1082">
        <v>1.120625</v>
      </c>
      <c r="L1082">
        <v>367.32499999999999</v>
      </c>
      <c r="M1082">
        <v>0.99921850000000001</v>
      </c>
      <c r="N1082">
        <v>-1.4353060000000001E-2</v>
      </c>
      <c r="O1082">
        <v>-3.6833610000000003E-2</v>
      </c>
      <c r="P1082">
        <v>0.97291830000000001</v>
      </c>
      <c r="Q1082">
        <v>0.18770870000000001</v>
      </c>
      <c r="R1082">
        <v>-0.13489179999999901</v>
      </c>
      <c r="S1082">
        <v>3.005341</v>
      </c>
      <c r="T1082">
        <v>-0.15927759999999999</v>
      </c>
      <c r="U1082">
        <v>-0.78463749999999999</v>
      </c>
      <c r="V1082">
        <v>9.9365229999999999E-2</v>
      </c>
      <c r="W1082">
        <v>0.20151649999999999</v>
      </c>
      <c r="X1082">
        <v>0.97443190000000002</v>
      </c>
      <c r="Y1082">
        <v>0.21645980000000001</v>
      </c>
      <c r="Z1082">
        <v>-5.8225019999999898E-3</v>
      </c>
      <c r="AA1082">
        <v>0.97627419999999998</v>
      </c>
      <c r="AB1082">
        <v>31</v>
      </c>
      <c r="AC1082">
        <v>20.967500000000001</v>
      </c>
      <c r="AD1082">
        <v>-1.1206281427010001</v>
      </c>
      <c r="AE1082">
        <v>-5.5134999999999597</v>
      </c>
      <c r="AF1082">
        <v>4.72474642297452</v>
      </c>
      <c r="AG1082">
        <v>-1.1206281427010001</v>
      </c>
      <c r="AH1082">
        <v>21.099998215173098</v>
      </c>
      <c r="AI1082">
        <v>92.966808811885898</v>
      </c>
      <c r="AJ1082">
        <v>77.378437812767103</v>
      </c>
      <c r="AK1082">
        <v>21.651534838803698</v>
      </c>
      <c r="AL1082">
        <v>78.3743454253663</v>
      </c>
      <c r="AM1082">
        <v>84.177533464763798</v>
      </c>
      <c r="AN1082">
        <v>0.99999993822140398</v>
      </c>
    </row>
    <row r="1083" spans="1:40" x14ac:dyDescent="0.25">
      <c r="A1083" t="str">
        <f>"20190303170518028"</f>
        <v>20190303170518028</v>
      </c>
      <c r="B1083" t="str">
        <f>"1551603918015731"</f>
        <v>1551603918015731</v>
      </c>
      <c r="C1083" t="s">
        <v>40</v>
      </c>
      <c r="D1083">
        <v>5.4770399999999997</v>
      </c>
      <c r="E1083">
        <v>0.55076380000000003</v>
      </c>
      <c r="F1083" t="s">
        <v>49</v>
      </c>
      <c r="G1083">
        <v>-201.57380000000001</v>
      </c>
      <c r="H1083" s="1">
        <v>-2.9775860000000001E-6</v>
      </c>
      <c r="I1083">
        <v>361.73809999999997</v>
      </c>
      <c r="J1083">
        <v>-222.72300000000001</v>
      </c>
      <c r="K1083">
        <v>1.120627</v>
      </c>
      <c r="L1083">
        <v>367.31779999999998</v>
      </c>
      <c r="M1083">
        <v>0.99919800000000003</v>
      </c>
      <c r="N1083">
        <v>-1.435114E-2</v>
      </c>
      <c r="O1083">
        <v>-3.7386080000000002E-2</v>
      </c>
      <c r="P1083">
        <v>0.97285469999999996</v>
      </c>
      <c r="Q1083">
        <v>0.18750639999999999</v>
      </c>
      <c r="R1083">
        <v>-0.13562879999999899</v>
      </c>
      <c r="S1083">
        <v>3.0048370000000002</v>
      </c>
      <c r="T1083">
        <v>-0.15788170000000001</v>
      </c>
      <c r="U1083">
        <v>-0.78710939999999996</v>
      </c>
      <c r="V1083">
        <v>9.9563120000000005E-2</v>
      </c>
      <c r="W1083">
        <v>0.2013124</v>
      </c>
      <c r="X1083">
        <v>0.97445389999999998</v>
      </c>
      <c r="Y1083">
        <v>0.21671670000000001</v>
      </c>
      <c r="Z1083">
        <v>-5.7778530000000003E-3</v>
      </c>
      <c r="AA1083">
        <v>0.97621740000000001</v>
      </c>
      <c r="AB1083">
        <v>31</v>
      </c>
      <c r="AC1083">
        <v>21.149199999999901</v>
      </c>
      <c r="AD1083">
        <v>-1.120629977586</v>
      </c>
      <c r="AE1083">
        <v>-5.5796999999999999</v>
      </c>
      <c r="AF1083">
        <v>4.7725040447321296</v>
      </c>
      <c r="AG1083">
        <v>-1.120629977586</v>
      </c>
      <c r="AH1083">
        <v>21.2871592618677</v>
      </c>
      <c r="AI1083">
        <v>92.940602759608595</v>
      </c>
      <c r="AJ1083">
        <v>77.363449423888298</v>
      </c>
      <c r="AK1083">
        <v>21.844352950906298</v>
      </c>
      <c r="AL1083">
        <v>78.386284307522203</v>
      </c>
      <c r="AM1083">
        <v>84.166148486582401</v>
      </c>
      <c r="AN1083">
        <v>0.99999995024155097</v>
      </c>
    </row>
    <row r="1084" spans="1:40" x14ac:dyDescent="0.25">
      <c r="A1084" t="str">
        <f>"20190303170518045"</f>
        <v>20190303170518045</v>
      </c>
      <c r="B1084" t="str">
        <f>"1551603918035251"</f>
        <v>1551603918035251</v>
      </c>
      <c r="C1084" t="s">
        <v>40</v>
      </c>
      <c r="D1084">
        <v>5.4812329999999996</v>
      </c>
      <c r="E1084">
        <v>0.55098100000000005</v>
      </c>
      <c r="F1084" t="s">
        <v>49</v>
      </c>
      <c r="G1084">
        <v>-201.46719999999999</v>
      </c>
      <c r="H1084" s="1">
        <v>-2.9264769999999998E-6</v>
      </c>
      <c r="I1084">
        <v>361.72669999999999</v>
      </c>
      <c r="J1084">
        <v>-222.48929999999999</v>
      </c>
      <c r="K1084">
        <v>1.120628</v>
      </c>
      <c r="L1084">
        <v>367.30829999999997</v>
      </c>
      <c r="M1084">
        <v>0.99917069999999997</v>
      </c>
      <c r="N1084">
        <v>-1.4348669999999999E-2</v>
      </c>
      <c r="O1084">
        <v>-3.8110209999999999E-2</v>
      </c>
      <c r="P1084">
        <v>0.97273149999999997</v>
      </c>
      <c r="Q1084">
        <v>0.18770700000000001</v>
      </c>
      <c r="R1084">
        <v>-0.136235299999999</v>
      </c>
      <c r="S1084">
        <v>3.0040589999999998</v>
      </c>
      <c r="T1084">
        <v>-0.1583772</v>
      </c>
      <c r="U1084">
        <v>-0.79019169999999905</v>
      </c>
      <c r="V1084">
        <v>9.9465390000000001E-2</v>
      </c>
      <c r="W1084">
        <v>0.20151050000000001</v>
      </c>
      <c r="X1084">
        <v>0.97442300000000004</v>
      </c>
      <c r="Y1084">
        <v>0.21700649999999999</v>
      </c>
      <c r="Z1084">
        <v>-5.7720519999999997E-3</v>
      </c>
      <c r="AA1084">
        <v>0.9761531</v>
      </c>
      <c r="AB1084">
        <v>31</v>
      </c>
      <c r="AC1084">
        <v>21.022099999999899</v>
      </c>
      <c r="AD1084">
        <v>-1.120630926477</v>
      </c>
      <c r="AE1084">
        <v>-5.5815999999999804</v>
      </c>
      <c r="AF1084">
        <v>4.7636600950958199</v>
      </c>
      <c r="AG1084">
        <v>-1.120630926477</v>
      </c>
      <c r="AH1084">
        <v>21.1633841252699</v>
      </c>
      <c r="AI1084">
        <v>92.957209077807903</v>
      </c>
      <c r="AJ1084">
        <v>77.314724015062296</v>
      </c>
      <c r="AK1084">
        <v>21.721811591317799</v>
      </c>
      <c r="AL1084">
        <v>78.374697295338905</v>
      </c>
      <c r="AM1084">
        <v>84.171651943459096</v>
      </c>
      <c r="AN1084">
        <v>1.0000000141735499</v>
      </c>
    </row>
    <row r="1085" spans="1:40" x14ac:dyDescent="0.25">
      <c r="A1085" t="str">
        <f>"20190303170518067"</f>
        <v>20190303170518067</v>
      </c>
      <c r="B1085" t="str">
        <f>"1551603918055747"</f>
        <v>1551603918055747</v>
      </c>
      <c r="C1085" t="s">
        <v>40</v>
      </c>
      <c r="D1085">
        <v>5.4896880000000001</v>
      </c>
      <c r="E1085">
        <v>0.55117899999999997</v>
      </c>
      <c r="F1085" t="s">
        <v>49</v>
      </c>
      <c r="G1085">
        <v>-201.13390000000001</v>
      </c>
      <c r="H1085" s="1">
        <v>-2.7736999999999998E-6</v>
      </c>
      <c r="I1085">
        <v>361.65929999999997</v>
      </c>
      <c r="J1085">
        <v>-222.18530000000001</v>
      </c>
      <c r="K1085">
        <v>1.120619</v>
      </c>
      <c r="L1085">
        <v>367.29570000000001</v>
      </c>
      <c r="M1085">
        <v>0.99913390000000002</v>
      </c>
      <c r="N1085">
        <v>-1.4345429999999999E-2</v>
      </c>
      <c r="O1085">
        <v>-3.9059789999999997E-2</v>
      </c>
      <c r="P1085">
        <v>0.97234679999999996</v>
      </c>
      <c r="Q1085">
        <v>0.18853890000000001</v>
      </c>
      <c r="R1085">
        <v>-0.137822</v>
      </c>
      <c r="S1085">
        <v>3.00325</v>
      </c>
      <c r="T1085">
        <v>-0.15759609999999999</v>
      </c>
      <c r="U1085">
        <v>-0.79443359999999996</v>
      </c>
      <c r="V1085">
        <v>0.1001396</v>
      </c>
      <c r="W1085">
        <v>0.20233429999999999</v>
      </c>
      <c r="X1085">
        <v>0.97418320000000003</v>
      </c>
      <c r="Y1085">
        <v>0.2174353</v>
      </c>
      <c r="Z1085">
        <v>-5.7328989999999996E-3</v>
      </c>
      <c r="AA1085">
        <v>0.97605790000000003</v>
      </c>
      <c r="AB1085">
        <v>31</v>
      </c>
      <c r="AC1085">
        <v>21.051400000000001</v>
      </c>
      <c r="AD1085">
        <v>-1.1206217736999999</v>
      </c>
      <c r="AE1085">
        <v>-5.6364000000000303</v>
      </c>
      <c r="AF1085">
        <v>4.79706573768454</v>
      </c>
      <c r="AG1085">
        <v>-1.1206217736999999</v>
      </c>
      <c r="AH1085">
        <v>21.199456301218699</v>
      </c>
      <c r="AI1085">
        <v>92.951407294049801</v>
      </c>
      <c r="AJ1085">
        <v>77.249695275488193</v>
      </c>
      <c r="AK1085">
        <v>21.7642959986911</v>
      </c>
      <c r="AL1085">
        <v>78.326504254228993</v>
      </c>
      <c r="AM1085">
        <v>84.130985899834499</v>
      </c>
      <c r="AN1085">
        <v>1.0000000078034399</v>
      </c>
    </row>
    <row r="1086" spans="1:40" x14ac:dyDescent="0.25">
      <c r="A1086" t="str">
        <f>"20190303170518089"</f>
        <v>20190303170518089</v>
      </c>
      <c r="B1086" t="str">
        <f>"1551603918075268"</f>
        <v>1551603918075268</v>
      </c>
      <c r="C1086" t="s">
        <v>40</v>
      </c>
      <c r="D1086">
        <v>5.4852019999999904</v>
      </c>
      <c r="E1086">
        <v>0.55127799999999905</v>
      </c>
      <c r="F1086" t="s">
        <v>49</v>
      </c>
      <c r="G1086">
        <v>-200.4769</v>
      </c>
      <c r="H1086" s="1">
        <v>-2.4350220000000002E-6</v>
      </c>
      <c r="I1086">
        <v>361.50540000000001</v>
      </c>
      <c r="J1086">
        <v>-221.87389999999999</v>
      </c>
      <c r="K1086">
        <v>1.1206130000000001</v>
      </c>
      <c r="L1086">
        <v>367.2824</v>
      </c>
      <c r="M1086">
        <v>0.99909490000000001</v>
      </c>
      <c r="N1086">
        <v>-1.4342239999999999E-2</v>
      </c>
      <c r="O1086">
        <v>-4.0047869999999999E-2</v>
      </c>
      <c r="P1086">
        <v>0.97190949999999998</v>
      </c>
      <c r="Q1086">
        <v>0.18969420000000001</v>
      </c>
      <c r="R1086">
        <v>-0.1393134</v>
      </c>
      <c r="S1086">
        <v>3.001862</v>
      </c>
      <c r="T1086">
        <v>-0.15496099999999999</v>
      </c>
      <c r="U1086">
        <v>-0.80068969999999995</v>
      </c>
      <c r="V1086">
        <v>0.1006872</v>
      </c>
      <c r="W1086">
        <v>0.20347960000000001</v>
      </c>
      <c r="X1086">
        <v>0.97388819999999998</v>
      </c>
      <c r="Y1086">
        <v>0.21848999999999999</v>
      </c>
      <c r="Z1086">
        <v>-5.6717909999999998E-3</v>
      </c>
      <c r="AA1086">
        <v>0.97582270000000004</v>
      </c>
      <c r="AB1086">
        <v>31</v>
      </c>
      <c r="AC1086">
        <v>21.396999999999899</v>
      </c>
      <c r="AD1086">
        <v>-1.1206154350219999</v>
      </c>
      <c r="AE1086">
        <v>-5.7769999999999797</v>
      </c>
      <c r="AF1086">
        <v>4.9028379335402699</v>
      </c>
      <c r="AG1086">
        <v>-1.1206154350219999</v>
      </c>
      <c r="AH1086">
        <v>21.5561025897081</v>
      </c>
      <c r="AI1086">
        <v>92.901916992177206</v>
      </c>
      <c r="AJ1086">
        <v>77.186322855220297</v>
      </c>
      <c r="AK1086">
        <v>22.1350210664862</v>
      </c>
      <c r="AL1086">
        <v>78.259489770719398</v>
      </c>
      <c r="AM1086">
        <v>84.097343021566303</v>
      </c>
      <c r="AN1086">
        <v>1.0000000429796101</v>
      </c>
    </row>
    <row r="1087" spans="1:40" x14ac:dyDescent="0.25">
      <c r="A1087" t="str">
        <f>"20190303170518102"</f>
        <v>20190303170518102</v>
      </c>
      <c r="B1087" t="str">
        <f>"1551603918095763"</f>
        <v>1551603918095763</v>
      </c>
      <c r="C1087" t="s">
        <v>40</v>
      </c>
      <c r="D1087">
        <v>5.512829</v>
      </c>
      <c r="E1087">
        <v>0.55841370000000001</v>
      </c>
      <c r="F1087" t="s">
        <v>49</v>
      </c>
      <c r="G1087">
        <v>-199.65119999999999</v>
      </c>
      <c r="H1087" s="1">
        <v>-9.9872210000000006E-6</v>
      </c>
      <c r="I1087">
        <v>361.31200000000001</v>
      </c>
      <c r="J1087">
        <v>-221.68709999999999</v>
      </c>
      <c r="K1087">
        <v>1.120614</v>
      </c>
      <c r="L1087">
        <v>367.27440000000001</v>
      </c>
      <c r="M1087">
        <v>0.99907069999999998</v>
      </c>
      <c r="N1087">
        <v>-1.434042E-2</v>
      </c>
      <c r="O1087">
        <v>-4.0649379999999999E-2</v>
      </c>
      <c r="P1087">
        <v>0.9717905</v>
      </c>
      <c r="Q1087">
        <v>0.18987570000000001</v>
      </c>
      <c r="R1087">
        <v>-0.1398953</v>
      </c>
      <c r="S1087">
        <v>3.0006870000000001</v>
      </c>
      <c r="T1087">
        <v>-0.15131559999999999</v>
      </c>
      <c r="U1087">
        <v>-0.80618290000000004</v>
      </c>
      <c r="V1087">
        <v>0.10068920000000001</v>
      </c>
      <c r="W1087">
        <v>0.203657</v>
      </c>
      <c r="X1087">
        <v>0.97385080000000002</v>
      </c>
      <c r="Y1087">
        <v>0.2196756</v>
      </c>
      <c r="Z1087">
        <v>-5.6065589999999997E-3</v>
      </c>
      <c r="AA1087">
        <v>0.97555689999999995</v>
      </c>
      <c r="AB1087">
        <v>31</v>
      </c>
      <c r="AC1087">
        <v>22.035900000000002</v>
      </c>
      <c r="AD1087">
        <v>-1.120623987221</v>
      </c>
      <c r="AE1087">
        <v>-5.9624000000000503</v>
      </c>
      <c r="AF1087">
        <v>5.0494652624063798</v>
      </c>
      <c r="AG1087">
        <v>-1.120623987221</v>
      </c>
      <c r="AH1087">
        <v>22.206563361017199</v>
      </c>
      <c r="AI1087">
        <v>92.817112368220407</v>
      </c>
      <c r="AJ1087">
        <v>77.189553856627995</v>
      </c>
      <c r="AK1087">
        <v>22.800972651706299</v>
      </c>
      <c r="AL1087">
        <v>78.249106824693399</v>
      </c>
      <c r="AM1087">
        <v>84.097001511190399</v>
      </c>
      <c r="AN1087">
        <v>0.99999993465313697</v>
      </c>
    </row>
    <row r="1088" spans="1:40" x14ac:dyDescent="0.25">
      <c r="A1088" t="str">
        <f>"20190303170518114"</f>
        <v>20190303170518114</v>
      </c>
      <c r="B1088" t="str">
        <f>"1551603918105523"</f>
        <v>1551603918105523</v>
      </c>
      <c r="C1088" t="s">
        <v>40</v>
      </c>
      <c r="D1088">
        <v>5.5311320000000004</v>
      </c>
      <c r="E1088">
        <v>0.55827109999999902</v>
      </c>
      <c r="F1088" t="s">
        <v>49</v>
      </c>
      <c r="G1088">
        <v>-199.75819999999999</v>
      </c>
      <c r="H1088" s="1">
        <v>-1.007998E-5</v>
      </c>
      <c r="I1088">
        <v>360.93700000000001</v>
      </c>
      <c r="J1088">
        <v>-221.5341</v>
      </c>
      <c r="K1088">
        <v>1.1206039999999999</v>
      </c>
      <c r="L1088">
        <v>367.26760000000002</v>
      </c>
      <c r="M1088">
        <v>0.99904979999999999</v>
      </c>
      <c r="N1088">
        <v>-1.4338969999999999E-2</v>
      </c>
      <c r="O1088">
        <v>-4.1158229999999997E-2</v>
      </c>
      <c r="P1088">
        <v>0.97166410000000003</v>
      </c>
      <c r="Q1088">
        <v>0.19030449999999999</v>
      </c>
      <c r="R1088">
        <v>-0.1401915</v>
      </c>
      <c r="S1088">
        <v>2.9924469999999999</v>
      </c>
      <c r="T1088">
        <v>-0.15292229999999901</v>
      </c>
      <c r="U1088">
        <v>-0.86480709999999905</v>
      </c>
      <c r="V1088">
        <v>0.1004993</v>
      </c>
      <c r="W1088">
        <v>0.20408090000000001</v>
      </c>
      <c r="X1088">
        <v>0.97378180000000003</v>
      </c>
      <c r="Y1088">
        <v>0.2375102</v>
      </c>
      <c r="Z1088">
        <v>-6.2044550000000002E-3</v>
      </c>
      <c r="AA1088">
        <v>0.97136520000000004</v>
      </c>
      <c r="AB1088">
        <v>31</v>
      </c>
      <c r="AC1088">
        <v>21.7759</v>
      </c>
      <c r="AD1088">
        <v>-1.12061407998</v>
      </c>
      <c r="AE1088">
        <v>-6.33060000000006</v>
      </c>
      <c r="AF1088">
        <v>5.4156606164980401</v>
      </c>
      <c r="AG1088">
        <v>-1.12061407998</v>
      </c>
      <c r="AH1088">
        <v>21.964392887602699</v>
      </c>
      <c r="AI1088">
        <v>92.835887637096306</v>
      </c>
      <c r="AJ1088">
        <v>76.149114805905299</v>
      </c>
      <c r="AK1088">
        <v>22.649938427075401</v>
      </c>
      <c r="AL1088">
        <v>78.224299593606801</v>
      </c>
      <c r="AM1088">
        <v>84.107641629699202</v>
      </c>
      <c r="AN1088">
        <v>1.00000005852826</v>
      </c>
    </row>
    <row r="1089" spans="1:40" x14ac:dyDescent="0.25">
      <c r="A1089" t="str">
        <f>"20190303170518126"</f>
        <v>20190303170518126</v>
      </c>
      <c r="B1089" t="str">
        <f>"1551603918115284"</f>
        <v>1551603918115284</v>
      </c>
      <c r="C1089" t="s">
        <v>40</v>
      </c>
      <c r="D1089">
        <v>5.4969429999999999</v>
      </c>
      <c r="E1089">
        <v>0.55860529999999997</v>
      </c>
      <c r="F1089" t="s">
        <v>49</v>
      </c>
      <c r="G1089">
        <v>-199.79060000000001</v>
      </c>
      <c r="H1089" s="1">
        <v>-1.00848E-5</v>
      </c>
      <c r="I1089">
        <v>360.9855</v>
      </c>
      <c r="J1089">
        <v>-221.3717</v>
      </c>
      <c r="K1089">
        <v>1.1205940000000001</v>
      </c>
      <c r="L1089">
        <v>367.26029999999997</v>
      </c>
      <c r="M1089">
        <v>0.99902709999999995</v>
      </c>
      <c r="N1089">
        <v>-1.433746E-2</v>
      </c>
      <c r="O1089">
        <v>-4.1706600000000003E-2</v>
      </c>
      <c r="P1089">
        <v>0.97162999999999999</v>
      </c>
      <c r="Q1089">
        <v>0.1902578</v>
      </c>
      <c r="R1089">
        <v>-0.14048939999999999</v>
      </c>
      <c r="S1089">
        <v>2.99295</v>
      </c>
      <c r="T1089">
        <v>-0.15425039999999901</v>
      </c>
      <c r="U1089">
        <v>-0.86471559999999903</v>
      </c>
      <c r="V1089">
        <v>0.10026930000000001</v>
      </c>
      <c r="W1089">
        <v>0.2040305</v>
      </c>
      <c r="X1089">
        <v>0.97381600000000001</v>
      </c>
      <c r="Y1089">
        <v>0.23690220000000001</v>
      </c>
      <c r="Z1089">
        <v>-6.1976710000000001E-3</v>
      </c>
      <c r="AA1089">
        <v>0.97151370000000004</v>
      </c>
      <c r="AB1089">
        <v>31</v>
      </c>
      <c r="AC1089">
        <v>21.5810999999999</v>
      </c>
      <c r="AD1089">
        <v>-1.1206040848000001</v>
      </c>
      <c r="AE1089">
        <v>-6.2747999999999697</v>
      </c>
      <c r="AF1089">
        <v>5.3558574110472499</v>
      </c>
      <c r="AG1089">
        <v>-1.1206040848000001</v>
      </c>
      <c r="AH1089">
        <v>21.7699244674284</v>
      </c>
      <c r="AI1089">
        <v>92.861514120073593</v>
      </c>
      <c r="AJ1089">
        <v>76.178528845065998</v>
      </c>
      <c r="AK1089">
        <v>22.447061576960898</v>
      </c>
      <c r="AL1089">
        <v>78.227248543613001</v>
      </c>
      <c r="AM1089">
        <v>84.121237185883999</v>
      </c>
      <c r="AN1089">
        <v>0.99999998965436998</v>
      </c>
    </row>
    <row r="1090" spans="1:40" x14ac:dyDescent="0.25">
      <c r="A1090" t="str">
        <f>"20190303170518138"</f>
        <v>20190303170518138</v>
      </c>
      <c r="B1090" t="str">
        <f>"1551603918126020"</f>
        <v>1551603918126020</v>
      </c>
      <c r="C1090" t="s">
        <v>40</v>
      </c>
      <c r="D1090">
        <v>5.5081089999999904</v>
      </c>
      <c r="E1090">
        <v>0.55890079999999998</v>
      </c>
      <c r="F1090" t="s">
        <v>49</v>
      </c>
      <c r="G1090">
        <v>-199.86490000000001</v>
      </c>
      <c r="H1090" s="1">
        <v>-1.010703E-5</v>
      </c>
      <c r="I1090">
        <v>361.01859999999999</v>
      </c>
      <c r="J1090">
        <v>-221.19479999999999</v>
      </c>
      <c r="K1090">
        <v>1.1205639999999999</v>
      </c>
      <c r="L1090">
        <v>367.25229999999999</v>
      </c>
      <c r="M1090">
        <v>0.99900069999999996</v>
      </c>
      <c r="N1090">
        <v>-1.433593E-2</v>
      </c>
      <c r="O1090">
        <v>-4.2332889999999998E-2</v>
      </c>
      <c r="P1090">
        <v>0.97154689999999999</v>
      </c>
      <c r="Q1090">
        <v>0.19027640000000001</v>
      </c>
      <c r="R1090">
        <v>-0.14103929999999901</v>
      </c>
      <c r="S1090">
        <v>2.992569</v>
      </c>
      <c r="T1090">
        <v>-0.15592619999999999</v>
      </c>
      <c r="U1090">
        <v>-0.86849979999999904</v>
      </c>
      <c r="V1090">
        <v>0.1002218</v>
      </c>
      <c r="W1090">
        <v>0.20404169999999999</v>
      </c>
      <c r="X1090">
        <v>0.97381850000000003</v>
      </c>
      <c r="Y1090">
        <v>0.23745279999999999</v>
      </c>
      <c r="Z1090">
        <v>-6.2345909999999899E-3</v>
      </c>
      <c r="AA1090">
        <v>0.97137899999999999</v>
      </c>
      <c r="AB1090">
        <v>31</v>
      </c>
      <c r="AC1090">
        <v>21.329899999999899</v>
      </c>
      <c r="AD1090">
        <v>-1.1205741070299999</v>
      </c>
      <c r="AE1090">
        <v>-6.23369999999999</v>
      </c>
      <c r="AF1090">
        <v>5.3115554730609302</v>
      </c>
      <c r="AG1090">
        <v>-1.1205741070299999</v>
      </c>
      <c r="AH1090">
        <v>21.519972163973101</v>
      </c>
      <c r="AI1090">
        <v>92.894080567379604</v>
      </c>
      <c r="AJ1090">
        <v>76.135377502194203</v>
      </c>
      <c r="AK1090">
        <v>22.194087271409199</v>
      </c>
      <c r="AL1090">
        <v>78.226592540751497</v>
      </c>
      <c r="AM1090">
        <v>84.124017587188803</v>
      </c>
      <c r="AN1090">
        <v>0.99999994773818801</v>
      </c>
    </row>
    <row r="1091" spans="1:40" x14ac:dyDescent="0.25">
      <c r="A1091" t="str">
        <f>"20190303170518156"</f>
        <v>20190303170518156</v>
      </c>
      <c r="B1091" t="str">
        <f>"1551603918145539"</f>
        <v>1551603918145539</v>
      </c>
      <c r="C1091" t="s">
        <v>40</v>
      </c>
      <c r="D1091">
        <v>5.5237759999999998</v>
      </c>
      <c r="E1091">
        <v>0.55944380000000005</v>
      </c>
      <c r="F1091" t="s">
        <v>49</v>
      </c>
      <c r="G1091">
        <v>-199.68790000000001</v>
      </c>
      <c r="H1091" s="1">
        <v>-1.00486899999999E-5</v>
      </c>
      <c r="I1091">
        <v>360.97669999999999</v>
      </c>
      <c r="J1091">
        <v>-220.96010000000001</v>
      </c>
      <c r="K1091">
        <v>1.1205229999999999</v>
      </c>
      <c r="L1091">
        <v>367.24149999999997</v>
      </c>
      <c r="M1091">
        <v>0.9989635</v>
      </c>
      <c r="N1091">
        <v>-1.433425E-2</v>
      </c>
      <c r="O1091">
        <v>-4.3205439999999998E-2</v>
      </c>
      <c r="P1091">
        <v>0.97133899999999995</v>
      </c>
      <c r="Q1091">
        <v>0.1902189</v>
      </c>
      <c r="R1091">
        <v>-0.14253969999999999</v>
      </c>
      <c r="S1091">
        <v>2.9916839999999998</v>
      </c>
      <c r="T1091">
        <v>-0.1558754</v>
      </c>
      <c r="U1091">
        <v>-0.87295529999999999</v>
      </c>
      <c r="V1091">
        <v>0.1008971</v>
      </c>
      <c r="W1091">
        <v>0.20397029999999999</v>
      </c>
      <c r="X1091">
        <v>0.97376379999999996</v>
      </c>
      <c r="Y1091">
        <v>0.2380149</v>
      </c>
      <c r="Z1091">
        <v>-6.2200170000000004E-3</v>
      </c>
      <c r="AA1091">
        <v>0.97124160000000004</v>
      </c>
      <c r="AB1091">
        <v>31</v>
      </c>
      <c r="AC1091">
        <v>21.272200000000002</v>
      </c>
      <c r="AD1091">
        <v>-1.12053304869</v>
      </c>
      <c r="AE1091">
        <v>-6.2647999999999797</v>
      </c>
      <c r="AF1091">
        <v>5.3261803874541602</v>
      </c>
      <c r="AG1091">
        <v>-1.12053304869</v>
      </c>
      <c r="AH1091">
        <v>21.468218622170301</v>
      </c>
      <c r="AI1091">
        <v>92.900077625143396</v>
      </c>
      <c r="AJ1091">
        <v>76.066473409848001</v>
      </c>
      <c r="AK1091">
        <v>22.147419773919701</v>
      </c>
      <c r="AL1091">
        <v>78.2307722413248</v>
      </c>
      <c r="AM1091">
        <v>84.084374778210801</v>
      </c>
      <c r="AN1091">
        <v>1.00000002313046</v>
      </c>
    </row>
    <row r="1092" spans="1:40" x14ac:dyDescent="0.25">
      <c r="A1092" t="str">
        <f>"20190303170518171"</f>
        <v>20190303170518171</v>
      </c>
      <c r="B1092" t="str">
        <f>"1551603918166037"</f>
        <v>1551603918166037</v>
      </c>
      <c r="C1092" t="s">
        <v>40</v>
      </c>
      <c r="D1092">
        <v>5.5300010000000004</v>
      </c>
      <c r="E1092">
        <v>0.55954919999999997</v>
      </c>
      <c r="F1092" t="s">
        <v>49</v>
      </c>
      <c r="G1092">
        <v>-199.64750000000001</v>
      </c>
      <c r="H1092" s="1">
        <v>-1.0036490000000001E-5</v>
      </c>
      <c r="I1092">
        <v>360.95949999999999</v>
      </c>
      <c r="J1092">
        <v>-220.74369999999999</v>
      </c>
      <c r="K1092">
        <v>1.120485</v>
      </c>
      <c r="L1092">
        <v>367.23129999999998</v>
      </c>
      <c r="M1092">
        <v>0.99892630000000004</v>
      </c>
      <c r="N1092">
        <v>-1.4332839999999999E-2</v>
      </c>
      <c r="O1092">
        <v>-4.4056049999999999E-2</v>
      </c>
      <c r="P1092">
        <v>0.97110549999999995</v>
      </c>
      <c r="Q1092">
        <v>0.19043769999999999</v>
      </c>
      <c r="R1092">
        <v>-0.14383270000000001</v>
      </c>
      <c r="S1092">
        <v>2.9899749999999998</v>
      </c>
      <c r="T1092">
        <v>-0.15720139999999999</v>
      </c>
      <c r="U1092">
        <v>-0.88131709999999996</v>
      </c>
      <c r="V1092">
        <v>0.101391</v>
      </c>
      <c r="W1092">
        <v>0.20417379999999999</v>
      </c>
      <c r="X1092">
        <v>0.97366980000000003</v>
      </c>
      <c r="Y1092">
        <v>0.23983019999999999</v>
      </c>
      <c r="Z1092">
        <v>-6.2821700000000001E-3</v>
      </c>
      <c r="AA1092">
        <v>0.97079459999999995</v>
      </c>
      <c r="AB1092">
        <v>31</v>
      </c>
      <c r="AC1092">
        <v>21.0961999999999</v>
      </c>
      <c r="AD1092">
        <v>-1.1204950364899999</v>
      </c>
      <c r="AE1092">
        <v>-6.2717999999999803</v>
      </c>
      <c r="AF1092">
        <v>5.3224030657218702</v>
      </c>
      <c r="AG1092">
        <v>-1.1204950364899999</v>
      </c>
      <c r="AH1092">
        <v>21.296851084319801</v>
      </c>
      <c r="AI1092">
        <v>92.922029796429101</v>
      </c>
      <c r="AJ1092">
        <v>75.968338951677893</v>
      </c>
      <c r="AK1092">
        <v>21.980431061025602</v>
      </c>
      <c r="AL1092">
        <v>78.218861362097698</v>
      </c>
      <c r="AM1092">
        <v>84.055054360781696</v>
      </c>
      <c r="AN1092">
        <v>0.99999997745973901</v>
      </c>
    </row>
    <row r="1093" spans="1:40" x14ac:dyDescent="0.25">
      <c r="A1093" t="str">
        <f>"20190303170518184"</f>
        <v>20190303170518184</v>
      </c>
      <c r="B1093" t="str">
        <f>"1551603918175796"</f>
        <v>1551603918175796</v>
      </c>
      <c r="C1093" t="s">
        <v>40</v>
      </c>
      <c r="D1093">
        <v>5.5496249999999998</v>
      </c>
      <c r="E1093">
        <v>0.55970779999999998</v>
      </c>
      <c r="F1093" t="s">
        <v>49</v>
      </c>
      <c r="G1093">
        <v>-199.62549999999999</v>
      </c>
      <c r="H1093" s="1">
        <v>-1.002655E-5</v>
      </c>
      <c r="I1093">
        <v>360.97300000000001</v>
      </c>
      <c r="J1093">
        <v>-220.5598</v>
      </c>
      <c r="K1093">
        <v>1.120439</v>
      </c>
      <c r="L1093">
        <v>367.22239999999999</v>
      </c>
      <c r="M1093">
        <v>0.99889269999999997</v>
      </c>
      <c r="N1093">
        <v>-1.4331669999999999E-2</v>
      </c>
      <c r="O1093">
        <v>-4.4811379999999998E-2</v>
      </c>
      <c r="P1093">
        <v>0.97089139999999996</v>
      </c>
      <c r="Q1093">
        <v>0.19036139999999999</v>
      </c>
      <c r="R1093">
        <v>-0.14537050000000001</v>
      </c>
      <c r="S1093">
        <v>2.989166</v>
      </c>
      <c r="T1093">
        <v>-0.15860009999999999</v>
      </c>
      <c r="U1093">
        <v>-0.88583369999999995</v>
      </c>
      <c r="V1093">
        <v>0.10222000000000001</v>
      </c>
      <c r="W1093">
        <v>0.20408229999999999</v>
      </c>
      <c r="X1093">
        <v>0.97360230000000003</v>
      </c>
      <c r="Y1093">
        <v>0.24051020000000001</v>
      </c>
      <c r="Z1093">
        <v>-6.3113780000000003E-3</v>
      </c>
      <c r="AA1093">
        <v>0.97062610000000005</v>
      </c>
      <c r="AB1093">
        <v>31</v>
      </c>
      <c r="AC1093">
        <v>20.9343</v>
      </c>
      <c r="AD1093">
        <v>-1.12044902655</v>
      </c>
      <c r="AE1093">
        <v>-6.2493999999999801</v>
      </c>
      <c r="AF1093">
        <v>5.2910132298883603</v>
      </c>
      <c r="AG1093">
        <v>-1.12044902655</v>
      </c>
      <c r="AH1093">
        <v>21.1377424334413</v>
      </c>
      <c r="AI1093">
        <v>92.943591345256095</v>
      </c>
      <c r="AJ1093">
        <v>75.946977296816897</v>
      </c>
      <c r="AK1093">
        <v>21.8186704957578</v>
      </c>
      <c r="AL1093">
        <v>78.224216670104994</v>
      </c>
      <c r="AM1093">
        <v>84.006386768645001</v>
      </c>
      <c r="AN1093">
        <v>0.99999997606928903</v>
      </c>
    </row>
    <row r="1094" spans="1:40" x14ac:dyDescent="0.25">
      <c r="A1094" t="str">
        <f>"20190303170518201"</f>
        <v>20190303170518201</v>
      </c>
      <c r="B1094" t="str">
        <f>"1551603918195315"</f>
        <v>1551603918195315</v>
      </c>
      <c r="C1094" t="s">
        <v>40</v>
      </c>
      <c r="D1094">
        <v>5.5441880000000001</v>
      </c>
      <c r="E1094">
        <v>0.55988380000000004</v>
      </c>
      <c r="F1094" t="s">
        <v>49</v>
      </c>
      <c r="G1094">
        <v>-199.59270000000001</v>
      </c>
      <c r="H1094" s="1">
        <v>-1.0015839999999999E-5</v>
      </c>
      <c r="I1094">
        <v>360.96460000000002</v>
      </c>
      <c r="J1094">
        <v>-220.3321</v>
      </c>
      <c r="K1094">
        <v>1.120376</v>
      </c>
      <c r="L1094">
        <v>367.21120000000002</v>
      </c>
      <c r="M1094">
        <v>0.9988475</v>
      </c>
      <c r="N1094">
        <v>-1.4330259999999999E-2</v>
      </c>
      <c r="O1094">
        <v>-4.5810950000000003E-2</v>
      </c>
      <c r="P1094">
        <v>0.97056790000000004</v>
      </c>
      <c r="Q1094">
        <v>0.19023809999999999</v>
      </c>
      <c r="R1094">
        <v>-0.14767449999999999</v>
      </c>
      <c r="S1094">
        <v>2.9877319999999998</v>
      </c>
      <c r="T1094">
        <v>-0.1596601</v>
      </c>
      <c r="U1094">
        <v>-0.89172359999999995</v>
      </c>
      <c r="V1094">
        <v>0.103588899999999</v>
      </c>
      <c r="W1094">
        <v>0.2039376</v>
      </c>
      <c r="X1094">
        <v>0.97348800000000002</v>
      </c>
      <c r="Y1094">
        <v>0.24141860000000001</v>
      </c>
      <c r="Z1094">
        <v>-6.3308319999999998E-3</v>
      </c>
      <c r="AA1094">
        <v>0.9704005</v>
      </c>
      <c r="AB1094">
        <v>31</v>
      </c>
      <c r="AC1094">
        <v>20.7393999999999</v>
      </c>
      <c r="AD1094">
        <v>-1.1203860158399901</v>
      </c>
      <c r="AE1094">
        <v>-6.2465999999999999</v>
      </c>
      <c r="AF1094">
        <v>5.2757354339803504</v>
      </c>
      <c r="AG1094">
        <v>-1.1203860158399901</v>
      </c>
      <c r="AH1094">
        <v>20.9477647983711</v>
      </c>
      <c r="AI1094">
        <v>92.968994049021305</v>
      </c>
      <c r="AJ1094">
        <v>75.863932858834005</v>
      </c>
      <c r="AK1094">
        <v>21.6309384734394</v>
      </c>
      <c r="AL1094">
        <v>78.232686307640193</v>
      </c>
      <c r="AM1094">
        <v>83.926010277893695</v>
      </c>
      <c r="AN1094">
        <v>1.0000000455204801</v>
      </c>
    </row>
    <row r="1095" spans="1:40" x14ac:dyDescent="0.25">
      <c r="A1095" t="str">
        <f>"20190303170518215"</f>
        <v>20190303170518215</v>
      </c>
      <c r="B1095" t="str">
        <f>"1551603918206052"</f>
        <v>1551603918206052</v>
      </c>
      <c r="C1095" t="s">
        <v>40</v>
      </c>
      <c r="D1095">
        <v>5.5380330000000004</v>
      </c>
      <c r="E1095">
        <v>0.56001000000000001</v>
      </c>
      <c r="F1095" t="s">
        <v>49</v>
      </c>
      <c r="G1095">
        <v>-199.48990000000001</v>
      </c>
      <c r="H1095" s="1">
        <v>-9.9844689999999992E-6</v>
      </c>
      <c r="I1095">
        <v>360.92259999999999</v>
      </c>
      <c r="J1095">
        <v>-220.143</v>
      </c>
      <c r="K1095">
        <v>1.120322</v>
      </c>
      <c r="L1095">
        <v>367.20159999999998</v>
      </c>
      <c r="M1095">
        <v>0.99880619999999998</v>
      </c>
      <c r="N1095">
        <v>-1.43292E-2</v>
      </c>
      <c r="O1095">
        <v>-4.669939E-2</v>
      </c>
      <c r="P1095">
        <v>0.97031120000000004</v>
      </c>
      <c r="Q1095">
        <v>0.19028</v>
      </c>
      <c r="R1095">
        <v>-0.1492976</v>
      </c>
      <c r="S1095">
        <v>2.985382</v>
      </c>
      <c r="T1095">
        <v>-0.1604806</v>
      </c>
      <c r="U1095">
        <v>-0.90075680000000002</v>
      </c>
      <c r="V1095">
        <v>0.1043803</v>
      </c>
      <c r="W1095">
        <v>0.2039619</v>
      </c>
      <c r="X1095">
        <v>0.97339830000000005</v>
      </c>
      <c r="Y1095">
        <v>0.24345159999999999</v>
      </c>
      <c r="Z1095">
        <v>-6.3869299999999999E-3</v>
      </c>
      <c r="AA1095">
        <v>0.96989199999999998</v>
      </c>
      <c r="AB1095">
        <v>31</v>
      </c>
      <c r="AC1095">
        <v>20.653099999999899</v>
      </c>
      <c r="AD1095">
        <v>-1.1203319844689901</v>
      </c>
      <c r="AE1095">
        <v>-6.2789999999999901</v>
      </c>
      <c r="AF1095">
        <v>5.2933039908712196</v>
      </c>
      <c r="AG1095">
        <v>-1.1203319844689901</v>
      </c>
      <c r="AH1095">
        <v>20.867609641225801</v>
      </c>
      <c r="AI1095">
        <v>92.978955867497405</v>
      </c>
      <c r="AJ1095">
        <v>75.766492618132304</v>
      </c>
      <c r="AK1095">
        <v>21.557628418584802</v>
      </c>
      <c r="AL1095">
        <v>78.231263310775702</v>
      </c>
      <c r="AM1095">
        <v>83.879397271675998</v>
      </c>
      <c r="AN1095">
        <v>0.99999997706129395</v>
      </c>
    </row>
    <row r="1096" spans="1:40" x14ac:dyDescent="0.25">
      <c r="A1096" t="str">
        <f>"20190303170518229"</f>
        <v>20190303170518229</v>
      </c>
      <c r="B1096" t="str">
        <f>"1551603918215811"</f>
        <v>1551603918215811</v>
      </c>
      <c r="C1096" t="s">
        <v>40</v>
      </c>
      <c r="D1096">
        <v>5.5528919999999999</v>
      </c>
      <c r="E1096">
        <v>0.56009390000000003</v>
      </c>
      <c r="F1096" t="s">
        <v>49</v>
      </c>
      <c r="G1096">
        <v>-199.2364</v>
      </c>
      <c r="H1096" s="1">
        <v>-9.9036510000000007E-6</v>
      </c>
      <c r="I1096">
        <v>360.84370000000001</v>
      </c>
      <c r="J1096">
        <v>-219.95660000000001</v>
      </c>
      <c r="K1096">
        <v>1.120269</v>
      </c>
      <c r="L1096">
        <v>367.19200000000001</v>
      </c>
      <c r="M1096">
        <v>0.99876299999999996</v>
      </c>
      <c r="N1096">
        <v>-1.4328240000000001E-2</v>
      </c>
      <c r="O1096">
        <v>-4.7616029999999997E-2</v>
      </c>
      <c r="P1096">
        <v>0.96997120000000003</v>
      </c>
      <c r="Q1096">
        <v>0.19038730000000001</v>
      </c>
      <c r="R1096">
        <v>-0.15135570000000001</v>
      </c>
      <c r="S1096">
        <v>2.9835210000000001</v>
      </c>
      <c r="T1096">
        <v>-0.15987939999999901</v>
      </c>
      <c r="U1096">
        <v>-0.90731810000000002</v>
      </c>
      <c r="V1096">
        <v>0.10558430000000001</v>
      </c>
      <c r="W1096">
        <v>0.2040487</v>
      </c>
      <c r="X1096">
        <v>0.97325030000000001</v>
      </c>
      <c r="Y1096">
        <v>0.24468309999999999</v>
      </c>
      <c r="Z1096">
        <v>-6.3798830000000003E-3</v>
      </c>
      <c r="AA1096">
        <v>0.9695821</v>
      </c>
      <c r="AB1096">
        <v>31</v>
      </c>
      <c r="AC1096">
        <v>20.720199999999998</v>
      </c>
      <c r="AD1096">
        <v>-1.1202789036509999</v>
      </c>
      <c r="AE1096">
        <v>-6.3482999999999299</v>
      </c>
      <c r="AF1096">
        <v>5.3401120072256001</v>
      </c>
      <c r="AG1096">
        <v>-1.1202789036509999</v>
      </c>
      <c r="AH1096">
        <v>20.9430365760333</v>
      </c>
      <c r="AI1096">
        <v>92.967170832151496</v>
      </c>
      <c r="AJ1096">
        <v>75.695378868738104</v>
      </c>
      <c r="AK1096">
        <v>21.642148740288</v>
      </c>
      <c r="AL1096">
        <v>78.226183850292898</v>
      </c>
      <c r="AM1096">
        <v>83.808408695424504</v>
      </c>
      <c r="AN1096">
        <v>1.00000003141413</v>
      </c>
    </row>
    <row r="1097" spans="1:40" x14ac:dyDescent="0.25">
      <c r="A1097" t="str">
        <f>"20190303170518244"</f>
        <v>20190303170518244</v>
      </c>
      <c r="B1097" t="str">
        <f>"1551603918235333"</f>
        <v>1551603918235333</v>
      </c>
      <c r="C1097" t="s">
        <v>40</v>
      </c>
      <c r="D1097">
        <v>5.5586029999999997</v>
      </c>
      <c r="E1097">
        <v>0.56020409999999998</v>
      </c>
      <c r="F1097" t="s">
        <v>49</v>
      </c>
      <c r="G1097">
        <v>-199.0762</v>
      </c>
      <c r="H1097" s="1">
        <v>-9.8535059999999995E-6</v>
      </c>
      <c r="I1097">
        <v>360.78719999999998</v>
      </c>
      <c r="J1097">
        <v>-219.75540000000001</v>
      </c>
      <c r="K1097">
        <v>1.120201</v>
      </c>
      <c r="L1097">
        <v>367.1814</v>
      </c>
      <c r="M1097">
        <v>0.99871279999999996</v>
      </c>
      <c r="N1097">
        <v>-1.4327299999999999E-2</v>
      </c>
      <c r="O1097">
        <v>-4.8657190000000003E-2</v>
      </c>
      <c r="P1097">
        <v>0.96955040000000003</v>
      </c>
      <c r="Q1097">
        <v>0.19067980000000001</v>
      </c>
      <c r="R1097">
        <v>-0.15366659999999999</v>
      </c>
      <c r="S1097">
        <v>2.9815670000000001</v>
      </c>
      <c r="T1097">
        <v>-0.15996729999999901</v>
      </c>
      <c r="U1097">
        <v>-0.9145508</v>
      </c>
      <c r="V1097">
        <v>0.1069278</v>
      </c>
      <c r="W1097">
        <v>0.20431659999999999</v>
      </c>
      <c r="X1097">
        <v>0.97304740000000001</v>
      </c>
      <c r="Y1097">
        <v>0.2459982</v>
      </c>
      <c r="Z1097">
        <v>-6.3878310000000001E-3</v>
      </c>
      <c r="AA1097">
        <v>0.96924920000000003</v>
      </c>
      <c r="AB1097">
        <v>31</v>
      </c>
      <c r="AC1097">
        <v>20.679200000000002</v>
      </c>
      <c r="AD1097">
        <v>-1.120210853506</v>
      </c>
      <c r="AE1097">
        <v>-6.3942000000000103</v>
      </c>
      <c r="AF1097">
        <v>5.36595753112121</v>
      </c>
      <c r="AG1097">
        <v>-1.120210853506</v>
      </c>
      <c r="AH1097">
        <v>20.9098519510563</v>
      </c>
      <c r="AI1097">
        <v>92.970522907410597</v>
      </c>
      <c r="AJ1097">
        <v>75.607146553574196</v>
      </c>
      <c r="AK1097">
        <v>21.616435441515399</v>
      </c>
      <c r="AL1097">
        <v>78.210504024059503</v>
      </c>
      <c r="AM1097">
        <v>83.728950809478704</v>
      </c>
      <c r="AN1097">
        <v>1.00000003504757</v>
      </c>
    </row>
    <row r="1098" spans="1:40" x14ac:dyDescent="0.25">
      <c r="A1098" t="str">
        <f>"20190303170518257"</f>
        <v>20190303170518257</v>
      </c>
      <c r="B1098" t="str">
        <f>"1551603918246068"</f>
        <v>1551603918246068</v>
      </c>
      <c r="C1098" t="s">
        <v>40</v>
      </c>
      <c r="D1098">
        <v>5.5597059999999896</v>
      </c>
      <c r="E1098">
        <v>0.56300969999999995</v>
      </c>
      <c r="F1098" t="s">
        <v>49</v>
      </c>
      <c r="G1098">
        <v>-198.84139999999999</v>
      </c>
      <c r="H1098" s="1">
        <v>-9.7801109999999998E-6</v>
      </c>
      <c r="I1098">
        <v>360.70830000000001</v>
      </c>
      <c r="J1098">
        <v>-219.55869999999999</v>
      </c>
      <c r="K1098">
        <v>1.120134</v>
      </c>
      <c r="L1098">
        <v>367.17059999999998</v>
      </c>
      <c r="M1098">
        <v>0.99865879999999996</v>
      </c>
      <c r="N1098">
        <v>-1.4326739999999999E-2</v>
      </c>
      <c r="O1098">
        <v>-4.9753369999999998E-2</v>
      </c>
      <c r="P1098">
        <v>0.96889740000000002</v>
      </c>
      <c r="Q1098">
        <v>0.19062100000000001</v>
      </c>
      <c r="R1098">
        <v>-0.15780179999999999</v>
      </c>
      <c r="S1098">
        <v>2.9794619999999998</v>
      </c>
      <c r="T1098">
        <v>-0.1595877</v>
      </c>
      <c r="U1098">
        <v>-0.92218020000000001</v>
      </c>
      <c r="V1098">
        <v>0.110052</v>
      </c>
      <c r="W1098">
        <v>0.20422560000000001</v>
      </c>
      <c r="X1098">
        <v>0.97271810000000003</v>
      </c>
      <c r="Y1098">
        <v>0.24739259999999999</v>
      </c>
      <c r="Z1098">
        <v>-6.3851810000000002E-3</v>
      </c>
      <c r="AA1098">
        <v>0.96889429999999999</v>
      </c>
      <c r="AB1098">
        <v>31</v>
      </c>
      <c r="AC1098">
        <v>20.717299999999899</v>
      </c>
      <c r="AD1098">
        <v>-1.1201437801109999</v>
      </c>
      <c r="AE1098">
        <v>-6.4622999999999697</v>
      </c>
      <c r="AF1098">
        <v>5.4090233823147997</v>
      </c>
      <c r="AG1098">
        <v>-1.1201437801109999</v>
      </c>
      <c r="AH1098">
        <v>20.9573580204652</v>
      </c>
      <c r="AI1098">
        <v>92.962572429823496</v>
      </c>
      <c r="AJ1098">
        <v>75.527981058474893</v>
      </c>
      <c r="AK1098">
        <v>21.673096484732099</v>
      </c>
      <c r="AL1098">
        <v>78.215830069560496</v>
      </c>
      <c r="AM1098">
        <v>83.545081953884306</v>
      </c>
      <c r="AN1098">
        <v>1.00000002023348</v>
      </c>
    </row>
    <row r="1099" spans="1:40" x14ac:dyDescent="0.25">
      <c r="A1099" t="str">
        <f>"20190303170518280"</f>
        <v>20190303170518280</v>
      </c>
      <c r="B1099" t="str">
        <f>"1551603918265588"</f>
        <v>1551603918265588</v>
      </c>
      <c r="C1099" t="s">
        <v>40</v>
      </c>
      <c r="D1099">
        <v>5.5688969999999998</v>
      </c>
      <c r="E1099">
        <v>0.5630231</v>
      </c>
      <c r="F1099" t="s">
        <v>49</v>
      </c>
      <c r="G1099">
        <v>-200.68620000000001</v>
      </c>
      <c r="H1099" s="1">
        <v>-2.6644479999999999E-6</v>
      </c>
      <c r="I1099">
        <v>361.10860000000002</v>
      </c>
      <c r="J1099">
        <v>-219.25790000000001</v>
      </c>
      <c r="K1099">
        <v>1.120036</v>
      </c>
      <c r="L1099">
        <v>367.15379999999999</v>
      </c>
      <c r="M1099">
        <v>0.99856929999999999</v>
      </c>
      <c r="N1099">
        <v>-1.432605E-2</v>
      </c>
      <c r="O1099">
        <v>-5.1517500000000001E-2</v>
      </c>
      <c r="P1099">
        <v>0.9682752</v>
      </c>
      <c r="Q1099">
        <v>0.1892663</v>
      </c>
      <c r="R1099">
        <v>-0.16316</v>
      </c>
      <c r="S1099">
        <v>2.9753880000000001</v>
      </c>
      <c r="T1099">
        <v>-0.17659720000000001</v>
      </c>
      <c r="U1099">
        <v>-0.95571899999999999</v>
      </c>
      <c r="V1099">
        <v>0.1137571</v>
      </c>
      <c r="W1099">
        <v>0.20282829999999999</v>
      </c>
      <c r="X1099">
        <v>0.97258420000000001</v>
      </c>
      <c r="Y1099">
        <v>0.25589210000000001</v>
      </c>
      <c r="Z1099">
        <v>-7.0294600000000004E-3</v>
      </c>
      <c r="AA1099">
        <v>0.96667979999999998</v>
      </c>
      <c r="AB1099">
        <v>31</v>
      </c>
      <c r="AC1099">
        <v>18.5717</v>
      </c>
      <c r="AD1099">
        <v>-1.120038664448</v>
      </c>
      <c r="AE1099">
        <v>-6.0451999999999604</v>
      </c>
      <c r="AF1099">
        <v>5.0636522146101504</v>
      </c>
      <c r="AG1099">
        <v>-1.120038664448</v>
      </c>
      <c r="AH1099">
        <v>18.796682149727999</v>
      </c>
      <c r="AI1099">
        <v>93.292932352054706</v>
      </c>
      <c r="AJ1099">
        <v>74.922965719019899</v>
      </c>
      <c r="AK1099">
        <v>19.4989825426428</v>
      </c>
      <c r="AL1099">
        <v>78.297600884562698</v>
      </c>
      <c r="AM1099">
        <v>83.328782201940896</v>
      </c>
      <c r="AN1099">
        <v>1.0000000115854699</v>
      </c>
    </row>
    <row r="1100" spans="1:40" x14ac:dyDescent="0.25">
      <c r="A1100" t="str">
        <f>"20190303170518302"</f>
        <v>20190303170518302</v>
      </c>
      <c r="B1100" t="str">
        <f>"1551603918295843"</f>
        <v>1551603918295843</v>
      </c>
      <c r="C1100" t="s">
        <v>40</v>
      </c>
      <c r="D1100">
        <v>5.5843030000000002</v>
      </c>
      <c r="E1100">
        <v>0.56286420000000004</v>
      </c>
      <c r="F1100" t="s">
        <v>49</v>
      </c>
      <c r="G1100">
        <v>-200.42930000000001</v>
      </c>
      <c r="H1100" s="1">
        <v>-2.544695E-6</v>
      </c>
      <c r="I1100">
        <v>360.98719999999997</v>
      </c>
      <c r="J1100">
        <v>-218.95410000000001</v>
      </c>
      <c r="K1100">
        <v>1.1199269999999999</v>
      </c>
      <c r="L1100">
        <v>367.1361</v>
      </c>
      <c r="M1100">
        <v>0.99846829999999998</v>
      </c>
      <c r="N1100">
        <v>-1.432551E-2</v>
      </c>
      <c r="O1100">
        <v>-5.3440090000000003E-2</v>
      </c>
      <c r="P1100">
        <v>0.96751209999999999</v>
      </c>
      <c r="Q1100">
        <v>0.18844340000000001</v>
      </c>
      <c r="R1100">
        <v>-0.16855139999999999</v>
      </c>
      <c r="S1100">
        <v>2.9689640000000002</v>
      </c>
      <c r="T1100">
        <v>-0.17661180000000001</v>
      </c>
      <c r="U1100">
        <v>-0.97238159999999896</v>
      </c>
      <c r="V1100">
        <v>0.11735279999999999</v>
      </c>
      <c r="W1100">
        <v>0.20195879999999999</v>
      </c>
      <c r="X1100">
        <v>0.97233789999999998</v>
      </c>
      <c r="Y1100">
        <v>0.25953939999999998</v>
      </c>
      <c r="Z1100">
        <v>-7.0848880000000001E-3</v>
      </c>
      <c r="AA1100">
        <v>0.96570650000000002</v>
      </c>
      <c r="AB1100">
        <v>31</v>
      </c>
      <c r="AC1100">
        <v>18.524799999999999</v>
      </c>
      <c r="AD1100">
        <v>-1.1199295446949999</v>
      </c>
      <c r="AE1100">
        <v>-6.1489000000000198</v>
      </c>
      <c r="AF1100">
        <v>5.1331440099272001</v>
      </c>
      <c r="AG1100">
        <v>-1.1199295446949999</v>
      </c>
      <c r="AH1100">
        <v>18.765176999986799</v>
      </c>
      <c r="AI1100">
        <v>93.294672314283901</v>
      </c>
      <c r="AJ1100">
        <v>74.701214423287695</v>
      </c>
      <c r="AK1100">
        <v>19.4867975165897</v>
      </c>
      <c r="AL1100">
        <v>78.3484724196217</v>
      </c>
      <c r="AM1100">
        <v>83.118179135785596</v>
      </c>
      <c r="AN1100">
        <v>1.0000000141708401</v>
      </c>
    </row>
    <row r="1101" spans="1:40" x14ac:dyDescent="0.25">
      <c r="A1101" t="str">
        <f>"20190303170518325"</f>
        <v>20190303170518325</v>
      </c>
      <c r="B1101" t="str">
        <f>"1551603918315363"</f>
        <v>1551603918315363</v>
      </c>
      <c r="C1101" t="s">
        <v>40</v>
      </c>
      <c r="D1101">
        <v>5.5593899999999996</v>
      </c>
      <c r="E1101">
        <v>0.56256099999999998</v>
      </c>
      <c r="F1101" t="s">
        <v>49</v>
      </c>
      <c r="G1101">
        <v>-200.29660000000001</v>
      </c>
      <c r="H1101" s="1">
        <v>-2.485563E-6</v>
      </c>
      <c r="I1101">
        <v>360.91419999999999</v>
      </c>
      <c r="J1101">
        <v>-218.6525</v>
      </c>
      <c r="K1101">
        <v>1.1198079999999999</v>
      </c>
      <c r="L1101">
        <v>367.11779999999999</v>
      </c>
      <c r="M1101">
        <v>0.9983554</v>
      </c>
      <c r="N1101">
        <v>-1.43255E-2</v>
      </c>
      <c r="O1101">
        <v>-5.5511060000000001E-2</v>
      </c>
      <c r="P1101">
        <v>0.96663679999999996</v>
      </c>
      <c r="Q1101">
        <v>0.18802840000000001</v>
      </c>
      <c r="R1101">
        <v>-0.1739501</v>
      </c>
      <c r="S1101">
        <v>2.963257</v>
      </c>
      <c r="T1101">
        <v>-0.17787130000000001</v>
      </c>
      <c r="U1101">
        <v>-0.98818969999999995</v>
      </c>
      <c r="V1101">
        <v>0.1208234</v>
      </c>
      <c r="W1101">
        <v>0.2014927</v>
      </c>
      <c r="X1101">
        <v>0.97200949999999997</v>
      </c>
      <c r="Y1101">
        <v>0.2627178</v>
      </c>
      <c r="Z1101">
        <v>-7.1470250000000004E-3</v>
      </c>
      <c r="AA1101">
        <v>0.96484630000000005</v>
      </c>
      <c r="AB1101">
        <v>31</v>
      </c>
      <c r="AC1101">
        <v>18.355899999999899</v>
      </c>
      <c r="AD1101">
        <v>-1.119810485563</v>
      </c>
      <c r="AE1101">
        <v>-6.20359999999999</v>
      </c>
      <c r="AF1101">
        <v>5.1577449038789798</v>
      </c>
      <c r="AG1101">
        <v>-1.119810485563</v>
      </c>
      <c r="AH1101">
        <v>18.609834602713001</v>
      </c>
      <c r="AI1101">
        <v>93.318703395238401</v>
      </c>
      <c r="AJ1101">
        <v>74.509203233436395</v>
      </c>
      <c r="AK1101">
        <v>19.343791044089599</v>
      </c>
      <c r="AL1101">
        <v>78.375738764387506</v>
      </c>
      <c r="AM1101">
        <v>82.9143250230332</v>
      </c>
      <c r="AN1101">
        <v>1.00000003511554</v>
      </c>
    </row>
    <row r="1102" spans="1:40" x14ac:dyDescent="0.25">
      <c r="A1102" t="str">
        <f>"20190303170518338"</f>
        <v>20190303170518338</v>
      </c>
      <c r="B1102" t="str">
        <f>"1551603918326100"</f>
        <v>1551603918326100</v>
      </c>
      <c r="C1102" t="s">
        <v>40</v>
      </c>
      <c r="D1102">
        <v>5.5562699999999996</v>
      </c>
      <c r="E1102">
        <v>0.56243849999999995</v>
      </c>
      <c r="F1102" t="s">
        <v>49</v>
      </c>
      <c r="G1102">
        <v>-200.06630000000001</v>
      </c>
      <c r="H1102" s="1">
        <v>-2.3742020000000001E-6</v>
      </c>
      <c r="I1102">
        <v>360.82049999999998</v>
      </c>
      <c r="J1102">
        <v>-218.4504</v>
      </c>
      <c r="K1102">
        <v>1.1197250000000001</v>
      </c>
      <c r="L1102">
        <v>367.10509999999999</v>
      </c>
      <c r="M1102">
        <v>0.99827180000000004</v>
      </c>
      <c r="N1102">
        <v>-1.432601E-2</v>
      </c>
      <c r="O1102">
        <v>-5.6992830000000001E-2</v>
      </c>
      <c r="P1102">
        <v>0.9660765</v>
      </c>
      <c r="Q1102">
        <v>0.1881999</v>
      </c>
      <c r="R1102">
        <v>-0.17685329999999999</v>
      </c>
      <c r="S1102">
        <v>2.95784</v>
      </c>
      <c r="T1102">
        <v>-0.17820849999999999</v>
      </c>
      <c r="U1102">
        <v>-1.002167</v>
      </c>
      <c r="V1102">
        <v>0.122347499999999</v>
      </c>
      <c r="W1102">
        <v>0.201631</v>
      </c>
      <c r="X1102">
        <v>0.97179009999999999</v>
      </c>
      <c r="Y1102">
        <v>0.26590279999999999</v>
      </c>
      <c r="Z1102">
        <v>-7.2122059999999997E-3</v>
      </c>
      <c r="AA1102">
        <v>0.96397290000000002</v>
      </c>
      <c r="AB1102">
        <v>30</v>
      </c>
      <c r="AC1102">
        <v>18.384099999999901</v>
      </c>
      <c r="AD1102">
        <v>-1.119727374202</v>
      </c>
      <c r="AE1102">
        <v>-6.28460000000001</v>
      </c>
      <c r="AF1102">
        <v>5.2092107690974396</v>
      </c>
      <c r="AG1102">
        <v>-1.119727374202</v>
      </c>
      <c r="AH1102">
        <v>18.650477549211899</v>
      </c>
      <c r="AI1102">
        <v>93.309403631292199</v>
      </c>
      <c r="AJ1102">
        <v>74.394574270051393</v>
      </c>
      <c r="AK1102">
        <v>19.396648654937099</v>
      </c>
      <c r="AL1102">
        <v>78.367648121721402</v>
      </c>
      <c r="AM1102">
        <v>82.824267114781193</v>
      </c>
      <c r="AN1102">
        <v>0.99999998468762896</v>
      </c>
    </row>
    <row r="1103" spans="1:40" x14ac:dyDescent="0.25">
      <c r="A1103" t="str">
        <f>"20190303170518352"</f>
        <v>20190303170518352</v>
      </c>
      <c r="B1103" t="str">
        <f>"1551603918345619"</f>
        <v>1551603918345619</v>
      </c>
      <c r="C1103" t="s">
        <v>40</v>
      </c>
      <c r="D1103">
        <v>5.5819830000000001</v>
      </c>
      <c r="E1103">
        <v>0.5622587</v>
      </c>
      <c r="F1103" t="s">
        <v>49</v>
      </c>
      <c r="G1103">
        <v>-199.8014</v>
      </c>
      <c r="H1103" s="1">
        <v>-1.012541E-5</v>
      </c>
      <c r="I1103">
        <v>360.72989999999999</v>
      </c>
      <c r="J1103">
        <v>-218.27350000000001</v>
      </c>
      <c r="K1103">
        <v>1.1196569999999999</v>
      </c>
      <c r="L1103">
        <v>367.09359999999998</v>
      </c>
      <c r="M1103">
        <v>0.99819420000000003</v>
      </c>
      <c r="N1103">
        <v>-1.432661E-2</v>
      </c>
      <c r="O1103">
        <v>-5.833675E-2</v>
      </c>
      <c r="P1103">
        <v>0.96557990000000005</v>
      </c>
      <c r="Q1103">
        <v>0.18800140000000001</v>
      </c>
      <c r="R1103">
        <v>-0.17975279999999999</v>
      </c>
      <c r="S1103">
        <v>2.954971</v>
      </c>
      <c r="T1103">
        <v>-0.17742369999999999</v>
      </c>
      <c r="U1103">
        <v>-1.010162</v>
      </c>
      <c r="V1103">
        <v>0.1239914</v>
      </c>
      <c r="W1103">
        <v>0.20140350000000001</v>
      </c>
      <c r="X1103">
        <v>0.97162890000000002</v>
      </c>
      <c r="Y1103">
        <v>0.26722849999999998</v>
      </c>
      <c r="Z1103">
        <v>-7.1848349999999997E-3</v>
      </c>
      <c r="AA1103">
        <v>0.96360639999999997</v>
      </c>
      <c r="AB1103">
        <v>30</v>
      </c>
      <c r="AC1103">
        <v>18.472100000000001</v>
      </c>
      <c r="AD1103">
        <v>-1.1196671254099999</v>
      </c>
      <c r="AE1103">
        <v>-6.3636999999999899</v>
      </c>
      <c r="AF1103">
        <v>5.2578790319829096</v>
      </c>
      <c r="AG1103">
        <v>-1.1196671254099999</v>
      </c>
      <c r="AH1103">
        <v>18.750329420596699</v>
      </c>
      <c r="AI1103">
        <v>93.290697559141094</v>
      </c>
      <c r="AJ1103">
        <v>74.335691501097202</v>
      </c>
      <c r="AK1103">
        <v>19.505737611471801</v>
      </c>
      <c r="AL1103">
        <v>78.380955845354507</v>
      </c>
      <c r="AM1103">
        <v>82.727683383571502</v>
      </c>
      <c r="AN1103">
        <v>0.99999997820070896</v>
      </c>
    </row>
    <row r="1104" spans="1:40" x14ac:dyDescent="0.25">
      <c r="A1104" t="str">
        <f>"20190303170518368"</f>
        <v>20190303170518368</v>
      </c>
      <c r="B1104" t="str">
        <f>"1551603918355379"</f>
        <v>1551603918355379</v>
      </c>
      <c r="C1104" t="s">
        <v>40</v>
      </c>
      <c r="D1104">
        <v>5.5764019999999999</v>
      </c>
      <c r="E1104">
        <v>0.56214519999999901</v>
      </c>
      <c r="F1104" t="s">
        <v>49</v>
      </c>
      <c r="G1104">
        <v>-199.5985</v>
      </c>
      <c r="H1104" s="1">
        <v>-1.0062189999999999E-5</v>
      </c>
      <c r="I1104">
        <v>360.65649999999999</v>
      </c>
      <c r="J1104">
        <v>-218.0591</v>
      </c>
      <c r="K1104">
        <v>1.1195679999999999</v>
      </c>
      <c r="L1104">
        <v>367.07940000000002</v>
      </c>
      <c r="M1104">
        <v>0.99809460000000005</v>
      </c>
      <c r="N1104">
        <v>-1.4327319999999999E-2</v>
      </c>
      <c r="O1104">
        <v>-6.0018200000000001E-2</v>
      </c>
      <c r="P1104">
        <v>0.9648118</v>
      </c>
      <c r="Q1104">
        <v>0.18746660000000001</v>
      </c>
      <c r="R1104">
        <v>-0.18437700000000001</v>
      </c>
      <c r="S1104">
        <v>2.9519500000000001</v>
      </c>
      <c r="T1104">
        <v>-0.17698539999999999</v>
      </c>
      <c r="U1104">
        <v>-1.017517</v>
      </c>
      <c r="V1104">
        <v>0.12704879999999999</v>
      </c>
      <c r="W1104">
        <v>0.2008276</v>
      </c>
      <c r="X1104">
        <v>0.97135309999999997</v>
      </c>
      <c r="Y1104">
        <v>0.26805620000000002</v>
      </c>
      <c r="Z1104">
        <v>-7.1336460000000004E-3</v>
      </c>
      <c r="AA1104">
        <v>0.96337689999999998</v>
      </c>
      <c r="AB1104">
        <v>30</v>
      </c>
      <c r="AC1104">
        <v>18.460599999999999</v>
      </c>
      <c r="AD1104">
        <v>-1.11957806219</v>
      </c>
      <c r="AE1104">
        <v>-6.4229000000000198</v>
      </c>
      <c r="AF1104">
        <v>5.2858909725842302</v>
      </c>
      <c r="AG1104">
        <v>-1.11957806219</v>
      </c>
      <c r="AH1104">
        <v>18.7513233376134</v>
      </c>
      <c r="AI1104">
        <v>93.288997424518797</v>
      </c>
      <c r="AJ1104">
        <v>74.257158832049996</v>
      </c>
      <c r="AK1104">
        <v>19.5142569759422</v>
      </c>
      <c r="AL1104">
        <v>78.414640816577105</v>
      </c>
      <c r="AM1104">
        <v>82.548260361825697</v>
      </c>
      <c r="AN1104">
        <v>0.99999998369140397</v>
      </c>
    </row>
    <row r="1105" spans="1:40" x14ac:dyDescent="0.25">
      <c r="A1105" t="str">
        <f>"20190303170518381"</f>
        <v>20190303170518381</v>
      </c>
      <c r="B1105" t="str">
        <f>"1551603918375875"</f>
        <v>1551603918375875</v>
      </c>
      <c r="C1105" t="s">
        <v>40</v>
      </c>
      <c r="D1105">
        <v>5.5614720000000002</v>
      </c>
      <c r="E1105">
        <v>0.56201759999999901</v>
      </c>
      <c r="F1105" t="s">
        <v>49</v>
      </c>
      <c r="G1105">
        <v>-199.57470000000001</v>
      </c>
      <c r="H1105" s="1">
        <v>-1.005958E-5</v>
      </c>
      <c r="I1105">
        <v>360.61439999999999</v>
      </c>
      <c r="J1105">
        <v>-217.8775</v>
      </c>
      <c r="K1105">
        <v>1.1194999999999999</v>
      </c>
      <c r="L1105">
        <v>367.06700000000001</v>
      </c>
      <c r="M1105">
        <v>0.99800449999999996</v>
      </c>
      <c r="N1105">
        <v>-1.432783E-2</v>
      </c>
      <c r="O1105">
        <v>-6.1497320000000001E-2</v>
      </c>
      <c r="P1105">
        <v>0.96441589999999999</v>
      </c>
      <c r="Q1105">
        <v>0.1865415</v>
      </c>
      <c r="R1105">
        <v>-0.18736130000000001</v>
      </c>
      <c r="S1105">
        <v>2.9471129999999999</v>
      </c>
      <c r="T1105">
        <v>-0.1785032</v>
      </c>
      <c r="U1105">
        <v>-1.030762</v>
      </c>
      <c r="V1105">
        <v>0.1286368</v>
      </c>
      <c r="W1105">
        <v>0.1998741</v>
      </c>
      <c r="X1105">
        <v>0.9713408</v>
      </c>
      <c r="Y1105">
        <v>0.27096530000000002</v>
      </c>
      <c r="Z1105">
        <v>-7.2166610000000001E-3</v>
      </c>
      <c r="AA1105">
        <v>0.96256209999999998</v>
      </c>
      <c r="AB1105">
        <v>30</v>
      </c>
      <c r="AC1105">
        <v>18.302799999999898</v>
      </c>
      <c r="AD1105">
        <v>-1.1195100595799901</v>
      </c>
      <c r="AE1105">
        <v>-6.4525999999999604</v>
      </c>
      <c r="AF1105">
        <v>5.29706873250713</v>
      </c>
      <c r="AG1105">
        <v>-1.1195100595799901</v>
      </c>
      <c r="AH1105">
        <v>18.6031031932629</v>
      </c>
      <c r="AI1105">
        <v>93.312474770078296</v>
      </c>
      <c r="AJ1105">
        <v>74.106166618712805</v>
      </c>
      <c r="AK1105">
        <v>19.374924215325098</v>
      </c>
      <c r="AL1105">
        <v>78.470403344176304</v>
      </c>
      <c r="AM1105">
        <v>82.456091837895301</v>
      </c>
      <c r="AN1105">
        <v>1.0000000159548399</v>
      </c>
    </row>
    <row r="1106" spans="1:40" x14ac:dyDescent="0.25">
      <c r="A1106" t="str">
        <f>"20190303170518393"</f>
        <v>20190303170518393</v>
      </c>
      <c r="B1106" t="str">
        <f>"1551603918385635"</f>
        <v>1551603918385635</v>
      </c>
      <c r="C1106" t="s">
        <v>40</v>
      </c>
      <c r="D1106">
        <v>5.5536890000000003</v>
      </c>
      <c r="E1106">
        <v>0.56191809999999998</v>
      </c>
      <c r="F1106" t="s">
        <v>49</v>
      </c>
      <c r="G1106">
        <v>-199.77459999999999</v>
      </c>
      <c r="H1106" s="1">
        <v>-1.0123239999999999E-5</v>
      </c>
      <c r="I1106">
        <v>360.6773</v>
      </c>
      <c r="J1106">
        <v>-217.72120000000001</v>
      </c>
      <c r="K1106">
        <v>1.11944</v>
      </c>
      <c r="L1106">
        <v>367.05610000000001</v>
      </c>
      <c r="M1106">
        <v>0.99792159999999996</v>
      </c>
      <c r="N1106">
        <v>-1.43284E-2</v>
      </c>
      <c r="O1106">
        <v>-6.2826590000000002E-2</v>
      </c>
      <c r="P1106">
        <v>0.9639356</v>
      </c>
      <c r="Q1106">
        <v>0.1859334</v>
      </c>
      <c r="R1106">
        <v>-0.1904131</v>
      </c>
      <c r="S1106">
        <v>2.9440309999999998</v>
      </c>
      <c r="T1106">
        <v>-0.18206320000000001</v>
      </c>
      <c r="U1106">
        <v>-1.0391539999999999</v>
      </c>
      <c r="V1106">
        <v>0.13043940000000001</v>
      </c>
      <c r="W1106">
        <v>0.19923859999999999</v>
      </c>
      <c r="X1106">
        <v>0.97123090000000001</v>
      </c>
      <c r="Y1106">
        <v>0.272420099999999</v>
      </c>
      <c r="Z1106">
        <v>-7.3003909999999998E-3</v>
      </c>
      <c r="AA1106">
        <v>0.96215070000000003</v>
      </c>
      <c r="AB1106">
        <v>30</v>
      </c>
      <c r="AC1106">
        <v>17.9466</v>
      </c>
      <c r="AD1106">
        <v>-1.11945012324</v>
      </c>
      <c r="AE1106">
        <v>-6.3788000000000098</v>
      </c>
      <c r="AF1106">
        <v>5.2205223630451796</v>
      </c>
      <c r="AG1106">
        <v>-1.11945012324</v>
      </c>
      <c r="AH1106">
        <v>18.248897982008199</v>
      </c>
      <c r="AI1106">
        <v>93.375257021531496</v>
      </c>
      <c r="AJ1106">
        <v>74.035588654758101</v>
      </c>
      <c r="AK1106">
        <v>19.013923842258901</v>
      </c>
      <c r="AL1106">
        <v>78.507561548607299</v>
      </c>
      <c r="AM1106">
        <v>82.350765991678799</v>
      </c>
      <c r="AN1106">
        <v>0.99999995895856397</v>
      </c>
    </row>
    <row r="1107" spans="1:40" x14ac:dyDescent="0.25">
      <c r="A1107" t="str">
        <f>"20190303170518405"</f>
        <v>20190303170518405</v>
      </c>
      <c r="B1107" t="str">
        <f>"1551603918395395"</f>
        <v>1551603918395395</v>
      </c>
      <c r="C1107" t="s">
        <v>40</v>
      </c>
      <c r="D1107">
        <v>5.5516009999999998</v>
      </c>
      <c r="E1107">
        <v>0.56185589999999996</v>
      </c>
      <c r="F1107" t="s">
        <v>49</v>
      </c>
      <c r="G1107">
        <v>-199.8526</v>
      </c>
      <c r="H1107" s="1">
        <v>-1.014967E-5</v>
      </c>
      <c r="I1107">
        <v>360.69060000000002</v>
      </c>
      <c r="J1107">
        <v>-217.54839999999999</v>
      </c>
      <c r="K1107">
        <v>1.1193770000000001</v>
      </c>
      <c r="L1107">
        <v>367.0437</v>
      </c>
      <c r="M1107">
        <v>0.99782630000000005</v>
      </c>
      <c r="N1107">
        <v>-1.432899E-2</v>
      </c>
      <c r="O1107">
        <v>-6.4322290000000004E-2</v>
      </c>
      <c r="P1107">
        <v>0.96341350000000003</v>
      </c>
      <c r="Q1107">
        <v>0.18533340000000001</v>
      </c>
      <c r="R1107">
        <v>-0.1936136</v>
      </c>
      <c r="S1107">
        <v>2.9408259999999999</v>
      </c>
      <c r="T1107">
        <v>-0.1842395</v>
      </c>
      <c r="U1107">
        <v>-1.0476379999999901</v>
      </c>
      <c r="V1107">
        <v>0.13223399999999999</v>
      </c>
      <c r="W1107">
        <v>0.19860920000000001</v>
      </c>
      <c r="X1107">
        <v>0.97111720000000001</v>
      </c>
      <c r="Y1107">
        <v>0.27376</v>
      </c>
      <c r="Z1107">
        <v>-7.3376600000000002E-3</v>
      </c>
      <c r="AA1107">
        <v>0.96177009999999996</v>
      </c>
      <c r="AB1107">
        <v>30</v>
      </c>
      <c r="AC1107">
        <v>17.695799999999899</v>
      </c>
      <c r="AD1107">
        <v>-1.1193871496700001</v>
      </c>
      <c r="AE1107">
        <v>-6.35309999999998</v>
      </c>
      <c r="AF1107">
        <v>5.1832174707535099</v>
      </c>
      <c r="AG1107">
        <v>-1.1193871496700001</v>
      </c>
      <c r="AH1107">
        <v>18.004018453379398</v>
      </c>
      <c r="AI1107">
        <v>93.419219350136501</v>
      </c>
      <c r="AJ1107">
        <v>73.9393001412449</v>
      </c>
      <c r="AK1107">
        <v>18.768682729738799</v>
      </c>
      <c r="AL1107">
        <v>78.544359743904906</v>
      </c>
      <c r="AM1107">
        <v>82.245901737301295</v>
      </c>
      <c r="AN1107">
        <v>1.00000003060823</v>
      </c>
    </row>
    <row r="1108" spans="1:40" x14ac:dyDescent="0.25">
      <c r="A1108" t="str">
        <f>"20190303170518417"</f>
        <v>20190303170518417</v>
      </c>
      <c r="B1108" t="str">
        <f>"1551603918405155"</f>
        <v>1551603918405155</v>
      </c>
      <c r="C1108" t="s">
        <v>40</v>
      </c>
      <c r="D1108">
        <v>5.5378780000000001</v>
      </c>
      <c r="E1108">
        <v>0.56177410000000005</v>
      </c>
      <c r="F1108" t="s">
        <v>49</v>
      </c>
      <c r="G1108">
        <v>-199.8903</v>
      </c>
      <c r="H1108" s="1">
        <v>-1.01636E-5</v>
      </c>
      <c r="I1108">
        <v>360.68900000000002</v>
      </c>
      <c r="J1108">
        <v>-217.37899999999999</v>
      </c>
      <c r="K1108">
        <v>1.119313</v>
      </c>
      <c r="L1108">
        <v>367.03129999999999</v>
      </c>
      <c r="M1108">
        <v>0.99772689999999997</v>
      </c>
      <c r="N1108">
        <v>-1.432981E-2</v>
      </c>
      <c r="O1108">
        <v>-6.5846950000000001E-2</v>
      </c>
      <c r="P1108">
        <v>0.96287590000000001</v>
      </c>
      <c r="Q1108">
        <v>0.1848754</v>
      </c>
      <c r="R1108">
        <v>-0.19670080000000001</v>
      </c>
      <c r="S1108">
        <v>2.9373019999999999</v>
      </c>
      <c r="T1108">
        <v>-0.18620200000000001</v>
      </c>
      <c r="U1108">
        <v>-1.0570679999999999</v>
      </c>
      <c r="V1108">
        <v>0.13388900000000001</v>
      </c>
      <c r="W1108">
        <v>0.1981221</v>
      </c>
      <c r="X1108">
        <v>0.97098989999999996</v>
      </c>
      <c r="Y1108">
        <v>0.2753794</v>
      </c>
      <c r="Z1108">
        <v>-7.3783410000000001E-3</v>
      </c>
      <c r="AA1108">
        <v>0.96130729999999998</v>
      </c>
      <c r="AB1108">
        <v>30</v>
      </c>
      <c r="AC1108">
        <v>17.488700000000001</v>
      </c>
      <c r="AD1108">
        <v>-1.1193231636000001</v>
      </c>
      <c r="AE1108">
        <v>-6.3422999999999599</v>
      </c>
      <c r="AF1108">
        <v>5.1581632680880096</v>
      </c>
      <c r="AG1108">
        <v>-1.1193231636000001</v>
      </c>
      <c r="AH1108">
        <v>17.803946803019699</v>
      </c>
      <c r="AI1108">
        <v>93.455672718947397</v>
      </c>
      <c r="AJ1108">
        <v>73.842629092135795</v>
      </c>
      <c r="AK1108">
        <v>18.569869531302</v>
      </c>
      <c r="AL1108">
        <v>78.572834105063194</v>
      </c>
      <c r="AM1108">
        <v>82.149040088504705</v>
      </c>
      <c r="AN1108">
        <v>1.0000000083657099</v>
      </c>
    </row>
    <row r="1109" spans="1:40" x14ac:dyDescent="0.25">
      <c r="A1109" t="str">
        <f>"20190303170518432"</f>
        <v>20190303170518432</v>
      </c>
      <c r="B1109" t="str">
        <f>"1551603918425651"</f>
        <v>1551603918425651</v>
      </c>
      <c r="C1109" t="s">
        <v>40</v>
      </c>
      <c r="D1109">
        <v>5.5499939999999999</v>
      </c>
      <c r="E1109">
        <v>0.56156649999999997</v>
      </c>
      <c r="F1109" t="s">
        <v>49</v>
      </c>
      <c r="G1109">
        <v>-199.86660000000001</v>
      </c>
      <c r="H1109" s="1">
        <v>-1.015769E-5</v>
      </c>
      <c r="I1109">
        <v>360.6703</v>
      </c>
      <c r="J1109">
        <v>-217.18459999999999</v>
      </c>
      <c r="K1109">
        <v>1.119245</v>
      </c>
      <c r="L1109">
        <v>367.01659999999998</v>
      </c>
      <c r="M1109">
        <v>0.99760660000000001</v>
      </c>
      <c r="N1109">
        <v>-1.4330890000000001E-2</v>
      </c>
      <c r="O1109">
        <v>-6.7643579999999995E-2</v>
      </c>
      <c r="P1109">
        <v>0.96220170000000005</v>
      </c>
      <c r="Q1109">
        <v>0.18459539999999999</v>
      </c>
      <c r="R1109">
        <v>-0.2002311</v>
      </c>
      <c r="S1109">
        <v>2.9339599999999999</v>
      </c>
      <c r="T1109">
        <v>-0.18752730000000001</v>
      </c>
      <c r="U1109">
        <v>-1.065704</v>
      </c>
      <c r="V1109">
        <v>0.135734299999999</v>
      </c>
      <c r="W1109">
        <v>0.19780809999999999</v>
      </c>
      <c r="X1109">
        <v>0.97079769999999999</v>
      </c>
      <c r="Y1109">
        <v>0.27649179999999901</v>
      </c>
      <c r="Z1109">
        <v>-7.3707429999999999E-3</v>
      </c>
      <c r="AA1109">
        <v>0.96098799999999995</v>
      </c>
      <c r="AB1109">
        <v>30</v>
      </c>
      <c r="AC1109">
        <v>17.317999999999898</v>
      </c>
      <c r="AD1109">
        <v>-1.1192551576899901</v>
      </c>
      <c r="AE1109">
        <v>-6.3462999999999798</v>
      </c>
      <c r="AF1109">
        <v>5.1412567836436898</v>
      </c>
      <c r="AG1109">
        <v>-1.1192551576899901</v>
      </c>
      <c r="AH1109">
        <v>17.642687832018598</v>
      </c>
      <c r="AI1109">
        <v>93.485394977749706</v>
      </c>
      <c r="AJ1109">
        <v>73.753345839313596</v>
      </c>
      <c r="AK1109">
        <v>18.4105862851087</v>
      </c>
      <c r="AL1109">
        <v>78.591188237687206</v>
      </c>
      <c r="AM1109">
        <v>82.040657342105405</v>
      </c>
      <c r="AN1109">
        <v>1.0000000094736901</v>
      </c>
    </row>
    <row r="1110" spans="1:40" x14ac:dyDescent="0.25">
      <c r="A1110" t="str">
        <f>"20190303170518446"</f>
        <v>20190303170518446</v>
      </c>
      <c r="B1110" t="str">
        <f>"1551603918435412"</f>
        <v>1551603918435412</v>
      </c>
      <c r="C1110" t="s">
        <v>40</v>
      </c>
      <c r="D1110">
        <v>5.5481420000000004</v>
      </c>
      <c r="E1110">
        <v>0.56148969999999998</v>
      </c>
      <c r="F1110" t="s">
        <v>49</v>
      </c>
      <c r="G1110">
        <v>-199.74459999999999</v>
      </c>
      <c r="H1110" s="1">
        <v>-1.0120719999999999E-5</v>
      </c>
      <c r="I1110">
        <v>360.61880000000002</v>
      </c>
      <c r="J1110">
        <v>-216.99879999999999</v>
      </c>
      <c r="K1110">
        <v>1.1191850000000001</v>
      </c>
      <c r="L1110">
        <v>367.00229999999999</v>
      </c>
      <c r="M1110">
        <v>0.99748599999999998</v>
      </c>
      <c r="N1110">
        <v>-1.4331959999999999E-2</v>
      </c>
      <c r="O1110">
        <v>-6.9400779999999995E-2</v>
      </c>
      <c r="P1110">
        <v>0.96134390000000003</v>
      </c>
      <c r="Q1110">
        <v>0.1843854</v>
      </c>
      <c r="R1110">
        <v>-0.20449980000000001</v>
      </c>
      <c r="S1110">
        <v>2.930237</v>
      </c>
      <c r="T1110">
        <v>-0.18805559999999999</v>
      </c>
      <c r="U1110">
        <v>-1.074951</v>
      </c>
      <c r="V1110">
        <v>0.13836660000000001</v>
      </c>
      <c r="W1110">
        <v>0.19755890000000001</v>
      </c>
      <c r="X1110">
        <v>0.97047669999999997</v>
      </c>
      <c r="Y1110">
        <v>0.277862</v>
      </c>
      <c r="Z1110">
        <v>-7.3559709999999898E-3</v>
      </c>
      <c r="AA1110">
        <v>0.96059280000000002</v>
      </c>
      <c r="AB1110">
        <v>30</v>
      </c>
      <c r="AC1110">
        <v>17.254199999999901</v>
      </c>
      <c r="AD1110">
        <v>-1.1191951207199999</v>
      </c>
      <c r="AE1110">
        <v>-6.3834999999999598</v>
      </c>
      <c r="AF1110">
        <v>5.1514623864269202</v>
      </c>
      <c r="AG1110">
        <v>-1.1191951207199999</v>
      </c>
      <c r="AH1110">
        <v>17.590553393423601</v>
      </c>
      <c r="AI1110">
        <v>93.494157455284494</v>
      </c>
      <c r="AJ1110">
        <v>73.677124230505399</v>
      </c>
      <c r="AK1110">
        <v>18.363489078165401</v>
      </c>
      <c r="AL1110">
        <v>78.605752867320703</v>
      </c>
      <c r="AM1110">
        <v>81.885689374960506</v>
      </c>
      <c r="AN1110">
        <v>0.99999993010382704</v>
      </c>
    </row>
    <row r="1111" spans="1:40" x14ac:dyDescent="0.25">
      <c r="A1111" t="str">
        <f>"20190303170518462"</f>
        <v>20190303170518462</v>
      </c>
      <c r="B1111" t="str">
        <f>"1551603918455907"</f>
        <v>1551603918455907</v>
      </c>
      <c r="C1111" t="s">
        <v>40</v>
      </c>
      <c r="D1111">
        <v>6.081931</v>
      </c>
      <c r="E1111">
        <v>0.56145259999999997</v>
      </c>
      <c r="F1111" t="s">
        <v>49</v>
      </c>
      <c r="G1111">
        <v>-199.6901</v>
      </c>
      <c r="H1111" s="1">
        <v>-1.0107760000000001E-5</v>
      </c>
      <c r="I1111">
        <v>360.5711</v>
      </c>
      <c r="J1111">
        <v>-216.78389999999999</v>
      </c>
      <c r="K1111">
        <v>1.1191120000000001</v>
      </c>
      <c r="L1111">
        <v>366.9853</v>
      </c>
      <c r="M1111">
        <v>0.99733799999999995</v>
      </c>
      <c r="N1111">
        <v>-1.4333210000000001E-2</v>
      </c>
      <c r="O1111">
        <v>-7.1495290000000003E-2</v>
      </c>
      <c r="P1111">
        <v>0.96075520000000003</v>
      </c>
      <c r="Q1111">
        <v>0.1841633</v>
      </c>
      <c r="R1111">
        <v>-0.2074452</v>
      </c>
      <c r="S1111">
        <v>2.9256739999999999</v>
      </c>
      <c r="T1111">
        <v>-0.1891766</v>
      </c>
      <c r="U1111">
        <v>-1.087067</v>
      </c>
      <c r="V1111">
        <v>0.13933570000000001</v>
      </c>
      <c r="W1111">
        <v>0.1973075</v>
      </c>
      <c r="X1111">
        <v>0.97038919999999995</v>
      </c>
      <c r="Y1111">
        <v>0.27982059999999997</v>
      </c>
      <c r="Z1111">
        <v>-7.3614800000000001E-3</v>
      </c>
      <c r="AA1111">
        <v>0.96002410000000005</v>
      </c>
      <c r="AB1111">
        <v>30</v>
      </c>
      <c r="AC1111">
        <v>17.093799999999899</v>
      </c>
      <c r="AD1111">
        <v>-1.11912210776</v>
      </c>
      <c r="AE1111">
        <v>-6.4141999999999904</v>
      </c>
      <c r="AF1111">
        <v>5.1561577421467302</v>
      </c>
      <c r="AG1111">
        <v>-1.11912210776</v>
      </c>
      <c r="AH1111">
        <v>17.443141216179399</v>
      </c>
      <c r="AI1111">
        <v>93.520772725304397</v>
      </c>
      <c r="AJ1111">
        <v>73.532425776126203</v>
      </c>
      <c r="AK1111">
        <v>18.223654201107799</v>
      </c>
      <c r="AL1111">
        <v>78.620446397431607</v>
      </c>
      <c r="AM1111">
        <v>81.828895819429903</v>
      </c>
      <c r="AN1111">
        <v>0.99999994316368801</v>
      </c>
    </row>
    <row r="1112" spans="1:40" x14ac:dyDescent="0.25">
      <c r="A1112" t="str">
        <f>"20190303170518481"</f>
        <v>20190303170518481</v>
      </c>
      <c r="B1112" t="str">
        <f>"1551603918475427"</f>
        <v>1551603918475427</v>
      </c>
      <c r="C1112" t="s">
        <v>40</v>
      </c>
      <c r="D1112">
        <v>5.5183070000000001</v>
      </c>
      <c r="E1112">
        <v>0.56383490000000003</v>
      </c>
      <c r="F1112" t="s">
        <v>49</v>
      </c>
      <c r="G1112">
        <v>-199.5812</v>
      </c>
      <c r="H1112" s="1">
        <v>-1.007298E-5</v>
      </c>
      <c r="I1112">
        <v>360.53750000000002</v>
      </c>
      <c r="J1112">
        <v>-216.5325</v>
      </c>
      <c r="K1112">
        <v>1.119032</v>
      </c>
      <c r="L1112">
        <v>366.96460000000002</v>
      </c>
      <c r="M1112">
        <v>0.99715330000000002</v>
      </c>
      <c r="N1112">
        <v>-1.4334710000000001E-2</v>
      </c>
      <c r="O1112">
        <v>-7.4026659999999994E-2</v>
      </c>
      <c r="P1112">
        <v>0.9597561</v>
      </c>
      <c r="Q1112">
        <v>0.18369920000000001</v>
      </c>
      <c r="R1112">
        <v>-0.2124221</v>
      </c>
      <c r="S1112">
        <v>2.9224700000000001</v>
      </c>
      <c r="T1112">
        <v>-0.19012180000000001</v>
      </c>
      <c r="U1112">
        <v>-1.095367</v>
      </c>
      <c r="V1112">
        <v>0.14193739999999999</v>
      </c>
      <c r="W1112">
        <v>0.19679930000000001</v>
      </c>
      <c r="X1112">
        <v>0.97011539999999996</v>
      </c>
      <c r="Y1112">
        <v>0.28011779999999997</v>
      </c>
      <c r="Z1112">
        <v>-7.275424E-3</v>
      </c>
      <c r="AA1112">
        <v>0.95993799999999996</v>
      </c>
      <c r="AB1112">
        <v>30</v>
      </c>
      <c r="AC1112">
        <v>16.9513</v>
      </c>
      <c r="AD1112">
        <v>-1.1190420729799999</v>
      </c>
      <c r="AE1112">
        <v>-6.4270999999999896</v>
      </c>
      <c r="AF1112">
        <v>5.13491977980659</v>
      </c>
      <c r="AG1112">
        <v>-1.1190420729799999</v>
      </c>
      <c r="AH1112">
        <v>17.314633015990601</v>
      </c>
      <c r="AI1112">
        <v>93.545652838889595</v>
      </c>
      <c r="AJ1112">
        <v>73.481469432482498</v>
      </c>
      <c r="AK1112">
        <v>18.094644864837299</v>
      </c>
      <c r="AL1112">
        <v>78.650147560590696</v>
      </c>
      <c r="AM1112">
        <v>81.676125250595902</v>
      </c>
      <c r="AN1112">
        <v>1.0000000396582001</v>
      </c>
    </row>
    <row r="1113" spans="1:40" x14ac:dyDescent="0.25">
      <c r="A1113" t="str">
        <f>"20190303170518494"</f>
        <v>20190303170518494</v>
      </c>
      <c r="B1113" t="str">
        <f>"1551603918485188"</f>
        <v>1551603918485188</v>
      </c>
      <c r="C1113" t="s">
        <v>40</v>
      </c>
      <c r="D1113">
        <v>5.4953629999999896</v>
      </c>
      <c r="E1113">
        <v>0.56364080000000005</v>
      </c>
      <c r="F1113" t="s">
        <v>49</v>
      </c>
      <c r="G1113">
        <v>-202.09520000000001</v>
      </c>
      <c r="H1113" s="1">
        <v>-3.3187780000000001E-6</v>
      </c>
      <c r="I1113">
        <v>361.3827</v>
      </c>
      <c r="J1113">
        <v>-216.346</v>
      </c>
      <c r="K1113">
        <v>1.1189720000000001</v>
      </c>
      <c r="L1113">
        <v>366.94869999999997</v>
      </c>
      <c r="M1113">
        <v>0.99700759999999999</v>
      </c>
      <c r="N1113">
        <v>-1.4335799999999999E-2</v>
      </c>
      <c r="O1113">
        <v>-7.5963039999999996E-2</v>
      </c>
      <c r="P1113">
        <v>0.95905379999999996</v>
      </c>
      <c r="Q1113">
        <v>0.18351990000000001</v>
      </c>
      <c r="R1113">
        <v>-0.21572340000000001</v>
      </c>
      <c r="S1113">
        <v>2.9192809999999998</v>
      </c>
      <c r="T1113">
        <v>-0.226274</v>
      </c>
      <c r="U1113">
        <v>-1.1286929999999999</v>
      </c>
      <c r="V1113">
        <v>0.1434193</v>
      </c>
      <c r="W1113">
        <v>0.19658980000000001</v>
      </c>
      <c r="X1113">
        <v>0.96993989999999997</v>
      </c>
      <c r="Y1113">
        <v>0.28794579999999997</v>
      </c>
      <c r="Z1113">
        <v>-8.2990900000000003E-3</v>
      </c>
      <c r="AA1113">
        <v>0.95761079999999998</v>
      </c>
      <c r="AB1113">
        <v>30</v>
      </c>
      <c r="AC1113">
        <v>14.2507999999999</v>
      </c>
      <c r="AD1113">
        <v>-1.1189753187779901</v>
      </c>
      <c r="AE1113">
        <v>-5.5659999999999696</v>
      </c>
      <c r="AF1113">
        <v>4.4434992033992096</v>
      </c>
      <c r="AG1113">
        <v>-1.1189753187779901</v>
      </c>
      <c r="AH1113">
        <v>14.5546113495275</v>
      </c>
      <c r="AI1113">
        <v>94.205430150393198</v>
      </c>
      <c r="AJ1113">
        <v>73.022654725119395</v>
      </c>
      <c r="AK1113">
        <v>15.258882739913799</v>
      </c>
      <c r="AL1113">
        <v>78.662390046453595</v>
      </c>
      <c r="AM1113">
        <v>81.588956312089294</v>
      </c>
      <c r="AN1113">
        <v>1.00000002734426</v>
      </c>
    </row>
    <row r="1114" spans="1:40" x14ac:dyDescent="0.25">
      <c r="A1114" t="str">
        <f>"20190303170518513"</f>
        <v>20190303170518513</v>
      </c>
      <c r="B1114" t="str">
        <f>"1551603918505683"</f>
        <v>1551603918505683</v>
      </c>
      <c r="C1114" t="s">
        <v>40</v>
      </c>
      <c r="D1114">
        <v>5.4777189999999996</v>
      </c>
      <c r="E1114">
        <v>0.56352800000000003</v>
      </c>
      <c r="F1114" t="s">
        <v>49</v>
      </c>
      <c r="G1114">
        <v>-201.9494</v>
      </c>
      <c r="H1114" s="1">
        <v>-3.2554479999999998E-6</v>
      </c>
      <c r="I1114">
        <v>361.33730000000003</v>
      </c>
      <c r="J1114">
        <v>-216.08600000000001</v>
      </c>
      <c r="K1114">
        <v>1.1188830000000001</v>
      </c>
      <c r="L1114">
        <v>366.92610000000002</v>
      </c>
      <c r="M1114">
        <v>0.99679300000000004</v>
      </c>
      <c r="N1114">
        <v>-1.433744E-2</v>
      </c>
      <c r="O1114">
        <v>-7.8731090000000004E-2</v>
      </c>
      <c r="P1114">
        <v>0.95794889999999999</v>
      </c>
      <c r="Q1114">
        <v>0.1825985</v>
      </c>
      <c r="R1114">
        <v>-0.22134129999999999</v>
      </c>
      <c r="S1114">
        <v>2.9158330000000001</v>
      </c>
      <c r="T1114">
        <v>-0.22663269999999999</v>
      </c>
      <c r="U1114">
        <v>-1.1365050000000001</v>
      </c>
      <c r="V1114">
        <v>0.14643829999999999</v>
      </c>
      <c r="W1114">
        <v>0.19562009999999999</v>
      </c>
      <c r="X1114">
        <v>0.96968480000000001</v>
      </c>
      <c r="Y1114">
        <v>0.28789989999999999</v>
      </c>
      <c r="Z1114">
        <v>-8.1427380000000001E-3</v>
      </c>
      <c r="AA1114">
        <v>0.95762590000000003</v>
      </c>
      <c r="AB1114">
        <v>30</v>
      </c>
      <c r="AC1114">
        <v>14.1365999999999</v>
      </c>
      <c r="AD1114">
        <v>-1.1188862554479999</v>
      </c>
      <c r="AE1114">
        <v>-5.5887999999999902</v>
      </c>
      <c r="AF1114">
        <v>4.4343203766159398</v>
      </c>
      <c r="AG1114">
        <v>-1.1188862554479999</v>
      </c>
      <c r="AH1114">
        <v>14.4544573115302</v>
      </c>
      <c r="AI1114">
        <v>94.232380612916799</v>
      </c>
      <c r="AJ1114">
        <v>72.945099228248793</v>
      </c>
      <c r="AK1114">
        <v>15.160687313771399</v>
      </c>
      <c r="AL1114">
        <v>78.719049682756605</v>
      </c>
      <c r="AM1114">
        <v>81.412289374427303</v>
      </c>
      <c r="AN1114">
        <v>1.0000000052909599</v>
      </c>
    </row>
    <row r="1115" spans="1:40" x14ac:dyDescent="0.25">
      <c r="A1115" t="str">
        <f>"20190303170518528"</f>
        <v>20190303170518528</v>
      </c>
      <c r="B1115" t="str">
        <f>"1551603918515443"</f>
        <v>1551603918515443</v>
      </c>
      <c r="C1115" t="s">
        <v>40</v>
      </c>
      <c r="D1115">
        <v>5.5024150000000001</v>
      </c>
      <c r="E1115">
        <v>0.56323259999999997</v>
      </c>
      <c r="F1115" t="s">
        <v>49</v>
      </c>
      <c r="G1115">
        <v>-202.0797</v>
      </c>
      <c r="H1115" s="1">
        <v>-3.310113E-6</v>
      </c>
      <c r="I1115">
        <v>361.38650000000001</v>
      </c>
      <c r="J1115">
        <v>-215.90020000000001</v>
      </c>
      <c r="K1115">
        <v>1.1188260000000001</v>
      </c>
      <c r="L1115">
        <v>366.90940000000001</v>
      </c>
      <c r="M1115">
        <v>0.99663069999999998</v>
      </c>
      <c r="N1115">
        <v>-1.4338729999999999E-2</v>
      </c>
      <c r="O1115">
        <v>-8.0757579999999995E-2</v>
      </c>
      <c r="P1115">
        <v>0.95727910000000005</v>
      </c>
      <c r="Q1115">
        <v>0.18202470000000001</v>
      </c>
      <c r="R1115">
        <v>-0.224686</v>
      </c>
      <c r="S1115">
        <v>2.9100649999999999</v>
      </c>
      <c r="T1115">
        <v>-0.2324686</v>
      </c>
      <c r="U1115">
        <v>-1.1509400000000001</v>
      </c>
      <c r="V1115">
        <v>0.1478719</v>
      </c>
      <c r="W1115">
        <v>0.1950173</v>
      </c>
      <c r="X1115">
        <v>0.96958860000000002</v>
      </c>
      <c r="Y1115">
        <v>0.29066809999999998</v>
      </c>
      <c r="Z1115">
        <v>-8.2763669999999998E-3</v>
      </c>
      <c r="AA1115">
        <v>0.95678819999999998</v>
      </c>
      <c r="AB1115">
        <v>30</v>
      </c>
      <c r="AC1115">
        <v>13.820499999999999</v>
      </c>
      <c r="AD1115">
        <v>-1.118829310113</v>
      </c>
      <c r="AE1115">
        <v>-5.5228999999999902</v>
      </c>
      <c r="AF1115">
        <v>4.3639709650582397</v>
      </c>
      <c r="AG1115">
        <v>-1.118829310113</v>
      </c>
      <c r="AH1115">
        <v>14.141495933019099</v>
      </c>
      <c r="AI1115">
        <v>94.323278016023195</v>
      </c>
      <c r="AJ1115">
        <v>72.850124369577998</v>
      </c>
      <c r="AK1115">
        <v>14.8417629961078</v>
      </c>
      <c r="AL1115">
        <v>78.754265215012893</v>
      </c>
      <c r="AM1115">
        <v>81.3286419254771</v>
      </c>
      <c r="AN1115">
        <v>0.99999994967942796</v>
      </c>
    </row>
    <row r="1116" spans="1:40" x14ac:dyDescent="0.25">
      <c r="A1116" t="str">
        <f>"20190303170518540"</f>
        <v>20190303170518540</v>
      </c>
      <c r="B1116" t="str">
        <f>"1551603918525204"</f>
        <v>1551603918525204</v>
      </c>
      <c r="C1116" t="s">
        <v>40</v>
      </c>
      <c r="D1116">
        <v>5.4732279999999998</v>
      </c>
      <c r="E1116">
        <v>0.56304469999999995</v>
      </c>
      <c r="F1116" t="s">
        <v>49</v>
      </c>
      <c r="G1116">
        <v>-201.97059999999999</v>
      </c>
      <c r="H1116" s="1">
        <v>-3.2620869999999999E-6</v>
      </c>
      <c r="I1116">
        <v>361.35559999999998</v>
      </c>
      <c r="J1116">
        <v>-215.72200000000001</v>
      </c>
      <c r="K1116">
        <v>1.11877</v>
      </c>
      <c r="L1116">
        <v>366.89299999999997</v>
      </c>
      <c r="M1116">
        <v>0.99646820000000003</v>
      </c>
      <c r="N1116">
        <v>-1.434008E-2</v>
      </c>
      <c r="O1116">
        <v>-8.2738569999999997E-2</v>
      </c>
      <c r="P1116">
        <v>0.95666589999999996</v>
      </c>
      <c r="Q1116">
        <v>0.18184400000000001</v>
      </c>
      <c r="R1116">
        <v>-0.22742799999999999</v>
      </c>
      <c r="S1116">
        <v>2.9062809999999999</v>
      </c>
      <c r="T1116">
        <v>-0.2334338</v>
      </c>
      <c r="U1116">
        <v>-1.158752</v>
      </c>
      <c r="V1116">
        <v>0.14874589999999999</v>
      </c>
      <c r="W1116">
        <v>0.19481200000000001</v>
      </c>
      <c r="X1116">
        <v>0.96949629999999998</v>
      </c>
      <c r="Y1116">
        <v>0.29140840000000001</v>
      </c>
      <c r="Z1116">
        <v>-8.2120300000000004E-3</v>
      </c>
      <c r="AA1116">
        <v>0.95656350000000001</v>
      </c>
      <c r="AB1116">
        <v>30</v>
      </c>
      <c r="AC1116">
        <v>13.7514</v>
      </c>
      <c r="AD1116">
        <v>-1.1187732620869999</v>
      </c>
      <c r="AE1116">
        <v>-5.5374000000000398</v>
      </c>
      <c r="AF1116">
        <v>4.35571411384909</v>
      </c>
      <c r="AG1116">
        <v>-1.1187732620869999</v>
      </c>
      <c r="AH1116">
        <v>14.0822396296577</v>
      </c>
      <c r="AI1116">
        <v>94.340315224894098</v>
      </c>
      <c r="AJ1116">
        <v>72.812874326695095</v>
      </c>
      <c r="AK1116">
        <v>14.7828742821092</v>
      </c>
      <c r="AL1116">
        <v>78.766259393557704</v>
      </c>
      <c r="AM1116">
        <v>81.2773579316829</v>
      </c>
      <c r="AN1116">
        <v>1.00000006691224</v>
      </c>
    </row>
    <row r="1117" spans="1:40" x14ac:dyDescent="0.25">
      <c r="A1117" t="str">
        <f>"20190303170518552"</f>
        <v>20190303170518552</v>
      </c>
      <c r="B1117" t="str">
        <f>"1551603918545700"</f>
        <v>1551603918545700</v>
      </c>
      <c r="C1117" t="s">
        <v>40</v>
      </c>
      <c r="D1117">
        <v>5.4477330000000004</v>
      </c>
      <c r="E1117">
        <v>0.56275929999999996</v>
      </c>
      <c r="F1117" t="s">
        <v>49</v>
      </c>
      <c r="G1117">
        <v>-201.88829999999999</v>
      </c>
      <c r="H1117" s="1">
        <v>-3.2251849999999999E-6</v>
      </c>
      <c r="I1117">
        <v>361.33519999999999</v>
      </c>
      <c r="J1117">
        <v>-215.5581</v>
      </c>
      <c r="K1117">
        <v>1.118725</v>
      </c>
      <c r="L1117">
        <v>366.8775</v>
      </c>
      <c r="M1117">
        <v>0.99631139999999996</v>
      </c>
      <c r="N1117">
        <v>-1.4341370000000001E-2</v>
      </c>
      <c r="O1117">
        <v>-8.4604639999999995E-2</v>
      </c>
      <c r="P1117">
        <v>0.95618139999999996</v>
      </c>
      <c r="Q1117">
        <v>0.1814567</v>
      </c>
      <c r="R1117">
        <v>-0.22976199999999999</v>
      </c>
      <c r="S1117">
        <v>2.9032140000000002</v>
      </c>
      <c r="T1117">
        <v>-0.23479120000000001</v>
      </c>
      <c r="U1117">
        <v>-1.166382</v>
      </c>
      <c r="V1117">
        <v>0.14931120000000001</v>
      </c>
      <c r="W1117">
        <v>0.19440499999999999</v>
      </c>
      <c r="X1117">
        <v>0.96949099999999999</v>
      </c>
      <c r="Y1117">
        <v>0.29212359999999998</v>
      </c>
      <c r="Z1117">
        <v>-8.1595629999999999E-3</v>
      </c>
      <c r="AA1117">
        <v>0.95634569999999997</v>
      </c>
      <c r="AB1117">
        <v>30</v>
      </c>
      <c r="AC1117">
        <v>13.6698</v>
      </c>
      <c r="AD1117">
        <v>-1.1187282251849999</v>
      </c>
      <c r="AE1117">
        <v>-5.5423000000000098</v>
      </c>
      <c r="AF1117">
        <v>4.3408081757241499</v>
      </c>
      <c r="AG1117">
        <v>-1.1187282251849999</v>
      </c>
      <c r="AH1117">
        <v>14.009148185307801</v>
      </c>
      <c r="AI1117">
        <v>94.362023359408298</v>
      </c>
      <c r="AJ1117">
        <v>72.784130315596002</v>
      </c>
      <c r="AK1117">
        <v>14.708854521619701</v>
      </c>
      <c r="AL1117">
        <v>78.790032193544306</v>
      </c>
      <c r="AM1117">
        <v>81.244673614044601</v>
      </c>
      <c r="AN1117">
        <v>0.99999996877571895</v>
      </c>
    </row>
    <row r="1118" spans="1:40" x14ac:dyDescent="0.25">
      <c r="A1118" t="str">
        <f>"20190303170518565"</f>
        <v>20190303170518565</v>
      </c>
      <c r="B1118" t="str">
        <f>"1551603918555460"</f>
        <v>1551603918555460</v>
      </c>
      <c r="C1118" t="s">
        <v>40</v>
      </c>
      <c r="D1118">
        <v>5.4687599999999996</v>
      </c>
      <c r="E1118">
        <v>0.56275929999999996</v>
      </c>
      <c r="F1118" t="s">
        <v>49</v>
      </c>
      <c r="G1118">
        <v>-201.8331</v>
      </c>
      <c r="H1118" s="1">
        <v>-3.1974430000000002E-6</v>
      </c>
      <c r="I1118">
        <v>361.33510000000001</v>
      </c>
      <c r="J1118">
        <v>-215.38730000000001</v>
      </c>
      <c r="K1118">
        <v>1.1186750000000001</v>
      </c>
      <c r="L1118">
        <v>366.86110000000002</v>
      </c>
      <c r="M1118">
        <v>0.99614230000000004</v>
      </c>
      <c r="N1118">
        <v>-1.434265E-2</v>
      </c>
      <c r="O1118">
        <v>-8.6573029999999995E-2</v>
      </c>
      <c r="P1118">
        <v>0.95550089999999999</v>
      </c>
      <c r="Q1118">
        <v>0.18100579999999999</v>
      </c>
      <c r="R1118">
        <v>-0.232928</v>
      </c>
      <c r="S1118">
        <v>2.9008639999999999</v>
      </c>
      <c r="T1118">
        <v>-0.23644999999999999</v>
      </c>
      <c r="U1118">
        <v>-1.1714169999999999</v>
      </c>
      <c r="V1118">
        <v>0.15062300000000001</v>
      </c>
      <c r="W1118">
        <v>0.1939275</v>
      </c>
      <c r="X1118">
        <v>0.96938369999999996</v>
      </c>
      <c r="Y1118">
        <v>0.29192469999999998</v>
      </c>
      <c r="Z1118">
        <v>-8.0620740000000007E-3</v>
      </c>
      <c r="AA1118">
        <v>0.95640740000000002</v>
      </c>
      <c r="AB1118">
        <v>30</v>
      </c>
      <c r="AC1118">
        <v>13.5542</v>
      </c>
      <c r="AD1118">
        <v>-1.118678197443</v>
      </c>
      <c r="AE1118">
        <v>-5.5260000000000096</v>
      </c>
      <c r="AF1118">
        <v>4.3065452592919797</v>
      </c>
      <c r="AG1118">
        <v>-1.118678197443</v>
      </c>
      <c r="AH1118">
        <v>13.900559665576701</v>
      </c>
      <c r="AI1118">
        <v>94.395824660608994</v>
      </c>
      <c r="AJ1118">
        <v>72.786447699230706</v>
      </c>
      <c r="AK1118">
        <v>14.5953188384503</v>
      </c>
      <c r="AL1118">
        <v>78.8179216123185</v>
      </c>
      <c r="AM1118">
        <v>81.167997377273593</v>
      </c>
      <c r="AN1118">
        <v>0.99999996060546903</v>
      </c>
    </row>
    <row r="1119" spans="1:40" x14ac:dyDescent="0.25">
      <c r="A1119" t="str">
        <f>"20190303170518592"</f>
        <v>20190303170518592</v>
      </c>
      <c r="B1119" t="str">
        <f>"1551603918585716"</f>
        <v>1551603918585716</v>
      </c>
      <c r="C1119" t="s">
        <v>40</v>
      </c>
      <c r="D1119">
        <v>5.4354620000000002</v>
      </c>
      <c r="E1119">
        <v>0.56136169999999996</v>
      </c>
      <c r="F1119" t="s">
        <v>49</v>
      </c>
      <c r="G1119">
        <v>-201.76320000000001</v>
      </c>
      <c r="H1119" s="1">
        <v>-3.1682649999999999E-6</v>
      </c>
      <c r="I1119">
        <v>361.30790000000002</v>
      </c>
      <c r="J1119">
        <v>-215.0359</v>
      </c>
      <c r="K1119">
        <v>1.1185670000000001</v>
      </c>
      <c r="L1119">
        <v>366.82589999999999</v>
      </c>
      <c r="M1119">
        <v>0.99576929999999997</v>
      </c>
      <c r="N1119">
        <v>-1.4345750000000001E-2</v>
      </c>
      <c r="O1119">
        <v>-9.0762990000000002E-2</v>
      </c>
      <c r="P1119">
        <v>0.95393689999999998</v>
      </c>
      <c r="Q1119">
        <v>0.1816712</v>
      </c>
      <c r="R1119">
        <v>-0.23874699999999999</v>
      </c>
      <c r="S1119">
        <v>2.8969119999999999</v>
      </c>
      <c r="T1119">
        <v>-0.2378662</v>
      </c>
      <c r="U1119">
        <v>-1.1807859999999999</v>
      </c>
      <c r="V1119">
        <v>0.1525234</v>
      </c>
      <c r="W1119">
        <v>0.19453880000000001</v>
      </c>
      <c r="X1119">
        <v>0.96896400000000005</v>
      </c>
      <c r="Y1119">
        <v>0.2910124</v>
      </c>
      <c r="Z1119">
        <v>-7.7840280000000001E-3</v>
      </c>
      <c r="AA1119">
        <v>0.95668759999999997</v>
      </c>
      <c r="AB1119">
        <v>30</v>
      </c>
      <c r="AC1119">
        <v>13.272699999999899</v>
      </c>
      <c r="AD1119">
        <v>-1.118570168265</v>
      </c>
      <c r="AE1119">
        <v>-5.5179999999999696</v>
      </c>
      <c r="AF1119">
        <v>4.2646006754199703</v>
      </c>
      <c r="AG1119">
        <v>-1.118570168265</v>
      </c>
      <c r="AH1119">
        <v>13.636209908766499</v>
      </c>
      <c r="AI1119">
        <v>94.476558354445899</v>
      </c>
      <c r="AJ1119">
        <v>72.633401214336402</v>
      </c>
      <c r="AK1119">
        <v>14.3312329831758</v>
      </c>
      <c r="AL1119">
        <v>78.782216966409393</v>
      </c>
      <c r="AM1119">
        <v>81.054543795914498</v>
      </c>
      <c r="AN1119">
        <v>0.99999998277449897</v>
      </c>
    </row>
    <row r="1120" spans="1:40" x14ac:dyDescent="0.25">
      <c r="A1120" t="str">
        <f>"20190303170518614"</f>
        <v>20190303170518614</v>
      </c>
      <c r="B1120" t="str">
        <f>"1551603918605239"</f>
        <v>1551603918605239</v>
      </c>
      <c r="C1120" t="s">
        <v>40</v>
      </c>
      <c r="D1120">
        <v>5.4199169999999999</v>
      </c>
      <c r="E1120">
        <v>0.56083509999999903</v>
      </c>
      <c r="F1120" t="s">
        <v>49</v>
      </c>
      <c r="G1120">
        <v>-201.0247</v>
      </c>
      <c r="H1120" s="1">
        <v>-2.8469720000000001E-6</v>
      </c>
      <c r="I1120">
        <v>361.08089999999999</v>
      </c>
      <c r="J1120">
        <v>-214.74619999999999</v>
      </c>
      <c r="K1120">
        <v>1.1184810000000001</v>
      </c>
      <c r="L1120">
        <v>366.79570000000001</v>
      </c>
      <c r="M1120">
        <v>0.99543729999999997</v>
      </c>
      <c r="N1120">
        <v>-1.434875E-2</v>
      </c>
      <c r="O1120">
        <v>-9.4333959999999994E-2</v>
      </c>
      <c r="P1120">
        <v>0.95275109999999996</v>
      </c>
      <c r="Q1120">
        <v>0.18112349999999999</v>
      </c>
      <c r="R1120">
        <v>-0.2438439</v>
      </c>
      <c r="S1120">
        <v>2.8920439999999998</v>
      </c>
      <c r="T1120">
        <v>-0.23088220000000001</v>
      </c>
      <c r="U1120">
        <v>-1.1858219999999999</v>
      </c>
      <c r="V1120">
        <v>0.1542607</v>
      </c>
      <c r="W1120">
        <v>0.19394710000000001</v>
      </c>
      <c r="X1120">
        <v>0.96880759999999999</v>
      </c>
      <c r="Y1120">
        <v>0.28962120000000002</v>
      </c>
      <c r="Z1120">
        <v>-7.3788040000000001E-3</v>
      </c>
      <c r="AA1120">
        <v>0.95711290000000004</v>
      </c>
      <c r="AB1120">
        <v>30</v>
      </c>
      <c r="AC1120">
        <v>13.721499999999899</v>
      </c>
      <c r="AD1120">
        <v>-1.118483846972</v>
      </c>
      <c r="AE1120">
        <v>-5.7148000000000199</v>
      </c>
      <c r="AF1120">
        <v>4.37002950238801</v>
      </c>
      <c r="AG1120">
        <v>-1.118483846972</v>
      </c>
      <c r="AH1120">
        <v>14.1195050330823</v>
      </c>
      <c r="AI1120">
        <v>94.327547443529298</v>
      </c>
      <c r="AJ1120">
        <v>72.802545598198904</v>
      </c>
      <c r="AK1120">
        <v>14.822570166705701</v>
      </c>
      <c r="AL1120">
        <v>78.816777366817206</v>
      </c>
      <c r="AM1120">
        <v>80.952890931176896</v>
      </c>
      <c r="AN1120">
        <v>1.00000000349033</v>
      </c>
    </row>
    <row r="1121" spans="1:40" x14ac:dyDescent="0.25">
      <c r="A1121" t="str">
        <f>"20190303170518636"</f>
        <v>20190303170518636</v>
      </c>
      <c r="B1121" t="str">
        <f>"1551603918625731"</f>
        <v>1551603918625731</v>
      </c>
      <c r="C1121" t="s">
        <v>40</v>
      </c>
      <c r="D1121">
        <v>5.4591320000000003</v>
      </c>
      <c r="E1121">
        <v>0.56035419999999903</v>
      </c>
      <c r="F1121" t="s">
        <v>49</v>
      </c>
      <c r="G1121">
        <v>-200.67509999999999</v>
      </c>
      <c r="H1121" s="1">
        <v>-2.6974790000000001E-6</v>
      </c>
      <c r="I1121">
        <v>360.95979999999997</v>
      </c>
      <c r="J1121">
        <v>-214.44839999999999</v>
      </c>
      <c r="K1121">
        <v>1.11839</v>
      </c>
      <c r="L1121">
        <v>366.76339999999999</v>
      </c>
      <c r="M1121">
        <v>0.99507120000000004</v>
      </c>
      <c r="N1121">
        <v>-1.435202E-2</v>
      </c>
      <c r="O1121">
        <v>-9.8119750000000006E-2</v>
      </c>
      <c r="P1121">
        <v>0.95182849999999997</v>
      </c>
      <c r="Q1121">
        <v>0.1812831</v>
      </c>
      <c r="R1121">
        <v>-0.24730389999999999</v>
      </c>
      <c r="S1121">
        <v>2.886047</v>
      </c>
      <c r="T1121">
        <v>-0.2294071</v>
      </c>
      <c r="U1121">
        <v>-1.19696</v>
      </c>
      <c r="V1121">
        <v>0.1541419</v>
      </c>
      <c r="W1121">
        <v>0.19407669999999999</v>
      </c>
      <c r="X1121">
        <v>0.96880049999999995</v>
      </c>
      <c r="Y1121">
        <v>0.28984840000000001</v>
      </c>
      <c r="Z1121">
        <v>-7.1387589999999997E-3</v>
      </c>
      <c r="AA1121">
        <v>0.95704599999999995</v>
      </c>
      <c r="AB1121">
        <v>30</v>
      </c>
      <c r="AC1121">
        <v>13.773300000000001</v>
      </c>
      <c r="AD1121">
        <v>-1.1183926974789999</v>
      </c>
      <c r="AE1121">
        <v>-5.8036000000000101</v>
      </c>
      <c r="AF1121">
        <v>4.3993843050079899</v>
      </c>
      <c r="AG1121">
        <v>-1.1183926974789999</v>
      </c>
      <c r="AH1121">
        <v>14.1968388807396</v>
      </c>
      <c r="AI1121">
        <v>94.303251043096594</v>
      </c>
      <c r="AJ1121">
        <v>72.782586787958394</v>
      </c>
      <c r="AK1121">
        <v>14.904885732356499</v>
      </c>
      <c r="AL1121">
        <v>78.809207401300199</v>
      </c>
      <c r="AM1121">
        <v>80.959678070488295</v>
      </c>
      <c r="AN1121">
        <v>0.99999994980937301</v>
      </c>
    </row>
    <row r="1122" spans="1:40" x14ac:dyDescent="0.25">
      <c r="A1122" t="str">
        <f>"20190303170518658"</f>
        <v>20190303170518658</v>
      </c>
      <c r="B1122" t="str">
        <f>"1551603918645251"</f>
        <v>1551603918645251</v>
      </c>
      <c r="C1122" t="s">
        <v>40</v>
      </c>
      <c r="D1122">
        <v>5.3998949999999999</v>
      </c>
      <c r="E1122">
        <v>0.56000030000000001</v>
      </c>
      <c r="F1122" t="s">
        <v>49</v>
      </c>
      <c r="G1122">
        <v>-200.1293</v>
      </c>
      <c r="H1122" s="1">
        <v>-2.4253980000000001E-6</v>
      </c>
      <c r="I1122">
        <v>360.76830000000001</v>
      </c>
      <c r="J1122">
        <v>-214.14510000000001</v>
      </c>
      <c r="K1122">
        <v>1.11829</v>
      </c>
      <c r="L1122">
        <v>366.72919999999999</v>
      </c>
      <c r="M1122">
        <v>0.99466940000000004</v>
      </c>
      <c r="N1122">
        <v>-1.43557999999999E-2</v>
      </c>
      <c r="O1122">
        <v>-0.1021117</v>
      </c>
      <c r="P1122">
        <v>0.95088569999999994</v>
      </c>
      <c r="Q1122">
        <v>0.1814104</v>
      </c>
      <c r="R1122">
        <v>-0.25081239999999999</v>
      </c>
      <c r="S1122">
        <v>2.8812709999999999</v>
      </c>
      <c r="T1122">
        <v>-0.22504199999999999</v>
      </c>
      <c r="U1122">
        <v>-1.206329</v>
      </c>
      <c r="V1122">
        <v>0.1538765</v>
      </c>
      <c r="W1122">
        <v>0.1941735</v>
      </c>
      <c r="X1122">
        <v>0.9688234</v>
      </c>
      <c r="Y1122">
        <v>0.28925309999999999</v>
      </c>
      <c r="Z1122">
        <v>-6.809519E-3</v>
      </c>
      <c r="AA1122">
        <v>0.95722850000000004</v>
      </c>
      <c r="AB1122">
        <v>30</v>
      </c>
      <c r="AC1122">
        <v>14.0158</v>
      </c>
      <c r="AD1122">
        <v>-1.118292425398</v>
      </c>
      <c r="AE1122">
        <v>-5.9608999999999801</v>
      </c>
      <c r="AF1122">
        <v>4.4742900750206598</v>
      </c>
      <c r="AG1122">
        <v>-1.118292425398</v>
      </c>
      <c r="AH1122">
        <v>14.4732384793286</v>
      </c>
      <c r="AI1122">
        <v>94.221875581958201</v>
      </c>
      <c r="AJ1122">
        <v>72.821409283978099</v>
      </c>
      <c r="AK1122">
        <v>15.1902758929405</v>
      </c>
      <c r="AL1122">
        <v>78.803554785204994</v>
      </c>
      <c r="AM1122">
        <v>80.975197011453005</v>
      </c>
      <c r="AN1122">
        <v>1.00000005287102</v>
      </c>
    </row>
    <row r="1123" spans="1:40" x14ac:dyDescent="0.25">
      <c r="A1123" t="str">
        <f>"20190303170518682"</f>
        <v>20190303170518682</v>
      </c>
      <c r="B1123" t="str">
        <f>"1551603918675507"</f>
        <v>1551603918675507</v>
      </c>
      <c r="C1123" t="s">
        <v>40</v>
      </c>
      <c r="D1123">
        <v>5.4180729999999997</v>
      </c>
      <c r="E1123">
        <v>0.55952449999999998</v>
      </c>
      <c r="F1123" t="s">
        <v>49</v>
      </c>
      <c r="G1123">
        <v>-199.71610000000001</v>
      </c>
      <c r="H1123" s="1">
        <v>-1.0107640000000001E-5</v>
      </c>
      <c r="I1123">
        <v>360.63780000000003</v>
      </c>
      <c r="J1123">
        <v>-213.83320000000001</v>
      </c>
      <c r="K1123">
        <v>1.1181859999999999</v>
      </c>
      <c r="L1123">
        <v>366.6927</v>
      </c>
      <c r="M1123">
        <v>0.99422299999999997</v>
      </c>
      <c r="N1123">
        <v>-1.436043E-2</v>
      </c>
      <c r="O1123">
        <v>-0.10636950000000001</v>
      </c>
      <c r="P1123">
        <v>0.94938560000000005</v>
      </c>
      <c r="Q1123">
        <v>0.18216550000000001</v>
      </c>
      <c r="R1123">
        <v>-0.25589620000000002</v>
      </c>
      <c r="S1123">
        <v>2.8771209999999998</v>
      </c>
      <c r="T1123">
        <v>-0.22298789999999999</v>
      </c>
      <c r="U1123">
        <v>-1.2146300000000001</v>
      </c>
      <c r="V1123">
        <v>0.15498819999999999</v>
      </c>
      <c r="W1123">
        <v>0.19487879999999999</v>
      </c>
      <c r="X1123">
        <v>0.96850449999999999</v>
      </c>
      <c r="Y1123">
        <v>0.28801450000000001</v>
      </c>
      <c r="Z1123">
        <v>-6.4772909999999996E-3</v>
      </c>
      <c r="AA1123">
        <v>0.95760420000000002</v>
      </c>
      <c r="AB1123">
        <v>30</v>
      </c>
      <c r="AC1123">
        <v>14.117099999999899</v>
      </c>
      <c r="AD1123">
        <v>-1.11819610764</v>
      </c>
      <c r="AE1123">
        <v>-6.0548999999999698</v>
      </c>
      <c r="AF1123">
        <v>4.4949383313109497</v>
      </c>
      <c r="AG1123">
        <v>-1.11819610764</v>
      </c>
      <c r="AH1123">
        <v>14.6037279104701</v>
      </c>
      <c r="AI1123">
        <v>94.185510817252293</v>
      </c>
      <c r="AJ1123">
        <v>72.891953925638703</v>
      </c>
      <c r="AK1123">
        <v>15.3206952198806</v>
      </c>
      <c r="AL1123">
        <v>78.762356800399402</v>
      </c>
      <c r="AM1123">
        <v>80.908137975100004</v>
      </c>
      <c r="AN1123">
        <v>1.0000000276744601</v>
      </c>
    </row>
    <row r="1124" spans="1:40" x14ac:dyDescent="0.25">
      <c r="A1124" t="str">
        <f>"20190303170518703"</f>
        <v>20190303170518703</v>
      </c>
      <c r="B1124" t="str">
        <f>"1551603918696004"</f>
        <v>1551603918696004</v>
      </c>
      <c r="C1124" t="s">
        <v>40</v>
      </c>
      <c r="D1124">
        <v>5.3977849999999998</v>
      </c>
      <c r="E1124">
        <v>0.55931140000000001</v>
      </c>
      <c r="F1124" t="s">
        <v>49</v>
      </c>
      <c r="G1124">
        <v>-199.24199999999999</v>
      </c>
      <c r="H1124" s="1">
        <v>-9.9591650000000004E-6</v>
      </c>
      <c r="I1124">
        <v>360.47109999999998</v>
      </c>
      <c r="J1124">
        <v>-213.55279999999999</v>
      </c>
      <c r="K1124">
        <v>1.118079</v>
      </c>
      <c r="L1124">
        <v>366.6585</v>
      </c>
      <c r="M1124">
        <v>0.99378940000000004</v>
      </c>
      <c r="N1124">
        <v>-1.436554E-2</v>
      </c>
      <c r="O1124">
        <v>-0.11034579999999999</v>
      </c>
      <c r="P1124">
        <v>0.94773390000000002</v>
      </c>
      <c r="Q1124">
        <v>0.1830599</v>
      </c>
      <c r="R1124">
        <v>-0.26132250000000001</v>
      </c>
      <c r="S1124">
        <v>2.8721009999999998</v>
      </c>
      <c r="T1124">
        <v>-0.22010279999999999</v>
      </c>
      <c r="U1124">
        <v>-1.22464</v>
      </c>
      <c r="V1124">
        <v>0.15673570000000001</v>
      </c>
      <c r="W1124">
        <v>0.19571730000000001</v>
      </c>
      <c r="X1124">
        <v>0.96805410000000003</v>
      </c>
      <c r="Y1124">
        <v>0.28763339999999998</v>
      </c>
      <c r="Z1124">
        <v>-6.1969800000000004E-3</v>
      </c>
      <c r="AA1124">
        <v>0.95772049999999997</v>
      </c>
      <c r="AB1124">
        <v>30</v>
      </c>
      <c r="AC1124">
        <v>14.310799999999899</v>
      </c>
      <c r="AD1124">
        <v>-1.1180889591650001</v>
      </c>
      <c r="AE1124">
        <v>-6.1874000000000198</v>
      </c>
      <c r="AF1124">
        <v>4.5469237674641301</v>
      </c>
      <c r="AG1124">
        <v>-1.1180889591650001</v>
      </c>
      <c r="AH1124">
        <v>14.8299463835457</v>
      </c>
      <c r="AI1124">
        <v>94.122864379194098</v>
      </c>
      <c r="AJ1124">
        <v>72.954240783646796</v>
      </c>
      <c r="AK1124">
        <v>15.551589899639801</v>
      </c>
      <c r="AL1124">
        <v>78.713371166373705</v>
      </c>
      <c r="AM1124">
        <v>80.803163504225196</v>
      </c>
      <c r="AN1124">
        <v>1.00000004085029</v>
      </c>
    </row>
    <row r="1125" spans="1:40" x14ac:dyDescent="0.25">
      <c r="A1125" t="str">
        <f>"20190303170518725"</f>
        <v>20190303170518725</v>
      </c>
      <c r="B1125" t="str">
        <f>"1551603918715524"</f>
        <v>1551603918715524</v>
      </c>
      <c r="C1125" t="s">
        <v>40</v>
      </c>
      <c r="D1125">
        <v>5.4433420000000003</v>
      </c>
      <c r="E1125">
        <v>0.55936600000000003</v>
      </c>
      <c r="F1125" t="s">
        <v>49</v>
      </c>
      <c r="G1125">
        <v>-198.79130000000001</v>
      </c>
      <c r="H1125" s="1">
        <v>-9.8298810000000002E-6</v>
      </c>
      <c r="I1125">
        <v>360.27699999999999</v>
      </c>
      <c r="J1125">
        <v>-213.2604</v>
      </c>
      <c r="K1125">
        <v>1.117964</v>
      </c>
      <c r="L1125">
        <v>366.62139999999999</v>
      </c>
      <c r="M1125">
        <v>0.99330180000000001</v>
      </c>
      <c r="N1125">
        <v>-1.4371770000000001E-2</v>
      </c>
      <c r="O1125">
        <v>-0.1146525</v>
      </c>
      <c r="P1125">
        <v>0.94610340000000004</v>
      </c>
      <c r="Q1125">
        <v>0.18323900000000001</v>
      </c>
      <c r="R1125">
        <v>-0.26704309999999998</v>
      </c>
      <c r="S1125">
        <v>2.8657680000000001</v>
      </c>
      <c r="T1125">
        <v>-0.21706320000000001</v>
      </c>
      <c r="U1125">
        <v>-1.2388920000000001</v>
      </c>
      <c r="V1125">
        <v>0.15845329999999999</v>
      </c>
      <c r="W1125">
        <v>0.1958394</v>
      </c>
      <c r="X1125">
        <v>0.96774970000000005</v>
      </c>
      <c r="Y1125">
        <v>0.28828549999999997</v>
      </c>
      <c r="Z1125">
        <v>-5.9497949999999999E-3</v>
      </c>
      <c r="AA1125">
        <v>0.95752599999999999</v>
      </c>
      <c r="AB1125">
        <v>30</v>
      </c>
      <c r="AC1125">
        <v>14.4690999999999</v>
      </c>
      <c r="AD1125">
        <v>-1.117973829881</v>
      </c>
      <c r="AE1125">
        <v>-6.3444000000000003</v>
      </c>
      <c r="AF1125">
        <v>4.6203289435573103</v>
      </c>
      <c r="AG1125">
        <v>-1.117973829881</v>
      </c>
      <c r="AH1125">
        <v>15.025902522493199</v>
      </c>
      <c r="AI1125">
        <v>94.067852520338704</v>
      </c>
      <c r="AJ1125">
        <v>72.907811123710502</v>
      </c>
      <c r="AK1125">
        <v>15.759919151012101</v>
      </c>
      <c r="AL1125">
        <v>78.706236835322201</v>
      </c>
      <c r="AM1125">
        <v>80.701256447133005</v>
      </c>
      <c r="AN1125">
        <v>1.00000000036167</v>
      </c>
    </row>
    <row r="1126" spans="1:40" x14ac:dyDescent="0.25">
      <c r="A1126" t="str">
        <f>"20190303170518747"</f>
        <v>20190303170518747</v>
      </c>
      <c r="B1126" t="str">
        <f>"1551603918736020"</f>
        <v>1551603918736020</v>
      </c>
      <c r="C1126" t="s">
        <v>40</v>
      </c>
      <c r="D1126">
        <v>5.3295529999999998</v>
      </c>
      <c r="E1126">
        <v>0.5946882</v>
      </c>
      <c r="F1126" t="s">
        <v>49</v>
      </c>
      <c r="G1126">
        <v>-198.39169999999999</v>
      </c>
      <c r="H1126" s="1">
        <v>-9.7213419999999995E-6</v>
      </c>
      <c r="I1126">
        <v>360.07380000000001</v>
      </c>
      <c r="J1126">
        <v>-212.96709999999999</v>
      </c>
      <c r="K1126">
        <v>1.1178539999999999</v>
      </c>
      <c r="L1126">
        <v>366.58269999999999</v>
      </c>
      <c r="M1126">
        <v>0.9927783</v>
      </c>
      <c r="N1126">
        <v>-1.437799E-2</v>
      </c>
      <c r="O1126">
        <v>-0.1190983</v>
      </c>
      <c r="P1126">
        <v>0.94421239999999995</v>
      </c>
      <c r="Q1126">
        <v>0.1834124</v>
      </c>
      <c r="R1126">
        <v>-0.27353759999999999</v>
      </c>
      <c r="S1126">
        <v>2.8573759999999999</v>
      </c>
      <c r="T1126">
        <v>-0.21484510000000001</v>
      </c>
      <c r="U1126">
        <v>-1.25827</v>
      </c>
      <c r="V1126">
        <v>0.16083239999999999</v>
      </c>
      <c r="W1126">
        <v>0.1959516</v>
      </c>
      <c r="X1126">
        <v>0.96733440000000004</v>
      </c>
      <c r="Y1126">
        <v>0.29048580000000002</v>
      </c>
      <c r="Z1126">
        <v>-5.7777599999999998E-3</v>
      </c>
      <c r="AA1126">
        <v>0.95686190000000004</v>
      </c>
      <c r="AB1126">
        <v>30</v>
      </c>
      <c r="AC1126">
        <v>14.5754</v>
      </c>
      <c r="AD1126">
        <v>-1.117863721342</v>
      </c>
      <c r="AE1126">
        <v>-6.5088999999999801</v>
      </c>
      <c r="AF1126">
        <v>4.7034118770178903</v>
      </c>
      <c r="AG1126">
        <v>-1.117863721342</v>
      </c>
      <c r="AH1126">
        <v>15.172508296167599</v>
      </c>
      <c r="AI1126">
        <v>94.025447411315497</v>
      </c>
      <c r="AJ1126">
        <v>72.776790141179902</v>
      </c>
      <c r="AK1126">
        <v>15.924092143090601</v>
      </c>
      <c r="AL1126">
        <v>78.699680838355604</v>
      </c>
      <c r="AM1126">
        <v>80.560154864981399</v>
      </c>
      <c r="AN1126">
        <v>0.99999996592783902</v>
      </c>
    </row>
    <row r="1127" spans="1:40" x14ac:dyDescent="0.25">
      <c r="A1127" t="str">
        <f>"20190303170518771"</f>
        <v>20190303170518771</v>
      </c>
      <c r="B1127" t="str">
        <f>"1551603918765300"</f>
        <v>1551603918765300</v>
      </c>
      <c r="C1127" t="s">
        <v>40</v>
      </c>
      <c r="D1127">
        <v>5.3026150000000003</v>
      </c>
      <c r="E1127">
        <v>0.60296590000000005</v>
      </c>
      <c r="F1127" t="s">
        <v>49</v>
      </c>
      <c r="G1127">
        <v>-191.58869999999999</v>
      </c>
      <c r="H1127" s="1">
        <v>-3.2962439999999998E-6</v>
      </c>
      <c r="I1127">
        <v>354.57209999999998</v>
      </c>
      <c r="J1127">
        <v>-212.65819999999999</v>
      </c>
      <c r="K1127">
        <v>1.117766</v>
      </c>
      <c r="L1127">
        <v>366.5403</v>
      </c>
      <c r="M1127">
        <v>0.99218879999999998</v>
      </c>
      <c r="N1127">
        <v>-1.438363E-2</v>
      </c>
      <c r="O1127">
        <v>-0.1239133</v>
      </c>
      <c r="P1127">
        <v>0.94210419999999995</v>
      </c>
      <c r="Q1127">
        <v>0.18392120000000001</v>
      </c>
      <c r="R1127">
        <v>-0.28037960000000001</v>
      </c>
      <c r="S1127">
        <v>2.7565919999999999</v>
      </c>
      <c r="T1127">
        <v>-0.14413999999999999</v>
      </c>
      <c r="U1127">
        <v>-1.5486759999999999</v>
      </c>
      <c r="V1127">
        <v>0.1632256</v>
      </c>
      <c r="W1127">
        <v>0.19639999999999999</v>
      </c>
      <c r="X1127">
        <v>0.96684250000000005</v>
      </c>
      <c r="Y1127">
        <v>0.37752950000000002</v>
      </c>
      <c r="Z1127">
        <v>-7.7985709999999998E-3</v>
      </c>
      <c r="AA1127">
        <v>0.92596469999999997</v>
      </c>
      <c r="AB1127">
        <v>30</v>
      </c>
      <c r="AC1127">
        <v>21.069500000000001</v>
      </c>
      <c r="AD1127">
        <v>-1.117769296244</v>
      </c>
      <c r="AE1127">
        <v>-11.9682</v>
      </c>
      <c r="AF1127">
        <v>9.2452084536798296</v>
      </c>
      <c r="AG1127">
        <v>-1.117769296244</v>
      </c>
      <c r="AH1127">
        <v>22.342714672437602</v>
      </c>
      <c r="AI1127">
        <v>92.646732474065402</v>
      </c>
      <c r="AJ1127">
        <v>67.520681187291402</v>
      </c>
      <c r="AK1127">
        <v>24.2057882847384</v>
      </c>
      <c r="AL1127">
        <v>78.673480555253605</v>
      </c>
      <c r="AM1127">
        <v>80.417490258265801</v>
      </c>
      <c r="AN1127">
        <v>0.99999998815080504</v>
      </c>
    </row>
    <row r="1128" spans="1:40" x14ac:dyDescent="0.25">
      <c r="A1128" t="str">
        <f>"20190303170518792"</f>
        <v>20190303170518792</v>
      </c>
      <c r="B1128" t="str">
        <f>"1551603918785796"</f>
        <v>1551603918785796</v>
      </c>
      <c r="C1128" t="s">
        <v>40</v>
      </c>
      <c r="D1128">
        <v>5.320595</v>
      </c>
      <c r="E1128">
        <v>0.60478690000000002</v>
      </c>
      <c r="F1128" t="s">
        <v>49</v>
      </c>
      <c r="G1128">
        <v>-187.1841</v>
      </c>
      <c r="H1128" s="1">
        <v>-1.3864979999999999E-6</v>
      </c>
      <c r="I1128">
        <v>351.28269999999998</v>
      </c>
      <c r="J1128">
        <v>-212.36969999999999</v>
      </c>
      <c r="K1128">
        <v>1.1176870000000001</v>
      </c>
      <c r="L1128">
        <v>366.49930000000001</v>
      </c>
      <c r="M1128">
        <v>0.99160060000000005</v>
      </c>
      <c r="N1128">
        <v>-1.4388450000000001E-2</v>
      </c>
      <c r="O1128">
        <v>-0.12853539999999999</v>
      </c>
      <c r="P1128">
        <v>0.94000499999999998</v>
      </c>
      <c r="Q1128">
        <v>0.1848323</v>
      </c>
      <c r="R1128">
        <v>-0.28675390000000001</v>
      </c>
      <c r="S1128">
        <v>2.7224119999999998</v>
      </c>
      <c r="T1128">
        <v>-0.1194557</v>
      </c>
      <c r="U1128">
        <v>-1.630585</v>
      </c>
      <c r="V1128">
        <v>0.16534570000000001</v>
      </c>
      <c r="W1128">
        <v>0.1972556</v>
      </c>
      <c r="X1128">
        <v>0.9663079</v>
      </c>
      <c r="Y1128">
        <v>0.39893139999999999</v>
      </c>
      <c r="Z1128">
        <v>-7.7498000000000003E-3</v>
      </c>
      <c r="AA1128">
        <v>0.91694799999999999</v>
      </c>
      <c r="AB1128">
        <v>30</v>
      </c>
      <c r="AC1128">
        <v>25.185599999999901</v>
      </c>
      <c r="AD1128">
        <v>-1.1176883864980001</v>
      </c>
      <c r="AE1128">
        <v>-15.2166</v>
      </c>
      <c r="AF1128">
        <v>11.8356986851246</v>
      </c>
      <c r="AG1128">
        <v>-1.1176883864980001</v>
      </c>
      <c r="AH1128">
        <v>26.893912722392699</v>
      </c>
      <c r="AI1128">
        <v>92.178394292049802</v>
      </c>
      <c r="AJ1128">
        <v>66.246262821955597</v>
      </c>
      <c r="AK1128">
        <v>29.4043454648127</v>
      </c>
      <c r="AL1128">
        <v>78.623479912523507</v>
      </c>
      <c r="AM1128">
        <v>80.2901105857038</v>
      </c>
      <c r="AN1128">
        <v>0.99999996492112897</v>
      </c>
    </row>
    <row r="1129" spans="1:40" x14ac:dyDescent="0.25">
      <c r="A1129" t="str">
        <f>"20190303170518816"</f>
        <v>20190303170518816</v>
      </c>
      <c r="B1129" t="str">
        <f>"1551603918805316"</f>
        <v>1551603918805316</v>
      </c>
      <c r="C1129" t="s">
        <v>40</v>
      </c>
      <c r="D1129">
        <v>5.2952820000000003</v>
      </c>
      <c r="E1129">
        <v>0.60546460000000002</v>
      </c>
      <c r="F1129" t="s">
        <v>49</v>
      </c>
      <c r="G1129">
        <v>-185.13329999999999</v>
      </c>
      <c r="H1129" s="1">
        <v>-1.3478719999999999E-6</v>
      </c>
      <c r="I1129">
        <v>349.76119999999997</v>
      </c>
      <c r="J1129">
        <v>-212.0668</v>
      </c>
      <c r="K1129">
        <v>1.117604</v>
      </c>
      <c r="L1129">
        <v>366.45460000000003</v>
      </c>
      <c r="M1129">
        <v>0.99094059999999995</v>
      </c>
      <c r="N1129">
        <v>-1.439412E-2</v>
      </c>
      <c r="O1129">
        <v>-0.13352729999999999</v>
      </c>
      <c r="P1129">
        <v>0.93787180000000003</v>
      </c>
      <c r="Q1129">
        <v>0.18609510000000001</v>
      </c>
      <c r="R1129">
        <v>-0.29285739999999999</v>
      </c>
      <c r="S1129">
        <v>2.705994</v>
      </c>
      <c r="T1129">
        <v>-0.11104459999999999</v>
      </c>
      <c r="U1129">
        <v>-1.6629640000000001</v>
      </c>
      <c r="V1129">
        <v>0.1668539</v>
      </c>
      <c r="W1129">
        <v>0.19846569999999999</v>
      </c>
      <c r="X1129">
        <v>0.96580080000000001</v>
      </c>
      <c r="Y1129">
        <v>0.4047943</v>
      </c>
      <c r="Z1129">
        <v>-7.5971379999999998E-3</v>
      </c>
      <c r="AA1129">
        <v>0.91437619999999997</v>
      </c>
      <c r="AB1129">
        <v>30</v>
      </c>
      <c r="AC1129">
        <v>26.933499999999999</v>
      </c>
      <c r="AD1129">
        <v>-1.1176053478720001</v>
      </c>
      <c r="AE1129">
        <v>-16.6934</v>
      </c>
      <c r="AF1129">
        <v>12.9310658284383</v>
      </c>
      <c r="AG1129">
        <v>-1.1176053478720001</v>
      </c>
      <c r="AH1129">
        <v>28.885586933410099</v>
      </c>
      <c r="AI1129">
        <v>92.022487138452803</v>
      </c>
      <c r="AJ1129">
        <v>65.883608834011099</v>
      </c>
      <c r="AK1129">
        <v>31.667627597605001</v>
      </c>
      <c r="AL1129">
        <v>78.552748580188805</v>
      </c>
      <c r="AM1129">
        <v>80.198206460018</v>
      </c>
      <c r="AN1129">
        <v>1.00000002165116</v>
      </c>
    </row>
    <row r="1130" spans="1:40" x14ac:dyDescent="0.25">
      <c r="A1130" t="str">
        <f>"20190303170518836"</f>
        <v>20190303170518836</v>
      </c>
      <c r="B1130" t="str">
        <f>"1551603918825812"</f>
        <v>1551603918825812</v>
      </c>
      <c r="C1130" t="s">
        <v>40</v>
      </c>
      <c r="D1130">
        <v>5.3244049999999996</v>
      </c>
      <c r="E1130">
        <v>0.60625059999999997</v>
      </c>
      <c r="F1130" t="s">
        <v>41</v>
      </c>
      <c r="G1130">
        <v>-183.99449999999999</v>
      </c>
      <c r="H1130" s="1">
        <v>-5.0317060000000002E-6</v>
      </c>
      <c r="I1130">
        <v>348.87860000000001</v>
      </c>
      <c r="J1130">
        <v>-211.7903</v>
      </c>
      <c r="K1130">
        <v>1.117499</v>
      </c>
      <c r="L1130">
        <v>366.41239999999999</v>
      </c>
      <c r="M1130">
        <v>0.99029659999999997</v>
      </c>
      <c r="N1130">
        <v>-1.4400410000000001E-2</v>
      </c>
      <c r="O1130">
        <v>-0.13822229999999999</v>
      </c>
      <c r="P1130">
        <v>0.93553819999999999</v>
      </c>
      <c r="Q1130">
        <v>0.18646160000000001</v>
      </c>
      <c r="R1130">
        <v>-0.30000090000000001</v>
      </c>
      <c r="S1130">
        <v>2.6934200000000001</v>
      </c>
      <c r="T1130">
        <v>-0.1072297</v>
      </c>
      <c r="U1130">
        <v>-1.68634</v>
      </c>
      <c r="V1130">
        <v>0.16971</v>
      </c>
      <c r="W1130">
        <v>0.19876289999999999</v>
      </c>
      <c r="X1130">
        <v>0.96524180000000004</v>
      </c>
      <c r="Y1130">
        <v>0.40809790000000001</v>
      </c>
      <c r="Z1130">
        <v>-7.49942199999999E-3</v>
      </c>
      <c r="AA1130">
        <v>0.91290740000000004</v>
      </c>
      <c r="AB1130">
        <v>30</v>
      </c>
      <c r="AC1130">
        <v>27.7958</v>
      </c>
      <c r="AD1130">
        <v>-1.1175040317059901</v>
      </c>
      <c r="AE1130">
        <v>-17.5337999999999</v>
      </c>
      <c r="AF1130">
        <v>13.5074462367945</v>
      </c>
      <c r="AG1130">
        <v>-1.1175040317059901</v>
      </c>
      <c r="AH1130">
        <v>29.918158882873598</v>
      </c>
      <c r="AI1130">
        <v>91.949781128493697</v>
      </c>
      <c r="AJ1130">
        <v>65.701782448622893</v>
      </c>
      <c r="AK1130">
        <v>32.845032349529497</v>
      </c>
      <c r="AL1130">
        <v>78.535373344476099</v>
      </c>
      <c r="AM1130">
        <v>80.028106064857297</v>
      </c>
      <c r="AN1130">
        <v>0.99999995349182302</v>
      </c>
    </row>
    <row r="1131" spans="1:40" x14ac:dyDescent="0.25">
      <c r="A1131" t="str">
        <f>"20190303170518861"</f>
        <v>20190303170518861</v>
      </c>
      <c r="B1131" t="str">
        <f>"1551603918856068"</f>
        <v>1551603918856068</v>
      </c>
      <c r="C1131" t="s">
        <v>40</v>
      </c>
      <c r="D1131">
        <v>5.3160360000000004</v>
      </c>
      <c r="E1131">
        <v>0.60699499999999995</v>
      </c>
      <c r="F1131" t="s">
        <v>41</v>
      </c>
      <c r="G1131">
        <v>-182.86689999999999</v>
      </c>
      <c r="H1131" s="1">
        <v>-4.8192030000000002E-6</v>
      </c>
      <c r="I1131">
        <v>347.9171</v>
      </c>
      <c r="J1131">
        <v>-211.4709</v>
      </c>
      <c r="K1131">
        <v>1.1173660000000001</v>
      </c>
      <c r="L1131">
        <v>366.36180000000002</v>
      </c>
      <c r="M1131">
        <v>0.98950000000000005</v>
      </c>
      <c r="N1131">
        <v>-1.4409109999999999E-2</v>
      </c>
      <c r="O1131">
        <v>-0.1438131</v>
      </c>
      <c r="P1131">
        <v>0.93336960000000002</v>
      </c>
      <c r="Q1131">
        <v>0.1849876</v>
      </c>
      <c r="R1131">
        <v>-0.30757220000000002</v>
      </c>
      <c r="S1131">
        <v>2.678131</v>
      </c>
      <c r="T1131">
        <v>-0.1034741</v>
      </c>
      <c r="U1131">
        <v>-1.7125549999999901</v>
      </c>
      <c r="V1131">
        <v>0.172093</v>
      </c>
      <c r="W1131">
        <v>0.19721859999999999</v>
      </c>
      <c r="X1131">
        <v>0.96513669999999996</v>
      </c>
      <c r="Y1131">
        <v>0.41166390000000003</v>
      </c>
      <c r="Z1131">
        <v>-7.4009499999999999E-3</v>
      </c>
      <c r="AA1131">
        <v>0.9113057</v>
      </c>
      <c r="AB1131">
        <v>30</v>
      </c>
      <c r="AC1131">
        <v>28.603999999999999</v>
      </c>
      <c r="AD1131">
        <v>-1.1173708192030001</v>
      </c>
      <c r="AE1131">
        <v>-18.444700000000001</v>
      </c>
      <c r="AF1131">
        <v>14.123645572193</v>
      </c>
      <c r="AG1131">
        <v>-1.1173708192030001</v>
      </c>
      <c r="AH1131">
        <v>30.926128207461701</v>
      </c>
      <c r="AI1131">
        <v>91.882361426794105</v>
      </c>
      <c r="AJ1131">
        <v>65.4543062310442</v>
      </c>
      <c r="AK1131">
        <v>34.016926488160102</v>
      </c>
      <c r="AL1131">
        <v>78.625642892649793</v>
      </c>
      <c r="AM1131">
        <v>79.889875081295997</v>
      </c>
      <c r="AN1131">
        <v>1.0000000132609199</v>
      </c>
    </row>
    <row r="1132" spans="1:40" x14ac:dyDescent="0.25">
      <c r="A1132" t="str">
        <f>"20190303170518882"</f>
        <v>20190303170518882</v>
      </c>
      <c r="B1132" t="str">
        <f>"1551603918875588"</f>
        <v>1551603918875588</v>
      </c>
      <c r="C1132" t="s">
        <v>40</v>
      </c>
      <c r="D1132">
        <v>5.3149009999999999</v>
      </c>
      <c r="E1132">
        <v>0.60729469999999997</v>
      </c>
      <c r="F1132" t="s">
        <v>41</v>
      </c>
      <c r="G1132">
        <v>-183.6455</v>
      </c>
      <c r="H1132" s="1">
        <v>-4.7977179999999999E-6</v>
      </c>
      <c r="I1132">
        <v>348.18889999999999</v>
      </c>
      <c r="J1132">
        <v>-211.19139999999999</v>
      </c>
      <c r="K1132">
        <v>1.117232</v>
      </c>
      <c r="L1132">
        <v>366.31569999999999</v>
      </c>
      <c r="M1132">
        <v>0.98874949999999995</v>
      </c>
      <c r="N1132">
        <v>-1.441812E-2</v>
      </c>
      <c r="O1132">
        <v>-0.1488844</v>
      </c>
      <c r="P1132">
        <v>0.93181740000000002</v>
      </c>
      <c r="Q1132">
        <v>0.18317459999999999</v>
      </c>
      <c r="R1132">
        <v>-0.3133109</v>
      </c>
      <c r="S1132">
        <v>2.662369</v>
      </c>
      <c r="T1132">
        <v>-0.1069113</v>
      </c>
      <c r="U1132">
        <v>-1.7387999999999999</v>
      </c>
      <c r="V1132">
        <v>0.17307729999999999</v>
      </c>
      <c r="W1132">
        <v>0.19535359999999999</v>
      </c>
      <c r="X1132">
        <v>0.96533999999999998</v>
      </c>
      <c r="Y1132">
        <v>0.41574030000000001</v>
      </c>
      <c r="Z1132">
        <v>-7.4846119999999999E-3</v>
      </c>
      <c r="AA1132">
        <v>0.90945260000000006</v>
      </c>
      <c r="AB1132">
        <v>30</v>
      </c>
      <c r="AC1132">
        <v>27.5458999999999</v>
      </c>
      <c r="AD1132">
        <v>-1.117236797718</v>
      </c>
      <c r="AE1132">
        <v>-18.126799999999999</v>
      </c>
      <c r="AF1132">
        <v>13.807296459890299</v>
      </c>
      <c r="AG1132">
        <v>-1.117236797718</v>
      </c>
      <c r="AH1132">
        <v>29.903576800310301</v>
      </c>
      <c r="AI1132">
        <v>91.942734562955707</v>
      </c>
      <c r="AJ1132">
        <v>65.215942539874007</v>
      </c>
      <c r="AK1132">
        <v>32.956237027997197</v>
      </c>
      <c r="AL1132">
        <v>78.734619894924904</v>
      </c>
      <c r="AM1132">
        <v>79.835348723600106</v>
      </c>
      <c r="AN1132">
        <v>1.00000004820412</v>
      </c>
    </row>
    <row r="1133" spans="1:40" x14ac:dyDescent="0.25">
      <c r="A1133" t="str">
        <f>"20190303170518904"</f>
        <v>20190303170518904</v>
      </c>
      <c r="B1133" t="str">
        <f>"1551603918896084"</f>
        <v>1551603918896084</v>
      </c>
      <c r="C1133" t="s">
        <v>40</v>
      </c>
      <c r="D1133">
        <v>5.3088550000000003</v>
      </c>
      <c r="E1133">
        <v>0.60747410000000002</v>
      </c>
      <c r="F1133" t="s">
        <v>41</v>
      </c>
      <c r="G1133">
        <v>-184.6283</v>
      </c>
      <c r="H1133" s="1">
        <v>-4.8433389999999999E-6</v>
      </c>
      <c r="I1133">
        <v>348.70159999999998</v>
      </c>
      <c r="J1133">
        <v>-210.9092</v>
      </c>
      <c r="K1133">
        <v>1.117075</v>
      </c>
      <c r="L1133">
        <v>366.26749999999998</v>
      </c>
      <c r="M1133">
        <v>0.98793489999999995</v>
      </c>
      <c r="N1133">
        <v>-1.442856E-2</v>
      </c>
      <c r="O1133">
        <v>-0.15419639999999901</v>
      </c>
      <c r="P1133">
        <v>0.92997289999999999</v>
      </c>
      <c r="Q1133">
        <v>0.18119199999999999</v>
      </c>
      <c r="R1133">
        <v>-0.31987510000000002</v>
      </c>
      <c r="S1133">
        <v>2.6504669999999999</v>
      </c>
      <c r="T1133">
        <v>-0.1114782</v>
      </c>
      <c r="U1133">
        <v>-1.757538</v>
      </c>
      <c r="V1133">
        <v>0.17468889999999901</v>
      </c>
      <c r="W1133">
        <v>0.1933067</v>
      </c>
      <c r="X1133">
        <v>0.96546169999999998</v>
      </c>
      <c r="Y1133">
        <v>0.41717919999999997</v>
      </c>
      <c r="Z1133">
        <v>-7.5057539999999999E-3</v>
      </c>
      <c r="AA1133">
        <v>0.90879330000000003</v>
      </c>
      <c r="AB1133">
        <v>29</v>
      </c>
      <c r="AC1133">
        <v>26.280899999999999</v>
      </c>
      <c r="AD1133">
        <v>-1.1170798433389999</v>
      </c>
      <c r="AE1133">
        <v>-17.565899999999999</v>
      </c>
      <c r="AF1133">
        <v>13.286337668208301</v>
      </c>
      <c r="AG1133">
        <v>-1.1170798433389999</v>
      </c>
      <c r="AH1133">
        <v>28.6396353241932</v>
      </c>
      <c r="AI1133">
        <v>92.026429012903407</v>
      </c>
      <c r="AJ1133">
        <v>65.112738248493798</v>
      </c>
      <c r="AK1133">
        <v>31.5911909796516</v>
      </c>
      <c r="AL1133">
        <v>78.8541772535593</v>
      </c>
      <c r="AM1133">
        <v>79.743967032421494</v>
      </c>
      <c r="AN1133">
        <v>0.99999999310749399</v>
      </c>
    </row>
    <row r="1134" spans="1:40" x14ac:dyDescent="0.25">
      <c r="A1134" t="str">
        <f>"20190303170518926"</f>
        <v>20190303170518926</v>
      </c>
      <c r="B1134" t="str">
        <f>"1551603918915604"</f>
        <v>1551603918915604</v>
      </c>
      <c r="C1134" t="s">
        <v>40</v>
      </c>
      <c r="D1134">
        <v>5.3224239999999998</v>
      </c>
      <c r="E1134">
        <v>0.60756790000000005</v>
      </c>
      <c r="F1134" t="s">
        <v>41</v>
      </c>
      <c r="G1134">
        <v>-185.80520000000001</v>
      </c>
      <c r="H1134" s="1">
        <v>-4.912171E-6</v>
      </c>
      <c r="I1134">
        <v>349.34870000000001</v>
      </c>
      <c r="J1134">
        <v>-210.61879999999999</v>
      </c>
      <c r="K1134">
        <v>1.116911</v>
      </c>
      <c r="L1134">
        <v>366.21589999999998</v>
      </c>
      <c r="M1134">
        <v>0.98702979999999996</v>
      </c>
      <c r="N1134">
        <v>-1.4441239999999999E-2</v>
      </c>
      <c r="O1134">
        <v>-0.15988629999999901</v>
      </c>
      <c r="P1134">
        <v>0.92729669999999997</v>
      </c>
      <c r="Q1134">
        <v>0.17980570000000001</v>
      </c>
      <c r="R1134">
        <v>-0.32831529999999998</v>
      </c>
      <c r="S1134">
        <v>2.6373899999999999</v>
      </c>
      <c r="T1134">
        <v>-0.117359</v>
      </c>
      <c r="U1134">
        <v>-1.777466</v>
      </c>
      <c r="V1134">
        <v>0.17792559999999999</v>
      </c>
      <c r="W1134">
        <v>0.1918262</v>
      </c>
      <c r="X1134">
        <v>0.96516590000000002</v>
      </c>
      <c r="Y1134">
        <v>0.41872619999999999</v>
      </c>
      <c r="Z1134">
        <v>-7.5317839999999997E-3</v>
      </c>
      <c r="AA1134">
        <v>0.90808129999999998</v>
      </c>
      <c r="AB1134">
        <v>29</v>
      </c>
      <c r="AC1134">
        <v>24.813599999999902</v>
      </c>
      <c r="AD1134">
        <v>-1.1169159121709999</v>
      </c>
      <c r="AE1134">
        <v>-16.867199999999901</v>
      </c>
      <c r="AF1134">
        <v>12.6648461778856</v>
      </c>
      <c r="AG1134">
        <v>-1.1169159121709999</v>
      </c>
      <c r="AH1134">
        <v>27.153803168130199</v>
      </c>
      <c r="AI1134">
        <v>92.134862131883906</v>
      </c>
      <c r="AJ1134">
        <v>64.995112954815099</v>
      </c>
      <c r="AK1134">
        <v>29.982909404491199</v>
      </c>
      <c r="AL1134">
        <v>78.940621777245298</v>
      </c>
      <c r="AM1134">
        <v>79.554952805692594</v>
      </c>
      <c r="AN1134">
        <v>1.0000000123323001</v>
      </c>
    </row>
    <row r="1135" spans="1:40" x14ac:dyDescent="0.25">
      <c r="A1135" t="str">
        <f>"20190303170518949"</f>
        <v>20190303170518949</v>
      </c>
      <c r="B1135" t="str">
        <f>"1551603918936100"</f>
        <v>1551603918936100</v>
      </c>
      <c r="C1135" t="s">
        <v>40</v>
      </c>
      <c r="D1135">
        <v>5.3323369999999999</v>
      </c>
      <c r="E1135">
        <v>0.60775500000000005</v>
      </c>
      <c r="F1135" t="s">
        <v>49</v>
      </c>
      <c r="G1135">
        <v>-186.59719999999999</v>
      </c>
      <c r="H1135" s="1">
        <v>-9.393933E-7</v>
      </c>
      <c r="I1135">
        <v>349.70510000000002</v>
      </c>
      <c r="J1135">
        <v>-210.32470000000001</v>
      </c>
      <c r="K1135">
        <v>1.116765</v>
      </c>
      <c r="L1135">
        <v>366.1617</v>
      </c>
      <c r="M1135">
        <v>0.98604619999999998</v>
      </c>
      <c r="N1135">
        <v>-1.4455000000000001E-2</v>
      </c>
      <c r="O1135">
        <v>-0.16584299999999999</v>
      </c>
      <c r="P1135">
        <v>0.92429039999999996</v>
      </c>
      <c r="Q1135">
        <v>0.17873939999999999</v>
      </c>
      <c r="R1135">
        <v>-0.33725270000000002</v>
      </c>
      <c r="S1135">
        <v>2.6210330000000002</v>
      </c>
      <c r="T1135">
        <v>-0.1218679</v>
      </c>
      <c r="U1135">
        <v>-1.8015140000000001</v>
      </c>
      <c r="V1135">
        <v>0.1814491</v>
      </c>
      <c r="W1135">
        <v>0.19066259999999999</v>
      </c>
      <c r="X1135">
        <v>0.96474040000000005</v>
      </c>
      <c r="Y1135">
        <v>0.42152299999999998</v>
      </c>
      <c r="Z1135">
        <v>-7.5479939999999997E-3</v>
      </c>
      <c r="AA1135">
        <v>0.90678630000000005</v>
      </c>
      <c r="AB1135">
        <v>29</v>
      </c>
      <c r="AC1135">
        <v>23.727499999999999</v>
      </c>
      <c r="AD1135">
        <v>-1.1167659393933</v>
      </c>
      <c r="AE1135">
        <v>-16.456599999999899</v>
      </c>
      <c r="AF1135">
        <v>12.274852815212601</v>
      </c>
      <c r="AG1135">
        <v>-1.1167659393933</v>
      </c>
      <c r="AH1135">
        <v>26.089330788752999</v>
      </c>
      <c r="AI1135">
        <v>92.218105936330801</v>
      </c>
      <c r="AJ1135">
        <v>64.803334265917798</v>
      </c>
      <c r="AK1135">
        <v>28.854329983617699</v>
      </c>
      <c r="AL1135">
        <v>79.008544941473502</v>
      </c>
      <c r="AM1135">
        <v>79.348203546983498</v>
      </c>
      <c r="AN1135">
        <v>1.00000002116086</v>
      </c>
    </row>
    <row r="1136" spans="1:40" x14ac:dyDescent="0.25">
      <c r="A1136" t="str">
        <f>"20190303170518971"</f>
        <v>20190303170518971</v>
      </c>
      <c r="B1136" t="str">
        <f>"1551603918965929"</f>
        <v>1551603918965929</v>
      </c>
      <c r="C1136" t="s">
        <v>40</v>
      </c>
      <c r="D1136">
        <v>5.3227929999999999</v>
      </c>
      <c r="E1136">
        <v>0.60795809999999995</v>
      </c>
      <c r="F1136" t="s">
        <v>49</v>
      </c>
      <c r="G1136">
        <v>-187.036</v>
      </c>
      <c r="H1136" s="1">
        <v>-8.5531779999999997E-7</v>
      </c>
      <c r="I1136">
        <v>349.80180000000001</v>
      </c>
      <c r="J1136">
        <v>-210.0257</v>
      </c>
      <c r="K1136">
        <v>1.116611</v>
      </c>
      <c r="L1136">
        <v>366.1046</v>
      </c>
      <c r="M1136">
        <v>0.98497049999999997</v>
      </c>
      <c r="N1136">
        <v>-1.446862E-2</v>
      </c>
      <c r="O1136">
        <v>-0.17211560000000001</v>
      </c>
      <c r="P1136">
        <v>0.92121660000000005</v>
      </c>
      <c r="Q1136">
        <v>0.17903759999999999</v>
      </c>
      <c r="R1136">
        <v>-0.34540670000000001</v>
      </c>
      <c r="S1136">
        <v>2.602722</v>
      </c>
      <c r="T1136">
        <v>-0.1248085</v>
      </c>
      <c r="U1136">
        <v>-1.8283689999999999</v>
      </c>
      <c r="V1136">
        <v>0.18392220000000001</v>
      </c>
      <c r="W1136">
        <v>0.19087229999999999</v>
      </c>
      <c r="X1136">
        <v>0.96423049999999999</v>
      </c>
      <c r="Y1136">
        <v>0.42499900000000002</v>
      </c>
      <c r="Z1136">
        <v>-7.53966599999999E-3</v>
      </c>
      <c r="AA1136">
        <v>0.90516240000000003</v>
      </c>
      <c r="AB1136">
        <v>29</v>
      </c>
      <c r="AC1136">
        <v>22.989699999999999</v>
      </c>
      <c r="AD1136">
        <v>-1.1166118553177999</v>
      </c>
      <c r="AE1136">
        <v>-16.302799999999898</v>
      </c>
      <c r="AF1136">
        <v>12.0831908778987</v>
      </c>
      <c r="AG1136">
        <v>-1.1166118553177999</v>
      </c>
      <c r="AH1136">
        <v>25.412916149085799</v>
      </c>
      <c r="AI1136">
        <v>92.272395341883595</v>
      </c>
      <c r="AJ1136">
        <v>64.570108947876605</v>
      </c>
      <c r="AK1136">
        <v>28.1614387243912</v>
      </c>
      <c r="AL1136">
        <v>78.996305379064793</v>
      </c>
      <c r="AM1136">
        <v>79.200837387492797</v>
      </c>
      <c r="AN1136">
        <v>1.00000003384518</v>
      </c>
    </row>
    <row r="1137" spans="1:40" x14ac:dyDescent="0.25">
      <c r="A1137" t="str">
        <f>"20190303170518993"</f>
        <v>20190303170518993</v>
      </c>
      <c r="B1137" t="str">
        <f>"1551603918985438"</f>
        <v>1551603918985438</v>
      </c>
      <c r="C1137" t="s">
        <v>40</v>
      </c>
      <c r="D1137">
        <v>5.3142180000000003</v>
      </c>
      <c r="E1137">
        <v>0.60801590000000005</v>
      </c>
      <c r="F1137" t="s">
        <v>41</v>
      </c>
      <c r="G1137">
        <v>-186.2653</v>
      </c>
      <c r="H1137" s="1">
        <v>-4.7095749999999997E-6</v>
      </c>
      <c r="I1137">
        <v>349.06670000000003</v>
      </c>
      <c r="J1137">
        <v>-209.7491</v>
      </c>
      <c r="K1137">
        <v>1.1164590000000001</v>
      </c>
      <c r="L1137">
        <v>366.04969999999997</v>
      </c>
      <c r="M1137">
        <v>0.98389930000000003</v>
      </c>
      <c r="N1137">
        <v>-1.4482149999999999E-2</v>
      </c>
      <c r="O1137">
        <v>-0.1781365</v>
      </c>
      <c r="P1137">
        <v>0.91829300000000003</v>
      </c>
      <c r="Q1137">
        <v>0.18061830000000001</v>
      </c>
      <c r="R1137">
        <v>-0.35229959999999999</v>
      </c>
      <c r="S1137">
        <v>2.5851440000000001</v>
      </c>
      <c r="T1137">
        <v>-0.1214885</v>
      </c>
      <c r="U1137">
        <v>-1.853729</v>
      </c>
      <c r="V1137">
        <v>0.18539610000000001</v>
      </c>
      <c r="W1137">
        <v>0.19237460000000001</v>
      </c>
      <c r="X1137">
        <v>0.96364950000000005</v>
      </c>
      <c r="Y1137">
        <v>0.42825400000000002</v>
      </c>
      <c r="Z1137">
        <v>-7.43772599999999E-3</v>
      </c>
      <c r="AA1137">
        <v>0.90362779999999998</v>
      </c>
      <c r="AB1137">
        <v>29</v>
      </c>
      <c r="AC1137">
        <v>23.483799999999999</v>
      </c>
      <c r="AD1137">
        <v>-1.1164637095749901</v>
      </c>
      <c r="AE1137">
        <v>-16.982999999999901</v>
      </c>
      <c r="AF1137">
        <v>12.508988268679801</v>
      </c>
      <c r="AG1137">
        <v>-1.1164637095749901</v>
      </c>
      <c r="AH1137">
        <v>26.094997992009102</v>
      </c>
      <c r="AI1137">
        <v>92.209425063817406</v>
      </c>
      <c r="AJ1137">
        <v>64.388643620383206</v>
      </c>
      <c r="AK1137">
        <v>28.959803157544499</v>
      </c>
      <c r="AL1137">
        <v>78.908604653509698</v>
      </c>
      <c r="AM1137">
        <v>79.109949815003702</v>
      </c>
      <c r="AN1137">
        <v>1.0000000297353</v>
      </c>
    </row>
    <row r="1138" spans="1:40" x14ac:dyDescent="0.25">
      <c r="A1138" t="str">
        <f>"20190303170519015"</f>
        <v>20190303170519015</v>
      </c>
      <c r="B1138" t="str">
        <f>"1551603919005934"</f>
        <v>1551603919005934</v>
      </c>
      <c r="C1138" t="s">
        <v>40</v>
      </c>
      <c r="D1138">
        <v>5.3057689999999997</v>
      </c>
      <c r="E1138">
        <v>0.60797970000000001</v>
      </c>
      <c r="F1138" t="s">
        <v>41</v>
      </c>
      <c r="G1138">
        <v>-185.4451</v>
      </c>
      <c r="H1138" s="1">
        <v>-4.5505230000000003E-6</v>
      </c>
      <c r="I1138">
        <v>348.35680000000002</v>
      </c>
      <c r="J1138">
        <v>-209.46010000000001</v>
      </c>
      <c r="K1138">
        <v>1.1162920000000001</v>
      </c>
      <c r="L1138">
        <v>365.99029999999999</v>
      </c>
      <c r="M1138">
        <v>0.98269280000000003</v>
      </c>
      <c r="N1138">
        <v>-1.4499E-2</v>
      </c>
      <c r="O1138">
        <v>-0.1846749</v>
      </c>
      <c r="P1138">
        <v>0.91486730000000005</v>
      </c>
      <c r="Q1138">
        <v>0.18106159999999999</v>
      </c>
      <c r="R1138">
        <v>-0.3608806</v>
      </c>
      <c r="S1138">
        <v>2.5718839999999998</v>
      </c>
      <c r="T1138">
        <v>-0.1181455</v>
      </c>
      <c r="U1138">
        <v>-1.8722840000000001</v>
      </c>
      <c r="V1138">
        <v>0.18811839999999999</v>
      </c>
      <c r="W1138">
        <v>0.19271479999999999</v>
      </c>
      <c r="X1138">
        <v>0.96305370000000001</v>
      </c>
      <c r="Y1138">
        <v>0.42873990000000001</v>
      </c>
      <c r="Z1138">
        <v>-7.2513129999999997E-3</v>
      </c>
      <c r="AA1138">
        <v>0.9033989</v>
      </c>
      <c r="AB1138">
        <v>29</v>
      </c>
      <c r="AC1138">
        <v>24.015000000000001</v>
      </c>
      <c r="AD1138">
        <v>-1.116296550523</v>
      </c>
      <c r="AE1138">
        <v>-17.633499999999898</v>
      </c>
      <c r="AF1138">
        <v>12.8766235556987</v>
      </c>
      <c r="AG1138">
        <v>-1.116296550523</v>
      </c>
      <c r="AH1138">
        <v>26.821001384318699</v>
      </c>
      <c r="AI1138">
        <v>92.148742284337501</v>
      </c>
      <c r="AJ1138">
        <v>64.354579355292401</v>
      </c>
      <c r="AK1138">
        <v>29.7728007994127</v>
      </c>
      <c r="AL1138">
        <v>78.888740359947406</v>
      </c>
      <c r="AM1138">
        <v>78.947283685912396</v>
      </c>
      <c r="AN1138">
        <v>0.99999997782064398</v>
      </c>
    </row>
    <row r="1139" spans="1:40" x14ac:dyDescent="0.25">
      <c r="A1139" t="str">
        <f>"20190303170519039"</f>
        <v>20190303170519039</v>
      </c>
      <c r="B1139" t="str">
        <f>"1551603919025454"</f>
        <v>1551603919025454</v>
      </c>
      <c r="C1139" t="s">
        <v>40</v>
      </c>
      <c r="D1139">
        <v>5.3068280000000003</v>
      </c>
      <c r="E1139">
        <v>0.60797239999999997</v>
      </c>
      <c r="F1139" t="s">
        <v>41</v>
      </c>
      <c r="G1139">
        <v>-185.31489999999999</v>
      </c>
      <c r="H1139" s="1">
        <v>-4.4585419999999996E-6</v>
      </c>
      <c r="I1139">
        <v>348.08850000000001</v>
      </c>
      <c r="J1139">
        <v>-209.16849999999999</v>
      </c>
      <c r="K1139">
        <v>1.1160920000000001</v>
      </c>
      <c r="L1139">
        <v>365.928</v>
      </c>
      <c r="M1139">
        <v>0.98137649999999998</v>
      </c>
      <c r="N1139">
        <v>-1.4519509999999999E-2</v>
      </c>
      <c r="O1139">
        <v>-0.19154550000000001</v>
      </c>
      <c r="P1139">
        <v>0.9109969</v>
      </c>
      <c r="Q1139">
        <v>0.18089949999999999</v>
      </c>
      <c r="R1139">
        <v>-0.37062210000000001</v>
      </c>
      <c r="S1139">
        <v>2.555237</v>
      </c>
      <c r="T1139">
        <v>-0.118135199999999</v>
      </c>
      <c r="U1139">
        <v>-1.894501</v>
      </c>
      <c r="V1139">
        <v>0.1917499</v>
      </c>
      <c r="W1139">
        <v>0.1924266</v>
      </c>
      <c r="X1139">
        <v>0.96239490000000005</v>
      </c>
      <c r="Y1139">
        <v>0.43030289999999999</v>
      </c>
      <c r="Z1139">
        <v>-7.1350769999999897E-3</v>
      </c>
      <c r="AA1139">
        <v>0.90265640000000003</v>
      </c>
      <c r="AB1139">
        <v>29</v>
      </c>
      <c r="AC1139">
        <v>23.8536</v>
      </c>
      <c r="AD1139">
        <v>-1.1160964585419999</v>
      </c>
      <c r="AE1139">
        <v>-17.839500000000001</v>
      </c>
      <c r="AF1139">
        <v>12.921436751456699</v>
      </c>
      <c r="AG1139">
        <v>-1.1160964585419999</v>
      </c>
      <c r="AH1139">
        <v>26.7916472015498</v>
      </c>
      <c r="AI1139">
        <v>92.148864037950702</v>
      </c>
      <c r="AJ1139">
        <v>64.252289788120606</v>
      </c>
      <c r="AK1139">
        <v>29.765778316700899</v>
      </c>
      <c r="AL1139">
        <v>78.905568012041797</v>
      </c>
      <c r="AM1139">
        <v>78.731809632656095</v>
      </c>
      <c r="AN1139">
        <v>0.99999998204178997</v>
      </c>
    </row>
    <row r="1140" spans="1:40" x14ac:dyDescent="0.25">
      <c r="A1140" t="str">
        <f>"20190303170519062"</f>
        <v>20190303170519062</v>
      </c>
      <c r="B1140" t="str">
        <f>"1551603919055710"</f>
        <v>1551603919055710</v>
      </c>
      <c r="C1140" t="s">
        <v>40</v>
      </c>
      <c r="D1140">
        <v>5.3166510000000002</v>
      </c>
      <c r="E1140">
        <v>0.60792650000000004</v>
      </c>
      <c r="F1140" t="s">
        <v>41</v>
      </c>
      <c r="G1140">
        <v>-184.94730000000001</v>
      </c>
      <c r="H1140" s="1">
        <v>-4.2943270000000002E-6</v>
      </c>
      <c r="I1140">
        <v>347.55369999999999</v>
      </c>
      <c r="J1140">
        <v>-208.8672</v>
      </c>
      <c r="K1140">
        <v>1.1158629999999901</v>
      </c>
      <c r="L1140">
        <v>365.8612</v>
      </c>
      <c r="M1140">
        <v>0.9799021</v>
      </c>
      <c r="N1140">
        <v>-1.4544039999999999E-2</v>
      </c>
      <c r="O1140">
        <v>-0.19894909999999999</v>
      </c>
      <c r="P1140">
        <v>0.90677949999999996</v>
      </c>
      <c r="Q1140">
        <v>0.17928169999999999</v>
      </c>
      <c r="R1140">
        <v>-0.38158819999999999</v>
      </c>
      <c r="S1140">
        <v>2.5341640000000001</v>
      </c>
      <c r="T1140">
        <v>-0.1167725</v>
      </c>
      <c r="U1140">
        <v>-1.9224239999999999</v>
      </c>
      <c r="V1140">
        <v>0.19612830000000001</v>
      </c>
      <c r="W1140">
        <v>0.1906612</v>
      </c>
      <c r="X1140">
        <v>0.96186380000000005</v>
      </c>
      <c r="Y1140">
        <v>0.43341740000000001</v>
      </c>
      <c r="Z1140">
        <v>-7.0422719999999996E-3</v>
      </c>
      <c r="AA1140">
        <v>0.90116580000000002</v>
      </c>
      <c r="AB1140">
        <v>29</v>
      </c>
      <c r="AC1140">
        <v>23.919899999999899</v>
      </c>
      <c r="AD1140">
        <v>-1.1158672943269901</v>
      </c>
      <c r="AE1140">
        <v>-18.307500000000001</v>
      </c>
      <c r="AF1140">
        <v>13.1640412236705</v>
      </c>
      <c r="AG1140">
        <v>-1.1158672943269901</v>
      </c>
      <c r="AH1140">
        <v>27.0471622960243</v>
      </c>
      <c r="AI1140">
        <v>92.124466853224106</v>
      </c>
      <c r="AJ1140">
        <v>64.047492263216398</v>
      </c>
      <c r="AK1140">
        <v>30.101264581816601</v>
      </c>
      <c r="AL1140">
        <v>79.008626268794899</v>
      </c>
      <c r="AM1140">
        <v>78.475126113671706</v>
      </c>
      <c r="AN1140">
        <v>0.99999998649838495</v>
      </c>
    </row>
    <row r="1141" spans="1:40" x14ac:dyDescent="0.25">
      <c r="A1141" t="str">
        <f>"20190303170519084"</f>
        <v>20190303170519084</v>
      </c>
      <c r="B1141" t="str">
        <f>"1551603919075869"</f>
        <v>1551603919075869</v>
      </c>
      <c r="C1141" t="s">
        <v>40</v>
      </c>
      <c r="D1141">
        <v>5.3373480000000004</v>
      </c>
      <c r="E1141">
        <v>0.60785819999999902</v>
      </c>
      <c r="F1141" t="s">
        <v>41</v>
      </c>
      <c r="G1141">
        <v>-185.37289999999999</v>
      </c>
      <c r="H1141" s="1">
        <v>-4.2270850000000004E-6</v>
      </c>
      <c r="I1141">
        <v>347.57299999999998</v>
      </c>
      <c r="J1141">
        <v>-208.58250000000001</v>
      </c>
      <c r="K1141">
        <v>1.1156219999999999</v>
      </c>
      <c r="L1141">
        <v>365.7953</v>
      </c>
      <c r="M1141">
        <v>0.97838550000000002</v>
      </c>
      <c r="N1141">
        <v>-1.457029E-2</v>
      </c>
      <c r="O1141">
        <v>-0.2062756</v>
      </c>
      <c r="P1141">
        <v>0.90250370000000002</v>
      </c>
      <c r="Q1141">
        <v>0.17817149999999901</v>
      </c>
      <c r="R1141">
        <v>-0.39209959999999999</v>
      </c>
      <c r="S1141">
        <v>2.509827</v>
      </c>
      <c r="T1141">
        <v>-0.1192049</v>
      </c>
      <c r="U1141">
        <v>-1.9536739999999999</v>
      </c>
      <c r="V1141">
        <v>0.2001638</v>
      </c>
      <c r="W1141">
        <v>0.1894024</v>
      </c>
      <c r="X1141">
        <v>0.96128100000000005</v>
      </c>
      <c r="Y1141">
        <v>0.43787690000000001</v>
      </c>
      <c r="Z1141">
        <v>-7.0191799999999999E-3</v>
      </c>
      <c r="AA1141">
        <v>0.89900759999999902</v>
      </c>
      <c r="AB1141">
        <v>29</v>
      </c>
      <c r="AC1141">
        <v>23.209599999999998</v>
      </c>
      <c r="AD1141">
        <v>-1.1156262270849999</v>
      </c>
      <c r="AE1141">
        <v>-18.222299999999901</v>
      </c>
      <c r="AF1141">
        <v>13.0236279083938</v>
      </c>
      <c r="AG1141">
        <v>-1.1156262270849999</v>
      </c>
      <c r="AH1141">
        <v>26.431779145278099</v>
      </c>
      <c r="AI1141">
        <v>92.168256240900206</v>
      </c>
      <c r="AJ1141">
        <v>63.769328161180702</v>
      </c>
      <c r="AK1141">
        <v>29.487259190362401</v>
      </c>
      <c r="AL1141">
        <v>79.082088863955505</v>
      </c>
      <c r="AM1141">
        <v>78.237599273031094</v>
      </c>
      <c r="AN1141">
        <v>0.99999998845859905</v>
      </c>
    </row>
    <row r="1142" spans="1:40" x14ac:dyDescent="0.25">
      <c r="A1142" t="str">
        <f>"20190303170519106"</f>
        <v>20190303170519106</v>
      </c>
      <c r="B1142" t="str">
        <f>"1551603919095388"</f>
        <v>1551603919095388</v>
      </c>
      <c r="C1142" t="s">
        <v>40</v>
      </c>
      <c r="D1142">
        <v>5.3169629999999897</v>
      </c>
      <c r="E1142">
        <v>0.60777969999999903</v>
      </c>
      <c r="F1142" t="s">
        <v>41</v>
      </c>
      <c r="G1142">
        <v>-185.9579</v>
      </c>
      <c r="H1142" s="1">
        <v>-4.2062469999999999E-6</v>
      </c>
      <c r="I1142">
        <v>347.7663</v>
      </c>
      <c r="J1142">
        <v>-208.309</v>
      </c>
      <c r="K1142">
        <v>1.1153979999999999</v>
      </c>
      <c r="L1142">
        <v>365.7296</v>
      </c>
      <c r="M1142">
        <v>0.97680540000000005</v>
      </c>
      <c r="N1142">
        <v>-1.4598649999999999E-2</v>
      </c>
      <c r="O1142">
        <v>-0.21363070000000001</v>
      </c>
      <c r="P1142">
        <v>0.89906949999999997</v>
      </c>
      <c r="Q1142">
        <v>0.17877109999999999</v>
      </c>
      <c r="R1142">
        <v>-0.3996441</v>
      </c>
      <c r="S1142">
        <v>2.4871979999999998</v>
      </c>
      <c r="T1142">
        <v>-0.1226449</v>
      </c>
      <c r="U1142">
        <v>-1.981995</v>
      </c>
      <c r="V1142">
        <v>0.20112469999999999</v>
      </c>
      <c r="W1142">
        <v>0.18990009999999999</v>
      </c>
      <c r="X1142">
        <v>0.96098220000000001</v>
      </c>
      <c r="Y1142">
        <v>0.44133879999999998</v>
      </c>
      <c r="Z1142">
        <v>-6.9623230000000003E-3</v>
      </c>
      <c r="AA1142">
        <v>0.89731349999999999</v>
      </c>
      <c r="AB1142">
        <v>29</v>
      </c>
      <c r="AC1142">
        <v>22.351099999999999</v>
      </c>
      <c r="AD1142">
        <v>-1.1154022062469999</v>
      </c>
      <c r="AE1142">
        <v>-17.9633</v>
      </c>
      <c r="AF1142">
        <v>12.753831172166199</v>
      </c>
      <c r="AG1142">
        <v>-1.1154022062469999</v>
      </c>
      <c r="AH1142">
        <v>25.634137401463502</v>
      </c>
      <c r="AI1142">
        <v>92.230944531840294</v>
      </c>
      <c r="AJ1142">
        <v>63.5481359393142</v>
      </c>
      <c r="AK1142">
        <v>28.653330207271299</v>
      </c>
      <c r="AL1142">
        <v>79.053045690023396</v>
      </c>
      <c r="AM1142">
        <v>78.179146222301796</v>
      </c>
      <c r="AN1142">
        <v>0.99999999082347002</v>
      </c>
    </row>
    <row r="1143" spans="1:40" x14ac:dyDescent="0.25">
      <c r="A1143" t="str">
        <f>"20190303170519128"</f>
        <v>20190303170519128</v>
      </c>
      <c r="B1143" t="str">
        <f>"1551603919115884"</f>
        <v>1551603919115884</v>
      </c>
      <c r="C1143" t="s">
        <v>40</v>
      </c>
      <c r="D1143">
        <v>5.3211879999999896</v>
      </c>
      <c r="E1143">
        <v>0.60771309999999901</v>
      </c>
      <c r="F1143" t="s">
        <v>41</v>
      </c>
      <c r="G1143">
        <v>-185.80719999999999</v>
      </c>
      <c r="H1143" s="1">
        <v>-4.1230339999999998E-6</v>
      </c>
      <c r="I1143">
        <v>347.51</v>
      </c>
      <c r="J1143">
        <v>-208.0249</v>
      </c>
      <c r="K1143">
        <v>1.115183</v>
      </c>
      <c r="L1143">
        <v>365.65870000000001</v>
      </c>
      <c r="M1143">
        <v>0.97503850000000003</v>
      </c>
      <c r="N1143">
        <v>-1.4629690000000001E-2</v>
      </c>
      <c r="O1143">
        <v>-0.22155340000000001</v>
      </c>
      <c r="P1143">
        <v>0.89467640000000004</v>
      </c>
      <c r="Q1143">
        <v>0.1794395</v>
      </c>
      <c r="R1143">
        <v>-0.4090915</v>
      </c>
      <c r="S1143">
        <v>2.4715729999999998</v>
      </c>
      <c r="T1143">
        <v>-0.1225142</v>
      </c>
      <c r="U1143">
        <v>-2.0012210000000001</v>
      </c>
      <c r="V1143">
        <v>0.20359389999999999</v>
      </c>
      <c r="W1143">
        <v>0.190445</v>
      </c>
      <c r="X1143">
        <v>0.96035420000000005</v>
      </c>
      <c r="Y1143">
        <v>0.44104769999999999</v>
      </c>
      <c r="Z1143">
        <v>-6.7555219999999999E-3</v>
      </c>
      <c r="AA1143">
        <v>0.89745830000000004</v>
      </c>
      <c r="AB1143">
        <v>29</v>
      </c>
      <c r="AC1143">
        <v>22.217700000000001</v>
      </c>
      <c r="AD1143">
        <v>-1.115187123034</v>
      </c>
      <c r="AE1143">
        <v>-18.148700000000002</v>
      </c>
      <c r="AF1143">
        <v>12.7553665939315</v>
      </c>
      <c r="AG1143">
        <v>-1.115187123034</v>
      </c>
      <c r="AH1143">
        <v>25.648011031718902</v>
      </c>
      <c r="AI1143">
        <v>92.229495297590901</v>
      </c>
      <c r="AJ1143">
        <v>63.557747550556101</v>
      </c>
      <c r="AK1143">
        <v>28.666417445298901</v>
      </c>
      <c r="AL1143">
        <v>79.021244775549107</v>
      </c>
      <c r="AM1143">
        <v>78.030581592852201</v>
      </c>
      <c r="AN1143">
        <v>0.999999981799924</v>
      </c>
    </row>
    <row r="1144" spans="1:40" x14ac:dyDescent="0.25">
      <c r="A1144" t="str">
        <f>"20190303170519141"</f>
        <v>20190303170519141</v>
      </c>
      <c r="B1144" t="str">
        <f>"1551603919135405"</f>
        <v>1551603919135405</v>
      </c>
      <c r="C1144" t="s">
        <v>40</v>
      </c>
      <c r="D1144">
        <v>5.3594749999999998</v>
      </c>
      <c r="E1144">
        <v>0.60759839999999998</v>
      </c>
      <c r="F1144" t="s">
        <v>41</v>
      </c>
      <c r="G1144">
        <v>-185.25110000000001</v>
      </c>
      <c r="H1144" s="1">
        <v>-3.9237759999999998E-6</v>
      </c>
      <c r="I1144">
        <v>346.81560000000002</v>
      </c>
      <c r="J1144">
        <v>-207.8613</v>
      </c>
      <c r="K1144">
        <v>1.1150659999999999</v>
      </c>
      <c r="L1144">
        <v>365.61669999999998</v>
      </c>
      <c r="M1144">
        <v>0.97396320000000003</v>
      </c>
      <c r="N1144">
        <v>-1.4646960000000001E-2</v>
      </c>
      <c r="O1144">
        <v>-0.22623219999999999</v>
      </c>
      <c r="P1144">
        <v>0.89213790000000004</v>
      </c>
      <c r="Q1144">
        <v>0.1794828</v>
      </c>
      <c r="R1144">
        <v>-0.41457909999999998</v>
      </c>
      <c r="S1144">
        <v>2.4502109999999999</v>
      </c>
      <c r="T1144">
        <v>-0.11998200000000001</v>
      </c>
      <c r="U1144">
        <v>-2.0273129999999999</v>
      </c>
      <c r="V1144">
        <v>0.2049443</v>
      </c>
      <c r="W1144">
        <v>0.1904206</v>
      </c>
      <c r="X1144">
        <v>0.96007180000000003</v>
      </c>
      <c r="Y1144">
        <v>0.4462544</v>
      </c>
      <c r="Z1144">
        <v>-6.7944490000000001E-3</v>
      </c>
      <c r="AA1144">
        <v>0.89488040000000002</v>
      </c>
      <c r="AB1144">
        <v>29</v>
      </c>
      <c r="AC1144">
        <v>22.610199999999899</v>
      </c>
      <c r="AD1144">
        <v>-1.11506992377599</v>
      </c>
      <c r="AE1144">
        <v>-18.801099999999899</v>
      </c>
      <c r="AF1144">
        <v>13.178890630828899</v>
      </c>
      <c r="AG1144">
        <v>-1.11506992377599</v>
      </c>
      <c r="AH1144">
        <v>26.2400064507781</v>
      </c>
      <c r="AI1144">
        <v>92.174737191153795</v>
      </c>
      <c r="AJ1144">
        <v>63.332175368049498</v>
      </c>
      <c r="AK1144">
        <v>29.3847660826343</v>
      </c>
      <c r="AL1144">
        <v>79.022669233866296</v>
      </c>
      <c r="AM1144">
        <v>77.950062621530293</v>
      </c>
      <c r="AN1144">
        <v>1.0000000160810401</v>
      </c>
    </row>
    <row r="1145" spans="1:40" x14ac:dyDescent="0.25">
      <c r="A1145" t="str">
        <f>"20190303170519152"</f>
        <v>20190303170519152</v>
      </c>
      <c r="B1145" t="str">
        <f>"1551603919145164"</f>
        <v>1551603919145164</v>
      </c>
      <c r="C1145" t="s">
        <v>40</v>
      </c>
      <c r="D1145">
        <v>5.344106</v>
      </c>
      <c r="E1145">
        <v>0.60751060000000001</v>
      </c>
      <c r="F1145" t="s">
        <v>41</v>
      </c>
      <c r="G1145">
        <v>-184.95679999999999</v>
      </c>
      <c r="H1145" s="1">
        <v>-3.8091300000000001E-6</v>
      </c>
      <c r="I1145">
        <v>346.42669999999998</v>
      </c>
      <c r="J1145">
        <v>-207.71340000000001</v>
      </c>
      <c r="K1145">
        <v>1.114957</v>
      </c>
      <c r="L1145">
        <v>365.57780000000002</v>
      </c>
      <c r="M1145">
        <v>0.97294409999999998</v>
      </c>
      <c r="N1145">
        <v>-1.4662669999999999E-2</v>
      </c>
      <c r="O1145">
        <v>-0.23057510000000001</v>
      </c>
      <c r="P1145">
        <v>0.8896309</v>
      </c>
      <c r="Q1145">
        <v>0.17945920000000001</v>
      </c>
      <c r="R1145">
        <v>-0.4199426</v>
      </c>
      <c r="S1145">
        <v>2.4375309999999999</v>
      </c>
      <c r="T1145">
        <v>-0.1186678</v>
      </c>
      <c r="U1145">
        <v>-2.0422359999999999</v>
      </c>
      <c r="V1145">
        <v>0.20649310000000001</v>
      </c>
      <c r="W1145">
        <v>0.19033030000000001</v>
      </c>
      <c r="X1145">
        <v>0.95975779999999999</v>
      </c>
      <c r="Y1145">
        <v>0.44777699999999998</v>
      </c>
      <c r="Z1145">
        <v>-6.7349109999999997E-3</v>
      </c>
      <c r="AA1145">
        <v>0.89411989999999997</v>
      </c>
      <c r="AB1145">
        <v>29</v>
      </c>
      <c r="AC1145">
        <v>22.756599999999999</v>
      </c>
      <c r="AD1145">
        <v>-1.1149608091299901</v>
      </c>
      <c r="AE1145">
        <v>-19.1511</v>
      </c>
      <c r="AF1145">
        <v>13.3684966796467</v>
      </c>
      <c r="AG1145">
        <v>-1.1149608091299901</v>
      </c>
      <c r="AH1145">
        <v>26.5222496614067</v>
      </c>
      <c r="AI1145">
        <v>92.149849276719493</v>
      </c>
      <c r="AJ1145">
        <v>63.2496859161621</v>
      </c>
      <c r="AK1145">
        <v>29.721870199932098</v>
      </c>
      <c r="AL1145">
        <v>79.027939571458404</v>
      </c>
      <c r="AM1145">
        <v>77.857836436917495</v>
      </c>
      <c r="AN1145">
        <v>1.00000002905326</v>
      </c>
    </row>
    <row r="1146" spans="1:40" x14ac:dyDescent="0.25">
      <c r="A1146" t="str">
        <f>"20190303170519164"</f>
        <v>20190303170519164</v>
      </c>
      <c r="B1146" t="str">
        <f>"1551603919155901"</f>
        <v>1551603919155901</v>
      </c>
      <c r="C1146" t="s">
        <v>40</v>
      </c>
      <c r="D1146">
        <v>5.3490729999999997</v>
      </c>
      <c r="E1146">
        <v>0.60740660000000002</v>
      </c>
      <c r="F1146" t="s">
        <v>41</v>
      </c>
      <c r="G1146">
        <v>-184.83279999999999</v>
      </c>
      <c r="H1146" s="1">
        <v>-3.7209919999999998E-6</v>
      </c>
      <c r="I1146">
        <v>346.17</v>
      </c>
      <c r="J1146">
        <v>-207.5692</v>
      </c>
      <c r="K1146">
        <v>1.114849</v>
      </c>
      <c r="L1146">
        <v>365.5394</v>
      </c>
      <c r="M1146">
        <v>0.97192179999999995</v>
      </c>
      <c r="N1146">
        <v>-1.467742E-2</v>
      </c>
      <c r="O1146">
        <v>-0.23484569999999999</v>
      </c>
      <c r="P1146">
        <v>0.88702159999999997</v>
      </c>
      <c r="Q1146">
        <v>0.17896960000000001</v>
      </c>
      <c r="R1146">
        <v>-0.4256318</v>
      </c>
      <c r="S1146">
        <v>2.425049</v>
      </c>
      <c r="T1146">
        <v>-0.1181712</v>
      </c>
      <c r="U1146">
        <v>-2.0569760000000001</v>
      </c>
      <c r="V1146">
        <v>0.20844789999999999</v>
      </c>
      <c r="W1146">
        <v>0.18976709999999999</v>
      </c>
      <c r="X1146">
        <v>0.95944669999999999</v>
      </c>
      <c r="Y1146">
        <v>0.44928210000000002</v>
      </c>
      <c r="Z1146">
        <v>-6.6780819999999897E-3</v>
      </c>
      <c r="AA1146">
        <v>0.89336499999999996</v>
      </c>
      <c r="AB1146">
        <v>29</v>
      </c>
      <c r="AC1146">
        <v>22.7364</v>
      </c>
      <c r="AD1146">
        <v>-1.1148527209920001</v>
      </c>
      <c r="AE1146">
        <v>-19.369399999999899</v>
      </c>
      <c r="AF1146">
        <v>13.4686852219927</v>
      </c>
      <c r="AG1146">
        <v>-1.1148527209920001</v>
      </c>
      <c r="AH1146">
        <v>26.612618279733599</v>
      </c>
      <c r="AI1146">
        <v>92.140580684470095</v>
      </c>
      <c r="AJ1146">
        <v>63.155961160363198</v>
      </c>
      <c r="AK1146">
        <v>29.847610120434101</v>
      </c>
      <c r="AL1146">
        <v>79.060807536348506</v>
      </c>
      <c r="AM1146">
        <v>77.742495129790299</v>
      </c>
      <c r="AN1146">
        <v>1.0000000246988501</v>
      </c>
    </row>
    <row r="1147" spans="1:40" x14ac:dyDescent="0.25">
      <c r="A1147" t="str">
        <f>"20190303170519177"</f>
        <v>20190303170519177</v>
      </c>
      <c r="B1147" t="str">
        <f>"1551603919165660"</f>
        <v>1551603919165660</v>
      </c>
      <c r="C1147" t="s">
        <v>40</v>
      </c>
      <c r="D1147">
        <v>5.349672</v>
      </c>
      <c r="E1147">
        <v>0.60729409999999995</v>
      </c>
      <c r="F1147" t="s">
        <v>41</v>
      </c>
      <c r="G1147">
        <v>-185.0138</v>
      </c>
      <c r="H1147" s="1">
        <v>-3.6821019999999999E-6</v>
      </c>
      <c r="I1147">
        <v>346.15410000000003</v>
      </c>
      <c r="J1147">
        <v>-207.40260000000001</v>
      </c>
      <c r="K1147">
        <v>1.1147129999999901</v>
      </c>
      <c r="L1147">
        <v>365.49360000000001</v>
      </c>
      <c r="M1147">
        <v>0.97067389999999998</v>
      </c>
      <c r="N1147">
        <v>-1.4696509999999999E-2</v>
      </c>
      <c r="O1147">
        <v>-0.2399501</v>
      </c>
      <c r="P1147">
        <v>0.88401909999999895</v>
      </c>
      <c r="Q1147">
        <v>0.17847750000000001</v>
      </c>
      <c r="R1147">
        <v>-0.4320369</v>
      </c>
      <c r="S1147">
        <v>2.4116209999999998</v>
      </c>
      <c r="T1147">
        <v>-0.1191996</v>
      </c>
      <c r="U1147">
        <v>-2.0726619999999998</v>
      </c>
      <c r="V1147">
        <v>0.21037910000000001</v>
      </c>
      <c r="W1147">
        <v>0.1891922</v>
      </c>
      <c r="X1147">
        <v>0.95913859999999995</v>
      </c>
      <c r="Y1147">
        <v>0.45038339999999999</v>
      </c>
      <c r="Z1147">
        <v>-6.5868840000000003E-3</v>
      </c>
      <c r="AA1147">
        <v>0.89281089999999996</v>
      </c>
      <c r="AB1147">
        <v>29</v>
      </c>
      <c r="AC1147">
        <v>22.3888</v>
      </c>
      <c r="AD1147">
        <v>-1.11471668210199</v>
      </c>
      <c r="AE1147">
        <v>-19.339499999999902</v>
      </c>
      <c r="AF1147">
        <v>13.3826026487242</v>
      </c>
      <c r="AG1147">
        <v>-1.11471668210199</v>
      </c>
      <c r="AH1147">
        <v>26.3381978817402</v>
      </c>
      <c r="AI1147">
        <v>92.160852403799197</v>
      </c>
      <c r="AJ1147">
        <v>63.064592284352699</v>
      </c>
      <c r="AK1147">
        <v>29.5641220839162</v>
      </c>
      <c r="AL1147">
        <v>79.094353817480396</v>
      </c>
      <c r="AM1147">
        <v>77.628562475591806</v>
      </c>
      <c r="AN1147">
        <v>0.99999995413380305</v>
      </c>
    </row>
    <row r="1148" spans="1:40" x14ac:dyDescent="0.25">
      <c r="A1148" t="str">
        <f>"20190303170519190"</f>
        <v>20190303170519190</v>
      </c>
      <c r="B1148" t="str">
        <f>"1551603919185817"</f>
        <v>1551603919185817</v>
      </c>
      <c r="C1148" t="s">
        <v>40</v>
      </c>
      <c r="D1148">
        <v>5.3598990000000004</v>
      </c>
      <c r="E1148">
        <v>0.60719599999999996</v>
      </c>
      <c r="F1148" t="s">
        <v>41</v>
      </c>
      <c r="G1148">
        <v>-185.3142</v>
      </c>
      <c r="H1148" s="1">
        <v>-3.667468E-6</v>
      </c>
      <c r="I1148">
        <v>346.24419999999998</v>
      </c>
      <c r="J1148">
        <v>-207.24180000000001</v>
      </c>
      <c r="K1148">
        <v>1.114584</v>
      </c>
      <c r="L1148">
        <v>365.4486</v>
      </c>
      <c r="M1148">
        <v>0.96942030000000001</v>
      </c>
      <c r="N1148">
        <v>-1.4716379999999999E-2</v>
      </c>
      <c r="O1148">
        <v>-0.2449653</v>
      </c>
      <c r="P1148">
        <v>0.88099910000000003</v>
      </c>
      <c r="Q1148">
        <v>0.1779135</v>
      </c>
      <c r="R1148">
        <v>-0.438392</v>
      </c>
      <c r="S1148">
        <v>2.3970950000000002</v>
      </c>
      <c r="T1148">
        <v>-0.12097189999999999</v>
      </c>
      <c r="U1148">
        <v>-2.0889890000000002</v>
      </c>
      <c r="V1148">
        <v>0.21235480000000001</v>
      </c>
      <c r="W1148">
        <v>0.18854409999999999</v>
      </c>
      <c r="X1148">
        <v>0.95883079999999998</v>
      </c>
      <c r="Y1148">
        <v>0.45189420000000002</v>
      </c>
      <c r="Z1148">
        <v>-6.5042950000000002E-3</v>
      </c>
      <c r="AA1148">
        <v>0.89204779999999995</v>
      </c>
      <c r="AB1148">
        <v>29</v>
      </c>
      <c r="AC1148">
        <v>21.927600000000002</v>
      </c>
      <c r="AD1148">
        <v>-1.114587667468</v>
      </c>
      <c r="AE1148">
        <v>-19.2044</v>
      </c>
      <c r="AF1148">
        <v>13.227725488530099</v>
      </c>
      <c r="AG1148">
        <v>-1.114587667468</v>
      </c>
      <c r="AH1148">
        <v>25.926371265241801</v>
      </c>
      <c r="AI1148">
        <v>92.193030609387407</v>
      </c>
      <c r="AJ1148">
        <v>62.9691659600091</v>
      </c>
      <c r="AK1148">
        <v>29.127165228554901</v>
      </c>
      <c r="AL1148">
        <v>79.132167957249393</v>
      </c>
      <c r="AM1148">
        <v>77.512124951653604</v>
      </c>
      <c r="AN1148">
        <v>0.99999997087824399</v>
      </c>
    </row>
    <row r="1149" spans="1:40" x14ac:dyDescent="0.25">
      <c r="A1149" t="str">
        <f>"20190303170519201"</f>
        <v>20190303170519201</v>
      </c>
      <c r="B1149" t="str">
        <f>"1551603919195576"</f>
        <v>1551603919195576</v>
      </c>
      <c r="C1149" t="s">
        <v>40</v>
      </c>
      <c r="D1149">
        <v>5.3353129999999904</v>
      </c>
      <c r="E1149">
        <v>0.60083679999999995</v>
      </c>
      <c r="F1149" t="s">
        <v>41</v>
      </c>
      <c r="G1149">
        <v>-185.559</v>
      </c>
      <c r="H1149" s="1">
        <v>-3.640972E-6</v>
      </c>
      <c r="I1149">
        <v>346.28370000000001</v>
      </c>
      <c r="J1149">
        <v>-207.09180000000001</v>
      </c>
      <c r="K1149">
        <v>1.1144609999999999</v>
      </c>
      <c r="L1149">
        <v>365.40589999999997</v>
      </c>
      <c r="M1149">
        <v>0.96820819999999996</v>
      </c>
      <c r="N1149">
        <v>-1.473583E-2</v>
      </c>
      <c r="O1149">
        <v>-0.2497114</v>
      </c>
      <c r="P1149">
        <v>0.87836499999999995</v>
      </c>
      <c r="Q1149">
        <v>0.17785960000000001</v>
      </c>
      <c r="R1149">
        <v>-0.4436679</v>
      </c>
      <c r="S1149">
        <v>2.3821870000000001</v>
      </c>
      <c r="T1149">
        <v>-0.1224546</v>
      </c>
      <c r="U1149">
        <v>-2.1055600000000001</v>
      </c>
      <c r="V1149">
        <v>0.21346419999999999</v>
      </c>
      <c r="W1149">
        <v>0.18842419999999999</v>
      </c>
      <c r="X1149">
        <v>0.95860800000000002</v>
      </c>
      <c r="Y1149">
        <v>0.45376909999999998</v>
      </c>
      <c r="Z1149">
        <v>-6.4363729999999996E-3</v>
      </c>
      <c r="AA1149">
        <v>0.89109609999999995</v>
      </c>
      <c r="AB1149">
        <v>29</v>
      </c>
      <c r="AC1149">
        <v>21.532799999999899</v>
      </c>
      <c r="AD1149">
        <v>-1.114464640972</v>
      </c>
      <c r="AE1149">
        <v>-19.1221999999999</v>
      </c>
      <c r="AF1149">
        <v>13.119063709690799</v>
      </c>
      <c r="AG1149">
        <v>-1.114464640972</v>
      </c>
      <c r="AH1149">
        <v>25.587725230142102</v>
      </c>
      <c r="AI1149">
        <v>92.219527211213006</v>
      </c>
      <c r="AJ1149">
        <v>62.855365481626997</v>
      </c>
      <c r="AK1149">
        <v>28.776440824190701</v>
      </c>
      <c r="AL1149">
        <v>79.139163099297704</v>
      </c>
      <c r="AM1149">
        <v>77.446122226044494</v>
      </c>
      <c r="AN1149">
        <v>0.99999997074563896</v>
      </c>
    </row>
    <row r="1150" spans="1:40" x14ac:dyDescent="0.25">
      <c r="A1150" t="str">
        <f>"20190303170519219"</f>
        <v>20190303170519219</v>
      </c>
      <c r="B1150" t="str">
        <f>"1551603919205336"</f>
        <v>1551603919205336</v>
      </c>
      <c r="C1150" t="s">
        <v>40</v>
      </c>
      <c r="D1150">
        <v>5.3801569999999996</v>
      </c>
      <c r="E1150">
        <v>0.60081169999999995</v>
      </c>
      <c r="F1150" t="s">
        <v>41</v>
      </c>
      <c r="G1150">
        <v>-188.565</v>
      </c>
      <c r="H1150" s="1">
        <v>-4.428107E-6</v>
      </c>
      <c r="I1150">
        <v>349.36149999999998</v>
      </c>
      <c r="J1150">
        <v>-206.8887</v>
      </c>
      <c r="K1150">
        <v>1.114293</v>
      </c>
      <c r="L1150">
        <v>365.34629999999999</v>
      </c>
      <c r="M1150">
        <v>0.96647640000000001</v>
      </c>
      <c r="N1150">
        <v>-1.4765240000000001E-2</v>
      </c>
      <c r="O1150">
        <v>-0.25633109999999998</v>
      </c>
      <c r="P1150">
        <v>0.87518379999999996</v>
      </c>
      <c r="Q1150">
        <v>0.17871189999999901</v>
      </c>
      <c r="R1150">
        <v>-0.44957330000000001</v>
      </c>
      <c r="S1150">
        <v>2.3963930000000002</v>
      </c>
      <c r="T1150">
        <v>-0.1441537</v>
      </c>
      <c r="U1150">
        <v>-2.0753170000000001</v>
      </c>
      <c r="V1150">
        <v>0.21349870000000001</v>
      </c>
      <c r="W1150">
        <v>0.1892132</v>
      </c>
      <c r="X1150">
        <v>0.95844490000000004</v>
      </c>
      <c r="Y1150">
        <v>0.43851610000000002</v>
      </c>
      <c r="Z1150">
        <v>-5.5781709999999998E-3</v>
      </c>
      <c r="AA1150">
        <v>0.89870599999999901</v>
      </c>
      <c r="AB1150">
        <v>29</v>
      </c>
      <c r="AC1150">
        <v>18.323699999999999</v>
      </c>
      <c r="AD1150">
        <v>-1.1142974281069999</v>
      </c>
      <c r="AE1150">
        <v>-15.9848</v>
      </c>
      <c r="AF1150">
        <v>10.730634404600799</v>
      </c>
      <c r="AG1150">
        <v>-1.1142974281069999</v>
      </c>
      <c r="AH1150">
        <v>21.763496525545001</v>
      </c>
      <c r="AI1150">
        <v>92.629276278963701</v>
      </c>
      <c r="AJ1150">
        <v>63.754096458360998</v>
      </c>
      <c r="AK1150">
        <v>24.290696871454699</v>
      </c>
      <c r="AL1150">
        <v>79.093128739070295</v>
      </c>
      <c r="AM1150">
        <v>77.4420887256463</v>
      </c>
      <c r="AN1150">
        <v>0.99999997814596897</v>
      </c>
    </row>
    <row r="1151" spans="1:40" x14ac:dyDescent="0.25">
      <c r="A1151" t="str">
        <f>"20190303170519235"</f>
        <v>20190303170519235</v>
      </c>
      <c r="B1151" t="str">
        <f>"1551603919225833"</f>
        <v>1551603919225833</v>
      </c>
      <c r="C1151" t="s">
        <v>40</v>
      </c>
      <c r="D1151">
        <v>5.3642399999999997</v>
      </c>
      <c r="E1151">
        <v>0.60017969999999998</v>
      </c>
      <c r="F1151" t="s">
        <v>41</v>
      </c>
      <c r="G1151">
        <v>-188.02430000000001</v>
      </c>
      <c r="H1151" s="1">
        <v>-4.2708440000000002E-6</v>
      </c>
      <c r="I1151">
        <v>348.7713</v>
      </c>
      <c r="J1151">
        <v>-206.6755</v>
      </c>
      <c r="K1151">
        <v>1.114104</v>
      </c>
      <c r="L1151">
        <v>365.28199999999998</v>
      </c>
      <c r="M1151">
        <v>0.96455590000000002</v>
      </c>
      <c r="N1151">
        <v>-1.479712E-2</v>
      </c>
      <c r="O1151">
        <v>-0.26346340000000001</v>
      </c>
      <c r="P1151">
        <v>0.87195529999999999</v>
      </c>
      <c r="Q1151">
        <v>0.17929990000000001</v>
      </c>
      <c r="R1151">
        <v>-0.45557170000000002</v>
      </c>
      <c r="S1151">
        <v>2.3816220000000001</v>
      </c>
      <c r="T1151">
        <v>-0.14067959999999999</v>
      </c>
      <c r="U1151">
        <v>-2.09259</v>
      </c>
      <c r="V1151">
        <v>0.2131284</v>
      </c>
      <c r="W1151">
        <v>0.1897414</v>
      </c>
      <c r="X1151">
        <v>0.95842289999999997</v>
      </c>
      <c r="Y1151">
        <v>0.43833919999999998</v>
      </c>
      <c r="Z1151">
        <v>-5.38676E-3</v>
      </c>
      <c r="AA1151">
        <v>0.89879349999999902</v>
      </c>
      <c r="AB1151">
        <v>29</v>
      </c>
      <c r="AC1151">
        <v>18.6511999999999</v>
      </c>
      <c r="AD1151">
        <v>-1.114108270844</v>
      </c>
      <c r="AE1151">
        <v>-16.5106999999999</v>
      </c>
      <c r="AF1151">
        <v>10.990803382677701</v>
      </c>
      <c r="AG1151">
        <v>-1.114108270844</v>
      </c>
      <c r="AH1151">
        <v>22.2979297657172</v>
      </c>
      <c r="AI1151">
        <v>92.566060507613997</v>
      </c>
      <c r="AJ1151">
        <v>63.760994250001801</v>
      </c>
      <c r="AK1151">
        <v>24.884466401205</v>
      </c>
      <c r="AL1151">
        <v>79.062306840792104</v>
      </c>
      <c r="AM1151">
        <v>77.462901803662106</v>
      </c>
      <c r="AN1151">
        <v>0.99999998450246397</v>
      </c>
    </row>
    <row r="1152" spans="1:40" x14ac:dyDescent="0.25">
      <c r="A1152" t="str">
        <f>"20190303170519248"</f>
        <v>20190303170519248</v>
      </c>
      <c r="B1152" t="str">
        <f>"1551603919235593"</f>
        <v>1551603919235593</v>
      </c>
      <c r="C1152" t="s">
        <v>40</v>
      </c>
      <c r="D1152">
        <v>5.3728360000000004</v>
      </c>
      <c r="E1152">
        <v>0.60004009999999997</v>
      </c>
      <c r="F1152" t="s">
        <v>41</v>
      </c>
      <c r="G1152">
        <v>-187.875</v>
      </c>
      <c r="H1152" s="1">
        <v>-4.2148690000000003E-6</v>
      </c>
      <c r="I1152">
        <v>348.57909999999998</v>
      </c>
      <c r="J1152">
        <v>-206.5214</v>
      </c>
      <c r="K1152">
        <v>1.113964</v>
      </c>
      <c r="L1152">
        <v>365.23450000000003</v>
      </c>
      <c r="M1152">
        <v>0.96310180000000001</v>
      </c>
      <c r="N1152">
        <v>-1.482079E-2</v>
      </c>
      <c r="O1152">
        <v>-0.26872940000000001</v>
      </c>
      <c r="P1152">
        <v>0.86953340000000001</v>
      </c>
      <c r="Q1152">
        <v>0.1793053</v>
      </c>
      <c r="R1152">
        <v>-0.46017580000000002</v>
      </c>
      <c r="S1152">
        <v>2.3695369999999998</v>
      </c>
      <c r="T1152">
        <v>-0.14041719999999999</v>
      </c>
      <c r="U1152">
        <v>-2.1051639999999998</v>
      </c>
      <c r="V1152">
        <v>0.21302460000000001</v>
      </c>
      <c r="W1152">
        <v>0.18970020000000001</v>
      </c>
      <c r="X1152">
        <v>0.95845409999999998</v>
      </c>
      <c r="Y1152">
        <v>0.43837219999999999</v>
      </c>
      <c r="Z1152">
        <v>-5.2273049999999998E-3</v>
      </c>
      <c r="AA1152">
        <v>0.89877839999999998</v>
      </c>
      <c r="AB1152">
        <v>29</v>
      </c>
      <c r="AC1152">
        <v>18.6464</v>
      </c>
      <c r="AD1152">
        <v>-1.113968214869</v>
      </c>
      <c r="AE1152">
        <v>-16.6554</v>
      </c>
      <c r="AF1152">
        <v>11.009364496913401</v>
      </c>
      <c r="AG1152">
        <v>-1.113968214869</v>
      </c>
      <c r="AH1152">
        <v>22.392186048698999</v>
      </c>
      <c r="AI1152">
        <v>92.556212639564393</v>
      </c>
      <c r="AJ1152">
        <v>63.818454119899698</v>
      </c>
      <c r="AK1152">
        <v>24.977130096333799</v>
      </c>
      <c r="AL1152">
        <v>79.064710754514095</v>
      </c>
      <c r="AM1152">
        <v>77.4692098816206</v>
      </c>
      <c r="AN1152">
        <v>0.99999995394600305</v>
      </c>
    </row>
    <row r="1153" spans="1:40" x14ac:dyDescent="0.25">
      <c r="A1153" t="str">
        <f>"20190303170519262"</f>
        <v>20190303170519262</v>
      </c>
      <c r="B1153" t="str">
        <f>"1551603919256089"</f>
        <v>1551603919256089</v>
      </c>
      <c r="C1153" t="s">
        <v>40</v>
      </c>
      <c r="D1153">
        <v>5.39222</v>
      </c>
      <c r="E1153">
        <v>0.59954130000000005</v>
      </c>
      <c r="F1153" t="s">
        <v>41</v>
      </c>
      <c r="G1153">
        <v>-187.74100000000001</v>
      </c>
      <c r="H1153" s="1">
        <v>-4.153266E-6</v>
      </c>
      <c r="I1153">
        <v>348.38010000000003</v>
      </c>
      <c r="J1153">
        <v>-206.3338</v>
      </c>
      <c r="K1153">
        <v>1.113777</v>
      </c>
      <c r="L1153">
        <v>365.17520000000002</v>
      </c>
      <c r="M1153">
        <v>0.961252</v>
      </c>
      <c r="N1153">
        <v>-1.485059E-2</v>
      </c>
      <c r="O1153">
        <v>-0.27527079999999998</v>
      </c>
      <c r="P1153">
        <v>0.86639999999999995</v>
      </c>
      <c r="Q1153">
        <v>0.17700969999999999</v>
      </c>
      <c r="R1153">
        <v>-0.46692460000000002</v>
      </c>
      <c r="S1153">
        <v>2.3587189999999998</v>
      </c>
      <c r="T1153">
        <v>-0.13990859999999999</v>
      </c>
      <c r="U1153">
        <v>-2.1168209999999998</v>
      </c>
      <c r="V1153">
        <v>0.21387310000000001</v>
      </c>
      <c r="W1153">
        <v>0.187333</v>
      </c>
      <c r="X1153">
        <v>0.95873079999999999</v>
      </c>
      <c r="Y1153">
        <v>0.43677769999999999</v>
      </c>
      <c r="Z1153">
        <v>-4.9794949999999996E-3</v>
      </c>
      <c r="AA1153">
        <v>0.89955569999999896</v>
      </c>
      <c r="AB1153">
        <v>29</v>
      </c>
      <c r="AC1153">
        <v>18.5928</v>
      </c>
      <c r="AD1153">
        <v>-1.113781153266</v>
      </c>
      <c r="AE1153">
        <v>-16.795099999999898</v>
      </c>
      <c r="AF1153">
        <v>11.0057367870403</v>
      </c>
      <c r="AG1153">
        <v>-1.113781153266</v>
      </c>
      <c r="AH1153">
        <v>22.453678347899402</v>
      </c>
      <c r="AI1153">
        <v>92.550312778238805</v>
      </c>
      <c r="AJ1153">
        <v>63.888079519254099</v>
      </c>
      <c r="AK1153">
        <v>25.030669628156399</v>
      </c>
      <c r="AL1153">
        <v>79.2028186864991</v>
      </c>
      <c r="AM1153">
        <v>77.4243988338267</v>
      </c>
      <c r="AN1153">
        <v>1.00000005133062</v>
      </c>
    </row>
    <row r="1154" spans="1:40" x14ac:dyDescent="0.25">
      <c r="A1154" t="str">
        <f>"20190303170519277"</f>
        <v>20190303170519277</v>
      </c>
      <c r="B1154" t="str">
        <f>"1551603919265849"</f>
        <v>1551603919265849</v>
      </c>
      <c r="C1154" t="s">
        <v>40</v>
      </c>
      <c r="D1154">
        <v>5.410285</v>
      </c>
      <c r="E1154">
        <v>0.59963319999999998</v>
      </c>
      <c r="F1154" t="s">
        <v>41</v>
      </c>
      <c r="G1154">
        <v>-188.7629</v>
      </c>
      <c r="H1154" s="1">
        <v>-4.3236889999999997E-6</v>
      </c>
      <c r="I1154">
        <v>349.19990000000001</v>
      </c>
      <c r="J1154">
        <v>-206.16120000000001</v>
      </c>
      <c r="K1154">
        <v>1.113613</v>
      </c>
      <c r="L1154">
        <v>365.1189</v>
      </c>
      <c r="M1154">
        <v>0.95945400000000003</v>
      </c>
      <c r="N1154">
        <v>-1.4880259999999999E-2</v>
      </c>
      <c r="O1154">
        <v>-0.28147230000000001</v>
      </c>
      <c r="P1154">
        <v>0.8633999</v>
      </c>
      <c r="Q1154">
        <v>0.17535149999999999</v>
      </c>
      <c r="R1154">
        <v>-0.47306730000000002</v>
      </c>
      <c r="S1154">
        <v>2.344284</v>
      </c>
      <c r="T1154">
        <v>-0.14859910000000001</v>
      </c>
      <c r="U1154">
        <v>-2.1314090000000001</v>
      </c>
      <c r="V1154">
        <v>0.21443889999999999</v>
      </c>
      <c r="W1154">
        <v>0.18561559999999999</v>
      </c>
      <c r="X1154">
        <v>0.95893839999999997</v>
      </c>
      <c r="Y1154">
        <v>0.43675360000000002</v>
      </c>
      <c r="Z1154">
        <v>-4.6201760000000001E-3</v>
      </c>
      <c r="AA1154">
        <v>0.89956930000000002</v>
      </c>
      <c r="AB1154">
        <v>29</v>
      </c>
      <c r="AC1154">
        <v>17.398299999999999</v>
      </c>
      <c r="AD1154">
        <v>-1.1136173236889999</v>
      </c>
      <c r="AE1154">
        <v>-15.918999999999899</v>
      </c>
      <c r="AF1154">
        <v>10.3544668164838</v>
      </c>
      <c r="AG1154">
        <v>-1.1136173236889999</v>
      </c>
      <c r="AH1154">
        <v>21.128852447559101</v>
      </c>
      <c r="AI1154">
        <v>92.709689929586403</v>
      </c>
      <c r="AJ1154">
        <v>63.8922396771856</v>
      </c>
      <c r="AK1154">
        <v>23.555965960834801</v>
      </c>
      <c r="AL1154">
        <v>79.302974931819406</v>
      </c>
      <c r="AM1154">
        <v>77.394834632034403</v>
      </c>
      <c r="AN1154">
        <v>1.00000002389556</v>
      </c>
    </row>
    <row r="1155" spans="1:40" x14ac:dyDescent="0.25">
      <c r="A1155" t="str">
        <f>"20190303170519290"</f>
        <v>20190303170519290</v>
      </c>
      <c r="B1155" t="str">
        <f>"1551603919275322"</f>
        <v>1551603919275322</v>
      </c>
      <c r="C1155" t="s">
        <v>40</v>
      </c>
      <c r="D1155">
        <v>5.4042779999999997</v>
      </c>
      <c r="E1155">
        <v>0.59954600000000002</v>
      </c>
      <c r="F1155" t="s">
        <v>41</v>
      </c>
      <c r="G1155">
        <v>-189.33009999999999</v>
      </c>
      <c r="H1155" s="1">
        <v>-4.3900789999999997E-6</v>
      </c>
      <c r="I1155">
        <v>349.58920000000001</v>
      </c>
      <c r="J1155">
        <v>-205.9913</v>
      </c>
      <c r="K1155">
        <v>1.1134539999999999</v>
      </c>
      <c r="L1155">
        <v>365.06229999999999</v>
      </c>
      <c r="M1155">
        <v>0.95760860000000003</v>
      </c>
      <c r="N1155">
        <v>-1.4909469999999999E-2</v>
      </c>
      <c r="O1155">
        <v>-0.28768630000000001</v>
      </c>
      <c r="P1155">
        <v>0.86039089999999996</v>
      </c>
      <c r="Q1155">
        <v>0.17339019999999999</v>
      </c>
      <c r="R1155">
        <v>-0.4792323</v>
      </c>
      <c r="S1155">
        <v>2.3286739999999999</v>
      </c>
      <c r="T1155">
        <v>-0.15407470000000001</v>
      </c>
      <c r="U1155">
        <v>-2.1486209999999999</v>
      </c>
      <c r="V1155">
        <v>0.215002</v>
      </c>
      <c r="W1155">
        <v>0.18359619999999999</v>
      </c>
      <c r="X1155">
        <v>0.95920099999999997</v>
      </c>
      <c r="Y1155">
        <v>0.43749700000000002</v>
      </c>
      <c r="Z1155">
        <v>-4.3200749999999996E-3</v>
      </c>
      <c r="AA1155">
        <v>0.899209499999999</v>
      </c>
      <c r="AB1155">
        <v>29</v>
      </c>
      <c r="AC1155">
        <v>16.661200000000001</v>
      </c>
      <c r="AD1155">
        <v>-1.113458390079</v>
      </c>
      <c r="AE1155">
        <v>-15.473099999999899</v>
      </c>
      <c r="AF1155">
        <v>10.001106773832101</v>
      </c>
      <c r="AG1155">
        <v>-1.113458390079</v>
      </c>
      <c r="AH1155">
        <v>20.359754019775899</v>
      </c>
      <c r="AI1155">
        <v>92.810204208234595</v>
      </c>
      <c r="AJ1155">
        <v>63.838832348856002</v>
      </c>
      <c r="AK1155">
        <v>22.7108236317798</v>
      </c>
      <c r="AL1155">
        <v>79.420701111868297</v>
      </c>
      <c r="AM1155">
        <v>77.366144817656505</v>
      </c>
      <c r="AN1155">
        <v>0.99999999152971997</v>
      </c>
    </row>
    <row r="1156" spans="1:40" x14ac:dyDescent="0.25">
      <c r="A1156" t="str">
        <f>"20190303170519306"</f>
        <v>20190303170519306</v>
      </c>
      <c r="B1156" t="str">
        <f>"1551603919295818"</f>
        <v>1551603919295818</v>
      </c>
      <c r="C1156" t="s">
        <v>40</v>
      </c>
      <c r="D1156">
        <v>5.419797</v>
      </c>
      <c r="E1156">
        <v>0.59950760000000003</v>
      </c>
      <c r="F1156" t="s">
        <v>49</v>
      </c>
      <c r="G1156">
        <v>-189.9408</v>
      </c>
      <c r="H1156" s="1">
        <v>-2.6936519999999999E-7</v>
      </c>
      <c r="I1156">
        <v>350.04379999999998</v>
      </c>
      <c r="J1156">
        <v>-205.79820000000001</v>
      </c>
      <c r="K1156">
        <v>1.1132709999999999</v>
      </c>
      <c r="L1156">
        <v>364.9966</v>
      </c>
      <c r="M1156">
        <v>0.95541520000000002</v>
      </c>
      <c r="N1156">
        <v>-1.494302E-2</v>
      </c>
      <c r="O1156">
        <v>-0.29488750000000002</v>
      </c>
      <c r="P1156">
        <v>0.85680290000000003</v>
      </c>
      <c r="Q1156">
        <v>0.17203280000000001</v>
      </c>
      <c r="R1156">
        <v>-0.4861008</v>
      </c>
      <c r="S1156">
        <v>2.3134160000000001</v>
      </c>
      <c r="T1156">
        <v>-0.16048589999999999</v>
      </c>
      <c r="U1156">
        <v>-2.1646730000000001</v>
      </c>
      <c r="V1156">
        <v>0.2154269</v>
      </c>
      <c r="W1156">
        <v>0.18217530000000001</v>
      </c>
      <c r="X1156">
        <v>0.95937660000000002</v>
      </c>
      <c r="Y1156">
        <v>0.43698949999999998</v>
      </c>
      <c r="Z1156">
        <v>-3.892604E-3</v>
      </c>
      <c r="AA1156">
        <v>0.89945819999999999</v>
      </c>
      <c r="AB1156">
        <v>29</v>
      </c>
      <c r="AC1156">
        <v>15.8574</v>
      </c>
      <c r="AD1156">
        <v>-1.1132712693651901</v>
      </c>
      <c r="AE1156">
        <v>-14.9528</v>
      </c>
      <c r="AF1156">
        <v>9.5860461243302098</v>
      </c>
      <c r="AG1156">
        <v>-1.1132712693651901</v>
      </c>
      <c r="AH1156">
        <v>19.511073862862101</v>
      </c>
      <c r="AI1156">
        <v>92.931631381732203</v>
      </c>
      <c r="AJ1156">
        <v>63.8345090501589</v>
      </c>
      <c r="AK1156">
        <v>21.767261116158899</v>
      </c>
      <c r="AL1156">
        <v>79.503509676702606</v>
      </c>
      <c r="AM1156">
        <v>77.344223022011207</v>
      </c>
      <c r="AN1156">
        <v>1.00000002490062</v>
      </c>
    </row>
    <row r="1157" spans="1:40" x14ac:dyDescent="0.25">
      <c r="A1157" t="str">
        <f>"20190303170519320"</f>
        <v>20190303170519320</v>
      </c>
      <c r="B1157" t="str">
        <f>"1551603919305578"</f>
        <v>1551603919305578</v>
      </c>
      <c r="C1157" t="s">
        <v>40</v>
      </c>
      <c r="D1157">
        <v>5.4504349999999997</v>
      </c>
      <c r="E1157">
        <v>0.59949459999999999</v>
      </c>
      <c r="F1157" t="s">
        <v>49</v>
      </c>
      <c r="G1157">
        <v>-190.2543</v>
      </c>
      <c r="H1157" s="1">
        <v>-4.2940249999999998E-7</v>
      </c>
      <c r="I1157">
        <v>350.21379999999999</v>
      </c>
      <c r="J1157">
        <v>-205.61930000000001</v>
      </c>
      <c r="K1157">
        <v>1.1130960000000001</v>
      </c>
      <c r="L1157">
        <v>364.93400000000003</v>
      </c>
      <c r="M1157">
        <v>0.95327839999999997</v>
      </c>
      <c r="N1157">
        <v>-1.4975499999999999E-2</v>
      </c>
      <c r="O1157">
        <v>-0.30172189999999999</v>
      </c>
      <c r="P1157">
        <v>0.85340579999999999</v>
      </c>
      <c r="Q1157">
        <v>0.170296</v>
      </c>
      <c r="R1157">
        <v>-0.49264419999999998</v>
      </c>
      <c r="S1157">
        <v>2.295731</v>
      </c>
      <c r="T1157">
        <v>-0.16442279999999901</v>
      </c>
      <c r="U1157">
        <v>-2.183319</v>
      </c>
      <c r="V1157">
        <v>0.215831</v>
      </c>
      <c r="W1157">
        <v>0.1803835</v>
      </c>
      <c r="X1157">
        <v>0.95962429999999999</v>
      </c>
      <c r="Y1157">
        <v>0.43782949999999998</v>
      </c>
      <c r="Z1157">
        <v>-3.5624239999999998E-3</v>
      </c>
      <c r="AA1157">
        <v>0.89905100000000004</v>
      </c>
      <c r="AB1157">
        <v>29</v>
      </c>
      <c r="AC1157">
        <v>15.365</v>
      </c>
      <c r="AD1157">
        <v>-1.1130964294025001</v>
      </c>
      <c r="AE1157">
        <v>-14.7202</v>
      </c>
      <c r="AF1157">
        <v>9.3718992743151102</v>
      </c>
      <c r="AG1157">
        <v>-1.1130964294025001</v>
      </c>
      <c r="AH1157">
        <v>19.038570955857299</v>
      </c>
      <c r="AI1157">
        <v>93.002664169746595</v>
      </c>
      <c r="AJ1157">
        <v>63.790888524974697</v>
      </c>
      <c r="AK1157">
        <v>21.249439138722401</v>
      </c>
      <c r="AL1157">
        <v>79.607901744139994</v>
      </c>
      <c r="AM1157">
        <v>77.324416842567402</v>
      </c>
      <c r="AN1157">
        <v>1.00000001239187</v>
      </c>
    </row>
    <row r="1158" spans="1:40" x14ac:dyDescent="0.25">
      <c r="A1158" t="str">
        <f>"20190303170519333"</f>
        <v>20190303170519333</v>
      </c>
      <c r="B1158" t="str">
        <f>"1551603919326074"</f>
        <v>1551603919326074</v>
      </c>
      <c r="C1158" t="s">
        <v>40</v>
      </c>
      <c r="D1158">
        <v>5.4347440000000002</v>
      </c>
      <c r="E1158">
        <v>0.59927450000000004</v>
      </c>
      <c r="F1158" t="s">
        <v>49</v>
      </c>
      <c r="G1158">
        <v>-190.61590000000001</v>
      </c>
      <c r="H1158" s="1">
        <v>-6.592916E-7</v>
      </c>
      <c r="I1158">
        <v>350.43959999999998</v>
      </c>
      <c r="J1158">
        <v>-205.4641</v>
      </c>
      <c r="K1158">
        <v>1.1129610000000001</v>
      </c>
      <c r="L1158">
        <v>364.87810000000002</v>
      </c>
      <c r="M1158">
        <v>0.95133849999999998</v>
      </c>
      <c r="N1158">
        <v>-1.500483E-2</v>
      </c>
      <c r="O1158">
        <v>-0.30778250000000001</v>
      </c>
      <c r="P1158">
        <v>0.84998879999999999</v>
      </c>
      <c r="Q1158">
        <v>0.17020370000000001</v>
      </c>
      <c r="R1158">
        <v>-0.49854799999999999</v>
      </c>
      <c r="S1158">
        <v>2.2784420000000001</v>
      </c>
      <c r="T1158">
        <v>-0.169037299999999</v>
      </c>
      <c r="U1158">
        <v>-2.2011409999999998</v>
      </c>
      <c r="V1158">
        <v>0.21642810000000001</v>
      </c>
      <c r="W1158">
        <v>0.18023710000000001</v>
      </c>
      <c r="X1158">
        <v>0.95951730000000002</v>
      </c>
      <c r="Y1158">
        <v>0.439135</v>
      </c>
      <c r="Z1158">
        <v>-3.2453109999999999E-3</v>
      </c>
      <c r="AA1158">
        <v>0.89841530000000003</v>
      </c>
      <c r="AB1158">
        <v>29</v>
      </c>
      <c r="AC1158">
        <v>14.848199999999901</v>
      </c>
      <c r="AD1158">
        <v>-1.1129616592916001</v>
      </c>
      <c r="AE1158">
        <v>-14.438499999999999</v>
      </c>
      <c r="AF1158">
        <v>9.1405202728199804</v>
      </c>
      <c r="AG1158">
        <v>-1.1129616592916001</v>
      </c>
      <c r="AH1158">
        <v>18.518194763534801</v>
      </c>
      <c r="AI1158">
        <v>93.084873113013401</v>
      </c>
      <c r="AJ1158">
        <v>63.729204466573897</v>
      </c>
      <c r="AK1158">
        <v>20.6811830370773</v>
      </c>
      <c r="AL1158">
        <v>79.616429404196495</v>
      </c>
      <c r="AM1158">
        <v>77.289115956519296</v>
      </c>
      <c r="AN1158">
        <v>0.99999999184265498</v>
      </c>
    </row>
    <row r="1159" spans="1:40" x14ac:dyDescent="0.25">
      <c r="A1159" t="str">
        <f>"20190303170519350"</f>
        <v>20190303170519350</v>
      </c>
      <c r="B1159" t="str">
        <f>"1551603919335835"</f>
        <v>1551603919335835</v>
      </c>
      <c r="C1159" t="s">
        <v>40</v>
      </c>
      <c r="D1159">
        <v>5.4429299999999996</v>
      </c>
      <c r="E1159">
        <v>0.59913050000000001</v>
      </c>
      <c r="F1159" t="s">
        <v>49</v>
      </c>
      <c r="G1159">
        <v>-190.67089999999999</v>
      </c>
      <c r="H1159" s="1">
        <v>-6.539061E-7</v>
      </c>
      <c r="I1159">
        <v>350.4058</v>
      </c>
      <c r="J1159">
        <v>-205.25899999999999</v>
      </c>
      <c r="K1159">
        <v>1.112789</v>
      </c>
      <c r="L1159">
        <v>364.80270000000002</v>
      </c>
      <c r="M1159">
        <v>0.94866510000000004</v>
      </c>
      <c r="N1159">
        <v>-1.504335E-2</v>
      </c>
      <c r="O1159">
        <v>-0.31592429999999999</v>
      </c>
      <c r="P1159">
        <v>0.84530479999999997</v>
      </c>
      <c r="Q1159">
        <v>0.1706261</v>
      </c>
      <c r="R1159">
        <v>-0.50630679999999995</v>
      </c>
      <c r="S1159">
        <v>2.264297</v>
      </c>
      <c r="T1159">
        <v>-0.170353799999999</v>
      </c>
      <c r="U1159">
        <v>-2.215179</v>
      </c>
      <c r="V1159">
        <v>0.2171004</v>
      </c>
      <c r="W1159">
        <v>0.18059030000000001</v>
      </c>
      <c r="X1159">
        <v>0.95929900000000001</v>
      </c>
      <c r="Y1159">
        <v>0.43708940000000002</v>
      </c>
      <c r="Z1159">
        <v>-2.7928079999999999E-3</v>
      </c>
      <c r="AA1159">
        <v>0.89941369999999898</v>
      </c>
      <c r="AB1159">
        <v>29</v>
      </c>
      <c r="AC1159">
        <v>14.588100000000001</v>
      </c>
      <c r="AD1159">
        <v>-1.1127896539061</v>
      </c>
      <c r="AE1159">
        <v>-14.3969</v>
      </c>
      <c r="AF1159">
        <v>9.0235265694881299</v>
      </c>
      <c r="AG1159">
        <v>-1.1127896539061</v>
      </c>
      <c r="AH1159">
        <v>18.3355846801844</v>
      </c>
      <c r="AI1159">
        <v>93.116861933427998</v>
      </c>
      <c r="AJ1159">
        <v>63.7967286646861</v>
      </c>
      <c r="AK1159">
        <v>20.465971712291399</v>
      </c>
      <c r="AL1159">
        <v>79.595855070682106</v>
      </c>
      <c r="AM1159">
        <v>77.248113796279796</v>
      </c>
      <c r="AN1159">
        <v>1.0000000057676199</v>
      </c>
    </row>
    <row r="1160" spans="1:40" x14ac:dyDescent="0.25">
      <c r="A1160" t="str">
        <f>"20190303170519363"</f>
        <v>20190303170519363</v>
      </c>
      <c r="B1160" t="str">
        <f>"1551603919355354"</f>
        <v>1551603919355354</v>
      </c>
      <c r="C1160" t="s">
        <v>40</v>
      </c>
      <c r="D1160">
        <v>5.4484659999999998</v>
      </c>
      <c r="E1160">
        <v>0.59872709999999996</v>
      </c>
      <c r="F1160" t="s">
        <v>49</v>
      </c>
      <c r="G1160">
        <v>-190.53100000000001</v>
      </c>
      <c r="H1160" s="1">
        <v>-4.5946870000000002E-7</v>
      </c>
      <c r="I1160">
        <v>350.14019999999999</v>
      </c>
      <c r="J1160">
        <v>-205.10650000000001</v>
      </c>
      <c r="K1160">
        <v>1.1126640000000001</v>
      </c>
      <c r="L1160">
        <v>364.74549999999999</v>
      </c>
      <c r="M1160">
        <v>0.94659700000000002</v>
      </c>
      <c r="N1160">
        <v>-1.50715E-2</v>
      </c>
      <c r="O1160">
        <v>-0.32206669999999998</v>
      </c>
      <c r="P1160">
        <v>0.84123049999999999</v>
      </c>
      <c r="Q1160">
        <v>0.17133280000000001</v>
      </c>
      <c r="R1160">
        <v>-0.51281239999999995</v>
      </c>
      <c r="S1160">
        <v>2.2447050000000002</v>
      </c>
      <c r="T1160">
        <v>-0.169600799999999</v>
      </c>
      <c r="U1160">
        <v>-2.2347109999999999</v>
      </c>
      <c r="V1160">
        <v>0.21840280000000001</v>
      </c>
      <c r="W1160">
        <v>0.1812243</v>
      </c>
      <c r="X1160">
        <v>0.95888370000000001</v>
      </c>
      <c r="Y1160">
        <v>0.43911709999999898</v>
      </c>
      <c r="Z1160">
        <v>-2.6389709999999999E-3</v>
      </c>
      <c r="AA1160">
        <v>0.8984259</v>
      </c>
      <c r="AB1160">
        <v>29</v>
      </c>
      <c r="AC1160">
        <v>14.5755</v>
      </c>
      <c r="AD1160">
        <v>-1.1126644594687001</v>
      </c>
      <c r="AE1160">
        <v>-14.6053</v>
      </c>
      <c r="AF1160">
        <v>9.1056100259917994</v>
      </c>
      <c r="AG1160">
        <v>-1.1126644594687001</v>
      </c>
      <c r="AH1160">
        <v>18.449459829914201</v>
      </c>
      <c r="AI1160">
        <v>93.0955838334813</v>
      </c>
      <c r="AJ1160">
        <v>63.7316589916678</v>
      </c>
      <c r="AK1160">
        <v>20.604191907483902</v>
      </c>
      <c r="AL1160">
        <v>79.558919958967195</v>
      </c>
      <c r="AM1160">
        <v>77.168766195508297</v>
      </c>
      <c r="AN1160">
        <v>0.99999999004201001</v>
      </c>
    </row>
    <row r="1161" spans="1:40" x14ac:dyDescent="0.25">
      <c r="A1161" t="str">
        <f>"20190303170519377"</f>
        <v>20190303170519377</v>
      </c>
      <c r="B1161" t="str">
        <f>"1551603919366090"</f>
        <v>1551603919366090</v>
      </c>
      <c r="C1161" t="s">
        <v>40</v>
      </c>
      <c r="D1161">
        <v>5.4649669999999997</v>
      </c>
      <c r="E1161">
        <v>0.59872709999999996</v>
      </c>
      <c r="F1161" t="s">
        <v>49</v>
      </c>
      <c r="G1161">
        <v>-190.3706</v>
      </c>
      <c r="H1161" s="1">
        <v>-2.5834750000000002E-7</v>
      </c>
      <c r="I1161">
        <v>349.87259999999998</v>
      </c>
      <c r="J1161">
        <v>-204.9426</v>
      </c>
      <c r="K1161">
        <v>1.1125350000000001</v>
      </c>
      <c r="L1161">
        <v>364.68200000000002</v>
      </c>
      <c r="M1161">
        <v>0.94426549999999998</v>
      </c>
      <c r="N1161">
        <v>-1.510362E-2</v>
      </c>
      <c r="O1161">
        <v>-0.32883889999999999</v>
      </c>
      <c r="P1161">
        <v>0.83724030000000005</v>
      </c>
      <c r="Q1161">
        <v>0.1713036</v>
      </c>
      <c r="R1161">
        <v>-0.51931159999999998</v>
      </c>
      <c r="S1161">
        <v>2.22905</v>
      </c>
      <c r="T1161">
        <v>-0.16830919999999999</v>
      </c>
      <c r="U1161">
        <v>-2.2497859999999998</v>
      </c>
      <c r="V1161">
        <v>0.21901799999999999</v>
      </c>
      <c r="W1161">
        <v>0.18114130000000001</v>
      </c>
      <c r="X1161">
        <v>0.95875909999999998</v>
      </c>
      <c r="Y1161">
        <v>0.43885669999999999</v>
      </c>
      <c r="Z1161">
        <v>-2.3935760000000001E-3</v>
      </c>
      <c r="AA1161">
        <v>0.89855390000000002</v>
      </c>
      <c r="AB1161">
        <v>29</v>
      </c>
      <c r="AC1161">
        <v>14.571999999999999</v>
      </c>
      <c r="AD1161">
        <v>-1.1125352583474999</v>
      </c>
      <c r="AE1161">
        <v>-14.809399999999901</v>
      </c>
      <c r="AF1161">
        <v>9.1669264908302299</v>
      </c>
      <c r="AG1161">
        <v>-1.1125352583474999</v>
      </c>
      <c r="AH1161">
        <v>18.578592741420302</v>
      </c>
      <c r="AI1161">
        <v>93.073911052438703</v>
      </c>
      <c r="AJ1161">
        <v>63.737651330342203</v>
      </c>
      <c r="AK1161">
        <v>20.746912643593699</v>
      </c>
      <c r="AL1161">
        <v>79.563755997473507</v>
      </c>
      <c r="AM1161">
        <v>77.132207813651306</v>
      </c>
      <c r="AN1161">
        <v>1.00000003336124</v>
      </c>
    </row>
    <row r="1162" spans="1:40" x14ac:dyDescent="0.25">
      <c r="A1162" t="str">
        <f>"20190303170519390"</f>
        <v>20190303170519390</v>
      </c>
      <c r="B1162" t="str">
        <f>"1551603919385819"</f>
        <v>1551603919385819</v>
      </c>
      <c r="C1162" t="s">
        <v>40</v>
      </c>
      <c r="D1162">
        <v>5.4983529999999998</v>
      </c>
      <c r="E1162">
        <v>0.59421869999999999</v>
      </c>
      <c r="F1162" t="s">
        <v>49</v>
      </c>
      <c r="G1162">
        <v>-190.26509999999999</v>
      </c>
      <c r="H1162" s="1">
        <v>-8.9594819999999998E-8</v>
      </c>
      <c r="I1162">
        <v>349.63490000000002</v>
      </c>
      <c r="J1162">
        <v>-204.77780000000001</v>
      </c>
      <c r="K1162">
        <v>1.1123970000000001</v>
      </c>
      <c r="L1162">
        <v>364.61689999999999</v>
      </c>
      <c r="M1162">
        <v>0.94183399999999995</v>
      </c>
      <c r="N1162">
        <v>-1.5135839999999999E-2</v>
      </c>
      <c r="O1162">
        <v>-0.33573779999999998</v>
      </c>
      <c r="P1162">
        <v>0.83308130000000002</v>
      </c>
      <c r="Q1162">
        <v>0.170851799999999</v>
      </c>
      <c r="R1162">
        <v>-0.52610389999999996</v>
      </c>
      <c r="S1162">
        <v>2.2113339999999999</v>
      </c>
      <c r="T1162">
        <v>-0.1676164</v>
      </c>
      <c r="U1162">
        <v>-2.267029</v>
      </c>
      <c r="V1162">
        <v>0.21982209999999999</v>
      </c>
      <c r="W1162">
        <v>0.18063199999999999</v>
      </c>
      <c r="X1162">
        <v>0.9586711</v>
      </c>
      <c r="Y1162">
        <v>0.43930380000000002</v>
      </c>
      <c r="Z1162">
        <v>-2.1531340000000001E-3</v>
      </c>
      <c r="AA1162">
        <v>0.89833589999999997</v>
      </c>
      <c r="AB1162">
        <v>28</v>
      </c>
      <c r="AC1162">
        <v>14.512700000000001</v>
      </c>
      <c r="AD1162">
        <v>-1.1123970895948201</v>
      </c>
      <c r="AE1162">
        <v>-14.9819999999999</v>
      </c>
      <c r="AF1162">
        <v>9.2129492839262106</v>
      </c>
      <c r="AG1162">
        <v>-1.1123970895948201</v>
      </c>
      <c r="AH1162">
        <v>18.647681211984398</v>
      </c>
      <c r="AI1162">
        <v>93.061388178350697</v>
      </c>
      <c r="AJ1162">
        <v>63.708171236105102</v>
      </c>
      <c r="AK1162">
        <v>20.829111271893701</v>
      </c>
      <c r="AL1162">
        <v>79.593425580038598</v>
      </c>
      <c r="AM1162">
        <v>77.085400470804601</v>
      </c>
      <c r="AN1162">
        <v>0.99999997652380901</v>
      </c>
    </row>
    <row r="1163" spans="1:40" x14ac:dyDescent="0.25">
      <c r="A1163" t="str">
        <f>"20190303170519403"</f>
        <v>20190303170519403</v>
      </c>
      <c r="B1163" t="str">
        <f>"1551603919395224"</f>
        <v>1551603919395224</v>
      </c>
      <c r="C1163" t="s">
        <v>40</v>
      </c>
      <c r="D1163">
        <v>5.495654</v>
      </c>
      <c r="E1163">
        <v>0.59376830000000003</v>
      </c>
      <c r="F1163" t="s">
        <v>49</v>
      </c>
      <c r="G1163">
        <v>-191.5164</v>
      </c>
      <c r="H1163" s="1">
        <v>-1.2911009999999901E-6</v>
      </c>
      <c r="I1163">
        <v>351.10219999999998</v>
      </c>
      <c r="J1163">
        <v>-204.61879999999999</v>
      </c>
      <c r="K1163">
        <v>1.112266</v>
      </c>
      <c r="L1163">
        <v>364.55309999999997</v>
      </c>
      <c r="M1163">
        <v>0.93940619999999997</v>
      </c>
      <c r="N1163">
        <v>-1.516675E-2</v>
      </c>
      <c r="O1163">
        <v>-0.34247030000000001</v>
      </c>
      <c r="P1163">
        <v>0.82923359999999902</v>
      </c>
      <c r="Q1163">
        <v>0.170097</v>
      </c>
      <c r="R1163">
        <v>-0.53238960000000002</v>
      </c>
      <c r="S1163">
        <v>2.214172</v>
      </c>
      <c r="T1163">
        <v>-0.1857308</v>
      </c>
      <c r="U1163">
        <v>-2.2564700000000002</v>
      </c>
      <c r="V1163">
        <v>0.2201989</v>
      </c>
      <c r="W1163">
        <v>0.179832299999999</v>
      </c>
      <c r="X1163">
        <v>0.958735</v>
      </c>
      <c r="Y1163">
        <v>0.43012980000000001</v>
      </c>
      <c r="Z1163">
        <v>-7.7913050000000001E-4</v>
      </c>
      <c r="AA1163">
        <v>0.90276670000000003</v>
      </c>
      <c r="AB1163">
        <v>28</v>
      </c>
      <c r="AC1163">
        <v>13.1023999999999</v>
      </c>
      <c r="AD1163">
        <v>-1.1122672911010001</v>
      </c>
      <c r="AE1163">
        <v>-13.450899999999899</v>
      </c>
      <c r="AF1163">
        <v>8.1211196676943693</v>
      </c>
      <c r="AG1163">
        <v>-1.1122672911010001</v>
      </c>
      <c r="AH1163">
        <v>16.857808165922599</v>
      </c>
      <c r="AI1163">
        <v>93.401741331860507</v>
      </c>
      <c r="AJ1163">
        <v>64.277914946212206</v>
      </c>
      <c r="AK1163">
        <v>18.745010518613</v>
      </c>
      <c r="AL1163">
        <v>79.640008152133902</v>
      </c>
      <c r="AM1163">
        <v>77.064840622753195</v>
      </c>
      <c r="AN1163">
        <v>1.00000000595474</v>
      </c>
    </row>
    <row r="1164" spans="1:40" x14ac:dyDescent="0.25">
      <c r="A1164" t="str">
        <f>"20190303170519418"</f>
        <v>20190303170519418</v>
      </c>
      <c r="B1164" t="str">
        <f>"1551603919405952"</f>
        <v>1551603919405952</v>
      </c>
      <c r="C1164" t="s">
        <v>40</v>
      </c>
      <c r="D1164">
        <v>5.4876379999999996</v>
      </c>
      <c r="E1164">
        <v>0.59343919999999994</v>
      </c>
      <c r="F1164" t="s">
        <v>49</v>
      </c>
      <c r="G1164">
        <v>-191.55459999999999</v>
      </c>
      <c r="H1164" s="1">
        <v>-1.276647E-6</v>
      </c>
      <c r="I1164">
        <v>351.0607</v>
      </c>
      <c r="J1164">
        <v>-204.435</v>
      </c>
      <c r="K1164">
        <v>1.1121160000000001</v>
      </c>
      <c r="L1164">
        <v>364.4769</v>
      </c>
      <c r="M1164">
        <v>0.93646499999999999</v>
      </c>
      <c r="N1164">
        <v>-1.520405E-2</v>
      </c>
      <c r="O1164">
        <v>-0.35043170000000001</v>
      </c>
      <c r="P1164">
        <v>0.82429769999999902</v>
      </c>
      <c r="Q1164">
        <v>0.16982549999999999</v>
      </c>
      <c r="R1164">
        <v>-0.54008619999999996</v>
      </c>
      <c r="S1164">
        <v>2.1984560000000002</v>
      </c>
      <c r="T1164">
        <v>-0.1871728</v>
      </c>
      <c r="U1164">
        <v>-2.270508</v>
      </c>
      <c r="V1164">
        <v>0.22102530000000001</v>
      </c>
      <c r="W1164">
        <v>0.1795012</v>
      </c>
      <c r="X1164">
        <v>0.95860690000000004</v>
      </c>
      <c r="Y1164">
        <v>0.42848439999999999</v>
      </c>
      <c r="Z1164">
        <v>-2.720803E-4</v>
      </c>
      <c r="AA1164">
        <v>0.90354909999999999</v>
      </c>
      <c r="AB1164">
        <v>28</v>
      </c>
      <c r="AC1164">
        <v>12.8804</v>
      </c>
      <c r="AD1164">
        <v>-1.11211727664699</v>
      </c>
      <c r="AE1164">
        <v>-13.4162</v>
      </c>
      <c r="AF1164">
        <v>8.0223460356829808</v>
      </c>
      <c r="AG1164">
        <v>-1.11211727664699</v>
      </c>
      <c r="AH1164">
        <v>16.705708158701601</v>
      </c>
      <c r="AI1164">
        <v>93.434219658620194</v>
      </c>
      <c r="AJ1164">
        <v>64.3489430440912</v>
      </c>
      <c r="AK1164">
        <v>18.565439015465401</v>
      </c>
      <c r="AL1164">
        <v>79.659292803677999</v>
      </c>
      <c r="AM1164">
        <v>77.0162609220544</v>
      </c>
      <c r="AN1164">
        <v>1.0000000263845601</v>
      </c>
    </row>
    <row r="1165" spans="1:40" x14ac:dyDescent="0.25">
      <c r="A1165" t="str">
        <f>"20190303170519431"</f>
        <v>20190303170519431</v>
      </c>
      <c r="B1165" t="str">
        <f>"1551603919425473"</f>
        <v>1551603919425473</v>
      </c>
      <c r="C1165" t="s">
        <v>40</v>
      </c>
      <c r="D1165">
        <v>5.5053479999999997</v>
      </c>
      <c r="E1165">
        <v>0.59283799999999998</v>
      </c>
      <c r="F1165" t="s">
        <v>49</v>
      </c>
      <c r="G1165">
        <v>-191.49019999999999</v>
      </c>
      <c r="H1165" s="1">
        <v>-1.1485610000000001E-6</v>
      </c>
      <c r="I1165">
        <v>350.8732</v>
      </c>
      <c r="J1165">
        <v>-204.2938</v>
      </c>
      <c r="K1165">
        <v>1.112012</v>
      </c>
      <c r="L1165">
        <v>364.41699999999997</v>
      </c>
      <c r="M1165">
        <v>0.93412260000000003</v>
      </c>
      <c r="N1165">
        <v>-1.5232539999999999E-2</v>
      </c>
      <c r="O1165">
        <v>-0.35662749999999999</v>
      </c>
      <c r="P1165">
        <v>0.82048199999999905</v>
      </c>
      <c r="Q1165">
        <v>0.1703991</v>
      </c>
      <c r="R1165">
        <v>-0.54568660000000002</v>
      </c>
      <c r="S1165">
        <v>2.178207</v>
      </c>
      <c r="T1165">
        <v>-0.18713389999999999</v>
      </c>
      <c r="U1165">
        <v>-2.2890630000000001</v>
      </c>
      <c r="V1165">
        <v>0.221305</v>
      </c>
      <c r="W1165">
        <v>0.18003820000000001</v>
      </c>
      <c r="X1165">
        <v>0.9584416</v>
      </c>
      <c r="Y1165">
        <v>0.43034990000000001</v>
      </c>
      <c r="Z1165" s="1">
        <v>-5.2032059999999997E-5</v>
      </c>
      <c r="AA1165">
        <v>0.90266219999999997</v>
      </c>
      <c r="AB1165">
        <v>28</v>
      </c>
      <c r="AC1165">
        <v>12.803599999999999</v>
      </c>
      <c r="AD1165">
        <v>-1.1120131485609901</v>
      </c>
      <c r="AE1165">
        <v>-13.5437999999999</v>
      </c>
      <c r="AF1165">
        <v>8.05770682938455</v>
      </c>
      <c r="AG1165">
        <v>-1.1120131485609901</v>
      </c>
      <c r="AH1165">
        <v>16.732604376104</v>
      </c>
      <c r="AI1165">
        <v>93.4266009783138</v>
      </c>
      <c r="AJ1165">
        <v>64.286522438376494</v>
      </c>
      <c r="AK1165">
        <v>18.604925740193</v>
      </c>
      <c r="AL1165">
        <v>79.628014920403899</v>
      </c>
      <c r="AM1165">
        <v>76.998222357593306</v>
      </c>
      <c r="AN1165">
        <v>0.99999997854739897</v>
      </c>
    </row>
    <row r="1166" spans="1:40" x14ac:dyDescent="0.25">
      <c r="A1166" t="str">
        <f>"20190303170519443"</f>
        <v>20190303170519443</v>
      </c>
      <c r="B1166" t="str">
        <f>"1551603919436207"</f>
        <v>1551603919436207</v>
      </c>
      <c r="C1166" t="s">
        <v>40</v>
      </c>
      <c r="D1166">
        <v>5.5066040000000003</v>
      </c>
      <c r="E1166">
        <v>0.59264719999999904</v>
      </c>
      <c r="F1166" t="s">
        <v>49</v>
      </c>
      <c r="G1166">
        <v>-191.43299999999999</v>
      </c>
      <c r="H1166" s="1">
        <v>-1.0662189999999999E-6</v>
      </c>
      <c r="I1166">
        <v>350.75979999999998</v>
      </c>
      <c r="J1166">
        <v>-204.15049999999999</v>
      </c>
      <c r="K1166">
        <v>1.1119129999999999</v>
      </c>
      <c r="L1166">
        <v>364.35559999999998</v>
      </c>
      <c r="M1166">
        <v>0.93168150000000005</v>
      </c>
      <c r="N1166">
        <v>-1.526074E-2</v>
      </c>
      <c r="O1166">
        <v>-0.362956</v>
      </c>
      <c r="P1166">
        <v>0.81667239999999997</v>
      </c>
      <c r="Q1166">
        <v>0.17121710000000001</v>
      </c>
      <c r="R1166">
        <v>-0.55111809999999894</v>
      </c>
      <c r="S1166">
        <v>2.1657099999999998</v>
      </c>
      <c r="T1166">
        <v>-0.1872576</v>
      </c>
      <c r="U1166">
        <v>-2.2998050000000001</v>
      </c>
      <c r="V1166">
        <v>0.2212885</v>
      </c>
      <c r="W1166">
        <v>0.1808266</v>
      </c>
      <c r="X1166">
        <v>0.95829699999999995</v>
      </c>
      <c r="Y1166">
        <v>0.42893730000000002</v>
      </c>
      <c r="Z1166">
        <v>3.1627439999999999E-4</v>
      </c>
      <c r="AA1166">
        <v>0.90333419999999998</v>
      </c>
      <c r="AB1166">
        <v>28</v>
      </c>
      <c r="AC1166">
        <v>12.717499999999999</v>
      </c>
      <c r="AD1166">
        <v>-1.1119140662189999</v>
      </c>
      <c r="AE1166">
        <v>-13.595799999999899</v>
      </c>
      <c r="AF1166">
        <v>8.0233769068589496</v>
      </c>
      <c r="AG1166">
        <v>-1.1119140662189999</v>
      </c>
      <c r="AH1166">
        <v>16.725623149749801</v>
      </c>
      <c r="AI1166">
        <v>93.430196015737707</v>
      </c>
      <c r="AJ1166">
        <v>64.372699949394899</v>
      </c>
      <c r="AK1166">
        <v>18.5837940051976</v>
      </c>
      <c r="AL1166">
        <v>79.5820893883145</v>
      </c>
      <c r="AM1166">
        <v>76.997263735292194</v>
      </c>
      <c r="AN1166">
        <v>0.99999999985440502</v>
      </c>
    </row>
    <row r="1167" spans="1:40" x14ac:dyDescent="0.25">
      <c r="A1167" t="str">
        <f>"20190303170519454"</f>
        <v>20190303170519454</v>
      </c>
      <c r="B1167" t="str">
        <f>"1551603919445968"</f>
        <v>1551603919445968</v>
      </c>
      <c r="C1167" t="s">
        <v>40</v>
      </c>
      <c r="D1167">
        <v>5.5316619999999999</v>
      </c>
      <c r="E1167">
        <v>0.59264719999999904</v>
      </c>
      <c r="F1167" t="s">
        <v>49</v>
      </c>
      <c r="G1167">
        <v>-191.2552</v>
      </c>
      <c r="H1167" s="1">
        <v>-8.5796479999999998E-7</v>
      </c>
      <c r="I1167">
        <v>350.48790000000002</v>
      </c>
      <c r="J1167">
        <v>-204.0179</v>
      </c>
      <c r="K1167">
        <v>1.111826</v>
      </c>
      <c r="L1167">
        <v>364.29680000000002</v>
      </c>
      <c r="M1167">
        <v>0.92933120000000002</v>
      </c>
      <c r="N1167">
        <v>-1.528708E-2</v>
      </c>
      <c r="O1167">
        <v>-0.36893049999999999</v>
      </c>
      <c r="P1167">
        <v>0.8129748</v>
      </c>
      <c r="Q1167">
        <v>0.1721046</v>
      </c>
      <c r="R1167">
        <v>-0.55628420000000001</v>
      </c>
      <c r="S1167">
        <v>2.1511990000000001</v>
      </c>
      <c r="T1167">
        <v>-0.18549060000000001</v>
      </c>
      <c r="U1167">
        <v>-2.3134160000000001</v>
      </c>
      <c r="V1167">
        <v>0.2213408</v>
      </c>
      <c r="W1167">
        <v>0.1816876</v>
      </c>
      <c r="X1167">
        <v>0.95812209999999998</v>
      </c>
      <c r="Y1167">
        <v>0.42883850000000001</v>
      </c>
      <c r="Z1167">
        <v>5.1811800000000003E-4</v>
      </c>
      <c r="AA1167">
        <v>0.90338099999999999</v>
      </c>
      <c r="AB1167">
        <v>28</v>
      </c>
      <c r="AC1167">
        <v>12.762699999999899</v>
      </c>
      <c r="AD1167">
        <v>-1.1118268579648001</v>
      </c>
      <c r="AE1167">
        <v>-13.8088999999999</v>
      </c>
      <c r="AF1167">
        <v>8.0971330725356108</v>
      </c>
      <c r="AG1167">
        <v>-1.1118268579648001</v>
      </c>
      <c r="AH1167">
        <v>16.898202684849299</v>
      </c>
      <c r="AI1167">
        <v>93.395686242417597</v>
      </c>
      <c r="AJ1167">
        <v>64.397598412274306</v>
      </c>
      <c r="AK1167">
        <v>18.770961001895699</v>
      </c>
      <c r="AL1167">
        <v>79.531927304537803</v>
      </c>
      <c r="AM1167">
        <v>76.9920017128387</v>
      </c>
      <c r="AN1167">
        <v>1.0000000461234</v>
      </c>
    </row>
    <row r="1168" spans="1:40" x14ac:dyDescent="0.25">
      <c r="A1168" t="str">
        <f>"20190303170519467"</f>
        <v>20190303170519467</v>
      </c>
      <c r="B1168" t="str">
        <f>"1551603919455729"</f>
        <v>1551603919455729</v>
      </c>
      <c r="C1168" t="s">
        <v>40</v>
      </c>
      <c r="D1168">
        <v>5.5179749999999999</v>
      </c>
      <c r="E1168">
        <v>0.58943069999999997</v>
      </c>
      <c r="F1168" t="s">
        <v>49</v>
      </c>
      <c r="G1168">
        <v>-191.03200000000001</v>
      </c>
      <c r="H1168" s="1">
        <v>-5.9987299999999996E-7</v>
      </c>
      <c r="I1168">
        <v>350.15219999999999</v>
      </c>
      <c r="J1168">
        <v>-203.8638</v>
      </c>
      <c r="K1168">
        <v>1.1117239999999999</v>
      </c>
      <c r="L1168">
        <v>364.2278</v>
      </c>
      <c r="M1168">
        <v>0.92652829999999997</v>
      </c>
      <c r="N1168">
        <v>-1.531676E-2</v>
      </c>
      <c r="O1168">
        <v>-0.37591340000000001</v>
      </c>
      <c r="P1168">
        <v>0.80861709999999998</v>
      </c>
      <c r="Q1168">
        <v>0.1731142</v>
      </c>
      <c r="R1168">
        <v>-0.56229039999999997</v>
      </c>
      <c r="S1168">
        <v>2.13652</v>
      </c>
      <c r="T1168">
        <v>-0.18292369999999999</v>
      </c>
      <c r="U1168">
        <v>-2.3271480000000002</v>
      </c>
      <c r="V1168">
        <v>0.2213783</v>
      </c>
      <c r="W1168">
        <v>0.18266660000000001</v>
      </c>
      <c r="X1168">
        <v>0.95792719999999998</v>
      </c>
      <c r="Y1168">
        <v>0.42780600000000002</v>
      </c>
      <c r="Z1168">
        <v>7.5527839999999999E-4</v>
      </c>
      <c r="AA1168">
        <v>0.90387030000000002</v>
      </c>
      <c r="AB1168">
        <v>28</v>
      </c>
      <c r="AC1168">
        <v>12.8317999999999</v>
      </c>
      <c r="AD1168">
        <v>-1.1117245998730001</v>
      </c>
      <c r="AE1168">
        <v>-14.0756</v>
      </c>
      <c r="AF1168">
        <v>8.1908544976420803</v>
      </c>
      <c r="AG1168">
        <v>-1.1117245998730001</v>
      </c>
      <c r="AH1168">
        <v>17.123907872264098</v>
      </c>
      <c r="AI1168">
        <v>93.351821284108894</v>
      </c>
      <c r="AJ1168">
        <v>64.436877683270197</v>
      </c>
      <c r="AK1168">
        <v>19.0145799271321</v>
      </c>
      <c r="AL1168">
        <v>79.4748793839304</v>
      </c>
      <c r="AM1168">
        <v>76.987315881770002</v>
      </c>
      <c r="AN1168">
        <v>0.99999997948314401</v>
      </c>
    </row>
    <row r="1169" spans="1:40" x14ac:dyDescent="0.25">
      <c r="A1169" t="str">
        <f>"20190303170519481"</f>
        <v>20190303170519481</v>
      </c>
      <c r="B1169" t="str">
        <f>"1551603919465488"</f>
        <v>1551603919465488</v>
      </c>
      <c r="C1169" t="s">
        <v>40</v>
      </c>
      <c r="D1169">
        <v>5.5365929999999999</v>
      </c>
      <c r="E1169">
        <v>0.58943069999999997</v>
      </c>
      <c r="F1169" t="s">
        <v>49</v>
      </c>
      <c r="G1169">
        <v>-191.62450000000001</v>
      </c>
      <c r="H1169" s="1">
        <v>-1.208518E-6</v>
      </c>
      <c r="I1169">
        <v>350.91419999999999</v>
      </c>
      <c r="J1169">
        <v>-203.70439999999999</v>
      </c>
      <c r="K1169">
        <v>1.1116220000000001</v>
      </c>
      <c r="L1169">
        <v>364.15480000000002</v>
      </c>
      <c r="M1169">
        <v>0.92352250000000002</v>
      </c>
      <c r="N1169">
        <v>-1.534728E-2</v>
      </c>
      <c r="O1169">
        <v>-0.3832371</v>
      </c>
      <c r="P1169">
        <v>0.80399560000000003</v>
      </c>
      <c r="Q1169">
        <v>0.17381779999999999</v>
      </c>
      <c r="R1169">
        <v>-0.56866399999999995</v>
      </c>
      <c r="S1169">
        <v>2.1359409999999999</v>
      </c>
      <c r="T1169">
        <v>-0.19401160000000001</v>
      </c>
      <c r="U1169">
        <v>-2.3234249999999999</v>
      </c>
      <c r="V1169">
        <v>0.2214882</v>
      </c>
      <c r="W1169">
        <v>0.1833389</v>
      </c>
      <c r="X1169">
        <v>0.9577734</v>
      </c>
      <c r="Y1169">
        <v>0.42002129999999999</v>
      </c>
      <c r="Z1169">
        <v>2.0440229999999998E-3</v>
      </c>
      <c r="AA1169">
        <v>0.90751190000000004</v>
      </c>
      <c r="AB1169">
        <v>28</v>
      </c>
      <c r="AC1169">
        <v>12.079899999999901</v>
      </c>
      <c r="AD1169">
        <v>-1.11162320851799</v>
      </c>
      <c r="AE1169">
        <v>-13.240600000000001</v>
      </c>
      <c r="AF1169">
        <v>7.5703003979819696</v>
      </c>
      <c r="AG1169">
        <v>-1.11162320851799</v>
      </c>
      <c r="AH1169">
        <v>16.1700587304016</v>
      </c>
      <c r="AI1169">
        <v>93.562659495959394</v>
      </c>
      <c r="AJ1169">
        <v>64.912520890578094</v>
      </c>
      <c r="AK1169">
        <v>17.888989731620899</v>
      </c>
      <c r="AL1169">
        <v>79.435698289696802</v>
      </c>
      <c r="AM1169">
        <v>76.979056589470602</v>
      </c>
      <c r="AN1169">
        <v>1.0000000303700001</v>
      </c>
    </row>
    <row r="1170" spans="1:40" x14ac:dyDescent="0.25">
      <c r="A1170" t="str">
        <f>"20190303170519499"</f>
        <v>20190303170519499</v>
      </c>
      <c r="B1170" t="str">
        <f>"1551603919485985"</f>
        <v>1551603919485985</v>
      </c>
      <c r="C1170" t="s">
        <v>40</v>
      </c>
      <c r="D1170">
        <v>5.540375</v>
      </c>
      <c r="E1170">
        <v>0.58643979999999996</v>
      </c>
      <c r="F1170" t="s">
        <v>49</v>
      </c>
      <c r="G1170">
        <v>-191.4119</v>
      </c>
      <c r="H1170" s="1">
        <v>-9.4736159999999996E-7</v>
      </c>
      <c r="I1170">
        <v>350.56849999999997</v>
      </c>
      <c r="J1170">
        <v>-203.50470000000001</v>
      </c>
      <c r="K1170">
        <v>1.111499</v>
      </c>
      <c r="L1170">
        <v>364.06079999999997</v>
      </c>
      <c r="M1170">
        <v>0.91960330000000001</v>
      </c>
      <c r="N1170">
        <v>-1.53861E-2</v>
      </c>
      <c r="O1170">
        <v>-0.39254689999999998</v>
      </c>
      <c r="P1170">
        <v>0.79773930000000004</v>
      </c>
      <c r="Q1170">
        <v>0.1745052</v>
      </c>
      <c r="R1170">
        <v>-0.57720050000000001</v>
      </c>
      <c r="S1170">
        <v>2.1174469999999999</v>
      </c>
      <c r="T1170">
        <v>-0.19148399999999999</v>
      </c>
      <c r="U1170">
        <v>-2.3403320000000001</v>
      </c>
      <c r="V1170">
        <v>0.22215399999999999</v>
      </c>
      <c r="W1170">
        <v>0.18397720000000001</v>
      </c>
      <c r="X1170">
        <v>0.95749669999999998</v>
      </c>
      <c r="Y1170">
        <v>0.4180796</v>
      </c>
      <c r="Z1170">
        <v>2.4425850000000002E-3</v>
      </c>
      <c r="AA1170">
        <v>0.90840719999999997</v>
      </c>
      <c r="AB1170">
        <v>28</v>
      </c>
      <c r="AC1170">
        <v>12.0928</v>
      </c>
      <c r="AD1170">
        <v>-1.1114999473616001</v>
      </c>
      <c r="AE1170">
        <v>-13.4923</v>
      </c>
      <c r="AF1170">
        <v>7.6327543551796797</v>
      </c>
      <c r="AG1170">
        <v>-1.1114999473616001</v>
      </c>
      <c r="AH1170">
        <v>16.357323935409401</v>
      </c>
      <c r="AI1170">
        <v>93.523664411010401</v>
      </c>
      <c r="AJ1170">
        <v>64.9850149587771</v>
      </c>
      <c r="AK1170">
        <v>18.0847012003908</v>
      </c>
      <c r="AL1170">
        <v>79.398492903070604</v>
      </c>
      <c r="AM1170">
        <v>76.937610486523596</v>
      </c>
      <c r="AN1170">
        <v>0.99999997017336395</v>
      </c>
    </row>
    <row r="1171" spans="1:40" x14ac:dyDescent="0.25">
      <c r="A1171" t="str">
        <f>"20190303170519515"</f>
        <v>20190303170519515</v>
      </c>
      <c r="B1171" t="str">
        <f>"1551603919505503"</f>
        <v>1551603919505503</v>
      </c>
      <c r="C1171" t="s">
        <v>40</v>
      </c>
      <c r="D1171">
        <v>5.5618889999999999</v>
      </c>
      <c r="E1171">
        <v>0.58611679999999999</v>
      </c>
      <c r="F1171" t="s">
        <v>49</v>
      </c>
      <c r="G1171">
        <v>-191.15219999999999</v>
      </c>
      <c r="H1171" s="1">
        <v>-7.2325409999999901E-7</v>
      </c>
      <c r="I1171">
        <v>350.3066</v>
      </c>
      <c r="J1171">
        <v>-203.3158</v>
      </c>
      <c r="K1171">
        <v>1.1113879999999901</v>
      </c>
      <c r="L1171">
        <v>363.96940000000001</v>
      </c>
      <c r="M1171">
        <v>0.91573819999999995</v>
      </c>
      <c r="N1171">
        <v>-1.542256E-2</v>
      </c>
      <c r="O1171">
        <v>-0.40147959999999999</v>
      </c>
      <c r="P1171">
        <v>0.79164419999999902</v>
      </c>
      <c r="Q1171">
        <v>0.1749366</v>
      </c>
      <c r="R1171">
        <v>-0.58540340000000002</v>
      </c>
      <c r="S1171">
        <v>2.1056819999999998</v>
      </c>
      <c r="T1171">
        <v>-0.18947169999999999</v>
      </c>
      <c r="U1171">
        <v>-2.3446039999999999</v>
      </c>
      <c r="V1171">
        <v>0.2228183</v>
      </c>
      <c r="W1171">
        <v>0.18436340000000001</v>
      </c>
      <c r="X1171">
        <v>0.95726809999999996</v>
      </c>
      <c r="Y1171">
        <v>0.41259669999999998</v>
      </c>
      <c r="Z1171">
        <v>2.9975399999999999E-3</v>
      </c>
      <c r="AA1171">
        <v>0.91090890000000002</v>
      </c>
      <c r="AB1171">
        <v>28</v>
      </c>
      <c r="AC1171">
        <v>12.163600000000001</v>
      </c>
      <c r="AD1171">
        <v>-1.11138872325409</v>
      </c>
      <c r="AE1171">
        <v>-13.662800000000001</v>
      </c>
      <c r="AF1171">
        <v>7.6009602717926201</v>
      </c>
      <c r="AG1171">
        <v>-1.11138872325409</v>
      </c>
      <c r="AH1171">
        <v>16.564839663279301</v>
      </c>
      <c r="AI1171">
        <v>93.489570198966206</v>
      </c>
      <c r="AJ1171">
        <v>65.3514516907277</v>
      </c>
      <c r="AK1171">
        <v>18.259345415915099</v>
      </c>
      <c r="AL1171">
        <v>79.375980892080605</v>
      </c>
      <c r="AM1171">
        <v>76.896875219229997</v>
      </c>
      <c r="AN1171">
        <v>1.00000003667602</v>
      </c>
    </row>
    <row r="1172" spans="1:40" x14ac:dyDescent="0.25">
      <c r="A1172" t="str">
        <f>"20190303170519531"</f>
        <v>20190303170519531</v>
      </c>
      <c r="B1172" t="str">
        <f>"1551603919526000"</f>
        <v>1551603919526000</v>
      </c>
      <c r="C1172" t="s">
        <v>40</v>
      </c>
      <c r="D1172">
        <v>5.5652790000000003</v>
      </c>
      <c r="E1172">
        <v>0.58601910000000001</v>
      </c>
      <c r="F1172" t="s">
        <v>49</v>
      </c>
      <c r="G1172">
        <v>-191.2081</v>
      </c>
      <c r="H1172" s="1">
        <v>-6.8992430000000001E-7</v>
      </c>
      <c r="I1172">
        <v>350.22519999999997</v>
      </c>
      <c r="J1172">
        <v>-203.14769999999999</v>
      </c>
      <c r="K1172">
        <v>1.1112930000000001</v>
      </c>
      <c r="L1172">
        <v>363.88619999999997</v>
      </c>
      <c r="M1172">
        <v>0.91217079999999995</v>
      </c>
      <c r="N1172">
        <v>-1.545449E-2</v>
      </c>
      <c r="O1172">
        <v>-0.40951870000000001</v>
      </c>
      <c r="P1172">
        <v>0.78633580000000003</v>
      </c>
      <c r="Q1172">
        <v>0.1749261</v>
      </c>
      <c r="R1172">
        <v>-0.59251750000000003</v>
      </c>
      <c r="S1172">
        <v>2.0831759999999999</v>
      </c>
      <c r="T1172">
        <v>-0.19121850000000001</v>
      </c>
      <c r="U1172">
        <v>-2.3647459999999998</v>
      </c>
      <c r="V1172">
        <v>0.22307379999999999</v>
      </c>
      <c r="W1172">
        <v>0.18432409999999999</v>
      </c>
      <c r="X1172">
        <v>0.95721610000000001</v>
      </c>
      <c r="Y1172">
        <v>0.4133154</v>
      </c>
      <c r="Z1172">
        <v>3.4838170000000002E-3</v>
      </c>
      <c r="AA1172">
        <v>0.91058130000000004</v>
      </c>
      <c r="AB1172">
        <v>28</v>
      </c>
      <c r="AC1172">
        <v>11.939599999999899</v>
      </c>
      <c r="AD1172">
        <v>-1.1112936899243</v>
      </c>
      <c r="AE1172">
        <v>-13.661</v>
      </c>
      <c r="AF1172">
        <v>7.5442764264674702</v>
      </c>
      <c r="AG1172">
        <v>-1.1112936899243</v>
      </c>
      <c r="AH1172">
        <v>16.425734247872999</v>
      </c>
      <c r="AI1172">
        <v>93.518169433325994</v>
      </c>
      <c r="AJ1172">
        <v>65.330863490752293</v>
      </c>
      <c r="AK1172">
        <v>18.1095506859217</v>
      </c>
      <c r="AL1172">
        <v>79.378271249977104</v>
      </c>
      <c r="AM1172">
        <v>76.881681520799006</v>
      </c>
      <c r="AN1172">
        <v>0.99999997809322905</v>
      </c>
    </row>
    <row r="1173" spans="1:40" x14ac:dyDescent="0.25">
      <c r="A1173" t="str">
        <f>"20190303170519544"</f>
        <v>20190303170519544</v>
      </c>
      <c r="B1173" t="str">
        <f>"1551603919535760"</f>
        <v>1551603919535760</v>
      </c>
      <c r="C1173" t="s">
        <v>40</v>
      </c>
      <c r="D1173">
        <v>5.5855430000000004</v>
      </c>
      <c r="E1173">
        <v>0.58296510000000001</v>
      </c>
      <c r="F1173" t="s">
        <v>49</v>
      </c>
      <c r="G1173">
        <v>-191.2825</v>
      </c>
      <c r="H1173" s="1">
        <v>-6.8063950000000002E-7</v>
      </c>
      <c r="I1173">
        <v>350.17599999999999</v>
      </c>
      <c r="J1173">
        <v>-202.9734</v>
      </c>
      <c r="K1173">
        <v>1.1112</v>
      </c>
      <c r="L1173">
        <v>363.79809999999998</v>
      </c>
      <c r="M1173">
        <v>0.90834440000000005</v>
      </c>
      <c r="N1173">
        <v>-1.5486949999999999E-2</v>
      </c>
      <c r="O1173">
        <v>-0.41793649999999999</v>
      </c>
      <c r="P1173">
        <v>0.78056769999999998</v>
      </c>
      <c r="Q1173">
        <v>0.17581440000000001</v>
      </c>
      <c r="R1173">
        <v>-0.59983660000000005</v>
      </c>
      <c r="S1173">
        <v>2.062408</v>
      </c>
      <c r="T1173">
        <v>-0.19316639999999999</v>
      </c>
      <c r="U1173">
        <v>-2.3831180000000001</v>
      </c>
      <c r="V1173">
        <v>0.22331319999999999</v>
      </c>
      <c r="W1173">
        <v>0.18518209999999999</v>
      </c>
      <c r="X1173">
        <v>0.95699469999999998</v>
      </c>
      <c r="Y1173">
        <v>0.41290909999999897</v>
      </c>
      <c r="Z1173">
        <v>4.0591380000000003E-3</v>
      </c>
      <c r="AA1173">
        <v>0.91076330000000005</v>
      </c>
      <c r="AB1173">
        <v>28</v>
      </c>
      <c r="AC1173">
        <v>11.690899999999999</v>
      </c>
      <c r="AD1173">
        <v>-1.1112006806395001</v>
      </c>
      <c r="AE1173">
        <v>-13.6220999999999</v>
      </c>
      <c r="AF1173">
        <v>7.4598165221020496</v>
      </c>
      <c r="AG1173">
        <v>-1.1112006806395001</v>
      </c>
      <c r="AH1173">
        <v>16.2522145223518</v>
      </c>
      <c r="AI1173">
        <v>93.555733248678493</v>
      </c>
      <c r="AJ1173">
        <v>65.344731314643198</v>
      </c>
      <c r="AK1173">
        <v>17.916978159740601</v>
      </c>
      <c r="AL1173">
        <v>79.328250870379506</v>
      </c>
      <c r="AM1173">
        <v>76.865157993715002</v>
      </c>
      <c r="AN1173">
        <v>1.0000000256413599</v>
      </c>
    </row>
    <row r="1174" spans="1:40" x14ac:dyDescent="0.25">
      <c r="A1174" t="str">
        <f>"20190303170519556"</f>
        <v>20190303170519556</v>
      </c>
      <c r="B1174" t="str">
        <f>"1551603919545520"</f>
        <v>1551603919545520</v>
      </c>
      <c r="C1174" t="s">
        <v>40</v>
      </c>
      <c r="D1174">
        <v>5.5657319999999997</v>
      </c>
      <c r="E1174">
        <v>0.58240029999999998</v>
      </c>
      <c r="F1174" t="s">
        <v>49</v>
      </c>
      <c r="G1174">
        <v>-192.00460000000001</v>
      </c>
      <c r="H1174" s="1">
        <v>-1.412897E-6</v>
      </c>
      <c r="I1174">
        <v>351.08859999999999</v>
      </c>
      <c r="J1174">
        <v>-202.8391</v>
      </c>
      <c r="K1174">
        <v>1.111129</v>
      </c>
      <c r="L1174">
        <v>363.72820000000002</v>
      </c>
      <c r="M1174">
        <v>0.90528779999999998</v>
      </c>
      <c r="N1174">
        <v>-1.551199E-2</v>
      </c>
      <c r="O1174">
        <v>-0.42451559999999999</v>
      </c>
      <c r="P1174">
        <v>0.77641119999999997</v>
      </c>
      <c r="Q1174">
        <v>0.17623349999999999</v>
      </c>
      <c r="R1174">
        <v>-0.60508499999999998</v>
      </c>
      <c r="S1174">
        <v>2.0579070000000002</v>
      </c>
      <c r="T1174">
        <v>-0.2084771</v>
      </c>
      <c r="U1174">
        <v>-2.3844910000000001</v>
      </c>
      <c r="V1174">
        <v>0.22290370000000001</v>
      </c>
      <c r="W1174">
        <v>0.1855977</v>
      </c>
      <c r="X1174">
        <v>0.95700960000000002</v>
      </c>
      <c r="Y1174">
        <v>0.40751690000000002</v>
      </c>
      <c r="Z1174">
        <v>5.7417759999999997E-3</v>
      </c>
      <c r="AA1174">
        <v>0.91317959999999998</v>
      </c>
      <c r="AB1174">
        <v>28</v>
      </c>
      <c r="AC1174">
        <v>10.834499999999901</v>
      </c>
      <c r="AD1174">
        <v>-1.1111304128970001</v>
      </c>
      <c r="AE1174">
        <v>-12.6396</v>
      </c>
      <c r="AF1174">
        <v>6.8135319873356002</v>
      </c>
      <c r="AG1174">
        <v>-1.1111304128970001</v>
      </c>
      <c r="AH1174">
        <v>15.108568456437499</v>
      </c>
      <c r="AI1174">
        <v>93.835433358649098</v>
      </c>
      <c r="AJ1174">
        <v>65.7259878907483</v>
      </c>
      <c r="AK1174">
        <v>16.611070698174998</v>
      </c>
      <c r="AL1174">
        <v>79.304018079857101</v>
      </c>
      <c r="AM1174">
        <v>76.888608214598506</v>
      </c>
      <c r="AN1174">
        <v>0.99999997010556896</v>
      </c>
    </row>
    <row r="1175" spans="1:40" x14ac:dyDescent="0.25">
      <c r="A1175" t="str">
        <f>"20190303170519569"</f>
        <v>20190303170519569</v>
      </c>
      <c r="B1175" t="str">
        <f>"1551603919556256"</f>
        <v>1551603919556256</v>
      </c>
      <c r="C1175" t="s">
        <v>40</v>
      </c>
      <c r="D1175">
        <v>5.6083970000000001</v>
      </c>
      <c r="E1175">
        <v>0.58231929999999998</v>
      </c>
      <c r="F1175" t="s">
        <v>49</v>
      </c>
      <c r="G1175">
        <v>-191.97499999999999</v>
      </c>
      <c r="H1175" s="1">
        <v>-1.359918E-6</v>
      </c>
      <c r="I1175">
        <v>351.01240000000001</v>
      </c>
      <c r="J1175">
        <v>-202.691</v>
      </c>
      <c r="K1175">
        <v>1.111054</v>
      </c>
      <c r="L1175">
        <v>363.65</v>
      </c>
      <c r="M1175">
        <v>0.9018294</v>
      </c>
      <c r="N1175">
        <v>-1.553885E-2</v>
      </c>
      <c r="O1175">
        <v>-0.43181340000000001</v>
      </c>
      <c r="P1175">
        <v>0.77161630000000003</v>
      </c>
      <c r="Q1175">
        <v>0.1767581</v>
      </c>
      <c r="R1175">
        <v>-0.61103669999999899</v>
      </c>
      <c r="S1175">
        <v>2.0455320000000001</v>
      </c>
      <c r="T1175">
        <v>-0.20920830000000001</v>
      </c>
      <c r="U1175">
        <v>-2.394196</v>
      </c>
      <c r="V1175">
        <v>0.222631</v>
      </c>
      <c r="W1175">
        <v>0.18611449999999999</v>
      </c>
      <c r="X1175">
        <v>0.95697270000000001</v>
      </c>
      <c r="Y1175">
        <v>0.40470859999999997</v>
      </c>
      <c r="Z1175">
        <v>6.3321109999999996E-3</v>
      </c>
      <c r="AA1175">
        <v>0.91442380000000001</v>
      </c>
      <c r="AB1175">
        <v>28</v>
      </c>
      <c r="AC1175">
        <v>10.7159999999999</v>
      </c>
      <c r="AD1175">
        <v>-1.111055359918</v>
      </c>
      <c r="AE1175">
        <v>-12.6375999999999</v>
      </c>
      <c r="AF1175">
        <v>6.7401561326375798</v>
      </c>
      <c r="AG1175">
        <v>-1.111055359918</v>
      </c>
      <c r="AH1175">
        <v>15.0552166828781</v>
      </c>
      <c r="AI1175">
        <v>93.853427027262896</v>
      </c>
      <c r="AJ1175">
        <v>65.882141644952597</v>
      </c>
      <c r="AK1175">
        <v>16.5325042892342</v>
      </c>
      <c r="AL1175">
        <v>79.273882446379105</v>
      </c>
      <c r="AM1175">
        <v>76.903607931311896</v>
      </c>
      <c r="AN1175">
        <v>0.99999995890826898</v>
      </c>
    </row>
    <row r="1176" spans="1:40" x14ac:dyDescent="0.25">
      <c r="A1176" t="str">
        <f>"20190303170519582"</f>
        <v>20190303170519582</v>
      </c>
      <c r="B1176" t="str">
        <f>"1551603919575776"</f>
        <v>1551603919575776</v>
      </c>
      <c r="C1176" t="s">
        <v>40</v>
      </c>
      <c r="D1176">
        <v>5.5925250000000002</v>
      </c>
      <c r="E1176">
        <v>0.58180719999999997</v>
      </c>
      <c r="F1176" t="s">
        <v>49</v>
      </c>
      <c r="G1176">
        <v>-191.88489999999999</v>
      </c>
      <c r="H1176" s="1">
        <v>-1.2137739999999901E-6</v>
      </c>
      <c r="I1176">
        <v>350.80599999999998</v>
      </c>
      <c r="J1176">
        <v>-202.5342</v>
      </c>
      <c r="K1176">
        <v>1.1109789999999999</v>
      </c>
      <c r="L1176">
        <v>363.56580000000002</v>
      </c>
      <c r="M1176">
        <v>0.89806589999999997</v>
      </c>
      <c r="N1176">
        <v>-1.556653E-2</v>
      </c>
      <c r="O1176">
        <v>-0.43958550000000002</v>
      </c>
      <c r="P1176">
        <v>0.76636280000000001</v>
      </c>
      <c r="Q1176">
        <v>0.17721020000000001</v>
      </c>
      <c r="R1176">
        <v>-0.61748249999999905</v>
      </c>
      <c r="S1176">
        <v>2.0274049999999999</v>
      </c>
      <c r="T1176">
        <v>-0.20845330000000001</v>
      </c>
      <c r="U1176">
        <v>-2.4097599999999999</v>
      </c>
      <c r="V1176">
        <v>0.22247929999999999</v>
      </c>
      <c r="W1176">
        <v>0.1865559</v>
      </c>
      <c r="X1176">
        <v>0.9569221</v>
      </c>
      <c r="Y1176">
        <v>0.40376190000000001</v>
      </c>
      <c r="Z1176">
        <v>6.7540940000000004E-3</v>
      </c>
      <c r="AA1176">
        <v>0.91483919999999996</v>
      </c>
      <c r="AB1176">
        <v>28</v>
      </c>
      <c r="AC1176">
        <v>10.6493</v>
      </c>
      <c r="AD1176">
        <v>-1.1109802137739999</v>
      </c>
      <c r="AE1176">
        <v>-12.7598</v>
      </c>
      <c r="AF1176">
        <v>6.7485289489705398</v>
      </c>
      <c r="AG1176">
        <v>-1.1109802137739999</v>
      </c>
      <c r="AH1176">
        <v>15.1071286943085</v>
      </c>
      <c r="AI1176">
        <v>93.841370821362204</v>
      </c>
      <c r="AJ1176">
        <v>65.929132605602305</v>
      </c>
      <c r="AK1176">
        <v>16.583192014714498</v>
      </c>
      <c r="AL1176">
        <v>79.248141972231707</v>
      </c>
      <c r="AM1176">
        <v>76.9115562458216</v>
      </c>
      <c r="AN1176">
        <v>1.00000002411085</v>
      </c>
    </row>
    <row r="1177" spans="1:40" x14ac:dyDescent="0.25">
      <c r="A1177" t="str">
        <f>"20190303170519597"</f>
        <v>20190303170519597</v>
      </c>
      <c r="B1177" t="str">
        <f>"1551603919585536"</f>
        <v>1551603919585536</v>
      </c>
      <c r="C1177" t="s">
        <v>40</v>
      </c>
      <c r="D1177">
        <v>5.6567860000000003</v>
      </c>
      <c r="E1177">
        <v>0.58180719999999997</v>
      </c>
      <c r="F1177" t="s">
        <v>49</v>
      </c>
      <c r="G1177">
        <v>-191.82730000000001</v>
      </c>
      <c r="H1177" s="1">
        <v>-1.1109250000000001E-6</v>
      </c>
      <c r="I1177">
        <v>350.65809999999999</v>
      </c>
      <c r="J1177">
        <v>-202.3741</v>
      </c>
      <c r="K1177">
        <v>1.1109100000000001</v>
      </c>
      <c r="L1177">
        <v>363.47710000000001</v>
      </c>
      <c r="M1177">
        <v>0.89408089999999996</v>
      </c>
      <c r="N1177">
        <v>-1.5594159999999999E-2</v>
      </c>
      <c r="O1177">
        <v>-0.44763399999999998</v>
      </c>
      <c r="P1177">
        <v>0.76032200000000005</v>
      </c>
      <c r="Q1177">
        <v>0.1783816</v>
      </c>
      <c r="R1177">
        <v>-0.62457280000000004</v>
      </c>
      <c r="S1177">
        <v>2.010208</v>
      </c>
      <c r="T1177">
        <v>-0.20858550000000001</v>
      </c>
      <c r="U1177">
        <v>-2.4234010000000001</v>
      </c>
      <c r="V1177">
        <v>0.22295780000000001</v>
      </c>
      <c r="W1177">
        <v>0.1876978</v>
      </c>
      <c r="X1177">
        <v>0.95658739999999998</v>
      </c>
      <c r="Y1177">
        <v>0.40193250000000003</v>
      </c>
      <c r="Z1177">
        <v>7.3022340000000003E-3</v>
      </c>
      <c r="AA1177">
        <v>0.91564020000000002</v>
      </c>
      <c r="AB1177">
        <v>28</v>
      </c>
      <c r="AC1177">
        <v>10.5467999999999</v>
      </c>
      <c r="AD1177">
        <v>-1.1109111109250001</v>
      </c>
      <c r="AE1177">
        <v>-12.819000000000001</v>
      </c>
      <c r="AF1177">
        <v>6.7108811794429002</v>
      </c>
      <c r="AG1177">
        <v>-1.1109111109250001</v>
      </c>
      <c r="AH1177">
        <v>15.102121073452601</v>
      </c>
      <c r="AI1177">
        <v>93.845743097292498</v>
      </c>
      <c r="AJ1177">
        <v>66.041226136882898</v>
      </c>
      <c r="AK1177">
        <v>16.5633363371694</v>
      </c>
      <c r="AL1177">
        <v>79.181539711343405</v>
      </c>
      <c r="AM1177">
        <v>76.879947957038993</v>
      </c>
      <c r="AN1177">
        <v>1.0000000492722101</v>
      </c>
    </row>
    <row r="1178" spans="1:40" x14ac:dyDescent="0.25">
      <c r="A1178" t="str">
        <f>"20190303170519612"</f>
        <v>20190303170519612</v>
      </c>
      <c r="B1178" t="str">
        <f>"1551603919606032"</f>
        <v>1551603919606032</v>
      </c>
      <c r="C1178" t="s">
        <v>40</v>
      </c>
      <c r="D1178">
        <v>5.6097570000000001</v>
      </c>
      <c r="E1178">
        <v>0.60375199999999996</v>
      </c>
      <c r="F1178" t="s">
        <v>49</v>
      </c>
      <c r="G1178">
        <v>-191.58709999999999</v>
      </c>
      <c r="H1178" s="1">
        <v>-7.8503799999999999E-7</v>
      </c>
      <c r="I1178">
        <v>350.21550000000002</v>
      </c>
      <c r="J1178">
        <v>-202.20699999999999</v>
      </c>
      <c r="K1178">
        <v>1.1108370000000001</v>
      </c>
      <c r="L1178">
        <v>363.38279999999997</v>
      </c>
      <c r="M1178">
        <v>0.88979409999999903</v>
      </c>
      <c r="N1178">
        <v>-1.5622219999999999E-2</v>
      </c>
      <c r="O1178">
        <v>-0.45609480000000002</v>
      </c>
      <c r="P1178">
        <v>0.75390400000000002</v>
      </c>
      <c r="Q1178">
        <v>0.17885079999999901</v>
      </c>
      <c r="R1178">
        <v>-0.63217190000000001</v>
      </c>
      <c r="S1178">
        <v>1.9870300000000001</v>
      </c>
      <c r="T1178">
        <v>-0.20463619999999999</v>
      </c>
      <c r="U1178">
        <v>-2.4428709999999998</v>
      </c>
      <c r="V1178">
        <v>0.22358239999999999</v>
      </c>
      <c r="W1178">
        <v>0.1881362</v>
      </c>
      <c r="X1178">
        <v>0.95635539999999997</v>
      </c>
      <c r="Y1178">
        <v>0.40206599999999998</v>
      </c>
      <c r="Z1178">
        <v>7.44153099999999E-3</v>
      </c>
      <c r="AA1178">
        <v>0.91558050000000002</v>
      </c>
      <c r="AB1178">
        <v>28</v>
      </c>
      <c r="AC1178">
        <v>10.619899999999999</v>
      </c>
      <c r="AD1178">
        <v>-1.110837785038</v>
      </c>
      <c r="AE1178">
        <v>-13.1672999999999</v>
      </c>
      <c r="AF1178">
        <v>6.84383174100725</v>
      </c>
      <c r="AG1178">
        <v>-1.110837785038</v>
      </c>
      <c r="AH1178">
        <v>15.3905809817154</v>
      </c>
      <c r="AI1178">
        <v>93.773192963972406</v>
      </c>
      <c r="AJ1178">
        <v>66.026402906227901</v>
      </c>
      <c r="AK1178">
        <v>16.8802244190836</v>
      </c>
      <c r="AL1178">
        <v>79.155964935344002</v>
      </c>
      <c r="AM1178">
        <v>76.841389306600405</v>
      </c>
      <c r="AN1178">
        <v>0.99999998522467903</v>
      </c>
    </row>
    <row r="1179" spans="1:40" x14ac:dyDescent="0.25">
      <c r="A1179" t="str">
        <f>"20190303170519624"</f>
        <v>20190303170519624</v>
      </c>
      <c r="B1179" t="str">
        <f>"1551603919615792"</f>
        <v>1551603919615792</v>
      </c>
      <c r="C1179" t="s">
        <v>40</v>
      </c>
      <c r="D1179">
        <v>5.5911839999999904</v>
      </c>
      <c r="E1179">
        <v>0.61202570000000001</v>
      </c>
      <c r="F1179" t="s">
        <v>41</v>
      </c>
      <c r="G1179">
        <v>-188.41120000000001</v>
      </c>
      <c r="H1179" s="1">
        <v>-2.1344179999999999E-6</v>
      </c>
      <c r="I1179">
        <v>343.95119999999997</v>
      </c>
      <c r="J1179">
        <v>-202.0789</v>
      </c>
      <c r="K1179">
        <v>1.1107849999999999</v>
      </c>
      <c r="L1179">
        <v>363.30939999999998</v>
      </c>
      <c r="M1179">
        <v>0.88642350000000003</v>
      </c>
      <c r="N1179">
        <v>-1.564314E-2</v>
      </c>
      <c r="O1179">
        <v>-0.4626111</v>
      </c>
      <c r="P1179">
        <v>0.74867109999999903</v>
      </c>
      <c r="Q1179">
        <v>0.1790117</v>
      </c>
      <c r="R1179">
        <v>-0.63831569999999904</v>
      </c>
      <c r="S1179">
        <v>1.840576</v>
      </c>
      <c r="T1179">
        <v>-0.1482029</v>
      </c>
      <c r="U1179">
        <v>-2.5924680000000002</v>
      </c>
      <c r="V1179">
        <v>0.22443479999999999</v>
      </c>
      <c r="W1179">
        <v>0.18826270000000001</v>
      </c>
      <c r="X1179">
        <v>0.95613090000000001</v>
      </c>
      <c r="Y1179">
        <v>0.4546328</v>
      </c>
      <c r="Z1179">
        <v>1.0496800000000001E-3</v>
      </c>
      <c r="AA1179">
        <v>0.89067830000000003</v>
      </c>
      <c r="AB1179">
        <v>28</v>
      </c>
      <c r="AC1179">
        <v>13.6676999999999</v>
      </c>
      <c r="AD1179">
        <v>-1.110787134418</v>
      </c>
      <c r="AE1179">
        <v>-19.3582</v>
      </c>
      <c r="AF1179">
        <v>10.814296336021</v>
      </c>
      <c r="AG1179">
        <v>-1.110787134418</v>
      </c>
      <c r="AH1179">
        <v>21.027062052723199</v>
      </c>
      <c r="AI1179">
        <v>92.689644333710604</v>
      </c>
      <c r="AJ1179">
        <v>62.783072365868399</v>
      </c>
      <c r="AK1179">
        <v>23.671083453664298</v>
      </c>
      <c r="AL1179">
        <v>79.148585978483396</v>
      </c>
      <c r="AM1179">
        <v>76.789985337378695</v>
      </c>
      <c r="AN1179">
        <v>1.00000006079856</v>
      </c>
    </row>
    <row r="1180" spans="1:40" x14ac:dyDescent="0.25">
      <c r="A1180" t="str">
        <f>"20190303170519636"</f>
        <v>20190303170519636</v>
      </c>
      <c r="B1180" t="str">
        <f>"1551603919625552"</f>
        <v>1551603919625552</v>
      </c>
      <c r="C1180" t="s">
        <v>40</v>
      </c>
      <c r="D1180">
        <v>5.7582440000000004</v>
      </c>
      <c r="E1180">
        <v>0.61890259999999997</v>
      </c>
      <c r="F1180" t="s">
        <v>41</v>
      </c>
      <c r="G1180">
        <v>-186.11340000000001</v>
      </c>
      <c r="H1180" s="1">
        <v>-4.8784109999999998E-6</v>
      </c>
      <c r="I1180">
        <v>339.3974</v>
      </c>
      <c r="J1180">
        <v>-201.94309999999999</v>
      </c>
      <c r="K1180">
        <v>1.1107199999999999</v>
      </c>
      <c r="L1180">
        <v>363.22949999999997</v>
      </c>
      <c r="M1180">
        <v>0.88274109999999995</v>
      </c>
      <c r="N1180">
        <v>-1.5665229999999999E-2</v>
      </c>
      <c r="O1180">
        <v>-0.46959889999999999</v>
      </c>
      <c r="P1180">
        <v>0.74298909999999996</v>
      </c>
      <c r="Q1180">
        <v>0.17923819999999999</v>
      </c>
      <c r="R1180">
        <v>-0.64485780000000004</v>
      </c>
      <c r="S1180">
        <v>1.7727809999999999</v>
      </c>
      <c r="T1180">
        <v>-0.12334059999999999</v>
      </c>
      <c r="U1180">
        <v>-2.655151</v>
      </c>
      <c r="V1180">
        <v>0.22532720000000001</v>
      </c>
      <c r="W1180">
        <v>0.18845419999999999</v>
      </c>
      <c r="X1180">
        <v>0.95588320000000004</v>
      </c>
      <c r="Y1180">
        <v>0.4730994</v>
      </c>
      <c r="Z1180">
        <v>-1.2748709999999999E-3</v>
      </c>
      <c r="AA1180">
        <v>0.88100809999999996</v>
      </c>
      <c r="AB1180">
        <v>28</v>
      </c>
      <c r="AC1180">
        <v>15.8296999999999</v>
      </c>
      <c r="AD1180">
        <v>-1.110724878411</v>
      </c>
      <c r="AE1180">
        <v>-23.832099999999901</v>
      </c>
      <c r="AF1180">
        <v>13.5851559725724</v>
      </c>
      <c r="AG1180">
        <v>-1.110724878411</v>
      </c>
      <c r="AH1180">
        <v>25.1302621815605</v>
      </c>
      <c r="AI1180">
        <v>92.226600595983498</v>
      </c>
      <c r="AJ1180">
        <v>61.604809562644597</v>
      </c>
      <c r="AK1180">
        <v>28.588813369368999</v>
      </c>
      <c r="AL1180">
        <v>79.137413327131299</v>
      </c>
      <c r="AM1180">
        <v>76.735996975992805</v>
      </c>
      <c r="AN1180">
        <v>1.00000001229986</v>
      </c>
    </row>
    <row r="1181" spans="1:40" x14ac:dyDescent="0.25">
      <c r="A1181" t="str">
        <f>"20190303170519648"</f>
        <v>20190303170519648</v>
      </c>
      <c r="B1181" t="str">
        <f>"1551603919635312"</f>
        <v>1551603919635312</v>
      </c>
      <c r="C1181" t="s">
        <v>40</v>
      </c>
      <c r="D1181">
        <v>5.6969820000000002</v>
      </c>
      <c r="E1181">
        <v>0.62511629999999996</v>
      </c>
      <c r="F1181" t="s">
        <v>41</v>
      </c>
      <c r="G1181">
        <v>-184.8047</v>
      </c>
      <c r="H1181" s="1">
        <v>-3.6958849999999999E-6</v>
      </c>
      <c r="I1181">
        <v>336.09980000000002</v>
      </c>
      <c r="J1181">
        <v>-201.81379999999999</v>
      </c>
      <c r="K1181">
        <v>1.11067</v>
      </c>
      <c r="L1181">
        <v>363.15230000000003</v>
      </c>
      <c r="M1181">
        <v>0.8791525</v>
      </c>
      <c r="N1181">
        <v>-1.5685830000000001E-2</v>
      </c>
      <c r="O1181">
        <v>-0.4762826</v>
      </c>
      <c r="P1181">
        <v>0.73749719999999996</v>
      </c>
      <c r="Q1181">
        <v>0.179392</v>
      </c>
      <c r="R1181">
        <v>-0.65108909999999998</v>
      </c>
      <c r="S1181">
        <v>1.7121729999999999</v>
      </c>
      <c r="T1181">
        <v>-0.1109642</v>
      </c>
      <c r="U1181">
        <v>-2.7103269999999999</v>
      </c>
      <c r="V1181">
        <v>0.2261687</v>
      </c>
      <c r="W1181">
        <v>0.18857550000000001</v>
      </c>
      <c r="X1181">
        <v>0.95566050000000002</v>
      </c>
      <c r="Y1181">
        <v>0.48863820000000002</v>
      </c>
      <c r="Z1181">
        <v>-2.529365E-3</v>
      </c>
      <c r="AA1181">
        <v>0.8724828</v>
      </c>
      <c r="AB1181">
        <v>28</v>
      </c>
      <c r="AC1181">
        <v>17.009099999999901</v>
      </c>
      <c r="AD1181">
        <v>-1.1106736958849901</v>
      </c>
      <c r="AE1181">
        <v>-27.052499999999998</v>
      </c>
      <c r="AF1181">
        <v>15.6651378064788</v>
      </c>
      <c r="AG1181">
        <v>-1.1106736958849901</v>
      </c>
      <c r="AH1181">
        <v>27.808055811046799</v>
      </c>
      <c r="AI1181">
        <v>91.993030999771605</v>
      </c>
      <c r="AJ1181">
        <v>60.606093787845502</v>
      </c>
      <c r="AK1181">
        <v>31.9361567278374</v>
      </c>
      <c r="AL1181">
        <v>79.1303362803243</v>
      </c>
      <c r="AM1181">
        <v>76.685230377334193</v>
      </c>
      <c r="AN1181">
        <v>0.99999999566009501</v>
      </c>
    </row>
    <row r="1182" spans="1:40" x14ac:dyDescent="0.25">
      <c r="A1182" t="str">
        <f>"20190303170519661"</f>
        <v>20190303170519661</v>
      </c>
      <c r="B1182" t="str">
        <f>"1551603919646048"</f>
        <v>1551603919646048</v>
      </c>
      <c r="C1182" t="s">
        <v>40</v>
      </c>
      <c r="D1182">
        <v>5.7275320000000001</v>
      </c>
      <c r="E1182">
        <v>0.62894819999999996</v>
      </c>
      <c r="F1182" t="s">
        <v>41</v>
      </c>
      <c r="G1182">
        <v>-183.4316</v>
      </c>
      <c r="H1182" s="1">
        <v>-2.7149949999999999E-6</v>
      </c>
      <c r="I1182">
        <v>332.4905</v>
      </c>
      <c r="J1182">
        <v>-201.67619999999999</v>
      </c>
      <c r="K1182">
        <v>1.1106149999999999</v>
      </c>
      <c r="L1182">
        <v>363.06880000000001</v>
      </c>
      <c r="M1182">
        <v>0.87524059999999904</v>
      </c>
      <c r="N1182">
        <v>-1.5707410000000002E-2</v>
      </c>
      <c r="O1182">
        <v>-0.48343320000000001</v>
      </c>
      <c r="P1182">
        <v>0.73182389999999997</v>
      </c>
      <c r="Q1182">
        <v>0.1799723</v>
      </c>
      <c r="R1182">
        <v>-0.65730059999999901</v>
      </c>
      <c r="S1182">
        <v>1.655014</v>
      </c>
      <c r="T1182">
        <v>-9.9997760000000005E-2</v>
      </c>
      <c r="U1182">
        <v>-2.7605900000000001</v>
      </c>
      <c r="V1182">
        <v>0.22656699999999999</v>
      </c>
      <c r="W1182">
        <v>0.18913460000000001</v>
      </c>
      <c r="X1182">
        <v>0.95545570000000002</v>
      </c>
      <c r="Y1182">
        <v>0.50187059999999994</v>
      </c>
      <c r="Z1182">
        <v>-3.595362E-3</v>
      </c>
      <c r="AA1182">
        <v>0.86493519999999902</v>
      </c>
      <c r="AB1182">
        <v>28</v>
      </c>
      <c r="AC1182">
        <v>18.244599999999899</v>
      </c>
      <c r="AD1182">
        <v>-1.1106177149949901</v>
      </c>
      <c r="AE1182">
        <v>-30.578299999999999</v>
      </c>
      <c r="AF1182">
        <v>17.928092501565398</v>
      </c>
      <c r="AG1182">
        <v>-1.1106177149949901</v>
      </c>
      <c r="AH1182">
        <v>30.724876096814</v>
      </c>
      <c r="AI1182">
        <v>91.788242213823906</v>
      </c>
      <c r="AJ1182">
        <v>59.736261397450399</v>
      </c>
      <c r="AK1182">
        <v>35.590279341670197</v>
      </c>
      <c r="AL1182">
        <v>79.097715775570293</v>
      </c>
      <c r="AM1182">
        <v>76.659862660156605</v>
      </c>
      <c r="AN1182">
        <v>1.0000000485343199</v>
      </c>
    </row>
    <row r="1183" spans="1:40" x14ac:dyDescent="0.25">
      <c r="A1183" t="str">
        <f>"20190303170519675"</f>
        <v>20190303170519675</v>
      </c>
      <c r="B1183" t="str">
        <f>"1551603919665568"</f>
        <v>1551603919665568</v>
      </c>
      <c r="C1183" t="s">
        <v>40</v>
      </c>
      <c r="D1183">
        <v>5.7074999999999996</v>
      </c>
      <c r="E1183">
        <v>0.63458749999999997</v>
      </c>
      <c r="F1183" t="s">
        <v>41</v>
      </c>
      <c r="G1183">
        <v>-181.84530000000001</v>
      </c>
      <c r="H1183" s="1">
        <v>-5.3024960000000004E-6</v>
      </c>
      <c r="I1183">
        <v>328.62119999999999</v>
      </c>
      <c r="J1183">
        <v>-201.5222</v>
      </c>
      <c r="K1183">
        <v>1.110563</v>
      </c>
      <c r="L1183">
        <v>362.97300000000001</v>
      </c>
      <c r="M1183">
        <v>0.87072709999999998</v>
      </c>
      <c r="N1183">
        <v>-1.5731249999999999E-2</v>
      </c>
      <c r="O1183">
        <v>-0.49151519999999999</v>
      </c>
      <c r="P1183">
        <v>0.72545559999999998</v>
      </c>
      <c r="Q1183">
        <v>0.17986489999999999</v>
      </c>
      <c r="R1183">
        <v>-0.66435200000000005</v>
      </c>
      <c r="S1183">
        <v>1.6098479999999999</v>
      </c>
      <c r="T1183">
        <v>-9.0158820000000001E-2</v>
      </c>
      <c r="U1183">
        <v>-2.7964169999999999</v>
      </c>
      <c r="V1183">
        <v>0.2269784</v>
      </c>
      <c r="W1183">
        <v>0.1890086</v>
      </c>
      <c r="X1183">
        <v>0.95538290000000003</v>
      </c>
      <c r="Y1183">
        <v>0.50919380000000003</v>
      </c>
      <c r="Z1183">
        <v>-4.4086849999999999E-3</v>
      </c>
      <c r="AA1183">
        <v>0.86064059999999898</v>
      </c>
      <c r="AB1183">
        <v>28</v>
      </c>
      <c r="AC1183">
        <v>19.6768999999999</v>
      </c>
      <c r="AD1183">
        <v>-1.110568302496</v>
      </c>
      <c r="AE1183">
        <v>-34.351799999999997</v>
      </c>
      <c r="AF1183">
        <v>20.226131692214199</v>
      </c>
      <c r="AG1183">
        <v>-1.110568302496</v>
      </c>
      <c r="AH1183">
        <v>33.995092859386403</v>
      </c>
      <c r="AI1183">
        <v>91.608161244495193</v>
      </c>
      <c r="AJ1183">
        <v>59.248535175738901</v>
      </c>
      <c r="AK1183">
        <v>39.5726686452103</v>
      </c>
      <c r="AL1183">
        <v>79.105066728718398</v>
      </c>
      <c r="AM1183">
        <v>76.635526126077195</v>
      </c>
      <c r="AN1183">
        <v>0.99999996527646395</v>
      </c>
    </row>
    <row r="1184" spans="1:40" x14ac:dyDescent="0.25">
      <c r="A1184" t="str">
        <f>"20190303170519688"</f>
        <v>20190303170519688</v>
      </c>
      <c r="B1184" t="str">
        <f>"1551603919676305"</f>
        <v>1551603919676305</v>
      </c>
      <c r="C1184" t="s">
        <v>40</v>
      </c>
      <c r="D1184">
        <v>5.7393070000000002</v>
      </c>
      <c r="E1184">
        <v>0.6366735</v>
      </c>
      <c r="F1184" t="s">
        <v>41</v>
      </c>
      <c r="G1184">
        <v>-179.95779999999999</v>
      </c>
      <c r="H1184">
        <v>5.5859520000000001E-4</v>
      </c>
      <c r="I1184">
        <v>323.43869999999998</v>
      </c>
      <c r="J1184">
        <v>-201.38079999999999</v>
      </c>
      <c r="K1184">
        <v>1.1105160000000001</v>
      </c>
      <c r="L1184">
        <v>362.88350000000003</v>
      </c>
      <c r="M1184">
        <v>0.86647839999999998</v>
      </c>
      <c r="N1184">
        <v>-1.5752459999999999E-2</v>
      </c>
      <c r="O1184">
        <v>-0.49896610000000002</v>
      </c>
      <c r="P1184">
        <v>0.71995379999999998</v>
      </c>
      <c r="Q1184">
        <v>0.17966699999999999</v>
      </c>
      <c r="R1184">
        <v>-0.67036289999999998</v>
      </c>
      <c r="S1184">
        <v>1.551056</v>
      </c>
      <c r="T1184">
        <v>-7.9838870000000006E-2</v>
      </c>
      <c r="U1184">
        <v>-2.8435670000000002</v>
      </c>
      <c r="V1184">
        <v>0.22672210000000001</v>
      </c>
      <c r="W1184">
        <v>0.18881339999999999</v>
      </c>
      <c r="X1184">
        <v>0.95548239999999995</v>
      </c>
      <c r="Y1184">
        <v>0.52157240000000005</v>
      </c>
      <c r="Z1184">
        <v>-5.4167879999999996E-3</v>
      </c>
      <c r="AA1184">
        <v>0.85318989999999995</v>
      </c>
      <c r="AB1184">
        <v>28</v>
      </c>
      <c r="AC1184">
        <v>21.422999999999998</v>
      </c>
      <c r="AD1184">
        <v>-1.1099574048</v>
      </c>
      <c r="AE1184">
        <v>-39.444800000000001</v>
      </c>
      <c r="AF1184">
        <v>23.477274165246701</v>
      </c>
      <c r="AG1184">
        <v>-1.1099574048</v>
      </c>
      <c r="AH1184">
        <v>38.225554555531701</v>
      </c>
      <c r="AI1184">
        <v>91.417378495139502</v>
      </c>
      <c r="AJ1184">
        <v>58.442691432922402</v>
      </c>
      <c r="AK1184">
        <v>44.873237333053702</v>
      </c>
      <c r="AL1184">
        <v>79.116456470180296</v>
      </c>
      <c r="AM1184">
        <v>76.651416925806799</v>
      </c>
      <c r="AN1184">
        <v>1.00000001367886</v>
      </c>
    </row>
    <row r="1185" spans="1:40" x14ac:dyDescent="0.25">
      <c r="A1185" t="str">
        <f>"20190303170519701"</f>
        <v>20190303170519701</v>
      </c>
      <c r="B1185" t="str">
        <f>"1551603919695825"</f>
        <v>1551603919695825</v>
      </c>
      <c r="C1185" t="s">
        <v>40</v>
      </c>
      <c r="D1185">
        <v>5.7409629999999998</v>
      </c>
      <c r="E1185">
        <v>0.63918409999999903</v>
      </c>
      <c r="F1185" t="s">
        <v>41</v>
      </c>
      <c r="G1185">
        <v>-179.95779999999999</v>
      </c>
      <c r="H1185">
        <v>3.02131E-2</v>
      </c>
      <c r="I1185">
        <v>322.33440000000002</v>
      </c>
      <c r="J1185">
        <v>-201.2398</v>
      </c>
      <c r="K1185">
        <v>1.1104639999999999</v>
      </c>
      <c r="L1185">
        <v>362.79270000000002</v>
      </c>
      <c r="M1185">
        <v>0.86213300000000004</v>
      </c>
      <c r="N1185">
        <v>-1.577303E-2</v>
      </c>
      <c r="O1185">
        <v>-0.50643649999999996</v>
      </c>
      <c r="P1185">
        <v>0.71379119999999996</v>
      </c>
      <c r="Q1185">
        <v>0.17999989999999999</v>
      </c>
      <c r="R1185">
        <v>-0.6768324</v>
      </c>
      <c r="S1185">
        <v>1.51535</v>
      </c>
      <c r="T1185">
        <v>-7.6414699999999905E-2</v>
      </c>
      <c r="U1185">
        <v>-2.8682249999999998</v>
      </c>
      <c r="V1185">
        <v>0.2271598</v>
      </c>
      <c r="W1185">
        <v>0.18912660000000001</v>
      </c>
      <c r="X1185">
        <v>0.95531650000000001</v>
      </c>
      <c r="Y1185">
        <v>0.52555099999999999</v>
      </c>
      <c r="Z1185">
        <v>-5.6899000000000003E-3</v>
      </c>
      <c r="AA1185">
        <v>0.85074309999999997</v>
      </c>
      <c r="AB1185">
        <v>28</v>
      </c>
      <c r="AC1185">
        <v>21.282</v>
      </c>
      <c r="AD1185">
        <v>-1.08025089999999</v>
      </c>
      <c r="AE1185">
        <v>-40.458300000000001</v>
      </c>
      <c r="AF1185">
        <v>24.091999443482699</v>
      </c>
      <c r="AG1185">
        <v>-1.08025089999999</v>
      </c>
      <c r="AH1185">
        <v>38.820628473744897</v>
      </c>
      <c r="AI1185">
        <v>91.354430406187603</v>
      </c>
      <c r="AJ1185">
        <v>58.1763498133841</v>
      </c>
      <c r="AK1185">
        <v>45.701559867123301</v>
      </c>
      <c r="AL1185">
        <v>79.098182365980406</v>
      </c>
      <c r="AM1185">
        <v>76.624332746887902</v>
      </c>
      <c r="AN1185">
        <v>1.00000003036792</v>
      </c>
    </row>
    <row r="1186" spans="1:40" x14ac:dyDescent="0.25">
      <c r="A1186" t="str">
        <f>"20190303170519716"</f>
        <v>20190303170519716</v>
      </c>
      <c r="B1186" t="str">
        <f>"1551603919705583"</f>
        <v>1551603919705583</v>
      </c>
      <c r="C1186" t="s">
        <v>40</v>
      </c>
      <c r="D1186">
        <v>5.7540329999999997</v>
      </c>
      <c r="E1186">
        <v>0.63980760000000003</v>
      </c>
      <c r="F1186" t="s">
        <v>41</v>
      </c>
      <c r="G1186">
        <v>-179.07299999999901</v>
      </c>
      <c r="H1186">
        <v>7.9986329999999994E-2</v>
      </c>
      <c r="I1186">
        <v>319.23739999999998</v>
      </c>
      <c r="J1186">
        <v>-201.09460000000001</v>
      </c>
      <c r="K1186">
        <v>1.110419</v>
      </c>
      <c r="L1186">
        <v>362.69670000000002</v>
      </c>
      <c r="M1186">
        <v>0.8575218</v>
      </c>
      <c r="N1186">
        <v>-1.579349E-2</v>
      </c>
      <c r="O1186">
        <v>-0.51420529999999998</v>
      </c>
      <c r="P1186">
        <v>0.70738179999999995</v>
      </c>
      <c r="Q1186">
        <v>0.180369</v>
      </c>
      <c r="R1186">
        <v>-0.68343120000000002</v>
      </c>
      <c r="S1186">
        <v>1.4739530000000001</v>
      </c>
      <c r="T1186">
        <v>-6.8520189999999995E-2</v>
      </c>
      <c r="U1186">
        <v>-2.8961489999999999</v>
      </c>
      <c r="V1186">
        <v>0.22747800000000001</v>
      </c>
      <c r="W1186">
        <v>0.1894815</v>
      </c>
      <c r="X1186">
        <v>0.95517039999999998</v>
      </c>
      <c r="Y1186">
        <v>0.53087289999999998</v>
      </c>
      <c r="Z1186">
        <v>-6.3693209999999998E-3</v>
      </c>
      <c r="AA1186">
        <v>0.8474275</v>
      </c>
      <c r="AB1186">
        <v>28</v>
      </c>
      <c r="AC1186">
        <v>22.021599999999999</v>
      </c>
      <c r="AD1186">
        <v>-1.0304326699999999</v>
      </c>
      <c r="AE1186">
        <v>-43.459299999999999</v>
      </c>
      <c r="AF1186">
        <v>25.9353064105659</v>
      </c>
      <c r="AG1186">
        <v>-1.0304326699999999</v>
      </c>
      <c r="AH1186">
        <v>41.217706698754199</v>
      </c>
      <c r="AI1186">
        <v>91.212166485005795</v>
      </c>
      <c r="AJ1186">
        <v>57.820776565686501</v>
      </c>
      <c r="AK1186">
        <v>48.709354908496501</v>
      </c>
      <c r="AL1186">
        <v>79.077473161518498</v>
      </c>
      <c r="AM1186">
        <v>76.604296316085694</v>
      </c>
      <c r="AN1186">
        <v>0.999999986181205</v>
      </c>
    </row>
    <row r="1187" spans="1:40" x14ac:dyDescent="0.25">
      <c r="A1187" t="str">
        <f>"20190303170519733"</f>
        <v>20190303170519733</v>
      </c>
      <c r="B1187" t="str">
        <f>"1551603919726079"</f>
        <v>1551603919726079</v>
      </c>
      <c r="C1187" t="s">
        <v>40</v>
      </c>
      <c r="D1187">
        <v>5.7448509999999997</v>
      </c>
      <c r="E1187">
        <v>0.6404377</v>
      </c>
      <c r="F1187" t="s">
        <v>41</v>
      </c>
      <c r="G1187">
        <v>-178.77869999999999</v>
      </c>
      <c r="H1187">
        <v>7.998595E-2</v>
      </c>
      <c r="I1187">
        <v>317.65530000000001</v>
      </c>
      <c r="J1187">
        <v>-200.9023</v>
      </c>
      <c r="K1187">
        <v>1.1103670000000001</v>
      </c>
      <c r="L1187">
        <v>362.56689999999998</v>
      </c>
      <c r="M1187">
        <v>0.85123769999999999</v>
      </c>
      <c r="N1187">
        <v>-1.581933E-2</v>
      </c>
      <c r="O1187">
        <v>-0.52454199999999995</v>
      </c>
      <c r="P1187">
        <v>0.69802659999999905</v>
      </c>
      <c r="Q1187">
        <v>0.18081639999999999</v>
      </c>
      <c r="R1187">
        <v>-0.6928668</v>
      </c>
      <c r="S1187">
        <v>1.4433750000000001</v>
      </c>
      <c r="T1187">
        <v>-6.6647529999999996E-2</v>
      </c>
      <c r="U1187">
        <v>-2.9132389999999999</v>
      </c>
      <c r="V1187">
        <v>0.22884679999999999</v>
      </c>
      <c r="W1187">
        <v>0.1898823</v>
      </c>
      <c r="X1187">
        <v>0.95476380000000005</v>
      </c>
      <c r="Y1187">
        <v>0.52975030000000001</v>
      </c>
      <c r="Z1187">
        <v>-6.4097579999999998E-3</v>
      </c>
      <c r="AA1187">
        <v>0.84812940000000003</v>
      </c>
      <c r="AB1187">
        <v>28</v>
      </c>
      <c r="AC1187">
        <v>22.1236</v>
      </c>
      <c r="AD1187">
        <v>-1.0303810499999999</v>
      </c>
      <c r="AE1187">
        <v>-44.9115999999999</v>
      </c>
      <c r="AF1187">
        <v>26.6177449147518</v>
      </c>
      <c r="AG1187">
        <v>-1.0303810499999999</v>
      </c>
      <c r="AH1187">
        <v>42.377814069333297</v>
      </c>
      <c r="AI1187">
        <v>91.179529269073001</v>
      </c>
      <c r="AJ1187">
        <v>57.866837595836699</v>
      </c>
      <c r="AK1187">
        <v>50.054421930035097</v>
      </c>
      <c r="AL1187">
        <v>79.054084886518297</v>
      </c>
      <c r="AM1187">
        <v>76.521092611929504</v>
      </c>
      <c r="AN1187">
        <v>1.00000002975698</v>
      </c>
    </row>
    <row r="1188" spans="1:40" x14ac:dyDescent="0.25">
      <c r="A1188" t="str">
        <f>"20190303170519746"</f>
        <v>20190303170519746</v>
      </c>
      <c r="B1188" t="str">
        <f>"1551603919735840"</f>
        <v>1551603919735840</v>
      </c>
      <c r="C1188" t="s">
        <v>40</v>
      </c>
      <c r="D1188">
        <v>5.7432509999999999</v>
      </c>
      <c r="E1188">
        <v>0.64078359999999901</v>
      </c>
      <c r="F1188" t="s">
        <v>41</v>
      </c>
      <c r="G1188">
        <v>-179.32599999999999</v>
      </c>
      <c r="H1188">
        <v>7.9985860000000006E-2</v>
      </c>
      <c r="I1188">
        <v>317.40190000000001</v>
      </c>
      <c r="J1188">
        <v>-200.76910000000001</v>
      </c>
      <c r="K1188">
        <v>1.1103400000000001</v>
      </c>
      <c r="L1188">
        <v>362.4753</v>
      </c>
      <c r="M1188">
        <v>0.84676489999999904</v>
      </c>
      <c r="N1188">
        <v>-1.5836309999999999E-2</v>
      </c>
      <c r="O1188">
        <v>-0.53173149999999902</v>
      </c>
      <c r="P1188">
        <v>0.69153450000000005</v>
      </c>
      <c r="Q1188">
        <v>0.18104390000000001</v>
      </c>
      <c r="R1188">
        <v>-0.69928800000000002</v>
      </c>
      <c r="S1188">
        <v>1.4020079999999999</v>
      </c>
      <c r="T1188">
        <v>-6.6953299999999993E-2</v>
      </c>
      <c r="U1188">
        <v>-2.9347840000000001</v>
      </c>
      <c r="V1188">
        <v>0.2296396</v>
      </c>
      <c r="W1188">
        <v>0.19008359999999999</v>
      </c>
      <c r="X1188">
        <v>0.95453330000000003</v>
      </c>
      <c r="Y1188">
        <v>0.53471590000000002</v>
      </c>
      <c r="Z1188">
        <v>-6.4158389999999996E-3</v>
      </c>
      <c r="AA1188">
        <v>0.84500750000000002</v>
      </c>
      <c r="AB1188">
        <v>28</v>
      </c>
      <c r="AC1188">
        <v>21.443100000000001</v>
      </c>
      <c r="AD1188">
        <v>-1.03035413999999</v>
      </c>
      <c r="AE1188">
        <v>-45.0733999999999</v>
      </c>
      <c r="AF1188">
        <v>26.756557082433901</v>
      </c>
      <c r="AG1188">
        <v>-1.03035413999999</v>
      </c>
      <c r="AH1188">
        <v>42.111550378892403</v>
      </c>
      <c r="AI1188">
        <v>91.183066488442293</v>
      </c>
      <c r="AJ1188">
        <v>57.569210568675601</v>
      </c>
      <c r="AK1188">
        <v>49.903483364123502</v>
      </c>
      <c r="AL1188">
        <v>79.042336638530202</v>
      </c>
      <c r="AM1188">
        <v>76.472963884315803</v>
      </c>
      <c r="AN1188">
        <v>0.99999997084300396</v>
      </c>
    </row>
    <row r="1189" spans="1:40" x14ac:dyDescent="0.25">
      <c r="A1189" t="str">
        <f>"20190303170519758"</f>
        <v>20190303170519758</v>
      </c>
      <c r="B1189" t="str">
        <f>"1551603919745600"</f>
        <v>1551603919745600</v>
      </c>
      <c r="C1189" t="s">
        <v>40</v>
      </c>
      <c r="D1189">
        <v>5.807747</v>
      </c>
      <c r="E1189">
        <v>0.64114989999999905</v>
      </c>
      <c r="F1189" t="s">
        <v>41</v>
      </c>
      <c r="G1189">
        <v>-179.72329999999999</v>
      </c>
      <c r="H1189">
        <v>7.9985799999999996E-2</v>
      </c>
      <c r="I1189">
        <v>317.27809999999999</v>
      </c>
      <c r="J1189">
        <v>-200.64879999999999</v>
      </c>
      <c r="K1189">
        <v>1.1103160000000001</v>
      </c>
      <c r="L1189">
        <v>362.39069999999998</v>
      </c>
      <c r="M1189">
        <v>0.84262689999999996</v>
      </c>
      <c r="N1189">
        <v>-1.585083E-2</v>
      </c>
      <c r="O1189">
        <v>-0.53826459999999998</v>
      </c>
      <c r="P1189">
        <v>0.68606529999999999</v>
      </c>
      <c r="Q1189">
        <v>0.18085999999999999</v>
      </c>
      <c r="R1189">
        <v>-0.70470140000000003</v>
      </c>
      <c r="S1189">
        <v>1.3733519999999999</v>
      </c>
      <c r="T1189">
        <v>-6.7236420000000005E-2</v>
      </c>
      <c r="U1189">
        <v>-2.9493710000000002</v>
      </c>
      <c r="V1189">
        <v>0.22974049999999999</v>
      </c>
      <c r="W1189">
        <v>0.1898977</v>
      </c>
      <c r="X1189">
        <v>0.95454600000000001</v>
      </c>
      <c r="Y1189">
        <v>0.53652659999999996</v>
      </c>
      <c r="Z1189">
        <v>-6.3645029999999997E-3</v>
      </c>
      <c r="AA1189">
        <v>0.84385940000000004</v>
      </c>
      <c r="AB1189">
        <v>28</v>
      </c>
      <c r="AC1189">
        <v>20.9255</v>
      </c>
      <c r="AD1189">
        <v>-1.0303301999999901</v>
      </c>
      <c r="AE1189">
        <v>-45.112599999999901</v>
      </c>
      <c r="AF1189">
        <v>26.741514647872101</v>
      </c>
      <c r="AG1189">
        <v>-1.0303301999999901</v>
      </c>
      <c r="AH1189">
        <v>41.902181673736202</v>
      </c>
      <c r="AI1189">
        <v>91.187433144499295</v>
      </c>
      <c r="AJ1189">
        <v>57.454425748010102</v>
      </c>
      <c r="AK1189">
        <v>49.718839638533197</v>
      </c>
      <c r="AL1189">
        <v>79.053185295607705</v>
      </c>
      <c r="AM1189">
        <v>76.467412295295503</v>
      </c>
      <c r="AN1189">
        <v>0.99999994996076802</v>
      </c>
    </row>
    <row r="1190" spans="1:40" x14ac:dyDescent="0.25">
      <c r="A1190" t="str">
        <f>"20190303170519772"</f>
        <v>20190303170519772</v>
      </c>
      <c r="B1190" t="str">
        <f>"1551603919766096"</f>
        <v>1551603919766096</v>
      </c>
      <c r="C1190" t="s">
        <v>40</v>
      </c>
      <c r="D1190">
        <v>5.8518439999999998</v>
      </c>
      <c r="E1190">
        <v>0.64107969999999903</v>
      </c>
      <c r="F1190" t="s">
        <v>41</v>
      </c>
      <c r="G1190">
        <v>-179.93899999999999</v>
      </c>
      <c r="H1190">
        <v>6.8792010000000001E-2</v>
      </c>
      <c r="I1190">
        <v>316.87119999999999</v>
      </c>
      <c r="J1190">
        <v>-200.50290000000001</v>
      </c>
      <c r="K1190">
        <v>1.1102890000000001</v>
      </c>
      <c r="L1190">
        <v>362.28620000000001</v>
      </c>
      <c r="M1190">
        <v>0.8374933</v>
      </c>
      <c r="N1190">
        <v>-1.5867220000000001E-2</v>
      </c>
      <c r="O1190">
        <v>-0.54621709999999901</v>
      </c>
      <c r="P1190">
        <v>0.67903590000000003</v>
      </c>
      <c r="Q1190">
        <v>0.18083150000000001</v>
      </c>
      <c r="R1190">
        <v>-0.71148440000000002</v>
      </c>
      <c r="S1190">
        <v>1.3477629999999901</v>
      </c>
      <c r="T1190">
        <v>-6.7780850000000004E-2</v>
      </c>
      <c r="U1190">
        <v>-2.9623409999999999</v>
      </c>
      <c r="V1190">
        <v>0.2301986</v>
      </c>
      <c r="W1190">
        <v>0.189857</v>
      </c>
      <c r="X1190">
        <v>0.95444379999999995</v>
      </c>
      <c r="Y1190">
        <v>0.53597159999999999</v>
      </c>
      <c r="Z1190">
        <v>-6.2251299999999997E-3</v>
      </c>
      <c r="AA1190">
        <v>0.84421309999999905</v>
      </c>
      <c r="AB1190">
        <v>28</v>
      </c>
      <c r="AC1190">
        <v>20.563899999999901</v>
      </c>
      <c r="AD1190">
        <v>-1.04149699</v>
      </c>
      <c r="AE1190">
        <v>-45.414999999999999</v>
      </c>
      <c r="AF1190">
        <v>26.794086256163698</v>
      </c>
      <c r="AG1190">
        <v>-1.04149699</v>
      </c>
      <c r="AH1190">
        <v>42.0155344765205</v>
      </c>
      <c r="AI1190">
        <v>91.197316899575</v>
      </c>
      <c r="AJ1190">
        <v>57.473586212121504</v>
      </c>
      <c r="AK1190">
        <v>49.842882256452697</v>
      </c>
      <c r="AL1190">
        <v>79.055561237071601</v>
      </c>
      <c r="AM1190">
        <v>76.440025473666097</v>
      </c>
      <c r="AN1190">
        <v>1.00000002162469</v>
      </c>
    </row>
    <row r="1191" spans="1:40" x14ac:dyDescent="0.25">
      <c r="A1191" t="str">
        <f>"20190303170519787"</f>
        <v>20190303170519787</v>
      </c>
      <c r="B1191" t="str">
        <f>"1551603919775856"</f>
        <v>1551603919775856</v>
      </c>
      <c r="C1191" t="s">
        <v>40</v>
      </c>
      <c r="D1191">
        <v>5.791347</v>
      </c>
      <c r="E1191">
        <v>0.64072949999999995</v>
      </c>
      <c r="F1191" t="s">
        <v>41</v>
      </c>
      <c r="G1191">
        <v>-179.9571</v>
      </c>
      <c r="H1191">
        <v>5.0647070000000002E-2</v>
      </c>
      <c r="I1191">
        <v>315.9359</v>
      </c>
      <c r="J1191">
        <v>-200.34880000000001</v>
      </c>
      <c r="K1191">
        <v>1.1102700000000001</v>
      </c>
      <c r="L1191">
        <v>362.1737</v>
      </c>
      <c r="M1191">
        <v>0.83193619999999902</v>
      </c>
      <c r="N1191">
        <v>-1.588314E-2</v>
      </c>
      <c r="O1191">
        <v>-0.55464409999999997</v>
      </c>
      <c r="P1191">
        <v>0.67172790000000004</v>
      </c>
      <c r="Q1191">
        <v>0.1812367</v>
      </c>
      <c r="R1191">
        <v>-0.71828610000000004</v>
      </c>
      <c r="S1191">
        <v>1.3188169999999999</v>
      </c>
      <c r="T1191">
        <v>-6.8017599999999998E-2</v>
      </c>
      <c r="U1191">
        <v>-2.9751889999999999</v>
      </c>
      <c r="V1191">
        <v>0.23025590000000001</v>
      </c>
      <c r="W1191">
        <v>0.1902624</v>
      </c>
      <c r="X1191">
        <v>0.95434920000000001</v>
      </c>
      <c r="Y1191">
        <v>0.53566349999999996</v>
      </c>
      <c r="Z1191">
        <v>-6.1076719999999998E-3</v>
      </c>
      <c r="AA1191">
        <v>0.84440939999999998</v>
      </c>
      <c r="AB1191">
        <v>28</v>
      </c>
      <c r="AC1191">
        <v>20.3917</v>
      </c>
      <c r="AD1191">
        <v>-1.05962293</v>
      </c>
      <c r="AE1191">
        <v>-46.237799999999901</v>
      </c>
      <c r="AF1191">
        <v>27.148250863825499</v>
      </c>
      <c r="AG1191">
        <v>-1.05962293</v>
      </c>
      <c r="AH1191">
        <v>42.596759634544199</v>
      </c>
      <c r="AI1191">
        <v>91.201742794297402</v>
      </c>
      <c r="AJ1191">
        <v>57.489360049133701</v>
      </c>
      <c r="AK1191">
        <v>50.523600990844997</v>
      </c>
      <c r="AL1191">
        <v>79.031901800603407</v>
      </c>
      <c r="AM1191">
        <v>76.4354800785772</v>
      </c>
      <c r="AN1191">
        <v>0.99999997793960405</v>
      </c>
    </row>
    <row r="1192" spans="1:40" x14ac:dyDescent="0.25">
      <c r="A1192" t="str">
        <f>"20190303170519801"</f>
        <v>20190303170519801</v>
      </c>
      <c r="B1192" t="str">
        <f>"1551603919785616"</f>
        <v>1551603919785616</v>
      </c>
      <c r="C1192" t="s">
        <v>40</v>
      </c>
      <c r="D1192">
        <v>5.7014269999999998</v>
      </c>
      <c r="E1192">
        <v>0.64043859999999997</v>
      </c>
      <c r="F1192" t="s">
        <v>41</v>
      </c>
      <c r="G1192">
        <v>-179.9315</v>
      </c>
      <c r="H1192">
        <v>7.6222230000000002E-2</v>
      </c>
      <c r="I1192">
        <v>314.92860000000002</v>
      </c>
      <c r="J1192">
        <v>-200.2116</v>
      </c>
      <c r="K1192">
        <v>1.1102479999999999</v>
      </c>
      <c r="L1192">
        <v>362.07159999999999</v>
      </c>
      <c r="M1192">
        <v>0.82687119999999903</v>
      </c>
      <c r="N1192">
        <v>-1.5895920000000001E-2</v>
      </c>
      <c r="O1192">
        <v>-0.56216650000000001</v>
      </c>
      <c r="P1192">
        <v>0.66470499999999999</v>
      </c>
      <c r="Q1192">
        <v>0.18114930000000001</v>
      </c>
      <c r="R1192">
        <v>-0.72481169999999995</v>
      </c>
      <c r="S1192">
        <v>1.2905580000000001</v>
      </c>
      <c r="T1192">
        <v>-6.5361379999999997E-2</v>
      </c>
      <c r="U1192">
        <v>-2.9863279999999999</v>
      </c>
      <c r="V1192">
        <v>0.23091320000000001</v>
      </c>
      <c r="W1192">
        <v>0.19015940000000001</v>
      </c>
      <c r="X1192">
        <v>0.95421089999999997</v>
      </c>
      <c r="Y1192">
        <v>0.53589010000000004</v>
      </c>
      <c r="Z1192">
        <v>-6.290945E-3</v>
      </c>
      <c r="AA1192">
        <v>0.84426429999999997</v>
      </c>
      <c r="AB1192">
        <v>28</v>
      </c>
      <c r="AC1192">
        <v>20.280100000000001</v>
      </c>
      <c r="AD1192">
        <v>-1.03402577</v>
      </c>
      <c r="AE1192">
        <v>-47.142999999999901</v>
      </c>
      <c r="AF1192">
        <v>27.572690029368399</v>
      </c>
      <c r="AG1192">
        <v>-1.03402577</v>
      </c>
      <c r="AH1192">
        <v>43.259155706621698</v>
      </c>
      <c r="AI1192">
        <v>91.1547410541517</v>
      </c>
      <c r="AJ1192">
        <v>57.4872188315709</v>
      </c>
      <c r="AK1192">
        <v>51.309618953938802</v>
      </c>
      <c r="AL1192">
        <v>79.037912950937098</v>
      </c>
      <c r="AM1192">
        <v>76.396296574703499</v>
      </c>
      <c r="AN1192">
        <v>0.99999997251070405</v>
      </c>
    </row>
    <row r="1193" spans="1:40" x14ac:dyDescent="0.25">
      <c r="A1193" t="str">
        <f>"20190303170519813"</f>
        <v>20190303170519813</v>
      </c>
      <c r="B1193" t="str">
        <f>"1551603919806112"</f>
        <v>1551603919806112</v>
      </c>
      <c r="C1193" t="s">
        <v>40</v>
      </c>
      <c r="D1193">
        <v>5.702528</v>
      </c>
      <c r="E1193">
        <v>0.63962439999999998</v>
      </c>
      <c r="F1193" t="s">
        <v>41</v>
      </c>
      <c r="G1193">
        <v>-179.95779999999999</v>
      </c>
      <c r="H1193">
        <v>4.9347420000000003E-2</v>
      </c>
      <c r="I1193">
        <v>314.01679999999999</v>
      </c>
      <c r="J1193">
        <v>-200.08680000000001</v>
      </c>
      <c r="K1193">
        <v>1.1102379999999901</v>
      </c>
      <c r="L1193">
        <v>361.97649999999999</v>
      </c>
      <c r="M1193">
        <v>0.82214849999999995</v>
      </c>
      <c r="N1193">
        <v>-1.5906299999999901E-2</v>
      </c>
      <c r="O1193">
        <v>-0.56905109999999903</v>
      </c>
      <c r="P1193">
        <v>0.65804300000000004</v>
      </c>
      <c r="Q1193">
        <v>0.1813795</v>
      </c>
      <c r="R1193">
        <v>-0.73080880000000004</v>
      </c>
      <c r="S1193">
        <v>1.263199</v>
      </c>
      <c r="T1193">
        <v>-6.6166639999999999E-2</v>
      </c>
      <c r="U1193">
        <v>-2.9971009999999998</v>
      </c>
      <c r="V1193">
        <v>0.2316453</v>
      </c>
      <c r="W1193">
        <v>0.19037200000000001</v>
      </c>
      <c r="X1193">
        <v>0.95399109999999998</v>
      </c>
      <c r="Y1193">
        <v>0.53646660000000002</v>
      </c>
      <c r="Z1193">
        <v>-6.1486809999999996E-3</v>
      </c>
      <c r="AA1193">
        <v>0.84389910000000001</v>
      </c>
      <c r="AB1193">
        <v>28</v>
      </c>
      <c r="AC1193">
        <v>20.129000000000001</v>
      </c>
      <c r="AD1193">
        <v>-1.0608905799999999</v>
      </c>
      <c r="AE1193">
        <v>-47.959699999999998</v>
      </c>
      <c r="AF1193">
        <v>27.967465766253799</v>
      </c>
      <c r="AG1193">
        <v>-1.0608905799999999</v>
      </c>
      <c r="AH1193">
        <v>43.827853586380002</v>
      </c>
      <c r="AI1193">
        <v>91.168974737165996</v>
      </c>
      <c r="AJ1193">
        <v>57.457204925468297</v>
      </c>
      <c r="AK1193">
        <v>52.001782471358297</v>
      </c>
      <c r="AL1193">
        <v>79.025505862492693</v>
      </c>
      <c r="AM1193">
        <v>76.351750359928801</v>
      </c>
      <c r="AN1193">
        <v>1.00000003113764</v>
      </c>
    </row>
    <row r="1194" spans="1:40" x14ac:dyDescent="0.25">
      <c r="A1194" t="str">
        <f>"20190303170519828"</f>
        <v>20190303170519828</v>
      </c>
      <c r="B1194" t="str">
        <f>"1551603919815872"</f>
        <v>1551603919815872</v>
      </c>
      <c r="C1194" t="s">
        <v>40</v>
      </c>
      <c r="D1194">
        <v>5.6760440000000001</v>
      </c>
      <c r="E1194">
        <v>0.63920219999999905</v>
      </c>
      <c r="F1194" t="s">
        <v>41</v>
      </c>
      <c r="G1194">
        <v>-179.95779999999999</v>
      </c>
      <c r="H1194">
        <v>2.9538689999999999E-2</v>
      </c>
      <c r="I1194">
        <v>313.24669999999998</v>
      </c>
      <c r="J1194">
        <v>-199.9485</v>
      </c>
      <c r="K1194">
        <v>1.110233</v>
      </c>
      <c r="L1194">
        <v>361.86959999999999</v>
      </c>
      <c r="M1194">
        <v>0.81681559999999998</v>
      </c>
      <c r="N1194">
        <v>-1.5916969999999999E-2</v>
      </c>
      <c r="O1194">
        <v>-0.57667930000000001</v>
      </c>
      <c r="P1194">
        <v>0.65032140000000005</v>
      </c>
      <c r="Q1194">
        <v>0.1812241</v>
      </c>
      <c r="R1194">
        <v>-0.7377262</v>
      </c>
      <c r="S1194">
        <v>1.2409520000000001</v>
      </c>
      <c r="T1194">
        <v>-6.6624879999999997E-2</v>
      </c>
      <c r="U1194">
        <v>-3.004181</v>
      </c>
      <c r="V1194">
        <v>0.23283010000000001</v>
      </c>
      <c r="W1194">
        <v>0.19018750000000001</v>
      </c>
      <c r="X1194">
        <v>0.95373940000000001</v>
      </c>
      <c r="Y1194">
        <v>0.53464650000000002</v>
      </c>
      <c r="Z1194">
        <v>-5.9804100000000002E-3</v>
      </c>
      <c r="AA1194">
        <v>0.84505469999999905</v>
      </c>
      <c r="AB1194">
        <v>28</v>
      </c>
      <c r="AC1194">
        <v>19.9907</v>
      </c>
      <c r="AD1194">
        <v>-1.0806943099999999</v>
      </c>
      <c r="AE1194">
        <v>-48.622900000000001</v>
      </c>
      <c r="AF1194">
        <v>28.1793827397942</v>
      </c>
      <c r="AG1194">
        <v>-1.0806943099999999</v>
      </c>
      <c r="AH1194">
        <v>44.355411830346597</v>
      </c>
      <c r="AI1194">
        <v>91.178130282746807</v>
      </c>
      <c r="AJ1194">
        <v>57.571846331287198</v>
      </c>
      <c r="AK1194">
        <v>52.560898683594999</v>
      </c>
      <c r="AL1194">
        <v>79.036273226272101</v>
      </c>
      <c r="AM1194">
        <v>76.281090602388602</v>
      </c>
      <c r="AN1194">
        <v>0.99999999186731003</v>
      </c>
    </row>
    <row r="1195" spans="1:40" x14ac:dyDescent="0.25">
      <c r="A1195" t="str">
        <f>"20190303170519845"</f>
        <v>20190303170519845</v>
      </c>
      <c r="B1195" t="str">
        <f>"1551603919835395"</f>
        <v>1551603919835395</v>
      </c>
      <c r="C1195" t="s">
        <v>40</v>
      </c>
      <c r="D1195">
        <v>5.4047190000000001</v>
      </c>
      <c r="E1195">
        <v>0.6386231</v>
      </c>
      <c r="F1195" t="s">
        <v>41</v>
      </c>
      <c r="G1195">
        <v>-179.9837</v>
      </c>
      <c r="H1195" s="1">
        <v>-3.6541560000000002E-6</v>
      </c>
      <c r="I1195">
        <v>312.2201</v>
      </c>
      <c r="J1195">
        <v>-199.77850000000001</v>
      </c>
      <c r="K1195">
        <v>1.1102379999999901</v>
      </c>
      <c r="L1195">
        <v>361.73540000000003</v>
      </c>
      <c r="M1195">
        <v>0.81009409999999904</v>
      </c>
      <c r="N1195">
        <v>-1.5928560000000001E-2</v>
      </c>
      <c r="O1195">
        <v>-0.58608380000000004</v>
      </c>
      <c r="P1195">
        <v>0.64099289999999998</v>
      </c>
      <c r="Q1195">
        <v>0.18075640000000001</v>
      </c>
      <c r="R1195">
        <v>-0.74595940000000005</v>
      </c>
      <c r="S1195">
        <v>1.2121729999999999</v>
      </c>
      <c r="T1195">
        <v>-6.7408560000000006E-2</v>
      </c>
      <c r="U1195">
        <v>-3.0144959999999998</v>
      </c>
      <c r="V1195">
        <v>0.23388059999999999</v>
      </c>
      <c r="W1195">
        <v>0.18969829999999999</v>
      </c>
      <c r="X1195">
        <v>0.95357979999999998</v>
      </c>
      <c r="Y1195">
        <v>0.53281690000000004</v>
      </c>
      <c r="Z1195">
        <v>-5.7534569999999896E-3</v>
      </c>
      <c r="AA1195">
        <v>0.84621100000000005</v>
      </c>
      <c r="AB1195">
        <v>27</v>
      </c>
      <c r="AC1195">
        <v>19.794799999999999</v>
      </c>
      <c r="AD1195">
        <v>-1.1102416541559901</v>
      </c>
      <c r="AE1195">
        <v>-49.515300000000003</v>
      </c>
      <c r="AF1195">
        <v>28.501897816330299</v>
      </c>
      <c r="AG1195">
        <v>-1.1102416541559901</v>
      </c>
      <c r="AH1195">
        <v>45.041949235921003</v>
      </c>
      <c r="AI1195">
        <v>91.193249857794797</v>
      </c>
      <c r="AJ1195">
        <v>57.6749597040385</v>
      </c>
      <c r="AK1195">
        <v>53.313863174923299</v>
      </c>
      <c r="AL1195">
        <v>79.064822222845606</v>
      </c>
      <c r="AM1195">
        <v>76.219328390750206</v>
      </c>
      <c r="AN1195">
        <v>1.0000000075236399</v>
      </c>
    </row>
    <row r="1196" spans="1:40" x14ac:dyDescent="0.25">
      <c r="A1196" t="str">
        <f>"20190303170519857"</f>
        <v>20190303170519857</v>
      </c>
      <c r="B1196" t="str">
        <f>"1551603919846128"</f>
        <v>1551603919846128</v>
      </c>
      <c r="C1196" t="s">
        <v>40</v>
      </c>
      <c r="D1196">
        <v>5.4489049999999999</v>
      </c>
      <c r="E1196">
        <v>0.63841190000000003</v>
      </c>
      <c r="F1196" t="s">
        <v>41</v>
      </c>
      <c r="G1196">
        <v>-179.93870000000001</v>
      </c>
      <c r="H1196">
        <v>6.9085030000000006E-2</v>
      </c>
      <c r="I1196">
        <v>310.6662</v>
      </c>
      <c r="J1196">
        <v>-199.65350000000001</v>
      </c>
      <c r="K1196">
        <v>1.110239</v>
      </c>
      <c r="L1196">
        <v>361.63420000000002</v>
      </c>
      <c r="M1196">
        <v>0.8050254</v>
      </c>
      <c r="N1196">
        <v>-1.5935789999999998E-2</v>
      </c>
      <c r="O1196">
        <v>-0.59302650000000001</v>
      </c>
      <c r="P1196">
        <v>0.63474299999999995</v>
      </c>
      <c r="Q1196">
        <v>0.18065790000000001</v>
      </c>
      <c r="R1196">
        <v>-0.75130839999999999</v>
      </c>
      <c r="S1196">
        <v>1.1756899999999999</v>
      </c>
      <c r="T1196">
        <v>-6.1697599999999998E-2</v>
      </c>
      <c r="U1196">
        <v>-3.0263059999999999</v>
      </c>
      <c r="V1196">
        <v>0.23365830000000001</v>
      </c>
      <c r="W1196">
        <v>0.18961539999999999</v>
      </c>
      <c r="X1196">
        <v>0.95365080000000002</v>
      </c>
      <c r="Y1196">
        <v>0.53552449999999996</v>
      </c>
      <c r="Z1196">
        <v>-6.3499059999999998E-3</v>
      </c>
      <c r="AA1196">
        <v>0.84449580000000002</v>
      </c>
      <c r="AB1196">
        <v>27</v>
      </c>
      <c r="AC1196">
        <v>19.7148</v>
      </c>
      <c r="AD1196">
        <v>-1.0411539700000001</v>
      </c>
      <c r="AE1196">
        <v>-50.968000000000004</v>
      </c>
      <c r="AF1196">
        <v>29.332210814914099</v>
      </c>
      <c r="AG1196">
        <v>-1.0411539700000001</v>
      </c>
      <c r="AH1196">
        <v>46.085409278929703</v>
      </c>
      <c r="AI1196">
        <v>91.091862333890305</v>
      </c>
      <c r="AJ1196">
        <v>57.524266454572903</v>
      </c>
      <c r="AK1196">
        <v>54.638150968771598</v>
      </c>
      <c r="AL1196">
        <v>79.069660033785397</v>
      </c>
      <c r="AM1196">
        <v>76.232914095402805</v>
      </c>
      <c r="AN1196">
        <v>1.00000002470834</v>
      </c>
    </row>
    <row r="1197" spans="1:40" x14ac:dyDescent="0.25">
      <c r="A1197" t="str">
        <f>"20190303170519870"</f>
        <v>20190303170519870</v>
      </c>
      <c r="B1197" t="str">
        <f>"1551603919855888"</f>
        <v>1551603919855888</v>
      </c>
      <c r="C1197" t="s">
        <v>40</v>
      </c>
      <c r="D1197">
        <v>5.425535</v>
      </c>
      <c r="E1197">
        <v>0.63818629999999998</v>
      </c>
      <c r="F1197" t="s">
        <v>41</v>
      </c>
      <c r="G1197">
        <v>-179.64660000000001</v>
      </c>
      <c r="H1197">
        <v>7.9986600000000005E-2</v>
      </c>
      <c r="I1197">
        <v>308.86669999999998</v>
      </c>
      <c r="J1197">
        <v>-199.53100000000001</v>
      </c>
      <c r="K1197">
        <v>1.1102449999999999</v>
      </c>
      <c r="L1197">
        <v>361.53339999999997</v>
      </c>
      <c r="M1197">
        <v>0.79996</v>
      </c>
      <c r="N1197">
        <v>-1.5942080000000001E-2</v>
      </c>
      <c r="O1197">
        <v>-0.59984169999999903</v>
      </c>
      <c r="P1197">
        <v>0.62864569999999997</v>
      </c>
      <c r="Q1197">
        <v>0.18071880000000001</v>
      </c>
      <c r="R1197">
        <v>-0.75640309999999999</v>
      </c>
      <c r="S1197">
        <v>1.150787</v>
      </c>
      <c r="T1197">
        <v>-5.9259529999999998E-2</v>
      </c>
      <c r="U1197">
        <v>-3.0351560000000002</v>
      </c>
      <c r="V1197">
        <v>0.23325950000000001</v>
      </c>
      <c r="W1197">
        <v>0.18969639999999999</v>
      </c>
      <c r="X1197">
        <v>0.95373229999999998</v>
      </c>
      <c r="Y1197">
        <v>0.53523240000000005</v>
      </c>
      <c r="Z1197">
        <v>-6.5523380000000004E-3</v>
      </c>
      <c r="AA1197">
        <v>0.84467939999999997</v>
      </c>
      <c r="AB1197">
        <v>27</v>
      </c>
      <c r="AC1197">
        <v>19.8843999999999</v>
      </c>
      <c r="AD1197">
        <v>-1.0302583999999999</v>
      </c>
      <c r="AE1197">
        <v>-52.666699999999899</v>
      </c>
      <c r="AF1197">
        <v>30.197482762192699</v>
      </c>
      <c r="AG1197">
        <v>-1.0302583999999999</v>
      </c>
      <c r="AH1197">
        <v>47.488534283109303</v>
      </c>
      <c r="AI1197">
        <v>91.048800545382093</v>
      </c>
      <c r="AJ1197">
        <v>57.5481283909307</v>
      </c>
      <c r="AK1197">
        <v>56.285968819073801</v>
      </c>
      <c r="AL1197">
        <v>79.064933117563399</v>
      </c>
      <c r="AM1197">
        <v>76.256649430510294</v>
      </c>
      <c r="AN1197">
        <v>1.0000000092882499</v>
      </c>
    </row>
    <row r="1198" spans="1:40" x14ac:dyDescent="0.25">
      <c r="A1198" t="str">
        <f>"20190303170519884"</f>
        <v>20190303170519884</v>
      </c>
      <c r="B1198" t="str">
        <f>"1551603919875408"</f>
        <v>1551603919875408</v>
      </c>
      <c r="C1198" t="s">
        <v>40</v>
      </c>
      <c r="D1198">
        <v>5.3542100000000001</v>
      </c>
      <c r="E1198">
        <v>0.63732230000000001</v>
      </c>
      <c r="F1198" t="s">
        <v>41</v>
      </c>
      <c r="G1198">
        <v>-178.82329999999999</v>
      </c>
      <c r="H1198">
        <v>7.9985699999999896E-2</v>
      </c>
      <c r="I1198">
        <v>305.61689999999999</v>
      </c>
      <c r="J1198">
        <v>-199.39869999999999</v>
      </c>
      <c r="K1198">
        <v>1.11025</v>
      </c>
      <c r="L1198">
        <v>361.423</v>
      </c>
      <c r="M1198">
        <v>0.79439359999999903</v>
      </c>
      <c r="N1198">
        <v>-1.5948170000000001E-2</v>
      </c>
      <c r="O1198">
        <v>-0.60719400000000001</v>
      </c>
      <c r="P1198">
        <v>0.62172620000000001</v>
      </c>
      <c r="Q1198">
        <v>0.1814356</v>
      </c>
      <c r="R1198">
        <v>-0.76193029999999995</v>
      </c>
      <c r="S1198">
        <v>1.1269229999999999</v>
      </c>
      <c r="T1198">
        <v>-5.6067110000000003E-2</v>
      </c>
      <c r="U1198">
        <v>-3.042999</v>
      </c>
      <c r="V1198">
        <v>0.23303589999999999</v>
      </c>
      <c r="W1198">
        <v>0.19042770000000001</v>
      </c>
      <c r="X1198">
        <v>0.95364119999999997</v>
      </c>
      <c r="Y1198">
        <v>0.53398279999999998</v>
      </c>
      <c r="Z1198">
        <v>-6.8323969999999996E-3</v>
      </c>
      <c r="AA1198">
        <v>0.84546769999999904</v>
      </c>
      <c r="AB1198">
        <v>27</v>
      </c>
      <c r="AC1198">
        <v>20.575399999999998</v>
      </c>
      <c r="AD1198">
        <v>-1.0302643</v>
      </c>
      <c r="AE1198">
        <v>-55.806100000000001</v>
      </c>
      <c r="AF1198">
        <v>31.8332463291406</v>
      </c>
      <c r="AG1198">
        <v>-1.0302643</v>
      </c>
      <c r="AH1198">
        <v>50.221413525609798</v>
      </c>
      <c r="AI1198">
        <v>90.992657858277695</v>
      </c>
      <c r="AJ1198">
        <v>57.631105043392999</v>
      </c>
      <c r="AK1198">
        <v>59.469381978375303</v>
      </c>
      <c r="AL1198">
        <v>79.022254550193097</v>
      </c>
      <c r="AM1198">
        <v>76.268062776525497</v>
      </c>
      <c r="AN1198">
        <v>0.99999998897676901</v>
      </c>
    </row>
    <row r="1199" spans="1:40" x14ac:dyDescent="0.25">
      <c r="A1199" t="str">
        <f>"20190303170519900"</f>
        <v>20190303170519900</v>
      </c>
      <c r="B1199" t="str">
        <f>"1551603919886144"</f>
        <v>1551603919886144</v>
      </c>
      <c r="C1199" t="s">
        <v>40</v>
      </c>
      <c r="D1199">
        <v>5.4912349999999996</v>
      </c>
      <c r="E1199">
        <v>0.63705579999999995</v>
      </c>
      <c r="F1199" t="s">
        <v>52</v>
      </c>
      <c r="G1199">
        <v>-176.7303</v>
      </c>
      <c r="H1199">
        <v>7.9999959999999995E-2</v>
      </c>
      <c r="I1199">
        <v>298.86489999999998</v>
      </c>
      <c r="J1199">
        <v>-199.23509999999999</v>
      </c>
      <c r="K1199">
        <v>1.110258</v>
      </c>
      <c r="L1199">
        <v>361.28309999999999</v>
      </c>
      <c r="M1199">
        <v>0.78733529999999996</v>
      </c>
      <c r="N1199">
        <v>-1.5954099999999999E-2</v>
      </c>
      <c r="O1199">
        <v>-0.61631849999999999</v>
      </c>
      <c r="P1199">
        <v>0.61268919999999905</v>
      </c>
      <c r="Q1199">
        <v>0.1825338</v>
      </c>
      <c r="R1199">
        <v>-0.76895609999999903</v>
      </c>
      <c r="S1199">
        <v>1.1044769999999999</v>
      </c>
      <c r="T1199">
        <v>-5.0197119999999998E-2</v>
      </c>
      <c r="U1199">
        <v>-3.048035</v>
      </c>
      <c r="V1199">
        <v>0.23311090000000001</v>
      </c>
      <c r="W1199">
        <v>0.19153319999999999</v>
      </c>
      <c r="X1199">
        <v>0.95340139999999995</v>
      </c>
      <c r="Y1199">
        <v>0.53018500000000002</v>
      </c>
      <c r="Z1199">
        <v>-7.3944249999999996E-3</v>
      </c>
      <c r="AA1199">
        <v>0.84784969999999904</v>
      </c>
      <c r="AB1199">
        <v>27</v>
      </c>
      <c r="AC1199">
        <v>22.5047999999999</v>
      </c>
      <c r="AD1199">
        <v>-1.0302580400000001</v>
      </c>
      <c r="AE1199">
        <v>-62.418199999999999</v>
      </c>
      <c r="AF1199">
        <v>35.269915943605298</v>
      </c>
      <c r="AG1199">
        <v>-1.0302580400000001</v>
      </c>
      <c r="AH1199">
        <v>56.181924565042898</v>
      </c>
      <c r="AI1199">
        <v>90.8897927326028</v>
      </c>
      <c r="AJ1199">
        <v>57.880199818833098</v>
      </c>
      <c r="AK1199">
        <v>66.343327095723396</v>
      </c>
      <c r="AL1199">
        <v>78.957725841735495</v>
      </c>
      <c r="AM1199">
        <v>76.260486671753299</v>
      </c>
      <c r="AN1199">
        <v>0.99999994396150305</v>
      </c>
    </row>
    <row r="1200" spans="1:40" x14ac:dyDescent="0.25">
      <c r="A1200" t="str">
        <f>"20190303170519917"</f>
        <v>20190303170519917</v>
      </c>
      <c r="B1200" t="str">
        <f>"1551603919905664"</f>
        <v>1551603919905664</v>
      </c>
      <c r="C1200" t="s">
        <v>40</v>
      </c>
      <c r="D1200">
        <v>5.3674269999999904</v>
      </c>
      <c r="E1200">
        <v>0.63632519999999904</v>
      </c>
      <c r="F1200" t="s">
        <v>52</v>
      </c>
      <c r="G1200">
        <v>-176.2826</v>
      </c>
      <c r="H1200">
        <v>7.999966E-2</v>
      </c>
      <c r="I1200">
        <v>295.77440000000001</v>
      </c>
      <c r="J1200">
        <v>-199.08779999999999</v>
      </c>
      <c r="K1200">
        <v>1.1102719999999999</v>
      </c>
      <c r="L1200">
        <v>361.154</v>
      </c>
      <c r="M1200">
        <v>0.78081669999999903</v>
      </c>
      <c r="N1200">
        <v>-1.5958070000000001E-2</v>
      </c>
      <c r="O1200">
        <v>-0.62455629999999995</v>
      </c>
      <c r="P1200">
        <v>0.60442050000000003</v>
      </c>
      <c r="Q1200">
        <v>0.18284300000000001</v>
      </c>
      <c r="R1200">
        <v>-0.77539950000000002</v>
      </c>
      <c r="S1200">
        <v>1.071747</v>
      </c>
      <c r="T1200">
        <v>-4.8107030000000002E-2</v>
      </c>
      <c r="U1200">
        <v>-3.0588679999999999</v>
      </c>
      <c r="V1200">
        <v>0.2332486</v>
      </c>
      <c r="W1200">
        <v>0.1918482</v>
      </c>
      <c r="X1200">
        <v>0.9533045</v>
      </c>
      <c r="Y1200">
        <v>0.53029769999999998</v>
      </c>
      <c r="Z1200">
        <v>-7.60136199999999E-3</v>
      </c>
      <c r="AA1200">
        <v>0.84777739999999902</v>
      </c>
      <c r="AB1200">
        <v>27</v>
      </c>
      <c r="AC1200">
        <v>22.8051999999999</v>
      </c>
      <c r="AD1200">
        <v>-1.03027234</v>
      </c>
      <c r="AE1200">
        <v>-65.379599999999897</v>
      </c>
      <c r="AF1200">
        <v>36.802892812699703</v>
      </c>
      <c r="AG1200">
        <v>-1.03027234</v>
      </c>
      <c r="AH1200">
        <v>58.634410599959601</v>
      </c>
      <c r="AI1200">
        <v>90.852636562352998</v>
      </c>
      <c r="AJ1200">
        <v>57.884858430700199</v>
      </c>
      <c r="AK1200">
        <v>69.235167992013203</v>
      </c>
      <c r="AL1200">
        <v>78.939337898643402</v>
      </c>
      <c r="AM1200">
        <v>76.251334153395504</v>
      </c>
      <c r="AN1200">
        <v>1.00000005548272</v>
      </c>
    </row>
    <row r="1201" spans="1:40" x14ac:dyDescent="0.25">
      <c r="A1201" t="str">
        <f>"20190303170519934"</f>
        <v>20190303170519934</v>
      </c>
      <c r="B1201" t="str">
        <f>"1551603919926161"</f>
        <v>1551603919926161</v>
      </c>
      <c r="C1201" t="s">
        <v>40</v>
      </c>
      <c r="D1201">
        <v>5.7124920000000001</v>
      </c>
      <c r="E1201">
        <v>0.63588169999999899</v>
      </c>
      <c r="F1201" t="s">
        <v>52</v>
      </c>
      <c r="G1201">
        <v>-175.6337</v>
      </c>
      <c r="H1201">
        <v>8.0000050000000003E-2</v>
      </c>
      <c r="I1201">
        <v>292.30200000000002</v>
      </c>
      <c r="J1201">
        <v>-198.92179999999999</v>
      </c>
      <c r="K1201">
        <v>1.1102879999999999</v>
      </c>
      <c r="L1201">
        <v>361.00549999999998</v>
      </c>
      <c r="M1201">
        <v>0.77330019999999999</v>
      </c>
      <c r="N1201">
        <v>-1.5961349999999999E-2</v>
      </c>
      <c r="O1201">
        <v>-0.63383919999999905</v>
      </c>
      <c r="P1201">
        <v>0.59435729999999998</v>
      </c>
      <c r="Q1201">
        <v>0.1829836</v>
      </c>
      <c r="R1201">
        <v>-0.78310729999999995</v>
      </c>
      <c r="S1201">
        <v>1.044327</v>
      </c>
      <c r="T1201">
        <v>-4.5874360000000003E-2</v>
      </c>
      <c r="U1201">
        <v>-3.0657350000000001</v>
      </c>
      <c r="V1201">
        <v>0.23414409999999999</v>
      </c>
      <c r="W1201">
        <v>0.19197310000000001</v>
      </c>
      <c r="X1201">
        <v>0.95305969999999995</v>
      </c>
      <c r="Y1201">
        <v>0.52754209999999901</v>
      </c>
      <c r="Z1201">
        <v>-7.7864309999999999E-3</v>
      </c>
      <c r="AA1201">
        <v>0.84949319999999895</v>
      </c>
      <c r="AB1201">
        <v>27</v>
      </c>
      <c r="AC1201">
        <v>23.288099999999901</v>
      </c>
      <c r="AD1201">
        <v>-1.03028795</v>
      </c>
      <c r="AE1201">
        <v>-68.703499999999906</v>
      </c>
      <c r="AF1201">
        <v>38.364667577147898</v>
      </c>
      <c r="AG1201">
        <v>-1.03028795</v>
      </c>
      <c r="AH1201">
        <v>61.551088139850201</v>
      </c>
      <c r="AI1201">
        <v>90.813848021893804</v>
      </c>
      <c r="AJ1201">
        <v>58.064797038498</v>
      </c>
      <c r="AK1201">
        <v>72.535823306588199</v>
      </c>
      <c r="AL1201">
        <v>78.932045063129607</v>
      </c>
      <c r="AM1201">
        <v>76.197154685900998</v>
      </c>
      <c r="AN1201">
        <v>0.99999996122625401</v>
      </c>
    </row>
    <row r="1202" spans="1:40" x14ac:dyDescent="0.25">
      <c r="A1202" t="str">
        <f>"20190303170519955"</f>
        <v>20190303170519955</v>
      </c>
      <c r="B1202" t="str">
        <f>"1551603919945680"</f>
        <v>1551603919945680</v>
      </c>
      <c r="C1202" t="s">
        <v>40</v>
      </c>
      <c r="D1202">
        <v>5.4941209999999998</v>
      </c>
      <c r="E1202">
        <v>0.66035469999999996</v>
      </c>
      <c r="F1202" t="s">
        <v>48</v>
      </c>
      <c r="G1202">
        <v>-177.1181</v>
      </c>
      <c r="H1202">
        <v>0.19459389999999999</v>
      </c>
      <c r="I1202">
        <v>294.32769999999999</v>
      </c>
      <c r="J1202">
        <v>-198.7313</v>
      </c>
      <c r="K1202">
        <v>1.1103080000000001</v>
      </c>
      <c r="L1202">
        <v>360.83049999999997</v>
      </c>
      <c r="M1202">
        <v>0.76442840000000001</v>
      </c>
      <c r="N1202">
        <v>-1.5963809999999998E-2</v>
      </c>
      <c r="O1202">
        <v>-0.6445111</v>
      </c>
      <c r="P1202">
        <v>0.58357320000000001</v>
      </c>
      <c r="Q1202">
        <v>0.18167079999999999</v>
      </c>
      <c r="R1202">
        <v>-0.79147880000000004</v>
      </c>
      <c r="S1202">
        <v>1.00621</v>
      </c>
      <c r="T1202">
        <v>-4.225802E-2</v>
      </c>
      <c r="U1202">
        <v>-3.0770870000000001</v>
      </c>
      <c r="V1202">
        <v>0.23415820000000001</v>
      </c>
      <c r="W1202">
        <v>0.1906776</v>
      </c>
      <c r="X1202">
        <v>0.95331630000000001</v>
      </c>
      <c r="Y1202">
        <v>0.52618799999999999</v>
      </c>
      <c r="Z1202">
        <v>-8.1862979999999998E-3</v>
      </c>
      <c r="AA1202">
        <v>0.85032890000000005</v>
      </c>
      <c r="AB1202">
        <v>27</v>
      </c>
      <c r="AC1202">
        <v>21.613199999999999</v>
      </c>
      <c r="AD1202">
        <v>-0.91571409999999998</v>
      </c>
      <c r="AE1202">
        <v>-66.502799999999894</v>
      </c>
      <c r="AF1202">
        <v>36.905053216972398</v>
      </c>
      <c r="AG1202">
        <v>-0.91571409999999998</v>
      </c>
      <c r="AH1202">
        <v>59.380916427769797</v>
      </c>
      <c r="AI1202">
        <v>90.750392904006404</v>
      </c>
      <c r="AJ1202">
        <v>58.139178491989398</v>
      </c>
      <c r="AK1202">
        <v>69.920774602848098</v>
      </c>
      <c r="AL1202">
        <v>79.007669082986894</v>
      </c>
      <c r="AM1202">
        <v>76.199928691309296</v>
      </c>
      <c r="AN1202">
        <v>0.99999998880734398</v>
      </c>
    </row>
    <row r="1203" spans="1:40" x14ac:dyDescent="0.25">
      <c r="A1203" t="str">
        <f>"20190303170519968"</f>
        <v>20190303170519968</v>
      </c>
      <c r="B1203" t="str">
        <f>"1551603919955441"</f>
        <v>1551603919955441</v>
      </c>
      <c r="C1203" t="s">
        <v>40</v>
      </c>
      <c r="D1203">
        <v>5.4099059999999897</v>
      </c>
      <c r="E1203">
        <v>0.66488979999999998</v>
      </c>
      <c r="F1203" t="s">
        <v>53</v>
      </c>
      <c r="G1203">
        <v>-161.09909999999999</v>
      </c>
      <c r="H1203">
        <v>2.2709709999999999</v>
      </c>
      <c r="I1203">
        <v>209.34200000000001</v>
      </c>
      <c r="J1203">
        <v>-198.6233</v>
      </c>
      <c r="K1203">
        <v>1.1103259999999999</v>
      </c>
      <c r="L1203">
        <v>360.72930000000002</v>
      </c>
      <c r="M1203">
        <v>0.75927999999999995</v>
      </c>
      <c r="N1203">
        <v>-1.596471E-2</v>
      </c>
      <c r="O1203">
        <v>-0.65056809999999998</v>
      </c>
      <c r="P1203">
        <v>0.57781340000000003</v>
      </c>
      <c r="Q1203">
        <v>0.18152989999999999</v>
      </c>
      <c r="R1203">
        <v>-0.79572500000000002</v>
      </c>
      <c r="S1203">
        <v>0.79463200000000001</v>
      </c>
      <c r="T1203">
        <v>2.4508950000000002E-2</v>
      </c>
      <c r="U1203">
        <v>-3.1987920000000001</v>
      </c>
      <c r="V1203">
        <v>0.2335103</v>
      </c>
      <c r="W1203">
        <v>0.19056529999999999</v>
      </c>
      <c r="X1203">
        <v>0.95349759999999995</v>
      </c>
      <c r="Y1203">
        <v>0.58012929999999996</v>
      </c>
      <c r="Z1203">
        <v>-1.7295430000000001E-2</v>
      </c>
      <c r="AA1203">
        <v>0.81434079999999998</v>
      </c>
      <c r="AB1203">
        <v>27</v>
      </c>
      <c r="AC1203">
        <v>37.5242</v>
      </c>
      <c r="AD1203">
        <v>1.1606449999999999</v>
      </c>
      <c r="AE1203">
        <v>-151.38730000000001</v>
      </c>
      <c r="AF1203">
        <v>90.539834384947497</v>
      </c>
      <c r="AG1203">
        <v>1.1606449999999999</v>
      </c>
      <c r="AH1203">
        <v>126.988285312543</v>
      </c>
      <c r="AI1203">
        <v>89.573615793964393</v>
      </c>
      <c r="AJ1203">
        <v>54.511972174068902</v>
      </c>
      <c r="AK1203">
        <v>155.96420523277001</v>
      </c>
      <c r="AL1203">
        <v>79.014222969658704</v>
      </c>
      <c r="AM1203">
        <v>76.239176130681898</v>
      </c>
      <c r="AN1203">
        <v>0.99999993348796701</v>
      </c>
    </row>
    <row r="1204" spans="1:40" x14ac:dyDescent="0.25">
      <c r="A1204" t="str">
        <f>"20190303170519979"</f>
        <v>20190303170519979</v>
      </c>
      <c r="B1204" t="str">
        <f>"1551603919975937"</f>
        <v>1551603919975937</v>
      </c>
      <c r="C1204" t="s">
        <v>40</v>
      </c>
      <c r="D1204">
        <v>5.4053839999999997</v>
      </c>
      <c r="E1204">
        <v>0.66769619999999996</v>
      </c>
      <c r="F1204" t="s">
        <v>54</v>
      </c>
      <c r="G1204">
        <v>-167.4204</v>
      </c>
      <c r="H1204">
        <v>2.9124729999999999</v>
      </c>
      <c r="I1204">
        <v>224.61510000000001</v>
      </c>
      <c r="J1204">
        <v>-198.51179999999999</v>
      </c>
      <c r="K1204">
        <v>1.110339</v>
      </c>
      <c r="L1204">
        <v>360.62299999999999</v>
      </c>
      <c r="M1204">
        <v>0.75387579999999998</v>
      </c>
      <c r="N1204">
        <v>-1.596525E-2</v>
      </c>
      <c r="O1204">
        <v>-0.65682289999999999</v>
      </c>
      <c r="P1204">
        <v>0.57125099999999995</v>
      </c>
      <c r="Q1204">
        <v>0.1812318</v>
      </c>
      <c r="R1204">
        <v>-0.80051719999999904</v>
      </c>
      <c r="S1204">
        <v>0.73902889999999999</v>
      </c>
      <c r="T1204">
        <v>4.2684560000000003E-2</v>
      </c>
      <c r="U1204">
        <v>-3.2238159999999998</v>
      </c>
      <c r="V1204">
        <v>0.2335042</v>
      </c>
      <c r="W1204">
        <v>0.1902769</v>
      </c>
      <c r="X1204">
        <v>0.95355679999999998</v>
      </c>
      <c r="Y1204">
        <v>0.58817959999999903</v>
      </c>
      <c r="Z1204">
        <v>-1.9713250000000002E-2</v>
      </c>
      <c r="AA1204">
        <v>0.80848999999999904</v>
      </c>
      <c r="AB1204">
        <v>27</v>
      </c>
      <c r="AC1204">
        <v>31.0914</v>
      </c>
      <c r="AD1204">
        <v>1.8021339999999999</v>
      </c>
      <c r="AE1204">
        <v>-136.00790000000001</v>
      </c>
      <c r="AF1204">
        <v>82.108290640389797</v>
      </c>
      <c r="AG1204">
        <v>1.8021339999999999</v>
      </c>
      <c r="AH1204">
        <v>112.76772089491701</v>
      </c>
      <c r="AI1204">
        <v>89.259827803569607</v>
      </c>
      <c r="AJ1204">
        <v>53.940935506221798</v>
      </c>
      <c r="AK1204">
        <v>139.50475961297701</v>
      </c>
      <c r="AL1204">
        <v>79.031056246679199</v>
      </c>
      <c r="AM1204">
        <v>76.240343766879505</v>
      </c>
      <c r="AN1204">
        <v>1.0000000404587399</v>
      </c>
    </row>
    <row r="1205" spans="1:40" x14ac:dyDescent="0.25">
      <c r="A1205" t="str">
        <f>"20190303170519991"</f>
        <v>20190303170519991</v>
      </c>
      <c r="B1205" t="str">
        <f>"1551603919985697"</f>
        <v>1551603919985697</v>
      </c>
      <c r="C1205" t="s">
        <v>40</v>
      </c>
      <c r="D1205">
        <v>5.4414730000000002</v>
      </c>
      <c r="E1205">
        <v>0.66788829999999999</v>
      </c>
      <c r="F1205" t="s">
        <v>53</v>
      </c>
      <c r="G1205">
        <v>-166.20509999999999</v>
      </c>
      <c r="H1205">
        <v>3.6376949999999999</v>
      </c>
      <c r="I1205">
        <v>209.3433</v>
      </c>
      <c r="J1205">
        <v>-198.4092</v>
      </c>
      <c r="K1205">
        <v>1.110349</v>
      </c>
      <c r="L1205">
        <v>360.52330000000001</v>
      </c>
      <c r="M1205">
        <v>0.74880570000000002</v>
      </c>
      <c r="N1205">
        <v>-1.5965150000000001E-2</v>
      </c>
      <c r="O1205">
        <v>-0.6625974</v>
      </c>
      <c r="P1205">
        <v>0.56527380000000005</v>
      </c>
      <c r="Q1205">
        <v>0.18115290000000001</v>
      </c>
      <c r="R1205">
        <v>-0.8047666</v>
      </c>
      <c r="S1205">
        <v>0.69219969999999997</v>
      </c>
      <c r="T1205">
        <v>5.4151539999999998E-2</v>
      </c>
      <c r="U1205">
        <v>-3.2413020000000001</v>
      </c>
      <c r="V1205">
        <v>0.23328109999999999</v>
      </c>
      <c r="W1205">
        <v>0.1902124</v>
      </c>
      <c r="X1205">
        <v>0.95362420000000003</v>
      </c>
      <c r="Y1205">
        <v>0.59406080000000006</v>
      </c>
      <c r="Z1205">
        <v>-2.1311210000000001E-2</v>
      </c>
      <c r="AA1205">
        <v>0.80413780000000001</v>
      </c>
      <c r="AB1205">
        <v>27</v>
      </c>
      <c r="AC1205">
        <v>32.204099999999997</v>
      </c>
      <c r="AD1205">
        <v>2.5273460000000001</v>
      </c>
      <c r="AE1205">
        <v>-151.18</v>
      </c>
      <c r="AF1205">
        <v>91.853238332875407</v>
      </c>
      <c r="AG1205">
        <v>2.5273460000000001</v>
      </c>
      <c r="AH1205">
        <v>124.268697708121</v>
      </c>
      <c r="AI1205">
        <v>89.063012189470598</v>
      </c>
      <c r="AJ1205">
        <v>53.530031593298403</v>
      </c>
      <c r="AK1205">
        <v>154.55133160252001</v>
      </c>
      <c r="AL1205">
        <v>79.034819810857201</v>
      </c>
      <c r="AM1205">
        <v>76.253926103653399</v>
      </c>
      <c r="AN1205">
        <v>0.99999997177830402</v>
      </c>
    </row>
    <row r="1206" spans="1:40" x14ac:dyDescent="0.25">
      <c r="A1206" t="str">
        <f>"20190303170520003"</f>
        <v>20190303170520003</v>
      </c>
      <c r="B1206" t="str">
        <f>"1551603919995456"</f>
        <v>1551603919995456</v>
      </c>
      <c r="C1206" t="s">
        <v>40</v>
      </c>
      <c r="D1206">
        <v>5.445614</v>
      </c>
      <c r="E1206">
        <v>0.66769579999999995</v>
      </c>
      <c r="F1206" t="s">
        <v>53</v>
      </c>
      <c r="G1206">
        <v>-167.54839999999999</v>
      </c>
      <c r="H1206">
        <v>3.6758289999999998</v>
      </c>
      <c r="I1206">
        <v>210.2354</v>
      </c>
      <c r="J1206">
        <v>-198.3015</v>
      </c>
      <c r="K1206">
        <v>1.110365</v>
      </c>
      <c r="L1206">
        <v>360.41759999999999</v>
      </c>
      <c r="M1206">
        <v>0.74341089999999999</v>
      </c>
      <c r="N1206">
        <v>-1.5964929999999999E-2</v>
      </c>
      <c r="O1206">
        <v>-0.66864440000000003</v>
      </c>
      <c r="P1206">
        <v>0.55895509999999904</v>
      </c>
      <c r="Q1206">
        <v>0.18185580000000001</v>
      </c>
      <c r="R1206">
        <v>-0.80901040000000002</v>
      </c>
      <c r="S1206">
        <v>0.66674800000000001</v>
      </c>
      <c r="T1206">
        <v>5.5428030000000003E-2</v>
      </c>
      <c r="U1206">
        <v>-3.2469790000000001</v>
      </c>
      <c r="V1206">
        <v>0.23291329999999999</v>
      </c>
      <c r="W1206">
        <v>0.19093270000000001</v>
      </c>
      <c r="X1206">
        <v>0.95357020000000003</v>
      </c>
      <c r="Y1206">
        <v>0.59387000000000001</v>
      </c>
      <c r="Z1206">
        <v>-2.1669460000000001E-2</v>
      </c>
      <c r="AA1206">
        <v>0.80426909999999996</v>
      </c>
      <c r="AB1206">
        <v>27</v>
      </c>
      <c r="AC1206">
        <v>30.7531</v>
      </c>
      <c r="AD1206">
        <v>2.565464</v>
      </c>
      <c r="AE1206">
        <v>-150.18219999999999</v>
      </c>
      <c r="AF1206">
        <v>91.070301851878398</v>
      </c>
      <c r="AG1206">
        <v>2.565464</v>
      </c>
      <c r="AH1206">
        <v>123.261870802432</v>
      </c>
      <c r="AI1206">
        <v>89.040971412103403</v>
      </c>
      <c r="AJ1206">
        <v>53.541678599494801</v>
      </c>
      <c r="AK1206">
        <v>153.27710291704699</v>
      </c>
      <c r="AL1206">
        <v>78.992779653058605</v>
      </c>
      <c r="AM1206">
        <v>76.274030586974007</v>
      </c>
      <c r="AN1206">
        <v>1.0000000137871099</v>
      </c>
    </row>
    <row r="1207" spans="1:40" x14ac:dyDescent="0.25">
      <c r="A1207" t="str">
        <f>"20190303170520014"</f>
        <v>20190303170520014</v>
      </c>
      <c r="B1207" t="str">
        <f>"1551603920006192"</f>
        <v>1551603920006192</v>
      </c>
      <c r="C1207" t="s">
        <v>40</v>
      </c>
      <c r="D1207">
        <v>5.453506</v>
      </c>
      <c r="E1207">
        <v>0.66735849999999997</v>
      </c>
      <c r="F1207" t="s">
        <v>53</v>
      </c>
      <c r="G1207">
        <v>-168.57230000000001</v>
      </c>
      <c r="H1207">
        <v>3.755077</v>
      </c>
      <c r="I1207">
        <v>210.23570000000001</v>
      </c>
      <c r="J1207">
        <v>-198.1985</v>
      </c>
      <c r="K1207">
        <v>1.1103809999999901</v>
      </c>
      <c r="L1207">
        <v>360.3141</v>
      </c>
      <c r="M1207">
        <v>0.73814399999999902</v>
      </c>
      <c r="N1207">
        <v>-1.5964099999999998E-2</v>
      </c>
      <c r="O1207">
        <v>-0.67445449999999996</v>
      </c>
      <c r="P1207">
        <v>0.55264530000000001</v>
      </c>
      <c r="Q1207">
        <v>0.1817483</v>
      </c>
      <c r="R1207">
        <v>-0.81335789999999997</v>
      </c>
      <c r="S1207">
        <v>0.64350889999999905</v>
      </c>
      <c r="T1207">
        <v>5.7247399999999997E-2</v>
      </c>
      <c r="U1207">
        <v>-3.2507929999999998</v>
      </c>
      <c r="V1207">
        <v>0.2328597</v>
      </c>
      <c r="W1207">
        <v>0.19083439999999999</v>
      </c>
      <c r="X1207">
        <v>0.95360299999999998</v>
      </c>
      <c r="Y1207">
        <v>0.59327459999999999</v>
      </c>
      <c r="Z1207">
        <v>-2.2098860000000001E-2</v>
      </c>
      <c r="AA1207">
        <v>0.80469679999999999</v>
      </c>
      <c r="AB1207">
        <v>27</v>
      </c>
      <c r="AC1207">
        <v>29.626199999999901</v>
      </c>
      <c r="AD1207">
        <v>2.6446960000000002</v>
      </c>
      <c r="AE1207">
        <v>-150.07839999999999</v>
      </c>
      <c r="AF1207">
        <v>90.782371649252099</v>
      </c>
      <c r="AG1207">
        <v>2.6446960000000002</v>
      </c>
      <c r="AH1207">
        <v>123.06833998261401</v>
      </c>
      <c r="AI1207">
        <v>89.009246823791599</v>
      </c>
      <c r="AJ1207">
        <v>53.5853544760623</v>
      </c>
      <c r="AK1207">
        <v>152.95178889202799</v>
      </c>
      <c r="AL1207">
        <v>78.998517674624793</v>
      </c>
      <c r="AM1207">
        <v>76.277524056380898</v>
      </c>
      <c r="AN1207">
        <v>1.00000004485822</v>
      </c>
    </row>
    <row r="1208" spans="1:40" x14ac:dyDescent="0.25">
      <c r="A1208" t="str">
        <f>"20190303170520036"</f>
        <v>20190303170520036</v>
      </c>
      <c r="B1208" t="str">
        <f>"1551603920025712"</f>
        <v>1551603920025712</v>
      </c>
      <c r="C1208" t="s">
        <v>40</v>
      </c>
      <c r="D1208">
        <v>5.4411019999999999</v>
      </c>
      <c r="E1208">
        <v>0.66632609999999903</v>
      </c>
      <c r="F1208" t="s">
        <v>53</v>
      </c>
      <c r="G1208">
        <v>-169.39340000000001</v>
      </c>
      <c r="H1208">
        <v>3.6781649999999999</v>
      </c>
      <c r="I1208">
        <v>209.3963</v>
      </c>
      <c r="J1208">
        <v>-198.024</v>
      </c>
      <c r="K1208">
        <v>1.110403</v>
      </c>
      <c r="L1208">
        <v>360.13569999999999</v>
      </c>
      <c r="M1208">
        <v>0.72903699999999905</v>
      </c>
      <c r="N1208">
        <v>-1.596241E-2</v>
      </c>
      <c r="O1208">
        <v>-0.68428800000000001</v>
      </c>
      <c r="P1208">
        <v>0.54214069999999903</v>
      </c>
      <c r="Q1208">
        <v>0.1813929</v>
      </c>
      <c r="R1208">
        <v>-0.82047530000000002</v>
      </c>
      <c r="S1208">
        <v>0.62107849999999998</v>
      </c>
      <c r="T1208">
        <v>5.536568E-2</v>
      </c>
      <c r="U1208">
        <v>-3.2539980000000002</v>
      </c>
      <c r="V1208">
        <v>0.23237350000000001</v>
      </c>
      <c r="W1208">
        <v>0.1905077</v>
      </c>
      <c r="X1208">
        <v>0.95378680000000005</v>
      </c>
      <c r="Y1208">
        <v>0.58796369999999998</v>
      </c>
      <c r="Z1208">
        <v>-2.218032E-2</v>
      </c>
      <c r="AA1208">
        <v>0.80858319999999995</v>
      </c>
      <c r="AB1208">
        <v>27</v>
      </c>
      <c r="AC1208">
        <v>28.630599999999902</v>
      </c>
      <c r="AD1208">
        <v>2.5677620000000001</v>
      </c>
      <c r="AE1208">
        <v>-150.73939999999999</v>
      </c>
      <c r="AF1208">
        <v>90.289251933437995</v>
      </c>
      <c r="AG1208">
        <v>2.5677620000000001</v>
      </c>
      <c r="AH1208">
        <v>124.003014835903</v>
      </c>
      <c r="AI1208">
        <v>89.040961468064793</v>
      </c>
      <c r="AJ1208">
        <v>53.940834878179899</v>
      </c>
      <c r="AK1208">
        <v>153.412809454692</v>
      </c>
      <c r="AL1208">
        <v>79.017584907018502</v>
      </c>
      <c r="AM1208">
        <v>76.307635736905596</v>
      </c>
      <c r="AN1208">
        <v>0.99999994355788802</v>
      </c>
    </row>
    <row r="1209" spans="1:40" x14ac:dyDescent="0.25">
      <c r="A1209" t="str">
        <f>"20190303170520051"</f>
        <v>20190303170520051</v>
      </c>
      <c r="B1209" t="str">
        <f>"1551603920035472"</f>
        <v>1551603920035472</v>
      </c>
      <c r="C1209" t="s">
        <v>40</v>
      </c>
      <c r="D1209">
        <v>5.4522469999999998</v>
      </c>
      <c r="E1209">
        <v>0.66572640000000005</v>
      </c>
      <c r="F1209" t="s">
        <v>53</v>
      </c>
      <c r="G1209">
        <v>-168.41550000000001</v>
      </c>
      <c r="H1209">
        <v>3.9057620000000002</v>
      </c>
      <c r="I1209">
        <v>195.3646</v>
      </c>
      <c r="J1209">
        <v>-197.89840000000001</v>
      </c>
      <c r="K1209">
        <v>1.1104229999999999</v>
      </c>
      <c r="L1209">
        <v>360.00409999999999</v>
      </c>
      <c r="M1209">
        <v>0.72231140000000005</v>
      </c>
      <c r="N1209">
        <v>-1.596069E-2</v>
      </c>
      <c r="O1209">
        <v>-0.691384</v>
      </c>
      <c r="P1209">
        <v>0.53482379999999996</v>
      </c>
      <c r="Q1209">
        <v>0.18050459999999999</v>
      </c>
      <c r="R1209">
        <v>-0.82545879999999905</v>
      </c>
      <c r="S1209">
        <v>0.58534240000000004</v>
      </c>
      <c r="T1209">
        <v>5.5263039999999999E-2</v>
      </c>
      <c r="U1209">
        <v>-3.2574160000000001</v>
      </c>
      <c r="V1209">
        <v>0.23163410000000001</v>
      </c>
      <c r="W1209">
        <v>0.1896534</v>
      </c>
      <c r="X1209">
        <v>0.95413689999999995</v>
      </c>
      <c r="Y1209">
        <v>0.58878680000000005</v>
      </c>
      <c r="Z1209">
        <v>-2.240501E-2</v>
      </c>
      <c r="AA1209">
        <v>0.80797769999999902</v>
      </c>
      <c r="AB1209">
        <v>27</v>
      </c>
      <c r="AC1209">
        <v>29.482900000000001</v>
      </c>
      <c r="AD1209">
        <v>2.7953389999999998</v>
      </c>
      <c r="AE1209">
        <v>-164.6395</v>
      </c>
      <c r="AF1209">
        <v>98.522000432146299</v>
      </c>
      <c r="AG1209">
        <v>2.7953389999999998</v>
      </c>
      <c r="AH1209">
        <v>135.10440588089801</v>
      </c>
      <c r="AI1209">
        <v>89.042255317486806</v>
      </c>
      <c r="AJ1209">
        <v>53.899398339733601</v>
      </c>
      <c r="AK1209">
        <v>167.235160710023</v>
      </c>
      <c r="AL1209">
        <v>79.067442241858899</v>
      </c>
      <c r="AM1209">
        <v>76.354393063877893</v>
      </c>
      <c r="AN1209">
        <v>0.99999999617798996</v>
      </c>
    </row>
    <row r="1210" spans="1:40" x14ac:dyDescent="0.25">
      <c r="A1210" t="str">
        <f>"20190303170520067"</f>
        <v>20190303170520067</v>
      </c>
      <c r="B1210" t="str">
        <f>"1551603920055969"</f>
        <v>1551603920055969</v>
      </c>
      <c r="C1210" t="s">
        <v>40</v>
      </c>
      <c r="D1210">
        <v>5.463317</v>
      </c>
      <c r="E1210">
        <v>0.66474040000000001</v>
      </c>
      <c r="F1210" t="s">
        <v>53</v>
      </c>
      <c r="G1210">
        <v>-168.4178</v>
      </c>
      <c r="H1210">
        <v>3.9459599999999999</v>
      </c>
      <c r="I1210">
        <v>188.209</v>
      </c>
      <c r="J1210">
        <v>-197.75210000000001</v>
      </c>
      <c r="K1210">
        <v>1.110444</v>
      </c>
      <c r="L1210">
        <v>359.84780000000001</v>
      </c>
      <c r="M1210">
        <v>0.71431069999999997</v>
      </c>
      <c r="N1210">
        <v>-1.5958170000000001E-2</v>
      </c>
      <c r="O1210">
        <v>-0.69964689999999996</v>
      </c>
      <c r="P1210">
        <v>0.52577289999999999</v>
      </c>
      <c r="Q1210">
        <v>0.17972959999999999</v>
      </c>
      <c r="R1210">
        <v>-0.83142099999999997</v>
      </c>
      <c r="S1210">
        <v>0.55944819999999995</v>
      </c>
      <c r="T1210">
        <v>5.3810240000000002E-2</v>
      </c>
      <c r="U1210">
        <v>-3.260132</v>
      </c>
      <c r="V1210">
        <v>0.2311706</v>
      </c>
      <c r="W1210">
        <v>0.1889052</v>
      </c>
      <c r="X1210">
        <v>0.95439770000000002</v>
      </c>
      <c r="Y1210">
        <v>0.58582509999999999</v>
      </c>
      <c r="Z1210">
        <v>-2.2474129999999998E-2</v>
      </c>
      <c r="AA1210">
        <v>0.81012580000000001</v>
      </c>
      <c r="AB1210">
        <v>27</v>
      </c>
      <c r="AC1210">
        <v>29.334299999999999</v>
      </c>
      <c r="AD1210">
        <v>2.8355160000000001</v>
      </c>
      <c r="AE1210">
        <v>-171.6388</v>
      </c>
      <c r="AF1210">
        <v>102.06570325705999</v>
      </c>
      <c r="AG1210">
        <v>2.8355160000000001</v>
      </c>
      <c r="AH1210">
        <v>141.020910266653</v>
      </c>
      <c r="AI1210">
        <v>89.066822696625806</v>
      </c>
      <c r="AJ1210">
        <v>54.104375419429601</v>
      </c>
      <c r="AK1210">
        <v>174.104408516212</v>
      </c>
      <c r="AL1210">
        <v>79.111100127168697</v>
      </c>
      <c r="AM1210">
        <v>76.384263086946603</v>
      </c>
      <c r="AN1210">
        <v>0.99999999532834505</v>
      </c>
    </row>
    <row r="1211" spans="1:40" x14ac:dyDescent="0.25">
      <c r="A1211" t="str">
        <f>"20190303170520080"</f>
        <v>20190303170520080</v>
      </c>
      <c r="B1211" t="str">
        <f>"1551603920065728"</f>
        <v>1551603920065728</v>
      </c>
      <c r="C1211" t="s">
        <v>40</v>
      </c>
      <c r="D1211">
        <v>5.4460870000000003</v>
      </c>
      <c r="E1211">
        <v>0.66402659999999902</v>
      </c>
      <c r="F1211" t="s">
        <v>53</v>
      </c>
      <c r="G1211">
        <v>-169.4016</v>
      </c>
      <c r="H1211">
        <v>4.0022900000000003</v>
      </c>
      <c r="I1211">
        <v>184.86529999999999</v>
      </c>
      <c r="J1211">
        <v>-197.64859999999999</v>
      </c>
      <c r="K1211">
        <v>1.11046</v>
      </c>
      <c r="L1211">
        <v>359.73500000000001</v>
      </c>
      <c r="M1211">
        <v>0.70852649999999995</v>
      </c>
      <c r="N1211">
        <v>-1.5956069999999999E-2</v>
      </c>
      <c r="O1211">
        <v>-0.70550380000000001</v>
      </c>
      <c r="P1211">
        <v>0.51919020000000005</v>
      </c>
      <c r="Q1211">
        <v>0.179414299999999</v>
      </c>
      <c r="R1211">
        <v>-0.83561489999999905</v>
      </c>
      <c r="S1211">
        <v>0.52856449999999999</v>
      </c>
      <c r="T1211">
        <v>5.3915980000000002E-2</v>
      </c>
      <c r="U1211">
        <v>-3.2623600000000001</v>
      </c>
      <c r="V1211">
        <v>0.2308818</v>
      </c>
      <c r="W1211">
        <v>0.18860689999999999</v>
      </c>
      <c r="X1211">
        <v>0.9545266</v>
      </c>
      <c r="Y1211">
        <v>0.58670710000000004</v>
      </c>
      <c r="Z1211">
        <v>-2.2683310000000002E-2</v>
      </c>
      <c r="AA1211">
        <v>0.80948149999999996</v>
      </c>
      <c r="AB1211">
        <v>27</v>
      </c>
      <c r="AC1211">
        <v>28.2469999999999</v>
      </c>
      <c r="AD1211">
        <v>2.8918300000000001</v>
      </c>
      <c r="AE1211">
        <v>-174.86969999999999</v>
      </c>
      <c r="AF1211">
        <v>103.956981455631</v>
      </c>
      <c r="AG1211">
        <v>2.8918300000000001</v>
      </c>
      <c r="AH1211">
        <v>143.36503170688599</v>
      </c>
      <c r="AI1211">
        <v>89.064454949232996</v>
      </c>
      <c r="AJ1211">
        <v>54.053347749535099</v>
      </c>
      <c r="AK1211">
        <v>177.11281430329001</v>
      </c>
      <c r="AL1211">
        <v>79.128504358537597</v>
      </c>
      <c r="AM1211">
        <v>76.402409350464595</v>
      </c>
      <c r="AN1211">
        <v>0.99999999920320404</v>
      </c>
    </row>
    <row r="1212" spans="1:40" x14ac:dyDescent="0.25">
      <c r="A1212" t="str">
        <f>"20190303170520093"</f>
        <v>20190303170520093</v>
      </c>
      <c r="B1212" t="str">
        <f>"1551603920086225"</f>
        <v>1551603920086225</v>
      </c>
      <c r="C1212" t="s">
        <v>40</v>
      </c>
      <c r="D1212">
        <v>5.461678</v>
      </c>
      <c r="E1212">
        <v>0.66239019999999904</v>
      </c>
      <c r="F1212" t="s">
        <v>53</v>
      </c>
      <c r="G1212">
        <v>-168.88679999999999</v>
      </c>
      <c r="H1212">
        <v>4.1241570000000003</v>
      </c>
      <c r="I1212">
        <v>174.71180000000001</v>
      </c>
      <c r="J1212">
        <v>-197.54400000000001</v>
      </c>
      <c r="K1212">
        <v>1.110479</v>
      </c>
      <c r="L1212">
        <v>359.61869999999999</v>
      </c>
      <c r="M1212">
        <v>0.70256700000000005</v>
      </c>
      <c r="N1212">
        <v>-1.5953660000000001E-2</v>
      </c>
      <c r="O1212">
        <v>-0.71143889999999999</v>
      </c>
      <c r="P1212">
        <v>0.51180859999999995</v>
      </c>
      <c r="Q1212">
        <v>0.1793119</v>
      </c>
      <c r="R1212">
        <v>-0.84017830000000004</v>
      </c>
      <c r="S1212">
        <v>0.50730900000000001</v>
      </c>
      <c r="T1212">
        <v>5.3156969999999998E-2</v>
      </c>
      <c r="U1212">
        <v>-3.2634889999999999</v>
      </c>
      <c r="V1212">
        <v>0.231267</v>
      </c>
      <c r="W1212">
        <v>0.18850059999999999</v>
      </c>
      <c r="X1212">
        <v>0.95445440000000004</v>
      </c>
      <c r="Y1212">
        <v>0.58507959999999903</v>
      </c>
      <c r="Z1212">
        <v>-2.2767579999999999E-2</v>
      </c>
      <c r="AA1212">
        <v>0.81065619999999905</v>
      </c>
      <c r="AB1212">
        <v>27</v>
      </c>
      <c r="AC1212">
        <v>28.6572</v>
      </c>
      <c r="AD1212">
        <v>3.0136780000000001</v>
      </c>
      <c r="AE1212">
        <v>-184.90690000000001</v>
      </c>
      <c r="AF1212">
        <v>109.507160846563</v>
      </c>
      <c r="AG1212">
        <v>3.0136780000000001</v>
      </c>
      <c r="AH1212">
        <v>151.663512613015</v>
      </c>
      <c r="AI1212">
        <v>89.0770304859535</v>
      </c>
      <c r="AJ1212">
        <v>54.169199700753097</v>
      </c>
      <c r="AK1212">
        <v>187.09014295221701</v>
      </c>
      <c r="AL1212">
        <v>79.134706718155996</v>
      </c>
      <c r="AM1212">
        <v>76.3795757358739</v>
      </c>
      <c r="AN1212">
        <v>1.0000000515843499</v>
      </c>
    </row>
    <row r="1213" spans="1:40" x14ac:dyDescent="0.25">
      <c r="A1213" t="str">
        <f>"20190303170520108"</f>
        <v>20190303170520108</v>
      </c>
      <c r="B1213" t="str">
        <f>"1551603920095985"</f>
        <v>1551603920095985</v>
      </c>
      <c r="C1213" t="s">
        <v>40</v>
      </c>
      <c r="D1213">
        <v>5.4843799999999998</v>
      </c>
      <c r="E1213">
        <v>0.66239019999999904</v>
      </c>
      <c r="F1213" t="s">
        <v>55</v>
      </c>
      <c r="G1213">
        <v>-160.64760000000001</v>
      </c>
      <c r="H1213">
        <v>4.8867799999999999</v>
      </c>
      <c r="I1213">
        <v>113.97799999999999</v>
      </c>
      <c r="J1213">
        <v>-197.4239</v>
      </c>
      <c r="K1213">
        <v>1.1105020000000001</v>
      </c>
      <c r="L1213">
        <v>359.48309999999998</v>
      </c>
      <c r="M1213">
        <v>0.69560580000000005</v>
      </c>
      <c r="N1213">
        <v>-1.5950780000000001E-2</v>
      </c>
      <c r="O1213">
        <v>-0.71824659999999996</v>
      </c>
      <c r="P1213">
        <v>0.50348099999999996</v>
      </c>
      <c r="Q1213">
        <v>0.1796441</v>
      </c>
      <c r="R1213">
        <v>-0.84512419999999999</v>
      </c>
      <c r="S1213">
        <v>0.48989870000000002</v>
      </c>
      <c r="T1213">
        <v>5.0140619999999997E-2</v>
      </c>
      <c r="U1213">
        <v>-3.261536</v>
      </c>
      <c r="V1213">
        <v>0.23135520000000001</v>
      </c>
      <c r="W1213">
        <v>0.1888377</v>
      </c>
      <c r="X1213">
        <v>0.9543663</v>
      </c>
      <c r="Y1213">
        <v>0.58132519999999999</v>
      </c>
      <c r="Z1213">
        <v>-2.2542E-2</v>
      </c>
      <c r="AA1213">
        <v>0.81335900000000005</v>
      </c>
      <c r="AB1213">
        <v>27</v>
      </c>
      <c r="AC1213">
        <v>36.7762999999999</v>
      </c>
      <c r="AD1213">
        <v>3.776278</v>
      </c>
      <c r="AE1213">
        <v>-245.5051</v>
      </c>
      <c r="AF1213">
        <v>144.34528270666101</v>
      </c>
      <c r="AG1213">
        <v>3.776278</v>
      </c>
      <c r="AH1213">
        <v>201.89397978525901</v>
      </c>
      <c r="AI1213">
        <v>89.128285606867905</v>
      </c>
      <c r="AJ1213">
        <v>54.436905775137603</v>
      </c>
      <c r="AK1213">
        <v>248.21563203942199</v>
      </c>
      <c r="AL1213">
        <v>79.115038196803496</v>
      </c>
      <c r="AM1213">
        <v>76.373363916058494</v>
      </c>
      <c r="AN1213">
        <v>0.99999997004200902</v>
      </c>
    </row>
    <row r="1214" spans="1:40" x14ac:dyDescent="0.25">
      <c r="A1214" t="str">
        <f>"20190303170520127"</f>
        <v>20190303170520127</v>
      </c>
      <c r="B1214" t="str">
        <f>"1551603920115505"</f>
        <v>1551603920115505</v>
      </c>
      <c r="C1214" t="s">
        <v>40</v>
      </c>
      <c r="D1214">
        <v>5.4945130000000004</v>
      </c>
      <c r="E1214">
        <v>0.64910840000000003</v>
      </c>
      <c r="F1214" t="s">
        <v>55</v>
      </c>
      <c r="G1214">
        <v>-162.71289999999999</v>
      </c>
      <c r="H1214">
        <v>5.0029779999999997</v>
      </c>
      <c r="I1214">
        <v>111.9093</v>
      </c>
      <c r="J1214">
        <v>-197.2724</v>
      </c>
      <c r="K1214">
        <v>1.110535</v>
      </c>
      <c r="L1214">
        <v>359.30799999999999</v>
      </c>
      <c r="M1214">
        <v>0.68660489999999996</v>
      </c>
      <c r="N1214">
        <v>-1.5946720000000001E-2</v>
      </c>
      <c r="O1214">
        <v>-0.72685599999999995</v>
      </c>
      <c r="P1214">
        <v>0.49346069999999997</v>
      </c>
      <c r="Q1214">
        <v>0.1806837</v>
      </c>
      <c r="R1214">
        <v>-0.85079400000000005</v>
      </c>
      <c r="S1214">
        <v>0.4579163</v>
      </c>
      <c r="T1214">
        <v>5.1350590000000002E-2</v>
      </c>
      <c r="U1214">
        <v>-3.2660520000000002</v>
      </c>
      <c r="V1214">
        <v>0.2306049</v>
      </c>
      <c r="W1214">
        <v>0.18990760000000001</v>
      </c>
      <c r="X1214">
        <v>0.95433559999999995</v>
      </c>
      <c r="Y1214">
        <v>0.57915519999999998</v>
      </c>
      <c r="Z1214">
        <v>-2.2989880000000001E-2</v>
      </c>
      <c r="AA1214">
        <v>0.81489299999999998</v>
      </c>
      <c r="AB1214">
        <v>27</v>
      </c>
      <c r="AC1214">
        <v>34.5595</v>
      </c>
      <c r="AD1214">
        <v>3.8924430000000001</v>
      </c>
      <c r="AE1214">
        <v>-247.39869999999999</v>
      </c>
      <c r="AF1214">
        <v>144.72862997267799</v>
      </c>
      <c r="AG1214">
        <v>3.8924430000000001</v>
      </c>
      <c r="AH1214">
        <v>203.528396730911</v>
      </c>
      <c r="AI1214">
        <v>89.107062182864098</v>
      </c>
      <c r="AJ1214">
        <v>54.583444745745702</v>
      </c>
      <c r="AK1214">
        <v>249.770566164494</v>
      </c>
      <c r="AL1214">
        <v>79.052607853096006</v>
      </c>
      <c r="AM1214">
        <v>76.415495171932307</v>
      </c>
      <c r="AN1214">
        <v>0.99999997693456399</v>
      </c>
    </row>
    <row r="1215" spans="1:40" x14ac:dyDescent="0.25">
      <c r="A1215" t="str">
        <f>"20190303170520148"</f>
        <v>20190303170520148</v>
      </c>
      <c r="B1215" t="str">
        <f>"1551603920136000"</f>
        <v>1551603920136000</v>
      </c>
      <c r="C1215" t="s">
        <v>40</v>
      </c>
      <c r="D1215">
        <v>5.6358470000000001</v>
      </c>
      <c r="E1215">
        <v>0.64852259999999995</v>
      </c>
      <c r="F1215" t="s">
        <v>53</v>
      </c>
      <c r="G1215">
        <v>-169.40110000000001</v>
      </c>
      <c r="H1215">
        <v>2.3873859999999998</v>
      </c>
      <c r="I1215">
        <v>184.85210000000001</v>
      </c>
      <c r="J1215">
        <v>-197.09829999999999</v>
      </c>
      <c r="K1215">
        <v>1.110557</v>
      </c>
      <c r="L1215">
        <v>359.101</v>
      </c>
      <c r="M1215">
        <v>0.67595079999999996</v>
      </c>
      <c r="N1215">
        <v>-1.594172E-2</v>
      </c>
      <c r="O1215">
        <v>-0.73677440000000005</v>
      </c>
      <c r="P1215">
        <v>0.48247309999999999</v>
      </c>
      <c r="Q1215">
        <v>0.18060670000000001</v>
      </c>
      <c r="R1215">
        <v>-0.85708890000000004</v>
      </c>
      <c r="S1215">
        <v>0.5148315</v>
      </c>
      <c r="T1215">
        <v>2.3586269999999999E-2</v>
      </c>
      <c r="U1215">
        <v>-3.2225039999999998</v>
      </c>
      <c r="V1215">
        <v>0.2289804</v>
      </c>
      <c r="W1215">
        <v>0.18989259999999999</v>
      </c>
      <c r="X1215">
        <v>0.95472970000000001</v>
      </c>
      <c r="Y1215">
        <v>0.5513226</v>
      </c>
      <c r="Z1215">
        <v>-1.884243E-2</v>
      </c>
      <c r="AA1215">
        <v>0.83407929999999997</v>
      </c>
      <c r="AB1215">
        <v>27</v>
      </c>
      <c r="AC1215">
        <v>27.697199999999899</v>
      </c>
      <c r="AD1215">
        <v>1.276829</v>
      </c>
      <c r="AE1215">
        <v>-174.24889999999999</v>
      </c>
      <c r="AF1215">
        <v>97.384364570773698</v>
      </c>
      <c r="AG1215">
        <v>1.276829</v>
      </c>
      <c r="AH1215">
        <v>147.11505445646</v>
      </c>
      <c r="AI1215">
        <v>89.585349427868906</v>
      </c>
      <c r="AJ1215">
        <v>56.4970118374329</v>
      </c>
      <c r="AK1215">
        <v>176.43181119876201</v>
      </c>
      <c r="AL1215">
        <v>79.053483602512799</v>
      </c>
      <c r="AM1215">
        <v>76.513046944064598</v>
      </c>
      <c r="AN1215">
        <v>1.0000000115904999</v>
      </c>
    </row>
    <row r="1216" spans="1:40" x14ac:dyDescent="0.25">
      <c r="A1216" t="str">
        <f>"20190303170520169"</f>
        <v>20190303170520169</v>
      </c>
      <c r="B1216" t="str">
        <f>"1551603920155520"</f>
        <v>1551603920155520</v>
      </c>
      <c r="C1216" t="s">
        <v>40</v>
      </c>
      <c r="D1216">
        <v>5.6647730000000003</v>
      </c>
      <c r="E1216">
        <v>0.64706229999999998</v>
      </c>
      <c r="F1216" t="s">
        <v>55</v>
      </c>
      <c r="G1216">
        <v>-160.7859</v>
      </c>
      <c r="H1216">
        <v>2.1749450000000001</v>
      </c>
      <c r="I1216">
        <v>113.8377</v>
      </c>
      <c r="J1216">
        <v>-196.94130000000001</v>
      </c>
      <c r="K1216">
        <v>1.1105910000000001</v>
      </c>
      <c r="L1216">
        <v>358.90899999999999</v>
      </c>
      <c r="M1216">
        <v>0.66605419999999904</v>
      </c>
      <c r="N1216">
        <v>-1.593667E-2</v>
      </c>
      <c r="O1216">
        <v>-0.74573330000000004</v>
      </c>
      <c r="P1216">
        <v>0.47181770000000001</v>
      </c>
      <c r="Q1216">
        <v>0.18017859999999999</v>
      </c>
      <c r="R1216">
        <v>-0.86308999999999902</v>
      </c>
      <c r="S1216">
        <v>0.47795100000000001</v>
      </c>
      <c r="T1216">
        <v>1.4009829999999999E-2</v>
      </c>
      <c r="U1216">
        <v>-3.2282099999999998</v>
      </c>
      <c r="V1216">
        <v>0.2280944</v>
      </c>
      <c r="W1216">
        <v>0.18950259999999999</v>
      </c>
      <c r="X1216">
        <v>0.95501919999999996</v>
      </c>
      <c r="Y1216">
        <v>0.54970200000000002</v>
      </c>
      <c r="Z1216">
        <v>-1.741063E-2</v>
      </c>
      <c r="AA1216">
        <v>0.83517940000000002</v>
      </c>
      <c r="AB1216">
        <v>27</v>
      </c>
      <c r="AC1216">
        <v>36.1554</v>
      </c>
      <c r="AD1216">
        <v>1.064354</v>
      </c>
      <c r="AE1216">
        <v>-245.07130000000001</v>
      </c>
      <c r="AF1216">
        <v>136.28325249260899</v>
      </c>
      <c r="AG1216">
        <v>1.064354</v>
      </c>
      <c r="AH1216">
        <v>206.86170377029001</v>
      </c>
      <c r="AI1216">
        <v>89.753823791439601</v>
      </c>
      <c r="AJ1216">
        <v>56.622574586377603</v>
      </c>
      <c r="AK1216">
        <v>247.72166285197699</v>
      </c>
      <c r="AL1216">
        <v>79.076241861823505</v>
      </c>
      <c r="AM1216">
        <v>76.567261975731299</v>
      </c>
      <c r="AN1216">
        <v>0.99999998154337899</v>
      </c>
    </row>
    <row r="1217" spans="1:40" x14ac:dyDescent="0.25">
      <c r="A1217" t="str">
        <f>"20190303170520193"</f>
        <v>20190303170520193</v>
      </c>
      <c r="B1217" t="str">
        <f>"1551603920185776"</f>
        <v>1551603920185776</v>
      </c>
      <c r="C1217" t="s">
        <v>40</v>
      </c>
      <c r="D1217">
        <v>5.5730009999999996</v>
      </c>
      <c r="E1217">
        <v>0.63289569999999995</v>
      </c>
      <c r="F1217" t="s">
        <v>55</v>
      </c>
      <c r="G1217">
        <v>-162.60140000000001</v>
      </c>
      <c r="H1217">
        <v>1.5323560000000001</v>
      </c>
      <c r="I1217">
        <v>112.0187</v>
      </c>
      <c r="J1217">
        <v>-196.75470000000001</v>
      </c>
      <c r="K1217">
        <v>1.110633</v>
      </c>
      <c r="L1217">
        <v>358.67380000000003</v>
      </c>
      <c r="M1217">
        <v>0.65391189999999999</v>
      </c>
      <c r="N1217">
        <v>-1.5930099999999999E-2</v>
      </c>
      <c r="O1217">
        <v>-0.75640309999999999</v>
      </c>
      <c r="P1217">
        <v>0.45822439999999998</v>
      </c>
      <c r="Q1217">
        <v>0.17999470000000001</v>
      </c>
      <c r="R1217">
        <v>-0.87042090000000005</v>
      </c>
      <c r="S1217">
        <v>0.4491425</v>
      </c>
      <c r="T1217">
        <v>5.5165290000000001E-3</v>
      </c>
      <c r="U1217">
        <v>-3.2291560000000001</v>
      </c>
      <c r="V1217">
        <v>0.22763520000000001</v>
      </c>
      <c r="W1217">
        <v>0.18934570000000001</v>
      </c>
      <c r="X1217">
        <v>0.95515989999999995</v>
      </c>
      <c r="Y1217">
        <v>0.54350200000000004</v>
      </c>
      <c r="Z1217">
        <v>-1.608265E-2</v>
      </c>
      <c r="AA1217">
        <v>0.83925380000000005</v>
      </c>
      <c r="AB1217">
        <v>27</v>
      </c>
      <c r="AC1217">
        <v>34.153300000000002</v>
      </c>
      <c r="AD1217">
        <v>0.42172300000000001</v>
      </c>
      <c r="AE1217">
        <v>-246.6551</v>
      </c>
      <c r="AF1217">
        <v>135.473832194994</v>
      </c>
      <c r="AG1217">
        <v>0.42172300000000001</v>
      </c>
      <c r="AH1217">
        <v>208.92982397986</v>
      </c>
      <c r="AI1217">
        <v>89.9029631384075</v>
      </c>
      <c r="AJ1217">
        <v>57.039903769116698</v>
      </c>
      <c r="AK1217">
        <v>249.008048882243</v>
      </c>
      <c r="AL1217">
        <v>79.085397601719094</v>
      </c>
      <c r="AM1217">
        <v>76.595231105716806</v>
      </c>
      <c r="AN1217">
        <v>1.0000000064777601</v>
      </c>
    </row>
    <row r="1218" spans="1:40" x14ac:dyDescent="0.25">
      <c r="A1218" t="str">
        <f>"20190303170520215"</f>
        <v>20190303170520215</v>
      </c>
      <c r="B1218" t="str">
        <f>"1551603920205296"</f>
        <v>1551603920205296</v>
      </c>
      <c r="C1218" t="s">
        <v>40</v>
      </c>
      <c r="D1218">
        <v>5.2852370000000004</v>
      </c>
      <c r="E1218">
        <v>0.63084030000000002</v>
      </c>
      <c r="F1218" t="s">
        <v>53</v>
      </c>
      <c r="G1218">
        <v>-168.4203</v>
      </c>
      <c r="H1218">
        <v>1.039344</v>
      </c>
      <c r="I1218">
        <v>178.03099999999901</v>
      </c>
      <c r="J1218">
        <v>-196.5932</v>
      </c>
      <c r="K1218">
        <v>1.110671</v>
      </c>
      <c r="L1218">
        <v>358.46370000000002</v>
      </c>
      <c r="M1218">
        <v>0.6430498</v>
      </c>
      <c r="N1218">
        <v>-1.5924000000000001E-2</v>
      </c>
      <c r="O1218">
        <v>-0.76565890000000003</v>
      </c>
      <c r="P1218">
        <v>0.44680779999999998</v>
      </c>
      <c r="Q1218">
        <v>0.1798679</v>
      </c>
      <c r="R1218">
        <v>-0.87636229999999904</v>
      </c>
      <c r="S1218">
        <v>0.49942019999999998</v>
      </c>
      <c r="T1218">
        <v>-1.2559890000000001E-3</v>
      </c>
      <c r="U1218">
        <v>-3.1839900000000001</v>
      </c>
      <c r="V1218">
        <v>0.22648389999999999</v>
      </c>
      <c r="W1218">
        <v>0.1892643</v>
      </c>
      <c r="X1218">
        <v>0.95544969999999996</v>
      </c>
      <c r="Y1218">
        <v>0.51665509999999903</v>
      </c>
      <c r="Z1218">
        <v>-1.481618E-2</v>
      </c>
      <c r="AA1218">
        <v>0.85606539999999998</v>
      </c>
      <c r="AB1218">
        <v>27</v>
      </c>
      <c r="AC1218">
        <v>28.172899999999998</v>
      </c>
      <c r="AD1218">
        <v>-7.1326999999999904E-2</v>
      </c>
      <c r="AE1218">
        <v>-180.43270000000001</v>
      </c>
      <c r="AF1218">
        <v>94.468335680348403</v>
      </c>
      <c r="AG1218">
        <v>-7.1326999999999904E-2</v>
      </c>
      <c r="AH1218">
        <v>156.28625948049699</v>
      </c>
      <c r="AI1218">
        <v>90.0223784938824</v>
      </c>
      <c r="AJ1218">
        <v>58.848839304748402</v>
      </c>
      <c r="AK1218">
        <v>182.61891040130899</v>
      </c>
      <c r="AL1218">
        <v>79.090147629453199</v>
      </c>
      <c r="AM1218">
        <v>76.664499962106007</v>
      </c>
      <c r="AN1218">
        <v>1.0000000307218899</v>
      </c>
    </row>
    <row r="1219" spans="1:40" x14ac:dyDescent="0.25">
      <c r="A1219" t="str">
        <f>"20190303170520237"</f>
        <v>20190303170520237</v>
      </c>
      <c r="B1219" t="str">
        <f>"1551603920225793"</f>
        <v>1551603920225793</v>
      </c>
      <c r="C1219" t="s">
        <v>40</v>
      </c>
      <c r="D1219">
        <v>5.3410019999999996</v>
      </c>
      <c r="E1219">
        <v>0.62985419999999903</v>
      </c>
      <c r="F1219" t="s">
        <v>56</v>
      </c>
      <c r="G1219">
        <v>-171.61959999999999</v>
      </c>
      <c r="H1219">
        <v>5.7154530000000001</v>
      </c>
      <c r="I1219">
        <v>187.0104</v>
      </c>
      <c r="J1219">
        <v>-196.43199999999999</v>
      </c>
      <c r="K1219">
        <v>1.1107049999999901</v>
      </c>
      <c r="L1219">
        <v>358.24759999999998</v>
      </c>
      <c r="M1219">
        <v>0.63185719999999901</v>
      </c>
      <c r="N1219">
        <v>-1.5917609999999999E-2</v>
      </c>
      <c r="O1219">
        <v>-0.77492139999999998</v>
      </c>
      <c r="P1219">
        <v>0.4347376</v>
      </c>
      <c r="Q1219">
        <v>0.18063589999999999</v>
      </c>
      <c r="R1219">
        <v>-0.88225509999999996</v>
      </c>
      <c r="S1219">
        <v>0.46179199999999998</v>
      </c>
      <c r="T1219">
        <v>8.5148219999999997E-2</v>
      </c>
      <c r="U1219">
        <v>-3.1703800000000002</v>
      </c>
      <c r="V1219">
        <v>0.22561909999999999</v>
      </c>
      <c r="W1219">
        <v>0.19006670000000001</v>
      </c>
      <c r="X1219">
        <v>0.95549499999999998</v>
      </c>
      <c r="Y1219">
        <v>0.5137562</v>
      </c>
      <c r="Z1219">
        <v>-3.105919E-2</v>
      </c>
      <c r="AA1219">
        <v>0.85737389999999902</v>
      </c>
      <c r="AB1219">
        <v>27</v>
      </c>
      <c r="AC1219">
        <v>24.8124</v>
      </c>
      <c r="AD1219">
        <v>4.6047479999999998</v>
      </c>
      <c r="AE1219">
        <v>-171.23719999999901</v>
      </c>
      <c r="AF1219">
        <v>88.918091334387</v>
      </c>
      <c r="AG1219">
        <v>4.6047479999999998</v>
      </c>
      <c r="AH1219">
        <v>148.28703413758299</v>
      </c>
      <c r="AI1219">
        <v>88.474461570258896</v>
      </c>
      <c r="AJ1219">
        <v>59.051624365237998</v>
      </c>
      <c r="AK1219">
        <v>172.964375418797</v>
      </c>
      <c r="AL1219">
        <v>79.043323372733695</v>
      </c>
      <c r="AM1219">
        <v>76.7142182803819</v>
      </c>
      <c r="AN1219">
        <v>1.0000000118793499</v>
      </c>
    </row>
    <row r="1220" spans="1:40" x14ac:dyDescent="0.25">
      <c r="A1220" t="str">
        <f>"20190303170520251"</f>
        <v>20190303170520251</v>
      </c>
      <c r="B1220" t="str">
        <f>"1551603920235553"</f>
        <v>1551603920235553</v>
      </c>
      <c r="C1220" t="s">
        <v>40</v>
      </c>
      <c r="D1220">
        <v>5.3186879999999999</v>
      </c>
      <c r="E1220">
        <v>0.62930430000000004</v>
      </c>
      <c r="F1220" t="s">
        <v>56</v>
      </c>
      <c r="G1220">
        <v>-173.4666</v>
      </c>
      <c r="H1220">
        <v>5.4723940000000004</v>
      </c>
      <c r="I1220">
        <v>187.011</v>
      </c>
      <c r="J1220">
        <v>-196.32980000000001</v>
      </c>
      <c r="K1220">
        <v>1.1107260000000001</v>
      </c>
      <c r="L1220">
        <v>358.1071</v>
      </c>
      <c r="M1220">
        <v>0.62457629999999997</v>
      </c>
      <c r="N1220">
        <v>-1.591333E-2</v>
      </c>
      <c r="O1220">
        <v>-0.78080169999999904</v>
      </c>
      <c r="P1220">
        <v>0.42614760000000002</v>
      </c>
      <c r="Q1220">
        <v>0.18140529999999999</v>
      </c>
      <c r="R1220">
        <v>-0.88627900000000004</v>
      </c>
      <c r="S1220">
        <v>0.4256897</v>
      </c>
      <c r="T1220">
        <v>8.0849290000000004E-2</v>
      </c>
      <c r="U1220">
        <v>-3.1740719999999998</v>
      </c>
      <c r="V1220">
        <v>0.22586970000000001</v>
      </c>
      <c r="W1220">
        <v>0.190833</v>
      </c>
      <c r="X1220">
        <v>0.95528299999999999</v>
      </c>
      <c r="Y1220">
        <v>0.51542370000000004</v>
      </c>
      <c r="Z1220">
        <v>-3.0511920000000001E-2</v>
      </c>
      <c r="AA1220">
        <v>0.85639209999999999</v>
      </c>
      <c r="AB1220">
        <v>27</v>
      </c>
      <c r="AC1220">
        <v>22.863199999999999</v>
      </c>
      <c r="AD1220">
        <v>4.3616679999999999</v>
      </c>
      <c r="AE1220">
        <v>-171.09610000000001</v>
      </c>
      <c r="AF1220">
        <v>88.965410906169694</v>
      </c>
      <c r="AG1220">
        <v>4.3616679999999999</v>
      </c>
      <c r="AH1220">
        <v>147.796296043372</v>
      </c>
      <c r="AI1220">
        <v>88.551639919379497</v>
      </c>
      <c r="AJ1220">
        <v>58.9543241572675</v>
      </c>
      <c r="AK1220">
        <v>172.56191239548201</v>
      </c>
      <c r="AL1220">
        <v>78.998598697853097</v>
      </c>
      <c r="AM1220">
        <v>76.697138956802803</v>
      </c>
      <c r="AN1220">
        <v>0.99999998267804402</v>
      </c>
    </row>
    <row r="1221" spans="1:40" x14ac:dyDescent="0.25">
      <c r="A1221" t="str">
        <f>"20190303170520269"</f>
        <v>20190303170520269</v>
      </c>
      <c r="B1221" t="str">
        <f>"1551603920256049"</f>
        <v>1551603920256049</v>
      </c>
      <c r="C1221" t="s">
        <v>40</v>
      </c>
      <c r="D1221">
        <v>5.6589939999999999</v>
      </c>
      <c r="E1221">
        <v>0.63104269999999996</v>
      </c>
      <c r="F1221" t="s">
        <v>56</v>
      </c>
      <c r="G1221">
        <v>-174.82140000000001</v>
      </c>
      <c r="H1221">
        <v>5.4421200000000001</v>
      </c>
      <c r="I1221">
        <v>187.01140000000001</v>
      </c>
      <c r="J1221">
        <v>-196.20160000000001</v>
      </c>
      <c r="K1221">
        <v>1.1107579999999999</v>
      </c>
      <c r="L1221">
        <v>357.92680000000001</v>
      </c>
      <c r="M1221">
        <v>0.61521479999999995</v>
      </c>
      <c r="N1221">
        <v>-1.590778E-2</v>
      </c>
      <c r="O1221">
        <v>-0.78819899999999998</v>
      </c>
      <c r="P1221">
        <v>0.41527999999999998</v>
      </c>
      <c r="Q1221">
        <v>0.18216479999999999</v>
      </c>
      <c r="R1221">
        <v>-0.89126779999999906</v>
      </c>
      <c r="S1221">
        <v>0.39930729999999998</v>
      </c>
      <c r="T1221">
        <v>8.041334E-2</v>
      </c>
      <c r="U1221">
        <v>-3.1764220000000001</v>
      </c>
      <c r="V1221">
        <v>0.22606290000000001</v>
      </c>
      <c r="W1221">
        <v>0.1915936</v>
      </c>
      <c r="X1221">
        <v>0.95508499999999996</v>
      </c>
      <c r="Y1221">
        <v>0.51227239999999996</v>
      </c>
      <c r="Z1221">
        <v>-3.0767639999999999E-2</v>
      </c>
      <c r="AA1221">
        <v>0.85827180000000003</v>
      </c>
      <c r="AB1221">
        <v>27</v>
      </c>
      <c r="AC1221">
        <v>21.380199999999999</v>
      </c>
      <c r="AD1221">
        <v>4.3313620000000004</v>
      </c>
      <c r="AE1221">
        <v>-170.91540000000001</v>
      </c>
      <c r="AF1221">
        <v>88.253201886298399</v>
      </c>
      <c r="AG1221">
        <v>4.3313620000000004</v>
      </c>
      <c r="AH1221">
        <v>147.79402366571</v>
      </c>
      <c r="AI1221">
        <v>88.558624310733705</v>
      </c>
      <c r="AJ1221">
        <v>59.157034169232602</v>
      </c>
      <c r="AK1221">
        <v>172.19309443546001</v>
      </c>
      <c r="AL1221">
        <v>78.954199941403303</v>
      </c>
      <c r="AM1221">
        <v>76.683503464470803</v>
      </c>
      <c r="AN1221">
        <v>0.99999994977118301</v>
      </c>
    </row>
    <row r="1222" spans="1:40" x14ac:dyDescent="0.25">
      <c r="A1222" t="str">
        <f>"20190303170520293"</f>
        <v>20190303170520293</v>
      </c>
      <c r="B1222" t="str">
        <f>"1551603920285328"</f>
        <v>1551603920285328</v>
      </c>
      <c r="C1222" t="s">
        <v>40</v>
      </c>
      <c r="D1222">
        <v>5.5995030000000003</v>
      </c>
      <c r="E1222">
        <v>0.63728149999999995</v>
      </c>
      <c r="F1222" t="s">
        <v>57</v>
      </c>
      <c r="G1222">
        <v>-169.48230000000001</v>
      </c>
      <c r="H1222">
        <v>5.597194</v>
      </c>
      <c r="I1222">
        <v>115.27379999999999</v>
      </c>
      <c r="J1222">
        <v>-196.03809999999999</v>
      </c>
      <c r="K1222">
        <v>1.1108009999999999</v>
      </c>
      <c r="L1222">
        <v>357.68990000000002</v>
      </c>
      <c r="M1222">
        <v>0.60290809999999995</v>
      </c>
      <c r="N1222">
        <v>-1.5900339999999999E-2</v>
      </c>
      <c r="O1222">
        <v>-0.79765220000000003</v>
      </c>
      <c r="P1222">
        <v>0.40186630000000001</v>
      </c>
      <c r="Q1222">
        <v>0.18239749999999999</v>
      </c>
      <c r="R1222">
        <v>-0.89734879999999995</v>
      </c>
      <c r="S1222">
        <v>0.35128779999999998</v>
      </c>
      <c r="T1222">
        <v>5.8984990000000001E-2</v>
      </c>
      <c r="U1222">
        <v>-3.1902469999999998</v>
      </c>
      <c r="V1222">
        <v>0.22552459999999999</v>
      </c>
      <c r="W1222">
        <v>0.19185240000000001</v>
      </c>
      <c r="X1222">
        <v>0.95516040000000002</v>
      </c>
      <c r="Y1222">
        <v>0.51210529999999999</v>
      </c>
      <c r="Z1222">
        <v>-2.6928179999999999E-2</v>
      </c>
      <c r="AA1222">
        <v>0.858500499999999</v>
      </c>
      <c r="AB1222">
        <v>27</v>
      </c>
      <c r="AC1222">
        <v>26.555799999999898</v>
      </c>
      <c r="AD1222">
        <v>4.4863929999999996</v>
      </c>
      <c r="AE1222">
        <v>-242.4161</v>
      </c>
      <c r="AF1222">
        <v>124.94584930873999</v>
      </c>
      <c r="AG1222">
        <v>4.4863929999999996</v>
      </c>
      <c r="AH1222">
        <v>209.33006419615501</v>
      </c>
      <c r="AI1222">
        <v>88.945695443326599</v>
      </c>
      <c r="AJ1222">
        <v>59.167681886727102</v>
      </c>
      <c r="AK1222">
        <v>243.825078197463</v>
      </c>
      <c r="AL1222">
        <v>78.939092518827195</v>
      </c>
      <c r="AM1222">
        <v>76.715098477342096</v>
      </c>
      <c r="AN1222">
        <v>1.0000000391595301</v>
      </c>
    </row>
    <row r="1223" spans="1:40" x14ac:dyDescent="0.25">
      <c r="A1223" t="str">
        <f>"20190303170520306"</f>
        <v>20190303170520306</v>
      </c>
      <c r="B1223" t="str">
        <f>"1551603920296064"</f>
        <v>1551603920296064</v>
      </c>
      <c r="C1223" t="s">
        <v>40</v>
      </c>
      <c r="D1223">
        <v>5.6114949999999997</v>
      </c>
      <c r="E1223">
        <v>0.63839749999999995</v>
      </c>
      <c r="F1223" t="s">
        <v>58</v>
      </c>
      <c r="G1223">
        <v>-174.6926</v>
      </c>
      <c r="H1223">
        <v>4.9210349999999998</v>
      </c>
      <c r="I1223">
        <v>92.515590000000003</v>
      </c>
      <c r="J1223">
        <v>-195.94569999999999</v>
      </c>
      <c r="K1223">
        <v>1.110816</v>
      </c>
      <c r="L1223">
        <v>357.55279999999999</v>
      </c>
      <c r="M1223">
        <v>0.59576830000000003</v>
      </c>
      <c r="N1223">
        <v>-1.5896070000000002E-2</v>
      </c>
      <c r="O1223">
        <v>-0.80299900000000002</v>
      </c>
      <c r="P1223">
        <v>0.39441480000000001</v>
      </c>
      <c r="Q1223">
        <v>0.1823159</v>
      </c>
      <c r="R1223">
        <v>-0.90066520000000005</v>
      </c>
      <c r="S1223">
        <v>0.25901790000000002</v>
      </c>
      <c r="T1223">
        <v>4.6235800000000001E-2</v>
      </c>
      <c r="U1223">
        <v>-3.2177730000000002</v>
      </c>
      <c r="V1223">
        <v>0.22491739999999999</v>
      </c>
      <c r="W1223">
        <v>0.19179489999999999</v>
      </c>
      <c r="X1223">
        <v>0.95531509999999997</v>
      </c>
      <c r="Y1223">
        <v>0.52950850000000005</v>
      </c>
      <c r="Z1223">
        <v>-2.4533510000000001E-2</v>
      </c>
      <c r="AA1223">
        <v>0.84794979999999998</v>
      </c>
      <c r="AB1223">
        <v>27</v>
      </c>
      <c r="AC1223">
        <v>21.2530999999999</v>
      </c>
      <c r="AD1223">
        <v>3.810219</v>
      </c>
      <c r="AE1223">
        <v>-265.03721000000002</v>
      </c>
      <c r="AF1223">
        <v>140.82343192843999</v>
      </c>
      <c r="AG1223">
        <v>3.810219</v>
      </c>
      <c r="AH1223">
        <v>225.468737007633</v>
      </c>
      <c r="AI1223">
        <v>89.178829562190003</v>
      </c>
      <c r="AJ1223">
        <v>58.0118939293233</v>
      </c>
      <c r="AK1223">
        <v>265.86069306452401</v>
      </c>
      <c r="AL1223">
        <v>78.942449266412098</v>
      </c>
      <c r="AM1223">
        <v>76.751673296170495</v>
      </c>
      <c r="AN1223">
        <v>1.00000003038838</v>
      </c>
    </row>
    <row r="1224" spans="1:40" x14ac:dyDescent="0.25">
      <c r="A1224" t="str">
        <f>"20190303170520328"</f>
        <v>20190303170520328</v>
      </c>
      <c r="B1224" t="str">
        <f>"1551603920315584"</f>
        <v>1551603920315584</v>
      </c>
      <c r="C1224" t="s">
        <v>40</v>
      </c>
      <c r="D1224">
        <v>5.6278620000000004</v>
      </c>
      <c r="E1224">
        <v>0.63904050000000001</v>
      </c>
      <c r="F1224" t="s">
        <v>54</v>
      </c>
      <c r="G1224">
        <v>-168.44839999999999</v>
      </c>
      <c r="H1224">
        <v>6.3421589999999997</v>
      </c>
      <c r="I1224">
        <v>-37.694769999999998</v>
      </c>
      <c r="J1224">
        <v>-195.8038</v>
      </c>
      <c r="K1224">
        <v>1.1108450000000001</v>
      </c>
      <c r="L1224">
        <v>357.3365</v>
      </c>
      <c r="M1224">
        <v>0.58450290000000005</v>
      </c>
      <c r="N1224">
        <v>-1.5889299999999999E-2</v>
      </c>
      <c r="O1224">
        <v>-0.81123610000000002</v>
      </c>
      <c r="P1224">
        <v>0.38268829999999998</v>
      </c>
      <c r="Q1224">
        <v>0.1818873</v>
      </c>
      <c r="R1224">
        <v>-0.90579620000000005</v>
      </c>
      <c r="S1224">
        <v>0.22428890000000001</v>
      </c>
      <c r="T1224">
        <v>4.2670609999999998E-2</v>
      </c>
      <c r="U1224">
        <v>-3.223938</v>
      </c>
      <c r="V1224">
        <v>0.22400929999999999</v>
      </c>
      <c r="W1224">
        <v>0.19140409999999999</v>
      </c>
      <c r="X1224">
        <v>0.95560679999999998</v>
      </c>
      <c r="Y1224">
        <v>0.52687280000000003</v>
      </c>
      <c r="Z1224">
        <v>-2.4048179999999999E-2</v>
      </c>
      <c r="AA1224">
        <v>0.84960389999999997</v>
      </c>
      <c r="AB1224">
        <v>27</v>
      </c>
      <c r="AC1224">
        <v>27.355399999999999</v>
      </c>
      <c r="AD1224">
        <v>5.2313139999999896</v>
      </c>
      <c r="AE1224">
        <v>-395.03127000000001</v>
      </c>
      <c r="AF1224">
        <v>208.69514877916501</v>
      </c>
      <c r="AG1224">
        <v>5.2313139999999896</v>
      </c>
      <c r="AH1224">
        <v>336.43667769226602</v>
      </c>
      <c r="AI1224">
        <v>89.242969024101498</v>
      </c>
      <c r="AJ1224">
        <v>58.188245146385498</v>
      </c>
      <c r="AK1224">
        <v>395.94276084648197</v>
      </c>
      <c r="AL1224">
        <v>78.965263076439697</v>
      </c>
      <c r="AM1224">
        <v>76.807175212971302</v>
      </c>
      <c r="AN1224">
        <v>1.0000000260947599</v>
      </c>
    </row>
    <row r="1225" spans="1:40" x14ac:dyDescent="0.25">
      <c r="A1225" t="str">
        <f>"20190303170520349"</f>
        <v>20190303170520349</v>
      </c>
      <c r="B1225" t="str">
        <f>"1551603920336081"</f>
        <v>1551603920336081</v>
      </c>
      <c r="C1225" t="s">
        <v>40</v>
      </c>
      <c r="D1225">
        <v>5.6453980000000001</v>
      </c>
      <c r="E1225">
        <v>0.63879459999999999</v>
      </c>
      <c r="F1225" t="s">
        <v>46</v>
      </c>
      <c r="G1225">
        <v>0</v>
      </c>
      <c r="H1225">
        <v>0</v>
      </c>
      <c r="I1225">
        <v>0</v>
      </c>
      <c r="J1225">
        <v>-195.6644</v>
      </c>
      <c r="K1225">
        <v>1.110876</v>
      </c>
      <c r="L1225">
        <v>357.11720000000003</v>
      </c>
      <c r="M1225">
        <v>0.57306709999999905</v>
      </c>
      <c r="N1225">
        <v>-1.5882250000000001E-2</v>
      </c>
      <c r="O1225">
        <v>-0.81935480000000005</v>
      </c>
      <c r="P1225">
        <v>0.37048940000000002</v>
      </c>
      <c r="Q1225">
        <v>0.1819733</v>
      </c>
      <c r="R1225">
        <v>-0.91083709999999996</v>
      </c>
      <c r="S1225">
        <v>0.17764279999999999</v>
      </c>
      <c r="T1225">
        <v>3.8871049999999997E-2</v>
      </c>
      <c r="U1225">
        <v>-3.229187</v>
      </c>
      <c r="V1225">
        <v>0.2234159</v>
      </c>
      <c r="W1225">
        <v>0.1915164</v>
      </c>
      <c r="X1225">
        <v>0.95572319999999999</v>
      </c>
      <c r="Y1225">
        <v>0.52726549999999905</v>
      </c>
      <c r="Z1225">
        <v>-2.3492530000000001E-2</v>
      </c>
      <c r="AA1225">
        <v>0.84937569999999996</v>
      </c>
      <c r="AB1225">
        <v>26</v>
      </c>
      <c r="AC1225">
        <v>0.17764279999999999</v>
      </c>
      <c r="AD1225">
        <v>3.8871049999999997E-2</v>
      </c>
      <c r="AE1225">
        <v>-3.229187</v>
      </c>
      <c r="AF1225">
        <v>1.7049567546273501</v>
      </c>
      <c r="AG1225">
        <v>3.8871049999999997E-2</v>
      </c>
      <c r="AH1225">
        <v>2.7476001979650602</v>
      </c>
      <c r="AI1225">
        <v>89.311282100444998</v>
      </c>
      <c r="AJ1225">
        <v>58.179332008357697</v>
      </c>
      <c r="AK1225">
        <v>3.2338360103034298</v>
      </c>
      <c r="AL1225">
        <v>78.958707365301606</v>
      </c>
      <c r="AM1225">
        <v>76.8424523138316</v>
      </c>
      <c r="AN1225">
        <v>1.0000000154299999</v>
      </c>
    </row>
    <row r="1226" spans="1:40" x14ac:dyDescent="0.25">
      <c r="A1226" t="str">
        <f>"20190303170520371"</f>
        <v>20190303170520371</v>
      </c>
      <c r="B1226" t="str">
        <f>"1551603920355600"</f>
        <v>1551603920355600</v>
      </c>
      <c r="C1226" t="s">
        <v>40</v>
      </c>
      <c r="D1226">
        <v>5.6267449999999997</v>
      </c>
      <c r="E1226">
        <v>0.63829269999999905</v>
      </c>
      <c r="F1226" t="s">
        <v>59</v>
      </c>
      <c r="G1226">
        <v>-177.09889999999999</v>
      </c>
      <c r="H1226">
        <v>5.5610839999999904</v>
      </c>
      <c r="I1226">
        <v>-80.065569999999994</v>
      </c>
      <c r="J1226">
        <v>-195.52680000000001</v>
      </c>
      <c r="K1226">
        <v>1.1109180000000001</v>
      </c>
      <c r="L1226">
        <v>356.89370000000002</v>
      </c>
      <c r="M1226">
        <v>0.56139839999999996</v>
      </c>
      <c r="N1226">
        <v>-1.5875110000000001E-2</v>
      </c>
      <c r="O1226">
        <v>-0.8273935</v>
      </c>
      <c r="P1226">
        <v>0.35792600000000002</v>
      </c>
      <c r="Q1226">
        <v>0.18327669999999999</v>
      </c>
      <c r="R1226">
        <v>-0.91558680000000003</v>
      </c>
      <c r="S1226">
        <v>0.13722229999999999</v>
      </c>
      <c r="T1226">
        <v>3.2892579999999998E-2</v>
      </c>
      <c r="U1226">
        <v>-3.2313230000000002</v>
      </c>
      <c r="V1226">
        <v>0.2228898</v>
      </c>
      <c r="W1226">
        <v>0.19284119999999999</v>
      </c>
      <c r="X1226">
        <v>0.95557959999999997</v>
      </c>
      <c r="Y1226">
        <v>0.5258448</v>
      </c>
      <c r="Z1226">
        <v>-2.2460580000000001E-2</v>
      </c>
      <c r="AA1226">
        <v>0.85028389999999998</v>
      </c>
      <c r="AB1226">
        <v>26</v>
      </c>
      <c r="AC1226">
        <v>18.427900000000001</v>
      </c>
      <c r="AD1226">
        <v>4.4501659999999896</v>
      </c>
      <c r="AE1226">
        <v>-436.95927</v>
      </c>
      <c r="AF1226">
        <v>230.066263738853</v>
      </c>
      <c r="AG1226">
        <v>4.4501659999999896</v>
      </c>
      <c r="AH1226">
        <v>371.890983518371</v>
      </c>
      <c r="AI1226">
        <v>89.416955112541103</v>
      </c>
      <c r="AJ1226">
        <v>58.257449110283297</v>
      </c>
      <c r="AK1226">
        <v>437.32504308631201</v>
      </c>
      <c r="AL1226">
        <v>78.881359773434696</v>
      </c>
      <c r="AM1226">
        <v>76.870457086989504</v>
      </c>
      <c r="AN1226">
        <v>0.99999998164881898</v>
      </c>
    </row>
    <row r="1227" spans="1:40" x14ac:dyDescent="0.25">
      <c r="A1227" t="str">
        <f>"20190303170520384"</f>
        <v>20190303170520384</v>
      </c>
      <c r="B1227" t="str">
        <f>"1551603920376097"</f>
        <v>1551603920376097</v>
      </c>
      <c r="C1227" t="s">
        <v>40</v>
      </c>
      <c r="D1227">
        <v>5.6806140000000003</v>
      </c>
      <c r="E1227">
        <v>0.63747189999999998</v>
      </c>
      <c r="F1227" t="s">
        <v>59</v>
      </c>
      <c r="G1227">
        <v>-182.42089999999999</v>
      </c>
      <c r="H1227">
        <v>5.5812390000000001</v>
      </c>
      <c r="I1227">
        <v>-80.065569999999994</v>
      </c>
      <c r="J1227">
        <v>-195.43940000000001</v>
      </c>
      <c r="K1227">
        <v>1.1109450000000001</v>
      </c>
      <c r="L1227">
        <v>356.74860000000001</v>
      </c>
      <c r="M1227">
        <v>0.55380479999999999</v>
      </c>
      <c r="N1227">
        <v>-1.5870570000000001E-2</v>
      </c>
      <c r="O1227">
        <v>-0.83249549999999894</v>
      </c>
      <c r="P1227">
        <v>0.34989480000000001</v>
      </c>
      <c r="Q1227">
        <v>0.1833881</v>
      </c>
      <c r="R1227">
        <v>-0.91866369999999997</v>
      </c>
      <c r="S1227">
        <v>9.6939090000000006E-2</v>
      </c>
      <c r="T1227">
        <v>3.3065320000000002E-2</v>
      </c>
      <c r="U1227">
        <v>-3.2320250000000001</v>
      </c>
      <c r="V1227">
        <v>0.22249440000000001</v>
      </c>
      <c r="W1227">
        <v>0.19296940000000001</v>
      </c>
      <c r="X1227">
        <v>0.95564590000000005</v>
      </c>
      <c r="Y1227">
        <v>0.52865109999999904</v>
      </c>
      <c r="Z1227">
        <v>-2.2619899999999998E-2</v>
      </c>
      <c r="AA1227">
        <v>0.84853780000000001</v>
      </c>
      <c r="AB1227">
        <v>26</v>
      </c>
      <c r="AC1227">
        <v>13.0185</v>
      </c>
      <c r="AD1227">
        <v>4.470294</v>
      </c>
      <c r="AE1227">
        <v>-436.81416999999999</v>
      </c>
      <c r="AF1227">
        <v>231.076822921369</v>
      </c>
      <c r="AG1227">
        <v>4.470294</v>
      </c>
      <c r="AH1227">
        <v>370.86337319692302</v>
      </c>
      <c r="AI1227">
        <v>89.413862510941399</v>
      </c>
      <c r="AJ1227">
        <v>58.0738728442007</v>
      </c>
      <c r="AK1227">
        <v>436.98526656957199</v>
      </c>
      <c r="AL1227">
        <v>78.873874244908194</v>
      </c>
      <c r="AM1227">
        <v>76.893821652449603</v>
      </c>
      <c r="AN1227">
        <v>1.00000001677726</v>
      </c>
    </row>
    <row r="1228" spans="1:40" x14ac:dyDescent="0.25">
      <c r="A1228" t="str">
        <f>"20190303170520397"</f>
        <v>20190303170520397</v>
      </c>
      <c r="B1228" t="str">
        <f>"1551603920385857"</f>
        <v>1551603920385857</v>
      </c>
      <c r="C1228" t="s">
        <v>40</v>
      </c>
      <c r="D1228">
        <v>5.6914290000000003</v>
      </c>
      <c r="E1228">
        <v>0.63699689999999998</v>
      </c>
      <c r="F1228" t="s">
        <v>59</v>
      </c>
      <c r="G1228">
        <v>-185.2578</v>
      </c>
      <c r="H1228">
        <v>5.1323249999999998</v>
      </c>
      <c r="I1228">
        <v>-81.816869999999994</v>
      </c>
      <c r="J1228">
        <v>-195.36510000000001</v>
      </c>
      <c r="K1228">
        <v>1.1109629999999999</v>
      </c>
      <c r="L1228">
        <v>356.62189999999998</v>
      </c>
      <c r="M1228">
        <v>0.54718230000000001</v>
      </c>
      <c r="N1228">
        <v>-1.5866410000000001E-2</v>
      </c>
      <c r="O1228">
        <v>-0.83686319999999903</v>
      </c>
      <c r="P1228">
        <v>0.34283770000000002</v>
      </c>
      <c r="Q1228">
        <v>0.18418519999999999</v>
      </c>
      <c r="R1228">
        <v>-0.92116140000000002</v>
      </c>
      <c r="S1228">
        <v>7.5012209999999996E-2</v>
      </c>
      <c r="T1228">
        <v>2.962708E-2</v>
      </c>
      <c r="U1228">
        <v>-3.2310789999999998</v>
      </c>
      <c r="V1228">
        <v>0.22216710000000001</v>
      </c>
      <c r="W1228">
        <v>0.19377920000000001</v>
      </c>
      <c r="X1228">
        <v>0.95555820000000002</v>
      </c>
      <c r="Y1228">
        <v>0.52765799999999996</v>
      </c>
      <c r="Z1228">
        <v>-2.199649E-2</v>
      </c>
      <c r="AA1228">
        <v>0.84917209999999999</v>
      </c>
      <c r="AB1228">
        <v>26</v>
      </c>
      <c r="AC1228">
        <v>10.1073</v>
      </c>
      <c r="AD1228">
        <v>4.0213619999999999</v>
      </c>
      <c r="AE1228">
        <v>-438.43876999999998</v>
      </c>
      <c r="AF1228">
        <v>231.45715777231999</v>
      </c>
      <c r="AG1228">
        <v>4.0213619999999999</v>
      </c>
      <c r="AH1228">
        <v>372.459337434764</v>
      </c>
      <c r="AI1228">
        <v>89.474593038666598</v>
      </c>
      <c r="AJ1228">
        <v>58.1419696144577</v>
      </c>
      <c r="AK1228">
        <v>438.53682317305902</v>
      </c>
      <c r="AL1228">
        <v>78.826583731207805</v>
      </c>
      <c r="AM1228">
        <v>76.911277535027494</v>
      </c>
      <c r="AN1228">
        <v>1.0000000361311401</v>
      </c>
    </row>
    <row r="1229" spans="1:40" x14ac:dyDescent="0.25">
      <c r="A1229" t="str">
        <f>"20190303170520416"</f>
        <v>20190303170520416</v>
      </c>
      <c r="B1229" t="str">
        <f>"1551603920405383"</f>
        <v>1551603920405383</v>
      </c>
      <c r="C1229" t="s">
        <v>40</v>
      </c>
      <c r="D1229">
        <v>5.4347009999999996</v>
      </c>
      <c r="E1229">
        <v>0.63664969999999999</v>
      </c>
      <c r="F1229" t="s">
        <v>59</v>
      </c>
      <c r="G1229">
        <v>-188.07579999999999</v>
      </c>
      <c r="H1229">
        <v>5.2587210000000004</v>
      </c>
      <c r="I1229">
        <v>-81.816909999999993</v>
      </c>
      <c r="J1229">
        <v>-195.2534</v>
      </c>
      <c r="K1229">
        <v>1.1109899999999999</v>
      </c>
      <c r="L1229">
        <v>356.42770000000002</v>
      </c>
      <c r="M1229">
        <v>0.53701030000000005</v>
      </c>
      <c r="N1229">
        <v>-1.586009E-2</v>
      </c>
      <c r="O1229">
        <v>-0.84342659999999903</v>
      </c>
      <c r="P1229">
        <v>0.331655599999999</v>
      </c>
      <c r="Q1229">
        <v>0.18462899999999999</v>
      </c>
      <c r="R1229">
        <v>-0.92515769999999997</v>
      </c>
      <c r="S1229">
        <v>5.3710939999999999E-2</v>
      </c>
      <c r="T1229">
        <v>3.0562639999999999E-2</v>
      </c>
      <c r="U1229">
        <v>-3.2306210000000002</v>
      </c>
      <c r="V1229">
        <v>0.22212319999999999</v>
      </c>
      <c r="W1229">
        <v>0.1942306</v>
      </c>
      <c r="X1229">
        <v>0.95547669999999996</v>
      </c>
      <c r="Y1229">
        <v>0.52296100000000001</v>
      </c>
      <c r="Z1229">
        <v>-2.23263E-2</v>
      </c>
      <c r="AA1229">
        <v>0.85206419999999905</v>
      </c>
      <c r="AB1229">
        <v>26</v>
      </c>
      <c r="AC1229">
        <v>7.1776000000000098</v>
      </c>
      <c r="AD1229">
        <v>4.1477309999999896</v>
      </c>
      <c r="AE1229">
        <v>-438.244609999999</v>
      </c>
      <c r="AF1229">
        <v>229.29639629961099</v>
      </c>
      <c r="AG1229">
        <v>4.1477309999999896</v>
      </c>
      <c r="AH1229">
        <v>373.49513525105601</v>
      </c>
      <c r="AI1229">
        <v>89.457769034111294</v>
      </c>
      <c r="AJ1229">
        <v>58.453374575278602</v>
      </c>
      <c r="AK1229">
        <v>438.283763199872</v>
      </c>
      <c r="AL1229">
        <v>78.800218910011097</v>
      </c>
      <c r="AM1229">
        <v>76.912697030000103</v>
      </c>
      <c r="AN1229">
        <v>0.99999998309874405</v>
      </c>
    </row>
    <row r="1230" spans="1:40" x14ac:dyDescent="0.25">
      <c r="A1230" t="str">
        <f>"20190303170520438"</f>
        <v>20190303170520438</v>
      </c>
      <c r="B1230" t="str">
        <f>"1551603920425872"</f>
        <v>1551603920425872</v>
      </c>
      <c r="C1230" t="s">
        <v>40</v>
      </c>
      <c r="D1230">
        <v>5.4520999999999997</v>
      </c>
      <c r="E1230">
        <v>0.63601289999999999</v>
      </c>
      <c r="F1230" t="s">
        <v>59</v>
      </c>
      <c r="G1230">
        <v>-192.946</v>
      </c>
      <c r="H1230">
        <v>5.5445080000000004</v>
      </c>
      <c r="I1230">
        <v>-80.065559999999905</v>
      </c>
      <c r="J1230">
        <v>-195.1215</v>
      </c>
      <c r="K1230">
        <v>1.1110279999999999</v>
      </c>
      <c r="L1230">
        <v>356.19099999999997</v>
      </c>
      <c r="M1230">
        <v>0.52460289999999998</v>
      </c>
      <c r="N1230">
        <v>-1.5852410000000001E-2</v>
      </c>
      <c r="O1230">
        <v>-0.85119959999999995</v>
      </c>
      <c r="P1230">
        <v>0.31749899999999998</v>
      </c>
      <c r="Q1230">
        <v>0.1853679</v>
      </c>
      <c r="R1230">
        <v>-0.92996420000000002</v>
      </c>
      <c r="S1230">
        <v>1.7074579999999999E-2</v>
      </c>
      <c r="T1230">
        <v>3.2807349999999999E-2</v>
      </c>
      <c r="U1230">
        <v>-3.2299799999999999</v>
      </c>
      <c r="V1230">
        <v>0.2226416</v>
      </c>
      <c r="W1230">
        <v>0.1949611</v>
      </c>
      <c r="X1230">
        <v>0.95520720000000003</v>
      </c>
      <c r="Y1230">
        <v>0.52014059999999995</v>
      </c>
      <c r="Z1230">
        <v>-2.297824E-2</v>
      </c>
      <c r="AA1230">
        <v>0.85377150000000002</v>
      </c>
      <c r="AB1230">
        <v>26</v>
      </c>
      <c r="AC1230">
        <v>2.1754999999999902</v>
      </c>
      <c r="AD1230">
        <v>4.4334800000000003</v>
      </c>
      <c r="AE1230">
        <v>-436.25655999999998</v>
      </c>
      <c r="AF1230">
        <v>227.01472629171201</v>
      </c>
      <c r="AG1230">
        <v>4.4334800000000003</v>
      </c>
      <c r="AH1230">
        <v>372.49097652044901</v>
      </c>
      <c r="AI1230">
        <v>89.417695814052095</v>
      </c>
      <c r="AJ1230">
        <v>58.639770021352298</v>
      </c>
      <c r="AK1230">
        <v>436.23946323936502</v>
      </c>
      <c r="AL1230">
        <v>78.757548300992696</v>
      </c>
      <c r="AM1230">
        <v>76.879635516326104</v>
      </c>
      <c r="AN1230">
        <v>0.99999995374780304</v>
      </c>
    </row>
    <row r="1231" spans="1:40" x14ac:dyDescent="0.25">
      <c r="A1231" t="str">
        <f>"20190303170520472"</f>
        <v>20190303170520472</v>
      </c>
      <c r="B1231" t="str">
        <f>"1551603920465888"</f>
        <v>1551603920465888</v>
      </c>
      <c r="C1231" t="s">
        <v>40</v>
      </c>
      <c r="D1231">
        <v>5.5139610000000001</v>
      </c>
      <c r="E1231">
        <v>0.61926969999999903</v>
      </c>
      <c r="F1231" t="s">
        <v>59</v>
      </c>
      <c r="G1231">
        <v>-198.7011</v>
      </c>
      <c r="H1231">
        <v>5.645086</v>
      </c>
      <c r="I1231">
        <v>-80.06559</v>
      </c>
      <c r="J1231">
        <v>-194.9298</v>
      </c>
      <c r="K1231">
        <v>1.1110799999999901</v>
      </c>
      <c r="L1231">
        <v>355.83139999999997</v>
      </c>
      <c r="M1231">
        <v>0.50571849999999996</v>
      </c>
      <c r="N1231">
        <v>-1.584058E-2</v>
      </c>
      <c r="O1231">
        <v>-0.86255319999999902</v>
      </c>
      <c r="P1231">
        <v>0.29685089999999997</v>
      </c>
      <c r="Q1231">
        <v>0.18569830000000001</v>
      </c>
      <c r="R1231">
        <v>-0.93669420000000003</v>
      </c>
      <c r="S1231">
        <v>-2.6489260000000001E-2</v>
      </c>
      <c r="T1231">
        <v>3.3551449999999997E-2</v>
      </c>
      <c r="U1231">
        <v>-3.2282410000000001</v>
      </c>
      <c r="V1231">
        <v>0.2226745</v>
      </c>
      <c r="W1231">
        <v>0.195303</v>
      </c>
      <c r="X1231">
        <v>0.95512969999999997</v>
      </c>
      <c r="Y1231">
        <v>0.51281960000000004</v>
      </c>
      <c r="Z1231">
        <v>-2.3388639999999999E-2</v>
      </c>
      <c r="AA1231">
        <v>0.85817770000000004</v>
      </c>
      <c r="AB1231">
        <v>26</v>
      </c>
      <c r="AC1231">
        <v>-3.7712999999999899</v>
      </c>
      <c r="AD1231">
        <v>4.5340059999999998</v>
      </c>
      <c r="AE1231">
        <v>-435.89699000000002</v>
      </c>
      <c r="AF1231">
        <v>223.69797205559601</v>
      </c>
      <c r="AG1231">
        <v>4.5340059999999998</v>
      </c>
      <c r="AH1231">
        <v>374.08357106812701</v>
      </c>
      <c r="AI1231">
        <v>89.404014194337407</v>
      </c>
      <c r="AJ1231">
        <v>59.121027982870302</v>
      </c>
      <c r="AK1231">
        <v>435.889731532273</v>
      </c>
      <c r="AL1231">
        <v>78.737575101630199</v>
      </c>
      <c r="AM1231">
        <v>76.876735890160802</v>
      </c>
      <c r="AN1231">
        <v>0.99999996929066903</v>
      </c>
    </row>
    <row r="1232" spans="1:40" x14ac:dyDescent="0.25">
      <c r="A1232" t="str">
        <f>"20190303170520494"</f>
        <v>20190303170520494</v>
      </c>
      <c r="B1232" t="str">
        <f>"1551603920485412"</f>
        <v>1551603920485412</v>
      </c>
      <c r="C1232" t="s">
        <v>40</v>
      </c>
      <c r="D1232">
        <v>5.6768999999999998</v>
      </c>
      <c r="E1232">
        <v>0.61778069999999996</v>
      </c>
      <c r="F1232" t="s">
        <v>59</v>
      </c>
      <c r="G1232">
        <v>-190.9898</v>
      </c>
      <c r="H1232">
        <v>6.69998</v>
      </c>
      <c r="I1232">
        <v>-80.065939999999998</v>
      </c>
      <c r="J1232">
        <v>-194.81030000000001</v>
      </c>
      <c r="K1232">
        <v>1.1111139999999999</v>
      </c>
      <c r="L1232">
        <v>355.59719999999999</v>
      </c>
      <c r="M1232">
        <v>0.49339749999999999</v>
      </c>
      <c r="N1232">
        <v>-1.583292E-2</v>
      </c>
      <c r="O1232">
        <v>-0.86965979999999998</v>
      </c>
      <c r="P1232">
        <v>0.28450959999999997</v>
      </c>
      <c r="Q1232">
        <v>0.18561810000000001</v>
      </c>
      <c r="R1232">
        <v>-0.94053180000000003</v>
      </c>
      <c r="S1232">
        <v>2.8793329999999999E-2</v>
      </c>
      <c r="T1232">
        <v>4.0844199999999997E-2</v>
      </c>
      <c r="U1232">
        <v>-3.1855769999999999</v>
      </c>
      <c r="V1232">
        <v>0.22163369999999999</v>
      </c>
      <c r="W1232">
        <v>0.19526189999999999</v>
      </c>
      <c r="X1232">
        <v>0.95538020000000001</v>
      </c>
      <c r="Y1232">
        <v>0.48557050000000002</v>
      </c>
      <c r="Z1232">
        <v>-2.5304150000000001E-2</v>
      </c>
      <c r="AA1232">
        <v>0.87383129999999998</v>
      </c>
      <c r="AB1232">
        <v>26</v>
      </c>
      <c r="AC1232">
        <v>3.8205</v>
      </c>
      <c r="AD1232">
        <v>5.5888660000000003</v>
      </c>
      <c r="AE1232">
        <v>-435.66314</v>
      </c>
      <c r="AF1232">
        <v>211.62428220305401</v>
      </c>
      <c r="AG1232">
        <v>5.5888660000000003</v>
      </c>
      <c r="AH1232">
        <v>380.74883522752498</v>
      </c>
      <c r="AI1232">
        <v>89.264933813614206</v>
      </c>
      <c r="AJ1232">
        <v>60.934225577169798</v>
      </c>
      <c r="AK1232">
        <v>435.64406086648398</v>
      </c>
      <c r="AL1232">
        <v>78.739976725428804</v>
      </c>
      <c r="AM1232">
        <v>76.939274459124306</v>
      </c>
      <c r="AN1232">
        <v>1.0000000165596601</v>
      </c>
    </row>
    <row r="1233" spans="1:40" x14ac:dyDescent="0.25">
      <c r="A1233" t="str">
        <f>"20190303170520518"</f>
        <v>20190303170520518</v>
      </c>
      <c r="B1233" t="str">
        <f>"1551603920505904"</f>
        <v>1551603920505904</v>
      </c>
      <c r="C1233" t="s">
        <v>40</v>
      </c>
      <c r="D1233">
        <v>5.5461330000000002</v>
      </c>
      <c r="E1233">
        <v>0.61664799999999997</v>
      </c>
      <c r="F1233" t="s">
        <v>59</v>
      </c>
      <c r="G1233">
        <v>-195.0094</v>
      </c>
      <c r="H1233">
        <v>5.0987749999999998</v>
      </c>
      <c r="I1233">
        <v>-81.816859999999906</v>
      </c>
      <c r="J1233">
        <v>-194.68719999999999</v>
      </c>
      <c r="K1233">
        <v>1.1111420000000001</v>
      </c>
      <c r="L1233">
        <v>355.34699999999998</v>
      </c>
      <c r="M1233">
        <v>0.48022419999999999</v>
      </c>
      <c r="N1233">
        <v>-1.5824729999999999E-2</v>
      </c>
      <c r="O1233">
        <v>-0.87700299999999998</v>
      </c>
      <c r="P1233">
        <v>0.27100629999999998</v>
      </c>
      <c r="Q1233">
        <v>0.18603720000000001</v>
      </c>
      <c r="R1233">
        <v>-0.94442890000000002</v>
      </c>
      <c r="S1233">
        <v>-1.449585E-3</v>
      </c>
      <c r="T1233">
        <v>2.9030319999999998E-2</v>
      </c>
      <c r="U1233">
        <v>-3.1843870000000001</v>
      </c>
      <c r="V1233">
        <v>0.2208638</v>
      </c>
      <c r="W1233">
        <v>0.1957103</v>
      </c>
      <c r="X1233">
        <v>0.9554667</v>
      </c>
      <c r="Y1233">
        <v>0.4806589</v>
      </c>
      <c r="Z1233">
        <v>-2.269958E-2</v>
      </c>
      <c r="AA1233">
        <v>0.8766138</v>
      </c>
      <c r="AB1233">
        <v>26</v>
      </c>
      <c r="AC1233">
        <v>-0.32220000000000898</v>
      </c>
      <c r="AD1233">
        <v>3.9876330000000002</v>
      </c>
      <c r="AE1233">
        <v>-437.16385999999898</v>
      </c>
      <c r="AF1233">
        <v>210.22807384292199</v>
      </c>
      <c r="AG1233">
        <v>3.9876330000000002</v>
      </c>
      <c r="AH1233">
        <v>383.25540153534598</v>
      </c>
      <c r="AI1233">
        <v>89.477342086147402</v>
      </c>
      <c r="AJ1233">
        <v>61.253796752843201</v>
      </c>
      <c r="AK1233">
        <v>437.145796107737</v>
      </c>
      <c r="AL1233">
        <v>78.713779418727199</v>
      </c>
      <c r="AM1233">
        <v>76.984234804107899</v>
      </c>
      <c r="AN1233">
        <v>0.99999997724270895</v>
      </c>
    </row>
    <row r="1234" spans="1:40" x14ac:dyDescent="0.25">
      <c r="A1234" t="str">
        <f>"20190303170520540"</f>
        <v>20190303170520540</v>
      </c>
      <c r="B1234" t="str">
        <f>"1551603920525424"</f>
        <v>1551603920525424</v>
      </c>
      <c r="C1234" t="s">
        <v>40</v>
      </c>
      <c r="D1234">
        <v>5.5124339999999998</v>
      </c>
      <c r="E1234">
        <v>0.60636219999999996</v>
      </c>
      <c r="F1234" t="s">
        <v>59</v>
      </c>
      <c r="G1234">
        <v>-199.77449999999999</v>
      </c>
      <c r="H1234">
        <v>3.5731739999999999</v>
      </c>
      <c r="I1234">
        <v>-81.81635</v>
      </c>
      <c r="J1234">
        <v>-194.57839999999999</v>
      </c>
      <c r="K1234">
        <v>1.1111799999999901</v>
      </c>
      <c r="L1234">
        <v>355.11759999999998</v>
      </c>
      <c r="M1234">
        <v>0.4681283</v>
      </c>
      <c r="N1234">
        <v>-1.581747E-2</v>
      </c>
      <c r="O1234">
        <v>-0.88351900000000005</v>
      </c>
      <c r="P1234">
        <v>0.25843880000000002</v>
      </c>
      <c r="Q1234">
        <v>0.1871408</v>
      </c>
      <c r="R1234">
        <v>-0.94772769999999995</v>
      </c>
      <c r="S1234">
        <v>-3.7048339999999999E-2</v>
      </c>
      <c r="T1234">
        <v>1.7929670000000002E-2</v>
      </c>
      <c r="U1234">
        <v>-3.183624</v>
      </c>
      <c r="V1234">
        <v>0.2203357</v>
      </c>
      <c r="W1234">
        <v>0.19683439999999999</v>
      </c>
      <c r="X1234">
        <v>0.95535769999999998</v>
      </c>
      <c r="Y1234">
        <v>0.47839720000000002</v>
      </c>
      <c r="Z1234">
        <v>-2.016693E-2</v>
      </c>
      <c r="AA1234">
        <v>0.87791200000000003</v>
      </c>
      <c r="AB1234">
        <v>26</v>
      </c>
      <c r="AC1234">
        <v>-5.1961000000000004</v>
      </c>
      <c r="AD1234">
        <v>2.4619939999999998</v>
      </c>
      <c r="AE1234">
        <v>-436.93394999999998</v>
      </c>
      <c r="AF1234">
        <v>209.151514569564</v>
      </c>
      <c r="AG1234">
        <v>2.4619939999999998</v>
      </c>
      <c r="AH1234">
        <v>383.64279977525899</v>
      </c>
      <c r="AI1234">
        <v>89.6771711680354</v>
      </c>
      <c r="AJ1234">
        <v>61.401995157053904</v>
      </c>
      <c r="AK1234">
        <v>436.95791019341698</v>
      </c>
      <c r="AL1234">
        <v>78.648095537411606</v>
      </c>
      <c r="AM1234">
        <v>77.012868954795806</v>
      </c>
      <c r="AN1234">
        <v>0.99999996833356897</v>
      </c>
    </row>
    <row r="1235" spans="1:40" x14ac:dyDescent="0.25">
      <c r="A1235" t="str">
        <f>"20190303170520561"</f>
        <v>20190303170520561</v>
      </c>
      <c r="B1235" t="str">
        <f>"1551603920555681"</f>
        <v>1551603920555681</v>
      </c>
      <c r="C1235" t="s">
        <v>40</v>
      </c>
      <c r="D1235">
        <v>5.5560739999999997</v>
      </c>
      <c r="E1235">
        <v>0.60445130000000002</v>
      </c>
      <c r="F1235" t="s">
        <v>59</v>
      </c>
      <c r="G1235">
        <v>-194.37180000000001</v>
      </c>
      <c r="H1235">
        <v>2.9872030000000001</v>
      </c>
      <c r="I1235">
        <v>-81.816149999999993</v>
      </c>
      <c r="J1235">
        <v>-194.46889999999999</v>
      </c>
      <c r="K1235">
        <v>1.1112200000000001</v>
      </c>
      <c r="L1235">
        <v>354.87799999999999</v>
      </c>
      <c r="M1235">
        <v>0.45547769999999999</v>
      </c>
      <c r="N1235">
        <v>-1.5809779999999999E-2</v>
      </c>
      <c r="O1235">
        <v>-0.89010699999999998</v>
      </c>
      <c r="P1235">
        <v>0.2458244</v>
      </c>
      <c r="Q1235">
        <v>0.18846370000000001</v>
      </c>
      <c r="R1235">
        <v>-0.95081660000000001</v>
      </c>
      <c r="S1235">
        <v>1.495361E-3</v>
      </c>
      <c r="T1235">
        <v>1.357794E-2</v>
      </c>
      <c r="U1235">
        <v>-3.1623540000000001</v>
      </c>
      <c r="V1235">
        <v>0.2192972</v>
      </c>
      <c r="W1235">
        <v>0.19819129999999999</v>
      </c>
      <c r="X1235">
        <v>0.9553161</v>
      </c>
      <c r="Y1235">
        <v>0.4550729</v>
      </c>
      <c r="Z1235">
        <v>-1.9158789999999998E-2</v>
      </c>
      <c r="AA1235">
        <v>0.89024809999999999</v>
      </c>
      <c r="AB1235">
        <v>26</v>
      </c>
      <c r="AC1235">
        <v>9.7099999999983297E-2</v>
      </c>
      <c r="AD1235">
        <v>1.875983</v>
      </c>
      <c r="AE1235">
        <v>-436.69414999999998</v>
      </c>
      <c r="AF1235">
        <v>198.839164645621</v>
      </c>
      <c r="AG1235">
        <v>1.875983</v>
      </c>
      <c r="AH1235">
        <v>388.79009535489399</v>
      </c>
      <c r="AI1235">
        <v>89.753861534318006</v>
      </c>
      <c r="AJ1235">
        <v>62.913406287288801</v>
      </c>
      <c r="AK1235">
        <v>436.69013150660101</v>
      </c>
      <c r="AL1235">
        <v>78.5687883730306</v>
      </c>
      <c r="AM1235">
        <v>77.071475523017199</v>
      </c>
      <c r="AN1235">
        <v>0.99999995212136805</v>
      </c>
    </row>
    <row r="1236" spans="1:40" x14ac:dyDescent="0.25">
      <c r="A1236" t="str">
        <f>"20190303170520584"</f>
        <v>20190303170520584</v>
      </c>
      <c r="B1236" t="str">
        <f>"1551603920576177"</f>
        <v>1551603920576177</v>
      </c>
      <c r="C1236" t="s">
        <v>40</v>
      </c>
      <c r="D1236">
        <v>5.5572720000000002</v>
      </c>
      <c r="E1236">
        <v>0.60328760000000003</v>
      </c>
      <c r="F1236" t="s">
        <v>59</v>
      </c>
      <c r="G1236">
        <v>-198.03550000000001</v>
      </c>
      <c r="H1236">
        <v>2.904468</v>
      </c>
      <c r="I1236">
        <v>-81.816130000000001</v>
      </c>
      <c r="J1236">
        <v>-194.3587</v>
      </c>
      <c r="K1236">
        <v>1.111259</v>
      </c>
      <c r="L1236">
        <v>354.62729999999999</v>
      </c>
      <c r="M1236">
        <v>0.44222270000000002</v>
      </c>
      <c r="N1236">
        <v>-1.5801869999999999E-2</v>
      </c>
      <c r="O1236">
        <v>-0.89676630000000002</v>
      </c>
      <c r="P1236">
        <v>0.23248869999999999</v>
      </c>
      <c r="Q1236">
        <v>0.18934880000000001</v>
      </c>
      <c r="R1236">
        <v>-0.95398970000000005</v>
      </c>
      <c r="S1236">
        <v>-2.580261E-2</v>
      </c>
      <c r="T1236">
        <v>1.2973190000000001E-2</v>
      </c>
      <c r="U1236">
        <v>-3.1592410000000002</v>
      </c>
      <c r="V1236">
        <v>0.21842619999999999</v>
      </c>
      <c r="W1236">
        <v>0.19910729999999999</v>
      </c>
      <c r="X1236">
        <v>0.95532519999999999</v>
      </c>
      <c r="Y1236">
        <v>0.44954539999999998</v>
      </c>
      <c r="Z1236">
        <v>-1.9083010000000001E-2</v>
      </c>
      <c r="AA1236">
        <v>0.8930536</v>
      </c>
      <c r="AB1236">
        <v>26</v>
      </c>
      <c r="AC1236">
        <v>-3.6768000000000098</v>
      </c>
      <c r="AD1236">
        <v>1.7932090000000001</v>
      </c>
      <c r="AE1236">
        <v>-436.44342999999998</v>
      </c>
      <c r="AF1236">
        <v>196.32358075739199</v>
      </c>
      <c r="AG1236">
        <v>1.7932090000000001</v>
      </c>
      <c r="AH1236">
        <v>389.80380584699202</v>
      </c>
      <c r="AI1236">
        <v>89.764595338502502</v>
      </c>
      <c r="AJ1236">
        <v>63.268019207669703</v>
      </c>
      <c r="AK1236">
        <v>436.45523368694103</v>
      </c>
      <c r="AL1236">
        <v>78.515238535442293</v>
      </c>
      <c r="AM1236">
        <v>77.121227878953903</v>
      </c>
      <c r="AN1236">
        <v>0.99999997975738397</v>
      </c>
    </row>
    <row r="1237" spans="1:40" x14ac:dyDescent="0.25">
      <c r="A1237" t="str">
        <f>"20190303170520606"</f>
        <v>20190303170520606</v>
      </c>
      <c r="B1237" t="str">
        <f>"1551603920595696"</f>
        <v>1551603920595696</v>
      </c>
      <c r="C1237" t="s">
        <v>40</v>
      </c>
      <c r="D1237">
        <v>5.5826180000000001</v>
      </c>
      <c r="E1237">
        <v>0.60206340000000003</v>
      </c>
      <c r="F1237" t="s">
        <v>59</v>
      </c>
      <c r="G1237">
        <v>-202.82140000000001</v>
      </c>
      <c r="H1237">
        <v>2.8143639999999999</v>
      </c>
      <c r="I1237">
        <v>-81.816090000000003</v>
      </c>
      <c r="J1237">
        <v>-194.25899999999999</v>
      </c>
      <c r="K1237">
        <v>1.1112919999999999</v>
      </c>
      <c r="L1237">
        <v>354.39069999999998</v>
      </c>
      <c r="M1237">
        <v>0.4297086</v>
      </c>
      <c r="N1237">
        <v>-1.57942999999999E-2</v>
      </c>
      <c r="O1237">
        <v>-0.90282949999999995</v>
      </c>
      <c r="P1237">
        <v>0.21874759999999999</v>
      </c>
      <c r="Q1237">
        <v>0.1898551</v>
      </c>
      <c r="R1237">
        <v>-0.95713369999999998</v>
      </c>
      <c r="S1237">
        <v>-6.1218259999999997E-2</v>
      </c>
      <c r="T1237">
        <v>1.232016E-2</v>
      </c>
      <c r="U1237">
        <v>-3.1571959999999999</v>
      </c>
      <c r="V1237">
        <v>0.2188331</v>
      </c>
      <c r="W1237">
        <v>0.19960919999999999</v>
      </c>
      <c r="X1237">
        <v>0.95512739999999996</v>
      </c>
      <c r="Y1237">
        <v>0.44714110000000001</v>
      </c>
      <c r="Z1237">
        <v>-1.8990139999999999E-2</v>
      </c>
      <c r="AA1237">
        <v>0.8942618</v>
      </c>
      <c r="AB1237">
        <v>26</v>
      </c>
      <c r="AC1237">
        <v>-8.5623999999999896</v>
      </c>
      <c r="AD1237">
        <v>1.7030719999999999</v>
      </c>
      <c r="AE1237">
        <v>-436.20679000000001</v>
      </c>
      <c r="AF1237">
        <v>195.193565886079</v>
      </c>
      <c r="AG1237">
        <v>1.7030719999999999</v>
      </c>
      <c r="AH1237">
        <v>390.18373799615301</v>
      </c>
      <c r="AI1237">
        <v>89.776342235768993</v>
      </c>
      <c r="AJ1237">
        <v>63.4230032815614</v>
      </c>
      <c r="AK1237">
        <v>436.28749468006799</v>
      </c>
      <c r="AL1237">
        <v>78.485893584641005</v>
      </c>
      <c r="AM1237">
        <v>77.095456041755597</v>
      </c>
      <c r="AN1237">
        <v>1.0000000543055001</v>
      </c>
    </row>
    <row r="1238" spans="1:40" x14ac:dyDescent="0.25">
      <c r="A1238" t="str">
        <f>"20190303170520627"</f>
        <v>20190303170520627</v>
      </c>
      <c r="B1238" t="str">
        <f>"1551603920616193"</f>
        <v>1551603920616193</v>
      </c>
      <c r="C1238" t="s">
        <v>40</v>
      </c>
      <c r="D1238">
        <v>5.5366790000000004</v>
      </c>
      <c r="E1238">
        <v>0.59332439999999997</v>
      </c>
      <c r="F1238" t="s">
        <v>59</v>
      </c>
      <c r="G1238">
        <v>-207.51589999999999</v>
      </c>
      <c r="H1238">
        <v>2.3130820000000001</v>
      </c>
      <c r="I1238">
        <v>-81.815929999999994</v>
      </c>
      <c r="J1238">
        <v>-194.16220000000001</v>
      </c>
      <c r="K1238">
        <v>1.111329</v>
      </c>
      <c r="L1238">
        <v>354.15199999999999</v>
      </c>
      <c r="M1238">
        <v>0.41706480000000001</v>
      </c>
      <c r="N1238">
        <v>-1.5786769999999999E-2</v>
      </c>
      <c r="O1238">
        <v>-0.90873970000000004</v>
      </c>
      <c r="P1238">
        <v>0.20483419999999999</v>
      </c>
      <c r="Q1238">
        <v>0.18976999999999999</v>
      </c>
      <c r="R1238">
        <v>-0.96022419999999997</v>
      </c>
      <c r="S1238">
        <v>-9.587097E-2</v>
      </c>
      <c r="T1238">
        <v>8.6910719999999993E-3</v>
      </c>
      <c r="U1238">
        <v>-3.154541</v>
      </c>
      <c r="V1238">
        <v>0.2193543</v>
      </c>
      <c r="W1238">
        <v>0.1995171</v>
      </c>
      <c r="X1238">
        <v>0.95502699999999996</v>
      </c>
      <c r="Y1238">
        <v>0.4444823</v>
      </c>
      <c r="Z1238">
        <v>-1.8125079999999998E-2</v>
      </c>
      <c r="AA1238">
        <v>0.89560430000000002</v>
      </c>
      <c r="AB1238">
        <v>26</v>
      </c>
      <c r="AC1238">
        <v>-13.3536999999999</v>
      </c>
      <c r="AD1238">
        <v>1.2017530000000001</v>
      </c>
      <c r="AE1238">
        <v>-435.967929999999</v>
      </c>
      <c r="AF1238">
        <v>193.98460574012299</v>
      </c>
      <c r="AG1238">
        <v>1.2017530000000001</v>
      </c>
      <c r="AH1238">
        <v>390.65770393064997</v>
      </c>
      <c r="AI1238">
        <v>89.842136448049899</v>
      </c>
      <c r="AJ1238">
        <v>63.592888819176203</v>
      </c>
      <c r="AK1238">
        <v>436.170738489862</v>
      </c>
      <c r="AL1238">
        <v>78.491277941877598</v>
      </c>
      <c r="AM1238">
        <v>77.064439403428395</v>
      </c>
      <c r="AN1238">
        <v>0.99999997642494898</v>
      </c>
    </row>
    <row r="1239" spans="1:40" x14ac:dyDescent="0.25">
      <c r="A1239" t="str">
        <f>"20190303170520651"</f>
        <v>20190303170520651</v>
      </c>
      <c r="B1239" t="str">
        <f>"1551603920645472"</f>
        <v>1551603920645472</v>
      </c>
      <c r="C1239" t="s">
        <v>40</v>
      </c>
      <c r="D1239">
        <v>5.5658409999999998</v>
      </c>
      <c r="E1239">
        <v>0.59136099999999903</v>
      </c>
      <c r="F1239" t="s">
        <v>41</v>
      </c>
      <c r="G1239">
        <v>-198.36670000000001</v>
      </c>
      <c r="H1239" s="1">
        <v>-5.7573260000000002E-6</v>
      </c>
      <c r="I1239">
        <v>168.41380000000001</v>
      </c>
      <c r="J1239">
        <v>-194.06229999999999</v>
      </c>
      <c r="K1239">
        <v>1.111359</v>
      </c>
      <c r="L1239">
        <v>353.89479999999998</v>
      </c>
      <c r="M1239">
        <v>0.40342309999999998</v>
      </c>
      <c r="N1239">
        <v>-1.5778589999999999E-2</v>
      </c>
      <c r="O1239">
        <v>-0.91487770000000002</v>
      </c>
      <c r="P1239">
        <v>0.1906235</v>
      </c>
      <c r="Q1239">
        <v>0.18921979999999999</v>
      </c>
      <c r="R1239">
        <v>-0.96325450000000001</v>
      </c>
      <c r="S1239">
        <v>-7.1151729999999996E-2</v>
      </c>
      <c r="T1239">
        <v>-1.8806929999999999E-2</v>
      </c>
      <c r="U1239">
        <v>-3.1432190000000002</v>
      </c>
      <c r="V1239">
        <v>0.21919250000000001</v>
      </c>
      <c r="W1239">
        <v>0.19898160000000001</v>
      </c>
      <c r="X1239">
        <v>0.95517589999999997</v>
      </c>
      <c r="Y1239">
        <v>0.42400149999999998</v>
      </c>
      <c r="Z1239">
        <v>-1.091816E-2</v>
      </c>
      <c r="AA1239">
        <v>0.9055957</v>
      </c>
      <c r="AB1239">
        <v>26</v>
      </c>
      <c r="AC1239">
        <v>-4.30440000000001</v>
      </c>
      <c r="AD1239">
        <v>-1.1113647573259999</v>
      </c>
      <c r="AE1239">
        <v>-185.48099999999999</v>
      </c>
      <c r="AF1239">
        <v>78.772285264718704</v>
      </c>
      <c r="AG1239">
        <v>-1.1113647573259999</v>
      </c>
      <c r="AH1239">
        <v>167.97078961604501</v>
      </c>
      <c r="AI1239">
        <v>90.343220563161395</v>
      </c>
      <c r="AJ1239">
        <v>64.875104529364904</v>
      </c>
      <c r="AK1239">
        <v>185.52761040256999</v>
      </c>
      <c r="AL1239">
        <v>78.522588072787997</v>
      </c>
      <c r="AM1239">
        <v>77.075607713060506</v>
      </c>
      <c r="AN1239">
        <v>1.0000000145678101</v>
      </c>
    </row>
    <row r="1240" spans="1:40" x14ac:dyDescent="0.25">
      <c r="A1240" t="str">
        <f>"20190303170520673"</f>
        <v>20190303170520673</v>
      </c>
      <c r="B1240" t="str">
        <f>"1551603920665969"</f>
        <v>1551603920665969</v>
      </c>
      <c r="C1240" t="s">
        <v>40</v>
      </c>
      <c r="D1240">
        <v>5.5691800000000002</v>
      </c>
      <c r="E1240">
        <v>0.58453509999999997</v>
      </c>
      <c r="F1240" t="s">
        <v>52</v>
      </c>
      <c r="G1240">
        <v>-198.79159999999999</v>
      </c>
      <c r="H1240" s="1">
        <v>3.121772E-6</v>
      </c>
      <c r="I1240">
        <v>208.5607</v>
      </c>
      <c r="J1240">
        <v>-193.9691</v>
      </c>
      <c r="K1240">
        <v>1.111394</v>
      </c>
      <c r="L1240">
        <v>353.64400000000001</v>
      </c>
      <c r="M1240">
        <v>0.39010359999999999</v>
      </c>
      <c r="N1240">
        <v>-1.5770550000000001E-2</v>
      </c>
      <c r="O1240">
        <v>-0.92063589999999995</v>
      </c>
      <c r="P1240">
        <v>0.177309299999999</v>
      </c>
      <c r="Q1240">
        <v>0.188664</v>
      </c>
      <c r="R1240">
        <v>-0.96590259999999994</v>
      </c>
      <c r="S1240">
        <v>-0.1021576</v>
      </c>
      <c r="T1240">
        <v>-2.4006719999999999E-2</v>
      </c>
      <c r="U1240">
        <v>-3.1394039999999999</v>
      </c>
      <c r="V1240">
        <v>0.218527</v>
      </c>
      <c r="W1240">
        <v>0.19845450000000001</v>
      </c>
      <c r="X1240">
        <v>0.95543800000000001</v>
      </c>
      <c r="Y1240">
        <v>0.41981109999999999</v>
      </c>
      <c r="Z1240">
        <v>-9.4947199999999999E-3</v>
      </c>
      <c r="AA1240">
        <v>0.90756179999999997</v>
      </c>
      <c r="AB1240">
        <v>26</v>
      </c>
      <c r="AC1240">
        <v>-4.82249999999999</v>
      </c>
      <c r="AD1240">
        <v>-1.111390878228</v>
      </c>
      <c r="AE1240">
        <v>-145.08330000000001</v>
      </c>
      <c r="AF1240">
        <v>61.041298276061802</v>
      </c>
      <c r="AG1240">
        <v>-1.111390878228</v>
      </c>
      <c r="AH1240">
        <v>131.696280083131</v>
      </c>
      <c r="AI1240">
        <v>90.438681397772797</v>
      </c>
      <c r="AJ1240">
        <v>65.132251193222402</v>
      </c>
      <c r="AK1240">
        <v>145.15917288495999</v>
      </c>
      <c r="AL1240">
        <v>78.553403123936405</v>
      </c>
      <c r="AM1240">
        <v>77.116953253049701</v>
      </c>
      <c r="AN1240">
        <v>1.00000000507162</v>
      </c>
    </row>
    <row r="1241" spans="1:40" x14ac:dyDescent="0.25">
      <c r="A1241" t="str">
        <f>"20190303170520695"</f>
        <v>20190303170520695</v>
      </c>
      <c r="B1241" t="str">
        <f>"1551603920685488"</f>
        <v>1551603920685488</v>
      </c>
      <c r="C1241" t="s">
        <v>40</v>
      </c>
      <c r="D1241">
        <v>5.5780240000000001</v>
      </c>
      <c r="E1241">
        <v>0.58174709999999996</v>
      </c>
      <c r="F1241" t="s">
        <v>41</v>
      </c>
      <c r="G1241">
        <v>-197.05449999999999</v>
      </c>
      <c r="H1241" s="1">
        <v>-5.6772730000000002E-6</v>
      </c>
      <c r="I1241">
        <v>248.81139999999999</v>
      </c>
      <c r="J1241">
        <v>-193.8819</v>
      </c>
      <c r="K1241">
        <v>1.1114250000000001</v>
      </c>
      <c r="L1241">
        <v>353.39879999999999</v>
      </c>
      <c r="M1241">
        <v>0.37706780000000001</v>
      </c>
      <c r="N1241">
        <v>-1.5762669999999999E-2</v>
      </c>
      <c r="O1241">
        <v>-0.92605159999999997</v>
      </c>
      <c r="P1241">
        <v>0.1643019</v>
      </c>
      <c r="Q1241">
        <v>0.18934000000000001</v>
      </c>
      <c r="R1241">
        <v>-0.96806809999999999</v>
      </c>
      <c r="S1241">
        <v>-9.2102050000000005E-2</v>
      </c>
      <c r="T1241">
        <v>-3.3175830000000003E-2</v>
      </c>
      <c r="U1241">
        <v>-3.1293030000000002</v>
      </c>
      <c r="V1241">
        <v>0.2178398</v>
      </c>
      <c r="W1241">
        <v>0.19915540000000001</v>
      </c>
      <c r="X1241">
        <v>0.95544910000000005</v>
      </c>
      <c r="Y1241">
        <v>0.40411190000000002</v>
      </c>
      <c r="Z1241">
        <v>-6.8832839999999999E-3</v>
      </c>
      <c r="AA1241">
        <v>0.91468360000000004</v>
      </c>
      <c r="AB1241">
        <v>26</v>
      </c>
      <c r="AC1241">
        <v>-3.1725999999999801</v>
      </c>
      <c r="AD1241">
        <v>-1.111430677273</v>
      </c>
      <c r="AE1241">
        <v>-104.5874</v>
      </c>
      <c r="AF1241">
        <v>42.375013112220302</v>
      </c>
      <c r="AG1241">
        <v>-1.111430677273</v>
      </c>
      <c r="AH1241">
        <v>95.658129581376699</v>
      </c>
      <c r="AI1241">
        <v>90.608637327365003</v>
      </c>
      <c r="AJ1241">
        <v>66.107427632668603</v>
      </c>
      <c r="AK1241">
        <v>104.62960751822899</v>
      </c>
      <c r="AL1241">
        <v>78.512426723538297</v>
      </c>
      <c r="AM1241">
        <v>77.156265067392198</v>
      </c>
      <c r="AN1241">
        <v>1.0000000172520001</v>
      </c>
    </row>
    <row r="1242" spans="1:40" x14ac:dyDescent="0.25">
      <c r="A1242" t="str">
        <f>"20190303170520718"</f>
        <v>20190303170520718</v>
      </c>
      <c r="B1242" t="str">
        <f>"1551603920705985"</f>
        <v>1551603920705985</v>
      </c>
      <c r="C1242" t="s">
        <v>40</v>
      </c>
      <c r="D1242">
        <v>5.6060949999999998</v>
      </c>
      <c r="E1242">
        <v>0.57250559999999995</v>
      </c>
      <c r="F1242" t="s">
        <v>41</v>
      </c>
      <c r="G1242">
        <v>-197.9436</v>
      </c>
      <c r="H1242" s="1">
        <v>-2.479708E-6</v>
      </c>
      <c r="I1242">
        <v>240.36609999999999</v>
      </c>
      <c r="J1242">
        <v>-193.79689999999999</v>
      </c>
      <c r="K1242">
        <v>1.1114580000000001</v>
      </c>
      <c r="L1242">
        <v>353.14879999999999</v>
      </c>
      <c r="M1242">
        <v>0.36376540000000002</v>
      </c>
      <c r="N1242">
        <v>-1.5754750000000001E-2</v>
      </c>
      <c r="O1242">
        <v>-0.93135760000000001</v>
      </c>
      <c r="P1242">
        <v>0.15093419999999999</v>
      </c>
      <c r="Q1242">
        <v>0.1897606</v>
      </c>
      <c r="R1242">
        <v>-0.97015980000000002</v>
      </c>
      <c r="S1242">
        <v>-0.11225889999999999</v>
      </c>
      <c r="T1242">
        <v>-3.0718209999999999E-2</v>
      </c>
      <c r="U1242">
        <v>-3.1240540000000001</v>
      </c>
      <c r="V1242">
        <v>0.21729699999999999</v>
      </c>
      <c r="W1242">
        <v>0.19959750000000001</v>
      </c>
      <c r="X1242">
        <v>0.95548049999999995</v>
      </c>
      <c r="Y1242">
        <v>0.39694289999999999</v>
      </c>
      <c r="Z1242">
        <v>-7.4492569999999999E-3</v>
      </c>
      <c r="AA1242">
        <v>0.91781310000000005</v>
      </c>
      <c r="AB1242">
        <v>26</v>
      </c>
      <c r="AC1242">
        <v>-4.1467000000000098</v>
      </c>
      <c r="AD1242">
        <v>-1.1114604797079899</v>
      </c>
      <c r="AE1242">
        <v>-112.78270000000001</v>
      </c>
      <c r="AF1242">
        <v>44.889712493449302</v>
      </c>
      <c r="AG1242">
        <v>-1.1114604797079899</v>
      </c>
      <c r="AH1242">
        <v>103.53538488378</v>
      </c>
      <c r="AI1242">
        <v>90.564298505511402</v>
      </c>
      <c r="AJ1242">
        <v>66.559949815608604</v>
      </c>
      <c r="AK1242">
        <v>112.853433953845</v>
      </c>
      <c r="AL1242">
        <v>78.486577860784493</v>
      </c>
      <c r="AM1242">
        <v>77.187617895547007</v>
      </c>
      <c r="AN1242">
        <v>1.00000006704774</v>
      </c>
    </row>
    <row r="1243" spans="1:40" x14ac:dyDescent="0.25">
      <c r="A1243" t="str">
        <f>"20190303170520742"</f>
        <v>20190303170520742</v>
      </c>
      <c r="B1243" t="str">
        <f>"1551603920725505"</f>
        <v>1551603920725505</v>
      </c>
      <c r="C1243" t="s">
        <v>40</v>
      </c>
      <c r="D1243">
        <v>5.6814229999999997</v>
      </c>
      <c r="E1243">
        <v>0.54546260000000002</v>
      </c>
      <c r="F1243" t="s">
        <v>52</v>
      </c>
      <c r="G1243">
        <v>-195.8417</v>
      </c>
      <c r="H1243" s="1">
        <v>4.8453580000000003E-6</v>
      </c>
      <c r="I1243">
        <v>274.6918</v>
      </c>
      <c r="J1243">
        <v>-193.7139</v>
      </c>
      <c r="K1243">
        <v>1.1114919999999999</v>
      </c>
      <c r="L1243">
        <v>352.89240000000001</v>
      </c>
      <c r="M1243">
        <v>0.35010419999999998</v>
      </c>
      <c r="N1243">
        <v>-1.5746719999999999E-2</v>
      </c>
      <c r="O1243">
        <v>-0.93657860000000004</v>
      </c>
      <c r="P1243">
        <v>0.13792769999999999</v>
      </c>
      <c r="Q1243">
        <v>0.19009180000000001</v>
      </c>
      <c r="R1243">
        <v>-0.9720299</v>
      </c>
      <c r="S1243">
        <v>-8.1146239999999994E-2</v>
      </c>
      <c r="T1243">
        <v>-4.4107439999999998E-2</v>
      </c>
      <c r="U1243">
        <v>-3.1135250000000001</v>
      </c>
      <c r="V1243">
        <v>0.2160849</v>
      </c>
      <c r="W1243">
        <v>0.19996990000000001</v>
      </c>
      <c r="X1243">
        <v>0.95567740000000001</v>
      </c>
      <c r="Y1243">
        <v>0.37434210000000001</v>
      </c>
      <c r="Z1243">
        <v>-3.52031E-3</v>
      </c>
      <c r="AA1243">
        <v>0.92728390000000005</v>
      </c>
      <c r="AB1243">
        <v>26</v>
      </c>
      <c r="AC1243">
        <v>-2.1278000000000001</v>
      </c>
      <c r="AD1243">
        <v>-1.111487154642</v>
      </c>
      <c r="AE1243">
        <v>-78.200599999999994</v>
      </c>
      <c r="AF1243">
        <v>29.368918271479</v>
      </c>
      <c r="AG1243">
        <v>-1.111487154642</v>
      </c>
      <c r="AH1243">
        <v>72.490399042473996</v>
      </c>
      <c r="AI1243">
        <v>90.814169289434105</v>
      </c>
      <c r="AJ1243">
        <v>67.945054498902707</v>
      </c>
      <c r="AK1243">
        <v>78.221651206484196</v>
      </c>
      <c r="AL1243">
        <v>78.464800763434198</v>
      </c>
      <c r="AM1243">
        <v>77.259286312012804</v>
      </c>
      <c r="AN1243">
        <v>0.99999996889238896</v>
      </c>
    </row>
    <row r="1244" spans="1:40" x14ac:dyDescent="0.25">
      <c r="A1244" t="str">
        <f>"20190303170520765"</f>
        <v>20190303170520765</v>
      </c>
      <c r="B1244" t="str">
        <f>"1551603920755761"</f>
        <v>1551603920755761</v>
      </c>
      <c r="C1244" t="s">
        <v>40</v>
      </c>
      <c r="D1244">
        <v>5.6420570000000003</v>
      </c>
      <c r="E1244">
        <v>0.53923739999999998</v>
      </c>
      <c r="F1244" t="s">
        <v>52</v>
      </c>
      <c r="G1244">
        <v>-191.84780000000001</v>
      </c>
      <c r="H1244" s="1">
        <v>3.004101E-6</v>
      </c>
      <c r="I1244">
        <v>290.16969999999998</v>
      </c>
      <c r="J1244">
        <v>-193.63239999999999</v>
      </c>
      <c r="K1244">
        <v>1.111521</v>
      </c>
      <c r="L1244">
        <v>352.62720000000002</v>
      </c>
      <c r="M1244">
        <v>0.33595589999999997</v>
      </c>
      <c r="N1244">
        <v>-1.5738350000000002E-2</v>
      </c>
      <c r="O1244">
        <v>-0.94174630000000004</v>
      </c>
      <c r="P1244">
        <v>0.1249557</v>
      </c>
      <c r="Q1244">
        <v>0.1899295</v>
      </c>
      <c r="R1244">
        <v>-0.9738137</v>
      </c>
      <c r="S1244">
        <v>9.1751100000000002E-2</v>
      </c>
      <c r="T1244">
        <v>-5.4649709999999997E-2</v>
      </c>
      <c r="U1244">
        <v>-3.0839539999999999</v>
      </c>
      <c r="V1244">
        <v>0.2144161</v>
      </c>
      <c r="W1244">
        <v>0.19986290000000001</v>
      </c>
      <c r="X1244">
        <v>0.95607560000000003</v>
      </c>
      <c r="Y1244">
        <v>0.30775599999999997</v>
      </c>
      <c r="Z1244" s="1">
        <v>8.4930679999999995E-5</v>
      </c>
      <c r="AA1244">
        <v>0.95146529999999996</v>
      </c>
      <c r="AB1244">
        <v>26</v>
      </c>
      <c r="AC1244">
        <v>1.78459999999998</v>
      </c>
      <c r="AD1244">
        <v>-1.111517995899</v>
      </c>
      <c r="AE1244">
        <v>-62.457500000000003</v>
      </c>
      <c r="AF1244">
        <v>19.298607562125401</v>
      </c>
      <c r="AG1244">
        <v>-1.111517995899</v>
      </c>
      <c r="AH1244">
        <v>59.4072224352823</v>
      </c>
      <c r="AI1244">
        <v>91.019456975388593</v>
      </c>
      <c r="AJ1244">
        <v>72.003462559263895</v>
      </c>
      <c r="AK1244">
        <v>62.4731126450991</v>
      </c>
      <c r="AL1244">
        <v>78.471058059662795</v>
      </c>
      <c r="AM1244">
        <v>77.359602976027105</v>
      </c>
      <c r="AN1244">
        <v>0.99999999782548998</v>
      </c>
    </row>
    <row r="1245" spans="1:40" x14ac:dyDescent="0.25">
      <c r="A1245" t="str">
        <f>"20190303170520786"</f>
        <v>20190303170520786</v>
      </c>
      <c r="B1245" t="str">
        <f>"1551603920775992"</f>
        <v>1551603920775992</v>
      </c>
      <c r="C1245" t="s">
        <v>40</v>
      </c>
      <c r="D1245">
        <v>5.6567400000000001</v>
      </c>
      <c r="E1245">
        <v>0.5363928</v>
      </c>
      <c r="F1245" t="s">
        <v>41</v>
      </c>
      <c r="G1245">
        <v>-192.19909999999999</v>
      </c>
      <c r="H1245" s="1">
        <v>-4.5445350000000002E-6</v>
      </c>
      <c r="I1245">
        <v>309.19490000000002</v>
      </c>
      <c r="J1245">
        <v>-193.56139999999999</v>
      </c>
      <c r="K1245">
        <v>1.1115440000000001</v>
      </c>
      <c r="L1245">
        <v>352.38299999999998</v>
      </c>
      <c r="M1245">
        <v>0.32291989999999998</v>
      </c>
      <c r="N1245">
        <v>-1.573051E-2</v>
      </c>
      <c r="O1245">
        <v>-0.94629549999999996</v>
      </c>
      <c r="P1245">
        <v>0.1137417</v>
      </c>
      <c r="Q1245">
        <v>0.1891167</v>
      </c>
      <c r="R1245">
        <v>-0.97534489999999996</v>
      </c>
      <c r="S1245">
        <v>0.10174560000000001</v>
      </c>
      <c r="T1245">
        <v>-7.8902239999999998E-2</v>
      </c>
      <c r="U1245">
        <v>-3.0830690000000001</v>
      </c>
      <c r="V1245">
        <v>0.21222559999999999</v>
      </c>
      <c r="W1245">
        <v>0.19911989999999999</v>
      </c>
      <c r="X1245">
        <v>0.95671919999999999</v>
      </c>
      <c r="Y1245">
        <v>0.29147040000000002</v>
      </c>
      <c r="Z1245">
        <v>7.3271259999999998E-3</v>
      </c>
      <c r="AA1245">
        <v>0.95655179999999995</v>
      </c>
      <c r="AB1245">
        <v>26</v>
      </c>
      <c r="AC1245">
        <v>1.3623000000000001</v>
      </c>
      <c r="AD1245">
        <v>-1.111548544535</v>
      </c>
      <c r="AE1245">
        <v>-43.188099999999999</v>
      </c>
      <c r="AF1245">
        <v>12.650354172144599</v>
      </c>
      <c r="AG1245">
        <v>-1.111548544535</v>
      </c>
      <c r="AH1245">
        <v>41.2864112341476</v>
      </c>
      <c r="AI1245">
        <v>91.474559903740897</v>
      </c>
      <c r="AJ1245">
        <v>72.9646846660428</v>
      </c>
      <c r="AK1245">
        <v>43.1953093916771</v>
      </c>
      <c r="AL1245">
        <v>78.514502486366197</v>
      </c>
      <c r="AM1245">
        <v>77.492804426968206</v>
      </c>
      <c r="AN1245">
        <v>1.0000000337599999</v>
      </c>
    </row>
    <row r="1246" spans="1:40" x14ac:dyDescent="0.25">
      <c r="A1246" t="str">
        <f>"20190303170520808"</f>
        <v>20190303170520808</v>
      </c>
      <c r="B1246" t="str">
        <f>"1551603920795509"</f>
        <v>1551603920795509</v>
      </c>
      <c r="C1246" t="s">
        <v>40</v>
      </c>
      <c r="D1246">
        <v>5.6184710000000004</v>
      </c>
      <c r="E1246">
        <v>0.53392469999999903</v>
      </c>
      <c r="F1246" t="s">
        <v>41</v>
      </c>
      <c r="G1246">
        <v>-192.34780000000001</v>
      </c>
      <c r="H1246" s="1">
        <v>-1.142665E-6</v>
      </c>
      <c r="I1246">
        <v>310.68740000000003</v>
      </c>
      <c r="J1246">
        <v>-193.49459999999999</v>
      </c>
      <c r="K1246">
        <v>1.1115699999999999</v>
      </c>
      <c r="L1246">
        <v>352.14069999999998</v>
      </c>
      <c r="M1246">
        <v>0.30996810000000002</v>
      </c>
      <c r="N1246">
        <v>-1.5722679999999999E-2</v>
      </c>
      <c r="O1246">
        <v>-0.95061680000000004</v>
      </c>
      <c r="P1246">
        <v>0.1028403</v>
      </c>
      <c r="Q1246">
        <v>0.18878519999999999</v>
      </c>
      <c r="R1246">
        <v>-0.97661889999999996</v>
      </c>
      <c r="S1246">
        <v>8.9691160000000006E-2</v>
      </c>
      <c r="T1246">
        <v>-8.214378E-2</v>
      </c>
      <c r="U1246">
        <v>-3.0813290000000002</v>
      </c>
      <c r="V1246">
        <v>0.20983760000000001</v>
      </c>
      <c r="W1246">
        <v>0.19886290000000001</v>
      </c>
      <c r="X1246">
        <v>0.95729920000000002</v>
      </c>
      <c r="Y1246">
        <v>0.28211619999999998</v>
      </c>
      <c r="Z1246">
        <v>8.4890219999999902E-3</v>
      </c>
      <c r="AA1246">
        <v>0.95934269999999999</v>
      </c>
      <c r="AB1246">
        <v>26</v>
      </c>
      <c r="AC1246">
        <v>1.1467999999999801</v>
      </c>
      <c r="AD1246">
        <v>-1.1115711426649999</v>
      </c>
      <c r="AE1246">
        <v>-41.453299999999899</v>
      </c>
      <c r="AF1246">
        <v>11.7520448147739</v>
      </c>
      <c r="AG1246">
        <v>-1.1115711426649999</v>
      </c>
      <c r="AH1246">
        <v>39.738044160985297</v>
      </c>
      <c r="AI1246">
        <v>91.536534989331201</v>
      </c>
      <c r="AJ1246">
        <v>73.525055961303806</v>
      </c>
      <c r="AK1246">
        <v>41.454291713573902</v>
      </c>
      <c r="AL1246">
        <v>78.529527772881295</v>
      </c>
      <c r="AM1246">
        <v>77.6364455349688</v>
      </c>
      <c r="AN1246">
        <v>1.0000000148454</v>
      </c>
    </row>
    <row r="1247" spans="1:40" x14ac:dyDescent="0.25">
      <c r="A1247" t="str">
        <f>"20190303170520830"</f>
        <v>20190303170520830</v>
      </c>
      <c r="B1247" t="str">
        <f>"1551603920815990"</f>
        <v>1551603920815990</v>
      </c>
      <c r="C1247" t="s">
        <v>40</v>
      </c>
      <c r="D1247">
        <v>5.6993169999999997</v>
      </c>
      <c r="E1247">
        <v>0.53207919999999997</v>
      </c>
      <c r="F1247" t="s">
        <v>41</v>
      </c>
      <c r="G1247">
        <v>-192.50380000000001</v>
      </c>
      <c r="H1247" s="1">
        <v>-1.6372369999999999E-6</v>
      </c>
      <c r="I1247">
        <v>311.64589999999998</v>
      </c>
      <c r="J1247">
        <v>-193.42840000000001</v>
      </c>
      <c r="K1247">
        <v>1.1116010000000001</v>
      </c>
      <c r="L1247">
        <v>351.88729999999998</v>
      </c>
      <c r="M1247">
        <v>0.29642030000000003</v>
      </c>
      <c r="N1247">
        <v>-1.571434E-2</v>
      </c>
      <c r="O1247">
        <v>-0.95492829999999995</v>
      </c>
      <c r="P1247">
        <v>9.1913010000000003E-2</v>
      </c>
      <c r="Q1247">
        <v>0.188359</v>
      </c>
      <c r="R1247">
        <v>-0.97778989999999999</v>
      </c>
      <c r="S1247">
        <v>7.5363159999999998E-2</v>
      </c>
      <c r="T1247">
        <v>-8.4550620000000007E-2</v>
      </c>
      <c r="U1247">
        <v>-3.0802</v>
      </c>
      <c r="V1247">
        <v>0.20691950000000001</v>
      </c>
      <c r="W1247">
        <v>0.19852600000000001</v>
      </c>
      <c r="X1247">
        <v>0.95800410000000003</v>
      </c>
      <c r="Y1247">
        <v>0.27291320000000002</v>
      </c>
      <c r="Z1247">
        <v>9.4136289999999997E-3</v>
      </c>
      <c r="AA1247">
        <v>0.96199259999999998</v>
      </c>
      <c r="AB1247">
        <v>26</v>
      </c>
      <c r="AC1247">
        <v>0.92459999999999798</v>
      </c>
      <c r="AD1247">
        <v>-1.111602637237</v>
      </c>
      <c r="AE1247">
        <v>-40.241399999999999</v>
      </c>
      <c r="AF1247">
        <v>11.0383868330568</v>
      </c>
      <c r="AG1247">
        <v>-1.111602637237</v>
      </c>
      <c r="AH1247">
        <v>38.677004520062702</v>
      </c>
      <c r="AI1247">
        <v>91.583088032891098</v>
      </c>
      <c r="AJ1247">
        <v>74.071295134945402</v>
      </c>
      <c r="AK1247">
        <v>40.236703678908199</v>
      </c>
      <c r="AL1247">
        <v>78.549223875907302</v>
      </c>
      <c r="AM1247">
        <v>77.811903105995597</v>
      </c>
      <c r="AN1247">
        <v>1.0000000538865199</v>
      </c>
    </row>
    <row r="1248" spans="1:40" x14ac:dyDescent="0.25">
      <c r="A1248" t="str">
        <f>"20190303170520853"</f>
        <v>20190303170520853</v>
      </c>
      <c r="B1248" t="str">
        <f>"1551603920846245"</f>
        <v>1551603920846245</v>
      </c>
      <c r="C1248" t="s">
        <v>40</v>
      </c>
      <c r="D1248">
        <v>5.6516970000000004</v>
      </c>
      <c r="E1248">
        <v>0.52923149999999997</v>
      </c>
      <c r="F1248" t="s">
        <v>41</v>
      </c>
      <c r="G1248">
        <v>-192.72659999999999</v>
      </c>
      <c r="H1248" s="1">
        <v>-2.4325450000000002E-6</v>
      </c>
      <c r="I1248">
        <v>313.2029</v>
      </c>
      <c r="J1248">
        <v>-193.36420000000001</v>
      </c>
      <c r="K1248">
        <v>1.111632</v>
      </c>
      <c r="L1248">
        <v>351.62569999999999</v>
      </c>
      <c r="M1248">
        <v>0.28243089999999998</v>
      </c>
      <c r="N1248">
        <v>-1.5704909999999999E-2</v>
      </c>
      <c r="O1248">
        <v>-0.95915910000000004</v>
      </c>
      <c r="P1248">
        <v>8.0557400000000001E-2</v>
      </c>
      <c r="Q1248">
        <v>0.18703890000000001</v>
      </c>
      <c r="R1248">
        <v>-0.97904429999999998</v>
      </c>
      <c r="S1248">
        <v>5.5877690000000001E-2</v>
      </c>
      <c r="T1248">
        <v>-8.850384E-2</v>
      </c>
      <c r="U1248">
        <v>-3.079987</v>
      </c>
      <c r="V1248">
        <v>0.2040479</v>
      </c>
      <c r="W1248">
        <v>0.1972981</v>
      </c>
      <c r="X1248">
        <v>0.95887330000000004</v>
      </c>
      <c r="Y1248">
        <v>0.26492389999999999</v>
      </c>
      <c r="Z1248">
        <v>1.0794420000000001E-2</v>
      </c>
      <c r="AA1248">
        <v>0.96420890000000004</v>
      </c>
      <c r="AB1248">
        <v>26</v>
      </c>
      <c r="AC1248">
        <v>0.63760000000002004</v>
      </c>
      <c r="AD1248">
        <v>-1.1116344325450001</v>
      </c>
      <c r="AE1248">
        <v>-38.422800000000002</v>
      </c>
      <c r="AF1248">
        <v>10.232926029371299</v>
      </c>
      <c r="AG1248">
        <v>-1.1116344325450001</v>
      </c>
      <c r="AH1248">
        <v>37.007255437407899</v>
      </c>
      <c r="AI1248">
        <v>91.658356109534097</v>
      </c>
      <c r="AJ1248">
        <v>74.543274357992999</v>
      </c>
      <c r="AK1248">
        <v>38.412048386460199</v>
      </c>
      <c r="AL1248">
        <v>78.620996958427199</v>
      </c>
      <c r="AM1248">
        <v>77.986674940864802</v>
      </c>
      <c r="AN1248">
        <v>1.0000000456054501</v>
      </c>
    </row>
    <row r="1249" spans="1:40" x14ac:dyDescent="0.25">
      <c r="A1249" t="str">
        <f>"20190303170520876"</f>
        <v>20190303170520876</v>
      </c>
      <c r="B1249" t="str">
        <f>"1551603920865765"</f>
        <v>1551603920865765</v>
      </c>
      <c r="C1249" t="s">
        <v>40</v>
      </c>
      <c r="D1249">
        <v>5.6500019999999997</v>
      </c>
      <c r="E1249">
        <v>0.52838879999999999</v>
      </c>
      <c r="F1249" t="s">
        <v>41</v>
      </c>
      <c r="G1249">
        <v>-192.8724</v>
      </c>
      <c r="H1249" s="1">
        <v>-3.4970020000000002E-6</v>
      </c>
      <c r="I1249">
        <v>315.37270000000001</v>
      </c>
      <c r="J1249">
        <v>-193.30410000000001</v>
      </c>
      <c r="K1249">
        <v>1.1116839999999999</v>
      </c>
      <c r="L1249">
        <v>351.36529999999999</v>
      </c>
      <c r="M1249">
        <v>0.26852389999999998</v>
      </c>
      <c r="N1249">
        <v>-1.5693479999999999E-2</v>
      </c>
      <c r="O1249">
        <v>-0.96314529999999998</v>
      </c>
      <c r="P1249">
        <v>6.8393109999999993E-2</v>
      </c>
      <c r="Q1249">
        <v>0.18734329999999999</v>
      </c>
      <c r="R1249">
        <v>-0.97991070000000002</v>
      </c>
      <c r="S1249">
        <v>4.1763309999999998E-2</v>
      </c>
      <c r="T1249">
        <v>-9.44078E-2</v>
      </c>
      <c r="U1249">
        <v>-3.0788570000000002</v>
      </c>
      <c r="V1249">
        <v>0.2020431</v>
      </c>
      <c r="W1249">
        <v>0.19766880000000001</v>
      </c>
      <c r="X1249">
        <v>0.9592214</v>
      </c>
      <c r="Y1249">
        <v>0.25537219999999999</v>
      </c>
      <c r="Z1249">
        <v>1.2791240000000001E-2</v>
      </c>
      <c r="AA1249">
        <v>0.96675820000000001</v>
      </c>
      <c r="AB1249">
        <v>25</v>
      </c>
      <c r="AC1249">
        <v>0.43170000000000602</v>
      </c>
      <c r="AD1249">
        <v>-1.1116874970020001</v>
      </c>
      <c r="AE1249">
        <v>-35.992599999999896</v>
      </c>
      <c r="AF1249">
        <v>9.2414067144927206</v>
      </c>
      <c r="AG1249">
        <v>-1.1116874970020001</v>
      </c>
      <c r="AH1249">
        <v>34.753156048453299</v>
      </c>
      <c r="AI1249">
        <v>91.770666045124798</v>
      </c>
      <c r="AJ1249">
        <v>75.108765747121595</v>
      </c>
      <c r="AK1249">
        <v>35.978066964218797</v>
      </c>
      <c r="AL1249">
        <v>78.599330560644404</v>
      </c>
      <c r="AM1249">
        <v>78.105522188162794</v>
      </c>
      <c r="AN1249">
        <v>1.0000000314844999</v>
      </c>
    </row>
    <row r="1250" spans="1:40" x14ac:dyDescent="0.25">
      <c r="A1250" t="str">
        <f>"20190303170520897"</f>
        <v>20190303170520897</v>
      </c>
      <c r="B1250" t="str">
        <f>"1551603920885735"</f>
        <v>1551603920885735</v>
      </c>
      <c r="C1250" t="s">
        <v>40</v>
      </c>
      <c r="D1250">
        <v>5.6841609999999996</v>
      </c>
      <c r="E1250">
        <v>0.52763159999999998</v>
      </c>
      <c r="F1250" t="s">
        <v>41</v>
      </c>
      <c r="G1250">
        <v>-193.18270000000001</v>
      </c>
      <c r="H1250" s="1">
        <v>-3.7372360000000001E-6</v>
      </c>
      <c r="I1250">
        <v>315.70620000000002</v>
      </c>
      <c r="J1250">
        <v>-193.25149999999999</v>
      </c>
      <c r="K1250">
        <v>1.111745</v>
      </c>
      <c r="L1250">
        <v>351.12200000000001</v>
      </c>
      <c r="M1250">
        <v>0.25557999999999997</v>
      </c>
      <c r="N1250">
        <v>-1.5679619999999998E-2</v>
      </c>
      <c r="O1250">
        <v>-0.96666079999999999</v>
      </c>
      <c r="P1250">
        <v>5.7518899999999998E-2</v>
      </c>
      <c r="Q1250">
        <v>0.1874149</v>
      </c>
      <c r="R1250">
        <v>-0.98059540000000001</v>
      </c>
      <c r="S1250">
        <v>1.0482790000000001E-2</v>
      </c>
      <c r="T1250">
        <v>-9.5992450000000007E-2</v>
      </c>
      <c r="U1250">
        <v>-3.0791019999999998</v>
      </c>
      <c r="V1250">
        <v>0.19977629999999999</v>
      </c>
      <c r="W1250">
        <v>0.1978193</v>
      </c>
      <c r="X1250">
        <v>0.95966510000000005</v>
      </c>
      <c r="Y1250">
        <v>0.25222319999999998</v>
      </c>
      <c r="Z1250">
        <v>1.3435549999999999E-2</v>
      </c>
      <c r="AA1250">
        <v>0.96757579999999999</v>
      </c>
      <c r="AB1250">
        <v>25</v>
      </c>
      <c r="AC1250">
        <v>6.8799999999981695E-2</v>
      </c>
      <c r="AD1250">
        <v>-1.111748737236</v>
      </c>
      <c r="AE1250">
        <v>-35.415799999999898</v>
      </c>
      <c r="AF1250">
        <v>8.97732184081638</v>
      </c>
      <c r="AG1250">
        <v>-1.111748737236</v>
      </c>
      <c r="AH1250">
        <v>34.223135364889799</v>
      </c>
      <c r="AI1250">
        <v>91.799766965973106</v>
      </c>
      <c r="AJ1250">
        <v>75.301487517815005</v>
      </c>
      <c r="AK1250">
        <v>35.398464470820201</v>
      </c>
      <c r="AL1250">
        <v>78.590534344513202</v>
      </c>
      <c r="AM1250">
        <v>78.240519239571995</v>
      </c>
      <c r="AN1250">
        <v>1.00000007482609</v>
      </c>
    </row>
    <row r="1251" spans="1:40" x14ac:dyDescent="0.25">
      <c r="A1251" t="str">
        <f>"20190303170520919"</f>
        <v>20190303170520919</v>
      </c>
      <c r="B1251" t="str">
        <f>"1551603920906232"</f>
        <v>1551603920906232</v>
      </c>
      <c r="C1251" t="s">
        <v>40</v>
      </c>
      <c r="D1251">
        <v>5.6740250000000003</v>
      </c>
      <c r="E1251">
        <v>0.51131720000000003</v>
      </c>
      <c r="F1251" t="s">
        <v>41</v>
      </c>
      <c r="G1251">
        <v>-193.43450000000001</v>
      </c>
      <c r="H1251" s="1">
        <v>-3.744065E-6</v>
      </c>
      <c r="I1251">
        <v>315.57889999999998</v>
      </c>
      <c r="J1251">
        <v>-193.202</v>
      </c>
      <c r="K1251">
        <v>1.1118319999999999</v>
      </c>
      <c r="L1251">
        <v>350.87740000000002</v>
      </c>
      <c r="M1251">
        <v>0.24264289999999999</v>
      </c>
      <c r="N1251">
        <v>-1.5660830000000001E-2</v>
      </c>
      <c r="O1251">
        <v>-0.9699892</v>
      </c>
      <c r="P1251">
        <v>4.704796E-2</v>
      </c>
      <c r="Q1251">
        <v>0.1870909</v>
      </c>
      <c r="R1251">
        <v>-0.98121550000000002</v>
      </c>
      <c r="S1251">
        <v>-1.5853880000000001E-2</v>
      </c>
      <c r="T1251">
        <v>-9.6298339999999996E-2</v>
      </c>
      <c r="U1251">
        <v>-3.0787049999999998</v>
      </c>
      <c r="V1251">
        <v>0.19715469999999999</v>
      </c>
      <c r="W1251">
        <v>0.1975903</v>
      </c>
      <c r="X1251">
        <v>0.96025419999999995</v>
      </c>
      <c r="Y1251">
        <v>0.2475707</v>
      </c>
      <c r="Z1251">
        <v>1.3708110000000001E-2</v>
      </c>
      <c r="AA1251">
        <v>0.96877279999999999</v>
      </c>
      <c r="AB1251">
        <v>25</v>
      </c>
      <c r="AC1251">
        <v>-0.232500000000015</v>
      </c>
      <c r="AD1251">
        <v>-1.111835744065</v>
      </c>
      <c r="AE1251">
        <v>-35.298499999999997</v>
      </c>
      <c r="AF1251">
        <v>8.7828182486180797</v>
      </c>
      <c r="AG1251">
        <v>-1.111835744065</v>
      </c>
      <c r="AH1251">
        <v>34.1530610487454</v>
      </c>
      <c r="AI1251">
        <v>91.805861316991695</v>
      </c>
      <c r="AJ1251">
        <v>75.578278721683006</v>
      </c>
      <c r="AK1251">
        <v>35.281803441850499</v>
      </c>
      <c r="AL1251">
        <v>78.603918588953306</v>
      </c>
      <c r="AM1251">
        <v>78.397548326923399</v>
      </c>
      <c r="AN1251">
        <v>1.0000000155019</v>
      </c>
    </row>
    <row r="1252" spans="1:40" x14ac:dyDescent="0.25">
      <c r="A1252" t="str">
        <f>"20190303170520944"</f>
        <v>20190303170520944</v>
      </c>
      <c r="B1252" t="str">
        <f>"1551603920935511"</f>
        <v>1551603920935511</v>
      </c>
      <c r="C1252" t="s">
        <v>40</v>
      </c>
      <c r="D1252">
        <v>5.6677119999999999</v>
      </c>
      <c r="E1252">
        <v>0.50909020000000005</v>
      </c>
      <c r="F1252" t="s">
        <v>41</v>
      </c>
      <c r="G1252">
        <v>-192.4537</v>
      </c>
      <c r="H1252" s="1">
        <v>-2.316975E-6</v>
      </c>
      <c r="I1252">
        <v>323.46820000000002</v>
      </c>
      <c r="J1252">
        <v>-193.14920000000001</v>
      </c>
      <c r="K1252">
        <v>1.1119829999999999</v>
      </c>
      <c r="L1252">
        <v>350.59750000000003</v>
      </c>
      <c r="M1252">
        <v>0.22799469999999999</v>
      </c>
      <c r="N1252">
        <v>-1.5631519999999999E-2</v>
      </c>
      <c r="O1252">
        <v>-0.97353690000000004</v>
      </c>
      <c r="P1252">
        <v>3.5354759999999999E-2</v>
      </c>
      <c r="Q1252">
        <v>0.18509890000000001</v>
      </c>
      <c r="R1252">
        <v>-0.9820837</v>
      </c>
      <c r="S1252">
        <v>8.4014889999999995E-2</v>
      </c>
      <c r="T1252">
        <v>-0.12482459999999999</v>
      </c>
      <c r="U1252">
        <v>-3.0772089999999999</v>
      </c>
      <c r="V1252">
        <v>0.19408110000000001</v>
      </c>
      <c r="W1252">
        <v>0.19572390000000001</v>
      </c>
      <c r="X1252">
        <v>0.96126199999999995</v>
      </c>
      <c r="Y1252">
        <v>0.20128070000000001</v>
      </c>
      <c r="Z1252">
        <v>2.2935199999999999E-2</v>
      </c>
      <c r="AA1252">
        <v>0.9792651</v>
      </c>
      <c r="AB1252">
        <v>25</v>
      </c>
      <c r="AC1252">
        <v>0.695500000000009</v>
      </c>
      <c r="AD1252">
        <v>-1.111985316975</v>
      </c>
      <c r="AE1252">
        <v>-27.129300000000001</v>
      </c>
      <c r="AF1252">
        <v>5.4996810705742902</v>
      </c>
      <c r="AG1252">
        <v>-1.111985316975</v>
      </c>
      <c r="AH1252">
        <v>26.528651272722701</v>
      </c>
      <c r="AI1252">
        <v>92.350310719250103</v>
      </c>
      <c r="AJ1252">
        <v>78.287861634637096</v>
      </c>
      <c r="AK1252">
        <v>27.115536903645001</v>
      </c>
      <c r="AL1252">
        <v>78.712984809430907</v>
      </c>
      <c r="AM1252">
        <v>78.585299045752393</v>
      </c>
      <c r="AN1252">
        <v>0.99999997552620901</v>
      </c>
    </row>
    <row r="1253" spans="1:40" x14ac:dyDescent="0.25">
      <c r="A1253" t="str">
        <f>"20190303170520966"</f>
        <v>20190303170520966</v>
      </c>
      <c r="B1253" t="str">
        <f>"1551603920956007"</f>
        <v>1551603920956007</v>
      </c>
      <c r="C1253" t="s">
        <v>40</v>
      </c>
      <c r="D1253">
        <v>5.6796829999999998</v>
      </c>
      <c r="E1253">
        <v>0.50819049999999999</v>
      </c>
      <c r="F1253" t="s">
        <v>41</v>
      </c>
      <c r="G1253">
        <v>-192.63310000000001</v>
      </c>
      <c r="H1253" s="1">
        <v>-3.4808319999999998E-6</v>
      </c>
      <c r="I1253">
        <v>326.06990000000002</v>
      </c>
      <c r="J1253">
        <v>-193.1044</v>
      </c>
      <c r="K1253">
        <v>1.1121540000000001</v>
      </c>
      <c r="L1253">
        <v>350.33859999999999</v>
      </c>
      <c r="M1253">
        <v>0.2146566</v>
      </c>
      <c r="N1253">
        <v>-1.559456E-2</v>
      </c>
      <c r="O1253">
        <v>-0.97656520000000002</v>
      </c>
      <c r="P1253">
        <v>2.3364300000000001E-2</v>
      </c>
      <c r="Q1253">
        <v>0.1846739</v>
      </c>
      <c r="R1253">
        <v>-0.98252240000000002</v>
      </c>
      <c r="S1253">
        <v>6.4788819999999997E-2</v>
      </c>
      <c r="T1253">
        <v>-0.1395766</v>
      </c>
      <c r="U1253">
        <v>-3.0787049999999998</v>
      </c>
      <c r="V1253">
        <v>0.19258430000000001</v>
      </c>
      <c r="W1253">
        <v>0.1953839</v>
      </c>
      <c r="X1253">
        <v>0.96163220000000005</v>
      </c>
      <c r="Y1253">
        <v>0.19399939999999999</v>
      </c>
      <c r="Z1253">
        <v>2.772407E-2</v>
      </c>
      <c r="AA1253">
        <v>0.98060979999999998</v>
      </c>
      <c r="AB1253">
        <v>25</v>
      </c>
      <c r="AC1253">
        <v>0.47129999999998501</v>
      </c>
      <c r="AD1253">
        <v>-1.1121574808319901</v>
      </c>
      <c r="AE1253">
        <v>-24.2686999999999</v>
      </c>
      <c r="AF1253">
        <v>4.73980816295584</v>
      </c>
      <c r="AG1253">
        <v>-1.1121574808319901</v>
      </c>
      <c r="AH1253">
        <v>23.754160089258299</v>
      </c>
      <c r="AI1253">
        <v>92.628853498235699</v>
      </c>
      <c r="AJ1253">
        <v>78.715637002346099</v>
      </c>
      <c r="AK1253">
        <v>24.247944185639899</v>
      </c>
      <c r="AL1253">
        <v>78.732849565323605</v>
      </c>
      <c r="AM1253">
        <v>78.675295438529204</v>
      </c>
      <c r="AN1253">
        <v>1.0000000345312601</v>
      </c>
    </row>
    <row r="1254" spans="1:40" x14ac:dyDescent="0.25">
      <c r="A1254" t="str">
        <f>"20190303170520987"</f>
        <v>20190303170520987</v>
      </c>
      <c r="B1254" t="str">
        <f>"1551603920975528"</f>
        <v>1551603920975528</v>
      </c>
      <c r="C1254" t="s">
        <v>40</v>
      </c>
      <c r="D1254">
        <v>5.6818119999999999</v>
      </c>
      <c r="E1254">
        <v>0.50740459999999998</v>
      </c>
      <c r="F1254" t="s">
        <v>41</v>
      </c>
      <c r="G1254">
        <v>-192.8501</v>
      </c>
      <c r="H1254" s="1">
        <v>-3.8631109999999996E-6</v>
      </c>
      <c r="I1254">
        <v>326.85309999999998</v>
      </c>
      <c r="J1254">
        <v>-193.0667</v>
      </c>
      <c r="K1254">
        <v>1.112314</v>
      </c>
      <c r="L1254">
        <v>350.10489999999999</v>
      </c>
      <c r="M1254">
        <v>0.20277539999999999</v>
      </c>
      <c r="N1254">
        <v>-1.5557140000000001E-2</v>
      </c>
      <c r="O1254">
        <v>-0.97910180000000002</v>
      </c>
      <c r="P1254">
        <v>1.410287E-2</v>
      </c>
      <c r="Q1254">
        <v>0.18399009999999999</v>
      </c>
      <c r="R1254">
        <v>-0.98282700000000001</v>
      </c>
      <c r="S1254">
        <v>3.3355709999999997E-2</v>
      </c>
      <c r="T1254">
        <v>-0.1458546</v>
      </c>
      <c r="U1254">
        <v>-3.0800169999999998</v>
      </c>
      <c r="V1254">
        <v>0.1898849</v>
      </c>
      <c r="W1254">
        <v>0.19481190000000001</v>
      </c>
      <c r="X1254">
        <v>0.96228480000000005</v>
      </c>
      <c r="Y1254">
        <v>0.19209200000000001</v>
      </c>
      <c r="Z1254">
        <v>2.9858989999999998E-2</v>
      </c>
      <c r="AA1254">
        <v>0.98092259999999998</v>
      </c>
      <c r="AB1254">
        <v>25</v>
      </c>
      <c r="AC1254">
        <v>0.21659999999999899</v>
      </c>
      <c r="AD1254">
        <v>-1.112317863111</v>
      </c>
      <c r="AE1254">
        <v>-23.251799999999999</v>
      </c>
      <c r="AF1254">
        <v>4.4930827112522902</v>
      </c>
      <c r="AG1254">
        <v>-1.112317863111</v>
      </c>
      <c r="AH1254">
        <v>22.760476535880699</v>
      </c>
      <c r="AI1254">
        <v>92.744961910437993</v>
      </c>
      <c r="AJ1254">
        <v>78.832979414505999</v>
      </c>
      <c r="AK1254">
        <v>23.226371550871299</v>
      </c>
      <c r="AL1254">
        <v>78.766264404980802</v>
      </c>
      <c r="AM1254">
        <v>78.837396815972994</v>
      </c>
      <c r="AN1254">
        <v>0.99999999397033001</v>
      </c>
    </row>
    <row r="1255" spans="1:40" x14ac:dyDescent="0.25">
      <c r="A1255" t="str">
        <f>"20190303170521009"</f>
        <v>20190303170521009</v>
      </c>
      <c r="B1255" t="str">
        <f>"1551603920995343"</f>
        <v>1551603920995343</v>
      </c>
      <c r="C1255" t="s">
        <v>40</v>
      </c>
      <c r="D1255">
        <v>5.7114419999999999</v>
      </c>
      <c r="E1255">
        <v>0.50616830000000002</v>
      </c>
      <c r="F1255" t="s">
        <v>41</v>
      </c>
      <c r="G1255">
        <v>-192.97399999999999</v>
      </c>
      <c r="H1255" s="1">
        <v>-4.2559500000000003E-6</v>
      </c>
      <c r="I1255">
        <v>327.94290000000001</v>
      </c>
      <c r="J1255">
        <v>-193.03020000000001</v>
      </c>
      <c r="K1255">
        <v>1.1125050000000001</v>
      </c>
      <c r="L1255">
        <v>349.85989999999998</v>
      </c>
      <c r="M1255">
        <v>0.1905328</v>
      </c>
      <c r="N1255">
        <v>-1.551546E-2</v>
      </c>
      <c r="O1255">
        <v>-0.98155840000000005</v>
      </c>
      <c r="P1255">
        <v>4.5628739999999997E-3</v>
      </c>
      <c r="Q1255">
        <v>0.18397450000000001</v>
      </c>
      <c r="R1255">
        <v>-0.98292069999999998</v>
      </c>
      <c r="S1255">
        <v>1.2893679999999999E-2</v>
      </c>
      <c r="T1255">
        <v>-0.15464720000000001</v>
      </c>
      <c r="U1255">
        <v>-3.081207</v>
      </c>
      <c r="V1255">
        <v>0.18710769999999999</v>
      </c>
      <c r="W1255">
        <v>0.1949111</v>
      </c>
      <c r="X1255">
        <v>0.96280849999999996</v>
      </c>
      <c r="Y1255">
        <v>0.18635070000000001</v>
      </c>
      <c r="Z1255">
        <v>3.2815520000000001E-2</v>
      </c>
      <c r="AA1255">
        <v>0.98193509999999995</v>
      </c>
      <c r="AB1255">
        <v>25</v>
      </c>
      <c r="AC1255">
        <v>5.61999999999898E-2</v>
      </c>
      <c r="AD1255">
        <v>-1.1125092559499901</v>
      </c>
      <c r="AE1255">
        <v>-21.916999999999899</v>
      </c>
      <c r="AF1255">
        <v>4.1106477370818499</v>
      </c>
      <c r="AG1255">
        <v>-1.1125092559499901</v>
      </c>
      <c r="AH1255">
        <v>21.470789530434299</v>
      </c>
      <c r="AI1255">
        <v>92.913310540862696</v>
      </c>
      <c r="AJ1255">
        <v>79.161702517487598</v>
      </c>
      <c r="AK1255">
        <v>21.889036176203799</v>
      </c>
      <c r="AL1255">
        <v>78.760468716157504</v>
      </c>
      <c r="AM1255">
        <v>79.002483742231703</v>
      </c>
      <c r="AN1255">
        <v>0.99999991798737098</v>
      </c>
    </row>
    <row r="1256" spans="1:40" x14ac:dyDescent="0.25">
      <c r="A1256" t="str">
        <f>"20190303170521032"</f>
        <v>20190303170521032</v>
      </c>
      <c r="B1256" t="str">
        <f>"1551603921025599"</f>
        <v>1551603921025599</v>
      </c>
      <c r="C1256" t="s">
        <v>40</v>
      </c>
      <c r="D1256">
        <v>5.7156949999999904</v>
      </c>
      <c r="E1256">
        <v>0.50450459999999997</v>
      </c>
      <c r="F1256" t="s">
        <v>41</v>
      </c>
      <c r="G1256">
        <v>-193.06530000000001</v>
      </c>
      <c r="H1256" s="1">
        <v>-4.3523429999999999E-6</v>
      </c>
      <c r="I1256">
        <v>328.17860000000002</v>
      </c>
      <c r="J1256">
        <v>-192.99289999999999</v>
      </c>
      <c r="K1256">
        <v>1.1127499999999999</v>
      </c>
      <c r="L1256">
        <v>349.58780000000002</v>
      </c>
      <c r="M1256">
        <v>0.17724570000000001</v>
      </c>
      <c r="N1256">
        <v>-1.546378E-2</v>
      </c>
      <c r="O1256">
        <v>-0.98404530000000001</v>
      </c>
      <c r="P1256">
        <v>-5.0228620000000003E-3</v>
      </c>
      <c r="Q1256">
        <v>0.18334030000000001</v>
      </c>
      <c r="R1256">
        <v>-0.98303689999999999</v>
      </c>
      <c r="S1256">
        <v>-4.9896239999999998E-3</v>
      </c>
      <c r="T1256">
        <v>-0.15813079999999999</v>
      </c>
      <c r="U1256">
        <v>-3.0817570000000001</v>
      </c>
      <c r="V1256">
        <v>0.1833631</v>
      </c>
      <c r="W1256">
        <v>0.19442470000000001</v>
      </c>
      <c r="X1256">
        <v>0.96362700000000001</v>
      </c>
      <c r="Y1256">
        <v>0.17876439999999999</v>
      </c>
      <c r="Z1256">
        <v>3.4163150000000003E-2</v>
      </c>
      <c r="AA1256">
        <v>0.98329860000000002</v>
      </c>
      <c r="AB1256">
        <v>25</v>
      </c>
      <c r="AC1256">
        <v>-7.2400000000015993E-2</v>
      </c>
      <c r="AD1256">
        <v>-1.1127543523429999</v>
      </c>
      <c r="AE1256">
        <v>-21.409199999999998</v>
      </c>
      <c r="AF1256">
        <v>3.8559785802650901</v>
      </c>
      <c r="AG1256">
        <v>-1.1127543523429999</v>
      </c>
      <c r="AH1256">
        <v>21.000573086423501</v>
      </c>
      <c r="AI1256">
        <v>92.983306801555898</v>
      </c>
      <c r="AJ1256">
        <v>79.595639361065594</v>
      </c>
      <c r="AK1256">
        <v>21.380618864250302</v>
      </c>
      <c r="AL1256">
        <v>78.788881783427996</v>
      </c>
      <c r="AM1256">
        <v>79.226311470427007</v>
      </c>
      <c r="AN1256">
        <v>0.99999999277034901</v>
      </c>
    </row>
    <row r="1257" spans="1:40" x14ac:dyDescent="0.25">
      <c r="A1257" t="str">
        <f>"20190303170521054"</f>
        <v>20190303170521054</v>
      </c>
      <c r="B1257" t="str">
        <f>"1551603921046095"</f>
        <v>1551603921046095</v>
      </c>
      <c r="C1257" t="s">
        <v>40</v>
      </c>
      <c r="D1257">
        <v>5.7168739999999998</v>
      </c>
      <c r="E1257">
        <v>0.50321470000000001</v>
      </c>
      <c r="F1257" t="s">
        <v>41</v>
      </c>
      <c r="G1257">
        <v>-193.14250000000001</v>
      </c>
      <c r="H1257" s="1">
        <v>-4.52212E-6</v>
      </c>
      <c r="I1257">
        <v>328.63720000000001</v>
      </c>
      <c r="J1257">
        <v>-192.9607</v>
      </c>
      <c r="K1257">
        <v>1.113002</v>
      </c>
      <c r="L1257">
        <v>349.33049999999997</v>
      </c>
      <c r="M1257">
        <v>0.16501779999999999</v>
      </c>
      <c r="N1257">
        <v>-1.5407489999999999E-2</v>
      </c>
      <c r="O1257">
        <v>-0.98617030000000006</v>
      </c>
      <c r="P1257">
        <v>-1.224329E-2</v>
      </c>
      <c r="Q1257">
        <v>0.18242359999999999</v>
      </c>
      <c r="R1257">
        <v>-0.98314400000000002</v>
      </c>
      <c r="S1257">
        <v>-2.2003169999999999E-2</v>
      </c>
      <c r="T1257">
        <v>-0.1637052</v>
      </c>
      <c r="U1257">
        <v>-3.0821839999999998</v>
      </c>
      <c r="V1257">
        <v>0.1783537</v>
      </c>
      <c r="W1257">
        <v>0.1936823</v>
      </c>
      <c r="X1257">
        <v>0.96471609999999997</v>
      </c>
      <c r="Y1257">
        <v>0.1719763</v>
      </c>
      <c r="Z1257">
        <v>3.615111E-2</v>
      </c>
      <c r="AA1257">
        <v>0.98443749999999997</v>
      </c>
      <c r="AB1257">
        <v>25</v>
      </c>
      <c r="AC1257">
        <v>-0.18180000000000901</v>
      </c>
      <c r="AD1257">
        <v>-1.1130065221200001</v>
      </c>
      <c r="AE1257">
        <v>-20.693299999999901</v>
      </c>
      <c r="AF1257">
        <v>3.5841073250006201</v>
      </c>
      <c r="AG1257">
        <v>-1.1130065221200001</v>
      </c>
      <c r="AH1257">
        <v>20.3207537440213</v>
      </c>
      <c r="AI1257">
        <v>93.087504781825004</v>
      </c>
      <c r="AJ1257">
        <v>79.9972376595789</v>
      </c>
      <c r="AK1257">
        <v>20.664405182839399</v>
      </c>
      <c r="AL1257">
        <v>78.832242663262406</v>
      </c>
      <c r="AM1257">
        <v>79.525602972473806</v>
      </c>
      <c r="AN1257">
        <v>1.0000000146180901</v>
      </c>
    </row>
    <row r="1258" spans="1:40" x14ac:dyDescent="0.25">
      <c r="A1258" t="str">
        <f>"20190303170521076"</f>
        <v>20190303170521076</v>
      </c>
      <c r="B1258" t="str">
        <f>"1551603921065615"</f>
        <v>1551603921065615</v>
      </c>
      <c r="C1258" t="s">
        <v>40</v>
      </c>
      <c r="D1258">
        <v>5.7384380000000004</v>
      </c>
      <c r="E1258">
        <v>0.50255300000000003</v>
      </c>
      <c r="F1258" t="s">
        <v>41</v>
      </c>
      <c r="G1258">
        <v>-193.20009999999999</v>
      </c>
      <c r="H1258" s="1">
        <v>-4.6332379999999997E-6</v>
      </c>
      <c r="I1258">
        <v>328.93369999999999</v>
      </c>
      <c r="J1258">
        <v>-192.93270000000001</v>
      </c>
      <c r="K1258">
        <v>1.1132629999999999</v>
      </c>
      <c r="L1258">
        <v>349.08539999999999</v>
      </c>
      <c r="M1258">
        <v>0.1537145</v>
      </c>
      <c r="N1258">
        <v>-1.534715E-2</v>
      </c>
      <c r="O1258">
        <v>-0.98799619999999999</v>
      </c>
      <c r="P1258">
        <v>-1.9078040000000001E-2</v>
      </c>
      <c r="Q1258">
        <v>0.18209400000000001</v>
      </c>
      <c r="R1258">
        <v>-0.98309610000000003</v>
      </c>
      <c r="S1258">
        <v>-3.616333E-2</v>
      </c>
      <c r="T1258">
        <v>-0.16818640000000001</v>
      </c>
      <c r="U1258">
        <v>-3.0821529999999999</v>
      </c>
      <c r="V1258">
        <v>0.1738751</v>
      </c>
      <c r="W1258">
        <v>0.19350970000000001</v>
      </c>
      <c r="X1258">
        <v>0.96556790000000003</v>
      </c>
      <c r="Y1258">
        <v>0.1652158</v>
      </c>
      <c r="Z1258">
        <v>3.7794599999999998E-2</v>
      </c>
      <c r="AA1258">
        <v>0.98553299999999999</v>
      </c>
      <c r="AB1258">
        <v>25</v>
      </c>
      <c r="AC1258">
        <v>-0.26739999999997999</v>
      </c>
      <c r="AD1258">
        <v>-1.1132676332379901</v>
      </c>
      <c r="AE1258">
        <v>-20.151700000000002</v>
      </c>
      <c r="AF1258">
        <v>3.3519661681089801</v>
      </c>
      <c r="AG1258">
        <v>-1.1132676332379901</v>
      </c>
      <c r="AH1258">
        <v>19.8105882857108</v>
      </c>
      <c r="AI1258">
        <v>93.171404503646102</v>
      </c>
      <c r="AJ1258">
        <v>80.396468581878693</v>
      </c>
      <c r="AK1258">
        <v>20.1229831347468</v>
      </c>
      <c r="AL1258">
        <v>78.842322018692997</v>
      </c>
      <c r="AM1258">
        <v>79.791837546533301</v>
      </c>
      <c r="AN1258">
        <v>0.99999996195225405</v>
      </c>
    </row>
    <row r="1259" spans="1:40" x14ac:dyDescent="0.25">
      <c r="A1259" t="str">
        <f>"20190303170521098"</f>
        <v>20190303170521098</v>
      </c>
      <c r="B1259" t="str">
        <f>"1551603921086111"</f>
        <v>1551603921086111</v>
      </c>
      <c r="C1259" t="s">
        <v>40</v>
      </c>
      <c r="D1259">
        <v>5.7220950000000004</v>
      </c>
      <c r="E1259">
        <v>0.48989240000000001</v>
      </c>
      <c r="F1259" t="s">
        <v>41</v>
      </c>
      <c r="G1259">
        <v>-193.28299999999999</v>
      </c>
      <c r="H1259" s="1">
        <v>-4.6287850000000003E-6</v>
      </c>
      <c r="I1259">
        <v>328.8775</v>
      </c>
      <c r="J1259">
        <v>-192.90710000000001</v>
      </c>
      <c r="K1259">
        <v>1.1135550000000001</v>
      </c>
      <c r="L1259">
        <v>348.8399</v>
      </c>
      <c r="M1259">
        <v>0.14276900000000001</v>
      </c>
      <c r="N1259">
        <v>-1.528144E-2</v>
      </c>
      <c r="O1259">
        <v>-0.98963800000000002</v>
      </c>
      <c r="P1259">
        <v>-2.5963139999999999E-2</v>
      </c>
      <c r="Q1259">
        <v>0.1830357</v>
      </c>
      <c r="R1259">
        <v>-0.98276339999999995</v>
      </c>
      <c r="S1259">
        <v>-5.342102E-2</v>
      </c>
      <c r="T1259">
        <v>-0.16979279999999999</v>
      </c>
      <c r="U1259">
        <v>-3.0820620000000001</v>
      </c>
      <c r="V1259">
        <v>0.16978869999999999</v>
      </c>
      <c r="W1259">
        <v>0.1945982</v>
      </c>
      <c r="X1259">
        <v>0.9660763</v>
      </c>
      <c r="Y1259">
        <v>0.159816299999999</v>
      </c>
      <c r="Z1259">
        <v>3.8520699999999998E-2</v>
      </c>
      <c r="AA1259">
        <v>0.98639489999999996</v>
      </c>
      <c r="AB1259">
        <v>25</v>
      </c>
      <c r="AC1259">
        <v>-0.37589999999997198</v>
      </c>
      <c r="AD1259">
        <v>-1.11355962878499</v>
      </c>
      <c r="AE1259">
        <v>-19.962399999999999</v>
      </c>
      <c r="AF1259">
        <v>3.2124007044682101</v>
      </c>
      <c r="AG1259">
        <v>-1.11355962878499</v>
      </c>
      <c r="AH1259">
        <v>19.643082498513099</v>
      </c>
      <c r="AI1259">
        <v>93.202157592545504</v>
      </c>
      <c r="AJ1259">
        <v>80.712151133012597</v>
      </c>
      <c r="AK1259">
        <v>19.935150447797501</v>
      </c>
      <c r="AL1259">
        <v>78.778747935493698</v>
      </c>
      <c r="AM1259">
        <v>80.032019417322601</v>
      </c>
      <c r="AN1259">
        <v>1.0000000397563</v>
      </c>
    </row>
    <row r="1260" spans="1:40" x14ac:dyDescent="0.25">
      <c r="A1260" t="str">
        <f>"20190303170521121"</f>
        <v>20190303170521121</v>
      </c>
      <c r="B1260" t="str">
        <f>"1551603921115391"</f>
        <v>1551603921115391</v>
      </c>
      <c r="C1260" t="s">
        <v>40</v>
      </c>
      <c r="D1260">
        <v>5.8126699999999998</v>
      </c>
      <c r="E1260">
        <v>0.48756060000000001</v>
      </c>
      <c r="F1260" t="s">
        <v>41</v>
      </c>
      <c r="G1260">
        <v>-192.69479999999999</v>
      </c>
      <c r="H1260" s="1">
        <v>-2.6784149999999998E-6</v>
      </c>
      <c r="I1260">
        <v>324.16120000000001</v>
      </c>
      <c r="J1260">
        <v>-192.88229999999999</v>
      </c>
      <c r="K1260">
        <v>1.1138920000000001</v>
      </c>
      <c r="L1260">
        <v>348.57900000000001</v>
      </c>
      <c r="M1260">
        <v>0.13157460000000001</v>
      </c>
      <c r="N1260">
        <v>-1.520728E-2</v>
      </c>
      <c r="O1260">
        <v>-0.99118980000000001</v>
      </c>
      <c r="P1260">
        <v>-3.2568609999999998E-2</v>
      </c>
      <c r="Q1260">
        <v>0.18296609999999999</v>
      </c>
      <c r="R1260">
        <v>-0.9825798</v>
      </c>
      <c r="S1260">
        <v>2.6489260000000001E-2</v>
      </c>
      <c r="T1260">
        <v>-0.13894020000000001</v>
      </c>
      <c r="U1260">
        <v>-3.0791930000000001</v>
      </c>
      <c r="V1260">
        <v>0.16518450000000001</v>
      </c>
      <c r="W1260">
        <v>0.1946927</v>
      </c>
      <c r="X1260">
        <v>0.96685509999999997</v>
      </c>
      <c r="Y1260">
        <v>0.123004</v>
      </c>
      <c r="Z1260">
        <v>2.912847E-2</v>
      </c>
      <c r="AA1260">
        <v>0.99197860000000004</v>
      </c>
      <c r="AB1260">
        <v>25</v>
      </c>
      <c r="AC1260">
        <v>0.1875</v>
      </c>
      <c r="AD1260">
        <v>-1.1138946784149999</v>
      </c>
      <c r="AE1260">
        <v>-24.4178</v>
      </c>
      <c r="AF1260">
        <v>3.0209773774127502</v>
      </c>
      <c r="AG1260">
        <v>-1.1138946784149999</v>
      </c>
      <c r="AH1260">
        <v>24.1798265151577</v>
      </c>
      <c r="AI1260">
        <v>92.617266734653199</v>
      </c>
      <c r="AJ1260">
        <v>82.878485535816296</v>
      </c>
      <c r="AK1260">
        <v>24.393258822317399</v>
      </c>
      <c r="AL1260">
        <v>78.773227175126806</v>
      </c>
      <c r="AM1260">
        <v>80.304782975147702</v>
      </c>
      <c r="AN1260">
        <v>0.99999997543477404</v>
      </c>
    </row>
    <row r="1261" spans="1:40" x14ac:dyDescent="0.25">
      <c r="A1261" t="str">
        <f>"20190303170521146"</f>
        <v>20190303170521146</v>
      </c>
      <c r="B1261" t="str">
        <f>"1551603921135887"</f>
        <v>1551603921135887</v>
      </c>
      <c r="C1261" t="s">
        <v>40</v>
      </c>
      <c r="D1261">
        <v>5.7397099999999996</v>
      </c>
      <c r="E1261">
        <v>0.48694340000000003</v>
      </c>
      <c r="F1261" t="s">
        <v>41</v>
      </c>
      <c r="G1261">
        <v>-192.67789999999999</v>
      </c>
      <c r="H1261" s="1">
        <v>-2.8635569999999999E-6</v>
      </c>
      <c r="I1261">
        <v>324.60320000000002</v>
      </c>
      <c r="J1261">
        <v>-192.8586</v>
      </c>
      <c r="K1261">
        <v>1.1142920000000001</v>
      </c>
      <c r="L1261">
        <v>348.2996</v>
      </c>
      <c r="M1261">
        <v>0.1201662</v>
      </c>
      <c r="N1261">
        <v>-1.512296E-2</v>
      </c>
      <c r="O1261">
        <v>-0.99263880000000004</v>
      </c>
      <c r="P1261">
        <v>-3.8872520000000001E-2</v>
      </c>
      <c r="Q1261">
        <v>0.18121010000000001</v>
      </c>
      <c r="R1261">
        <v>-0.98267590000000005</v>
      </c>
      <c r="S1261">
        <v>2.626038E-2</v>
      </c>
      <c r="T1261">
        <v>-0.1431277</v>
      </c>
      <c r="U1261">
        <v>-3.0807190000000002</v>
      </c>
      <c r="V1261">
        <v>0.16007070000000001</v>
      </c>
      <c r="W1261">
        <v>0.19311809999999999</v>
      </c>
      <c r="X1261">
        <v>0.96803030000000001</v>
      </c>
      <c r="Y1261">
        <v>0.1116651</v>
      </c>
      <c r="Z1261">
        <v>3.065474E-2</v>
      </c>
      <c r="AA1261">
        <v>0.99327299999999996</v>
      </c>
      <c r="AB1261">
        <v>25</v>
      </c>
      <c r="AC1261">
        <v>0.180700000000001</v>
      </c>
      <c r="AD1261">
        <v>-1.114294863557</v>
      </c>
      <c r="AE1261">
        <v>-23.696399999999901</v>
      </c>
      <c r="AF1261">
        <v>2.6625539282060702</v>
      </c>
      <c r="AG1261">
        <v>-1.114294863557</v>
      </c>
      <c r="AH1261">
        <v>23.494419295256399</v>
      </c>
      <c r="AI1261">
        <v>92.698148046750404</v>
      </c>
      <c r="AJ1261">
        <v>83.534421663669207</v>
      </c>
      <c r="AK1261">
        <v>23.671049501128401</v>
      </c>
      <c r="AL1261">
        <v>78.865190230401694</v>
      </c>
      <c r="AM1261">
        <v>80.610697020403293</v>
      </c>
      <c r="AN1261">
        <v>0.99999994563209305</v>
      </c>
    </row>
    <row r="1262" spans="1:40" x14ac:dyDescent="0.25">
      <c r="A1262" t="str">
        <f>"20190303170521170"</f>
        <v>20190303170521170</v>
      </c>
      <c r="B1262" t="str">
        <f>"1551603921155406"</f>
        <v>1551603921155406</v>
      </c>
      <c r="C1262" t="s">
        <v>40</v>
      </c>
      <c r="D1262">
        <v>5.748157</v>
      </c>
      <c r="E1262">
        <v>0.4862764</v>
      </c>
      <c r="F1262" t="s">
        <v>41</v>
      </c>
      <c r="G1262">
        <v>-192.7758</v>
      </c>
      <c r="H1262" s="1">
        <v>-2.735435E-6</v>
      </c>
      <c r="I1262">
        <v>324.2439</v>
      </c>
      <c r="J1262">
        <v>-192.839</v>
      </c>
      <c r="K1262">
        <v>1.1146769999999999</v>
      </c>
      <c r="L1262">
        <v>348.03980000000001</v>
      </c>
      <c r="M1262">
        <v>0.1101017</v>
      </c>
      <c r="N1262">
        <v>-1.504219E-2</v>
      </c>
      <c r="O1262">
        <v>-0.99380670000000004</v>
      </c>
      <c r="P1262">
        <v>-4.2894050000000003E-2</v>
      </c>
      <c r="Q1262">
        <v>0.17943709999999999</v>
      </c>
      <c r="R1262">
        <v>-0.98283419999999999</v>
      </c>
      <c r="S1262">
        <v>1.0604860000000001E-2</v>
      </c>
      <c r="T1262">
        <v>-0.14265229999999901</v>
      </c>
      <c r="U1262">
        <v>-3.0796199999999998</v>
      </c>
      <c r="V1262">
        <v>0.154032</v>
      </c>
      <c r="W1262">
        <v>0.19152949999999999</v>
      </c>
      <c r="X1262">
        <v>0.96932479999999999</v>
      </c>
      <c r="Y1262">
        <v>0.1066428</v>
      </c>
      <c r="Z1262">
        <v>3.0689399999999999E-2</v>
      </c>
      <c r="AA1262">
        <v>0.99382360000000003</v>
      </c>
      <c r="AB1262">
        <v>25</v>
      </c>
      <c r="AC1262">
        <v>6.3200000000023196E-2</v>
      </c>
      <c r="AD1262">
        <v>-1.114679735435</v>
      </c>
      <c r="AE1262">
        <v>-23.7959</v>
      </c>
      <c r="AF1262">
        <v>2.55184980324647</v>
      </c>
      <c r="AG1262">
        <v>-1.114679735435</v>
      </c>
      <c r="AH1262">
        <v>23.6063560764469</v>
      </c>
      <c r="AI1262">
        <v>92.687832781491494</v>
      </c>
      <c r="AJ1262">
        <v>83.830277594106093</v>
      </c>
      <c r="AK1262">
        <v>23.770033562006599</v>
      </c>
      <c r="AL1262">
        <v>78.957942317745903</v>
      </c>
      <c r="AM1262">
        <v>80.970823187516402</v>
      </c>
      <c r="AN1262">
        <v>0.999999987144644</v>
      </c>
    </row>
    <row r="1263" spans="1:40" x14ac:dyDescent="0.25">
      <c r="A1263" t="str">
        <f>"20190303170521190"</f>
        <v>20190303170521190</v>
      </c>
      <c r="B1263" t="str">
        <f>"1551603921175904"</f>
        <v>1551603921175904</v>
      </c>
      <c r="C1263" t="s">
        <v>40</v>
      </c>
      <c r="D1263">
        <v>5.7279229999999997</v>
      </c>
      <c r="E1263">
        <v>0.48523870000000002</v>
      </c>
      <c r="F1263" t="s">
        <v>41</v>
      </c>
      <c r="G1263">
        <v>-192.83439999999999</v>
      </c>
      <c r="H1263" s="1">
        <v>-2.8407179999999998E-6</v>
      </c>
      <c r="I1263">
        <v>324.4529</v>
      </c>
      <c r="J1263">
        <v>-192.82239999999999</v>
      </c>
      <c r="K1263">
        <v>1.1150139999999999</v>
      </c>
      <c r="L1263">
        <v>347.79629999999997</v>
      </c>
      <c r="M1263">
        <v>0.1010684</v>
      </c>
      <c r="N1263">
        <v>-1.4968759999999999E-2</v>
      </c>
      <c r="O1263">
        <v>-0.99476699999999996</v>
      </c>
      <c r="P1263">
        <v>-4.6878280000000001E-2</v>
      </c>
      <c r="Q1263">
        <v>0.1794655</v>
      </c>
      <c r="R1263">
        <v>-0.98264680000000004</v>
      </c>
      <c r="S1263">
        <v>5.9509280000000003E-4</v>
      </c>
      <c r="T1263">
        <v>-0.1455082</v>
      </c>
      <c r="U1263">
        <v>-3.0789789999999999</v>
      </c>
      <c r="V1263">
        <v>0.14898749999999999</v>
      </c>
      <c r="W1263">
        <v>0.19169559999999999</v>
      </c>
      <c r="X1263">
        <v>0.9700801</v>
      </c>
      <c r="Y1263">
        <v>0.1008402</v>
      </c>
      <c r="Z1263">
        <v>3.1765889999999998E-2</v>
      </c>
      <c r="AA1263">
        <v>0.99439540000000004</v>
      </c>
      <c r="AB1263">
        <v>25</v>
      </c>
      <c r="AC1263">
        <v>-1.2000000000000399E-2</v>
      </c>
      <c r="AD1263">
        <v>-1.1150168407179999</v>
      </c>
      <c r="AE1263">
        <v>-23.3433999999999</v>
      </c>
      <c r="AF1263">
        <v>2.3660842736680601</v>
      </c>
      <c r="AG1263">
        <v>-1.1150168407179999</v>
      </c>
      <c r="AH1263">
        <v>23.169766326647501</v>
      </c>
      <c r="AI1263">
        <v>92.740931390863693</v>
      </c>
      <c r="AJ1263">
        <v>84.169197882146506</v>
      </c>
      <c r="AK1263">
        <v>23.316939957392201</v>
      </c>
      <c r="AL1263">
        <v>78.948245283528294</v>
      </c>
      <c r="AM1263">
        <v>81.2685853121599</v>
      </c>
      <c r="AN1263">
        <v>0.999999939315808</v>
      </c>
    </row>
    <row r="1264" spans="1:40" x14ac:dyDescent="0.25">
      <c r="A1264" t="str">
        <f>"20190303170521214"</f>
        <v>20190303170521214</v>
      </c>
      <c r="B1264" t="str">
        <f>"1551603921205692"</f>
        <v>1551603921205692</v>
      </c>
      <c r="C1264" t="s">
        <v>40</v>
      </c>
      <c r="D1264">
        <v>5.7201839999999997</v>
      </c>
      <c r="E1264">
        <v>0.4836934</v>
      </c>
      <c r="F1264" t="s">
        <v>41</v>
      </c>
      <c r="G1264">
        <v>-192.85749999999999</v>
      </c>
      <c r="H1264" s="1">
        <v>-2.59214E-6</v>
      </c>
      <c r="I1264">
        <v>323.85910000000001</v>
      </c>
      <c r="J1264">
        <v>-192.80629999999999</v>
      </c>
      <c r="K1264">
        <v>1.115367</v>
      </c>
      <c r="L1264">
        <v>347.5283</v>
      </c>
      <c r="M1264">
        <v>9.1616760000000005E-2</v>
      </c>
      <c r="N1264">
        <v>-1.489072E-2</v>
      </c>
      <c r="O1264">
        <v>-0.99568330000000005</v>
      </c>
      <c r="P1264">
        <v>-5.280311E-2</v>
      </c>
      <c r="Q1264">
        <v>0.18197849999999999</v>
      </c>
      <c r="R1264">
        <v>-0.98188379999999997</v>
      </c>
      <c r="S1264">
        <v>-4.5166019999999998E-3</v>
      </c>
      <c r="T1264">
        <v>-0.14342050000000001</v>
      </c>
      <c r="U1264">
        <v>-3.0789490000000002</v>
      </c>
      <c r="V1264">
        <v>0.14544849999999901</v>
      </c>
      <c r="W1264">
        <v>0.1943077</v>
      </c>
      <c r="X1264">
        <v>0.97009749999999995</v>
      </c>
      <c r="Y1264">
        <v>9.3043970000000004E-2</v>
      </c>
      <c r="Z1264">
        <v>3.1255360000000003E-2</v>
      </c>
      <c r="AA1264">
        <v>0.99517129999999998</v>
      </c>
      <c r="AB1264">
        <v>25</v>
      </c>
      <c r="AC1264">
        <v>-5.1199999999994299E-2</v>
      </c>
      <c r="AD1264">
        <v>-1.11536959214</v>
      </c>
      <c r="AE1264">
        <v>-23.669199999999901</v>
      </c>
      <c r="AF1264">
        <v>2.2148016768307399</v>
      </c>
      <c r="AG1264">
        <v>-1.11536959214</v>
      </c>
      <c r="AH1264">
        <v>23.512729915078399</v>
      </c>
      <c r="AI1264">
        <v>92.703943279644506</v>
      </c>
      <c r="AJ1264">
        <v>84.618853014535901</v>
      </c>
      <c r="AK1264">
        <v>23.643135660359899</v>
      </c>
      <c r="AL1264">
        <v>78.795715279039598</v>
      </c>
      <c r="AM1264">
        <v>81.473053955512697</v>
      </c>
      <c r="AN1264">
        <v>0.99999995396889296</v>
      </c>
    </row>
    <row r="1265" spans="1:40" x14ac:dyDescent="0.25">
      <c r="A1265" t="str">
        <f>"20190303170521234"</f>
        <v>20190303170521234</v>
      </c>
      <c r="B1265" t="str">
        <f>"1551603921226189"</f>
        <v>1551603921226189</v>
      </c>
      <c r="C1265" t="s">
        <v>40</v>
      </c>
      <c r="D1265">
        <v>5.7256330000000002</v>
      </c>
      <c r="E1265">
        <v>0.48341600000000001</v>
      </c>
      <c r="F1265" t="s">
        <v>41</v>
      </c>
      <c r="G1265">
        <v>-192.88669999999999</v>
      </c>
      <c r="H1265" s="1">
        <v>-1.8682190000000001E-6</v>
      </c>
      <c r="I1265">
        <v>322.15359999999998</v>
      </c>
      <c r="J1265">
        <v>-192.7937</v>
      </c>
      <c r="K1265">
        <v>1.1156870000000001</v>
      </c>
      <c r="L1265">
        <v>347.29109999999997</v>
      </c>
      <c r="M1265">
        <v>8.3722640000000001E-2</v>
      </c>
      <c r="N1265">
        <v>-1.482077E-2</v>
      </c>
      <c r="O1265">
        <v>-0.99637909999999996</v>
      </c>
      <c r="P1265">
        <v>-5.7131550000000003E-2</v>
      </c>
      <c r="Q1265">
        <v>0.18361079999999999</v>
      </c>
      <c r="R1265">
        <v>-0.98133780000000004</v>
      </c>
      <c r="S1265">
        <v>-9.765625E-3</v>
      </c>
      <c r="T1265">
        <v>-0.13537929999999901</v>
      </c>
      <c r="U1265">
        <v>-3.079895</v>
      </c>
      <c r="V1265">
        <v>0.14187339999999901</v>
      </c>
      <c r="W1265">
        <v>0.1960353</v>
      </c>
      <c r="X1265">
        <v>0.97027940000000001</v>
      </c>
      <c r="Y1265">
        <v>8.6851680000000001E-2</v>
      </c>
      <c r="Z1265">
        <v>2.878586E-2</v>
      </c>
      <c r="AA1265">
        <v>0.9958053</v>
      </c>
      <c r="AB1265">
        <v>25</v>
      </c>
      <c r="AC1265">
        <v>-9.29999999999893E-2</v>
      </c>
      <c r="AD1265">
        <v>-1.115688868219</v>
      </c>
      <c r="AE1265">
        <v>-25.1374999999999</v>
      </c>
      <c r="AF1265">
        <v>2.1931617571644701</v>
      </c>
      <c r="AG1265">
        <v>-1.115688868219</v>
      </c>
      <c r="AH1265">
        <v>24.992206989647801</v>
      </c>
      <c r="AI1265">
        <v>92.546298354349602</v>
      </c>
      <c r="AJ1265">
        <v>84.984923122333299</v>
      </c>
      <c r="AK1265">
        <v>25.113047014593</v>
      </c>
      <c r="AL1265">
        <v>78.694790804582695</v>
      </c>
      <c r="AM1265">
        <v>81.681212580144702</v>
      </c>
      <c r="AN1265">
        <v>1.0000000072690001</v>
      </c>
    </row>
    <row r="1266" spans="1:40" x14ac:dyDescent="0.25">
      <c r="A1266" t="str">
        <f>"20190303170521266"</f>
        <v>20190303170521266</v>
      </c>
      <c r="B1266" t="str">
        <f>"1551603921255469"</f>
        <v>1551603921255469</v>
      </c>
      <c r="C1266" t="s">
        <v>40</v>
      </c>
      <c r="D1266">
        <v>5.7282739999999999</v>
      </c>
      <c r="E1266">
        <v>0.48241980000000001</v>
      </c>
      <c r="F1266" t="s">
        <v>41</v>
      </c>
      <c r="G1266">
        <v>-192.9615</v>
      </c>
      <c r="H1266" s="1">
        <v>-1.007313E-6</v>
      </c>
      <c r="I1266">
        <v>320.10039999999998</v>
      </c>
      <c r="J1266">
        <v>-192.77770000000001</v>
      </c>
      <c r="K1266">
        <v>1.116206</v>
      </c>
      <c r="L1266">
        <v>346.9468</v>
      </c>
      <c r="M1266">
        <v>7.3110610000000006E-2</v>
      </c>
      <c r="N1266">
        <v>-1.47142E-2</v>
      </c>
      <c r="O1266">
        <v>-0.99721539999999997</v>
      </c>
      <c r="P1266">
        <v>-6.3072080000000003E-2</v>
      </c>
      <c r="Q1266">
        <v>0.181283</v>
      </c>
      <c r="R1266">
        <v>-0.98140649999999996</v>
      </c>
      <c r="S1266">
        <v>-1.901245E-2</v>
      </c>
      <c r="T1266">
        <v>-0.12636149999999999</v>
      </c>
      <c r="U1266">
        <v>-3.07959</v>
      </c>
      <c r="V1266">
        <v>0.13715369999999999</v>
      </c>
      <c r="W1266">
        <v>0.19385920000000001</v>
      </c>
      <c r="X1266">
        <v>0.9713946</v>
      </c>
      <c r="Y1266">
        <v>7.9239450000000003E-2</v>
      </c>
      <c r="Z1266">
        <v>2.605843E-2</v>
      </c>
      <c r="AA1266">
        <v>0.99651500000000004</v>
      </c>
      <c r="AB1266">
        <v>25</v>
      </c>
      <c r="AC1266">
        <v>-0.18379999999999</v>
      </c>
      <c r="AD1266">
        <v>-1.1162070073129999</v>
      </c>
      <c r="AE1266">
        <v>-26.846399999999999</v>
      </c>
      <c r="AF1266">
        <v>2.1425733131776301</v>
      </c>
      <c r="AG1266">
        <v>-1.1162070073129999</v>
      </c>
      <c r="AH1266">
        <v>26.714920271097501</v>
      </c>
      <c r="AI1266">
        <v>92.384900698020104</v>
      </c>
      <c r="AJ1266">
        <v>85.414614413891996</v>
      </c>
      <c r="AK1266">
        <v>26.8239352738671</v>
      </c>
      <c r="AL1266">
        <v>78.821911037077797</v>
      </c>
      <c r="AM1266">
        <v>81.963384891964196</v>
      </c>
      <c r="AN1266">
        <v>0.99999999787874505</v>
      </c>
    </row>
    <row r="1267" spans="1:40" x14ac:dyDescent="0.25">
      <c r="A1267" t="str">
        <f>"20190303170521281"</f>
        <v>20190303170521281</v>
      </c>
      <c r="B1267" t="str">
        <f>"1551603921275965"</f>
        <v>1551603921275965</v>
      </c>
      <c r="C1267" t="s">
        <v>40</v>
      </c>
      <c r="D1267">
        <v>5.7306970000000002</v>
      </c>
      <c r="E1267">
        <v>0.48179899999999998</v>
      </c>
      <c r="F1267" t="s">
        <v>41</v>
      </c>
      <c r="G1267">
        <v>-193.0334</v>
      </c>
      <c r="H1267" s="1">
        <v>-1.3677700000000001E-6</v>
      </c>
      <c r="I1267">
        <v>320.89600000000002</v>
      </c>
      <c r="J1267">
        <v>-192.77010000000001</v>
      </c>
      <c r="K1267">
        <v>1.116514</v>
      </c>
      <c r="L1267">
        <v>346.75920000000002</v>
      </c>
      <c r="M1267">
        <v>6.7785540000000005E-2</v>
      </c>
      <c r="N1267">
        <v>-1.465488E-2</v>
      </c>
      <c r="O1267">
        <v>-0.99759240000000005</v>
      </c>
      <c r="P1267">
        <v>-6.2573820000000002E-2</v>
      </c>
      <c r="Q1267">
        <v>0.1778159</v>
      </c>
      <c r="R1267">
        <v>-0.98207250000000001</v>
      </c>
      <c r="S1267">
        <v>-3.022766E-2</v>
      </c>
      <c r="T1267">
        <v>-0.1319389</v>
      </c>
      <c r="U1267">
        <v>-3.079285</v>
      </c>
      <c r="V1267">
        <v>0.13130269999999999</v>
      </c>
      <c r="W1267">
        <v>0.19053210000000001</v>
      </c>
      <c r="X1267">
        <v>0.97286030000000001</v>
      </c>
      <c r="Y1267">
        <v>7.7546329999999997E-2</v>
      </c>
      <c r="Z1267">
        <v>2.7943920000000001E-2</v>
      </c>
      <c r="AA1267">
        <v>0.99659710000000001</v>
      </c>
      <c r="AB1267">
        <v>25</v>
      </c>
      <c r="AC1267">
        <v>-0.26329999999998599</v>
      </c>
      <c r="AD1267">
        <v>-1.1165153677699999</v>
      </c>
      <c r="AE1267">
        <v>-25.863199999999999</v>
      </c>
      <c r="AF1267">
        <v>2.0122835042634701</v>
      </c>
      <c r="AG1267">
        <v>-1.1165153677699999</v>
      </c>
      <c r="AH1267">
        <v>25.737888313182999</v>
      </c>
      <c r="AI1267">
        <v>92.476398665362098</v>
      </c>
      <c r="AJ1267">
        <v>85.529497728043495</v>
      </c>
      <c r="AK1267">
        <v>25.840564744019801</v>
      </c>
      <c r="AL1267">
        <v>79.016161674499102</v>
      </c>
      <c r="AM1267">
        <v>82.313486437925505</v>
      </c>
      <c r="AN1267">
        <v>1.0000000217368901</v>
      </c>
    </row>
    <row r="1268" spans="1:40" x14ac:dyDescent="0.25">
      <c r="A1268" t="str">
        <f>"20190303170521300"</f>
        <v>20190303170521300</v>
      </c>
      <c r="B1268" t="str">
        <f>"1551603921295484"</f>
        <v>1551603921295484</v>
      </c>
      <c r="C1268" t="s">
        <v>40</v>
      </c>
      <c r="D1268">
        <v>5.7450159999999997</v>
      </c>
      <c r="E1268">
        <v>0.48114430000000002</v>
      </c>
      <c r="F1268" t="s">
        <v>41</v>
      </c>
      <c r="G1268">
        <v>-192.9641</v>
      </c>
      <c r="H1268" s="1">
        <v>-2.2464869999999999E-6</v>
      </c>
      <c r="I1268">
        <v>322.9873</v>
      </c>
      <c r="J1268">
        <v>-192.76259999999999</v>
      </c>
      <c r="K1268">
        <v>1.1168419999999999</v>
      </c>
      <c r="L1268">
        <v>346.55599999999998</v>
      </c>
      <c r="M1268">
        <v>6.2340199999999901E-2</v>
      </c>
      <c r="N1268">
        <v>-1.4593780000000001E-2</v>
      </c>
      <c r="O1268">
        <v>-0.99794839999999996</v>
      </c>
      <c r="P1268">
        <v>-6.3246570000000002E-2</v>
      </c>
      <c r="Q1268">
        <v>0.17805029999999999</v>
      </c>
      <c r="R1268">
        <v>-0.9819869</v>
      </c>
      <c r="S1268">
        <v>-2.5131230000000001E-2</v>
      </c>
      <c r="T1268">
        <v>-0.14462900000000001</v>
      </c>
      <c r="U1268">
        <v>-3.0793149999999998</v>
      </c>
      <c r="V1268">
        <v>0.1264884</v>
      </c>
      <c r="W1268">
        <v>0.19087470000000001</v>
      </c>
      <c r="X1268">
        <v>0.97343080000000004</v>
      </c>
      <c r="Y1268">
        <v>7.0453940000000007E-2</v>
      </c>
      <c r="Z1268">
        <v>3.2133849999999999E-2</v>
      </c>
      <c r="AA1268">
        <v>0.99699729999999998</v>
      </c>
      <c r="AB1268">
        <v>25</v>
      </c>
      <c r="AC1268">
        <v>-0.20150000000001</v>
      </c>
      <c r="AD1268">
        <v>-1.1168442464870001</v>
      </c>
      <c r="AE1268">
        <v>-23.5686999999999</v>
      </c>
      <c r="AF1268">
        <v>1.6667992060111201</v>
      </c>
      <c r="AG1268">
        <v>-1.1168442464870001</v>
      </c>
      <c r="AH1268">
        <v>23.457614909401901</v>
      </c>
      <c r="AI1268">
        <v>92.719014982530197</v>
      </c>
      <c r="AJ1268">
        <v>85.935634535819801</v>
      </c>
      <c r="AK1268">
        <v>23.543263535497001</v>
      </c>
      <c r="AL1268">
        <v>78.996164854343903</v>
      </c>
      <c r="AM1268">
        <v>82.596422098998104</v>
      </c>
      <c r="AN1268">
        <v>0.999999994411645</v>
      </c>
    </row>
    <row r="1269" spans="1:40" x14ac:dyDescent="0.25">
      <c r="A1269" t="str">
        <f>"20190303170521322"</f>
        <v>20190303170521322</v>
      </c>
      <c r="B1269" t="str">
        <f>"1551603921315980"</f>
        <v>1551603921315980</v>
      </c>
      <c r="C1269" t="s">
        <v>40</v>
      </c>
      <c r="D1269">
        <v>5.6926119999999996</v>
      </c>
      <c r="E1269">
        <v>0.4803016</v>
      </c>
      <c r="F1269" t="s">
        <v>41</v>
      </c>
      <c r="G1269">
        <v>-192.92060000000001</v>
      </c>
      <c r="H1269" s="1">
        <v>-2.0240699999999998E-6</v>
      </c>
      <c r="I1269">
        <v>322.49579999999997</v>
      </c>
      <c r="J1269">
        <v>-192.7544</v>
      </c>
      <c r="K1269">
        <v>1.1173</v>
      </c>
      <c r="L1269">
        <v>346.30799999999999</v>
      </c>
      <c r="M1269">
        <v>5.6235590000000002E-2</v>
      </c>
      <c r="N1269">
        <v>-1.452237E-2</v>
      </c>
      <c r="O1269">
        <v>-0.99831190000000003</v>
      </c>
      <c r="P1269">
        <v>-6.6994189999999995E-2</v>
      </c>
      <c r="Q1269">
        <v>0.18050079999999999</v>
      </c>
      <c r="R1269">
        <v>-0.98129080000000002</v>
      </c>
      <c r="S1269">
        <v>-2.02179E-2</v>
      </c>
      <c r="T1269">
        <v>-0.14295389999999999</v>
      </c>
      <c r="U1269">
        <v>-3.0796510000000001</v>
      </c>
      <c r="V1269">
        <v>0.1240363</v>
      </c>
      <c r="W1269">
        <v>0.19341330000000001</v>
      </c>
      <c r="X1269">
        <v>0.97324529999999998</v>
      </c>
      <c r="Y1269">
        <v>6.2763639999999996E-2</v>
      </c>
      <c r="Z1269">
        <v>3.1698360000000002E-2</v>
      </c>
      <c r="AA1269">
        <v>0.99752490000000005</v>
      </c>
      <c r="AB1269">
        <v>25</v>
      </c>
      <c r="AC1269">
        <v>-0.16620000000000301</v>
      </c>
      <c r="AD1269">
        <v>-1.11730202407</v>
      </c>
      <c r="AE1269">
        <v>-23.812200000000001</v>
      </c>
      <c r="AF1269">
        <v>1.5018649162487301</v>
      </c>
      <c r="AG1269">
        <v>-1.11730202407</v>
      </c>
      <c r="AH1269">
        <v>23.712958190710101</v>
      </c>
      <c r="AI1269">
        <v>92.692268511695303</v>
      </c>
      <c r="AJ1269">
        <v>86.376000959767097</v>
      </c>
      <c r="AK1269">
        <v>23.7867263025834</v>
      </c>
      <c r="AL1269">
        <v>78.847952809006998</v>
      </c>
      <c r="AM1269">
        <v>82.737031448679701</v>
      </c>
      <c r="AN1269">
        <v>1.00000006115333</v>
      </c>
    </row>
    <row r="1270" spans="1:40" x14ac:dyDescent="0.25">
      <c r="A1270" t="str">
        <f>"20190303170521348"</f>
        <v>20190303170521348</v>
      </c>
      <c r="B1270" t="str">
        <f>"1551603921335500"</f>
        <v>1551603921335500</v>
      </c>
      <c r="C1270" t="s">
        <v>40</v>
      </c>
      <c r="D1270">
        <v>5.7412839999999896</v>
      </c>
      <c r="E1270">
        <v>0.47947400000000001</v>
      </c>
      <c r="F1270" t="s">
        <v>41</v>
      </c>
      <c r="G1270">
        <v>-192.92830000000001</v>
      </c>
      <c r="H1270" s="1">
        <v>-1.2852500000000001E-6</v>
      </c>
      <c r="I1270">
        <v>320.76889999999997</v>
      </c>
      <c r="J1270">
        <v>-192.74600000000001</v>
      </c>
      <c r="K1270">
        <v>1.1178600000000001</v>
      </c>
      <c r="L1270">
        <v>346.02820000000003</v>
      </c>
      <c r="M1270">
        <v>5.0293919999999999E-2</v>
      </c>
      <c r="N1270">
        <v>-1.444137E-2</v>
      </c>
      <c r="O1270">
        <v>-0.99863020000000002</v>
      </c>
      <c r="P1270">
        <v>-6.9663080000000002E-2</v>
      </c>
      <c r="Q1270">
        <v>0.17957809999999999</v>
      </c>
      <c r="R1270">
        <v>-0.98127450000000005</v>
      </c>
      <c r="S1270">
        <v>-2.0980829999999999E-2</v>
      </c>
      <c r="T1270">
        <v>-0.134769</v>
      </c>
      <c r="U1270">
        <v>-3.0805359999999999</v>
      </c>
      <c r="V1270">
        <v>0.1206192</v>
      </c>
      <c r="W1270">
        <v>0.1926156</v>
      </c>
      <c r="X1270">
        <v>0.97383280000000005</v>
      </c>
      <c r="Y1270">
        <v>5.7073069999999997E-2</v>
      </c>
      <c r="Z1270">
        <v>2.9153060000000001E-2</v>
      </c>
      <c r="AA1270">
        <v>0.99794430000000001</v>
      </c>
      <c r="AB1270">
        <v>25</v>
      </c>
      <c r="AC1270">
        <v>-0.182300000000026</v>
      </c>
      <c r="AD1270">
        <v>-1.1178612852500001</v>
      </c>
      <c r="AE1270">
        <v>-25.2593</v>
      </c>
      <c r="AF1270">
        <v>1.44975150095272</v>
      </c>
      <c r="AG1270">
        <v>-1.1178612852500001</v>
      </c>
      <c r="AH1270">
        <v>25.168865397973001</v>
      </c>
      <c r="AI1270">
        <v>92.538886301721803</v>
      </c>
      <c r="AJ1270">
        <v>86.703349257748599</v>
      </c>
      <c r="AK1270">
        <v>25.235355727408699</v>
      </c>
      <c r="AL1270">
        <v>78.894533338933797</v>
      </c>
      <c r="AM1270">
        <v>82.939289347388794</v>
      </c>
      <c r="AN1270">
        <v>1.0000000415639101</v>
      </c>
    </row>
    <row r="1271" spans="1:40" x14ac:dyDescent="0.25">
      <c r="A1271" t="str">
        <f>"20190303170521368"</f>
        <v>20190303170521368</v>
      </c>
      <c r="B1271" t="str">
        <f>"1551603921355996"</f>
        <v>1551603921355996</v>
      </c>
      <c r="C1271" t="s">
        <v>40</v>
      </c>
      <c r="D1271">
        <v>5.7858150000000004</v>
      </c>
      <c r="E1271">
        <v>0.47905560000000003</v>
      </c>
      <c r="F1271" t="s">
        <v>41</v>
      </c>
      <c r="G1271">
        <v>-192.9118</v>
      </c>
      <c r="H1271" s="1">
        <v>-1.451593E-6</v>
      </c>
      <c r="I1271">
        <v>321.1669</v>
      </c>
      <c r="J1271">
        <v>-192.7396</v>
      </c>
      <c r="K1271">
        <v>1.1183270000000001</v>
      </c>
      <c r="L1271">
        <v>345.79739999999998</v>
      </c>
      <c r="M1271">
        <v>4.6042100000000002E-2</v>
      </c>
      <c r="N1271">
        <v>-1.4376659999999999E-2</v>
      </c>
      <c r="O1271">
        <v>-0.9988359</v>
      </c>
      <c r="P1271">
        <v>-6.7751469999999994E-2</v>
      </c>
      <c r="Q1271">
        <v>0.17442240000000001</v>
      </c>
      <c r="R1271">
        <v>-0.98233729999999997</v>
      </c>
      <c r="S1271">
        <v>-2.053833E-2</v>
      </c>
      <c r="T1271">
        <v>-0.13854</v>
      </c>
      <c r="U1271">
        <v>-3.0811459999999999</v>
      </c>
      <c r="V1271">
        <v>0.11433790000000001</v>
      </c>
      <c r="W1271">
        <v>0.18760660000000001</v>
      </c>
      <c r="X1271">
        <v>0.97556679999999996</v>
      </c>
      <c r="Y1271">
        <v>5.2678830000000003E-2</v>
      </c>
      <c r="Z1271">
        <v>3.0446290000000001E-2</v>
      </c>
      <c r="AA1271">
        <v>0.99814720000000001</v>
      </c>
      <c r="AB1271">
        <v>25</v>
      </c>
      <c r="AC1271">
        <v>-0.17220000000000299</v>
      </c>
      <c r="AD1271">
        <v>-1.1183284515930001</v>
      </c>
      <c r="AE1271">
        <v>-24.630499999999898</v>
      </c>
      <c r="AF1271">
        <v>1.30348759870532</v>
      </c>
      <c r="AG1271">
        <v>-1.1183284515930001</v>
      </c>
      <c r="AH1271">
        <v>24.545844849862501</v>
      </c>
      <c r="AI1271">
        <v>92.604972413339993</v>
      </c>
      <c r="AJ1271">
        <v>86.960208443794897</v>
      </c>
      <c r="AK1271">
        <v>24.605857795231199</v>
      </c>
      <c r="AL1271">
        <v>79.186858904042694</v>
      </c>
      <c r="AM1271">
        <v>83.315344173325499</v>
      </c>
      <c r="AN1271">
        <v>0.999999986501104</v>
      </c>
    </row>
    <row r="1272" spans="1:40" x14ac:dyDescent="0.25">
      <c r="A1272" t="str">
        <f>"20190303170521390"</f>
        <v>20190303170521390</v>
      </c>
      <c r="B1272" t="str">
        <f>"1551603921386253"</f>
        <v>1551603921386253</v>
      </c>
      <c r="C1272" t="s">
        <v>40</v>
      </c>
      <c r="D1272">
        <v>5.8114780000000001</v>
      </c>
      <c r="E1272">
        <v>0.46959339999999999</v>
      </c>
      <c r="F1272" t="s">
        <v>41</v>
      </c>
      <c r="G1272">
        <v>-192.83250000000001</v>
      </c>
      <c r="H1272" s="1">
        <v>-2.386723E-6</v>
      </c>
      <c r="I1272">
        <v>323.39580000000001</v>
      </c>
      <c r="J1272">
        <v>-192.73320000000001</v>
      </c>
      <c r="K1272">
        <v>1.118765</v>
      </c>
      <c r="L1272">
        <v>345.55149999999998</v>
      </c>
      <c r="M1272">
        <v>4.2076870000000002E-2</v>
      </c>
      <c r="N1272">
        <v>-1.431342E-2</v>
      </c>
      <c r="O1272">
        <v>-0.99901180000000001</v>
      </c>
      <c r="P1272">
        <v>-6.4886739999999998E-2</v>
      </c>
      <c r="Q1272">
        <v>0.169934</v>
      </c>
      <c r="R1272">
        <v>-0.98331679999999999</v>
      </c>
      <c r="S1272">
        <v>-1.2771609999999999E-2</v>
      </c>
      <c r="T1272">
        <v>-0.15377750000000001</v>
      </c>
      <c r="U1272">
        <v>-3.0803530000000001</v>
      </c>
      <c r="V1272">
        <v>0.1073943</v>
      </c>
      <c r="W1272">
        <v>0.18324979999999999</v>
      </c>
      <c r="X1272">
        <v>0.97718269999999996</v>
      </c>
      <c r="Y1272">
        <v>4.619939E-2</v>
      </c>
      <c r="Z1272">
        <v>3.5464919999999997E-2</v>
      </c>
      <c r="AA1272">
        <v>0.99830249999999998</v>
      </c>
      <c r="AB1272">
        <v>25</v>
      </c>
      <c r="AC1272">
        <v>-9.92999999999995E-2</v>
      </c>
      <c r="AD1272">
        <v>-1.1187673867229999</v>
      </c>
      <c r="AE1272">
        <v>-22.1556999999999</v>
      </c>
      <c r="AF1272">
        <v>1.0289265797565299</v>
      </c>
      <c r="AG1272">
        <v>-1.1187673867229999</v>
      </c>
      <c r="AH1272">
        <v>22.075608119789798</v>
      </c>
      <c r="AI1272">
        <v>92.898063797786406</v>
      </c>
      <c r="AJ1272">
        <v>87.331420480473298</v>
      </c>
      <c r="AK1272">
        <v>22.127873920253901</v>
      </c>
      <c r="AL1272">
        <v>79.440891287759399</v>
      </c>
      <c r="AM1272">
        <v>83.728251344140602</v>
      </c>
      <c r="AN1272">
        <v>1.0000000270259</v>
      </c>
    </row>
    <row r="1273" spans="1:40" x14ac:dyDescent="0.25">
      <c r="A1273" t="str">
        <f>"20190303170521412"</f>
        <v>20190303170521412</v>
      </c>
      <c r="B1273" t="str">
        <f>"1551603921405772"</f>
        <v>1551603921405772</v>
      </c>
      <c r="C1273" t="s">
        <v>40</v>
      </c>
      <c r="D1273">
        <v>5.7892239999999999</v>
      </c>
      <c r="E1273">
        <v>0.46898220000000002</v>
      </c>
      <c r="F1273" t="s">
        <v>41</v>
      </c>
      <c r="G1273">
        <v>-192.26140000000001</v>
      </c>
      <c r="H1273" s="1">
        <v>-2.637202E-6</v>
      </c>
      <c r="I1273">
        <v>324.33390000000003</v>
      </c>
      <c r="J1273">
        <v>-192.72720000000001</v>
      </c>
      <c r="K1273">
        <v>1.1191439999999999</v>
      </c>
      <c r="L1273">
        <v>345.31439999999998</v>
      </c>
      <c r="M1273">
        <v>3.8794469999999998E-2</v>
      </c>
      <c r="N1273">
        <v>-1.425789E-2</v>
      </c>
      <c r="O1273">
        <v>-0.99914539999999996</v>
      </c>
      <c r="P1273">
        <v>-6.3683699999999996E-2</v>
      </c>
      <c r="Q1273">
        <v>0.16791349999999999</v>
      </c>
      <c r="R1273">
        <v>-0.98374249999999996</v>
      </c>
      <c r="S1273">
        <v>6.8557740000000006E-2</v>
      </c>
      <c r="T1273">
        <v>-0.16258880000000001</v>
      </c>
      <c r="U1273">
        <v>-3.0835270000000001</v>
      </c>
      <c r="V1273">
        <v>0.1028025</v>
      </c>
      <c r="W1273">
        <v>0.1813139</v>
      </c>
      <c r="X1273">
        <v>0.9780373</v>
      </c>
      <c r="Y1273">
        <v>1.658596E-2</v>
      </c>
      <c r="Z1273">
        <v>3.8348210000000001E-2</v>
      </c>
      <c r="AA1273">
        <v>0.99912679999999998</v>
      </c>
      <c r="AB1273">
        <v>25</v>
      </c>
      <c r="AC1273">
        <v>0.46580000000000099</v>
      </c>
      <c r="AD1273">
        <v>-1.119146637202</v>
      </c>
      <c r="AE1273">
        <v>-20.9804999999999</v>
      </c>
      <c r="AF1273">
        <v>0.34757241817545198</v>
      </c>
      <c r="AG1273">
        <v>-1.119146637202</v>
      </c>
      <c r="AH1273">
        <v>20.923269599676299</v>
      </c>
      <c r="AI1273">
        <v>93.061305128084896</v>
      </c>
      <c r="AJ1273">
        <v>89.048303562480896</v>
      </c>
      <c r="AK1273">
        <v>20.956061331323099</v>
      </c>
      <c r="AL1273">
        <v>79.553700117491204</v>
      </c>
      <c r="AM1273">
        <v>83.999615406808005</v>
      </c>
      <c r="AN1273">
        <v>1.00000002226537</v>
      </c>
    </row>
    <row r="1274" spans="1:40" x14ac:dyDescent="0.25">
      <c r="A1274" t="str">
        <f>"20190303170521435"</f>
        <v>20190303170521435</v>
      </c>
      <c r="B1274" t="str">
        <f>"1551603921426270"</f>
        <v>1551603921426270</v>
      </c>
      <c r="C1274" t="s">
        <v>40</v>
      </c>
      <c r="D1274">
        <v>5.7892769999999896</v>
      </c>
      <c r="E1274">
        <v>0.4695993</v>
      </c>
      <c r="F1274" t="s">
        <v>41</v>
      </c>
      <c r="G1274">
        <v>-192.21639999999999</v>
      </c>
      <c r="H1274" s="1">
        <v>-2.8589229999999999E-6</v>
      </c>
      <c r="I1274">
        <v>324.87869999999998</v>
      </c>
      <c r="J1274">
        <v>-192.72110000000001</v>
      </c>
      <c r="K1274">
        <v>1.1195409999999999</v>
      </c>
      <c r="L1274">
        <v>345.0564</v>
      </c>
      <c r="M1274">
        <v>3.5840539999999997E-2</v>
      </c>
      <c r="N1274">
        <v>-1.4201480000000001E-2</v>
      </c>
      <c r="O1274">
        <v>-0.99925660000000005</v>
      </c>
      <c r="P1274">
        <v>-6.349341E-2</v>
      </c>
      <c r="Q1274">
        <v>0.1694049</v>
      </c>
      <c r="R1274">
        <v>-0.98349920000000002</v>
      </c>
      <c r="S1274">
        <v>7.7072139999999997E-2</v>
      </c>
      <c r="T1274">
        <v>-0.1688569</v>
      </c>
      <c r="U1274">
        <v>-3.0833439999999999</v>
      </c>
      <c r="V1274">
        <v>9.9539470000000005E-2</v>
      </c>
      <c r="W1274">
        <v>0.1828621</v>
      </c>
      <c r="X1274">
        <v>0.97808660000000003</v>
      </c>
      <c r="Y1274">
        <v>1.087568E-2</v>
      </c>
      <c r="Z1274">
        <v>4.0440089999999998E-2</v>
      </c>
      <c r="AA1274">
        <v>0.99912279999999998</v>
      </c>
      <c r="AB1274">
        <v>25</v>
      </c>
      <c r="AC1274">
        <v>0.50470000000001303</v>
      </c>
      <c r="AD1274">
        <v>-1.11954385892299</v>
      </c>
      <c r="AE1274">
        <v>-20.177700000000002</v>
      </c>
      <c r="AF1274">
        <v>0.21820560756244001</v>
      </c>
      <c r="AG1274">
        <v>-1.11954385892299</v>
      </c>
      <c r="AH1274">
        <v>20.120920700813301</v>
      </c>
      <c r="AI1274">
        <v>93.184511590860893</v>
      </c>
      <c r="AJ1274">
        <v>89.378668079915798</v>
      </c>
      <c r="AK1274">
        <v>20.153224109001499</v>
      </c>
      <c r="AL1274">
        <v>79.463486649192802</v>
      </c>
      <c r="AM1274">
        <v>84.189038505146499</v>
      </c>
      <c r="AN1274">
        <v>1.0000000254019199</v>
      </c>
    </row>
    <row r="1275" spans="1:40" x14ac:dyDescent="0.25">
      <c r="A1275" t="str">
        <f>"20190303170521458"</f>
        <v>20190303170521458</v>
      </c>
      <c r="B1275" t="str">
        <f>"1551603921445788"</f>
        <v>1551603921445788</v>
      </c>
      <c r="C1275" t="s">
        <v>40</v>
      </c>
      <c r="D1275">
        <v>5.7875379999999996</v>
      </c>
      <c r="E1275">
        <v>0.46961849999999999</v>
      </c>
      <c r="F1275" t="s">
        <v>41</v>
      </c>
      <c r="G1275">
        <v>-192.18129999999999</v>
      </c>
      <c r="H1275" s="1">
        <v>-2.0341460000000001E-6</v>
      </c>
      <c r="I1275">
        <v>322.9778</v>
      </c>
      <c r="J1275">
        <v>-192.715</v>
      </c>
      <c r="K1275">
        <v>1.119928</v>
      </c>
      <c r="L1275">
        <v>344.8014</v>
      </c>
      <c r="M1275">
        <v>3.3525439999999997E-2</v>
      </c>
      <c r="N1275">
        <v>-1.4149729999999999E-2</v>
      </c>
      <c r="O1275">
        <v>-0.9993379</v>
      </c>
      <c r="P1275">
        <v>-6.2232929999999999E-2</v>
      </c>
      <c r="Q1275">
        <v>0.17173050000000001</v>
      </c>
      <c r="R1275">
        <v>-0.98317659999999996</v>
      </c>
      <c r="S1275">
        <v>7.5347899999999995E-2</v>
      </c>
      <c r="T1275">
        <v>-0.15628789999999901</v>
      </c>
      <c r="U1275">
        <v>-3.0821529999999999</v>
      </c>
      <c r="V1275">
        <v>9.583941E-2</v>
      </c>
      <c r="W1275">
        <v>0.1852393</v>
      </c>
      <c r="X1275">
        <v>0.97800880000000001</v>
      </c>
      <c r="Y1275">
        <v>9.1053950000000005E-3</v>
      </c>
      <c r="Z1275">
        <v>3.6460199999999998E-2</v>
      </c>
      <c r="AA1275">
        <v>0.9992936</v>
      </c>
      <c r="AB1275">
        <v>25</v>
      </c>
      <c r="AC1275">
        <v>0.53370000000001006</v>
      </c>
      <c r="AD1275">
        <v>-1.1199300341459999</v>
      </c>
      <c r="AE1275">
        <v>-21.823599999999999</v>
      </c>
      <c r="AF1275">
        <v>0.19779838333736799</v>
      </c>
      <c r="AG1275">
        <v>-1.1199300341459999</v>
      </c>
      <c r="AH1275">
        <v>21.771922523664099</v>
      </c>
      <c r="AI1275">
        <v>92.944531776944899</v>
      </c>
      <c r="AJ1275">
        <v>89.479480934082702</v>
      </c>
      <c r="AK1275">
        <v>21.8016049376707</v>
      </c>
      <c r="AL1275">
        <v>79.324915594952103</v>
      </c>
      <c r="AM1275">
        <v>84.403202560063505</v>
      </c>
      <c r="AN1275">
        <v>1.0000000018255299</v>
      </c>
    </row>
    <row r="1276" spans="1:40" x14ac:dyDescent="0.25">
      <c r="A1276" t="str">
        <f>"20190303170521479"</f>
        <v>20190303170521479</v>
      </c>
      <c r="B1276" t="str">
        <f>"1551603921465312"</f>
        <v>1551603921465312</v>
      </c>
      <c r="C1276" t="s">
        <v>40</v>
      </c>
      <c r="D1276">
        <v>5.8240800000000004</v>
      </c>
      <c r="E1276">
        <v>0.46983550000000002</v>
      </c>
      <c r="F1276" t="s">
        <v>41</v>
      </c>
      <c r="G1276">
        <v>-192.0796</v>
      </c>
      <c r="H1276" s="1">
        <v>-8.1945110000000002E-7</v>
      </c>
      <c r="I1276">
        <v>320.20940000000002</v>
      </c>
      <c r="J1276">
        <v>-192.70949999999999</v>
      </c>
      <c r="K1276">
        <v>1.1202829999999999</v>
      </c>
      <c r="L1276">
        <v>344.5686</v>
      </c>
      <c r="M1276">
        <v>3.1907999999999999E-2</v>
      </c>
      <c r="N1276">
        <v>-1.410728E-2</v>
      </c>
      <c r="O1276">
        <v>-0.99939140000000004</v>
      </c>
      <c r="P1276">
        <v>-5.7158189999999998E-2</v>
      </c>
      <c r="Q1276">
        <v>0.1710671</v>
      </c>
      <c r="R1276">
        <v>-0.98360029999999998</v>
      </c>
      <c r="S1276">
        <v>7.9605099999999998E-2</v>
      </c>
      <c r="T1276">
        <v>-0.14030419999999999</v>
      </c>
      <c r="U1276">
        <v>-3.0808719999999998</v>
      </c>
      <c r="V1276">
        <v>8.9036089999999998E-2</v>
      </c>
      <c r="W1276">
        <v>0.18464369999999999</v>
      </c>
      <c r="X1276">
        <v>0.97876419999999997</v>
      </c>
      <c r="Y1276">
        <v>6.0939540000000004E-3</v>
      </c>
      <c r="Z1276">
        <v>3.1359169999999999E-2</v>
      </c>
      <c r="AA1276">
        <v>0.99948959999999998</v>
      </c>
      <c r="AB1276">
        <v>25</v>
      </c>
      <c r="AC1276">
        <v>0.62989999999999202</v>
      </c>
      <c r="AD1276">
        <v>-1.1202838194511</v>
      </c>
      <c r="AE1276">
        <v>-24.359199999999898</v>
      </c>
      <c r="AF1276">
        <v>0.14743975040618501</v>
      </c>
      <c r="AG1276">
        <v>-1.1202838194511</v>
      </c>
      <c r="AH1276">
        <v>24.315499673478399</v>
      </c>
      <c r="AI1276">
        <v>92.637864686362306</v>
      </c>
      <c r="AJ1276">
        <v>89.652584893854794</v>
      </c>
      <c r="AK1276">
        <v>24.341739845110801</v>
      </c>
      <c r="AL1276">
        <v>79.359640387018999</v>
      </c>
      <c r="AM1276">
        <v>84.802231182631999</v>
      </c>
      <c r="AN1276">
        <v>1.0000000402369</v>
      </c>
    </row>
    <row r="1277" spans="1:40" x14ac:dyDescent="0.25">
      <c r="A1277" t="str">
        <f>"20190303170521514"</f>
        <v>20190303170521514</v>
      </c>
      <c r="B1277" t="str">
        <f>"1551603921505324"</f>
        <v>1551603921505324</v>
      </c>
      <c r="C1277" t="s">
        <v>40</v>
      </c>
      <c r="D1277">
        <v>5.7825129999999998</v>
      </c>
      <c r="E1277">
        <v>0.4696265</v>
      </c>
      <c r="F1277" t="s">
        <v>41</v>
      </c>
      <c r="G1277">
        <v>-191.9615</v>
      </c>
      <c r="H1277" s="1">
        <v>-6.3222480000000003E-7</v>
      </c>
      <c r="I1277">
        <v>319.84629999999999</v>
      </c>
      <c r="J1277">
        <v>-192.7003</v>
      </c>
      <c r="K1277">
        <v>1.1208290000000001</v>
      </c>
      <c r="L1277">
        <v>344.19850000000002</v>
      </c>
      <c r="M1277">
        <v>3.0257929999999999E-2</v>
      </c>
      <c r="N1277">
        <v>-1.40508E-2</v>
      </c>
      <c r="O1277">
        <v>-0.99944350000000004</v>
      </c>
      <c r="P1277">
        <v>-5.3475580000000002E-2</v>
      </c>
      <c r="Q1277">
        <v>0.16908779999999901</v>
      </c>
      <c r="R1277">
        <v>-0.9841493</v>
      </c>
      <c r="S1277">
        <v>9.3185420000000005E-2</v>
      </c>
      <c r="T1277">
        <v>-0.1395564</v>
      </c>
      <c r="U1277">
        <v>-3.0797119999999998</v>
      </c>
      <c r="V1277">
        <v>8.3501740000000005E-2</v>
      </c>
      <c r="W1277">
        <v>0.1827472</v>
      </c>
      <c r="X1277">
        <v>0.97960749999999996</v>
      </c>
      <c r="Y1277" s="1">
        <v>3.1640899999999997E-5</v>
      </c>
      <c r="Z1277">
        <v>3.119247E-2</v>
      </c>
      <c r="AA1277">
        <v>0.9995134</v>
      </c>
      <c r="AB1277">
        <v>25</v>
      </c>
      <c r="AC1277">
        <v>0.73879999999999701</v>
      </c>
      <c r="AD1277">
        <v>-1.1208296322247999</v>
      </c>
      <c r="AE1277">
        <v>-24.3522</v>
      </c>
      <c r="AF1277">
        <v>-1.5385905331639601E-3</v>
      </c>
      <c r="AG1277">
        <v>-1.1208296322247999</v>
      </c>
      <c r="AH1277">
        <v>24.311949812304</v>
      </c>
      <c r="AI1277">
        <v>92.6395813171481</v>
      </c>
      <c r="AJ1277">
        <v>90.003625984115203</v>
      </c>
      <c r="AK1277">
        <v>24.337772394114499</v>
      </c>
      <c r="AL1277">
        <v>79.470182145357597</v>
      </c>
      <c r="AM1277">
        <v>85.127885200485693</v>
      </c>
      <c r="AN1277">
        <v>0.99999996687355797</v>
      </c>
    </row>
    <row r="1278" spans="1:40" x14ac:dyDescent="0.25">
      <c r="A1278" t="str">
        <f>"20190303170521535"</f>
        <v>20190303170521535</v>
      </c>
      <c r="B1278" t="str">
        <f>"1551603921525821"</f>
        <v>1551603921525821</v>
      </c>
      <c r="C1278" t="s">
        <v>40</v>
      </c>
      <c r="D1278">
        <v>5.7584759999999999</v>
      </c>
      <c r="E1278">
        <v>0.46990399999999999</v>
      </c>
      <c r="F1278" t="s">
        <v>41</v>
      </c>
      <c r="G1278">
        <v>-191.9016</v>
      </c>
      <c r="H1278" s="1">
        <v>-9.3678160000000003E-7</v>
      </c>
      <c r="I1278">
        <v>320.59339999999997</v>
      </c>
      <c r="J1278">
        <v>-192.69399999999999</v>
      </c>
      <c r="K1278">
        <v>1.121146</v>
      </c>
      <c r="L1278">
        <v>343.95859999999999</v>
      </c>
      <c r="M1278">
        <v>2.9687499999999999E-2</v>
      </c>
      <c r="N1278">
        <v>-1.402028E-2</v>
      </c>
      <c r="O1278">
        <v>-0.99946089999999999</v>
      </c>
      <c r="P1278">
        <v>-5.12687E-2</v>
      </c>
      <c r="Q1278">
        <v>0.16859489999999999</v>
      </c>
      <c r="R1278">
        <v>-0.98435119999999998</v>
      </c>
      <c r="S1278">
        <v>0.104187</v>
      </c>
      <c r="T1278">
        <v>-0.14620339999999901</v>
      </c>
      <c r="U1278">
        <v>-3.0791019999999998</v>
      </c>
      <c r="V1278">
        <v>8.0601539999999999E-2</v>
      </c>
      <c r="W1278">
        <v>0.18229480000000001</v>
      </c>
      <c r="X1278">
        <v>0.97993470000000005</v>
      </c>
      <c r="Y1278">
        <v>-4.1084880000000004E-3</v>
      </c>
      <c r="Z1278">
        <v>3.3381840000000003E-2</v>
      </c>
      <c r="AA1278">
        <v>0.99943419999999905</v>
      </c>
      <c r="AB1278">
        <v>25</v>
      </c>
      <c r="AC1278">
        <v>0.79240000000001398</v>
      </c>
      <c r="AD1278">
        <v>-1.1211469367816</v>
      </c>
      <c r="AE1278">
        <v>-23.365200000000002</v>
      </c>
      <c r="AF1278">
        <v>-9.81024919659996E-2</v>
      </c>
      <c r="AG1278">
        <v>-1.1211469367816</v>
      </c>
      <c r="AH1278">
        <v>23.324784019467799</v>
      </c>
      <c r="AI1278">
        <v>92.751880484913002</v>
      </c>
      <c r="AJ1278">
        <v>90.240980821126897</v>
      </c>
      <c r="AK1278">
        <v>23.351919495142202</v>
      </c>
      <c r="AL1278">
        <v>79.496546062641301</v>
      </c>
      <c r="AM1278">
        <v>85.2978951893935</v>
      </c>
      <c r="AN1278">
        <v>1.0000000093107499</v>
      </c>
    </row>
    <row r="1279" spans="1:40" x14ac:dyDescent="0.25">
      <c r="A1279" t="str">
        <f>"20190303170521560"</f>
        <v>20190303170521560</v>
      </c>
      <c r="B1279" t="str">
        <f>"1551603921545340"</f>
        <v>1551603921545340</v>
      </c>
      <c r="C1279" t="s">
        <v>40</v>
      </c>
      <c r="D1279">
        <v>5.7207420000000004</v>
      </c>
      <c r="E1279">
        <v>0.46996690000000002</v>
      </c>
      <c r="F1279" t="s">
        <v>41</v>
      </c>
      <c r="G1279">
        <v>-191.8417</v>
      </c>
      <c r="H1279" s="1">
        <v>-7.7519160000000003E-7</v>
      </c>
      <c r="I1279">
        <v>320.25380000000001</v>
      </c>
      <c r="J1279">
        <v>-192.6865</v>
      </c>
      <c r="K1279">
        <v>1.1214409999999999</v>
      </c>
      <c r="L1279">
        <v>343.68340000000001</v>
      </c>
      <c r="M1279">
        <v>2.9426709999999998E-2</v>
      </c>
      <c r="N1279">
        <v>-1.398891E-2</v>
      </c>
      <c r="O1279">
        <v>-0.99946900000000005</v>
      </c>
      <c r="P1279">
        <v>-4.9216629999999997E-2</v>
      </c>
      <c r="Q1279">
        <v>0.17014460000000001</v>
      </c>
      <c r="R1279">
        <v>-0.98418939999999999</v>
      </c>
      <c r="S1279">
        <v>0.1106873</v>
      </c>
      <c r="T1279">
        <v>-0.14559649999999999</v>
      </c>
      <c r="U1279">
        <v>-3.0783999999999998</v>
      </c>
      <c r="V1279">
        <v>7.8164880000000006E-2</v>
      </c>
      <c r="W1279">
        <v>0.18386710000000001</v>
      </c>
      <c r="X1279">
        <v>0.97983830000000005</v>
      </c>
      <c r="Y1279">
        <v>-6.484096E-3</v>
      </c>
      <c r="Z1279">
        <v>3.3226449999999998E-2</v>
      </c>
      <c r="AA1279">
        <v>0.99942679999999995</v>
      </c>
      <c r="AB1279">
        <v>24</v>
      </c>
      <c r="AC1279">
        <v>0.844799999999992</v>
      </c>
      <c r="AD1279">
        <v>-1.1214417751915999</v>
      </c>
      <c r="AE1279">
        <v>-23.429599999999901</v>
      </c>
      <c r="AF1279">
        <v>-0.154556903055797</v>
      </c>
      <c r="AG1279">
        <v>-1.1214417751915999</v>
      </c>
      <c r="AH1279">
        <v>23.3907951606068</v>
      </c>
      <c r="AI1279">
        <v>92.744811251221805</v>
      </c>
      <c r="AJ1279">
        <v>90.378581801299305</v>
      </c>
      <c r="AK1279">
        <v>23.418172809527501</v>
      </c>
      <c r="AL1279">
        <v>79.404910718344098</v>
      </c>
      <c r="AM1279">
        <v>85.4389885008909</v>
      </c>
      <c r="AN1279">
        <v>0.99999997653735695</v>
      </c>
    </row>
    <row r="1280" spans="1:40" x14ac:dyDescent="0.25">
      <c r="A1280" t="str">
        <f>"20190303170521581"</f>
        <v>20190303170521581</v>
      </c>
      <c r="B1280" t="str">
        <f>"1551603921575597"</f>
        <v>1551603921575597</v>
      </c>
      <c r="C1280" t="s">
        <v>40</v>
      </c>
      <c r="D1280">
        <v>5.8184310000000004</v>
      </c>
      <c r="E1280">
        <v>0.46977609999999997</v>
      </c>
      <c r="F1280" t="s">
        <v>41</v>
      </c>
      <c r="G1280">
        <v>-191.74610000000001</v>
      </c>
      <c r="H1280" s="1">
        <v>-4.8417830000000001E-6</v>
      </c>
      <c r="I1280">
        <v>319.08780000000002</v>
      </c>
      <c r="J1280">
        <v>-192.68</v>
      </c>
      <c r="K1280">
        <v>1.12161</v>
      </c>
      <c r="L1280">
        <v>343.46089999999998</v>
      </c>
      <c r="M1280">
        <v>2.95096E-2</v>
      </c>
      <c r="N1280">
        <v>-1.396009E-2</v>
      </c>
      <c r="O1280">
        <v>-0.99946710000000005</v>
      </c>
      <c r="P1280">
        <v>-4.6997200000000003E-2</v>
      </c>
      <c r="Q1280">
        <v>0.17173840000000001</v>
      </c>
      <c r="R1280">
        <v>-0.98402120000000004</v>
      </c>
      <c r="S1280">
        <v>0.117691</v>
      </c>
      <c r="T1280">
        <v>-0.1403567</v>
      </c>
      <c r="U1280">
        <v>-3.0783079999999998</v>
      </c>
      <c r="V1280">
        <v>7.5949119999999995E-2</v>
      </c>
      <c r="W1280">
        <v>0.18546190000000001</v>
      </c>
      <c r="X1280">
        <v>0.97971200000000003</v>
      </c>
      <c r="Y1280">
        <v>-8.6742490000000002E-3</v>
      </c>
      <c r="Z1280">
        <v>3.1558709999999997E-2</v>
      </c>
      <c r="AA1280">
        <v>0.99946429999999997</v>
      </c>
      <c r="AB1280">
        <v>24</v>
      </c>
      <c r="AC1280">
        <v>0.93389999999999396</v>
      </c>
      <c r="AD1280">
        <v>-1.1216148417829901</v>
      </c>
      <c r="AE1280">
        <v>-24.373099999999901</v>
      </c>
      <c r="AF1280">
        <v>-0.21373078886334401</v>
      </c>
      <c r="AG1280">
        <v>-1.1216148417829901</v>
      </c>
      <c r="AH1280">
        <v>24.338578644988299</v>
      </c>
      <c r="AI1280">
        <v>92.638440405856798</v>
      </c>
      <c r="AJ1280">
        <v>90.503133628440906</v>
      </c>
      <c r="AK1280">
        <v>24.365346522503899</v>
      </c>
      <c r="AL1280">
        <v>79.311936577428</v>
      </c>
      <c r="AM1280">
        <v>85.567188911877295</v>
      </c>
      <c r="AN1280">
        <v>0.99999999406219198</v>
      </c>
    </row>
    <row r="1281" spans="1:40" x14ac:dyDescent="0.25">
      <c r="A1281" t="str">
        <f>"20190303170521602"</f>
        <v>20190303170521602</v>
      </c>
      <c r="B1281" t="str">
        <f>"1551603921596093"</f>
        <v>1551603921596093</v>
      </c>
      <c r="C1281" t="s">
        <v>40</v>
      </c>
      <c r="D1281">
        <v>5.8104189999999996</v>
      </c>
      <c r="E1281">
        <v>0.46986810000000001</v>
      </c>
      <c r="F1281" t="s">
        <v>41</v>
      </c>
      <c r="G1281">
        <v>-191.66149999999999</v>
      </c>
      <c r="H1281" s="1">
        <v>-4.5513529999999999E-6</v>
      </c>
      <c r="I1281">
        <v>318.37060000000002</v>
      </c>
      <c r="J1281">
        <v>-192.673</v>
      </c>
      <c r="K1281">
        <v>1.121732</v>
      </c>
      <c r="L1281">
        <v>343.22579999999999</v>
      </c>
      <c r="M1281">
        <v>2.9808040000000001E-2</v>
      </c>
      <c r="N1281">
        <v>-1.391184E-2</v>
      </c>
      <c r="O1281">
        <v>-0.99945910000000004</v>
      </c>
      <c r="P1281">
        <v>-4.4889930000000001E-2</v>
      </c>
      <c r="Q1281">
        <v>0.1715575</v>
      </c>
      <c r="R1281">
        <v>-0.98415109999999995</v>
      </c>
      <c r="S1281">
        <v>0.1249695</v>
      </c>
      <c r="T1281">
        <v>-0.13762639999999901</v>
      </c>
      <c r="U1281">
        <v>-3.0786739999999999</v>
      </c>
      <c r="V1281">
        <v>7.4082990000000001E-2</v>
      </c>
      <c r="W1281">
        <v>0.18525759999999999</v>
      </c>
      <c r="X1281">
        <v>0.97989349999999997</v>
      </c>
      <c r="Y1281">
        <v>-1.073065E-2</v>
      </c>
      <c r="Z1281">
        <v>3.0715300000000001E-2</v>
      </c>
      <c r="AA1281">
        <v>0.99947059999999999</v>
      </c>
      <c r="AB1281">
        <v>24</v>
      </c>
      <c r="AC1281">
        <v>1.0115000000000101</v>
      </c>
      <c r="AD1281">
        <v>-1.121736551353</v>
      </c>
      <c r="AE1281">
        <v>-24.8551999999999</v>
      </c>
      <c r="AF1281">
        <v>-0.26954604541348398</v>
      </c>
      <c r="AG1281">
        <v>-1.121736551353</v>
      </c>
      <c r="AH1281">
        <v>24.8238295518514</v>
      </c>
      <c r="AI1281">
        <v>92.587163147445693</v>
      </c>
      <c r="AJ1281">
        <v>90.622113676442297</v>
      </c>
      <c r="AK1281">
        <v>24.850622961620299</v>
      </c>
      <c r="AL1281">
        <v>79.323848266008497</v>
      </c>
      <c r="AM1281">
        <v>85.676486204436998</v>
      </c>
      <c r="AN1281">
        <v>0.99999996955367398</v>
      </c>
    </row>
    <row r="1282" spans="1:40" x14ac:dyDescent="0.25">
      <c r="A1282" t="str">
        <f>"20190303170521625"</f>
        <v>20190303170521625</v>
      </c>
      <c r="B1282" t="str">
        <f>"1551603921615613"</f>
        <v>1551603921615613</v>
      </c>
      <c r="C1282" t="s">
        <v>40</v>
      </c>
      <c r="D1282">
        <v>5.8763899999999998</v>
      </c>
      <c r="E1282">
        <v>0.46988220000000003</v>
      </c>
      <c r="F1282" t="s">
        <v>41</v>
      </c>
      <c r="G1282">
        <v>-191.6266</v>
      </c>
      <c r="H1282" s="1">
        <v>-4.5233959999999996E-6</v>
      </c>
      <c r="I1282">
        <v>318.31400000000002</v>
      </c>
      <c r="J1282">
        <v>-192.6653</v>
      </c>
      <c r="K1282">
        <v>1.1218030000000001</v>
      </c>
      <c r="L1282">
        <v>342.98009999999999</v>
      </c>
      <c r="M1282">
        <v>3.0267619999999999E-2</v>
      </c>
      <c r="N1282">
        <v>-1.3828790000000001E-2</v>
      </c>
      <c r="O1282">
        <v>-0.99944619999999995</v>
      </c>
      <c r="P1282">
        <v>-4.2190100000000001E-2</v>
      </c>
      <c r="Q1282">
        <v>0.17073379999999999</v>
      </c>
      <c r="R1282">
        <v>-0.9844136</v>
      </c>
      <c r="S1282">
        <v>0.129303</v>
      </c>
      <c r="T1282">
        <v>-0.13861509999999999</v>
      </c>
      <c r="U1282">
        <v>-3.0783999999999998</v>
      </c>
      <c r="V1282">
        <v>7.1804350000000003E-2</v>
      </c>
      <c r="W1282">
        <v>0.18437139999999999</v>
      </c>
      <c r="X1282">
        <v>0.98023020000000005</v>
      </c>
      <c r="Y1282">
        <v>-1.167814E-2</v>
      </c>
      <c r="Z1282">
        <v>3.1120209999999999E-2</v>
      </c>
      <c r="AA1282">
        <v>0.99944739999999999</v>
      </c>
      <c r="AB1282">
        <v>24</v>
      </c>
      <c r="AC1282">
        <v>1.0387</v>
      </c>
      <c r="AD1282">
        <v>-1.1218075233959901</v>
      </c>
      <c r="AE1282">
        <v>-24.666099999999901</v>
      </c>
      <c r="AF1282">
        <v>-0.29096772241747598</v>
      </c>
      <c r="AG1282">
        <v>-1.1218075233959901</v>
      </c>
      <c r="AH1282">
        <v>24.6353728241764</v>
      </c>
      <c r="AI1282">
        <v>92.607063943141597</v>
      </c>
      <c r="AJ1282">
        <v>90.676687438268701</v>
      </c>
      <c r="AK1282">
        <v>24.662617633195499</v>
      </c>
      <c r="AL1282">
        <v>79.375513722206904</v>
      </c>
      <c r="AM1282">
        <v>85.810421707026705</v>
      </c>
      <c r="AN1282">
        <v>0.99999996140446001</v>
      </c>
    </row>
    <row r="1283" spans="1:40" x14ac:dyDescent="0.25">
      <c r="A1283" t="str">
        <f>"20190303170521647"</f>
        <v>20190303170521647</v>
      </c>
      <c r="B1283" t="str">
        <f>"1551603921636109"</f>
        <v>1551603921636109</v>
      </c>
      <c r="C1283" t="s">
        <v>40</v>
      </c>
      <c r="D1283">
        <v>5.8183579999999999</v>
      </c>
      <c r="E1283">
        <v>0.469864</v>
      </c>
      <c r="F1283" t="s">
        <v>41</v>
      </c>
      <c r="G1283">
        <v>-191.5872</v>
      </c>
      <c r="H1283" s="1">
        <v>-4.6560799999999996E-6</v>
      </c>
      <c r="I1283">
        <v>318.67770000000002</v>
      </c>
      <c r="J1283">
        <v>-192.65729999999999</v>
      </c>
      <c r="K1283">
        <v>1.1218300000000001</v>
      </c>
      <c r="L1283">
        <v>342.73270000000002</v>
      </c>
      <c r="M1283">
        <v>3.07833E-2</v>
      </c>
      <c r="N1283">
        <v>-1.370962E-2</v>
      </c>
      <c r="O1283">
        <v>-0.99943219999999999</v>
      </c>
      <c r="P1283">
        <v>-3.8238420000000002E-2</v>
      </c>
      <c r="Q1283">
        <v>0.1702698</v>
      </c>
      <c r="R1283">
        <v>-0.98465530000000001</v>
      </c>
      <c r="S1283">
        <v>0.1365509</v>
      </c>
      <c r="T1283">
        <v>-0.14208319999999999</v>
      </c>
      <c r="U1283">
        <v>-3.078033</v>
      </c>
      <c r="V1283">
        <v>6.8345000000000003E-2</v>
      </c>
      <c r="W1283">
        <v>0.18380150000000001</v>
      </c>
      <c r="X1283">
        <v>0.98058449999999997</v>
      </c>
      <c r="Y1283">
        <v>-1.351373E-2</v>
      </c>
      <c r="Z1283">
        <v>3.2363790000000003E-2</v>
      </c>
      <c r="AA1283">
        <v>0.99938479999999996</v>
      </c>
      <c r="AB1283">
        <v>24</v>
      </c>
      <c r="AC1283">
        <v>1.0700999999999901</v>
      </c>
      <c r="AD1283">
        <v>-1.1218346560800001</v>
      </c>
      <c r="AE1283">
        <v>-24.055</v>
      </c>
      <c r="AF1283">
        <v>-0.32831832929719501</v>
      </c>
      <c r="AG1283">
        <v>-1.1218346560800001</v>
      </c>
      <c r="AH1283">
        <v>24.024393681955701</v>
      </c>
      <c r="AI1283">
        <v>92.6732722937262</v>
      </c>
      <c r="AJ1283">
        <v>90.782957685356493</v>
      </c>
      <c r="AK1283">
        <v>24.052812677658501</v>
      </c>
      <c r="AL1283">
        <v>79.408734698028297</v>
      </c>
      <c r="AM1283">
        <v>86.013033492725299</v>
      </c>
      <c r="AN1283">
        <v>0.99999999603375</v>
      </c>
    </row>
    <row r="1284" spans="1:40" x14ac:dyDescent="0.25">
      <c r="A1284" t="str">
        <f>"20190303170521668"</f>
        <v>20190303170521668</v>
      </c>
      <c r="B1284" t="str">
        <f>"1551603921655628"</f>
        <v>1551603921655628</v>
      </c>
      <c r="C1284" t="s">
        <v>40</v>
      </c>
      <c r="D1284">
        <v>5.7644789999999997</v>
      </c>
      <c r="E1284">
        <v>0.46990549999999998</v>
      </c>
      <c r="F1284" t="s">
        <v>41</v>
      </c>
      <c r="G1284">
        <v>-191.49930000000001</v>
      </c>
      <c r="H1284" s="1">
        <v>-4.6607819999999901E-6</v>
      </c>
      <c r="I1284">
        <v>318.73050000000001</v>
      </c>
      <c r="J1284">
        <v>-192.6499</v>
      </c>
      <c r="K1284">
        <v>1.121848</v>
      </c>
      <c r="L1284">
        <v>342.50790000000001</v>
      </c>
      <c r="M1284">
        <v>3.1251609999999999E-2</v>
      </c>
      <c r="N1284">
        <v>-1.358899E-2</v>
      </c>
      <c r="O1284">
        <v>-0.99941930000000001</v>
      </c>
      <c r="P1284">
        <v>-3.3434749999999999E-2</v>
      </c>
      <c r="Q1284">
        <v>0.17217479999999999</v>
      </c>
      <c r="R1284">
        <v>-0.98449920000000002</v>
      </c>
      <c r="S1284">
        <v>0.14846799999999999</v>
      </c>
      <c r="T1284">
        <v>-0.14383489999999999</v>
      </c>
      <c r="U1284">
        <v>-3.077423</v>
      </c>
      <c r="V1284">
        <v>6.3988119999999996E-2</v>
      </c>
      <c r="W1284">
        <v>0.18558559999999999</v>
      </c>
      <c r="X1284">
        <v>0.98054249999999998</v>
      </c>
      <c r="Y1284">
        <v>-1.691322E-2</v>
      </c>
      <c r="Z1284">
        <v>3.3054970000000003E-2</v>
      </c>
      <c r="AA1284">
        <v>0.99931040000000004</v>
      </c>
      <c r="AB1284">
        <v>24</v>
      </c>
      <c r="AC1284">
        <v>1.1505999999999901</v>
      </c>
      <c r="AD1284">
        <v>-1.1218526607820001</v>
      </c>
      <c r="AE1284">
        <v>-23.7774</v>
      </c>
      <c r="AF1284">
        <v>-0.40598568189776402</v>
      </c>
      <c r="AG1284">
        <v>-1.1218526607820001</v>
      </c>
      <c r="AH1284">
        <v>23.749001253254701</v>
      </c>
      <c r="AI1284">
        <v>92.704126667277905</v>
      </c>
      <c r="AJ1284">
        <v>90.979367525976102</v>
      </c>
      <c r="AK1284">
        <v>23.7789494783412</v>
      </c>
      <c r="AL1284">
        <v>79.304724419727606</v>
      </c>
      <c r="AM1284">
        <v>86.266293279985902</v>
      </c>
      <c r="AN1284">
        <v>1.00000004436737</v>
      </c>
    </row>
    <row r="1285" spans="1:40" x14ac:dyDescent="0.25">
      <c r="A1285" t="str">
        <f>"20190303170521691"</f>
        <v>20190303170521691</v>
      </c>
      <c r="B1285" t="str">
        <f>"1551603921676125"</f>
        <v>1551603921676125</v>
      </c>
      <c r="C1285" t="s">
        <v>40</v>
      </c>
      <c r="D1285">
        <v>5.7942</v>
      </c>
      <c r="E1285">
        <v>0.4699354</v>
      </c>
      <c r="F1285" t="s">
        <v>41</v>
      </c>
      <c r="G1285">
        <v>-191.33179999999999</v>
      </c>
      <c r="H1285" s="1">
        <v>-4.1368230000000004E-6</v>
      </c>
      <c r="I1285">
        <v>317.5933</v>
      </c>
      <c r="J1285">
        <v>-192.64160000000001</v>
      </c>
      <c r="K1285">
        <v>1.1218300000000001</v>
      </c>
      <c r="L1285">
        <v>342.26209999999998</v>
      </c>
      <c r="M1285">
        <v>3.1749140000000002E-2</v>
      </c>
      <c r="N1285">
        <v>-1.3442630000000001E-2</v>
      </c>
      <c r="O1285">
        <v>-0.99940549999999995</v>
      </c>
      <c r="P1285">
        <v>-2.9412609999999999E-2</v>
      </c>
      <c r="Q1285">
        <v>0.17446739999999999</v>
      </c>
      <c r="R1285">
        <v>-0.98422379999999998</v>
      </c>
      <c r="S1285">
        <v>0.1627808</v>
      </c>
      <c r="T1285">
        <v>-0.1385509</v>
      </c>
      <c r="U1285">
        <v>-3.0769959999999998</v>
      </c>
      <c r="V1285">
        <v>6.0450950000000003E-2</v>
      </c>
      <c r="W1285">
        <v>0.1877269</v>
      </c>
      <c r="X1285">
        <v>0.98035930000000004</v>
      </c>
      <c r="Y1285">
        <v>-2.1059830000000002E-2</v>
      </c>
      <c r="Z1285">
        <v>3.1490249999999997E-2</v>
      </c>
      <c r="AA1285">
        <v>0.99928220000000001</v>
      </c>
      <c r="AB1285">
        <v>24</v>
      </c>
      <c r="AC1285">
        <v>1.3098000000000201</v>
      </c>
      <c r="AD1285">
        <v>-1.12183413682299</v>
      </c>
      <c r="AE1285">
        <v>-24.668799999999901</v>
      </c>
      <c r="AF1285">
        <v>-0.524773428783047</v>
      </c>
      <c r="AG1285">
        <v>-1.12183413682299</v>
      </c>
      <c r="AH1285">
        <v>24.647122009755901</v>
      </c>
      <c r="AI1285">
        <v>92.605476431391594</v>
      </c>
      <c r="AJ1285">
        <v>91.219727011409901</v>
      </c>
      <c r="AK1285">
        <v>24.6782195943284</v>
      </c>
      <c r="AL1285">
        <v>79.179842037659895</v>
      </c>
      <c r="AM1285">
        <v>86.471493119416095</v>
      </c>
      <c r="AN1285">
        <v>1.000000031718</v>
      </c>
    </row>
    <row r="1286" spans="1:40" x14ac:dyDescent="0.25">
      <c r="A1286" t="str">
        <f>"20190303170521713"</f>
        <v>20190303170521713</v>
      </c>
      <c r="B1286" t="str">
        <f>"1551603921705404"</f>
        <v>1551603921705404</v>
      </c>
      <c r="C1286" t="s">
        <v>40</v>
      </c>
      <c r="D1286">
        <v>5.8763500000000004</v>
      </c>
      <c r="E1286">
        <v>0.47022599999999998</v>
      </c>
      <c r="F1286" t="s">
        <v>41</v>
      </c>
      <c r="G1286">
        <v>-191.1738</v>
      </c>
      <c r="H1286" s="1">
        <v>-3.4414289999999999E-6</v>
      </c>
      <c r="I1286">
        <v>316.21120000000002</v>
      </c>
      <c r="J1286">
        <v>-192.63310000000001</v>
      </c>
      <c r="K1286">
        <v>1.1217680000000001</v>
      </c>
      <c r="L1286">
        <v>342.01459999999997</v>
      </c>
      <c r="M1286">
        <v>3.2224750000000003E-2</v>
      </c>
      <c r="N1286">
        <v>-1.327309E-2</v>
      </c>
      <c r="O1286">
        <v>-0.99939279999999997</v>
      </c>
      <c r="P1286">
        <v>-2.6156559999999999E-2</v>
      </c>
      <c r="Q1286">
        <v>0.174900799999999</v>
      </c>
      <c r="R1286">
        <v>-0.98423919999999998</v>
      </c>
      <c r="S1286">
        <v>0.17335510000000001</v>
      </c>
      <c r="T1286">
        <v>-0.13249459999999999</v>
      </c>
      <c r="U1286">
        <v>-3.0767519999999999</v>
      </c>
      <c r="V1286">
        <v>5.7680910000000002E-2</v>
      </c>
      <c r="W1286">
        <v>0.18798680000000001</v>
      </c>
      <c r="X1286">
        <v>0.98047629999999997</v>
      </c>
      <c r="Y1286">
        <v>-2.4014770000000001E-2</v>
      </c>
      <c r="Z1286">
        <v>2.9696989999999999E-2</v>
      </c>
      <c r="AA1286">
        <v>0.9992704</v>
      </c>
      <c r="AB1286">
        <v>24</v>
      </c>
      <c r="AC1286">
        <v>1.45930000000001</v>
      </c>
      <c r="AD1286">
        <v>-1.1217714414290001</v>
      </c>
      <c r="AE1286">
        <v>-25.8033999999999</v>
      </c>
      <c r="AF1286">
        <v>-0.62578190922598897</v>
      </c>
      <c r="AG1286">
        <v>-1.1217714414290001</v>
      </c>
      <c r="AH1286">
        <v>25.788442314315901</v>
      </c>
      <c r="AI1286">
        <v>92.490006845232799</v>
      </c>
      <c r="AJ1286">
        <v>91.390065627623699</v>
      </c>
      <c r="AK1286">
        <v>25.8204130711249</v>
      </c>
      <c r="AL1286">
        <v>79.164680042763607</v>
      </c>
      <c r="AM1286">
        <v>86.633199620088703</v>
      </c>
      <c r="AN1286">
        <v>0.99999994960717697</v>
      </c>
    </row>
    <row r="1287" spans="1:40" x14ac:dyDescent="0.25">
      <c r="A1287" t="str">
        <f>"20190303170521736"</f>
        <v>20190303170521736</v>
      </c>
      <c r="B1287" t="str">
        <f>"1551603921725901"</f>
        <v>1551603921725901</v>
      </c>
      <c r="C1287" t="s">
        <v>40</v>
      </c>
      <c r="D1287">
        <v>5.6846129999999997</v>
      </c>
      <c r="E1287">
        <v>0.47055259999999999</v>
      </c>
      <c r="F1287" t="s">
        <v>41</v>
      </c>
      <c r="G1287">
        <v>-191.11160000000001</v>
      </c>
      <c r="H1287" s="1">
        <v>-3.2699140000000002E-6</v>
      </c>
      <c r="I1287">
        <v>315.88339999999999</v>
      </c>
      <c r="J1287">
        <v>-192.62459999999999</v>
      </c>
      <c r="K1287">
        <v>1.121686</v>
      </c>
      <c r="L1287">
        <v>341.7697</v>
      </c>
      <c r="M1287">
        <v>3.2666899999999999E-2</v>
      </c>
      <c r="N1287">
        <v>-1.308752E-2</v>
      </c>
      <c r="O1287">
        <v>-0.99938079999999996</v>
      </c>
      <c r="P1287">
        <v>-2.332476E-2</v>
      </c>
      <c r="Q1287">
        <v>0.1729927</v>
      </c>
      <c r="R1287">
        <v>-0.98464739999999995</v>
      </c>
      <c r="S1287">
        <v>0.1791229</v>
      </c>
      <c r="T1287">
        <v>-0.13205790000000001</v>
      </c>
      <c r="U1287">
        <v>-3.0762330000000002</v>
      </c>
      <c r="V1287">
        <v>5.5321450000000001E-2</v>
      </c>
      <c r="W1287">
        <v>0.18589530000000001</v>
      </c>
      <c r="X1287">
        <v>0.98101099999999997</v>
      </c>
      <c r="Y1287">
        <v>-2.5449030000000001E-2</v>
      </c>
      <c r="Z1287">
        <v>2.9744759999999999E-2</v>
      </c>
      <c r="AA1287">
        <v>0.9992335</v>
      </c>
      <c r="AB1287">
        <v>24</v>
      </c>
      <c r="AC1287">
        <v>1.5129999999999699</v>
      </c>
      <c r="AD1287">
        <v>-1.121689269914</v>
      </c>
      <c r="AE1287">
        <v>-25.886299999999999</v>
      </c>
      <c r="AF1287">
        <v>-0.66525010101317805</v>
      </c>
      <c r="AG1287">
        <v>-1.121689269914</v>
      </c>
      <c r="AH1287">
        <v>25.8734963001972</v>
      </c>
      <c r="AI1287">
        <v>92.481560641958296</v>
      </c>
      <c r="AJ1287">
        <v>91.472844127467695</v>
      </c>
      <c r="AK1287">
        <v>25.9063419901664</v>
      </c>
      <c r="AL1287">
        <v>79.286665776254495</v>
      </c>
      <c r="AM1287">
        <v>86.772378661798498</v>
      </c>
      <c r="AN1287">
        <v>1.0000000537565901</v>
      </c>
    </row>
    <row r="1288" spans="1:40" x14ac:dyDescent="0.25">
      <c r="A1288" t="str">
        <f>"20190303170521782"</f>
        <v>20190303170521782</v>
      </c>
      <c r="B1288" t="str">
        <f>"1551603921776652"</f>
        <v>1551603921776652</v>
      </c>
      <c r="C1288" t="s">
        <v>40</v>
      </c>
      <c r="D1288">
        <v>5.9339079999999997</v>
      </c>
      <c r="E1288">
        <v>0.47107510000000002</v>
      </c>
      <c r="F1288" t="s">
        <v>41</v>
      </c>
      <c r="G1288">
        <v>-191.12780000000001</v>
      </c>
      <c r="H1288" s="1">
        <v>-3.7630950000000001E-6</v>
      </c>
      <c r="I1288">
        <v>316.91750000000002</v>
      </c>
      <c r="J1288">
        <v>-192.6071</v>
      </c>
      <c r="K1288">
        <v>1.1215189999999999</v>
      </c>
      <c r="L1288">
        <v>341.26780000000002</v>
      </c>
      <c r="M1288">
        <v>3.3463550000000002E-2</v>
      </c>
      <c r="N1288">
        <v>-1.2660380000000001E-2</v>
      </c>
      <c r="O1288">
        <v>-0.99936000000000003</v>
      </c>
      <c r="P1288">
        <v>-1.666834E-2</v>
      </c>
      <c r="Q1288">
        <v>0.17212</v>
      </c>
      <c r="R1288">
        <v>-0.98493520000000001</v>
      </c>
      <c r="S1288">
        <v>0.18524170000000001</v>
      </c>
      <c r="T1288">
        <v>-0.138814299999999</v>
      </c>
      <c r="U1288">
        <v>-3.0755620000000001</v>
      </c>
      <c r="V1288">
        <v>4.950015E-2</v>
      </c>
      <c r="W1288">
        <v>0.18459449999999999</v>
      </c>
      <c r="X1288">
        <v>0.98156739999999998</v>
      </c>
      <c r="Y1288">
        <v>-2.6640649999999998E-2</v>
      </c>
      <c r="Z1288">
        <v>3.2363790000000003E-2</v>
      </c>
      <c r="AA1288">
        <v>0.99912109999999998</v>
      </c>
      <c r="AB1288">
        <v>24</v>
      </c>
      <c r="AC1288">
        <v>1.4792999999999901</v>
      </c>
      <c r="AD1288">
        <v>-1.121522763095</v>
      </c>
      <c r="AE1288">
        <v>-24.350300000000001</v>
      </c>
      <c r="AF1288">
        <v>-0.66215928954909697</v>
      </c>
      <c r="AG1288">
        <v>-1.121522763095</v>
      </c>
      <c r="AH1288">
        <v>24.3347346377235</v>
      </c>
      <c r="AI1288">
        <v>92.637766906683495</v>
      </c>
      <c r="AJ1288">
        <v>91.558659830713296</v>
      </c>
      <c r="AK1288">
        <v>24.369562534466901</v>
      </c>
      <c r="AL1288">
        <v>79.362507969153995</v>
      </c>
      <c r="AM1288">
        <v>87.113036673323705</v>
      </c>
      <c r="AN1288">
        <v>0.99999997751151604</v>
      </c>
    </row>
    <row r="1289" spans="1:40" x14ac:dyDescent="0.25">
      <c r="A1289" t="str">
        <f>"20190303170521804"</f>
        <v>20190303170521804</v>
      </c>
      <c r="B1289" t="str">
        <f>"1551603921796172"</f>
        <v>1551603921796172</v>
      </c>
      <c r="C1289" t="s">
        <v>40</v>
      </c>
      <c r="D1289">
        <v>5.7535910000000001</v>
      </c>
      <c r="E1289">
        <v>0.47134510000000002</v>
      </c>
      <c r="F1289" t="s">
        <v>41</v>
      </c>
      <c r="G1289">
        <v>-191.0026</v>
      </c>
      <c r="H1289" s="1">
        <v>-3.729153E-6</v>
      </c>
      <c r="I1289">
        <v>316.9162</v>
      </c>
      <c r="J1289">
        <v>-192.5986</v>
      </c>
      <c r="K1289">
        <v>1.1214550000000001</v>
      </c>
      <c r="L1289">
        <v>341.02690000000001</v>
      </c>
      <c r="M1289">
        <v>3.3792099999999999E-2</v>
      </c>
      <c r="N1289">
        <v>-1.2426889999999999E-2</v>
      </c>
      <c r="O1289">
        <v>-0.99935160000000001</v>
      </c>
      <c r="P1289">
        <v>-1.395154E-2</v>
      </c>
      <c r="Q1289">
        <v>0.17242060000000001</v>
      </c>
      <c r="R1289">
        <v>-0.98492489999999999</v>
      </c>
      <c r="S1289">
        <v>0.20254520000000001</v>
      </c>
      <c r="T1289">
        <v>-0.1415805</v>
      </c>
      <c r="U1289">
        <v>-3.0741269999999998</v>
      </c>
      <c r="V1289">
        <v>4.7120549999999997E-2</v>
      </c>
      <c r="W1289">
        <v>0.18466199999999999</v>
      </c>
      <c r="X1289">
        <v>0.98167190000000004</v>
      </c>
      <c r="Y1289">
        <v>-3.1936850000000003E-2</v>
      </c>
      <c r="Z1289">
        <v>3.3502459999999998E-2</v>
      </c>
      <c r="AA1289">
        <v>0.99892820000000004</v>
      </c>
      <c r="AB1289">
        <v>24</v>
      </c>
      <c r="AC1289">
        <v>1.5960000000000001</v>
      </c>
      <c r="AD1289">
        <v>-1.1214587291529901</v>
      </c>
      <c r="AE1289">
        <v>-24.110700000000001</v>
      </c>
      <c r="AF1289">
        <v>-0.778597128658992</v>
      </c>
      <c r="AG1289">
        <v>-1.1214587291529901</v>
      </c>
      <c r="AH1289">
        <v>24.0989547795674</v>
      </c>
      <c r="AI1289">
        <v>92.6629824132295</v>
      </c>
      <c r="AJ1289">
        <v>91.850487611996996</v>
      </c>
      <c r="AK1289">
        <v>24.1375952538273</v>
      </c>
      <c r="AL1289">
        <v>79.358573739675904</v>
      </c>
      <c r="AM1289">
        <v>87.251894420421095</v>
      </c>
      <c r="AN1289">
        <v>1.0000000598629499</v>
      </c>
    </row>
    <row r="1290" spans="1:40" x14ac:dyDescent="0.25">
      <c r="A1290" t="str">
        <f>"20190303170521827"</f>
        <v>20190303170521827</v>
      </c>
      <c r="B1290" t="str">
        <f>"1551603921815692"</f>
        <v>1551603921815692</v>
      </c>
      <c r="C1290" t="s">
        <v>40</v>
      </c>
      <c r="D1290">
        <v>5.7738160000000001</v>
      </c>
      <c r="E1290">
        <v>0.48246650000000002</v>
      </c>
      <c r="F1290" t="s">
        <v>41</v>
      </c>
      <c r="G1290">
        <v>-190.941</v>
      </c>
      <c r="H1290" s="1">
        <v>-3.5749580000000002E-6</v>
      </c>
      <c r="I1290">
        <v>316.62470000000002</v>
      </c>
      <c r="J1290">
        <v>-192.58959999999999</v>
      </c>
      <c r="K1290">
        <v>1.1213900000000001</v>
      </c>
      <c r="L1290">
        <v>340.77429999999998</v>
      </c>
      <c r="M1290">
        <v>3.4106669999999999E-2</v>
      </c>
      <c r="N1290">
        <v>-1.2161150000000001E-2</v>
      </c>
      <c r="O1290">
        <v>-0.99934440000000002</v>
      </c>
      <c r="P1290">
        <v>-1.233778E-2</v>
      </c>
      <c r="Q1290">
        <v>0.17250489999999999</v>
      </c>
      <c r="R1290">
        <v>-0.98493189999999997</v>
      </c>
      <c r="S1290">
        <v>0.208786</v>
      </c>
      <c r="T1290">
        <v>-0.14125650000000001</v>
      </c>
      <c r="U1290">
        <v>-3.073639</v>
      </c>
      <c r="V1290">
        <v>4.5829179999999997E-2</v>
      </c>
      <c r="W1290">
        <v>0.18448200000000001</v>
      </c>
      <c r="X1290">
        <v>0.98176680000000005</v>
      </c>
      <c r="Y1290">
        <v>-3.365129E-2</v>
      </c>
      <c r="Z1290">
        <v>3.3665569999999999E-2</v>
      </c>
      <c r="AA1290">
        <v>0.99886640000000004</v>
      </c>
      <c r="AB1290">
        <v>24</v>
      </c>
      <c r="AC1290">
        <v>1.6486000000000101</v>
      </c>
      <c r="AD1290">
        <v>-1.121393574958</v>
      </c>
      <c r="AE1290">
        <v>-24.1495999999999</v>
      </c>
      <c r="AF1290">
        <v>-0.82215297587539704</v>
      </c>
      <c r="AG1290">
        <v>-1.121393574958</v>
      </c>
      <c r="AH1290">
        <v>24.139970033422198</v>
      </c>
      <c r="AI1290">
        <v>92.658156192641897</v>
      </c>
      <c r="AJ1290">
        <v>91.950611166868001</v>
      </c>
      <c r="AK1290">
        <v>24.179983711330699</v>
      </c>
      <c r="AL1290">
        <v>79.369066472466898</v>
      </c>
      <c r="AM1290">
        <v>87.327355317312097</v>
      </c>
      <c r="AN1290">
        <v>0.99999998582285599</v>
      </c>
    </row>
    <row r="1291" spans="1:40" x14ac:dyDescent="0.25">
      <c r="A1291" t="str">
        <f>"20190303170521847"</f>
        <v>20190303170521847</v>
      </c>
      <c r="B1291" t="str">
        <f>"1551603921836189"</f>
        <v>1551603921836189</v>
      </c>
      <c r="C1291" t="s">
        <v>40</v>
      </c>
      <c r="D1291">
        <v>5.8111030000000001</v>
      </c>
      <c r="E1291">
        <v>0.4821452</v>
      </c>
      <c r="F1291" t="s">
        <v>41</v>
      </c>
      <c r="G1291">
        <v>-191.2919</v>
      </c>
      <c r="H1291" s="1">
        <v>-4.138637E-6</v>
      </c>
      <c r="I1291">
        <v>308.47489999999999</v>
      </c>
      <c r="J1291">
        <v>-192.58160000000001</v>
      </c>
      <c r="K1291">
        <v>1.1213470000000001</v>
      </c>
      <c r="L1291">
        <v>340.54930000000002</v>
      </c>
      <c r="M1291">
        <v>3.4370499999999998E-2</v>
      </c>
      <c r="N1291">
        <v>-1.1923970000000001E-2</v>
      </c>
      <c r="O1291">
        <v>-0.99933819999999995</v>
      </c>
      <c r="P1291">
        <v>-1.1762949999999999E-2</v>
      </c>
      <c r="Q1291">
        <v>0.1732108</v>
      </c>
      <c r="R1291">
        <v>-0.98481490000000005</v>
      </c>
      <c r="S1291">
        <v>0.12318419999999999</v>
      </c>
      <c r="T1291">
        <v>-0.1064514</v>
      </c>
      <c r="U1291">
        <v>-3.0661010000000002</v>
      </c>
      <c r="V1291">
        <v>4.5519179999999999E-2</v>
      </c>
      <c r="W1291">
        <v>0.18495159999999999</v>
      </c>
      <c r="X1291">
        <v>0.98169289999999998</v>
      </c>
      <c r="Y1291">
        <v>-5.7628459999999899E-3</v>
      </c>
      <c r="Z1291">
        <v>2.2741899999999999E-2</v>
      </c>
      <c r="AA1291">
        <v>0.99972470000000002</v>
      </c>
      <c r="AB1291">
        <v>24</v>
      </c>
      <c r="AC1291">
        <v>1.2897000000000101</v>
      </c>
      <c r="AD1291">
        <v>-1.1213511386370001</v>
      </c>
      <c r="AE1291">
        <v>-32.074399999999997</v>
      </c>
      <c r="AF1291">
        <v>-0.18621929140260399</v>
      </c>
      <c r="AG1291">
        <v>-1.1213511386370001</v>
      </c>
      <c r="AH1291">
        <v>32.060653812620799</v>
      </c>
      <c r="AI1291">
        <v>92.003122767072696</v>
      </c>
      <c r="AJ1291">
        <v>90.332789828306502</v>
      </c>
      <c r="AK1291">
        <v>32.080798445383699</v>
      </c>
      <c r="AL1291">
        <v>79.341689629478495</v>
      </c>
      <c r="AM1291">
        <v>87.345208257321005</v>
      </c>
      <c r="AN1291">
        <v>1.00000002000042</v>
      </c>
    </row>
    <row r="1292" spans="1:40" x14ac:dyDescent="0.25">
      <c r="A1292" t="str">
        <f>"20190303170521870"</f>
        <v>20190303170521870</v>
      </c>
      <c r="B1292" t="str">
        <f>"1551603921866447"</f>
        <v>1551603921866447</v>
      </c>
      <c r="C1292" t="s">
        <v>40</v>
      </c>
      <c r="D1292">
        <v>5.7527239999999997</v>
      </c>
      <c r="E1292">
        <v>0.48289209999999999</v>
      </c>
      <c r="F1292" t="s">
        <v>41</v>
      </c>
      <c r="G1292">
        <v>-191.24619999999999</v>
      </c>
      <c r="H1292" s="1">
        <v>-4.0311240000000001E-6</v>
      </c>
      <c r="I1292">
        <v>308.21280000000002</v>
      </c>
      <c r="J1292">
        <v>-192.5729</v>
      </c>
      <c r="K1292">
        <v>1.1213</v>
      </c>
      <c r="L1292">
        <v>340.30619999999999</v>
      </c>
      <c r="M1292">
        <v>3.4636340000000002E-2</v>
      </c>
      <c r="N1292">
        <v>-1.1665139999999999E-2</v>
      </c>
      <c r="O1292">
        <v>-0.9993322</v>
      </c>
      <c r="P1292">
        <v>-1.111184E-2</v>
      </c>
      <c r="Q1292">
        <v>0.17435729999999999</v>
      </c>
      <c r="R1292">
        <v>-0.9846203</v>
      </c>
      <c r="S1292">
        <v>0.12663269999999999</v>
      </c>
      <c r="T1292">
        <v>-0.10633769999999999</v>
      </c>
      <c r="U1292">
        <v>-3.0664669999999998</v>
      </c>
      <c r="V1292">
        <v>4.5132709999999999E-2</v>
      </c>
      <c r="W1292">
        <v>0.18583910000000001</v>
      </c>
      <c r="X1292">
        <v>0.9815431</v>
      </c>
      <c r="Y1292">
        <v>-6.6141580000000002E-3</v>
      </c>
      <c r="Z1292">
        <v>2.2958309999999999E-2</v>
      </c>
      <c r="AA1292">
        <v>0.99971460000000001</v>
      </c>
      <c r="AB1292">
        <v>25</v>
      </c>
      <c r="AC1292">
        <v>1.32670000000001</v>
      </c>
      <c r="AD1292">
        <v>-1.1213040311239999</v>
      </c>
      <c r="AE1292">
        <v>-32.093399999999903</v>
      </c>
      <c r="AF1292">
        <v>-0.21396987658261299</v>
      </c>
      <c r="AG1292">
        <v>-1.1213040311239999</v>
      </c>
      <c r="AH1292">
        <v>32.081000874004097</v>
      </c>
      <c r="AI1292">
        <v>92.001758563360298</v>
      </c>
      <c r="AJ1292">
        <v>90.3821386102275</v>
      </c>
      <c r="AK1292">
        <v>32.101304068778198</v>
      </c>
      <c r="AL1292">
        <v>79.289942265204203</v>
      </c>
      <c r="AM1292">
        <v>87.367315144684994</v>
      </c>
      <c r="AN1292">
        <v>0.99999999487918201</v>
      </c>
    </row>
    <row r="1293" spans="1:40" x14ac:dyDescent="0.25">
      <c r="A1293" t="str">
        <f>"20190303170521892"</f>
        <v>20190303170521892</v>
      </c>
      <c r="B1293" t="str">
        <f>"1551603921885965"</f>
        <v>1551603921885965</v>
      </c>
      <c r="C1293" t="s">
        <v>40</v>
      </c>
      <c r="D1293">
        <v>5.7572950000000001</v>
      </c>
      <c r="E1293">
        <v>0.48291240000000002</v>
      </c>
      <c r="F1293" t="s">
        <v>41</v>
      </c>
      <c r="G1293">
        <v>-191.35589999999999</v>
      </c>
      <c r="H1293" s="1">
        <v>-4.3547579999999999E-7</v>
      </c>
      <c r="I1293">
        <v>309.74970000000002</v>
      </c>
      <c r="J1293">
        <v>-192.56399999999999</v>
      </c>
      <c r="K1293">
        <v>1.1212500000000001</v>
      </c>
      <c r="L1293">
        <v>340.06060000000002</v>
      </c>
      <c r="M1293">
        <v>3.4877869999999998E-2</v>
      </c>
      <c r="N1293">
        <v>-1.13866E-2</v>
      </c>
      <c r="O1293">
        <v>-0.99932670000000001</v>
      </c>
      <c r="P1293">
        <v>-9.6897259999999992E-3</v>
      </c>
      <c r="Q1293">
        <v>0.17549439999999999</v>
      </c>
      <c r="R1293">
        <v>-0.9844328</v>
      </c>
      <c r="S1293">
        <v>0.12219240000000001</v>
      </c>
      <c r="T1293">
        <v>-0.1125886</v>
      </c>
      <c r="U1293">
        <v>-3.068146</v>
      </c>
      <c r="V1293">
        <v>4.3953109999999997E-2</v>
      </c>
      <c r="W1293">
        <v>0.1866978</v>
      </c>
      <c r="X1293">
        <v>0.98143369999999996</v>
      </c>
      <c r="Y1293">
        <v>-4.9038320000000003E-3</v>
      </c>
      <c r="Z1293">
        <v>2.5249710000000002E-2</v>
      </c>
      <c r="AA1293">
        <v>0.99966909999999998</v>
      </c>
      <c r="AB1293">
        <v>25</v>
      </c>
      <c r="AC1293">
        <v>1.2081000000000299</v>
      </c>
      <c r="AD1293">
        <v>-1.1212504354757999</v>
      </c>
      <c r="AE1293">
        <v>-30.3109</v>
      </c>
      <c r="AF1293">
        <v>-0.14991187896448199</v>
      </c>
      <c r="AG1293">
        <v>-1.1212504354757999</v>
      </c>
      <c r="AH1293">
        <v>30.2932076415998</v>
      </c>
      <c r="AI1293">
        <v>92.119710128606997</v>
      </c>
      <c r="AJ1293">
        <v>90.283537086923602</v>
      </c>
      <c r="AK1293">
        <v>30.314321785710298</v>
      </c>
      <c r="AL1293">
        <v>79.239866325081806</v>
      </c>
      <c r="AM1293">
        <v>87.435745189531204</v>
      </c>
      <c r="AN1293">
        <v>1.0000000259496</v>
      </c>
    </row>
    <row r="1294" spans="1:40" x14ac:dyDescent="0.25">
      <c r="A1294" t="str">
        <f>"20190303170521914"</f>
        <v>20190303170521914</v>
      </c>
      <c r="B1294" t="str">
        <f>"1551603921905485"</f>
        <v>1551603921905485</v>
      </c>
      <c r="C1294" t="s">
        <v>40</v>
      </c>
      <c r="D1294">
        <v>5.8245879999999897</v>
      </c>
      <c r="E1294">
        <v>0.48304740000000002</v>
      </c>
      <c r="F1294" t="s">
        <v>41</v>
      </c>
      <c r="G1294">
        <v>-191.31379999999999</v>
      </c>
      <c r="H1294" s="1">
        <v>-3.962489E-7</v>
      </c>
      <c r="I1294">
        <v>309.69040000000001</v>
      </c>
      <c r="J1294">
        <v>-192.55539999999999</v>
      </c>
      <c r="K1294">
        <v>1.121181</v>
      </c>
      <c r="L1294">
        <v>339.8202</v>
      </c>
      <c r="M1294">
        <v>3.5083169999999997E-2</v>
      </c>
      <c r="N1294">
        <v>-1.1094079999999999E-2</v>
      </c>
      <c r="O1294">
        <v>-0.99932290000000001</v>
      </c>
      <c r="P1294">
        <v>-8.1163940000000007E-3</v>
      </c>
      <c r="Q1294">
        <v>0.1756267</v>
      </c>
      <c r="R1294">
        <v>-0.98442350000000001</v>
      </c>
      <c r="S1294">
        <v>0.12634280000000001</v>
      </c>
      <c r="T1294">
        <v>-0.113303399999999</v>
      </c>
      <c r="U1294">
        <v>-3.0689389999999999</v>
      </c>
      <c r="V1294">
        <v>4.2594149999999997E-2</v>
      </c>
      <c r="W1294">
        <v>0.1865404</v>
      </c>
      <c r="X1294">
        <v>0.98152349999999999</v>
      </c>
      <c r="Y1294">
        <v>-6.0371590000000003E-3</v>
      </c>
      <c r="Z1294">
        <v>2.576351E-2</v>
      </c>
      <c r="AA1294">
        <v>0.99964980000000003</v>
      </c>
      <c r="AB1294">
        <v>25</v>
      </c>
      <c r="AC1294">
        <v>1.2416</v>
      </c>
      <c r="AD1294">
        <v>-1.1211813962488999</v>
      </c>
      <c r="AE1294">
        <v>-30.1297999999999</v>
      </c>
      <c r="AF1294">
        <v>-0.1834680887132</v>
      </c>
      <c r="AG1294">
        <v>-1.1211813962488999</v>
      </c>
      <c r="AH1294">
        <v>30.113184257303601</v>
      </c>
      <c r="AI1294">
        <v>92.132225940003096</v>
      </c>
      <c r="AJ1294">
        <v>90.349076902792007</v>
      </c>
      <c r="AK1294">
        <v>30.134607586248599</v>
      </c>
      <c r="AL1294">
        <v>79.249045464092902</v>
      </c>
      <c r="AM1294">
        <v>87.515153954937006</v>
      </c>
      <c r="AN1294">
        <v>0.99999998174931604</v>
      </c>
    </row>
    <row r="1295" spans="1:40" x14ac:dyDescent="0.25">
      <c r="A1295" t="str">
        <f>"20190303170521937"</f>
        <v>20190303170521937</v>
      </c>
      <c r="B1295" t="str">
        <f>"1551603921925981"</f>
        <v>1551603921925981</v>
      </c>
      <c r="C1295" t="s">
        <v>40</v>
      </c>
      <c r="D1295">
        <v>5.7606950000000001</v>
      </c>
      <c r="E1295">
        <v>0.48355759999999998</v>
      </c>
      <c r="F1295" t="s">
        <v>41</v>
      </c>
      <c r="G1295">
        <v>-191.30719999999999</v>
      </c>
      <c r="H1295" s="1">
        <v>-6.6243780000000001E-7</v>
      </c>
      <c r="I1295">
        <v>310.25720000000001</v>
      </c>
      <c r="J1295">
        <v>-192.5462</v>
      </c>
      <c r="K1295">
        <v>1.1211100000000001</v>
      </c>
      <c r="L1295">
        <v>339.56560000000002</v>
      </c>
      <c r="M1295">
        <v>3.5265079999999997E-2</v>
      </c>
      <c r="N1295">
        <v>-1.077231E-2</v>
      </c>
      <c r="O1295">
        <v>-0.99932030000000005</v>
      </c>
      <c r="P1295">
        <v>-7.5539459999999998E-3</v>
      </c>
      <c r="Q1295">
        <v>0.1748181</v>
      </c>
      <c r="R1295">
        <v>-0.98457229999999996</v>
      </c>
      <c r="S1295">
        <v>0.12959289999999901</v>
      </c>
      <c r="T1295">
        <v>-0.1164039</v>
      </c>
      <c r="U1295">
        <v>-3.0693049999999999</v>
      </c>
      <c r="V1295">
        <v>4.2229179999999998E-2</v>
      </c>
      <c r="W1295">
        <v>0.18541460000000001</v>
      </c>
      <c r="X1295">
        <v>0.98175259999999998</v>
      </c>
      <c r="Y1295">
        <v>-6.9053760000000004E-3</v>
      </c>
      <c r="Z1295">
        <v>2.7086550000000001E-2</v>
      </c>
      <c r="AA1295">
        <v>0.99960919999999998</v>
      </c>
      <c r="AB1295">
        <v>25</v>
      </c>
      <c r="AC1295">
        <v>1.2390000000000001</v>
      </c>
      <c r="AD1295">
        <v>-1.1211106624378</v>
      </c>
      <c r="AE1295">
        <v>-29.308399999999999</v>
      </c>
      <c r="AF1295">
        <v>-0.20430816155761999</v>
      </c>
      <c r="AG1295">
        <v>-1.1211106624378</v>
      </c>
      <c r="AH1295">
        <v>29.291080695439501</v>
      </c>
      <c r="AI1295">
        <v>92.191862092034</v>
      </c>
      <c r="AJ1295">
        <v>90.399637202347606</v>
      </c>
      <c r="AK1295">
        <v>29.313239999172001</v>
      </c>
      <c r="AL1295">
        <v>79.314694809687893</v>
      </c>
      <c r="AM1295">
        <v>87.536993319282303</v>
      </c>
      <c r="AN1295">
        <v>1.0000000225716901</v>
      </c>
    </row>
    <row r="1296" spans="1:40" x14ac:dyDescent="0.25">
      <c r="A1296" t="str">
        <f>"20190303170521961"</f>
        <v>20190303170521961</v>
      </c>
      <c r="B1296" t="str">
        <f>"1551603921945500"</f>
        <v>1551603921945500</v>
      </c>
      <c r="C1296" t="s">
        <v>40</v>
      </c>
      <c r="D1296">
        <v>5.7761950000000004</v>
      </c>
      <c r="E1296">
        <v>0.4837592</v>
      </c>
      <c r="F1296" t="s">
        <v>41</v>
      </c>
      <c r="G1296">
        <v>-191.3861</v>
      </c>
      <c r="H1296" s="1">
        <v>-1.2866859999999999E-6</v>
      </c>
      <c r="I1296">
        <v>311.53339999999997</v>
      </c>
      <c r="J1296">
        <v>-192.53729999999999</v>
      </c>
      <c r="K1296">
        <v>1.1210389999999999</v>
      </c>
      <c r="L1296">
        <v>339.31830000000002</v>
      </c>
      <c r="M1296">
        <v>3.5407370000000001E-2</v>
      </c>
      <c r="N1296">
        <v>-1.045461E-2</v>
      </c>
      <c r="O1296">
        <v>-0.99931840000000005</v>
      </c>
      <c r="P1296">
        <v>-8.403733E-3</v>
      </c>
      <c r="Q1296">
        <v>0.17456940000000001</v>
      </c>
      <c r="R1296">
        <v>-0.98460910000000001</v>
      </c>
      <c r="S1296">
        <v>0.12704469999999901</v>
      </c>
      <c r="T1296">
        <v>-0.1227736</v>
      </c>
      <c r="U1296">
        <v>-3.0698240000000001</v>
      </c>
      <c r="V1296">
        <v>4.323113E-2</v>
      </c>
      <c r="W1296">
        <v>0.1848513</v>
      </c>
      <c r="X1296">
        <v>0.9818152</v>
      </c>
      <c r="Y1296">
        <v>-5.9251299999999998E-3</v>
      </c>
      <c r="Z1296">
        <v>2.9465990000000001E-2</v>
      </c>
      <c r="AA1296">
        <v>0.9995482</v>
      </c>
      <c r="AB1296">
        <v>25</v>
      </c>
      <c r="AC1296">
        <v>1.15119999999998</v>
      </c>
      <c r="AD1296">
        <v>-1.1210402866860001</v>
      </c>
      <c r="AE1296">
        <v>-27.7849</v>
      </c>
      <c r="AF1296">
        <v>-0.16636383591037299</v>
      </c>
      <c r="AG1296">
        <v>-1.1210402866860001</v>
      </c>
      <c r="AH1296">
        <v>27.763121286438899</v>
      </c>
      <c r="AI1296">
        <v>92.312234672450202</v>
      </c>
      <c r="AJ1296">
        <v>90.343327087648504</v>
      </c>
      <c r="AK1296">
        <v>27.786243211628801</v>
      </c>
      <c r="AL1296">
        <v>79.347537121558204</v>
      </c>
      <c r="AM1296">
        <v>87.478789926852599</v>
      </c>
      <c r="AN1296">
        <v>1.0000000103319</v>
      </c>
    </row>
    <row r="1297" spans="1:40" x14ac:dyDescent="0.25">
      <c r="A1297" t="str">
        <f>"20190303170521982"</f>
        <v>20190303170521982</v>
      </c>
      <c r="B1297" t="str">
        <f>"1551603921975756"</f>
        <v>1551603921975756</v>
      </c>
      <c r="C1297" t="s">
        <v>40</v>
      </c>
      <c r="D1297">
        <v>5.7897800000000004</v>
      </c>
      <c r="E1297">
        <v>0.484518</v>
      </c>
      <c r="F1297" t="s">
        <v>41</v>
      </c>
      <c r="G1297">
        <v>-191.44649999999999</v>
      </c>
      <c r="H1297" s="1">
        <v>-1.5595109999999999E-6</v>
      </c>
      <c r="I1297">
        <v>312.07650000000001</v>
      </c>
      <c r="J1297">
        <v>-192.5282</v>
      </c>
      <c r="K1297">
        <v>1.1209769999999999</v>
      </c>
      <c r="L1297">
        <v>339.06560000000002</v>
      </c>
      <c r="M1297">
        <v>3.5522419999999999E-2</v>
      </c>
      <c r="N1297">
        <v>-1.0132789999999999E-2</v>
      </c>
      <c r="O1297">
        <v>-0.99931760000000003</v>
      </c>
      <c r="P1297">
        <v>-1.013171E-2</v>
      </c>
      <c r="Q1297">
        <v>0.17484769999999999</v>
      </c>
      <c r="R1297">
        <v>-0.98454339999999996</v>
      </c>
      <c r="S1297">
        <v>0.1229401</v>
      </c>
      <c r="T1297">
        <v>-0.12634919999999999</v>
      </c>
      <c r="U1297">
        <v>-3.0703429999999998</v>
      </c>
      <c r="V1297">
        <v>4.507837E-2</v>
      </c>
      <c r="W1297">
        <v>0.18481049999999999</v>
      </c>
      <c r="X1297">
        <v>0.98173980000000005</v>
      </c>
      <c r="Y1297">
        <v>-4.4677140000000002E-3</v>
      </c>
      <c r="Z1297">
        <v>3.0942029999999999E-2</v>
      </c>
      <c r="AA1297">
        <v>0.99951120000000004</v>
      </c>
      <c r="AB1297">
        <v>25</v>
      </c>
      <c r="AC1297">
        <v>1.0817000000000101</v>
      </c>
      <c r="AD1297">
        <v>-1.120978559511</v>
      </c>
      <c r="AE1297">
        <v>-26.989100000000001</v>
      </c>
      <c r="AF1297">
        <v>-0.122039772401175</v>
      </c>
      <c r="AG1297">
        <v>-1.120978559511</v>
      </c>
      <c r="AH1297">
        <v>26.964049994801101</v>
      </c>
      <c r="AI1297">
        <v>92.380566725149293</v>
      </c>
      <c r="AJ1297">
        <v>90.259319951841206</v>
      </c>
      <c r="AK1297">
        <v>26.9876171374774</v>
      </c>
      <c r="AL1297">
        <v>79.349915743558896</v>
      </c>
      <c r="AM1297">
        <v>87.371006565841896</v>
      </c>
      <c r="AN1297">
        <v>1.00000000762807</v>
      </c>
    </row>
    <row r="1298" spans="1:40" x14ac:dyDescent="0.25">
      <c r="A1298" t="str">
        <f>"20190303170522006"</f>
        <v>20190303170522006</v>
      </c>
      <c r="B1298" t="str">
        <f>"1551603921996253"</f>
        <v>1551603921996253</v>
      </c>
      <c r="C1298" t="s">
        <v>40</v>
      </c>
      <c r="D1298">
        <v>5.8194239999999997</v>
      </c>
      <c r="E1298">
        <v>0.48478529999999997</v>
      </c>
      <c r="F1298" t="s">
        <v>41</v>
      </c>
      <c r="G1298">
        <v>-191.53489999999999</v>
      </c>
      <c r="H1298" s="1">
        <v>-1.494675E-6</v>
      </c>
      <c r="I1298">
        <v>311.88959999999997</v>
      </c>
      <c r="J1298">
        <v>-192.51900000000001</v>
      </c>
      <c r="K1298">
        <v>1.1209359999999999</v>
      </c>
      <c r="L1298">
        <v>338.8075</v>
      </c>
      <c r="M1298">
        <v>3.5613970000000002E-2</v>
      </c>
      <c r="N1298">
        <v>-9.8199459999999995E-3</v>
      </c>
      <c r="O1298">
        <v>-0.99931740000000002</v>
      </c>
      <c r="P1298">
        <v>-1.1206280000000001E-2</v>
      </c>
      <c r="Q1298">
        <v>0.1760651</v>
      </c>
      <c r="R1298">
        <v>-0.98431500000000005</v>
      </c>
      <c r="S1298">
        <v>0.1122437</v>
      </c>
      <c r="T1298">
        <v>-0.1266659</v>
      </c>
      <c r="U1298">
        <v>-3.07077</v>
      </c>
      <c r="V1298">
        <v>4.6240469999999999E-2</v>
      </c>
      <c r="W1298">
        <v>0.18571679999999999</v>
      </c>
      <c r="X1298">
        <v>0.98151469999999996</v>
      </c>
      <c r="Y1298">
        <v>-8.9459679999999897E-4</v>
      </c>
      <c r="Z1298">
        <v>3.1353739999999998E-2</v>
      </c>
      <c r="AA1298">
        <v>0.99950799999999995</v>
      </c>
      <c r="AB1298">
        <v>25</v>
      </c>
      <c r="AC1298">
        <v>0.98410000000001197</v>
      </c>
      <c r="AD1298">
        <v>-1.1209374946749999</v>
      </c>
      <c r="AE1298">
        <v>-26.917899999999999</v>
      </c>
      <c r="AF1298">
        <v>-2.47333308181697E-2</v>
      </c>
      <c r="AG1298">
        <v>-1.1209374946749999</v>
      </c>
      <c r="AH1298">
        <v>26.8893044307803</v>
      </c>
      <c r="AI1298">
        <v>92.387112526627405</v>
      </c>
      <c r="AJ1298">
        <v>90.0527018120967</v>
      </c>
      <c r="AK1298">
        <v>26.9126699785771</v>
      </c>
      <c r="AL1298">
        <v>79.297073833089499</v>
      </c>
      <c r="AM1298">
        <v>87.302713554157194</v>
      </c>
      <c r="AN1298">
        <v>1.0000000085920699</v>
      </c>
    </row>
    <row r="1299" spans="1:40" x14ac:dyDescent="0.25">
      <c r="A1299" t="str">
        <f>"20190303170522026"</f>
        <v>20190303170522026</v>
      </c>
      <c r="B1299" t="str">
        <f>"1551603922015773"</f>
        <v>1551603922015773</v>
      </c>
      <c r="C1299" t="s">
        <v>40</v>
      </c>
      <c r="D1299">
        <v>5.8209299999999997</v>
      </c>
      <c r="E1299">
        <v>0.48470570000000002</v>
      </c>
      <c r="F1299" t="s">
        <v>41</v>
      </c>
      <c r="G1299">
        <v>-191.54839999999999</v>
      </c>
      <c r="H1299" s="1">
        <v>-1.094982E-6</v>
      </c>
      <c r="I1299">
        <v>311.03649999999999</v>
      </c>
      <c r="J1299">
        <v>-192.51050000000001</v>
      </c>
      <c r="K1299">
        <v>1.1209020000000001</v>
      </c>
      <c r="L1299">
        <v>338.57339999999999</v>
      </c>
      <c r="M1299">
        <v>3.5683670000000001E-2</v>
      </c>
      <c r="N1299">
        <v>-9.5535010000000007E-3</v>
      </c>
      <c r="O1299">
        <v>-0.99931760000000003</v>
      </c>
      <c r="P1299">
        <v>-1.2073830000000001E-2</v>
      </c>
      <c r="Q1299">
        <v>0.176562</v>
      </c>
      <c r="R1299">
        <v>-0.98421599999999998</v>
      </c>
      <c r="S1299">
        <v>0.1073303</v>
      </c>
      <c r="T1299">
        <v>-0.1239643</v>
      </c>
      <c r="U1299">
        <v>-3.0711979999999999</v>
      </c>
      <c r="V1299">
        <v>4.7175509999999997E-2</v>
      </c>
      <c r="W1299">
        <v>0.18595010000000001</v>
      </c>
      <c r="X1299">
        <v>0.98142600000000002</v>
      </c>
      <c r="Y1299">
        <v>7.7603549999999996E-4</v>
      </c>
      <c r="Z1299">
        <v>3.0738270000000002E-2</v>
      </c>
      <c r="AA1299">
        <v>0.99952719999999995</v>
      </c>
      <c r="AB1299">
        <v>25</v>
      </c>
      <c r="AC1299">
        <v>0.96210000000002005</v>
      </c>
      <c r="AD1299">
        <v>-1.120903094982</v>
      </c>
      <c r="AE1299">
        <v>-27.536899999999999</v>
      </c>
      <c r="AF1299">
        <v>2.1140167837148501E-2</v>
      </c>
      <c r="AG1299">
        <v>-1.120903094982</v>
      </c>
      <c r="AH1299">
        <v>27.5081701992702</v>
      </c>
      <c r="AI1299">
        <v>92.333397214620206</v>
      </c>
      <c r="AJ1299">
        <v>89.955967912513202</v>
      </c>
      <c r="AK1299">
        <v>27.5310061270389</v>
      </c>
      <c r="AL1299">
        <v>79.2834694623335</v>
      </c>
      <c r="AM1299">
        <v>87.248005743944901</v>
      </c>
      <c r="AN1299">
        <v>0.99999998095488396</v>
      </c>
    </row>
    <row r="1300" spans="1:40" x14ac:dyDescent="0.25">
      <c r="A1300" t="str">
        <f>"20190303170522047"</f>
        <v>20190303170522047</v>
      </c>
      <c r="B1300" t="str">
        <f>"1551603922036269"</f>
        <v>1551603922036269</v>
      </c>
      <c r="C1300" t="s">
        <v>40</v>
      </c>
      <c r="D1300">
        <v>5.8549559999999996</v>
      </c>
      <c r="E1300">
        <v>0.5077623</v>
      </c>
      <c r="F1300" t="s">
        <v>41</v>
      </c>
      <c r="G1300">
        <v>-191.5659</v>
      </c>
      <c r="H1300" s="1">
        <v>-1.156659E-6</v>
      </c>
      <c r="I1300">
        <v>311.15710000000001</v>
      </c>
      <c r="J1300">
        <v>-192.50190000000001</v>
      </c>
      <c r="K1300">
        <v>1.1208659999999999</v>
      </c>
      <c r="L1300">
        <v>338.33359999999999</v>
      </c>
      <c r="M1300">
        <v>3.5747479999999998E-2</v>
      </c>
      <c r="N1300">
        <v>-9.3015370000000003E-3</v>
      </c>
      <c r="O1300">
        <v>-0.99931789999999998</v>
      </c>
      <c r="P1300">
        <v>-1.2891970000000001E-2</v>
      </c>
      <c r="Q1300">
        <v>0.17603669999999999</v>
      </c>
      <c r="R1300">
        <v>-0.98429999999999995</v>
      </c>
      <c r="S1300">
        <v>0.10585020000000001</v>
      </c>
      <c r="T1300">
        <v>-0.12559489999999901</v>
      </c>
      <c r="U1300">
        <v>-3.07193</v>
      </c>
      <c r="V1300">
        <v>4.8059770000000002E-2</v>
      </c>
      <c r="W1300">
        <v>0.18517739999999999</v>
      </c>
      <c r="X1300">
        <v>0.98152919999999999</v>
      </c>
      <c r="Y1300">
        <v>1.3298279999999999E-3</v>
      </c>
      <c r="Z1300">
        <v>3.1509490000000001E-2</v>
      </c>
      <c r="AA1300">
        <v>0.99950249999999996</v>
      </c>
      <c r="AB1300">
        <v>25</v>
      </c>
      <c r="AC1300">
        <v>0.93600000000000705</v>
      </c>
      <c r="AD1300">
        <v>-1.1208671566589901</v>
      </c>
      <c r="AE1300">
        <v>-27.176499999999901</v>
      </c>
      <c r="AF1300">
        <v>3.6070101899432397E-2</v>
      </c>
      <c r="AG1300">
        <v>-1.1208671566589901</v>
      </c>
      <c r="AH1300">
        <v>27.146466623273</v>
      </c>
      <c r="AI1300">
        <v>92.364375582727206</v>
      </c>
      <c r="AJ1300">
        <v>89.923869893717907</v>
      </c>
      <c r="AK1300">
        <v>27.169620799039599</v>
      </c>
      <c r="AL1300">
        <v>79.328524522806703</v>
      </c>
      <c r="AM1300">
        <v>87.196798066576704</v>
      </c>
      <c r="AN1300">
        <v>0.999999990707926</v>
      </c>
    </row>
    <row r="1301" spans="1:40" x14ac:dyDescent="0.25">
      <c r="A1301" t="str">
        <f>"20190303170522070"</f>
        <v>20190303170522070</v>
      </c>
      <c r="B1301" t="str">
        <f>"1551603922055788"</f>
        <v>1551603922055788</v>
      </c>
      <c r="C1301" t="s">
        <v>40</v>
      </c>
      <c r="D1301">
        <v>5.757606</v>
      </c>
      <c r="E1301">
        <v>0.51992890000000003</v>
      </c>
      <c r="F1301" t="s">
        <v>41</v>
      </c>
      <c r="G1301">
        <v>-192.9769</v>
      </c>
      <c r="H1301" s="1">
        <v>-8.6680669999999996E-7</v>
      </c>
      <c r="I1301">
        <v>319.76330000000002</v>
      </c>
      <c r="J1301">
        <v>-192.49279999999999</v>
      </c>
      <c r="K1301">
        <v>1.1208469999999999</v>
      </c>
      <c r="L1301">
        <v>338.0788</v>
      </c>
      <c r="M1301">
        <v>3.581326E-2</v>
      </c>
      <c r="N1301">
        <v>-9.0603079999999996E-3</v>
      </c>
      <c r="O1301">
        <v>-0.99931740000000002</v>
      </c>
      <c r="P1301">
        <v>-1.4306859999999999E-2</v>
      </c>
      <c r="Q1301">
        <v>0.1762582</v>
      </c>
      <c r="R1301">
        <v>-0.98424020000000001</v>
      </c>
      <c r="S1301">
        <v>-7.8781130000000005E-2</v>
      </c>
      <c r="T1301">
        <v>-0.18590760000000001</v>
      </c>
      <c r="U1301">
        <v>-3.0800779999999999</v>
      </c>
      <c r="V1301">
        <v>4.9535839999999998E-2</v>
      </c>
      <c r="W1301">
        <v>0.18516099999999999</v>
      </c>
      <c r="X1301">
        <v>0.98145890000000002</v>
      </c>
      <c r="Y1301">
        <v>6.1303169999999997E-2</v>
      </c>
      <c r="Z1301">
        <v>5.1073550000000002E-2</v>
      </c>
      <c r="AA1301">
        <v>0.99681160000000002</v>
      </c>
      <c r="AB1301">
        <v>25</v>
      </c>
      <c r="AC1301">
        <v>-0.48410000000001202</v>
      </c>
      <c r="AD1301">
        <v>-1.1208478668066999</v>
      </c>
      <c r="AE1301">
        <v>-18.315499999999901</v>
      </c>
      <c r="AF1301">
        <v>1.1355045953557701</v>
      </c>
      <c r="AG1301">
        <v>-1.1208478668066999</v>
      </c>
      <c r="AH1301">
        <v>18.218231452146298</v>
      </c>
      <c r="AI1301">
        <v>93.513793298973297</v>
      </c>
      <c r="AJ1301">
        <v>86.433486439301106</v>
      </c>
      <c r="AK1301">
        <v>18.2879640165485</v>
      </c>
      <c r="AL1301">
        <v>79.329480635522998</v>
      </c>
      <c r="AM1301">
        <v>87.110639833522995</v>
      </c>
      <c r="AN1301">
        <v>0.999999983877357</v>
      </c>
    </row>
    <row r="1302" spans="1:40" x14ac:dyDescent="0.25">
      <c r="A1302" t="str">
        <f>"20190303170522093"</f>
        <v>20190303170522093</v>
      </c>
      <c r="B1302" t="str">
        <f>"1551603922086045"</f>
        <v>1551603922086045</v>
      </c>
      <c r="C1302" t="s">
        <v>40</v>
      </c>
      <c r="D1302">
        <v>5.7651389999999996</v>
      </c>
      <c r="E1302">
        <v>0.52630669999999902</v>
      </c>
      <c r="F1302" t="s">
        <v>41</v>
      </c>
      <c r="G1302">
        <v>-193.72239999999999</v>
      </c>
      <c r="H1302" s="1">
        <v>-4.4317140000000002E-6</v>
      </c>
      <c r="I1302">
        <v>317.1071</v>
      </c>
      <c r="J1302">
        <v>-192.483</v>
      </c>
      <c r="K1302">
        <v>1.120835</v>
      </c>
      <c r="L1302">
        <v>337.80849999999998</v>
      </c>
      <c r="M1302">
        <v>3.5885100000000003E-2</v>
      </c>
      <c r="N1302">
        <v>-8.8315340000000003E-3</v>
      </c>
      <c r="O1302">
        <v>-0.99931689999999995</v>
      </c>
      <c r="P1302">
        <v>-1.513545E-2</v>
      </c>
      <c r="Q1302">
        <v>0.17725279999999999</v>
      </c>
      <c r="R1302">
        <v>-0.98404919999999996</v>
      </c>
      <c r="S1302">
        <v>-0.18029790000000001</v>
      </c>
      <c r="T1302">
        <v>-0.1643384</v>
      </c>
      <c r="U1302">
        <v>-3.0748600000000001</v>
      </c>
      <c r="V1302">
        <v>5.0426489999999997E-2</v>
      </c>
      <c r="W1302">
        <v>0.1859295</v>
      </c>
      <c r="X1302">
        <v>0.98126829999999998</v>
      </c>
      <c r="Y1302">
        <v>9.4239320000000001E-2</v>
      </c>
      <c r="Z1302">
        <v>4.4323469999999997E-2</v>
      </c>
      <c r="AA1302">
        <v>0.99456239999999996</v>
      </c>
      <c r="AB1302">
        <v>25</v>
      </c>
      <c r="AC1302">
        <v>-1.2393999999999801</v>
      </c>
      <c r="AD1302">
        <v>-1.120839431714</v>
      </c>
      <c r="AE1302">
        <v>-20.7013999999999</v>
      </c>
      <c r="AF1302">
        <v>1.9757313119383</v>
      </c>
      <c r="AG1302">
        <v>-1.120839431714</v>
      </c>
      <c r="AH1302">
        <v>20.5834633664542</v>
      </c>
      <c r="AI1302">
        <v>93.102639307123795</v>
      </c>
      <c r="AJ1302">
        <v>84.517185072882995</v>
      </c>
      <c r="AK1302">
        <v>20.708422426800599</v>
      </c>
      <c r="AL1302">
        <v>79.284671378824697</v>
      </c>
      <c r="AM1302">
        <v>87.058209514337307</v>
      </c>
      <c r="AN1302">
        <v>1.00000004322442</v>
      </c>
    </row>
    <row r="1303" spans="1:40" x14ac:dyDescent="0.25">
      <c r="A1303" t="str">
        <f>"20190303170522116"</f>
        <v>20190303170522116</v>
      </c>
      <c r="B1303" t="str">
        <f>"1551603922105565"</f>
        <v>1551603922105565</v>
      </c>
      <c r="C1303" t="s">
        <v>40</v>
      </c>
      <c r="D1303">
        <v>5.7606020000000004</v>
      </c>
      <c r="E1303">
        <v>0.52788310000000005</v>
      </c>
      <c r="F1303" t="s">
        <v>41</v>
      </c>
      <c r="G1303">
        <v>-194.18979999999999</v>
      </c>
      <c r="H1303" s="1">
        <v>-3.8348150000000003E-6</v>
      </c>
      <c r="I1303">
        <v>315.3458</v>
      </c>
      <c r="J1303">
        <v>-192.47370000000001</v>
      </c>
      <c r="K1303">
        <v>1.1208229999999999</v>
      </c>
      <c r="L1303">
        <v>337.55169999999998</v>
      </c>
      <c r="M1303">
        <v>3.595744E-2</v>
      </c>
      <c r="N1303">
        <v>-8.6348209999999904E-3</v>
      </c>
      <c r="O1303">
        <v>-0.99931619999999999</v>
      </c>
      <c r="P1303">
        <v>-1.579434E-2</v>
      </c>
      <c r="Q1303">
        <v>0.17769579999999999</v>
      </c>
      <c r="R1303">
        <v>-0.98395920000000003</v>
      </c>
      <c r="S1303">
        <v>-0.23347470000000001</v>
      </c>
      <c r="T1303">
        <v>-0.15332000000000001</v>
      </c>
      <c r="U1303">
        <v>-3.0726930000000001</v>
      </c>
      <c r="V1303">
        <v>5.115161E-2</v>
      </c>
      <c r="W1303">
        <v>0.18617919999999999</v>
      </c>
      <c r="X1303">
        <v>0.98118340000000004</v>
      </c>
      <c r="Y1303">
        <v>0.11148</v>
      </c>
      <c r="Z1303">
        <v>4.092291E-2</v>
      </c>
      <c r="AA1303">
        <v>0.99292369999999996</v>
      </c>
      <c r="AB1303">
        <v>25</v>
      </c>
      <c r="AC1303">
        <v>-1.71609999999998</v>
      </c>
      <c r="AD1303">
        <v>-1.1208268348149999</v>
      </c>
      <c r="AE1303">
        <v>-22.2058999999999</v>
      </c>
      <c r="AF1303">
        <v>2.5071376975673698</v>
      </c>
      <c r="AG1303">
        <v>-1.1208268348149999</v>
      </c>
      <c r="AH1303">
        <v>22.073927184718901</v>
      </c>
      <c r="AI1303">
        <v>92.888219126013993</v>
      </c>
      <c r="AJ1303">
        <v>83.520163121518195</v>
      </c>
      <c r="AK1303">
        <v>22.244106041477099</v>
      </c>
      <c r="AL1303">
        <v>79.270110161550903</v>
      </c>
      <c r="AM1303">
        <v>87.015725498884805</v>
      </c>
      <c r="AN1303">
        <v>1.00000002307689</v>
      </c>
    </row>
    <row r="1304" spans="1:40" x14ac:dyDescent="0.25">
      <c r="A1304" t="str">
        <f>"20190303170522136"</f>
        <v>20190303170522136</v>
      </c>
      <c r="B1304" t="str">
        <f>"1551603922126061"</f>
        <v>1551603922126061</v>
      </c>
      <c r="C1304" t="s">
        <v>40</v>
      </c>
      <c r="D1304">
        <v>5.76058</v>
      </c>
      <c r="E1304">
        <v>0.52871950000000001</v>
      </c>
      <c r="F1304" t="s">
        <v>41</v>
      </c>
      <c r="G1304">
        <v>-194.32320000000001</v>
      </c>
      <c r="H1304" s="1">
        <v>-3.519833E-6</v>
      </c>
      <c r="I1304">
        <v>314.60430000000002</v>
      </c>
      <c r="J1304">
        <v>-192.46520000000001</v>
      </c>
      <c r="K1304">
        <v>1.1208049999999901</v>
      </c>
      <c r="L1304">
        <v>337.3175</v>
      </c>
      <c r="M1304">
        <v>3.602735E-2</v>
      </c>
      <c r="N1304">
        <v>-8.4710849999999997E-3</v>
      </c>
      <c r="O1304">
        <v>-0.99931499999999995</v>
      </c>
      <c r="P1304">
        <v>-1.5711559999999999E-2</v>
      </c>
      <c r="Q1304">
        <v>0.17823739999999999</v>
      </c>
      <c r="R1304">
        <v>-0.98386229999999997</v>
      </c>
      <c r="S1304">
        <v>-0.2476044</v>
      </c>
      <c r="T1304">
        <v>-0.1500494</v>
      </c>
      <c r="U1304">
        <v>-3.0720519999999998</v>
      </c>
      <c r="V1304">
        <v>5.1133159999999997E-2</v>
      </c>
      <c r="W1304">
        <v>0.18655959999999999</v>
      </c>
      <c r="X1304">
        <v>0.98111210000000004</v>
      </c>
      <c r="Y1304">
        <v>0.1161059</v>
      </c>
      <c r="Z1304">
        <v>4.0019249999999999E-2</v>
      </c>
      <c r="AA1304">
        <v>0.99243029999999999</v>
      </c>
      <c r="AB1304">
        <v>25</v>
      </c>
      <c r="AC1304">
        <v>-1.8580000000000001</v>
      </c>
      <c r="AD1304">
        <v>-1.12080851983299</v>
      </c>
      <c r="AE1304">
        <v>-22.713199999999901</v>
      </c>
      <c r="AF1304">
        <v>2.66866428436823</v>
      </c>
      <c r="AG1304">
        <v>-1.12080851983299</v>
      </c>
      <c r="AH1304">
        <v>22.5769021827569</v>
      </c>
      <c r="AI1304">
        <v>92.822443313203095</v>
      </c>
      <c r="AJ1304">
        <v>83.258730185226298</v>
      </c>
      <c r="AK1304">
        <v>22.7616891502051</v>
      </c>
      <c r="AL1304">
        <v>79.247926129450605</v>
      </c>
      <c r="AM1304">
        <v>87.016583554162494</v>
      </c>
      <c r="AN1304">
        <v>1.0000000185850699</v>
      </c>
    </row>
    <row r="1305" spans="1:40" x14ac:dyDescent="0.25">
      <c r="A1305" t="str">
        <f>"20190303170522162"</f>
        <v>20190303170522162</v>
      </c>
      <c r="B1305" t="str">
        <f>"1551603922145581"</f>
        <v>1551603922145581</v>
      </c>
      <c r="C1305" t="s">
        <v>40</v>
      </c>
      <c r="D1305">
        <v>5.7363780000000002</v>
      </c>
      <c r="E1305">
        <v>0.52914649999999996</v>
      </c>
      <c r="F1305" t="s">
        <v>41</v>
      </c>
      <c r="G1305">
        <v>-194.3929</v>
      </c>
      <c r="H1305" s="1">
        <v>-3.2221309999999998E-6</v>
      </c>
      <c r="I1305">
        <v>313.93529999999998</v>
      </c>
      <c r="J1305">
        <v>-192.4554</v>
      </c>
      <c r="K1305">
        <v>1.1207910000000001</v>
      </c>
      <c r="L1305">
        <v>337.04829999999998</v>
      </c>
      <c r="M1305">
        <v>3.6111539999999998E-2</v>
      </c>
      <c r="N1305">
        <v>-8.2922480000000003E-3</v>
      </c>
      <c r="O1305">
        <v>-0.99931340000000002</v>
      </c>
      <c r="P1305">
        <v>-1.55558E-2</v>
      </c>
      <c r="Q1305">
        <v>0.17873739999999999</v>
      </c>
      <c r="R1305">
        <v>-0.98377389999999998</v>
      </c>
      <c r="S1305">
        <v>-0.25325009999999998</v>
      </c>
      <c r="T1305">
        <v>-0.14724609999999999</v>
      </c>
      <c r="U1305">
        <v>-3.0718380000000001</v>
      </c>
      <c r="V1305">
        <v>5.1056230000000001E-2</v>
      </c>
      <c r="W1305">
        <v>0.18688379999999999</v>
      </c>
      <c r="X1305">
        <v>0.98105439999999999</v>
      </c>
      <c r="Y1305">
        <v>0.1180099</v>
      </c>
      <c r="Z1305">
        <v>3.9287830000000003E-2</v>
      </c>
      <c r="AA1305">
        <v>0.99223490000000003</v>
      </c>
      <c r="AB1305">
        <v>25</v>
      </c>
      <c r="AC1305">
        <v>-1.9375</v>
      </c>
      <c r="AD1305">
        <v>-1.1207942221310001</v>
      </c>
      <c r="AE1305">
        <v>-23.113</v>
      </c>
      <c r="AF1305">
        <v>2.76445572907196</v>
      </c>
      <c r="AG1305">
        <v>-1.1207942221310001</v>
      </c>
      <c r="AH1305">
        <v>22.974308974195601</v>
      </c>
      <c r="AI1305">
        <v>92.772970742488596</v>
      </c>
      <c r="AJ1305">
        <v>83.138693500257503</v>
      </c>
      <c r="AK1305">
        <v>23.167159256330201</v>
      </c>
      <c r="AL1305">
        <v>79.229018259139593</v>
      </c>
      <c r="AM1305">
        <v>87.020889134570297</v>
      </c>
      <c r="AN1305">
        <v>1.0000000145418</v>
      </c>
    </row>
    <row r="1306" spans="1:40" x14ac:dyDescent="0.25">
      <c r="A1306" t="str">
        <f>"20190303170522185"</f>
        <v>20190303170522185</v>
      </c>
      <c r="B1306" t="str">
        <f>"1551603922175837"</f>
        <v>1551603922175837</v>
      </c>
      <c r="C1306" t="s">
        <v>40</v>
      </c>
      <c r="D1306">
        <v>5.7893499999999998</v>
      </c>
      <c r="E1306">
        <v>0.52958669999999997</v>
      </c>
      <c r="F1306" t="s">
        <v>41</v>
      </c>
      <c r="G1306">
        <v>-194.42320000000001</v>
      </c>
      <c r="H1306" s="1">
        <v>-2.9766890000000001E-6</v>
      </c>
      <c r="I1306">
        <v>313.399</v>
      </c>
      <c r="J1306">
        <v>-192.44540000000001</v>
      </c>
      <c r="K1306">
        <v>1.1207769999999999</v>
      </c>
      <c r="L1306">
        <v>336.77409999999998</v>
      </c>
      <c r="M1306">
        <v>3.6199549999999997E-2</v>
      </c>
      <c r="N1306">
        <v>-8.1153409999999999E-3</v>
      </c>
      <c r="O1306">
        <v>-0.99931190000000003</v>
      </c>
      <c r="P1306">
        <v>-1.569222E-2</v>
      </c>
      <c r="Q1306">
        <v>0.17924100000000001</v>
      </c>
      <c r="R1306">
        <v>-0.98368049999999996</v>
      </c>
      <c r="S1306">
        <v>-0.25559999999999999</v>
      </c>
      <c r="T1306">
        <v>-0.14558599999999999</v>
      </c>
      <c r="U1306">
        <v>-3.07193</v>
      </c>
      <c r="V1306">
        <v>5.1274809999999997E-2</v>
      </c>
      <c r="W1306">
        <v>0.18721260000000001</v>
      </c>
      <c r="X1306">
        <v>0.98098030000000003</v>
      </c>
      <c r="Y1306">
        <v>0.1188505</v>
      </c>
      <c r="Z1306">
        <v>3.8923779999999998E-2</v>
      </c>
      <c r="AA1306">
        <v>0.9921489</v>
      </c>
      <c r="AB1306">
        <v>26</v>
      </c>
      <c r="AC1306">
        <v>-1.9778</v>
      </c>
      <c r="AD1306">
        <v>-1.1207799766890001</v>
      </c>
      <c r="AE1306">
        <v>-23.3750999999999</v>
      </c>
      <c r="AF1306">
        <v>2.8162708596818602</v>
      </c>
      <c r="AG1306">
        <v>-1.1207799766890001</v>
      </c>
      <c r="AH1306">
        <v>23.235143460759399</v>
      </c>
      <c r="AI1306">
        <v>92.741568230694099</v>
      </c>
      <c r="AJ1306">
        <v>83.089040606741193</v>
      </c>
      <c r="AK1306">
        <v>23.432017005655101</v>
      </c>
      <c r="AL1306">
        <v>79.209840852201907</v>
      </c>
      <c r="AM1306">
        <v>87.007932616826395</v>
      </c>
      <c r="AN1306">
        <v>1.00000000636369</v>
      </c>
    </row>
    <row r="1307" spans="1:40" x14ac:dyDescent="0.25">
      <c r="A1307" t="str">
        <f>"20190303170522208"</f>
        <v>20190303170522208</v>
      </c>
      <c r="B1307" t="str">
        <f>"1551603922196333"</f>
        <v>1551603922196333</v>
      </c>
      <c r="C1307" t="s">
        <v>40</v>
      </c>
      <c r="D1307">
        <v>5.7695210000000001</v>
      </c>
      <c r="E1307">
        <v>0.52938289999999999</v>
      </c>
      <c r="F1307" t="s">
        <v>41</v>
      </c>
      <c r="G1307">
        <v>-194.4692</v>
      </c>
      <c r="H1307" s="1">
        <v>-2.6840099999999999E-6</v>
      </c>
      <c r="I1307">
        <v>312.75400000000002</v>
      </c>
      <c r="J1307">
        <v>-192.4359</v>
      </c>
      <c r="K1307">
        <v>1.1207609999999999</v>
      </c>
      <c r="L1307">
        <v>336.51199999999898</v>
      </c>
      <c r="M1307">
        <v>3.6285150000000002E-2</v>
      </c>
      <c r="N1307">
        <v>-7.9489999999999995E-3</v>
      </c>
      <c r="O1307">
        <v>-0.99931000000000003</v>
      </c>
      <c r="P1307">
        <v>-1.5903219999999999E-2</v>
      </c>
      <c r="Q1307">
        <v>0.17951629999999999</v>
      </c>
      <c r="R1307">
        <v>-0.98362649999999996</v>
      </c>
      <c r="S1307">
        <v>-0.25880429999999999</v>
      </c>
      <c r="T1307">
        <v>-0.14332800000000001</v>
      </c>
      <c r="U1307">
        <v>-3.0717469999999998</v>
      </c>
      <c r="V1307">
        <v>5.1567189999999999E-2</v>
      </c>
      <c r="W1307">
        <v>0.1873245</v>
      </c>
      <c r="X1307">
        <v>0.98094360000000003</v>
      </c>
      <c r="Y1307">
        <v>0.1199707</v>
      </c>
      <c r="Z1307">
        <v>3.835914E-2</v>
      </c>
      <c r="AA1307">
        <v>0.99203609999999998</v>
      </c>
      <c r="AB1307">
        <v>26</v>
      </c>
      <c r="AC1307">
        <v>-2.0332999999999899</v>
      </c>
      <c r="AD1307">
        <v>-1.1207636840099999</v>
      </c>
      <c r="AE1307">
        <v>-23.7579999999999</v>
      </c>
      <c r="AF1307">
        <v>2.8876711530513401</v>
      </c>
      <c r="AG1307">
        <v>-1.1207636840099999</v>
      </c>
      <c r="AH1307">
        <v>23.6163990979387</v>
      </c>
      <c r="AI1307">
        <v>92.6969913738088</v>
      </c>
      <c r="AJ1307">
        <v>83.028821321490099</v>
      </c>
      <c r="AK1307">
        <v>23.818670455688299</v>
      </c>
      <c r="AL1307">
        <v>79.203313860682798</v>
      </c>
      <c r="AM1307">
        <v>86.990790099145997</v>
      </c>
      <c r="AN1307">
        <v>0.99999999488285296</v>
      </c>
    </row>
    <row r="1308" spans="1:40" x14ac:dyDescent="0.25">
      <c r="A1308" t="str">
        <f>"20190303170522228"</f>
        <v>20190303170522228</v>
      </c>
      <c r="B1308" t="str">
        <f>"1551603922215852"</f>
        <v>1551603922215852</v>
      </c>
      <c r="C1308" t="s">
        <v>40</v>
      </c>
      <c r="D1308">
        <v>5.7785869999999999</v>
      </c>
      <c r="E1308">
        <v>0.52939320000000001</v>
      </c>
      <c r="F1308" t="s">
        <v>41</v>
      </c>
      <c r="G1308">
        <v>-194.53809999999999</v>
      </c>
      <c r="H1308" s="1">
        <v>-2.072022E-6</v>
      </c>
      <c r="I1308">
        <v>311.42059999999998</v>
      </c>
      <c r="J1308">
        <v>-192.42689999999999</v>
      </c>
      <c r="K1308">
        <v>1.1207400000000001</v>
      </c>
      <c r="L1308">
        <v>336.26479999999998</v>
      </c>
      <c r="M1308">
        <v>3.6365750000000002E-2</v>
      </c>
      <c r="N1308">
        <v>-7.79891099999999E-3</v>
      </c>
      <c r="O1308">
        <v>-0.99930819999999998</v>
      </c>
      <c r="P1308">
        <v>-1.6725190000000001E-2</v>
      </c>
      <c r="Q1308">
        <v>0.1792118</v>
      </c>
      <c r="R1308">
        <v>-0.98366830000000005</v>
      </c>
      <c r="S1308">
        <v>-0.25727840000000002</v>
      </c>
      <c r="T1308">
        <v>-0.13716529999999999</v>
      </c>
      <c r="U1308">
        <v>-3.0708310000000001</v>
      </c>
      <c r="V1308">
        <v>5.2468710000000002E-2</v>
      </c>
      <c r="W1308">
        <v>0.18687300000000001</v>
      </c>
      <c r="X1308">
        <v>0.98098189999999996</v>
      </c>
      <c r="Y1308">
        <v>0.1195932</v>
      </c>
      <c r="Z1308">
        <v>3.653634E-2</v>
      </c>
      <c r="AA1308">
        <v>0.99215050000000005</v>
      </c>
      <c r="AB1308">
        <v>26</v>
      </c>
      <c r="AC1308">
        <v>-2.11119999999999</v>
      </c>
      <c r="AD1308">
        <v>-1.120742072022</v>
      </c>
      <c r="AE1308">
        <v>-24.844200000000001</v>
      </c>
      <c r="AF1308">
        <v>3.00723302238677</v>
      </c>
      <c r="AG1308">
        <v>-1.120742072022</v>
      </c>
      <c r="AH1308">
        <v>24.7010820779137</v>
      </c>
      <c r="AI1308">
        <v>92.578837746636907</v>
      </c>
      <c r="AJ1308">
        <v>83.058685673367904</v>
      </c>
      <c r="AK1308">
        <v>24.908692640577598</v>
      </c>
      <c r="AL1308">
        <v>79.229647838062107</v>
      </c>
      <c r="AM1308">
        <v>86.938400330136602</v>
      </c>
      <c r="AN1308">
        <v>0.99999998589283601</v>
      </c>
    </row>
    <row r="1309" spans="1:40" x14ac:dyDescent="0.25">
      <c r="A1309" t="str">
        <f>"20190303170522250"</f>
        <v>20190303170522250</v>
      </c>
      <c r="B1309" t="str">
        <f>"1551603922236349"</f>
        <v>1551603922236349</v>
      </c>
      <c r="C1309" t="s">
        <v>40</v>
      </c>
      <c r="D1309">
        <v>5.7769680000000001</v>
      </c>
      <c r="E1309">
        <v>0.52930529999999998</v>
      </c>
      <c r="F1309" t="s">
        <v>41</v>
      </c>
      <c r="G1309">
        <v>-194.53469999999999</v>
      </c>
      <c r="H1309" s="1">
        <v>-2.0275410000000001E-6</v>
      </c>
      <c r="I1309">
        <v>311.32839999999999</v>
      </c>
      <c r="J1309">
        <v>-192.41720000000001</v>
      </c>
      <c r="K1309">
        <v>1.120714</v>
      </c>
      <c r="L1309">
        <v>336.00240000000002</v>
      </c>
      <c r="M1309">
        <v>3.6451200000000003E-2</v>
      </c>
      <c r="N1309">
        <v>-7.6434440000000001E-3</v>
      </c>
      <c r="O1309">
        <v>-0.99930629999999998</v>
      </c>
      <c r="P1309">
        <v>-1.7887670000000001E-2</v>
      </c>
      <c r="Q1309">
        <v>0.1786662</v>
      </c>
      <c r="R1309">
        <v>-0.98374709999999999</v>
      </c>
      <c r="S1309">
        <v>-0.259552</v>
      </c>
      <c r="T1309">
        <v>-0.13800299999999999</v>
      </c>
      <c r="U1309">
        <v>-3.070557</v>
      </c>
      <c r="V1309">
        <v>5.3716670000000001E-2</v>
      </c>
      <c r="W1309">
        <v>0.18617549999999999</v>
      </c>
      <c r="X1309">
        <v>0.981047</v>
      </c>
      <c r="Y1309">
        <v>0.1204138</v>
      </c>
      <c r="Z1309">
        <v>3.6962309999999998E-2</v>
      </c>
      <c r="AA1309">
        <v>0.99203540000000001</v>
      </c>
      <c r="AB1309">
        <v>26</v>
      </c>
      <c r="AC1309">
        <v>-2.11749999999997</v>
      </c>
      <c r="AD1309">
        <v>-1.120716027541</v>
      </c>
      <c r="AE1309">
        <v>-24.673999999999999</v>
      </c>
      <c r="AF1309">
        <v>3.0093527080106601</v>
      </c>
      <c r="AG1309">
        <v>-1.120716027541</v>
      </c>
      <c r="AH1309">
        <v>24.530176629799001</v>
      </c>
      <c r="AI1309">
        <v>92.596428302916607</v>
      </c>
      <c r="AJ1309">
        <v>83.005923535809103</v>
      </c>
      <c r="AK1309">
        <v>24.7394780386477</v>
      </c>
      <c r="AL1309">
        <v>79.270325751892202</v>
      </c>
      <c r="AM1309">
        <v>86.8659317384151</v>
      </c>
      <c r="AN1309">
        <v>1.0000000068225601</v>
      </c>
    </row>
    <row r="1310" spans="1:40" x14ac:dyDescent="0.25">
      <c r="A1310" t="str">
        <f>"20190303170522272"</f>
        <v>20190303170522272</v>
      </c>
      <c r="B1310" t="str">
        <f>"1551603922265629"</f>
        <v>1551603922265629</v>
      </c>
      <c r="C1310" t="s">
        <v>40</v>
      </c>
      <c r="D1310">
        <v>5.781174</v>
      </c>
      <c r="E1310">
        <v>0.52913659999999996</v>
      </c>
      <c r="F1310" t="s">
        <v>41</v>
      </c>
      <c r="G1310">
        <v>-194.56909999999999</v>
      </c>
      <c r="H1310" s="1">
        <v>-1.7908259999999999E-6</v>
      </c>
      <c r="I1310">
        <v>310.8082</v>
      </c>
      <c r="J1310">
        <v>-192.40799999999999</v>
      </c>
      <c r="K1310">
        <v>1.120698</v>
      </c>
      <c r="L1310">
        <v>335.75150000000002</v>
      </c>
      <c r="M1310">
        <v>3.6532660000000002E-2</v>
      </c>
      <c r="N1310">
        <v>-7.497231E-3</v>
      </c>
      <c r="O1310">
        <v>-0.99930469999999905</v>
      </c>
      <c r="P1310">
        <v>-1.8972909999999999E-2</v>
      </c>
      <c r="Q1310">
        <v>0.17959020000000001</v>
      </c>
      <c r="R1310">
        <v>-0.98355870000000001</v>
      </c>
      <c r="S1310">
        <v>-0.26217649999999998</v>
      </c>
      <c r="T1310">
        <v>-0.1365432</v>
      </c>
      <c r="U1310">
        <v>-3.06955</v>
      </c>
      <c r="V1310">
        <v>5.4873730000000003E-2</v>
      </c>
      <c r="W1310">
        <v>0.1869545</v>
      </c>
      <c r="X1310">
        <v>0.98083480000000001</v>
      </c>
      <c r="Y1310">
        <v>0.12136570000000001</v>
      </c>
      <c r="Z1310">
        <v>3.6647430000000002E-2</v>
      </c>
      <c r="AA1310">
        <v>0.99193109999999995</v>
      </c>
      <c r="AB1310">
        <v>26</v>
      </c>
      <c r="AC1310">
        <v>-2.1610999999999998</v>
      </c>
      <c r="AD1310">
        <v>-1.1206997908259999</v>
      </c>
      <c r="AE1310">
        <v>-24.943300000000001</v>
      </c>
      <c r="AF1310">
        <v>3.06478690150439</v>
      </c>
      <c r="AG1310">
        <v>-1.1206997908259999</v>
      </c>
      <c r="AH1310">
        <v>24.798008846800599</v>
      </c>
      <c r="AI1310">
        <v>92.568102805113895</v>
      </c>
      <c r="AJ1310">
        <v>82.954539329049496</v>
      </c>
      <c r="AK1310">
        <v>25.011799806067401</v>
      </c>
      <c r="AL1310">
        <v>79.224894702161905</v>
      </c>
      <c r="AM1310">
        <v>86.797871506337302</v>
      </c>
      <c r="AN1310">
        <v>1.0000000081027001</v>
      </c>
    </row>
    <row r="1311" spans="1:40" x14ac:dyDescent="0.25">
      <c r="A1311" t="str">
        <f>"20190303170522294"</f>
        <v>20190303170522294</v>
      </c>
      <c r="B1311" t="str">
        <f>"1551603922286125"</f>
        <v>1551603922286125</v>
      </c>
      <c r="C1311" t="s">
        <v>40</v>
      </c>
      <c r="D1311">
        <v>5.7581759999999997</v>
      </c>
      <c r="E1311">
        <v>0.52896739999999998</v>
      </c>
      <c r="F1311" t="s">
        <v>41</v>
      </c>
      <c r="G1311">
        <v>-194.69139999999999</v>
      </c>
      <c r="H1311" s="1">
        <v>-4.9954469999999999E-6</v>
      </c>
      <c r="I1311">
        <v>309.2208</v>
      </c>
      <c r="J1311">
        <v>-192.39830000000001</v>
      </c>
      <c r="K1311">
        <v>1.1206830000000001</v>
      </c>
      <c r="L1311">
        <v>335.48680000000002</v>
      </c>
      <c r="M1311">
        <v>3.661818E-2</v>
      </c>
      <c r="N1311">
        <v>-7.3490209999999999E-3</v>
      </c>
      <c r="O1311">
        <v>-0.99930249999999998</v>
      </c>
      <c r="P1311">
        <v>-1.9440869999999999E-2</v>
      </c>
      <c r="Q1311">
        <v>0.1800359</v>
      </c>
      <c r="R1311">
        <v>-0.98346820000000001</v>
      </c>
      <c r="S1311">
        <v>-0.26411440000000003</v>
      </c>
      <c r="T1311">
        <v>-0.12962789999999999</v>
      </c>
      <c r="U1311">
        <v>-3.0687259999999998</v>
      </c>
      <c r="V1311">
        <v>5.542155E-2</v>
      </c>
      <c r="W1311">
        <v>0.1872548</v>
      </c>
      <c r="X1311">
        <v>0.98074669999999997</v>
      </c>
      <c r="Y1311">
        <v>0.12210269999999999</v>
      </c>
      <c r="Z1311">
        <v>3.4571060000000001E-2</v>
      </c>
      <c r="AA1311">
        <v>0.9919152</v>
      </c>
      <c r="AB1311">
        <v>26</v>
      </c>
      <c r="AC1311">
        <v>-2.2930999999999799</v>
      </c>
      <c r="AD1311">
        <v>-1.1206879954469999</v>
      </c>
      <c r="AE1311">
        <v>-26.265999999999998</v>
      </c>
      <c r="AF1311">
        <v>3.2475336159885702</v>
      </c>
      <c r="AG1311">
        <v>-1.1206879954469999</v>
      </c>
      <c r="AH1311">
        <v>26.1172260547017</v>
      </c>
      <c r="AI1311">
        <v>92.438295155075295</v>
      </c>
      <c r="AJ1311">
        <v>82.9119657733022</v>
      </c>
      <c r="AK1311">
        <v>26.3422078224758</v>
      </c>
      <c r="AL1311">
        <v>79.207379360212798</v>
      </c>
      <c r="AM1311">
        <v>86.765681376985995</v>
      </c>
      <c r="AN1311">
        <v>0.99999999894416602</v>
      </c>
    </row>
    <row r="1312" spans="1:40" x14ac:dyDescent="0.25">
      <c r="A1312" t="str">
        <f>"20190303170522317"</f>
        <v>20190303170522317</v>
      </c>
      <c r="B1312" t="str">
        <f>"1551603922305645"</f>
        <v>1551603922305645</v>
      </c>
      <c r="C1312" t="s">
        <v>40</v>
      </c>
      <c r="D1312">
        <v>5.7566829999999998</v>
      </c>
      <c r="E1312">
        <v>0.52882059999999997</v>
      </c>
      <c r="F1312" t="s">
        <v>41</v>
      </c>
      <c r="G1312">
        <v>-194.76259999999999</v>
      </c>
      <c r="H1312" s="1">
        <v>-4.585392E-6</v>
      </c>
      <c r="I1312">
        <v>307.9787</v>
      </c>
      <c r="J1312">
        <v>-192.3888</v>
      </c>
      <c r="K1312">
        <v>1.120665</v>
      </c>
      <c r="L1312">
        <v>335.23070000000001</v>
      </c>
      <c r="M1312">
        <v>3.67006E-2</v>
      </c>
      <c r="N1312">
        <v>-7.2174419999999897E-3</v>
      </c>
      <c r="O1312">
        <v>-0.99930039999999998</v>
      </c>
      <c r="P1312">
        <v>-2.018058E-2</v>
      </c>
      <c r="Q1312">
        <v>0.18002360000000001</v>
      </c>
      <c r="R1312">
        <v>-0.98345570000000004</v>
      </c>
      <c r="S1312">
        <v>-0.2637024</v>
      </c>
      <c r="T1312">
        <v>-0.1249934</v>
      </c>
      <c r="U1312">
        <v>-3.0680540000000001</v>
      </c>
      <c r="V1312">
        <v>5.6240900000000003E-2</v>
      </c>
      <c r="W1312">
        <v>0.1871129</v>
      </c>
      <c r="X1312">
        <v>0.98072709999999996</v>
      </c>
      <c r="Y1312">
        <v>0.1220759</v>
      </c>
      <c r="Z1312">
        <v>3.3214830000000001E-2</v>
      </c>
      <c r="AA1312">
        <v>0.99196479999999998</v>
      </c>
      <c r="AB1312">
        <v>26</v>
      </c>
      <c r="AC1312">
        <v>-2.3737999999999801</v>
      </c>
      <c r="AD1312">
        <v>-1.1206695853919999</v>
      </c>
      <c r="AE1312">
        <v>-27.251999999999999</v>
      </c>
      <c r="AF1312">
        <v>3.36674086664343</v>
      </c>
      <c r="AG1312">
        <v>-1.1206695853919999</v>
      </c>
      <c r="AH1312">
        <v>27.101033099095101</v>
      </c>
      <c r="AI1312">
        <v>92.349877128196596</v>
      </c>
      <c r="AJ1312">
        <v>82.918469405406796</v>
      </c>
      <c r="AK1312">
        <v>27.3323405404842</v>
      </c>
      <c r="AL1312">
        <v>79.215655500022905</v>
      </c>
      <c r="AM1312">
        <v>86.717903660356896</v>
      </c>
      <c r="AN1312">
        <v>0.99999996042681405</v>
      </c>
    </row>
    <row r="1313" spans="1:40" x14ac:dyDescent="0.25">
      <c r="A1313" t="str">
        <f>"20190303170522338"</f>
        <v>20190303170522338</v>
      </c>
      <c r="B1313" t="str">
        <f>"1551603922326142"</f>
        <v>1551603922326142</v>
      </c>
      <c r="C1313" t="s">
        <v>40</v>
      </c>
      <c r="D1313">
        <v>5.7524040000000003</v>
      </c>
      <c r="E1313">
        <v>0.52865459999999997</v>
      </c>
      <c r="F1313" t="s">
        <v>41</v>
      </c>
      <c r="G1313">
        <v>-194.78319999999999</v>
      </c>
      <c r="H1313" s="1">
        <v>-4.3928230000000001E-6</v>
      </c>
      <c r="I1313">
        <v>307.40210000000002</v>
      </c>
      <c r="J1313">
        <v>-192.3792</v>
      </c>
      <c r="K1313">
        <v>1.1206389999999999</v>
      </c>
      <c r="L1313">
        <v>334.9701</v>
      </c>
      <c r="M1313">
        <v>3.6784280000000003E-2</v>
      </c>
      <c r="N1313">
        <v>-7.0974990000000002E-3</v>
      </c>
      <c r="O1313">
        <v>-0.99929820000000003</v>
      </c>
      <c r="P1313">
        <v>-2.048152E-2</v>
      </c>
      <c r="Q1313">
        <v>0.17901619999999999</v>
      </c>
      <c r="R1313">
        <v>-0.98363339999999999</v>
      </c>
      <c r="S1313">
        <v>-0.26394649999999997</v>
      </c>
      <c r="T1313">
        <v>-0.12353690000000001</v>
      </c>
      <c r="U1313">
        <v>-3.067688</v>
      </c>
      <c r="V1313">
        <v>5.6630159999999999E-2</v>
      </c>
      <c r="W1313">
        <v>0.1859894</v>
      </c>
      <c r="X1313">
        <v>0.98091839999999997</v>
      </c>
      <c r="Y1313">
        <v>0.122249</v>
      </c>
      <c r="Z1313">
        <v>3.286828E-2</v>
      </c>
      <c r="AA1313">
        <v>0.99195500000000003</v>
      </c>
      <c r="AB1313">
        <v>26</v>
      </c>
      <c r="AC1313">
        <v>-2.4039999999999901</v>
      </c>
      <c r="AD1313">
        <v>-1.120643392823</v>
      </c>
      <c r="AE1313">
        <v>-27.567999999999898</v>
      </c>
      <c r="AF1313">
        <v>3.4108736476035002</v>
      </c>
      <c r="AG1313">
        <v>-1.120643392823</v>
      </c>
      <c r="AH1313">
        <v>27.415949059903699</v>
      </c>
      <c r="AI1313">
        <v>92.322808622334804</v>
      </c>
      <c r="AJ1313">
        <v>82.908156439348105</v>
      </c>
      <c r="AK1313">
        <v>27.650030081521201</v>
      </c>
      <c r="AL1313">
        <v>79.281177638386197</v>
      </c>
      <c r="AM1313">
        <v>86.695880543186803</v>
      </c>
      <c r="AN1313">
        <v>0.99999996969627203</v>
      </c>
    </row>
    <row r="1314" spans="1:40" x14ac:dyDescent="0.25">
      <c r="A1314" t="str">
        <f>"20190303170522360"</f>
        <v>20190303170522360</v>
      </c>
      <c r="B1314" t="str">
        <f>"1551603922345662"</f>
        <v>1551603922345662</v>
      </c>
      <c r="C1314" t="s">
        <v>40</v>
      </c>
      <c r="D1314">
        <v>5.7749309999999996</v>
      </c>
      <c r="E1314">
        <v>0.52852769999999905</v>
      </c>
      <c r="F1314" t="s">
        <v>41</v>
      </c>
      <c r="G1314">
        <v>-194.75239999999999</v>
      </c>
      <c r="H1314" s="1">
        <v>-4.3532969999999996E-6</v>
      </c>
      <c r="I1314">
        <v>307.30200000000002</v>
      </c>
      <c r="J1314">
        <v>-192.3699</v>
      </c>
      <c r="K1314">
        <v>1.120617</v>
      </c>
      <c r="L1314">
        <v>334.72019999999998</v>
      </c>
      <c r="M1314">
        <v>3.6864580000000001E-2</v>
      </c>
      <c r="N1314">
        <v>-6.9923169999999996E-3</v>
      </c>
      <c r="O1314">
        <v>-0.99929610000000002</v>
      </c>
      <c r="P1314">
        <v>-2.0505559999999999E-2</v>
      </c>
      <c r="Q1314">
        <v>0.17819989999999999</v>
      </c>
      <c r="R1314">
        <v>-0.98378100000000002</v>
      </c>
      <c r="S1314">
        <v>-0.2630768</v>
      </c>
      <c r="T1314">
        <v>-0.1242259</v>
      </c>
      <c r="U1314">
        <v>-3.067078</v>
      </c>
      <c r="V1314">
        <v>5.6738440000000001E-2</v>
      </c>
      <c r="W1314">
        <v>0.1850706</v>
      </c>
      <c r="X1314">
        <v>0.98108600000000001</v>
      </c>
      <c r="Y1314">
        <v>0.1220657</v>
      </c>
      <c r="Z1314">
        <v>3.3204900000000002E-2</v>
      </c>
      <c r="AA1314">
        <v>0.99196640000000003</v>
      </c>
      <c r="AB1314">
        <v>26</v>
      </c>
      <c r="AC1314">
        <v>-2.3824999999999901</v>
      </c>
      <c r="AD1314">
        <v>-1.120621353297</v>
      </c>
      <c r="AE1314">
        <v>-27.418199999999899</v>
      </c>
      <c r="AF1314">
        <v>3.3860513835312398</v>
      </c>
      <c r="AG1314">
        <v>-1.120621353297</v>
      </c>
      <c r="AH1314">
        <v>27.266523457319298</v>
      </c>
      <c r="AI1314">
        <v>92.335543372531504</v>
      </c>
      <c r="AJ1314">
        <v>82.921052480543494</v>
      </c>
      <c r="AK1314">
        <v>27.498807931216199</v>
      </c>
      <c r="AL1314">
        <v>79.334752072867104</v>
      </c>
      <c r="AM1314">
        <v>86.690141187020998</v>
      </c>
      <c r="AN1314">
        <v>1.0000000584769899</v>
      </c>
    </row>
    <row r="1315" spans="1:40" x14ac:dyDescent="0.25">
      <c r="A1315" t="str">
        <f>"20190303170522385"</f>
        <v>20190303170522385</v>
      </c>
      <c r="B1315" t="str">
        <f>"1551603922375917"</f>
        <v>1551603922375917</v>
      </c>
      <c r="C1315" t="s">
        <v>40</v>
      </c>
      <c r="D1315">
        <v>5.7747549999999999</v>
      </c>
      <c r="E1315">
        <v>0.52842429999999996</v>
      </c>
      <c r="F1315" t="s">
        <v>41</v>
      </c>
      <c r="G1315">
        <v>-194.72550000000001</v>
      </c>
      <c r="H1315" s="1">
        <v>-4.3093289999999997E-6</v>
      </c>
      <c r="I1315">
        <v>307.18680000000001</v>
      </c>
      <c r="J1315">
        <v>-192.35890000000001</v>
      </c>
      <c r="K1315">
        <v>1.120598</v>
      </c>
      <c r="L1315">
        <v>334.42399999999998</v>
      </c>
      <c r="M1315">
        <v>3.6959329999999999E-2</v>
      </c>
      <c r="N1315">
        <v>-6.8771910000000004E-3</v>
      </c>
      <c r="O1315">
        <v>-0.99929319999999999</v>
      </c>
      <c r="P1315">
        <v>-2.04014E-2</v>
      </c>
      <c r="Q1315">
        <v>0.1780369</v>
      </c>
      <c r="R1315">
        <v>-0.98381240000000003</v>
      </c>
      <c r="S1315">
        <v>-0.26235960000000003</v>
      </c>
      <c r="T1315">
        <v>-0.12481</v>
      </c>
      <c r="U1315">
        <v>-3.0665589999999998</v>
      </c>
      <c r="V1315">
        <v>5.6728340000000002E-2</v>
      </c>
      <c r="W1315">
        <v>0.1847955</v>
      </c>
      <c r="X1315">
        <v>0.98113830000000002</v>
      </c>
      <c r="Y1315">
        <v>0.1219432</v>
      </c>
      <c r="Z1315">
        <v>3.3516219999999999E-2</v>
      </c>
      <c r="AA1315">
        <v>0.99197100000000005</v>
      </c>
      <c r="AB1315">
        <v>26</v>
      </c>
      <c r="AC1315">
        <v>-2.3666</v>
      </c>
      <c r="AD1315">
        <v>-1.1206023093290001</v>
      </c>
      <c r="AE1315">
        <v>-27.237200000000001</v>
      </c>
      <c r="AF1315">
        <v>3.36602042283319</v>
      </c>
      <c r="AG1315">
        <v>-1.1206023093290001</v>
      </c>
      <c r="AH1315">
        <v>27.085615771231101</v>
      </c>
      <c r="AI1315">
        <v>92.351059528435101</v>
      </c>
      <c r="AJ1315">
        <v>82.915980320002205</v>
      </c>
      <c r="AK1315">
        <v>27.316962216347701</v>
      </c>
      <c r="AL1315">
        <v>79.350789326425996</v>
      </c>
      <c r="AM1315">
        <v>86.690905074941597</v>
      </c>
      <c r="AN1315">
        <v>0.99999992255314396</v>
      </c>
    </row>
    <row r="1316" spans="1:40" x14ac:dyDescent="0.25">
      <c r="A1316" t="str">
        <f>"20190303170522408"</f>
        <v>20190303170522408</v>
      </c>
      <c r="B1316" t="str">
        <f>"1551603922396413"</f>
        <v>1551603922396413</v>
      </c>
      <c r="C1316" t="s">
        <v>40</v>
      </c>
      <c r="D1316">
        <v>5.7614450000000001</v>
      </c>
      <c r="E1316">
        <v>0.52838369999999901</v>
      </c>
      <c r="F1316" t="s">
        <v>41</v>
      </c>
      <c r="G1316">
        <v>-194.74189999999999</v>
      </c>
      <c r="H1316" s="1">
        <v>-4.0699590000000003E-6</v>
      </c>
      <c r="I1316">
        <v>306.47489999999999</v>
      </c>
      <c r="J1316">
        <v>-192.34880000000001</v>
      </c>
      <c r="K1316">
        <v>1.1205889999999901</v>
      </c>
      <c r="L1316">
        <v>334.15339999999998</v>
      </c>
      <c r="M1316">
        <v>3.7046080000000002E-2</v>
      </c>
      <c r="N1316">
        <v>-6.7848989999999996E-3</v>
      </c>
      <c r="O1316">
        <v>-0.99929080000000003</v>
      </c>
      <c r="P1316">
        <v>-2.051451E-2</v>
      </c>
      <c r="Q1316">
        <v>0.17862449999999999</v>
      </c>
      <c r="R1316">
        <v>-0.98370400000000002</v>
      </c>
      <c r="S1316">
        <v>-0.26142880000000002</v>
      </c>
      <c r="T1316">
        <v>-0.1229372</v>
      </c>
      <c r="U1316">
        <v>-3.0661930000000002</v>
      </c>
      <c r="V1316">
        <v>5.6922380000000002E-2</v>
      </c>
      <c r="W1316">
        <v>0.18529180000000001</v>
      </c>
      <c r="X1316">
        <v>0.98103359999999995</v>
      </c>
      <c r="Y1316">
        <v>0.1217425</v>
      </c>
      <c r="Z1316">
        <v>3.3008790000000003E-2</v>
      </c>
      <c r="AA1316">
        <v>0.99201269999999997</v>
      </c>
      <c r="AB1316">
        <v>27</v>
      </c>
      <c r="AC1316">
        <v>-2.3930999999999698</v>
      </c>
      <c r="AD1316">
        <v>-1.1205930699590001</v>
      </c>
      <c r="AE1316">
        <v>-27.6784999999999</v>
      </c>
      <c r="AF1316">
        <v>3.4113103894178902</v>
      </c>
      <c r="AG1316">
        <v>-1.1205930699590001</v>
      </c>
      <c r="AH1316">
        <v>27.526058733772601</v>
      </c>
      <c r="AI1316">
        <v>92.313559426820206</v>
      </c>
      <c r="AJ1316">
        <v>82.935342728830094</v>
      </c>
      <c r="AK1316">
        <v>27.759262901173901</v>
      </c>
      <c r="AL1316">
        <v>79.321855273424006</v>
      </c>
      <c r="AM1316">
        <v>86.679257983460303</v>
      </c>
      <c r="AN1316">
        <v>1.00000006641053</v>
      </c>
    </row>
    <row r="1317" spans="1:40" x14ac:dyDescent="0.25">
      <c r="A1317" t="str">
        <f>"20190303170522428"</f>
        <v>20190303170522428</v>
      </c>
      <c r="B1317" t="str">
        <f>"1551603922415933"</f>
        <v>1551603922415933</v>
      </c>
      <c r="C1317" t="s">
        <v>40</v>
      </c>
      <c r="D1317">
        <v>5.7832460000000001</v>
      </c>
      <c r="E1317">
        <v>0.52826289999999998</v>
      </c>
      <c r="F1317" t="s">
        <v>41</v>
      </c>
      <c r="G1317">
        <v>-194.79220000000001</v>
      </c>
      <c r="H1317" s="1">
        <v>-3.7227360000000001E-6</v>
      </c>
      <c r="I1317">
        <v>305.42829999999998</v>
      </c>
      <c r="J1317">
        <v>-192.33940000000001</v>
      </c>
      <c r="K1317">
        <v>1.1205799999999999</v>
      </c>
      <c r="L1317">
        <v>333.9015</v>
      </c>
      <c r="M1317">
        <v>3.7126579999999999E-2</v>
      </c>
      <c r="N1317">
        <v>-6.7095219999999999E-3</v>
      </c>
      <c r="O1317">
        <v>-0.99928819999999996</v>
      </c>
      <c r="P1317">
        <v>-2.0763819999999999E-2</v>
      </c>
      <c r="Q1317">
        <v>0.17926889999999901</v>
      </c>
      <c r="R1317">
        <v>-0.98358100000000004</v>
      </c>
      <c r="S1317">
        <v>-0.26080320000000001</v>
      </c>
      <c r="T1317">
        <v>-0.11960800000000001</v>
      </c>
      <c r="U1317">
        <v>-3.0660099999999999</v>
      </c>
      <c r="V1317">
        <v>5.7245820000000003E-2</v>
      </c>
      <c r="W1317">
        <v>0.1858611</v>
      </c>
      <c r="X1317">
        <v>0.98090699999999997</v>
      </c>
      <c r="Y1317">
        <v>0.1216299</v>
      </c>
      <c r="Z1317">
        <v>3.2010589999999998E-2</v>
      </c>
      <c r="AA1317">
        <v>0.99205920000000003</v>
      </c>
      <c r="AB1317">
        <v>27</v>
      </c>
      <c r="AC1317">
        <v>-2.4527999999999901</v>
      </c>
      <c r="AD1317">
        <v>-1.1205837227359901</v>
      </c>
      <c r="AE1317">
        <v>-28.473199999999999</v>
      </c>
      <c r="AF1317">
        <v>3.5028595402634002</v>
      </c>
      <c r="AG1317">
        <v>-1.1205837227359901</v>
      </c>
      <c r="AH1317">
        <v>28.318963351986199</v>
      </c>
      <c r="AI1317">
        <v>92.248895607111095</v>
      </c>
      <c r="AJ1317">
        <v>82.948724972917603</v>
      </c>
      <c r="AK1317">
        <v>28.556775346134799</v>
      </c>
      <c r="AL1317">
        <v>79.288659328548704</v>
      </c>
      <c r="AM1317">
        <v>86.660001660121296</v>
      </c>
      <c r="AN1317">
        <v>0.99999998752484098</v>
      </c>
    </row>
    <row r="1318" spans="1:40" x14ac:dyDescent="0.25">
      <c r="A1318" t="str">
        <f>"20190303170522450"</f>
        <v>20190303170522450</v>
      </c>
      <c r="B1318" t="str">
        <f>"1551603922435454"</f>
        <v>1551603922435454</v>
      </c>
      <c r="C1318" t="s">
        <v>40</v>
      </c>
      <c r="D1318">
        <v>5.7828949999999999</v>
      </c>
      <c r="E1318">
        <v>0.52830359999999998</v>
      </c>
      <c r="F1318" t="s">
        <v>41</v>
      </c>
      <c r="G1318">
        <v>-194.8468</v>
      </c>
      <c r="H1318" s="1">
        <v>-3.3245710000000002E-6</v>
      </c>
      <c r="I1318">
        <v>304.33260000000001</v>
      </c>
      <c r="J1318">
        <v>-192.33</v>
      </c>
      <c r="K1318">
        <v>1.1205700000000001</v>
      </c>
      <c r="L1318">
        <v>333.6497</v>
      </c>
      <c r="M1318">
        <v>3.7206940000000001E-2</v>
      </c>
      <c r="N1318">
        <v>-6.6439239999999998E-3</v>
      </c>
      <c r="O1318">
        <v>-0.9992858</v>
      </c>
      <c r="P1318">
        <v>-2.1271249999999998E-2</v>
      </c>
      <c r="Q1318">
        <v>0.17821429999999999</v>
      </c>
      <c r="R1318">
        <v>-0.98376209999999997</v>
      </c>
      <c r="S1318">
        <v>-0.25997920000000002</v>
      </c>
      <c r="T1318">
        <v>-0.11618580000000001</v>
      </c>
      <c r="U1318">
        <v>-3.0657960000000002</v>
      </c>
      <c r="V1318">
        <v>5.7838479999999998E-2</v>
      </c>
      <c r="W1318">
        <v>0.1847435</v>
      </c>
      <c r="X1318">
        <v>0.98108329999999999</v>
      </c>
      <c r="Y1318">
        <v>0.1214543</v>
      </c>
      <c r="Z1318">
        <v>3.097283E-2</v>
      </c>
      <c r="AA1318">
        <v>0.99211360000000004</v>
      </c>
      <c r="AB1318">
        <v>27</v>
      </c>
      <c r="AC1318">
        <v>-2.5167999999999799</v>
      </c>
      <c r="AD1318">
        <v>-1.1205733245709999</v>
      </c>
      <c r="AE1318">
        <v>-29.3170999999999</v>
      </c>
      <c r="AF1318">
        <v>3.6006586350567198</v>
      </c>
      <c r="AG1318">
        <v>-1.1205733245709999</v>
      </c>
      <c r="AH1318">
        <v>29.1608637663848</v>
      </c>
      <c r="AI1318">
        <v>92.184069254527401</v>
      </c>
      <c r="AJ1318">
        <v>82.960990947825707</v>
      </c>
      <c r="AK1318">
        <v>29.403680089124901</v>
      </c>
      <c r="AL1318">
        <v>79.353821158345895</v>
      </c>
      <c r="AM1318">
        <v>86.626107499618698</v>
      </c>
      <c r="AN1318">
        <v>0.99999994604992304</v>
      </c>
    </row>
    <row r="1319" spans="1:40" x14ac:dyDescent="0.25">
      <c r="A1319" t="str">
        <f>"20190303170522472"</f>
        <v>20190303170522472</v>
      </c>
      <c r="B1319" t="str">
        <f>"1551603922465709"</f>
        <v>1551603922465709</v>
      </c>
      <c r="C1319" t="s">
        <v>40</v>
      </c>
      <c r="D1319">
        <v>5.6934909999999999</v>
      </c>
      <c r="E1319">
        <v>0.54558680000000004</v>
      </c>
      <c r="F1319" t="s">
        <v>41</v>
      </c>
      <c r="G1319">
        <v>-194.7962</v>
      </c>
      <c r="H1319" s="1">
        <v>-3.4922089999999998E-6</v>
      </c>
      <c r="I1319">
        <v>304.75479999999999</v>
      </c>
      <c r="J1319">
        <v>-192.3194</v>
      </c>
      <c r="K1319">
        <v>1.1205560000000001</v>
      </c>
      <c r="L1319">
        <v>333.36810000000003</v>
      </c>
      <c r="M1319">
        <v>3.7296700000000002E-2</v>
      </c>
      <c r="N1319">
        <v>-6.5842599999999998E-3</v>
      </c>
      <c r="O1319">
        <v>-0.99928249999999996</v>
      </c>
      <c r="P1319">
        <v>-2.1932340000000002E-2</v>
      </c>
      <c r="Q1319">
        <v>0.17656959999999999</v>
      </c>
      <c r="R1319">
        <v>-0.98404369999999997</v>
      </c>
      <c r="S1319">
        <v>-0.2616425</v>
      </c>
      <c r="T1319">
        <v>-0.11887929999999999</v>
      </c>
      <c r="U1319">
        <v>-3.0653990000000002</v>
      </c>
      <c r="V1319">
        <v>5.8597789999999997E-2</v>
      </c>
      <c r="W1319">
        <v>0.18304210000000001</v>
      </c>
      <c r="X1319">
        <v>0.98135720000000004</v>
      </c>
      <c r="Y1319">
        <v>0.1220859</v>
      </c>
      <c r="Z1319">
        <v>3.190598E-2</v>
      </c>
      <c r="AA1319">
        <v>0.99200659999999896</v>
      </c>
      <c r="AB1319">
        <v>27</v>
      </c>
      <c r="AC1319">
        <v>-2.4767999999999901</v>
      </c>
      <c r="AD1319">
        <v>-1.1205594922090001</v>
      </c>
      <c r="AE1319">
        <v>-28.613299999999999</v>
      </c>
      <c r="AF1319">
        <v>3.5368973873626399</v>
      </c>
      <c r="AG1319">
        <v>-1.1205594922090001</v>
      </c>
      <c r="AH1319">
        <v>28.4576922389776</v>
      </c>
      <c r="AI1319">
        <v>92.237733353571102</v>
      </c>
      <c r="AJ1319">
        <v>82.9152577796674</v>
      </c>
      <c r="AK1319">
        <v>28.6985286081478</v>
      </c>
      <c r="AL1319">
        <v>79.452996429724706</v>
      </c>
      <c r="AM1319">
        <v>86.582870737621406</v>
      </c>
      <c r="AN1319">
        <v>1.0000000326785601</v>
      </c>
    </row>
    <row r="1320" spans="1:40" x14ac:dyDescent="0.25">
      <c r="A1320" t="str">
        <f>"20190303170522495"</f>
        <v>20190303170522495</v>
      </c>
      <c r="B1320" t="str">
        <f>"1551603922486205"</f>
        <v>1551603922486205</v>
      </c>
      <c r="C1320" t="s">
        <v>40</v>
      </c>
      <c r="D1320">
        <v>5.6927370000000002</v>
      </c>
      <c r="E1320">
        <v>0.5473732</v>
      </c>
      <c r="F1320" t="s">
        <v>41</v>
      </c>
      <c r="G1320">
        <v>-196.3211</v>
      </c>
      <c r="H1320" s="1">
        <v>-3.1219670000000001E-6</v>
      </c>
      <c r="I1320">
        <v>302.94600000000003</v>
      </c>
      <c r="J1320">
        <v>-192.30869999999999</v>
      </c>
      <c r="K1320">
        <v>1.120544</v>
      </c>
      <c r="L1320">
        <v>333.08510000000001</v>
      </c>
      <c r="M1320">
        <v>3.7387009999999998E-2</v>
      </c>
      <c r="N1320">
        <v>-6.5440000000000003E-3</v>
      </c>
      <c r="O1320">
        <v>-0.99927960000000005</v>
      </c>
      <c r="P1320">
        <v>-2.2069579999999998E-2</v>
      </c>
      <c r="Q1320">
        <v>0.17554549999999999</v>
      </c>
      <c r="R1320">
        <v>-0.98422419999999999</v>
      </c>
      <c r="S1320">
        <v>-0.40249629999999997</v>
      </c>
      <c r="T1320">
        <v>-0.11270670000000001</v>
      </c>
      <c r="U1320">
        <v>-3.0598749999999999</v>
      </c>
      <c r="V1320">
        <v>5.883037E-2</v>
      </c>
      <c r="W1320">
        <v>0.18197930000000001</v>
      </c>
      <c r="X1320">
        <v>0.98154090000000005</v>
      </c>
      <c r="Y1320">
        <v>0.1673124</v>
      </c>
      <c r="Z1320">
        <v>2.9797939999999998E-2</v>
      </c>
      <c r="AA1320">
        <v>0.98545349999999998</v>
      </c>
      <c r="AB1320">
        <v>27</v>
      </c>
      <c r="AC1320">
        <v>-4.0124000000000102</v>
      </c>
      <c r="AD1320">
        <v>-1.120547121967</v>
      </c>
      <c r="AE1320">
        <v>-30.139099999999999</v>
      </c>
      <c r="AF1320">
        <v>5.1294624959268598</v>
      </c>
      <c r="AG1320">
        <v>-1.120547121967</v>
      </c>
      <c r="AH1320">
        <v>29.927364941875201</v>
      </c>
      <c r="AI1320">
        <v>92.113489119318004</v>
      </c>
      <c r="AJ1320">
        <v>80.274175141385001</v>
      </c>
      <c r="AK1320">
        <v>30.384439828863901</v>
      </c>
      <c r="AL1320">
        <v>79.514930381263596</v>
      </c>
      <c r="AM1320">
        <v>86.569980699263496</v>
      </c>
      <c r="AN1320">
        <v>1.00000000821781</v>
      </c>
    </row>
    <row r="1321" spans="1:40" x14ac:dyDescent="0.25">
      <c r="A1321" t="str">
        <f>"20190303170522517"</f>
        <v>20190303170522517</v>
      </c>
      <c r="B1321" t="str">
        <f>"1551603922505725"</f>
        <v>1551603922505725</v>
      </c>
      <c r="C1321" t="s">
        <v>40</v>
      </c>
      <c r="D1321">
        <v>5.6501299999999999</v>
      </c>
      <c r="E1321">
        <v>0.5486335</v>
      </c>
      <c r="F1321" t="s">
        <v>41</v>
      </c>
      <c r="G1321">
        <v>-196.23419999999999</v>
      </c>
      <c r="H1321" s="1">
        <v>-3.6003000000000001E-6</v>
      </c>
      <c r="I1321">
        <v>304.31689999999998</v>
      </c>
      <c r="J1321">
        <v>-192.2987</v>
      </c>
      <c r="K1321">
        <v>1.120541</v>
      </c>
      <c r="L1321">
        <v>332.81799999999998</v>
      </c>
      <c r="M1321">
        <v>3.7472159999999997E-2</v>
      </c>
      <c r="N1321">
        <v>-6.5248969999999896E-3</v>
      </c>
      <c r="O1321">
        <v>-0.99927630000000001</v>
      </c>
      <c r="P1321">
        <v>-2.2060529999999998E-2</v>
      </c>
      <c r="Q1321">
        <v>0.175862299999999</v>
      </c>
      <c r="R1321">
        <v>-0.98416760000000003</v>
      </c>
      <c r="S1321">
        <v>-0.41754150000000001</v>
      </c>
      <c r="T1321">
        <v>-0.1191894</v>
      </c>
      <c r="U1321">
        <v>-3.0599980000000002</v>
      </c>
      <c r="V1321">
        <v>5.8902709999999997E-2</v>
      </c>
      <c r="W1321">
        <v>0.18227750000000001</v>
      </c>
      <c r="X1321">
        <v>0.9814813</v>
      </c>
      <c r="Y1321">
        <v>0.1721385</v>
      </c>
      <c r="Z1321">
        <v>3.1874630000000001E-2</v>
      </c>
      <c r="AA1321">
        <v>0.98455689999999996</v>
      </c>
      <c r="AB1321">
        <v>27</v>
      </c>
      <c r="AC1321">
        <v>-3.93549999999999</v>
      </c>
      <c r="AD1321">
        <v>-1.1205446002999999</v>
      </c>
      <c r="AE1321">
        <v>-28.501100000000001</v>
      </c>
      <c r="AF1321">
        <v>4.9931827279629601</v>
      </c>
      <c r="AG1321">
        <v>-1.1205446002999999</v>
      </c>
      <c r="AH1321">
        <v>28.2906954562322</v>
      </c>
      <c r="AI1321">
        <v>92.233711008797798</v>
      </c>
      <c r="AJ1321">
        <v>79.990631479111698</v>
      </c>
      <c r="AK1321">
        <v>28.749799014138599</v>
      </c>
      <c r="AL1321">
        <v>79.497554912805796</v>
      </c>
      <c r="AM1321">
        <v>86.565565066197706</v>
      </c>
      <c r="AN1321">
        <v>1.0000000792506301</v>
      </c>
    </row>
    <row r="1322" spans="1:40" x14ac:dyDescent="0.25">
      <c r="A1322" t="str">
        <f>"20190303170522538"</f>
        <v>20190303170522538</v>
      </c>
      <c r="B1322" t="str">
        <f>"1551603922526221"</f>
        <v>1551603922526221</v>
      </c>
      <c r="C1322" t="s">
        <v>40</v>
      </c>
      <c r="D1322">
        <v>5.69468</v>
      </c>
      <c r="E1322">
        <v>0.54928189999999999</v>
      </c>
      <c r="F1322" t="s">
        <v>41</v>
      </c>
      <c r="G1322">
        <v>-196.36930000000001</v>
      </c>
      <c r="H1322" s="1">
        <v>-3.411959E-6</v>
      </c>
      <c r="I1322">
        <v>303.69299999999998</v>
      </c>
      <c r="J1322">
        <v>-192.28870000000001</v>
      </c>
      <c r="K1322">
        <v>1.120552</v>
      </c>
      <c r="L1322">
        <v>332.55560000000003</v>
      </c>
      <c r="M1322">
        <v>3.755555E-2</v>
      </c>
      <c r="N1322">
        <v>-6.5314479999999996E-3</v>
      </c>
      <c r="O1322">
        <v>-0.99927319999999997</v>
      </c>
      <c r="P1322">
        <v>-2.1874899999999999E-2</v>
      </c>
      <c r="Q1322">
        <v>0.17639969999999999</v>
      </c>
      <c r="R1322">
        <v>-0.98407549999999999</v>
      </c>
      <c r="S1322">
        <v>-0.42764279999999999</v>
      </c>
      <c r="T1322">
        <v>-0.1177188</v>
      </c>
      <c r="U1322">
        <v>-3.059723</v>
      </c>
      <c r="V1322">
        <v>5.8795409999999999E-2</v>
      </c>
      <c r="W1322">
        <v>0.18282039999999999</v>
      </c>
      <c r="X1322">
        <v>0.98138669999999995</v>
      </c>
      <c r="Y1322">
        <v>0.1754231</v>
      </c>
      <c r="Z1322">
        <v>3.137786E-2</v>
      </c>
      <c r="AA1322">
        <v>0.98399300000000001</v>
      </c>
      <c r="AB1322">
        <v>27</v>
      </c>
      <c r="AC1322">
        <v>-4.0805999999999996</v>
      </c>
      <c r="AD1322">
        <v>-1.120555411959</v>
      </c>
      <c r="AE1322">
        <v>-28.8626</v>
      </c>
      <c r="AF1322">
        <v>5.1540786853421503</v>
      </c>
      <c r="AG1322">
        <v>-1.120555411959</v>
      </c>
      <c r="AH1322">
        <v>28.6466527677388</v>
      </c>
      <c r="AI1322">
        <v>92.204701485931906</v>
      </c>
      <c r="AJ1322">
        <v>79.800518617868505</v>
      </c>
      <c r="AK1322">
        <v>29.128180278235199</v>
      </c>
      <c r="AL1322">
        <v>79.465916866494993</v>
      </c>
      <c r="AM1322">
        <v>86.5714767929896</v>
      </c>
      <c r="AN1322">
        <v>1.00000002691505</v>
      </c>
    </row>
    <row r="1323" spans="1:40" x14ac:dyDescent="0.25">
      <c r="A1323" t="str">
        <f>"20190303170522563"</f>
        <v>20190303170522563</v>
      </c>
      <c r="B1323" t="str">
        <f>"1551603922555501"</f>
        <v>1551603922555501</v>
      </c>
      <c r="C1323" t="s">
        <v>40</v>
      </c>
      <c r="D1323">
        <v>5.6915779999999998</v>
      </c>
      <c r="E1323">
        <v>0.5499347</v>
      </c>
      <c r="F1323" t="s">
        <v>41</v>
      </c>
      <c r="G1323">
        <v>-196.46080000000001</v>
      </c>
      <c r="H1323" s="1">
        <v>-3.1855459999999998E-6</v>
      </c>
      <c r="I1323">
        <v>303.00760000000002</v>
      </c>
      <c r="J1323">
        <v>-192.27780000000001</v>
      </c>
      <c r="K1323">
        <v>1.1205609999999999</v>
      </c>
      <c r="L1323">
        <v>332.26710000000003</v>
      </c>
      <c r="M1323">
        <v>3.7647399999999998E-2</v>
      </c>
      <c r="N1323">
        <v>-6.5786319999999896E-3</v>
      </c>
      <c r="O1323">
        <v>-0.99926939999999997</v>
      </c>
      <c r="P1323">
        <v>-2.1992620000000001E-2</v>
      </c>
      <c r="Q1323">
        <v>0.17572079999999901</v>
      </c>
      <c r="R1323">
        <v>-0.98419429999999997</v>
      </c>
      <c r="S1323">
        <v>-0.43202210000000002</v>
      </c>
      <c r="T1323">
        <v>-0.1160356</v>
      </c>
      <c r="U1323">
        <v>-3.0597530000000002</v>
      </c>
      <c r="V1323">
        <v>5.900772E-2</v>
      </c>
      <c r="W1323">
        <v>0.18218889999999999</v>
      </c>
      <c r="X1323">
        <v>0.98149140000000001</v>
      </c>
      <c r="Y1323">
        <v>0.17689559999999999</v>
      </c>
      <c r="Z1323">
        <v>3.0779540000000001E-2</v>
      </c>
      <c r="AA1323">
        <v>0.98374819999999996</v>
      </c>
      <c r="AB1323">
        <v>27</v>
      </c>
      <c r="AC1323">
        <v>-4.1829999999999901</v>
      </c>
      <c r="AD1323">
        <v>-1.120564185546</v>
      </c>
      <c r="AE1323">
        <v>-29.259499999999999</v>
      </c>
      <c r="AF1323">
        <v>5.2740220039406696</v>
      </c>
      <c r="AG1323">
        <v>-1.120564185546</v>
      </c>
      <c r="AH1323">
        <v>29.0395350681402</v>
      </c>
      <c r="AI1323">
        <v>92.174274401408397</v>
      </c>
      <c r="AJ1323">
        <v>79.706409798562305</v>
      </c>
      <c r="AK1323">
        <v>29.535835338884901</v>
      </c>
      <c r="AL1323">
        <v>79.502717323245605</v>
      </c>
      <c r="AM1323">
        <v>86.559492272453895</v>
      </c>
      <c r="AN1323">
        <v>1.0000000372883799</v>
      </c>
    </row>
    <row r="1324" spans="1:40" x14ac:dyDescent="0.25">
      <c r="A1324" t="str">
        <f>"20190303170522598"</f>
        <v>20190303170522598</v>
      </c>
      <c r="B1324" t="str">
        <f>"1551603922585879"</f>
        <v>1551603922585879</v>
      </c>
      <c r="C1324" t="s">
        <v>40</v>
      </c>
      <c r="D1324">
        <v>5.67225</v>
      </c>
      <c r="E1324">
        <v>0.55039439999999995</v>
      </c>
      <c r="F1324" t="s">
        <v>41</v>
      </c>
      <c r="G1324">
        <v>-196.4478</v>
      </c>
      <c r="H1324" s="1">
        <v>-3.2359860000000001E-6</v>
      </c>
      <c r="I1324">
        <v>303.13490000000002</v>
      </c>
      <c r="J1324">
        <v>-192.26140000000001</v>
      </c>
      <c r="K1324">
        <v>1.12059</v>
      </c>
      <c r="L1324">
        <v>331.83519999999999</v>
      </c>
      <c r="M1324">
        <v>3.7784150000000002E-2</v>
      </c>
      <c r="N1324">
        <v>-6.7332859999999998E-3</v>
      </c>
      <c r="O1324">
        <v>-0.99926340000000002</v>
      </c>
      <c r="P1324">
        <v>-2.3493400000000001E-2</v>
      </c>
      <c r="Q1324">
        <v>0.17407600000000001</v>
      </c>
      <c r="R1324">
        <v>-0.9844522</v>
      </c>
      <c r="S1324">
        <v>-0.43792720000000002</v>
      </c>
      <c r="T1324">
        <v>-0.11767900000000001</v>
      </c>
      <c r="U1324">
        <v>-3.0593870000000001</v>
      </c>
      <c r="V1324">
        <v>6.0651360000000001E-2</v>
      </c>
      <c r="W1324">
        <v>0.18069769999999999</v>
      </c>
      <c r="X1324">
        <v>0.98166679999999995</v>
      </c>
      <c r="Y1324">
        <v>0.17890449999999999</v>
      </c>
      <c r="Z1324">
        <v>3.1145030000000001E-2</v>
      </c>
      <c r="AA1324">
        <v>0.98337330000000001</v>
      </c>
      <c r="AB1324">
        <v>27</v>
      </c>
      <c r="AC1324">
        <v>-4.1863999999999901</v>
      </c>
      <c r="AD1324">
        <v>-1.120593235986</v>
      </c>
      <c r="AE1324">
        <v>-28.700299999999899</v>
      </c>
      <c r="AF1324">
        <v>5.2599995773641304</v>
      </c>
      <c r="AG1324">
        <v>-1.120593235986</v>
      </c>
      <c r="AH1324">
        <v>28.4791102967813</v>
      </c>
      <c r="AI1324">
        <v>92.215866723100504</v>
      </c>
      <c r="AJ1324">
        <v>79.535581832944303</v>
      </c>
      <c r="AK1324">
        <v>28.982461041993101</v>
      </c>
      <c r="AL1324">
        <v>79.589598264727101</v>
      </c>
      <c r="AM1324">
        <v>86.464528194968906</v>
      </c>
      <c r="AN1324">
        <v>0.99999997623868897</v>
      </c>
    </row>
    <row r="1325" spans="1:40" x14ac:dyDescent="0.25">
      <c r="A1325" t="str">
        <f>"20190303170522617"</f>
        <v>20190303170522617</v>
      </c>
      <c r="B1325" t="str">
        <f>"1551603922606254"</f>
        <v>1551603922606254</v>
      </c>
      <c r="C1325" t="s">
        <v>40</v>
      </c>
      <c r="D1325">
        <v>5.6900779999999997</v>
      </c>
      <c r="E1325">
        <v>0.55073819999999996</v>
      </c>
      <c r="F1325" t="s">
        <v>41</v>
      </c>
      <c r="G1325">
        <v>-196.3843</v>
      </c>
      <c r="H1325" s="1">
        <v>-3.3646170000000002E-6</v>
      </c>
      <c r="I1325">
        <v>303.54610000000002</v>
      </c>
      <c r="J1325">
        <v>-192.2518</v>
      </c>
      <c r="K1325">
        <v>1.120606</v>
      </c>
      <c r="L1325">
        <v>331.5829</v>
      </c>
      <c r="M1325">
        <v>3.7864250000000002E-2</v>
      </c>
      <c r="N1325">
        <v>-6.8443089999999998E-3</v>
      </c>
      <c r="O1325">
        <v>-0.99925940000000002</v>
      </c>
      <c r="P1325">
        <v>-2.4325360000000001E-2</v>
      </c>
      <c r="Q1325">
        <v>0.17389209999999999</v>
      </c>
      <c r="R1325">
        <v>-0.98446420000000001</v>
      </c>
      <c r="S1325">
        <v>-0.44570920000000003</v>
      </c>
      <c r="T1325">
        <v>-0.1211405</v>
      </c>
      <c r="U1325">
        <v>-3.0581670000000001</v>
      </c>
      <c r="V1325">
        <v>6.1561860000000003E-2</v>
      </c>
      <c r="W1325">
        <v>0.18062259999999999</v>
      </c>
      <c r="X1325">
        <v>0.98162389999999999</v>
      </c>
      <c r="Y1325">
        <v>0.1814829</v>
      </c>
      <c r="Z1325">
        <v>3.2145399999999998E-2</v>
      </c>
      <c r="AA1325">
        <v>0.98286859999999998</v>
      </c>
      <c r="AB1325">
        <v>28</v>
      </c>
      <c r="AC1325">
        <v>-4.1324999999999896</v>
      </c>
      <c r="AD1325">
        <v>-1.1206093646169999</v>
      </c>
      <c r="AE1325">
        <v>-28.0367999999999</v>
      </c>
      <c r="AF1325">
        <v>5.1830496766661902</v>
      </c>
      <c r="AG1325">
        <v>-1.1206093646169999</v>
      </c>
      <c r="AH1325">
        <v>27.816722560698299</v>
      </c>
      <c r="AI1325">
        <v>92.267947230576894</v>
      </c>
      <c r="AJ1325">
        <v>79.445197888662804</v>
      </c>
      <c r="AK1325">
        <v>28.3176592132492</v>
      </c>
      <c r="AL1325">
        <v>79.593972716128604</v>
      </c>
      <c r="AM1325">
        <v>86.411434832031802</v>
      </c>
      <c r="AN1325">
        <v>0.99999993364431194</v>
      </c>
    </row>
    <row r="1326" spans="1:40" x14ac:dyDescent="0.25">
      <c r="A1326" t="str">
        <f>"20190303170522639"</f>
        <v>20190303170522639</v>
      </c>
      <c r="B1326" t="str">
        <f>"1551603922625774"</f>
        <v>1551603922625774</v>
      </c>
      <c r="C1326" t="s">
        <v>40</v>
      </c>
      <c r="D1326">
        <v>5.6819430000000004</v>
      </c>
      <c r="E1326">
        <v>0.55107189999999995</v>
      </c>
      <c r="F1326" t="s">
        <v>41</v>
      </c>
      <c r="G1326">
        <v>-196.417</v>
      </c>
      <c r="H1326" s="1">
        <v>-3.300162E-6</v>
      </c>
      <c r="I1326">
        <v>303.33960000000002</v>
      </c>
      <c r="J1326">
        <v>-192.24160000000001</v>
      </c>
      <c r="K1326">
        <v>1.120622</v>
      </c>
      <c r="L1326">
        <v>331.31709999999998</v>
      </c>
      <c r="M1326">
        <v>3.7948660000000002E-2</v>
      </c>
      <c r="N1326">
        <v>-6.9725119999999897E-3</v>
      </c>
      <c r="O1326">
        <v>-0.99925549999999996</v>
      </c>
      <c r="P1326">
        <v>-2.5435309999999999E-2</v>
      </c>
      <c r="Q1326">
        <v>0.17330680000000001</v>
      </c>
      <c r="R1326">
        <v>-0.98453979999999996</v>
      </c>
      <c r="S1326">
        <v>-0.45092769999999999</v>
      </c>
      <c r="T1326">
        <v>-0.1213182</v>
      </c>
      <c r="U1326">
        <v>-3.0576479999999999</v>
      </c>
      <c r="V1326">
        <v>6.2756779999999998E-2</v>
      </c>
      <c r="W1326">
        <v>0.18016389999999999</v>
      </c>
      <c r="X1326">
        <v>0.98163259999999997</v>
      </c>
      <c r="Y1326">
        <v>0.183231</v>
      </c>
      <c r="Z1326">
        <v>3.2068960000000001E-2</v>
      </c>
      <c r="AA1326">
        <v>0.9825467</v>
      </c>
      <c r="AB1326">
        <v>28</v>
      </c>
      <c r="AC1326">
        <v>-4.17539999999999</v>
      </c>
      <c r="AD1326">
        <v>-1.1206253001619999</v>
      </c>
      <c r="AE1326">
        <v>-27.9774999999999</v>
      </c>
      <c r="AF1326">
        <v>5.2259249591377896</v>
      </c>
      <c r="AG1326">
        <v>-1.1206253001619999</v>
      </c>
      <c r="AH1326">
        <v>27.755332421955799</v>
      </c>
      <c r="AI1326">
        <v>92.272186669856794</v>
      </c>
      <c r="AJ1326">
        <v>79.336876938954106</v>
      </c>
      <c r="AK1326">
        <v>28.265253768455199</v>
      </c>
      <c r="AL1326">
        <v>79.620693370377694</v>
      </c>
      <c r="AM1326">
        <v>86.342000197586401</v>
      </c>
      <c r="AN1326">
        <v>1.0000000028409599</v>
      </c>
    </row>
    <row r="1327" spans="1:40" x14ac:dyDescent="0.25">
      <c r="A1327" t="str">
        <f>"20190303170522662"</f>
        <v>20190303170522662</v>
      </c>
      <c r="B1327" t="str">
        <f>"1551603922656029"</f>
        <v>1551603922656029</v>
      </c>
      <c r="C1327" t="s">
        <v>40</v>
      </c>
      <c r="D1327">
        <v>5.678947</v>
      </c>
      <c r="E1327">
        <v>0.55149869999999901</v>
      </c>
      <c r="F1327" t="s">
        <v>41</v>
      </c>
      <c r="G1327">
        <v>-196.4485</v>
      </c>
      <c r="H1327" s="1">
        <v>-3.2532710000000001E-6</v>
      </c>
      <c r="I1327">
        <v>303.18540000000002</v>
      </c>
      <c r="J1327">
        <v>-192.2303</v>
      </c>
      <c r="K1327">
        <v>1.120638</v>
      </c>
      <c r="L1327">
        <v>331.02199999999999</v>
      </c>
      <c r="M1327">
        <v>3.8042329999999999E-2</v>
      </c>
      <c r="N1327">
        <v>-7.1286669999999896E-3</v>
      </c>
      <c r="O1327">
        <v>-0.99925079999999999</v>
      </c>
      <c r="P1327">
        <v>-2.7018730000000001E-2</v>
      </c>
      <c r="Q1327">
        <v>0.1727339</v>
      </c>
      <c r="R1327">
        <v>-0.98459799999999997</v>
      </c>
      <c r="S1327">
        <v>-0.4571228</v>
      </c>
      <c r="T1327">
        <v>-0.12176720000000001</v>
      </c>
      <c r="U1327">
        <v>-3.0567929999999999</v>
      </c>
      <c r="V1327">
        <v>6.443335E-2</v>
      </c>
      <c r="W1327">
        <v>0.17974419999999999</v>
      </c>
      <c r="X1327">
        <v>0.9816009</v>
      </c>
      <c r="Y1327">
        <v>0.18530959999999999</v>
      </c>
      <c r="Z1327">
        <v>3.2053570000000003E-2</v>
      </c>
      <c r="AA1327">
        <v>0.98215730000000001</v>
      </c>
      <c r="AB1327">
        <v>28</v>
      </c>
      <c r="AC1327">
        <v>-4.2181999999999897</v>
      </c>
      <c r="AD1327">
        <v>-1.1206412532709999</v>
      </c>
      <c r="AE1327">
        <v>-27.836599999999901</v>
      </c>
      <c r="AF1327">
        <v>5.2657996613752598</v>
      </c>
      <c r="AG1327">
        <v>-1.1206412532709999</v>
      </c>
      <c r="AH1327">
        <v>27.612228222692401</v>
      </c>
      <c r="AI1327">
        <v>92.282972885345899</v>
      </c>
      <c r="AJ1327">
        <v>79.203032454178498</v>
      </c>
      <c r="AK1327">
        <v>28.132181399854499</v>
      </c>
      <c r="AL1327">
        <v>79.645139257295696</v>
      </c>
      <c r="AM1327">
        <v>86.244430512550494</v>
      </c>
      <c r="AN1327">
        <v>0.99999998045333605</v>
      </c>
    </row>
    <row r="1328" spans="1:40" x14ac:dyDescent="0.25">
      <c r="A1328" t="str">
        <f>"20190303170522685"</f>
        <v>20190303170522685</v>
      </c>
      <c r="B1328" t="str">
        <f>"1551603922675549"</f>
        <v>1551603922675549</v>
      </c>
      <c r="C1328" t="s">
        <v>40</v>
      </c>
      <c r="D1328">
        <v>5.6671430000000003</v>
      </c>
      <c r="E1328">
        <v>0.55172189999999999</v>
      </c>
      <c r="F1328" t="s">
        <v>41</v>
      </c>
      <c r="G1328">
        <v>-196.48599999999999</v>
      </c>
      <c r="H1328" s="1">
        <v>-3.222397E-6</v>
      </c>
      <c r="I1328">
        <v>303.07780000000002</v>
      </c>
      <c r="J1328">
        <v>-192.22</v>
      </c>
      <c r="K1328">
        <v>1.120655</v>
      </c>
      <c r="L1328">
        <v>330.75290000000001</v>
      </c>
      <c r="M1328">
        <v>3.8127950000000001E-2</v>
      </c>
      <c r="N1328">
        <v>-7.2834379999999997E-3</v>
      </c>
      <c r="O1328">
        <v>-0.99924650000000004</v>
      </c>
      <c r="P1328">
        <v>-2.825186E-2</v>
      </c>
      <c r="Q1328">
        <v>0.17209179999999999</v>
      </c>
      <c r="R1328">
        <v>-0.98467579999999999</v>
      </c>
      <c r="S1328">
        <v>-0.46534730000000002</v>
      </c>
      <c r="T1328">
        <v>-0.1225395</v>
      </c>
      <c r="U1328">
        <v>-3.055634</v>
      </c>
      <c r="V1328">
        <v>6.5752749999999999E-2</v>
      </c>
      <c r="W1328">
        <v>0.17925489999999999</v>
      </c>
      <c r="X1328">
        <v>0.98160289999999994</v>
      </c>
      <c r="Y1328">
        <v>0.18803049999999999</v>
      </c>
      <c r="Z1328">
        <v>3.2142740000000003E-2</v>
      </c>
      <c r="AA1328">
        <v>0.98163710000000004</v>
      </c>
      <c r="AB1328">
        <v>28</v>
      </c>
      <c r="AC1328">
        <v>-4.2659999999999902</v>
      </c>
      <c r="AD1328">
        <v>-1.1206582223970001</v>
      </c>
      <c r="AE1328">
        <v>-27.675099999999901</v>
      </c>
      <c r="AF1328">
        <v>5.3096163279732602</v>
      </c>
      <c r="AG1328">
        <v>-1.1206582223970001</v>
      </c>
      <c r="AH1328">
        <v>27.448354455899299</v>
      </c>
      <c r="AI1328">
        <v>92.295461063178493</v>
      </c>
      <c r="AJ1328">
        <v>79.051909999178704</v>
      </c>
      <c r="AK1328">
        <v>27.979636572664699</v>
      </c>
      <c r="AL1328">
        <v>79.673637127180598</v>
      </c>
      <c r="AM1328">
        <v>86.167762463915594</v>
      </c>
      <c r="AN1328">
        <v>0.99999999829749098</v>
      </c>
    </row>
    <row r="1329" spans="1:40" x14ac:dyDescent="0.25">
      <c r="A1329" t="str">
        <f>"20190303170522706"</f>
        <v>20190303170522706</v>
      </c>
      <c r="B1329" t="str">
        <f>"1551603922695687"</f>
        <v>1551603922695687</v>
      </c>
      <c r="C1329" t="s">
        <v>40</v>
      </c>
      <c r="D1329">
        <v>5.6810029999999996</v>
      </c>
      <c r="E1329">
        <v>0.55188409999999999</v>
      </c>
      <c r="F1329" t="s">
        <v>41</v>
      </c>
      <c r="G1329">
        <v>-196.4717</v>
      </c>
      <c r="H1329" s="1">
        <v>-3.2602530000000001E-6</v>
      </c>
      <c r="I1329">
        <v>303.19380000000001</v>
      </c>
      <c r="J1329">
        <v>-192.20959999999999</v>
      </c>
      <c r="K1329">
        <v>1.120671</v>
      </c>
      <c r="L1329">
        <v>330.48390000000001</v>
      </c>
      <c r="M1329">
        <v>3.8213009999999999E-2</v>
      </c>
      <c r="N1329">
        <v>-7.4474049999999998E-3</v>
      </c>
      <c r="O1329">
        <v>-0.99924190000000002</v>
      </c>
      <c r="P1329">
        <v>-2.9329600000000001E-2</v>
      </c>
      <c r="Q1329">
        <v>0.17247680000000001</v>
      </c>
      <c r="R1329">
        <v>-0.98457680000000003</v>
      </c>
      <c r="S1329">
        <v>-0.4712982</v>
      </c>
      <c r="T1329">
        <v>-0.1242239</v>
      </c>
      <c r="U1329">
        <v>-3.0549010000000001</v>
      </c>
      <c r="V1329">
        <v>6.6909369999999996E-2</v>
      </c>
      <c r="W1329">
        <v>0.17979999999999999</v>
      </c>
      <c r="X1329">
        <v>0.98142499999999999</v>
      </c>
      <c r="Y1329">
        <v>0.19001370000000001</v>
      </c>
      <c r="Z1329">
        <v>3.2515200000000001E-2</v>
      </c>
      <c r="AA1329">
        <v>0.98124290000000003</v>
      </c>
      <c r="AB1329">
        <v>28</v>
      </c>
      <c r="AC1329">
        <v>-4.2621000000000002</v>
      </c>
      <c r="AD1329">
        <v>-1.120674260253</v>
      </c>
      <c r="AE1329">
        <v>-27.290099999999899</v>
      </c>
      <c r="AF1329">
        <v>5.29313904035281</v>
      </c>
      <c r="AG1329">
        <v>-1.120674260253</v>
      </c>
      <c r="AH1329">
        <v>27.062743777739101</v>
      </c>
      <c r="AI1329">
        <v>92.327230278816302</v>
      </c>
      <c r="AJ1329">
        <v>78.933356925063407</v>
      </c>
      <c r="AK1329">
        <v>27.598284955367301</v>
      </c>
      <c r="AL1329">
        <v>79.641889065095299</v>
      </c>
      <c r="AM1329">
        <v>86.099853227598302</v>
      </c>
      <c r="AN1329">
        <v>0.99999996720939699</v>
      </c>
    </row>
    <row r="1330" spans="1:40" x14ac:dyDescent="0.25">
      <c r="A1330" t="str">
        <f>"20190303170522728"</f>
        <v>20190303170522728</v>
      </c>
      <c r="B1330" t="str">
        <f>"1551603922716184"</f>
        <v>1551603922716184</v>
      </c>
      <c r="C1330" t="s">
        <v>40</v>
      </c>
      <c r="D1330">
        <v>5.6895160000000002</v>
      </c>
      <c r="E1330">
        <v>0.55200139999999998</v>
      </c>
      <c r="F1330" t="s">
        <v>41</v>
      </c>
      <c r="G1330">
        <v>-196.56489999999999</v>
      </c>
      <c r="H1330" s="1">
        <v>-2.9988469999999998E-6</v>
      </c>
      <c r="I1330">
        <v>302.50779999999997</v>
      </c>
      <c r="J1330">
        <v>-192.19890000000001</v>
      </c>
      <c r="K1330">
        <v>1.12069</v>
      </c>
      <c r="L1330">
        <v>330.20659999999998</v>
      </c>
      <c r="M1330">
        <v>3.8300800000000003E-2</v>
      </c>
      <c r="N1330">
        <v>-7.6147899999999998E-3</v>
      </c>
      <c r="O1330">
        <v>-0.99923740000000005</v>
      </c>
      <c r="P1330">
        <v>-3.0155870000000001E-2</v>
      </c>
      <c r="Q1330">
        <v>0.17346979999999901</v>
      </c>
      <c r="R1330">
        <v>-0.98437759999999996</v>
      </c>
      <c r="S1330">
        <v>-0.47547909999999999</v>
      </c>
      <c r="T1330">
        <v>-0.1223482</v>
      </c>
      <c r="U1330">
        <v>-3.0542600000000002</v>
      </c>
      <c r="V1330">
        <v>6.781355E-2</v>
      </c>
      <c r="W1330">
        <v>0.18095559999999999</v>
      </c>
      <c r="X1330">
        <v>0.98115050000000004</v>
      </c>
      <c r="Y1330">
        <v>0.19144559999999999</v>
      </c>
      <c r="Z1330">
        <v>3.1742579999999999E-2</v>
      </c>
      <c r="AA1330">
        <v>0.98098980000000002</v>
      </c>
      <c r="AB1330">
        <v>28</v>
      </c>
      <c r="AC1330">
        <v>-4.3659999999999801</v>
      </c>
      <c r="AD1330">
        <v>-1.120692998847</v>
      </c>
      <c r="AE1330">
        <v>-27.698799999999999</v>
      </c>
      <c r="AF1330">
        <v>5.4150634630093304</v>
      </c>
      <c r="AG1330">
        <v>-1.120692998847</v>
      </c>
      <c r="AH1330">
        <v>27.467374560286999</v>
      </c>
      <c r="AI1330">
        <v>92.292347771103195</v>
      </c>
      <c r="AJ1330">
        <v>78.847425594731902</v>
      </c>
      <c r="AK1330">
        <v>28.0184855111975</v>
      </c>
      <c r="AL1330">
        <v>79.574573785786001</v>
      </c>
      <c r="AM1330">
        <v>86.046212186741599</v>
      </c>
      <c r="AN1330">
        <v>0.99999995519260498</v>
      </c>
    </row>
    <row r="1331" spans="1:40" x14ac:dyDescent="0.25">
      <c r="A1331" t="str">
        <f>"20190303170522752"</f>
        <v>20190303170522752</v>
      </c>
      <c r="B1331" t="str">
        <f>"1551603922746439"</f>
        <v>1551603922746439</v>
      </c>
      <c r="C1331" t="s">
        <v>40</v>
      </c>
      <c r="D1331">
        <v>5.6755370000000003</v>
      </c>
      <c r="E1331">
        <v>0.55220630000000004</v>
      </c>
      <c r="F1331" t="s">
        <v>41</v>
      </c>
      <c r="G1331">
        <v>-196.72300000000001</v>
      </c>
      <c r="H1331" s="1">
        <v>-2.5327750000000001E-6</v>
      </c>
      <c r="I1331">
        <v>301.32330000000002</v>
      </c>
      <c r="J1331">
        <v>-192.1874</v>
      </c>
      <c r="K1331">
        <v>1.1207149999999999</v>
      </c>
      <c r="L1331">
        <v>329.90870000000001</v>
      </c>
      <c r="M1331">
        <v>3.8394789999999998E-2</v>
      </c>
      <c r="N1331">
        <v>-7.7917430000000003E-3</v>
      </c>
      <c r="O1331">
        <v>-0.99923240000000002</v>
      </c>
      <c r="P1331">
        <v>-3.0406909999999999E-2</v>
      </c>
      <c r="Q1331">
        <v>0.17330319999999999</v>
      </c>
      <c r="R1331">
        <v>-0.98439920000000003</v>
      </c>
      <c r="S1331">
        <v>-0.47833249999999999</v>
      </c>
      <c r="T1331">
        <v>-0.118490899999999</v>
      </c>
      <c r="U1331">
        <v>-3.053833</v>
      </c>
      <c r="V1331">
        <v>6.8157549999999997E-2</v>
      </c>
      <c r="W1331">
        <v>0.18096219999999999</v>
      </c>
      <c r="X1331">
        <v>0.98112549999999998</v>
      </c>
      <c r="Y1331">
        <v>0.1924602</v>
      </c>
      <c r="Z1331">
        <v>3.0323659999999999E-2</v>
      </c>
      <c r="AA1331">
        <v>0.98083620000000005</v>
      </c>
      <c r="AB1331">
        <v>28</v>
      </c>
      <c r="AC1331">
        <v>-4.5355999999999801</v>
      </c>
      <c r="AD1331">
        <v>-1.1207175327750001</v>
      </c>
      <c r="AE1331">
        <v>-28.5854</v>
      </c>
      <c r="AF1331">
        <v>5.6213905899035899</v>
      </c>
      <c r="AG1331">
        <v>-1.1207175327750001</v>
      </c>
      <c r="AH1331">
        <v>28.347669236181002</v>
      </c>
      <c r="AI1331">
        <v>92.220795107812293</v>
      </c>
      <c r="AJ1331">
        <v>78.783661714735103</v>
      </c>
      <c r="AK1331">
        <v>28.9213829385188</v>
      </c>
      <c r="AL1331">
        <v>79.574189843560106</v>
      </c>
      <c r="AM1331">
        <v>86.026118841428598</v>
      </c>
      <c r="AN1331">
        <v>1.00000000810054</v>
      </c>
    </row>
    <row r="1332" spans="1:40" x14ac:dyDescent="0.25">
      <c r="A1332" t="str">
        <f>"20190303170522774"</f>
        <v>20190303170522774</v>
      </c>
      <c r="B1332" t="str">
        <f>"1551603922765960"</f>
        <v>1551603922765960</v>
      </c>
      <c r="C1332" t="s">
        <v>40</v>
      </c>
      <c r="D1332">
        <v>5.6971239999999996</v>
      </c>
      <c r="E1332">
        <v>0.55223290000000003</v>
      </c>
      <c r="F1332" t="s">
        <v>41</v>
      </c>
      <c r="G1332">
        <v>-196.7064</v>
      </c>
      <c r="H1332" s="1">
        <v>-2.4750020000000001E-6</v>
      </c>
      <c r="I1332">
        <v>301.19889999999998</v>
      </c>
      <c r="J1332">
        <v>-192.1764</v>
      </c>
      <c r="K1332">
        <v>1.120733</v>
      </c>
      <c r="L1332">
        <v>329.62360000000001</v>
      </c>
      <c r="M1332">
        <v>3.8485169999999999E-2</v>
      </c>
      <c r="N1332">
        <v>-7.9633810000000003E-3</v>
      </c>
      <c r="O1332">
        <v>-0.99922759999999999</v>
      </c>
      <c r="P1332">
        <v>-3.020051E-2</v>
      </c>
      <c r="Q1332">
        <v>0.1724675</v>
      </c>
      <c r="R1332">
        <v>-0.98455230000000005</v>
      </c>
      <c r="S1332">
        <v>-0.48065190000000002</v>
      </c>
      <c r="T1332">
        <v>-0.1192038</v>
      </c>
      <c r="U1332">
        <v>-3.0536799999999999</v>
      </c>
      <c r="V1332">
        <v>6.8046159999999994E-2</v>
      </c>
      <c r="W1332">
        <v>0.18029619999999999</v>
      </c>
      <c r="X1332">
        <v>0.98125580000000001</v>
      </c>
      <c r="Y1332">
        <v>0.19328200000000001</v>
      </c>
      <c r="Z1332">
        <v>3.037687E-2</v>
      </c>
      <c r="AA1332">
        <v>0.98067289999999996</v>
      </c>
      <c r="AB1332">
        <v>28</v>
      </c>
      <c r="AC1332">
        <v>-4.53</v>
      </c>
      <c r="AD1332">
        <v>-1.120735475002</v>
      </c>
      <c r="AE1332">
        <v>-28.424700000000001</v>
      </c>
      <c r="AF1332">
        <v>5.61209937219955</v>
      </c>
      <c r="AG1332">
        <v>-1.120735475002</v>
      </c>
      <c r="AH1332">
        <v>28.186564458885702</v>
      </c>
      <c r="AI1332">
        <v>92.233168512081207</v>
      </c>
      <c r="AJ1332">
        <v>78.739357118743101</v>
      </c>
      <c r="AK1332">
        <v>28.761678034553</v>
      </c>
      <c r="AL1332">
        <v>79.612986621595297</v>
      </c>
      <c r="AM1332">
        <v>86.0331177514214</v>
      </c>
      <c r="AN1332">
        <v>0.99999997232941196</v>
      </c>
    </row>
    <row r="1333" spans="1:40" x14ac:dyDescent="0.25">
      <c r="A1333" t="str">
        <f>"20190303170522797"</f>
        <v>20190303170522797</v>
      </c>
      <c r="B1333" t="str">
        <f>"1551603922786058"</f>
        <v>1551603922786058</v>
      </c>
      <c r="C1333" t="s">
        <v>40</v>
      </c>
      <c r="D1333">
        <v>5.6594569999999997</v>
      </c>
      <c r="E1333">
        <v>0.55229090000000003</v>
      </c>
      <c r="F1333" t="s">
        <v>41</v>
      </c>
      <c r="G1333">
        <v>-196.6078</v>
      </c>
      <c r="H1333" s="1">
        <v>-2.562852E-6</v>
      </c>
      <c r="I1333">
        <v>301.46480000000003</v>
      </c>
      <c r="J1333">
        <v>-192.1652</v>
      </c>
      <c r="K1333">
        <v>1.120749</v>
      </c>
      <c r="L1333">
        <v>329.33609999999999</v>
      </c>
      <c r="M1333">
        <v>3.8576319999999997E-2</v>
      </c>
      <c r="N1333">
        <v>-8.1331200000000006E-3</v>
      </c>
      <c r="O1333">
        <v>-0.99922259999999996</v>
      </c>
      <c r="P1333">
        <v>-3.0827E-2</v>
      </c>
      <c r="Q1333">
        <v>0.1719318</v>
      </c>
      <c r="R1333">
        <v>-0.98462649999999996</v>
      </c>
      <c r="S1333">
        <v>-0.4805603</v>
      </c>
      <c r="T1333">
        <v>-0.12153600000000001</v>
      </c>
      <c r="U1333">
        <v>-3.0536189999999999</v>
      </c>
      <c r="V1333">
        <v>6.8764770000000003E-2</v>
      </c>
      <c r="W1333">
        <v>0.17992759999999999</v>
      </c>
      <c r="X1333">
        <v>0.98127339999999996</v>
      </c>
      <c r="Y1333">
        <v>0.1933416</v>
      </c>
      <c r="Z1333">
        <v>3.0956620000000001E-2</v>
      </c>
      <c r="AA1333">
        <v>0.98064300000000004</v>
      </c>
      <c r="AB1333">
        <v>28</v>
      </c>
      <c r="AC1333">
        <v>-4.4425999999999899</v>
      </c>
      <c r="AD1333">
        <v>-1.1207515628519999</v>
      </c>
      <c r="AE1333">
        <v>-27.871299999999898</v>
      </c>
      <c r="AF1333">
        <v>5.5058184678079503</v>
      </c>
      <c r="AG1333">
        <v>-1.1207515628519999</v>
      </c>
      <c r="AH1333">
        <v>27.635589066564599</v>
      </c>
      <c r="AI1333">
        <v>92.277623835773397</v>
      </c>
      <c r="AJ1333">
        <v>78.732534480772401</v>
      </c>
      <c r="AK1333">
        <v>28.200991190419501</v>
      </c>
      <c r="AL1333">
        <v>79.634457366808405</v>
      </c>
      <c r="AM1333">
        <v>85.991432523435094</v>
      </c>
      <c r="AN1333">
        <v>1.0000000101912301</v>
      </c>
    </row>
    <row r="1334" spans="1:40" x14ac:dyDescent="0.25">
      <c r="A1334" t="str">
        <f>"20190303170522820"</f>
        <v>20190303170522820</v>
      </c>
      <c r="B1334" t="str">
        <f>"1551603922805562"</f>
        <v>1551603922805562</v>
      </c>
      <c r="C1334" t="s">
        <v>40</v>
      </c>
      <c r="D1334">
        <v>5.677829</v>
      </c>
      <c r="E1334">
        <v>0.5524384</v>
      </c>
      <c r="F1334" t="s">
        <v>41</v>
      </c>
      <c r="G1334">
        <v>-196.5934</v>
      </c>
      <c r="H1334" s="1">
        <v>-2.5143670000000002E-6</v>
      </c>
      <c r="I1334">
        <v>301.36079999999998</v>
      </c>
      <c r="J1334">
        <v>-192.15430000000001</v>
      </c>
      <c r="K1334">
        <v>1.1207670000000001</v>
      </c>
      <c r="L1334">
        <v>329.05439999999999</v>
      </c>
      <c r="M1334">
        <v>3.8665310000000001E-2</v>
      </c>
      <c r="N1334">
        <v>-8.2875039999999994E-3</v>
      </c>
      <c r="O1334">
        <v>-0.99921789999999999</v>
      </c>
      <c r="P1334">
        <v>-3.1510530000000002E-2</v>
      </c>
      <c r="Q1334">
        <v>0.17215259999999999</v>
      </c>
      <c r="R1334">
        <v>-0.98456619999999995</v>
      </c>
      <c r="S1334">
        <v>-0.4832611</v>
      </c>
      <c r="T1334">
        <v>-0.1223128</v>
      </c>
      <c r="U1334">
        <v>-3.05307</v>
      </c>
      <c r="V1334">
        <v>6.9532869999999997E-2</v>
      </c>
      <c r="W1334">
        <v>0.1802995</v>
      </c>
      <c r="X1334">
        <v>0.981151</v>
      </c>
      <c r="Y1334">
        <v>0.19430069999999999</v>
      </c>
      <c r="Z1334">
        <v>3.105159E-2</v>
      </c>
      <c r="AA1334">
        <v>0.9804505</v>
      </c>
      <c r="AB1334">
        <v>28</v>
      </c>
      <c r="AC1334">
        <v>-4.4390999999999901</v>
      </c>
      <c r="AD1334">
        <v>-1.120769514367</v>
      </c>
      <c r="AE1334">
        <v>-27.6936</v>
      </c>
      <c r="AF1334">
        <v>5.49781961038906</v>
      </c>
      <c r="AG1334">
        <v>-1.120769514367</v>
      </c>
      <c r="AH1334">
        <v>27.4574001923061</v>
      </c>
      <c r="AI1334">
        <v>92.2919852769096</v>
      </c>
      <c r="AJ1334">
        <v>78.677348011819802</v>
      </c>
      <c r="AK1334">
        <v>28.024827744219301</v>
      </c>
      <c r="AL1334">
        <v>79.612794762140396</v>
      </c>
      <c r="AM1334">
        <v>85.946301426072296</v>
      </c>
      <c r="AN1334">
        <v>1.0000000072558399</v>
      </c>
    </row>
    <row r="1335" spans="1:40" x14ac:dyDescent="0.25">
      <c r="A1335" t="str">
        <f>"20190303170522840"</f>
        <v>20190303170522840</v>
      </c>
      <c r="B1335" t="str">
        <f>"1551603922826060"</f>
        <v>1551603922826060</v>
      </c>
      <c r="C1335" t="s">
        <v>40</v>
      </c>
      <c r="D1335">
        <v>5.6931159999999998</v>
      </c>
      <c r="E1335">
        <v>0.55259290000000005</v>
      </c>
      <c r="F1335" t="s">
        <v>41</v>
      </c>
      <c r="G1335">
        <v>-196.62100000000001</v>
      </c>
      <c r="H1335" s="1">
        <v>-2.3789720000000001E-6</v>
      </c>
      <c r="I1335">
        <v>301.02800000000002</v>
      </c>
      <c r="J1335">
        <v>-192.14429999999999</v>
      </c>
      <c r="K1335">
        <v>1.1207800000000001</v>
      </c>
      <c r="L1335">
        <v>328.79809999999998</v>
      </c>
      <c r="M1335">
        <v>3.874652E-2</v>
      </c>
      <c r="N1335">
        <v>-8.4147719999999992E-3</v>
      </c>
      <c r="O1335">
        <v>-0.99921380000000004</v>
      </c>
      <c r="P1335">
        <v>-3.2356830000000003E-2</v>
      </c>
      <c r="Q1335">
        <v>0.1731058</v>
      </c>
      <c r="R1335">
        <v>-0.98437169999999896</v>
      </c>
      <c r="S1335">
        <v>-0.48654170000000002</v>
      </c>
      <c r="T1335">
        <v>-0.1220794</v>
      </c>
      <c r="U1335">
        <v>-3.052765</v>
      </c>
      <c r="V1335">
        <v>7.0450730000000003E-2</v>
      </c>
      <c r="W1335">
        <v>0.1813758</v>
      </c>
      <c r="X1335">
        <v>0.98088710000000001</v>
      </c>
      <c r="Y1335">
        <v>0.1954234</v>
      </c>
      <c r="Z1335">
        <v>3.0844719999999999E-2</v>
      </c>
      <c r="AA1335">
        <v>0.98023380000000004</v>
      </c>
      <c r="AB1335">
        <v>28</v>
      </c>
      <c r="AC1335">
        <v>-4.4766999999999904</v>
      </c>
      <c r="AD1335">
        <v>-1.1207823789719999</v>
      </c>
      <c r="AE1335">
        <v>-27.7700999999999</v>
      </c>
      <c r="AF1335">
        <v>5.5405744322708097</v>
      </c>
      <c r="AG1335">
        <v>-1.1207823789719999</v>
      </c>
      <c r="AH1335">
        <v>27.5320721306766</v>
      </c>
      <c r="AI1335">
        <v>92.285356914638498</v>
      </c>
      <c r="AJ1335">
        <v>78.621729171540395</v>
      </c>
      <c r="AK1335">
        <v>28.106389202267199</v>
      </c>
      <c r="AL1335">
        <v>79.550093420353306</v>
      </c>
      <c r="AM1335">
        <v>85.891871824288003</v>
      </c>
      <c r="AN1335">
        <v>0.99999999456479105</v>
      </c>
    </row>
    <row r="1336" spans="1:40" x14ac:dyDescent="0.25">
      <c r="A1336" t="str">
        <f>"20190303170522863"</f>
        <v>20190303170522863</v>
      </c>
      <c r="B1336" t="str">
        <f>"1551603922856315"</f>
        <v>1551603922856315</v>
      </c>
      <c r="C1336" t="s">
        <v>40</v>
      </c>
      <c r="D1336">
        <v>5.7171110000000001</v>
      </c>
      <c r="E1336">
        <v>0.55271519999999996</v>
      </c>
      <c r="F1336" t="s">
        <v>41</v>
      </c>
      <c r="G1336">
        <v>-196.71680000000001</v>
      </c>
      <c r="H1336" s="1">
        <v>-2.0865770000000001E-6</v>
      </c>
      <c r="I1336">
        <v>300.28710000000001</v>
      </c>
      <c r="J1336">
        <v>-192.13300000000001</v>
      </c>
      <c r="K1336">
        <v>1.1207860000000001</v>
      </c>
      <c r="L1336">
        <v>328.51069999999999</v>
      </c>
      <c r="M1336">
        <v>3.8837410000000003E-2</v>
      </c>
      <c r="N1336">
        <v>-8.5349190000000002E-3</v>
      </c>
      <c r="O1336">
        <v>-0.99920929999999997</v>
      </c>
      <c r="P1336">
        <v>-3.297547E-2</v>
      </c>
      <c r="Q1336">
        <v>0.17367739999999901</v>
      </c>
      <c r="R1336">
        <v>-0.98425070000000003</v>
      </c>
      <c r="S1336">
        <v>-0.48957820000000002</v>
      </c>
      <c r="T1336">
        <v>-0.1200022</v>
      </c>
      <c r="U1336">
        <v>-3.052673</v>
      </c>
      <c r="V1336">
        <v>7.1153439999999998E-2</v>
      </c>
      <c r="W1336">
        <v>0.18206369999999999</v>
      </c>
      <c r="X1336">
        <v>0.98070900000000005</v>
      </c>
      <c r="Y1336">
        <v>0.19647129999999999</v>
      </c>
      <c r="Z1336">
        <v>3.0050339999999998E-2</v>
      </c>
      <c r="AA1336">
        <v>0.98004899999999995</v>
      </c>
      <c r="AB1336">
        <v>28</v>
      </c>
      <c r="AC1336">
        <v>-4.5838000000000196</v>
      </c>
      <c r="AD1336">
        <v>-1.1207880865769999</v>
      </c>
      <c r="AE1336">
        <v>-28.223599999999902</v>
      </c>
      <c r="AF1336">
        <v>5.6678044594508004</v>
      </c>
      <c r="AG1336">
        <v>-1.1207880865769999</v>
      </c>
      <c r="AH1336">
        <v>27.9812840728727</v>
      </c>
      <c r="AI1336">
        <v>92.248143647055898</v>
      </c>
      <c r="AJ1336">
        <v>78.549267537571197</v>
      </c>
      <c r="AK1336">
        <v>28.571531840144299</v>
      </c>
      <c r="AL1336">
        <v>79.510013146392197</v>
      </c>
      <c r="AM1336">
        <v>85.850286904801607</v>
      </c>
      <c r="AN1336">
        <v>1.0000000727812499</v>
      </c>
    </row>
    <row r="1337" spans="1:40" x14ac:dyDescent="0.25">
      <c r="A1337" t="str">
        <f>"20190303170522887"</f>
        <v>20190303170522887</v>
      </c>
      <c r="B1337" t="str">
        <f>"1551603922875835"</f>
        <v>1551603922875835</v>
      </c>
      <c r="C1337" t="s">
        <v>40</v>
      </c>
      <c r="D1337">
        <v>5.7145440000000001</v>
      </c>
      <c r="E1337">
        <v>0.55277829999999994</v>
      </c>
      <c r="F1337" t="s">
        <v>41</v>
      </c>
      <c r="G1337">
        <v>-196.7688</v>
      </c>
      <c r="H1337" s="1">
        <v>-1.864434E-6</v>
      </c>
      <c r="I1337">
        <v>299.73700000000002</v>
      </c>
      <c r="J1337">
        <v>-192.12129999999999</v>
      </c>
      <c r="K1337">
        <v>1.120779</v>
      </c>
      <c r="L1337">
        <v>328.21190000000001</v>
      </c>
      <c r="M1337">
        <v>3.8932130000000002E-2</v>
      </c>
      <c r="N1337">
        <v>-8.6280999999999997E-3</v>
      </c>
      <c r="O1337">
        <v>-0.9992048</v>
      </c>
      <c r="P1337">
        <v>-3.3842480000000001E-2</v>
      </c>
      <c r="Q1337">
        <v>0.17406189999999999</v>
      </c>
      <c r="R1337">
        <v>-0.98415319999999995</v>
      </c>
      <c r="S1337">
        <v>-0.49179079999999997</v>
      </c>
      <c r="T1337">
        <v>-0.1188999</v>
      </c>
      <c r="U1337">
        <v>-3.0524900000000001</v>
      </c>
      <c r="V1337">
        <v>7.2109030000000005E-2</v>
      </c>
      <c r="W1337">
        <v>0.1825386</v>
      </c>
      <c r="X1337">
        <v>0.98055079999999994</v>
      </c>
      <c r="Y1337">
        <v>0.19726769999999999</v>
      </c>
      <c r="Z1337">
        <v>2.9599319999999998E-2</v>
      </c>
      <c r="AA1337">
        <v>0.97990270000000002</v>
      </c>
      <c r="AB1337">
        <v>28</v>
      </c>
      <c r="AC1337">
        <v>-4.6475</v>
      </c>
      <c r="AD1337">
        <v>-1.120780864434</v>
      </c>
      <c r="AE1337">
        <v>-28.474899999999899</v>
      </c>
      <c r="AF1337">
        <v>5.7439380266592401</v>
      </c>
      <c r="AG1337">
        <v>-1.120780864434</v>
      </c>
      <c r="AH1337">
        <v>28.2297668785166</v>
      </c>
      <c r="AI1337">
        <v>92.227964154487097</v>
      </c>
      <c r="AJ1337">
        <v>78.498972823099507</v>
      </c>
      <c r="AK1337">
        <v>28.8299967363088</v>
      </c>
      <c r="AL1337">
        <v>79.482338472552499</v>
      </c>
      <c r="AM1337">
        <v>85.794078877843802</v>
      </c>
      <c r="AN1337">
        <v>0.99999996203906905</v>
      </c>
    </row>
    <row r="1338" spans="1:40" x14ac:dyDescent="0.25">
      <c r="A1338" t="str">
        <f>"20190303170522907"</f>
        <v>20190303170522907</v>
      </c>
      <c r="B1338" t="str">
        <f>"1551603922896004"</f>
        <v>1551603922896004</v>
      </c>
      <c r="C1338" t="s">
        <v>40</v>
      </c>
      <c r="D1338">
        <v>5.7733670000000004</v>
      </c>
      <c r="E1338">
        <v>0.55271999999999999</v>
      </c>
      <c r="F1338" t="s">
        <v>52</v>
      </c>
      <c r="G1338">
        <v>-196.82740000000001</v>
      </c>
      <c r="H1338" s="1">
        <v>7.557662E-8</v>
      </c>
      <c r="I1338">
        <v>299.18720000000002</v>
      </c>
      <c r="J1338">
        <v>-192.11099999999999</v>
      </c>
      <c r="K1338">
        <v>1.1207689999999999</v>
      </c>
      <c r="L1338">
        <v>327.94869999999997</v>
      </c>
      <c r="M1338">
        <v>3.9015510000000003E-2</v>
      </c>
      <c r="N1338">
        <v>-8.6952049999999993E-3</v>
      </c>
      <c r="O1338">
        <v>-0.99920089999999995</v>
      </c>
      <c r="P1338">
        <v>-3.4670520000000003E-2</v>
      </c>
      <c r="Q1338">
        <v>0.1729936</v>
      </c>
      <c r="R1338">
        <v>-0.98431290000000005</v>
      </c>
      <c r="S1338">
        <v>-0.49487300000000001</v>
      </c>
      <c r="T1338">
        <v>-0.1178565</v>
      </c>
      <c r="U1338">
        <v>-3.0521240000000001</v>
      </c>
      <c r="V1338">
        <v>7.3024749999999999E-2</v>
      </c>
      <c r="W1338">
        <v>0.18153759999999999</v>
      </c>
      <c r="X1338">
        <v>0.98066889999999995</v>
      </c>
      <c r="Y1338">
        <v>0.1983338</v>
      </c>
      <c r="Z1338">
        <v>2.919368E-2</v>
      </c>
      <c r="AA1338">
        <v>0.97969969999999995</v>
      </c>
      <c r="AB1338">
        <v>28</v>
      </c>
      <c r="AC1338">
        <v>-4.7164000000000197</v>
      </c>
      <c r="AD1338">
        <v>-1.1207689244233701</v>
      </c>
      <c r="AE1338">
        <v>-28.761499999999899</v>
      </c>
      <c r="AF1338">
        <v>5.8263799919405299</v>
      </c>
      <c r="AG1338">
        <v>-1.1207689244233701</v>
      </c>
      <c r="AH1338">
        <v>28.513416540628999</v>
      </c>
      <c r="AI1338">
        <v>92.2054249539366</v>
      </c>
      <c r="AJ1338">
        <v>78.451268027805298</v>
      </c>
      <c r="AK1338">
        <v>29.124178093327401</v>
      </c>
      <c r="AL1338">
        <v>79.540666553596793</v>
      </c>
      <c r="AM1338">
        <v>85.741373803902306</v>
      </c>
      <c r="AN1338">
        <v>1.0000000028767599</v>
      </c>
    </row>
    <row r="1339" spans="1:40" x14ac:dyDescent="0.25">
      <c r="A1339" t="str">
        <f>"20190303170522930"</f>
        <v>20190303170522930</v>
      </c>
      <c r="B1339" t="str">
        <f>"1551603922915524"</f>
        <v>1551603922915524</v>
      </c>
      <c r="C1339" t="s">
        <v>40</v>
      </c>
      <c r="D1339">
        <v>5.7659289999999999</v>
      </c>
      <c r="E1339">
        <v>0.52237520000000004</v>
      </c>
      <c r="F1339" t="s">
        <v>41</v>
      </c>
      <c r="G1339">
        <v>-196.68889999999999</v>
      </c>
      <c r="H1339" s="1">
        <v>-1.886037E-6</v>
      </c>
      <c r="I1339">
        <v>299.83690000000001</v>
      </c>
      <c r="J1339">
        <v>-192.09979999999999</v>
      </c>
      <c r="K1339">
        <v>1.1207659999999999</v>
      </c>
      <c r="L1339">
        <v>327.66520000000003</v>
      </c>
      <c r="M1339">
        <v>3.9104930000000003E-2</v>
      </c>
      <c r="N1339">
        <v>-8.7569650000000002E-3</v>
      </c>
      <c r="O1339">
        <v>-0.99919690000000005</v>
      </c>
      <c r="P1339">
        <v>-3.4617660000000001E-2</v>
      </c>
      <c r="Q1339">
        <v>0.17301150000000001</v>
      </c>
      <c r="R1339">
        <v>-0.98431150000000001</v>
      </c>
      <c r="S1339">
        <v>-0.49694820000000001</v>
      </c>
      <c r="T1339">
        <v>-0.12166490000000001</v>
      </c>
      <c r="U1339">
        <v>-3.051666</v>
      </c>
      <c r="V1339">
        <v>7.3059689999999997E-2</v>
      </c>
      <c r="W1339">
        <v>0.1816159</v>
      </c>
      <c r="X1339">
        <v>0.98065179999999996</v>
      </c>
      <c r="Y1339">
        <v>0.1990866</v>
      </c>
      <c r="Z1339">
        <v>3.035554E-2</v>
      </c>
      <c r="AA1339">
        <v>0.97951160000000004</v>
      </c>
      <c r="AB1339">
        <v>28</v>
      </c>
      <c r="AC1339">
        <v>-4.5891000000000002</v>
      </c>
      <c r="AD1339">
        <v>-1.1207678860369901</v>
      </c>
      <c r="AE1339">
        <v>-27.828299999999999</v>
      </c>
      <c r="AF1339">
        <v>5.6649094784078402</v>
      </c>
      <c r="AG1339">
        <v>-1.1207678860369901</v>
      </c>
      <c r="AH1339">
        <v>27.583992043390399</v>
      </c>
      <c r="AI1339">
        <v>92.279194399238705</v>
      </c>
      <c r="AJ1339">
        <v>78.394560625867697</v>
      </c>
      <c r="AK1339">
        <v>28.181978942273599</v>
      </c>
      <c r="AL1339">
        <v>79.536104460105307</v>
      </c>
      <c r="AM1339">
        <v>85.739269668423304</v>
      </c>
      <c r="AN1339">
        <v>1.00000000313947</v>
      </c>
    </row>
    <row r="1340" spans="1:40" x14ac:dyDescent="0.25">
      <c r="A1340" t="str">
        <f>"20190303170522952"</f>
        <v>20190303170522952</v>
      </c>
      <c r="B1340" t="str">
        <f>"1551603922945781"</f>
        <v>1551603922945781</v>
      </c>
      <c r="C1340" t="s">
        <v>40</v>
      </c>
      <c r="D1340">
        <v>5.7146280000000003</v>
      </c>
      <c r="E1340">
        <v>0.51092510000000002</v>
      </c>
      <c r="F1340" t="s">
        <v>41</v>
      </c>
      <c r="G1340">
        <v>-193.82570000000001</v>
      </c>
      <c r="H1340" s="1">
        <v>-3.9817329999999998E-6</v>
      </c>
      <c r="I1340">
        <v>306.69319999999999</v>
      </c>
      <c r="J1340">
        <v>-192.0883</v>
      </c>
      <c r="K1340">
        <v>1.120768</v>
      </c>
      <c r="L1340">
        <v>327.37180000000001</v>
      </c>
      <c r="M1340">
        <v>3.9197589999999997E-2</v>
      </c>
      <c r="N1340">
        <v>-8.8117149999999995E-3</v>
      </c>
      <c r="O1340">
        <v>-0.99919279999999999</v>
      </c>
      <c r="P1340">
        <v>-3.4892779999999998E-2</v>
      </c>
      <c r="Q1340">
        <v>0.17393330000000001</v>
      </c>
      <c r="R1340">
        <v>-0.98413899999999999</v>
      </c>
      <c r="S1340">
        <v>-0.25245669999999998</v>
      </c>
      <c r="T1340">
        <v>-0.1639456</v>
      </c>
      <c r="U1340">
        <v>-3.06778</v>
      </c>
      <c r="V1340">
        <v>7.3418730000000001E-2</v>
      </c>
      <c r="W1340">
        <v>0.18258969999999999</v>
      </c>
      <c r="X1340">
        <v>0.98044410000000004</v>
      </c>
      <c r="Y1340">
        <v>0.12090629999999999</v>
      </c>
      <c r="Z1340">
        <v>4.420288E-2</v>
      </c>
      <c r="AA1340">
        <v>0.99167930000000004</v>
      </c>
      <c r="AB1340">
        <v>28</v>
      </c>
      <c r="AC1340">
        <v>-1.7374000000000001</v>
      </c>
      <c r="AD1340">
        <v>-1.120771981733</v>
      </c>
      <c r="AE1340">
        <v>-20.678599999999999</v>
      </c>
      <c r="AF1340">
        <v>2.5392403037681999</v>
      </c>
      <c r="AG1340">
        <v>-1.120771981733</v>
      </c>
      <c r="AH1340">
        <v>20.5347024703245</v>
      </c>
      <c r="AI1340">
        <v>93.100502212119295</v>
      </c>
      <c r="AJ1340">
        <v>82.950813858620904</v>
      </c>
      <c r="AK1340">
        <v>20.721435198848301</v>
      </c>
      <c r="AL1340">
        <v>79.479360705689203</v>
      </c>
      <c r="AM1340">
        <v>85.717505024836598</v>
      </c>
      <c r="AN1340">
        <v>0.99999997084285597</v>
      </c>
    </row>
    <row r="1341" spans="1:40" x14ac:dyDescent="0.25">
      <c r="A1341" t="str">
        <f>"20190303170522977"</f>
        <v>20190303170522977</v>
      </c>
      <c r="B1341" t="str">
        <f>"1551603922966276"</f>
        <v>1551603922966276</v>
      </c>
      <c r="C1341" t="s">
        <v>40</v>
      </c>
      <c r="D1341">
        <v>5.759277</v>
      </c>
      <c r="E1341">
        <v>0.50875959999999998</v>
      </c>
      <c r="F1341" t="s">
        <v>41</v>
      </c>
      <c r="G1341">
        <v>-193.20760000000001</v>
      </c>
      <c r="H1341" s="1">
        <v>-3.6357350000000001E-6</v>
      </c>
      <c r="I1341">
        <v>306.07470000000001</v>
      </c>
      <c r="J1341">
        <v>-192.07660000000001</v>
      </c>
      <c r="K1341">
        <v>1.12077</v>
      </c>
      <c r="L1341">
        <v>327.07639999999998</v>
      </c>
      <c r="M1341">
        <v>3.9290890000000002E-2</v>
      </c>
      <c r="N1341">
        <v>-8.8553190000000004E-3</v>
      </c>
      <c r="O1341">
        <v>-0.99918850000000003</v>
      </c>
      <c r="P1341">
        <v>-3.5407689999999999E-2</v>
      </c>
      <c r="Q1341">
        <v>0.1741722</v>
      </c>
      <c r="R1341">
        <v>-0.98407860000000003</v>
      </c>
      <c r="S1341">
        <v>-0.16140750000000001</v>
      </c>
      <c r="T1341">
        <v>-0.16162000000000001</v>
      </c>
      <c r="U1341">
        <v>-3.0711360000000001</v>
      </c>
      <c r="V1341">
        <v>7.402243E-2</v>
      </c>
      <c r="W1341">
        <v>0.18287100000000001</v>
      </c>
      <c r="X1341">
        <v>0.9803463</v>
      </c>
      <c r="Y1341">
        <v>9.1606880000000002E-2</v>
      </c>
      <c r="Z1341">
        <v>4.3491080000000001E-2</v>
      </c>
      <c r="AA1341">
        <v>0.99484510000000004</v>
      </c>
      <c r="AB1341">
        <v>28</v>
      </c>
      <c r="AC1341">
        <v>-1.131</v>
      </c>
      <c r="AD1341">
        <v>-1.120773635735</v>
      </c>
      <c r="AE1341">
        <v>-21.0016999999999</v>
      </c>
      <c r="AF1341">
        <v>1.94979769304595</v>
      </c>
      <c r="AG1341">
        <v>-1.120773635735</v>
      </c>
      <c r="AH1341">
        <v>20.881744334113002</v>
      </c>
      <c r="AI1341">
        <v>93.0589743994869</v>
      </c>
      <c r="AJ1341">
        <v>84.665570124581706</v>
      </c>
      <c r="AK1341">
        <v>21.0025020181317</v>
      </c>
      <c r="AL1341">
        <v>79.462967650443503</v>
      </c>
      <c r="AM1341">
        <v>85.681994885737097</v>
      </c>
      <c r="AN1341">
        <v>0.99999999535389705</v>
      </c>
    </row>
    <row r="1342" spans="1:40" x14ac:dyDescent="0.25">
      <c r="A1342" t="str">
        <f>"20190303170522999"</f>
        <v>20190303170522999</v>
      </c>
      <c r="B1342" t="str">
        <f>"1551603922986387"</f>
        <v>1551603922986387</v>
      </c>
      <c r="C1342" t="s">
        <v>40</v>
      </c>
      <c r="D1342">
        <v>5.7300339999999998</v>
      </c>
      <c r="E1342">
        <v>0.5078047</v>
      </c>
      <c r="F1342" t="s">
        <v>41</v>
      </c>
      <c r="G1342">
        <v>-193.1686</v>
      </c>
      <c r="H1342" s="1">
        <v>-2.7842169999999998E-6</v>
      </c>
      <c r="I1342">
        <v>304.1139</v>
      </c>
      <c r="J1342">
        <v>-192.06489999999999</v>
      </c>
      <c r="K1342">
        <v>1.1207670000000001</v>
      </c>
      <c r="L1342">
        <v>326.78149999999999</v>
      </c>
      <c r="M1342">
        <v>3.9383960000000003E-2</v>
      </c>
      <c r="N1342">
        <v>-8.886672E-3</v>
      </c>
      <c r="O1342">
        <v>-0.99918499999999999</v>
      </c>
      <c r="P1342">
        <v>-3.6332469999999999E-2</v>
      </c>
      <c r="Q1342">
        <v>0.1736859</v>
      </c>
      <c r="R1342">
        <v>-0.98413110000000004</v>
      </c>
      <c r="S1342">
        <v>-0.14599609999999999</v>
      </c>
      <c r="T1342">
        <v>-0.14983440000000001</v>
      </c>
      <c r="U1342">
        <v>-3.0698240000000001</v>
      </c>
      <c r="V1342">
        <v>7.5039930000000005E-2</v>
      </c>
      <c r="W1342">
        <v>0.1824153</v>
      </c>
      <c r="X1342">
        <v>0.98035380000000005</v>
      </c>
      <c r="Y1342">
        <v>8.674917E-2</v>
      </c>
      <c r="Z1342">
        <v>3.9688380000000002E-2</v>
      </c>
      <c r="AA1342">
        <v>0.99543930000000003</v>
      </c>
      <c r="AB1342">
        <v>29</v>
      </c>
      <c r="AC1342">
        <v>-1.1036999999999999</v>
      </c>
      <c r="AD1342">
        <v>-1.1207697842169999</v>
      </c>
      <c r="AE1342">
        <v>-22.6676</v>
      </c>
      <c r="AF1342">
        <v>1.9907631407619499</v>
      </c>
      <c r="AG1342">
        <v>-1.1207697842169999</v>
      </c>
      <c r="AH1342">
        <v>22.5515413359816</v>
      </c>
      <c r="AI1342">
        <v>92.834149807608696</v>
      </c>
      <c r="AJ1342">
        <v>84.955226418049506</v>
      </c>
      <c r="AK1342">
        <v>22.666964495060199</v>
      </c>
      <c r="AL1342">
        <v>79.489523584767994</v>
      </c>
      <c r="AM1342">
        <v>85.622902777488207</v>
      </c>
      <c r="AN1342">
        <v>0.99999995297146604</v>
      </c>
    </row>
    <row r="1343" spans="1:40" x14ac:dyDescent="0.25">
      <c r="A1343" t="str">
        <f>"20190303170523021"</f>
        <v>20190303170523021</v>
      </c>
      <c r="B1343" t="str">
        <f>"1551603923015642"</f>
        <v>1551603923015642</v>
      </c>
      <c r="C1343" t="s">
        <v>40</v>
      </c>
      <c r="D1343">
        <v>5.8210860000000002</v>
      </c>
      <c r="E1343">
        <v>0.5074246</v>
      </c>
      <c r="F1343" t="s">
        <v>41</v>
      </c>
      <c r="G1343">
        <v>-193.1429</v>
      </c>
      <c r="H1343" s="1">
        <v>-2.428358E-6</v>
      </c>
      <c r="I1343">
        <v>303.30040000000002</v>
      </c>
      <c r="J1343">
        <v>-192.05369999999999</v>
      </c>
      <c r="K1343">
        <v>1.120757</v>
      </c>
      <c r="L1343">
        <v>326.4991</v>
      </c>
      <c r="M1343">
        <v>3.9473309999999998E-2</v>
      </c>
      <c r="N1343">
        <v>-8.905563E-3</v>
      </c>
      <c r="O1343">
        <v>-0.99918119999999999</v>
      </c>
      <c r="P1343">
        <v>-3.714083E-2</v>
      </c>
      <c r="Q1343">
        <v>0.1733952</v>
      </c>
      <c r="R1343">
        <v>-0.98415200000000003</v>
      </c>
      <c r="S1343">
        <v>-0.14089969999999999</v>
      </c>
      <c r="T1343">
        <v>-0.14648699999999901</v>
      </c>
      <c r="U1343">
        <v>-3.0690309999999998</v>
      </c>
      <c r="V1343">
        <v>7.5936290000000004E-2</v>
      </c>
      <c r="W1343">
        <v>0.18214340000000001</v>
      </c>
      <c r="X1343">
        <v>0.98033539999999997</v>
      </c>
      <c r="Y1343">
        <v>8.5203680000000004E-2</v>
      </c>
      <c r="Z1343">
        <v>3.8603640000000002E-2</v>
      </c>
      <c r="AA1343">
        <v>0.99561540000000004</v>
      </c>
      <c r="AB1343">
        <v>29</v>
      </c>
      <c r="AC1343">
        <v>-1.0891999999999999</v>
      </c>
      <c r="AD1343">
        <v>-1.120759428358</v>
      </c>
      <c r="AE1343">
        <v>-23.198699999999899</v>
      </c>
      <c r="AF1343">
        <v>1.99946015139459</v>
      </c>
      <c r="AG1343">
        <v>-1.120759428358</v>
      </c>
      <c r="AH1343">
        <v>23.083863252942301</v>
      </c>
      <c r="AI1343">
        <v>92.769268721503295</v>
      </c>
      <c r="AJ1343">
        <v>85.049554277800496</v>
      </c>
      <c r="AK1343">
        <v>23.1973853111468</v>
      </c>
      <c r="AL1343">
        <v>79.505368432524193</v>
      </c>
      <c r="AM1343">
        <v>85.570741910801303</v>
      </c>
      <c r="AN1343">
        <v>1.0000000173978401</v>
      </c>
    </row>
    <row r="1344" spans="1:40" x14ac:dyDescent="0.25">
      <c r="A1344" t="str">
        <f>"20190303170523041"</f>
        <v>20190303170523041</v>
      </c>
      <c r="B1344" t="str">
        <f>"1551603923036139"</f>
        <v>1551603923036139</v>
      </c>
      <c r="C1344" t="s">
        <v>40</v>
      </c>
      <c r="D1344">
        <v>5.6986410000000003</v>
      </c>
      <c r="E1344">
        <v>0.50731530000000002</v>
      </c>
      <c r="F1344" t="s">
        <v>41</v>
      </c>
      <c r="G1344">
        <v>-193.0787</v>
      </c>
      <c r="H1344" s="1">
        <v>-2.712391E-6</v>
      </c>
      <c r="I1344">
        <v>304.00229999999999</v>
      </c>
      <c r="J1344">
        <v>-192.0429</v>
      </c>
      <c r="K1344">
        <v>1.1207609999999999</v>
      </c>
      <c r="L1344">
        <v>326.22969999999998</v>
      </c>
      <c r="M1344">
        <v>3.9558299999999998E-2</v>
      </c>
      <c r="N1344">
        <v>-8.9115319999999998E-3</v>
      </c>
      <c r="O1344">
        <v>-0.9991778</v>
      </c>
      <c r="P1344">
        <v>-3.8519669999999999E-2</v>
      </c>
      <c r="Q1344">
        <v>0.17375550000000001</v>
      </c>
      <c r="R1344">
        <v>-0.98403580000000002</v>
      </c>
      <c r="S1344">
        <v>-0.13987729999999901</v>
      </c>
      <c r="T1344">
        <v>-0.15293999999999999</v>
      </c>
      <c r="U1344">
        <v>-3.0699459999999998</v>
      </c>
      <c r="V1344">
        <v>7.7392779999999994E-2</v>
      </c>
      <c r="W1344">
        <v>0.18250769999999999</v>
      </c>
      <c r="X1344">
        <v>0.98015370000000002</v>
      </c>
      <c r="Y1344">
        <v>8.4939470000000003E-2</v>
      </c>
      <c r="Z1344">
        <v>4.0672279999999998E-2</v>
      </c>
      <c r="AA1344">
        <v>0.99555559999999998</v>
      </c>
      <c r="AB1344">
        <v>29</v>
      </c>
      <c r="AC1344">
        <v>-1.0357999999999901</v>
      </c>
      <c r="AD1344">
        <v>-1.1207637123909999</v>
      </c>
      <c r="AE1344">
        <v>-22.2273999999999</v>
      </c>
      <c r="AF1344">
        <v>1.9094578463160401</v>
      </c>
      <c r="AG1344">
        <v>-1.1207637123909999</v>
      </c>
      <c r="AH1344">
        <v>22.1129253674012</v>
      </c>
      <c r="AI1344">
        <v>92.890737468753301</v>
      </c>
      <c r="AJ1344">
        <v>85.064734075926395</v>
      </c>
      <c r="AK1344">
        <v>22.223492274395699</v>
      </c>
      <c r="AL1344">
        <v>79.484139450796604</v>
      </c>
      <c r="AM1344">
        <v>85.485301360880101</v>
      </c>
      <c r="AN1344">
        <v>0.99999998928955403</v>
      </c>
    </row>
    <row r="1345" spans="1:40" x14ac:dyDescent="0.25">
      <c r="A1345" t="str">
        <f>"20190303170523066"</f>
        <v>20190303170523066</v>
      </c>
      <c r="B1345" t="str">
        <f>"1551603923055657"</f>
        <v>1551603923055657</v>
      </c>
      <c r="C1345" t="s">
        <v>40</v>
      </c>
      <c r="D1345">
        <v>5.6669640000000001</v>
      </c>
      <c r="E1345">
        <v>0.50709249999999995</v>
      </c>
      <c r="F1345" t="s">
        <v>41</v>
      </c>
      <c r="G1345">
        <v>-193.05009999999999</v>
      </c>
      <c r="H1345" s="1">
        <v>-2.9250080000000002E-6</v>
      </c>
      <c r="I1345">
        <v>304.51569999999998</v>
      </c>
      <c r="J1345">
        <v>-192.0308</v>
      </c>
      <c r="K1345">
        <v>1.1207590000000001</v>
      </c>
      <c r="L1345">
        <v>325.92439999999999</v>
      </c>
      <c r="M1345">
        <v>3.9654769999999999E-2</v>
      </c>
      <c r="N1345">
        <v>-8.9092960000000006E-3</v>
      </c>
      <c r="O1345">
        <v>-0.99917400000000001</v>
      </c>
      <c r="P1345">
        <v>-3.899714E-2</v>
      </c>
      <c r="Q1345">
        <v>0.17372560000000001</v>
      </c>
      <c r="R1345">
        <v>-0.9840219</v>
      </c>
      <c r="S1345">
        <v>-0.14244079999999901</v>
      </c>
      <c r="T1345">
        <v>-0.1585126</v>
      </c>
      <c r="U1345">
        <v>-3.071075</v>
      </c>
      <c r="V1345">
        <v>7.7964099999999995E-2</v>
      </c>
      <c r="W1345">
        <v>0.18247579999999999</v>
      </c>
      <c r="X1345">
        <v>0.98011429999999999</v>
      </c>
      <c r="Y1345">
        <v>8.5843870000000003E-2</v>
      </c>
      <c r="Z1345">
        <v>4.2454890000000002E-2</v>
      </c>
      <c r="AA1345">
        <v>0.99540360000000006</v>
      </c>
      <c r="AB1345">
        <v>29</v>
      </c>
      <c r="AC1345">
        <v>-1.0192999999999801</v>
      </c>
      <c r="AD1345">
        <v>-1.1207619250080001</v>
      </c>
      <c r="AE1345">
        <v>-21.4087</v>
      </c>
      <c r="AF1345">
        <v>1.8623961843258201</v>
      </c>
      <c r="AG1345">
        <v>-1.1207619250080001</v>
      </c>
      <c r="AH1345">
        <v>21.293213489858299</v>
      </c>
      <c r="AI1345">
        <v>93.001527984062605</v>
      </c>
      <c r="AJ1345">
        <v>85.001384868041896</v>
      </c>
      <c r="AK1345">
        <v>21.403868051467299</v>
      </c>
      <c r="AL1345">
        <v>79.485997769935693</v>
      </c>
      <c r="AM1345">
        <v>85.451930723928996</v>
      </c>
      <c r="AN1345">
        <v>0.99999992976946706</v>
      </c>
    </row>
    <row r="1346" spans="1:40" x14ac:dyDescent="0.25">
      <c r="A1346" t="str">
        <f>"20190303170523087"</f>
        <v>20190303170523087</v>
      </c>
      <c r="B1346" t="str">
        <f>"1551603923076153"</f>
        <v>1551603923076153</v>
      </c>
      <c r="C1346" t="s">
        <v>40</v>
      </c>
      <c r="D1346">
        <v>5.6625930000000002</v>
      </c>
      <c r="E1346">
        <v>0.50698959999999904</v>
      </c>
      <c r="F1346" t="s">
        <v>41</v>
      </c>
      <c r="G1346">
        <v>-192.9922</v>
      </c>
      <c r="H1346" s="1">
        <v>-3.1557769999999999E-6</v>
      </c>
      <c r="I1346">
        <v>305.08949999999999</v>
      </c>
      <c r="J1346">
        <v>-192.01990000000001</v>
      </c>
      <c r="K1346">
        <v>1.1207499999999999</v>
      </c>
      <c r="L1346">
        <v>325.6533</v>
      </c>
      <c r="M1346">
        <v>3.9738309999999999E-2</v>
      </c>
      <c r="N1346">
        <v>-8.9047309999999904E-3</v>
      </c>
      <c r="O1346">
        <v>-0.99917040000000001</v>
      </c>
      <c r="P1346">
        <v>-3.8792609999999998E-2</v>
      </c>
      <c r="Q1346">
        <v>0.17362520000000001</v>
      </c>
      <c r="R1346">
        <v>-0.98404729999999996</v>
      </c>
      <c r="S1346">
        <v>-0.14176939999999999</v>
      </c>
      <c r="T1346">
        <v>-0.16526450000000001</v>
      </c>
      <c r="U1346">
        <v>-3.0722659999999999</v>
      </c>
      <c r="V1346">
        <v>7.7843229999999999E-2</v>
      </c>
      <c r="W1346">
        <v>0.1823708</v>
      </c>
      <c r="X1346">
        <v>0.98014349999999995</v>
      </c>
      <c r="Y1346">
        <v>8.5687150000000004E-2</v>
      </c>
      <c r="Z1346">
        <v>4.4621729999999998E-2</v>
      </c>
      <c r="AA1346">
        <v>0.99532229999999999</v>
      </c>
      <c r="AB1346">
        <v>29</v>
      </c>
      <c r="AC1346">
        <v>-0.97229999999998995</v>
      </c>
      <c r="AD1346">
        <v>-1.1207531557770001</v>
      </c>
      <c r="AE1346">
        <v>-20.563800000000001</v>
      </c>
      <c r="AF1346">
        <v>1.7834493141493399</v>
      </c>
      <c r="AG1346">
        <v>-1.1207531557770001</v>
      </c>
      <c r="AH1346">
        <v>20.448312773105201</v>
      </c>
      <c r="AI1346">
        <v>93.125349009473794</v>
      </c>
      <c r="AJ1346">
        <v>85.0154227783175</v>
      </c>
      <c r="AK1346">
        <v>20.556514158754201</v>
      </c>
      <c r="AL1346">
        <v>79.492117020780398</v>
      </c>
      <c r="AM1346">
        <v>85.459086933242901</v>
      </c>
      <c r="AN1346">
        <v>0.99999997887086101</v>
      </c>
    </row>
    <row r="1347" spans="1:40" x14ac:dyDescent="0.25">
      <c r="A1347" t="str">
        <f>"20190303170523108"</f>
        <v>20190303170523108</v>
      </c>
      <c r="B1347" t="str">
        <f>"1551603923096275"</f>
        <v>1551603923096275</v>
      </c>
      <c r="C1347" t="s">
        <v>40</v>
      </c>
      <c r="D1347">
        <v>5.6765239999999997</v>
      </c>
      <c r="E1347">
        <v>0.50677759999999905</v>
      </c>
      <c r="F1347" t="s">
        <v>41</v>
      </c>
      <c r="G1347">
        <v>-192.94909999999999</v>
      </c>
      <c r="H1347" s="1">
        <v>-3.278047E-6</v>
      </c>
      <c r="I1347">
        <v>305.40120000000002</v>
      </c>
      <c r="J1347">
        <v>-192.00839999999999</v>
      </c>
      <c r="K1347">
        <v>1.1207480000000001</v>
      </c>
      <c r="L1347">
        <v>325.36759999999998</v>
      </c>
      <c r="M1347">
        <v>3.9821559999999999E-2</v>
      </c>
      <c r="N1347">
        <v>-8.8990730000000004E-3</v>
      </c>
      <c r="O1347">
        <v>-0.99916760000000004</v>
      </c>
      <c r="P1347">
        <v>-3.8901030000000003E-2</v>
      </c>
      <c r="Q1347">
        <v>0.174702</v>
      </c>
      <c r="R1347">
        <v>-0.98385299999999998</v>
      </c>
      <c r="S1347">
        <v>-0.14100650000000001</v>
      </c>
      <c r="T1347">
        <v>-0.17006540000000001</v>
      </c>
      <c r="U1347">
        <v>-3.0730900000000001</v>
      </c>
      <c r="V1347">
        <v>7.8026609999999996E-2</v>
      </c>
      <c r="W1347">
        <v>0.18344009999999999</v>
      </c>
      <c r="X1347">
        <v>0.97992939999999995</v>
      </c>
      <c r="Y1347">
        <v>8.5507520000000004E-2</v>
      </c>
      <c r="Z1347">
        <v>4.6164049999999998E-2</v>
      </c>
      <c r="AA1347">
        <v>0.99526749999999997</v>
      </c>
      <c r="AB1347">
        <v>29</v>
      </c>
      <c r="AC1347">
        <v>-0.94069999999999199</v>
      </c>
      <c r="AD1347">
        <v>-1.1207512780469999</v>
      </c>
      <c r="AE1347">
        <v>-19.966399999999901</v>
      </c>
      <c r="AF1347">
        <v>1.7296404729955901</v>
      </c>
      <c r="AG1347">
        <v>-1.1207512780469999</v>
      </c>
      <c r="AH1347">
        <v>19.850693177338901</v>
      </c>
      <c r="AI1347">
        <v>93.219263127532002</v>
      </c>
      <c r="AJ1347">
        <v>85.020252424748193</v>
      </c>
      <c r="AK1347">
        <v>19.957398608383699</v>
      </c>
      <c r="AL1347">
        <v>79.429799871315097</v>
      </c>
      <c r="AM1347">
        <v>85.447444256094798</v>
      </c>
      <c r="AN1347">
        <v>1.0000000255702299</v>
      </c>
    </row>
    <row r="1348" spans="1:40" x14ac:dyDescent="0.25">
      <c r="A1348" t="str">
        <f>"20190303170523130"</f>
        <v>20190303170523130</v>
      </c>
      <c r="B1348" t="str">
        <f>"1551603923115795"</f>
        <v>1551603923115795</v>
      </c>
      <c r="C1348" t="s">
        <v>40</v>
      </c>
      <c r="D1348">
        <v>5.6791460000000002</v>
      </c>
      <c r="E1348">
        <v>0.50679549999999995</v>
      </c>
      <c r="F1348" t="s">
        <v>41</v>
      </c>
      <c r="G1348">
        <v>-192.9299</v>
      </c>
      <c r="H1348" s="1">
        <v>-3.1556860000000002E-6</v>
      </c>
      <c r="I1348">
        <v>305.12790000000001</v>
      </c>
      <c r="J1348">
        <v>-191.99709999999999</v>
      </c>
      <c r="K1348">
        <v>1.1207389999999999</v>
      </c>
      <c r="L1348">
        <v>325.0865</v>
      </c>
      <c r="M1348">
        <v>3.9888439999999997E-2</v>
      </c>
      <c r="N1348">
        <v>-8.8931970000000003E-3</v>
      </c>
      <c r="O1348">
        <v>-0.99916470000000002</v>
      </c>
      <c r="P1348">
        <v>-3.9224130000000003E-2</v>
      </c>
      <c r="Q1348">
        <v>0.17528260000000001</v>
      </c>
      <c r="R1348">
        <v>-0.98373679999999997</v>
      </c>
      <c r="S1348">
        <v>-0.13995360000000001</v>
      </c>
      <c r="T1348">
        <v>-0.1702157</v>
      </c>
      <c r="U1348">
        <v>-3.073944</v>
      </c>
      <c r="V1348">
        <v>7.8414189999999995E-2</v>
      </c>
      <c r="W1348">
        <v>0.18401190000000001</v>
      </c>
      <c r="X1348">
        <v>0.97979119999999997</v>
      </c>
      <c r="Y1348">
        <v>8.5221379999999999E-2</v>
      </c>
      <c r="Z1348">
        <v>4.6204149999999999E-2</v>
      </c>
      <c r="AA1348">
        <v>0.99529020000000001</v>
      </c>
      <c r="AB1348">
        <v>29</v>
      </c>
      <c r="AC1348">
        <v>-0.93280000000001395</v>
      </c>
      <c r="AD1348">
        <v>-1.120742155686</v>
      </c>
      <c r="AE1348">
        <v>-19.958599999999901</v>
      </c>
      <c r="AF1348">
        <v>1.7227859106672501</v>
      </c>
      <c r="AG1348">
        <v>-1.120742155686</v>
      </c>
      <c r="AH1348">
        <v>19.8430723164076</v>
      </c>
      <c r="AI1348">
        <v>93.220557294696803</v>
      </c>
      <c r="AJ1348">
        <v>85.037993055221307</v>
      </c>
      <c r="AK1348">
        <v>19.949224877867</v>
      </c>
      <c r="AL1348">
        <v>79.396470312607804</v>
      </c>
      <c r="AM1348">
        <v>85.424283628209807</v>
      </c>
      <c r="AN1348">
        <v>0.99999998006620205</v>
      </c>
    </row>
    <row r="1349" spans="1:40" x14ac:dyDescent="0.25">
      <c r="A1349" t="str">
        <f>"20190303170523154"</f>
        <v>20190303170523154</v>
      </c>
      <c r="B1349" t="str">
        <f>"1551603923146051"</f>
        <v>1551603923146051</v>
      </c>
      <c r="C1349" t="s">
        <v>40</v>
      </c>
      <c r="D1349">
        <v>5.706569</v>
      </c>
      <c r="E1349">
        <v>0.50657989999999997</v>
      </c>
      <c r="F1349" t="s">
        <v>41</v>
      </c>
      <c r="G1349">
        <v>-192.91419999999999</v>
      </c>
      <c r="H1349" s="1">
        <v>-3.0910000000000001E-6</v>
      </c>
      <c r="I1349">
        <v>304.98680000000002</v>
      </c>
      <c r="J1349">
        <v>-191.98480000000001</v>
      </c>
      <c r="K1349">
        <v>1.120725</v>
      </c>
      <c r="L1349">
        <v>324.77760000000001</v>
      </c>
      <c r="M1349">
        <v>3.9939780000000001E-2</v>
      </c>
      <c r="N1349">
        <v>-8.8867949999999994E-3</v>
      </c>
      <c r="O1349">
        <v>-0.99916260000000001</v>
      </c>
      <c r="P1349">
        <v>-3.9638260000000002E-2</v>
      </c>
      <c r="Q1349">
        <v>0.17476220000000001</v>
      </c>
      <c r="R1349">
        <v>-0.98381260000000004</v>
      </c>
      <c r="S1349">
        <v>-0.14027400000000001</v>
      </c>
      <c r="T1349">
        <v>-0.171433</v>
      </c>
      <c r="U1349">
        <v>-3.0745239999999998</v>
      </c>
      <c r="V1349">
        <v>7.8888390000000003E-2</v>
      </c>
      <c r="W1349">
        <v>0.1834827</v>
      </c>
      <c r="X1349">
        <v>0.97985239999999996</v>
      </c>
      <c r="Y1349">
        <v>8.5366549999999999E-2</v>
      </c>
      <c r="Z1349">
        <v>4.6592380000000003E-2</v>
      </c>
      <c r="AA1349">
        <v>0.99525960000000002</v>
      </c>
      <c r="AB1349">
        <v>29</v>
      </c>
      <c r="AC1349">
        <v>-0.92939999999998602</v>
      </c>
      <c r="AD1349">
        <v>-1.1207280909999999</v>
      </c>
      <c r="AE1349">
        <v>-19.790799999999901</v>
      </c>
      <c r="AF1349">
        <v>1.71364649680259</v>
      </c>
      <c r="AG1349">
        <v>-1.1207280909999999</v>
      </c>
      <c r="AH1349">
        <v>19.674930940941501</v>
      </c>
      <c r="AI1349">
        <v>93.247903123384603</v>
      </c>
      <c r="AJ1349">
        <v>85.022215941547401</v>
      </c>
      <c r="AK1349">
        <v>19.781191149695101</v>
      </c>
      <c r="AL1349">
        <v>79.427316681572293</v>
      </c>
      <c r="AM1349">
        <v>85.397017400169005</v>
      </c>
      <c r="AN1349">
        <v>1.0000000025309199</v>
      </c>
    </row>
    <row r="1350" spans="1:40" x14ac:dyDescent="0.25">
      <c r="A1350" t="str">
        <f>"20190303170523178"</f>
        <v>20190303170523178</v>
      </c>
      <c r="B1350" t="str">
        <f>"1551603923165571"</f>
        <v>1551603923165571</v>
      </c>
      <c r="C1350" t="s">
        <v>40</v>
      </c>
      <c r="D1350">
        <v>5.684234</v>
      </c>
      <c r="E1350">
        <v>0.50643559999999999</v>
      </c>
      <c r="F1350" t="s">
        <v>41</v>
      </c>
      <c r="G1350">
        <v>-192.88659999999999</v>
      </c>
      <c r="H1350" s="1">
        <v>-3.0673540000000001E-6</v>
      </c>
      <c r="I1350">
        <v>304.94889999999998</v>
      </c>
      <c r="J1350">
        <v>-191.97290000000001</v>
      </c>
      <c r="K1350">
        <v>1.120706</v>
      </c>
      <c r="L1350">
        <v>324.48149999999998</v>
      </c>
      <c r="M1350">
        <v>3.9964199999999998E-2</v>
      </c>
      <c r="N1350">
        <v>-8.8812830000000002E-3</v>
      </c>
      <c r="O1350">
        <v>-0.99916159999999998</v>
      </c>
      <c r="P1350">
        <v>-3.9882420000000002E-2</v>
      </c>
      <c r="Q1350">
        <v>0.17328929999999901</v>
      </c>
      <c r="R1350">
        <v>-0.98406280000000002</v>
      </c>
      <c r="S1350">
        <v>-0.1398315</v>
      </c>
      <c r="T1350">
        <v>-0.17377629999999999</v>
      </c>
      <c r="U1350">
        <v>-3.0745849999999999</v>
      </c>
      <c r="V1350">
        <v>7.9174919999999996E-2</v>
      </c>
      <c r="W1350">
        <v>0.1820032</v>
      </c>
      <c r="X1350">
        <v>0.98010520000000001</v>
      </c>
      <c r="Y1350">
        <v>8.5245210000000002E-2</v>
      </c>
      <c r="Z1350">
        <v>4.7353449999999998E-2</v>
      </c>
      <c r="AA1350">
        <v>0.99523410000000001</v>
      </c>
      <c r="AB1350">
        <v>29</v>
      </c>
      <c r="AC1350">
        <v>-0.91369999999997698</v>
      </c>
      <c r="AD1350">
        <v>-1.1207090673540001</v>
      </c>
      <c r="AE1350">
        <v>-19.532599999999999</v>
      </c>
      <c r="AF1350">
        <v>1.68806051535071</v>
      </c>
      <c r="AG1350">
        <v>-1.1207090673540001</v>
      </c>
      <c r="AH1350">
        <v>19.416696623248701</v>
      </c>
      <c r="AI1350">
        <v>93.290994069140694</v>
      </c>
      <c r="AJ1350">
        <v>85.0312781311832</v>
      </c>
      <c r="AK1350">
        <v>19.522132180589701</v>
      </c>
      <c r="AL1350">
        <v>79.513537858366206</v>
      </c>
      <c r="AM1350">
        <v>85.3815575616769</v>
      </c>
      <c r="AN1350">
        <v>1.00000001791714</v>
      </c>
    </row>
    <row r="1351" spans="1:40" x14ac:dyDescent="0.25">
      <c r="A1351" t="str">
        <f>"20190303170523202"</f>
        <v>20190303170523202</v>
      </c>
      <c r="B1351" t="str">
        <f>"1551603923196407"</f>
        <v>1551603923196407</v>
      </c>
      <c r="C1351" t="s">
        <v>40</v>
      </c>
      <c r="D1351">
        <v>5.6869149999999999</v>
      </c>
      <c r="E1351">
        <v>0.50626340000000003</v>
      </c>
      <c r="F1351" t="s">
        <v>41</v>
      </c>
      <c r="G1351">
        <v>-192.87180000000001</v>
      </c>
      <c r="H1351" s="1">
        <v>-2.9831310000000001E-6</v>
      </c>
      <c r="I1351">
        <v>304.76170000000002</v>
      </c>
      <c r="J1351">
        <v>-191.96029999999999</v>
      </c>
      <c r="K1351">
        <v>1.1206750000000001</v>
      </c>
      <c r="L1351">
        <v>324.16640000000001</v>
      </c>
      <c r="M1351">
        <v>3.9941650000000002E-2</v>
      </c>
      <c r="N1351">
        <v>-8.8763980000000006E-3</v>
      </c>
      <c r="O1351">
        <v>-0.99916280000000002</v>
      </c>
      <c r="P1351">
        <v>-4.0749519999999997E-2</v>
      </c>
      <c r="Q1351">
        <v>0.17369189999999901</v>
      </c>
      <c r="R1351">
        <v>-0.98395679999999996</v>
      </c>
      <c r="S1351">
        <v>-0.14010619999999999</v>
      </c>
      <c r="T1351">
        <v>-0.17468149999999999</v>
      </c>
      <c r="U1351">
        <v>-3.0736690000000002</v>
      </c>
      <c r="V1351">
        <v>8.0028559999999999E-2</v>
      </c>
      <c r="W1351">
        <v>0.18239379999999999</v>
      </c>
      <c r="X1351">
        <v>0.97996320000000003</v>
      </c>
      <c r="Y1351">
        <v>8.5324109999999995E-2</v>
      </c>
      <c r="Z1351">
        <v>4.7666989999999999E-2</v>
      </c>
      <c r="AA1351">
        <v>0.9952124</v>
      </c>
      <c r="AB1351">
        <v>29</v>
      </c>
      <c r="AC1351">
        <v>-0.91150000000001696</v>
      </c>
      <c r="AD1351">
        <v>-1.1206779831309901</v>
      </c>
      <c r="AE1351">
        <v>-19.404699999999899</v>
      </c>
      <c r="AF1351">
        <v>1.6802666629699901</v>
      </c>
      <c r="AG1351">
        <v>-1.1206779831309901</v>
      </c>
      <c r="AH1351">
        <v>19.2886122853179</v>
      </c>
      <c r="AI1351">
        <v>93.312657976023303</v>
      </c>
      <c r="AJ1351">
        <v>85.021426635208201</v>
      </c>
      <c r="AK1351">
        <v>19.3940655638234</v>
      </c>
      <c r="AL1351">
        <v>79.4907766547921</v>
      </c>
      <c r="AM1351">
        <v>85.3313083840291</v>
      </c>
      <c r="AN1351">
        <v>0.99999997102417604</v>
      </c>
    </row>
    <row r="1352" spans="1:40" x14ac:dyDescent="0.25">
      <c r="A1352" t="str">
        <f>"20190303170523223"</f>
        <v>20190303170523223</v>
      </c>
      <c r="B1352" t="str">
        <f>"1551603923215927"</f>
        <v>1551603923215927</v>
      </c>
      <c r="C1352" t="s">
        <v>40</v>
      </c>
      <c r="D1352">
        <v>5.7174680000000002</v>
      </c>
      <c r="E1352">
        <v>0.50620889999999996</v>
      </c>
      <c r="F1352" t="s">
        <v>41</v>
      </c>
      <c r="G1352">
        <v>-192.88990000000001</v>
      </c>
      <c r="H1352" s="1">
        <v>-2.653567E-6</v>
      </c>
      <c r="I1352">
        <v>303.98219999999998</v>
      </c>
      <c r="J1352">
        <v>-191.94919999999999</v>
      </c>
      <c r="K1352">
        <v>1.120628</v>
      </c>
      <c r="L1352">
        <v>323.88839999999999</v>
      </c>
      <c r="M1352">
        <v>3.9848059999999998E-2</v>
      </c>
      <c r="N1352">
        <v>-8.8731590000000003E-3</v>
      </c>
      <c r="O1352">
        <v>-0.99916669999999996</v>
      </c>
      <c r="P1352">
        <v>-4.2398100000000001E-2</v>
      </c>
      <c r="Q1352">
        <v>0.1756104</v>
      </c>
      <c r="R1352">
        <v>-0.98354660000000005</v>
      </c>
      <c r="S1352">
        <v>-0.14154050000000001</v>
      </c>
      <c r="T1352">
        <v>-0.17063149999999999</v>
      </c>
      <c r="U1352">
        <v>-3.0731809999999999</v>
      </c>
      <c r="V1352">
        <v>8.1587779999999999E-2</v>
      </c>
      <c r="W1352">
        <v>0.1842954</v>
      </c>
      <c r="X1352">
        <v>0.97947879999999998</v>
      </c>
      <c r="Y1352">
        <v>8.570469E-2</v>
      </c>
      <c r="Z1352">
        <v>4.637032E-2</v>
      </c>
      <c r="AA1352">
        <v>0.99524089999999998</v>
      </c>
      <c r="AB1352">
        <v>29</v>
      </c>
      <c r="AC1352">
        <v>-0.94070000000002096</v>
      </c>
      <c r="AD1352">
        <v>-1.1206306535670001</v>
      </c>
      <c r="AE1352">
        <v>-19.906199999999998</v>
      </c>
      <c r="AF1352">
        <v>1.7277438480127201</v>
      </c>
      <c r="AG1352">
        <v>-1.1206306535670001</v>
      </c>
      <c r="AH1352">
        <v>19.790322208047801</v>
      </c>
      <c r="AI1352">
        <v>93.228668633248404</v>
      </c>
      <c r="AJ1352">
        <v>85.010587705907497</v>
      </c>
      <c r="AK1352">
        <v>19.897179824397501</v>
      </c>
      <c r="AL1352">
        <v>79.379944966102201</v>
      </c>
      <c r="AM1352">
        <v>85.238417897765501</v>
      </c>
      <c r="AN1352">
        <v>1.0000000399779601</v>
      </c>
    </row>
    <row r="1353" spans="1:40" x14ac:dyDescent="0.25">
      <c r="A1353" t="str">
        <f>"20190303170523246"</f>
        <v>20190303170523246</v>
      </c>
      <c r="B1353" t="str">
        <f>"1551603923236422"</f>
        <v>1551603923236422</v>
      </c>
      <c r="C1353" t="s">
        <v>40</v>
      </c>
      <c r="D1353">
        <v>5.6466799999999999</v>
      </c>
      <c r="E1353">
        <v>0.50619709999999996</v>
      </c>
      <c r="F1353" t="s">
        <v>41</v>
      </c>
      <c r="G1353">
        <v>-192.95320000000001</v>
      </c>
      <c r="H1353" s="1">
        <v>-2.159191E-6</v>
      </c>
      <c r="I1353">
        <v>302.79059999999998</v>
      </c>
      <c r="J1353">
        <v>-191.93790000000001</v>
      </c>
      <c r="K1353">
        <v>1.120566</v>
      </c>
      <c r="L1353">
        <v>323.59879999999998</v>
      </c>
      <c r="M1353">
        <v>3.9643159999999997E-2</v>
      </c>
      <c r="N1353">
        <v>-8.8766490000000003E-3</v>
      </c>
      <c r="O1353">
        <v>-0.99917460000000002</v>
      </c>
      <c r="P1353">
        <v>-4.4237209999999999E-2</v>
      </c>
      <c r="Q1353">
        <v>0.17784829999999999</v>
      </c>
      <c r="R1353">
        <v>-0.98306320000000003</v>
      </c>
      <c r="S1353">
        <v>-0.14624019999999999</v>
      </c>
      <c r="T1353">
        <v>-0.16322799999999901</v>
      </c>
      <c r="U1353">
        <v>-3.0730590000000002</v>
      </c>
      <c r="V1353">
        <v>8.3237889999999995E-2</v>
      </c>
      <c r="W1353">
        <v>0.1865174</v>
      </c>
      <c r="X1353">
        <v>0.97891910000000004</v>
      </c>
      <c r="Y1353">
        <v>8.7026530000000005E-2</v>
      </c>
      <c r="Z1353">
        <v>4.3973440000000003E-2</v>
      </c>
      <c r="AA1353">
        <v>0.99523499999999998</v>
      </c>
      <c r="AB1353">
        <v>29</v>
      </c>
      <c r="AC1353">
        <v>-1.0152999999999901</v>
      </c>
      <c r="AD1353">
        <v>-1.1205681591909999</v>
      </c>
      <c r="AE1353">
        <v>-20.808199999999999</v>
      </c>
      <c r="AF1353">
        <v>1.8341305463130999</v>
      </c>
      <c r="AG1353">
        <v>-1.1205681591909999</v>
      </c>
      <c r="AH1353">
        <v>20.691725332293402</v>
      </c>
      <c r="AI1353">
        <v>93.087763151347104</v>
      </c>
      <c r="AJ1353">
        <v>84.934496948367595</v>
      </c>
      <c r="AK1353">
        <v>20.803057589868502</v>
      </c>
      <c r="AL1353">
        <v>79.250386415014702</v>
      </c>
      <c r="AM1353">
        <v>85.139807360231401</v>
      </c>
      <c r="AN1353">
        <v>0.99999994558960903</v>
      </c>
    </row>
    <row r="1354" spans="1:40" x14ac:dyDescent="0.25">
      <c r="A1354" t="str">
        <f>"20190303170523267"</f>
        <v>20190303170523267</v>
      </c>
      <c r="B1354" t="str">
        <f>"1551603923255942"</f>
        <v>1551603923255942</v>
      </c>
      <c r="C1354" t="s">
        <v>40</v>
      </c>
      <c r="D1354">
        <v>5.6816839999999997</v>
      </c>
      <c r="E1354">
        <v>0.50614369999999997</v>
      </c>
      <c r="F1354" t="s">
        <v>41</v>
      </c>
      <c r="G1354">
        <v>-193.0369</v>
      </c>
      <c r="H1354" s="1">
        <v>-1.624129E-6</v>
      </c>
      <c r="I1354">
        <v>301.4914</v>
      </c>
      <c r="J1354">
        <v>-191.9264</v>
      </c>
      <c r="K1354">
        <v>1.120485</v>
      </c>
      <c r="L1354">
        <v>323.30090000000001</v>
      </c>
      <c r="M1354">
        <v>3.9307630000000003E-2</v>
      </c>
      <c r="N1354">
        <v>-8.8907450000000002E-3</v>
      </c>
      <c r="O1354">
        <v>-0.99918759999999995</v>
      </c>
      <c r="P1354">
        <v>-4.527366E-2</v>
      </c>
      <c r="Q1354">
        <v>0.1787222</v>
      </c>
      <c r="R1354">
        <v>-0.9828576</v>
      </c>
      <c r="S1354">
        <v>-0.15277099999999999</v>
      </c>
      <c r="T1354">
        <v>-0.15576139999999999</v>
      </c>
      <c r="U1354">
        <v>-3.0729679999999999</v>
      </c>
      <c r="V1354">
        <v>8.3979120000000004E-2</v>
      </c>
      <c r="W1354">
        <v>0.18738360000000001</v>
      </c>
      <c r="X1354">
        <v>0.97869039999999996</v>
      </c>
      <c r="Y1354">
        <v>8.8809020000000002E-2</v>
      </c>
      <c r="Z1354">
        <v>4.1542820000000001E-2</v>
      </c>
      <c r="AA1354">
        <v>0.99518200000000001</v>
      </c>
      <c r="AB1354">
        <v>29</v>
      </c>
      <c r="AC1354">
        <v>-1.1105</v>
      </c>
      <c r="AD1354">
        <v>-1.1204866241289999</v>
      </c>
      <c r="AE1354">
        <v>-21.8095</v>
      </c>
      <c r="AF1354">
        <v>1.9617905730085501</v>
      </c>
      <c r="AG1354">
        <v>-1.1204866241289999</v>
      </c>
      <c r="AH1354">
        <v>21.691882788322701</v>
      </c>
      <c r="AI1354">
        <v>92.944967482785003</v>
      </c>
      <c r="AJ1354">
        <v>84.832289905191899</v>
      </c>
      <c r="AK1354">
        <v>21.809215745402899</v>
      </c>
      <c r="AL1354">
        <v>79.199866722567506</v>
      </c>
      <c r="AM1354">
        <v>85.095597415680601</v>
      </c>
      <c r="AN1354">
        <v>1.00000000259854</v>
      </c>
    </row>
    <row r="1355" spans="1:40" x14ac:dyDescent="0.25">
      <c r="A1355" t="str">
        <f>"20190303170523290"</f>
        <v>20190303170523290</v>
      </c>
      <c r="B1355" t="str">
        <f>"1551603923276439"</f>
        <v>1551603923276439</v>
      </c>
      <c r="C1355" t="s">
        <v>40</v>
      </c>
      <c r="D1355">
        <v>5.7104949999999999</v>
      </c>
      <c r="E1355">
        <v>0.50636349999999997</v>
      </c>
      <c r="F1355" t="s">
        <v>41</v>
      </c>
      <c r="G1355">
        <v>-193.08709999999999</v>
      </c>
      <c r="H1355" s="1">
        <v>-1.2014310000000001E-6</v>
      </c>
      <c r="I1355">
        <v>300.47500000000002</v>
      </c>
      <c r="J1355">
        <v>-191.91550000000001</v>
      </c>
      <c r="K1355">
        <v>1.1203989999999999</v>
      </c>
      <c r="L1355">
        <v>323.01310000000001</v>
      </c>
      <c r="M1355">
        <v>3.887587E-2</v>
      </c>
      <c r="N1355">
        <v>-8.9090560000000003E-3</v>
      </c>
      <c r="O1355">
        <v>-0.99920430000000005</v>
      </c>
      <c r="P1355">
        <v>-4.6888609999999997E-2</v>
      </c>
      <c r="Q1355">
        <v>0.1786681</v>
      </c>
      <c r="R1355">
        <v>-0.98279159999999999</v>
      </c>
      <c r="S1355">
        <v>-0.1562347</v>
      </c>
      <c r="T1355">
        <v>-0.15082590000000001</v>
      </c>
      <c r="U1355">
        <v>-3.07254</v>
      </c>
      <c r="V1355">
        <v>8.5208649999999997E-2</v>
      </c>
      <c r="W1355">
        <v>0.18732740000000001</v>
      </c>
      <c r="X1355">
        <v>0.97859490000000005</v>
      </c>
      <c r="Y1355">
        <v>8.9508270000000001E-2</v>
      </c>
      <c r="Z1355">
        <v>3.993472E-2</v>
      </c>
      <c r="AA1355">
        <v>0.99518510000000004</v>
      </c>
      <c r="AB1355">
        <v>29</v>
      </c>
      <c r="AC1355">
        <v>-1.17159999999998</v>
      </c>
      <c r="AD1355">
        <v>-1.1204002014309999</v>
      </c>
      <c r="AE1355">
        <v>-22.538099999999901</v>
      </c>
      <c r="AF1355">
        <v>2.0419049014770199</v>
      </c>
      <c r="AG1355">
        <v>-1.1204002014309999</v>
      </c>
      <c r="AH1355">
        <v>22.420256024065701</v>
      </c>
      <c r="AI1355">
        <v>92.849071751665207</v>
      </c>
      <c r="AJ1355">
        <v>84.796193736983994</v>
      </c>
      <c r="AK1355">
        <v>22.540908420529501</v>
      </c>
      <c r="AL1355">
        <v>79.203145021962399</v>
      </c>
      <c r="AM1355">
        <v>85.023667305082199</v>
      </c>
      <c r="AN1355">
        <v>1.00000002356579</v>
      </c>
    </row>
    <row r="1356" spans="1:40" x14ac:dyDescent="0.25">
      <c r="A1356" t="str">
        <f>"20190303170523309"</f>
        <v>20190303170523309</v>
      </c>
      <c r="B1356" t="str">
        <f>"1551603923295958"</f>
        <v>1551603923295958</v>
      </c>
      <c r="C1356" t="s">
        <v>40</v>
      </c>
      <c r="D1356">
        <v>5.6148239999999996</v>
      </c>
      <c r="E1356">
        <v>0.54999419999999899</v>
      </c>
      <c r="F1356" t="s">
        <v>41</v>
      </c>
      <c r="G1356">
        <v>-193.11529999999999</v>
      </c>
      <c r="H1356" s="1">
        <v>-1.1664430000000001E-6</v>
      </c>
      <c r="I1356">
        <v>300.3759</v>
      </c>
      <c r="J1356">
        <v>-191.9059</v>
      </c>
      <c r="K1356">
        <v>1.120323</v>
      </c>
      <c r="L1356">
        <v>322.75319999999999</v>
      </c>
      <c r="M1356">
        <v>3.8379330000000003E-2</v>
      </c>
      <c r="N1356">
        <v>-8.9275510000000006E-3</v>
      </c>
      <c r="O1356">
        <v>-0.99922330000000004</v>
      </c>
      <c r="P1356">
        <v>-4.8497819999999997E-2</v>
      </c>
      <c r="Q1356">
        <v>0.17831959999999999</v>
      </c>
      <c r="R1356">
        <v>-0.98277669999999995</v>
      </c>
      <c r="S1356">
        <v>-0.16284179999999901</v>
      </c>
      <c r="T1356">
        <v>-0.15206610000000001</v>
      </c>
      <c r="U1356">
        <v>-3.0724179999999999</v>
      </c>
      <c r="V1356">
        <v>8.6367589999999994E-2</v>
      </c>
      <c r="W1356">
        <v>0.1869779</v>
      </c>
      <c r="X1356">
        <v>0.97856010000000004</v>
      </c>
      <c r="Y1356">
        <v>9.1148080000000006E-2</v>
      </c>
      <c r="Z1356">
        <v>4.0313750000000002E-2</v>
      </c>
      <c r="AA1356">
        <v>0.99502100000000004</v>
      </c>
      <c r="AB1356">
        <v>29</v>
      </c>
      <c r="AC1356">
        <v>-1.20939999999998</v>
      </c>
      <c r="AD1356">
        <v>-1.1203241664429999</v>
      </c>
      <c r="AE1356">
        <v>-22.377299999999899</v>
      </c>
      <c r="AF1356">
        <v>2.0622150153936301</v>
      </c>
      <c r="AG1356">
        <v>-1.1203241664429999</v>
      </c>
      <c r="AH1356">
        <v>22.258764558518902</v>
      </c>
      <c r="AI1356">
        <v>92.869102937639894</v>
      </c>
      <c r="AJ1356">
        <v>84.706809477149505</v>
      </c>
      <c r="AK1356">
        <v>22.382145935526601</v>
      </c>
      <c r="AL1356">
        <v>79.223529635553504</v>
      </c>
      <c r="AM1356">
        <v>84.956151555571296</v>
      </c>
      <c r="AN1356">
        <v>0.99999998250141398</v>
      </c>
    </row>
    <row r="1357" spans="1:40" x14ac:dyDescent="0.25">
      <c r="A1357" t="str">
        <f>"20190303170523334"</f>
        <v>20190303170523334</v>
      </c>
      <c r="B1357" t="str">
        <f>"1551603923326214"</f>
        <v>1551603923326214</v>
      </c>
      <c r="C1357" t="s">
        <v>40</v>
      </c>
      <c r="D1357">
        <v>5.5919210000000001</v>
      </c>
      <c r="E1357">
        <v>0.55766280000000001</v>
      </c>
      <c r="F1357" t="s">
        <v>41</v>
      </c>
      <c r="G1357">
        <v>-195.7449</v>
      </c>
      <c r="H1357" s="1">
        <v>-1.718657E-6</v>
      </c>
      <c r="I1357">
        <v>300.03219999999999</v>
      </c>
      <c r="J1357">
        <v>-191.8937</v>
      </c>
      <c r="K1357">
        <v>1.120204</v>
      </c>
      <c r="L1357">
        <v>322.41449999999998</v>
      </c>
      <c r="M1357">
        <v>3.7544099999999997E-2</v>
      </c>
      <c r="N1357">
        <v>-8.9604309999999996E-3</v>
      </c>
      <c r="O1357">
        <v>-0.99925489999999995</v>
      </c>
      <c r="P1357">
        <v>-5.0741050000000003E-2</v>
      </c>
      <c r="Q1357">
        <v>0.17878579999999999</v>
      </c>
      <c r="R1357">
        <v>-0.98257879999999997</v>
      </c>
      <c r="S1357">
        <v>-0.51609799999999995</v>
      </c>
      <c r="T1357">
        <v>-0.150608299999999</v>
      </c>
      <c r="U1357">
        <v>-3.054443</v>
      </c>
      <c r="V1357">
        <v>8.7839310000000004E-2</v>
      </c>
      <c r="W1357">
        <v>0.18744630000000001</v>
      </c>
      <c r="X1357">
        <v>0.97833950000000003</v>
      </c>
      <c r="Y1357">
        <v>0.20332639999999999</v>
      </c>
      <c r="Z1357">
        <v>3.9359959999999999E-2</v>
      </c>
      <c r="AA1357">
        <v>0.97831959999999996</v>
      </c>
      <c r="AB1357">
        <v>29</v>
      </c>
      <c r="AC1357">
        <v>-3.8512</v>
      </c>
      <c r="AD1357">
        <v>-1.120205718657</v>
      </c>
      <c r="AE1357">
        <v>-22.382299999999901</v>
      </c>
      <c r="AF1357">
        <v>4.6774619833601703</v>
      </c>
      <c r="AG1357">
        <v>-1.120205718657</v>
      </c>
      <c r="AH1357">
        <v>22.167991597318899</v>
      </c>
      <c r="AI1357">
        <v>92.830622061398103</v>
      </c>
      <c r="AJ1357">
        <v>78.085317183938102</v>
      </c>
      <c r="AK1357">
        <v>22.683768710615301</v>
      </c>
      <c r="AL1357">
        <v>79.196209647801695</v>
      </c>
      <c r="AM1357">
        <v>84.869507693222701</v>
      </c>
      <c r="AN1357">
        <v>1.0000000185125999</v>
      </c>
    </row>
    <row r="1358" spans="1:40" x14ac:dyDescent="0.25">
      <c r="A1358" t="str">
        <f>"20190303170523356"</f>
        <v>20190303170523356</v>
      </c>
      <c r="B1358" t="str">
        <f>"1551603923345734"</f>
        <v>1551603923345734</v>
      </c>
      <c r="C1358" t="s">
        <v>40</v>
      </c>
      <c r="D1358">
        <v>5.6039320000000004</v>
      </c>
      <c r="E1358">
        <v>0.55976199999999998</v>
      </c>
      <c r="F1358" t="s">
        <v>52</v>
      </c>
      <c r="G1358">
        <v>-196.75810000000001</v>
      </c>
      <c r="H1358" s="1">
        <v>4.54496E-7</v>
      </c>
      <c r="I1358">
        <v>297.03559999999999</v>
      </c>
      <c r="J1358">
        <v>-191.88380000000001</v>
      </c>
      <c r="K1358">
        <v>1.1201030000000001</v>
      </c>
      <c r="L1358">
        <v>322.13040000000001</v>
      </c>
      <c r="M1358">
        <v>3.6673749999999998E-2</v>
      </c>
      <c r="N1358">
        <v>-8.9986189999999994E-3</v>
      </c>
      <c r="O1358">
        <v>-0.99928680000000003</v>
      </c>
      <c r="P1358">
        <v>-5.2562539999999998E-2</v>
      </c>
      <c r="Q1358">
        <v>0.1788323</v>
      </c>
      <c r="R1358">
        <v>-0.98247450000000003</v>
      </c>
      <c r="S1358">
        <v>-0.58412169999999997</v>
      </c>
      <c r="T1358">
        <v>-0.13451389999999999</v>
      </c>
      <c r="U1358">
        <v>-3.047485</v>
      </c>
      <c r="V1358">
        <v>8.8855779999999995E-2</v>
      </c>
      <c r="W1358">
        <v>0.18750249999999999</v>
      </c>
      <c r="X1358">
        <v>0.97823689999999996</v>
      </c>
      <c r="Y1358">
        <v>0.22397739999999999</v>
      </c>
      <c r="Z1358">
        <v>3.4077009999999998E-2</v>
      </c>
      <c r="AA1358">
        <v>0.97399840000000004</v>
      </c>
      <c r="AB1358">
        <v>29</v>
      </c>
      <c r="AC1358">
        <v>-4.8742999999999999</v>
      </c>
      <c r="AD1358">
        <v>-1.1201025455039999</v>
      </c>
      <c r="AE1358">
        <v>-25.094799999999999</v>
      </c>
      <c r="AF1358">
        <v>5.78028120702721</v>
      </c>
      <c r="AG1358">
        <v>-1.1201025455039999</v>
      </c>
      <c r="AH1358">
        <v>24.851440297917001</v>
      </c>
      <c r="AI1358">
        <v>92.513675710066806</v>
      </c>
      <c r="AJ1358">
        <v>76.906189865380995</v>
      </c>
      <c r="AK1358">
        <v>25.539388509235899</v>
      </c>
      <c r="AL1358">
        <v>79.192931133502498</v>
      </c>
      <c r="AM1358">
        <v>84.809919027903803</v>
      </c>
      <c r="AN1358">
        <v>0.99999998483363395</v>
      </c>
    </row>
    <row r="1359" spans="1:40" x14ac:dyDescent="0.25">
      <c r="A1359" t="str">
        <f>"20190303170523377"</f>
        <v>20190303170523377</v>
      </c>
      <c r="B1359" t="str">
        <f>"1551603923366230"</f>
        <v>1551603923366230</v>
      </c>
      <c r="C1359" t="s">
        <v>40</v>
      </c>
      <c r="D1359">
        <v>5.5842710000000002</v>
      </c>
      <c r="E1359">
        <v>0.56096140000000005</v>
      </c>
      <c r="F1359" t="s">
        <v>52</v>
      </c>
      <c r="G1359">
        <v>-197.11160000000001</v>
      </c>
      <c r="H1359" s="1">
        <v>6.7638309999999999E-7</v>
      </c>
      <c r="I1359">
        <v>295.90809999999999</v>
      </c>
      <c r="J1359">
        <v>-191.87459999999999</v>
      </c>
      <c r="K1359">
        <v>1.1199840000000001</v>
      </c>
      <c r="L1359">
        <v>321.85430000000002</v>
      </c>
      <c r="M1359">
        <v>3.56741E-2</v>
      </c>
      <c r="N1359">
        <v>-9.0416880000000008E-3</v>
      </c>
      <c r="O1359">
        <v>-0.99932259999999995</v>
      </c>
      <c r="P1359">
        <v>-5.4681220000000003E-2</v>
      </c>
      <c r="Q1359">
        <v>0.179234</v>
      </c>
      <c r="R1359">
        <v>-0.98228590000000005</v>
      </c>
      <c r="S1359">
        <v>-0.60699459999999905</v>
      </c>
      <c r="T1359">
        <v>-0.13005519999999901</v>
      </c>
      <c r="U1359">
        <v>-3.0446780000000002</v>
      </c>
      <c r="V1359">
        <v>9.0044100000000002E-2</v>
      </c>
      <c r="W1359">
        <v>0.18791559999999999</v>
      </c>
      <c r="X1359">
        <v>0.97804899999999995</v>
      </c>
      <c r="Y1359">
        <v>0.2302208</v>
      </c>
      <c r="Z1359">
        <v>3.2586419999999998E-2</v>
      </c>
      <c r="AA1359">
        <v>0.97259269999999998</v>
      </c>
      <c r="AB1359">
        <v>30</v>
      </c>
      <c r="AC1359">
        <v>-5.2370000000000196</v>
      </c>
      <c r="AD1359">
        <v>-1.1199833236168999</v>
      </c>
      <c r="AE1359">
        <v>-25.946200000000001</v>
      </c>
      <c r="AF1359">
        <v>6.1483038990391501</v>
      </c>
      <c r="AG1359">
        <v>-1.1199833236168999</v>
      </c>
      <c r="AH1359">
        <v>25.696844523082401</v>
      </c>
      <c r="AI1359">
        <v>92.427204131511303</v>
      </c>
      <c r="AJ1359">
        <v>76.544201022540605</v>
      </c>
      <c r="AK1359">
        <v>26.445865875852601</v>
      </c>
      <c r="AL1359">
        <v>79.168834400467603</v>
      </c>
      <c r="AM1359">
        <v>84.739891019123405</v>
      </c>
      <c r="AN1359">
        <v>1.0000000295345799</v>
      </c>
    </row>
    <row r="1360" spans="1:40" x14ac:dyDescent="0.25">
      <c r="A1360" t="str">
        <f>"20190303170523401"</f>
        <v>20190303170523401</v>
      </c>
      <c r="B1360" t="str">
        <f>"1551603923395960"</f>
        <v>1551603923395960</v>
      </c>
      <c r="C1360" t="s">
        <v>40</v>
      </c>
      <c r="D1360">
        <v>5.5868029999999997</v>
      </c>
      <c r="E1360">
        <v>0.56218389999999996</v>
      </c>
      <c r="F1360" t="s">
        <v>52</v>
      </c>
      <c r="G1360">
        <v>-197.54750000000001</v>
      </c>
      <c r="H1360" s="1">
        <v>1.1640739999999999E-6</v>
      </c>
      <c r="I1360">
        <v>294.22039999999998</v>
      </c>
      <c r="J1360">
        <v>-191.8648</v>
      </c>
      <c r="K1360">
        <v>1.1198459999999999</v>
      </c>
      <c r="L1360">
        <v>321.5419</v>
      </c>
      <c r="M1360">
        <v>3.4365E-2</v>
      </c>
      <c r="N1360">
        <v>-9.0950159999999992E-3</v>
      </c>
      <c r="O1360">
        <v>-0.99936820000000004</v>
      </c>
      <c r="P1360">
        <v>-5.6562830000000001E-2</v>
      </c>
      <c r="Q1360">
        <v>0.1792494</v>
      </c>
      <c r="R1360">
        <v>-0.98217679999999996</v>
      </c>
      <c r="S1360">
        <v>-0.62445069999999903</v>
      </c>
      <c r="T1360">
        <v>-0.12328509999999999</v>
      </c>
      <c r="U1360">
        <v>-3.0418699999999999</v>
      </c>
      <c r="V1360">
        <v>9.070607E-2</v>
      </c>
      <c r="W1360">
        <v>0.18794839999999999</v>
      </c>
      <c r="X1360">
        <v>0.97798149999999995</v>
      </c>
      <c r="Y1360">
        <v>0.2344926</v>
      </c>
      <c r="Z1360">
        <v>3.036351E-2</v>
      </c>
      <c r="AA1360">
        <v>0.97164360000000005</v>
      </c>
      <c r="AB1360">
        <v>30</v>
      </c>
      <c r="AC1360">
        <v>-5.6827000000000103</v>
      </c>
      <c r="AD1360">
        <v>-1.11984483592599</v>
      </c>
      <c r="AE1360">
        <v>-27.3215</v>
      </c>
      <c r="AF1360">
        <v>6.6076447377956002</v>
      </c>
      <c r="AG1360">
        <v>-1.11984483592599</v>
      </c>
      <c r="AH1360">
        <v>27.066481355356</v>
      </c>
      <c r="AI1360">
        <v>92.3016774648964</v>
      </c>
      <c r="AJ1360">
        <v>76.280923933898507</v>
      </c>
      <c r="AK1360">
        <v>27.883856160819999</v>
      </c>
      <c r="AL1360">
        <v>79.166920718209795</v>
      </c>
      <c r="AM1360">
        <v>84.701076374828105</v>
      </c>
      <c r="AN1360">
        <v>1.00000000326982</v>
      </c>
    </row>
    <row r="1361" spans="1:40" x14ac:dyDescent="0.25">
      <c r="A1361" t="str">
        <f>"20190303170523424"</f>
        <v>20190303170523424</v>
      </c>
      <c r="B1361" t="str">
        <f>"1551603923415479"</f>
        <v>1551603923415479</v>
      </c>
      <c r="C1361" t="s">
        <v>40</v>
      </c>
      <c r="D1361">
        <v>5.558414</v>
      </c>
      <c r="E1361">
        <v>0.56275489999999995</v>
      </c>
      <c r="F1361" t="s">
        <v>52</v>
      </c>
      <c r="G1361">
        <v>-197.81</v>
      </c>
      <c r="H1361" s="1">
        <v>1.297422E-6</v>
      </c>
      <c r="I1361">
        <v>293.33109999999999</v>
      </c>
      <c r="J1361">
        <v>-191.8561</v>
      </c>
      <c r="K1361">
        <v>1.119707</v>
      </c>
      <c r="L1361">
        <v>321.24849999999998</v>
      </c>
      <c r="M1361">
        <v>3.295725E-2</v>
      </c>
      <c r="N1361">
        <v>-9.1521209999999992E-3</v>
      </c>
      <c r="O1361">
        <v>-0.9994151</v>
      </c>
      <c r="P1361">
        <v>-5.8616630000000003E-2</v>
      </c>
      <c r="Q1361">
        <v>0.17882899999999999</v>
      </c>
      <c r="R1361">
        <v>-0.98213300000000003</v>
      </c>
      <c r="S1361">
        <v>-0.64056400000000002</v>
      </c>
      <c r="T1361">
        <v>-0.1206579</v>
      </c>
      <c r="U1361">
        <v>-3.0395810000000001</v>
      </c>
      <c r="V1361">
        <v>9.1441149999999999E-2</v>
      </c>
      <c r="W1361">
        <v>0.1875513</v>
      </c>
      <c r="X1361">
        <v>0.97798929999999995</v>
      </c>
      <c r="Y1361">
        <v>0.23820810000000001</v>
      </c>
      <c r="Z1361">
        <v>2.9459280000000001E-2</v>
      </c>
      <c r="AA1361">
        <v>0.9707673</v>
      </c>
      <c r="AB1361">
        <v>30</v>
      </c>
      <c r="AC1361">
        <v>-5.9539</v>
      </c>
      <c r="AD1361">
        <v>-1.119705702578</v>
      </c>
      <c r="AE1361">
        <v>-27.917399999999901</v>
      </c>
      <c r="AF1361">
        <v>6.8602288802706903</v>
      </c>
      <c r="AG1361">
        <v>-1.119705702578</v>
      </c>
      <c r="AH1361">
        <v>27.663436180743599</v>
      </c>
      <c r="AI1361">
        <v>92.249766332488605</v>
      </c>
      <c r="AJ1361">
        <v>76.072249837371103</v>
      </c>
      <c r="AK1361">
        <v>28.523362047209002</v>
      </c>
      <c r="AL1361">
        <v>79.190085012255096</v>
      </c>
      <c r="AM1361">
        <v>84.658423774226705</v>
      </c>
      <c r="AN1361">
        <v>1.0000000224797501</v>
      </c>
    </row>
    <row r="1362" spans="1:40" x14ac:dyDescent="0.25">
      <c r="A1362" t="str">
        <f>"20190303170523445"</f>
        <v>20190303170523445</v>
      </c>
      <c r="B1362" t="str">
        <f>"1551603923435976"</f>
        <v>1551603923435976</v>
      </c>
      <c r="C1362" t="s">
        <v>40</v>
      </c>
      <c r="D1362">
        <v>5.561547</v>
      </c>
      <c r="E1362">
        <v>0.56335769999999996</v>
      </c>
      <c r="F1362" t="s">
        <v>52</v>
      </c>
      <c r="G1362">
        <v>-197.88249999999999</v>
      </c>
      <c r="H1362" s="1">
        <v>1.3236009999999999E-6</v>
      </c>
      <c r="I1362">
        <v>293.14589999999998</v>
      </c>
      <c r="J1362">
        <v>-191.84809999999999</v>
      </c>
      <c r="K1362">
        <v>1.1195900000000001</v>
      </c>
      <c r="L1362">
        <v>320.95909999999998</v>
      </c>
      <c r="M1362">
        <v>3.1396899999999998E-2</v>
      </c>
      <c r="N1362">
        <v>-9.2167859999999994E-3</v>
      </c>
      <c r="O1362">
        <v>-0.99946469999999998</v>
      </c>
      <c r="P1362">
        <v>-6.0720499999999997E-2</v>
      </c>
      <c r="Q1362">
        <v>0.17865309999999901</v>
      </c>
      <c r="R1362">
        <v>-0.98203689999999999</v>
      </c>
      <c r="S1362">
        <v>-0.65141300000000002</v>
      </c>
      <c r="T1362">
        <v>-0.1210321</v>
      </c>
      <c r="U1362">
        <v>-3.0376889999999999</v>
      </c>
      <c r="V1362">
        <v>9.2072210000000002E-2</v>
      </c>
      <c r="W1362">
        <v>0.18740699999999999</v>
      </c>
      <c r="X1362">
        <v>0.97795770000000004</v>
      </c>
      <c r="Y1362">
        <v>0.24012910000000001</v>
      </c>
      <c r="Z1362">
        <v>2.951811E-2</v>
      </c>
      <c r="AA1362">
        <v>0.97029209999999999</v>
      </c>
      <c r="AB1362">
        <v>30</v>
      </c>
      <c r="AC1362">
        <v>-6.0343999999999998</v>
      </c>
      <c r="AD1362">
        <v>-1.1195886763989999</v>
      </c>
      <c r="AE1362">
        <v>-27.813199999999899</v>
      </c>
      <c r="AF1362">
        <v>6.89404122286256</v>
      </c>
      <c r="AG1362">
        <v>-1.1195886763989999</v>
      </c>
      <c r="AH1362">
        <v>27.567356111951401</v>
      </c>
      <c r="AI1362">
        <v>92.256258260245403</v>
      </c>
      <c r="AJ1362">
        <v>75.959448825024197</v>
      </c>
      <c r="AK1362">
        <v>28.438361524356399</v>
      </c>
      <c r="AL1362">
        <v>79.198501456955498</v>
      </c>
      <c r="AM1362">
        <v>84.621602780526004</v>
      </c>
      <c r="AN1362">
        <v>0.99999996924628598</v>
      </c>
    </row>
    <row r="1363" spans="1:40" x14ac:dyDescent="0.25">
      <c r="A1363" t="str">
        <f>"20190303170523467"</f>
        <v>20190303170523467</v>
      </c>
      <c r="B1363" t="str">
        <f>"1551603923455495"</f>
        <v>1551603923455495</v>
      </c>
      <c r="C1363" t="s">
        <v>40</v>
      </c>
      <c r="D1363">
        <v>5.5700430000000001</v>
      </c>
      <c r="E1363">
        <v>0.56390299999999904</v>
      </c>
      <c r="F1363" t="s">
        <v>52</v>
      </c>
      <c r="G1363">
        <v>-197.9615</v>
      </c>
      <c r="H1363" s="1">
        <v>1.353929E-6</v>
      </c>
      <c r="I1363">
        <v>292.93389999999999</v>
      </c>
      <c r="J1363">
        <v>-191.84059999999999</v>
      </c>
      <c r="K1363">
        <v>1.11948</v>
      </c>
      <c r="L1363">
        <v>320.66250000000002</v>
      </c>
      <c r="M1363">
        <v>2.9649620000000002E-2</v>
      </c>
      <c r="N1363">
        <v>-9.2891759999999997E-3</v>
      </c>
      <c r="O1363">
        <v>-0.9995174</v>
      </c>
      <c r="P1363">
        <v>-6.2918520000000006E-2</v>
      </c>
      <c r="Q1363">
        <v>0.1798939</v>
      </c>
      <c r="R1363">
        <v>-0.98167199999999999</v>
      </c>
      <c r="S1363">
        <v>-0.66226200000000002</v>
      </c>
      <c r="T1363">
        <v>-0.1212853</v>
      </c>
      <c r="U1363">
        <v>-3.0359799999999999</v>
      </c>
      <c r="V1363">
        <v>9.2606729999999998E-2</v>
      </c>
      <c r="W1363">
        <v>0.18868650000000001</v>
      </c>
      <c r="X1363">
        <v>0.97766120000000001</v>
      </c>
      <c r="Y1363">
        <v>0.24185499999999999</v>
      </c>
      <c r="Z1363">
        <v>2.9529300000000001E-2</v>
      </c>
      <c r="AA1363">
        <v>0.96986289999999997</v>
      </c>
      <c r="AB1363">
        <v>30</v>
      </c>
      <c r="AC1363">
        <v>-6.1208999999999998</v>
      </c>
      <c r="AD1363">
        <v>-1.119478646071</v>
      </c>
      <c r="AE1363">
        <v>-27.7286</v>
      </c>
      <c r="AF1363">
        <v>6.9296163263852399</v>
      </c>
      <c r="AG1363">
        <v>-1.119478646071</v>
      </c>
      <c r="AH1363">
        <v>27.492189050340901</v>
      </c>
      <c r="AI1363">
        <v>92.261143287180204</v>
      </c>
      <c r="AJ1363">
        <v>75.852851153712393</v>
      </c>
      <c r="AK1363">
        <v>28.3741656027027</v>
      </c>
      <c r="AL1363">
        <v>79.123860368511501</v>
      </c>
      <c r="AM1363">
        <v>84.588932678096398</v>
      </c>
      <c r="AN1363">
        <v>1.0000000118544901</v>
      </c>
    </row>
    <row r="1364" spans="1:40" x14ac:dyDescent="0.25">
      <c r="A1364" t="str">
        <f>"20190303170523488"</f>
        <v>20190303170523488</v>
      </c>
      <c r="B1364" t="str">
        <f>"1551603923475991"</f>
        <v>1551603923475991</v>
      </c>
      <c r="C1364" t="s">
        <v>40</v>
      </c>
      <c r="D1364">
        <v>5.538424</v>
      </c>
      <c r="E1364">
        <v>0.56441980000000003</v>
      </c>
      <c r="F1364" t="s">
        <v>52</v>
      </c>
      <c r="G1364">
        <v>-198.2945</v>
      </c>
      <c r="H1364" s="1">
        <v>1.566532E-6</v>
      </c>
      <c r="I1364">
        <v>291.55900000000003</v>
      </c>
      <c r="J1364">
        <v>-191.834</v>
      </c>
      <c r="K1364">
        <v>1.119399</v>
      </c>
      <c r="L1364">
        <v>320.38229999999999</v>
      </c>
      <c r="M1364">
        <v>2.7895489999999998E-2</v>
      </c>
      <c r="N1364">
        <v>-9.3608140000000003E-3</v>
      </c>
      <c r="O1364">
        <v>-0.99956730000000005</v>
      </c>
      <c r="P1364">
        <v>-6.5288020000000002E-2</v>
      </c>
      <c r="Q1364">
        <v>0.18075640000000001</v>
      </c>
      <c r="R1364">
        <v>-0.98135890000000003</v>
      </c>
      <c r="S1364">
        <v>-0.67286679999999999</v>
      </c>
      <c r="T1364">
        <v>-0.11671330000000001</v>
      </c>
      <c r="U1364">
        <v>-3.0342410000000002</v>
      </c>
      <c r="V1364">
        <v>9.3295820000000002E-2</v>
      </c>
      <c r="W1364">
        <v>0.18959300000000001</v>
      </c>
      <c r="X1364">
        <v>0.97742030000000002</v>
      </c>
      <c r="Y1364">
        <v>0.24351130000000001</v>
      </c>
      <c r="Z1364">
        <v>2.79983E-2</v>
      </c>
      <c r="AA1364">
        <v>0.96949390000000002</v>
      </c>
      <c r="AB1364">
        <v>30</v>
      </c>
      <c r="AC1364">
        <v>-6.4604999999999899</v>
      </c>
      <c r="AD1364">
        <v>-1.1193974334679999</v>
      </c>
      <c r="AE1364">
        <v>-28.8232999999999</v>
      </c>
      <c r="AF1364">
        <v>7.25164643654906</v>
      </c>
      <c r="AG1364">
        <v>-1.1193974334679999</v>
      </c>
      <c r="AH1364">
        <v>28.590795619781598</v>
      </c>
      <c r="AI1364">
        <v>92.173371462633995</v>
      </c>
      <c r="AJ1364">
        <v>75.767868195117799</v>
      </c>
      <c r="AK1364">
        <v>29.517334243235702</v>
      </c>
      <c r="AL1364">
        <v>79.0709672202875</v>
      </c>
      <c r="AM1364">
        <v>84.547574964081093</v>
      </c>
      <c r="AN1364">
        <v>1.00000002926528</v>
      </c>
    </row>
    <row r="1365" spans="1:40" x14ac:dyDescent="0.25">
      <c r="A1365" t="str">
        <f>"20190303170523512"</f>
        <v>20190303170523512</v>
      </c>
      <c r="B1365" t="str">
        <f>"1551603923506247"</f>
        <v>1551603923506247</v>
      </c>
      <c r="C1365" t="s">
        <v>40</v>
      </c>
      <c r="D1365">
        <v>5.5062790000000001</v>
      </c>
      <c r="E1365">
        <v>0.56500519999999999</v>
      </c>
      <c r="F1365" t="s">
        <v>52</v>
      </c>
      <c r="G1365">
        <v>-198.60599999999999</v>
      </c>
      <c r="H1365" s="1">
        <v>1.7464769999999999E-6</v>
      </c>
      <c r="I1365">
        <v>290.38040000000001</v>
      </c>
      <c r="J1365">
        <v>-191.82740000000001</v>
      </c>
      <c r="K1365">
        <v>1.119319</v>
      </c>
      <c r="L1365">
        <v>320.06709999999998</v>
      </c>
      <c r="M1365">
        <v>2.581936E-2</v>
      </c>
      <c r="N1365">
        <v>-9.45936E-3</v>
      </c>
      <c r="O1365">
        <v>-0.99962189999999995</v>
      </c>
      <c r="P1365">
        <v>-6.8380179999999999E-2</v>
      </c>
      <c r="Q1365">
        <v>0.1804558</v>
      </c>
      <c r="R1365">
        <v>-0.98120350000000001</v>
      </c>
      <c r="S1365">
        <v>-0.68444819999999995</v>
      </c>
      <c r="T1365">
        <v>-0.11313860000000001</v>
      </c>
      <c r="U1365">
        <v>-3.0323180000000001</v>
      </c>
      <c r="V1365">
        <v>9.4389970000000004E-2</v>
      </c>
      <c r="W1365">
        <v>0.18936359999999999</v>
      </c>
      <c r="X1365">
        <v>0.97735970000000005</v>
      </c>
      <c r="Y1365">
        <v>0.2451604</v>
      </c>
      <c r="Z1365">
        <v>2.6760349999999999E-2</v>
      </c>
      <c r="AA1365">
        <v>0.96911309999999995</v>
      </c>
      <c r="AB1365">
        <v>30</v>
      </c>
      <c r="AC1365">
        <v>-6.7785999999999804</v>
      </c>
      <c r="AD1365">
        <v>-1.119317253523</v>
      </c>
      <c r="AE1365">
        <v>-29.686699999999899</v>
      </c>
      <c r="AF1365">
        <v>7.5326879099240696</v>
      </c>
      <c r="AG1365">
        <v>-1.119317253523</v>
      </c>
      <c r="AH1365">
        <v>29.461967260564201</v>
      </c>
      <c r="AI1365">
        <v>92.107986876200997</v>
      </c>
      <c r="AJ1365">
        <v>75.658141691510195</v>
      </c>
      <c r="AK1365">
        <v>30.4302772436418</v>
      </c>
      <c r="AL1365">
        <v>79.084353164570601</v>
      </c>
      <c r="AM1365">
        <v>84.483682497559798</v>
      </c>
      <c r="AN1365">
        <v>1.00000001131282</v>
      </c>
    </row>
    <row r="1366" spans="1:40" x14ac:dyDescent="0.25">
      <c r="A1366" t="str">
        <f>"20190303170523533"</f>
        <v>20190303170523533</v>
      </c>
      <c r="B1366" t="str">
        <f>"1551603923525768"</f>
        <v>1551603923525768</v>
      </c>
      <c r="C1366" t="s">
        <v>40</v>
      </c>
      <c r="D1366">
        <v>5.4709669999999999</v>
      </c>
      <c r="E1366">
        <v>0.56533239999999996</v>
      </c>
      <c r="F1366" t="s">
        <v>52</v>
      </c>
      <c r="G1366">
        <v>-198.78450000000001</v>
      </c>
      <c r="H1366" s="1">
        <v>1.8728549999999999E-6</v>
      </c>
      <c r="I1366">
        <v>289.88900000000001</v>
      </c>
      <c r="J1366">
        <v>-191.8218</v>
      </c>
      <c r="K1366">
        <v>1.119265</v>
      </c>
      <c r="L1366">
        <v>319.7713</v>
      </c>
      <c r="M1366">
        <v>2.3789950000000001E-2</v>
      </c>
      <c r="N1366">
        <v>-9.5750330000000002E-3</v>
      </c>
      <c r="O1366">
        <v>-0.99967099999999998</v>
      </c>
      <c r="P1366">
        <v>-7.1308140000000006E-2</v>
      </c>
      <c r="Q1366">
        <v>0.1794415</v>
      </c>
      <c r="R1366">
        <v>-0.98118059999999996</v>
      </c>
      <c r="S1366">
        <v>-0.69840999999999998</v>
      </c>
      <c r="T1366">
        <v>-0.1123648</v>
      </c>
      <c r="U1366">
        <v>-3.02948</v>
      </c>
      <c r="V1366">
        <v>9.535826E-2</v>
      </c>
      <c r="W1366">
        <v>0.1884429</v>
      </c>
      <c r="X1366">
        <v>0.97744359999999997</v>
      </c>
      <c r="Y1366">
        <v>0.24763279999999999</v>
      </c>
      <c r="Z1366">
        <v>2.6404319999999998E-2</v>
      </c>
      <c r="AA1366">
        <v>0.96849410000000002</v>
      </c>
      <c r="AB1366">
        <v>30</v>
      </c>
      <c r="AC1366">
        <v>-6.9627000000000097</v>
      </c>
      <c r="AD1366">
        <v>-1.119263127145</v>
      </c>
      <c r="AE1366">
        <v>-29.882299999999901</v>
      </c>
      <c r="AF1366">
        <v>7.6614653192527404</v>
      </c>
      <c r="AG1366">
        <v>-1.119263127145</v>
      </c>
      <c r="AH1366">
        <v>29.668712241041401</v>
      </c>
      <c r="AI1366">
        <v>92.091919937276501</v>
      </c>
      <c r="AJ1366">
        <v>75.520610793221607</v>
      </c>
      <c r="AK1366">
        <v>30.662408366395798</v>
      </c>
      <c r="AL1366">
        <v>79.138071981481005</v>
      </c>
      <c r="AM1366">
        <v>84.427923623383705</v>
      </c>
      <c r="AN1366">
        <v>0.99999995774579697</v>
      </c>
    </row>
    <row r="1367" spans="1:40" x14ac:dyDescent="0.25">
      <c r="A1367" t="str">
        <f>"20190303170523556"</f>
        <v>20190303170523556</v>
      </c>
      <c r="B1367" t="str">
        <f>"1551603923546264"</f>
        <v>1551603923546264</v>
      </c>
      <c r="C1367" t="s">
        <v>40</v>
      </c>
      <c r="D1367">
        <v>5.470097</v>
      </c>
      <c r="E1367">
        <v>0.56563399999999997</v>
      </c>
      <c r="F1367" t="s">
        <v>52</v>
      </c>
      <c r="G1367">
        <v>-198.7551</v>
      </c>
      <c r="H1367" s="1">
        <v>1.7661140000000001E-6</v>
      </c>
      <c r="I1367">
        <v>290.20580000000001</v>
      </c>
      <c r="J1367">
        <v>-191.8169</v>
      </c>
      <c r="K1367">
        <v>1.1192230000000001</v>
      </c>
      <c r="L1367">
        <v>319.47300000000001</v>
      </c>
      <c r="M1367">
        <v>2.167964E-2</v>
      </c>
      <c r="N1367">
        <v>-9.7100950000000002E-3</v>
      </c>
      <c r="O1367">
        <v>-0.99971779999999999</v>
      </c>
      <c r="P1367">
        <v>-7.4495080000000005E-2</v>
      </c>
      <c r="Q1367">
        <v>0.17901339999999999</v>
      </c>
      <c r="R1367">
        <v>-0.98102230000000001</v>
      </c>
      <c r="S1367">
        <v>-0.7098236</v>
      </c>
      <c r="T1367">
        <v>-0.11459</v>
      </c>
      <c r="U1367">
        <v>-3.0269170000000001</v>
      </c>
      <c r="V1367">
        <v>9.6501770000000001E-2</v>
      </c>
      <c r="W1367">
        <v>0.18812780000000001</v>
      </c>
      <c r="X1367">
        <v>0.97739209999999999</v>
      </c>
      <c r="Y1367">
        <v>0.24922559999999999</v>
      </c>
      <c r="Z1367">
        <v>2.6992929999999998E-2</v>
      </c>
      <c r="AA1367">
        <v>0.96806919999999996</v>
      </c>
      <c r="AB1367">
        <v>30</v>
      </c>
      <c r="AC1367">
        <v>-6.9381999999999904</v>
      </c>
      <c r="AD1367">
        <v>-1.1192212338859999</v>
      </c>
      <c r="AE1367">
        <v>-29.267199999999999</v>
      </c>
      <c r="AF1367">
        <v>7.56063300120503</v>
      </c>
      <c r="AG1367">
        <v>-1.1192212338859999</v>
      </c>
      <c r="AH1367">
        <v>29.069646111466799</v>
      </c>
      <c r="AI1367">
        <v>92.133951192547698</v>
      </c>
      <c r="AJ1367">
        <v>75.421122270501201</v>
      </c>
      <c r="AK1367">
        <v>30.0576138872534</v>
      </c>
      <c r="AL1367">
        <v>79.156455010902107</v>
      </c>
      <c r="AM1367">
        <v>84.361237678573403</v>
      </c>
      <c r="AN1367">
        <v>0.99999998894419095</v>
      </c>
    </row>
    <row r="1368" spans="1:40" x14ac:dyDescent="0.25">
      <c r="A1368" t="str">
        <f>"20190303170523577"</f>
        <v>20190303170523577</v>
      </c>
      <c r="B1368" t="str">
        <f>"1551603923565783"</f>
        <v>1551603923565783</v>
      </c>
      <c r="C1368" t="s">
        <v>40</v>
      </c>
      <c r="D1368">
        <v>5.4596080000000002</v>
      </c>
      <c r="E1368">
        <v>0.56587049999999905</v>
      </c>
      <c r="F1368" t="s">
        <v>52</v>
      </c>
      <c r="G1368">
        <v>-198.7852</v>
      </c>
      <c r="H1368" s="1">
        <v>1.754158E-6</v>
      </c>
      <c r="I1368">
        <v>290.2466</v>
      </c>
      <c r="J1368">
        <v>-191.81270000000001</v>
      </c>
      <c r="K1368">
        <v>1.119192</v>
      </c>
      <c r="L1368">
        <v>319.18220000000002</v>
      </c>
      <c r="M1368">
        <v>1.9577399999999998E-2</v>
      </c>
      <c r="N1368">
        <v>-9.8518970000000001E-3</v>
      </c>
      <c r="O1368">
        <v>-0.99976010000000004</v>
      </c>
      <c r="P1368">
        <v>-7.8164209999999998E-2</v>
      </c>
      <c r="Q1368">
        <v>0.17937610000000001</v>
      </c>
      <c r="R1368">
        <v>-0.98067079999999995</v>
      </c>
      <c r="S1368">
        <v>-0.72108459999999996</v>
      </c>
      <c r="T1368">
        <v>-0.11581809999999999</v>
      </c>
      <c r="U1368">
        <v>-3.024384</v>
      </c>
      <c r="V1368">
        <v>9.8131220000000005E-2</v>
      </c>
      <c r="W1368">
        <v>0.18860689999999999</v>
      </c>
      <c r="X1368">
        <v>0.97713749999999999</v>
      </c>
      <c r="Y1368">
        <v>0.25077919999999998</v>
      </c>
      <c r="Z1368">
        <v>2.7255439999999999E-2</v>
      </c>
      <c r="AA1368">
        <v>0.96766050000000003</v>
      </c>
      <c r="AB1368">
        <v>30</v>
      </c>
      <c r="AC1368">
        <v>-6.9724999999999904</v>
      </c>
      <c r="AD1368">
        <v>-1.119190245842</v>
      </c>
      <c r="AE1368">
        <v>-28.935600000000001</v>
      </c>
      <c r="AF1368">
        <v>7.5270319301881399</v>
      </c>
      <c r="AG1368">
        <v>-1.119190245842</v>
      </c>
      <c r="AH1368">
        <v>28.752888960302698</v>
      </c>
      <c r="AI1368">
        <v>92.156484980513696</v>
      </c>
      <c r="AJ1368">
        <v>75.330108822336598</v>
      </c>
      <c r="AK1368">
        <v>29.742854941110799</v>
      </c>
      <c r="AL1368">
        <v>79.128504328640801</v>
      </c>
      <c r="AM1368">
        <v>84.265171336311298</v>
      </c>
      <c r="AN1368">
        <v>0.99999999648627402</v>
      </c>
    </row>
    <row r="1369" spans="1:40" x14ac:dyDescent="0.25">
      <c r="A1369" t="str">
        <f>"20190303170523601"</f>
        <v>20190303170523601</v>
      </c>
      <c r="B1369" t="str">
        <f>"1551603923596039"</f>
        <v>1551603923596039</v>
      </c>
      <c r="C1369" t="s">
        <v>40</v>
      </c>
      <c r="D1369">
        <v>5.3902130000000001</v>
      </c>
      <c r="E1369">
        <v>0.56621569999999899</v>
      </c>
      <c r="F1369" t="s">
        <v>52</v>
      </c>
      <c r="G1369">
        <v>-198.96350000000001</v>
      </c>
      <c r="H1369" s="1">
        <v>1.904478E-6</v>
      </c>
      <c r="I1369">
        <v>289.70979999999997</v>
      </c>
      <c r="J1369">
        <v>-191.809</v>
      </c>
      <c r="K1369">
        <v>1.1191660000000001</v>
      </c>
      <c r="L1369">
        <v>318.87079999999997</v>
      </c>
      <c r="M1369">
        <v>1.7289260000000001E-2</v>
      </c>
      <c r="N1369">
        <v>-1.000786E-2</v>
      </c>
      <c r="O1369">
        <v>-0.99980060000000004</v>
      </c>
      <c r="P1369">
        <v>-8.1974340000000007E-2</v>
      </c>
      <c r="Q1369">
        <v>0.1799569</v>
      </c>
      <c r="R1369">
        <v>-0.98025289999999998</v>
      </c>
      <c r="S1369">
        <v>-0.73313899999999999</v>
      </c>
      <c r="T1369">
        <v>-0.1147463</v>
      </c>
      <c r="U1369">
        <v>-3.0216980000000002</v>
      </c>
      <c r="V1369">
        <v>9.9718600000000004E-2</v>
      </c>
      <c r="W1369">
        <v>0.18931909999999999</v>
      </c>
      <c r="X1369">
        <v>0.97683900000000001</v>
      </c>
      <c r="Y1369">
        <v>0.25240839999999998</v>
      </c>
      <c r="Z1369">
        <v>2.6767619999999999E-2</v>
      </c>
      <c r="AA1369">
        <v>0.96725050000000001</v>
      </c>
      <c r="AB1369">
        <v>30</v>
      </c>
      <c r="AC1369">
        <v>-7.1544999999999801</v>
      </c>
      <c r="AD1369">
        <v>-1.1191640955219999</v>
      </c>
      <c r="AE1369">
        <v>-29.160999999999898</v>
      </c>
      <c r="AF1369">
        <v>7.64700377427598</v>
      </c>
      <c r="AG1369">
        <v>-1.1191640955219999</v>
      </c>
      <c r="AH1369">
        <v>28.9926590494122</v>
      </c>
      <c r="AI1369">
        <v>92.137581540076894</v>
      </c>
      <c r="AJ1369">
        <v>75.224362913602505</v>
      </c>
      <c r="AK1369">
        <v>30.005057469566001</v>
      </c>
      <c r="AL1369">
        <v>79.0869494102961</v>
      </c>
      <c r="AM1369">
        <v>84.171269170575897</v>
      </c>
      <c r="AN1369">
        <v>0.999999976365884</v>
      </c>
    </row>
    <row r="1370" spans="1:40" x14ac:dyDescent="0.25">
      <c r="A1370" t="str">
        <f>"20190303170523625"</f>
        <v>20190303170523625</v>
      </c>
      <c r="B1370" t="str">
        <f>"1551603923615560"</f>
        <v>1551603923615560</v>
      </c>
      <c r="C1370" t="s">
        <v>40</v>
      </c>
      <c r="D1370">
        <v>5.4104289999999997</v>
      </c>
      <c r="E1370">
        <v>0.56646049999999903</v>
      </c>
      <c r="F1370" t="s">
        <v>52</v>
      </c>
      <c r="G1370">
        <v>-199.29839999999999</v>
      </c>
      <c r="H1370" s="1">
        <v>1.966685E-6</v>
      </c>
      <c r="I1370">
        <v>288.60309999999998</v>
      </c>
      <c r="J1370">
        <v>-191.80609999999999</v>
      </c>
      <c r="K1370">
        <v>1.119146</v>
      </c>
      <c r="L1370">
        <v>318.5609</v>
      </c>
      <c r="M1370">
        <v>1.497889E-2</v>
      </c>
      <c r="N1370">
        <v>-1.0164019999999999E-2</v>
      </c>
      <c r="O1370">
        <v>-0.99983630000000001</v>
      </c>
      <c r="P1370">
        <v>-8.5939210000000002E-2</v>
      </c>
      <c r="Q1370">
        <v>0.1795795</v>
      </c>
      <c r="R1370">
        <v>-0.97998249999999998</v>
      </c>
      <c r="S1370">
        <v>-0.74688719999999997</v>
      </c>
      <c r="T1370">
        <v>-0.1116104</v>
      </c>
      <c r="U1370">
        <v>-3.018494</v>
      </c>
      <c r="V1370">
        <v>0.1014341</v>
      </c>
      <c r="W1370">
        <v>0.18907650000000001</v>
      </c>
      <c r="X1370">
        <v>0.97670939999999995</v>
      </c>
      <c r="Y1370">
        <v>0.25456990000000002</v>
      </c>
      <c r="Z1370">
        <v>2.561869E-2</v>
      </c>
      <c r="AA1370">
        <v>0.96671499999999999</v>
      </c>
      <c r="AB1370">
        <v>30</v>
      </c>
      <c r="AC1370">
        <v>-7.4923000000000002</v>
      </c>
      <c r="AD1370">
        <v>-1.119144033315</v>
      </c>
      <c r="AE1370">
        <v>-29.957799999999999</v>
      </c>
      <c r="AF1370">
        <v>7.9298018937331998</v>
      </c>
      <c r="AG1370">
        <v>-1.119144033315</v>
      </c>
      <c r="AH1370">
        <v>29.803062624581202</v>
      </c>
      <c r="AI1370">
        <v>92.078279794492005</v>
      </c>
      <c r="AJ1370">
        <v>75.100323029073607</v>
      </c>
      <c r="AK1370">
        <v>30.860278405190599</v>
      </c>
      <c r="AL1370">
        <v>79.101105576571996</v>
      </c>
      <c r="AM1370">
        <v>84.070922263414801</v>
      </c>
      <c r="AN1370">
        <v>1.0000000257717001</v>
      </c>
    </row>
    <row r="1371" spans="1:40" x14ac:dyDescent="0.25">
      <c r="A1371" t="str">
        <f>"20190303170523656"</f>
        <v>20190303170523656</v>
      </c>
      <c r="B1371" t="str">
        <f>"1551603923645815"</f>
        <v>1551603923645815</v>
      </c>
      <c r="C1371" t="s">
        <v>40</v>
      </c>
      <c r="D1371">
        <v>5.3601900000000002</v>
      </c>
      <c r="E1371">
        <v>0.56678430000000002</v>
      </c>
      <c r="F1371" t="s">
        <v>52</v>
      </c>
      <c r="G1371">
        <v>-199.4272</v>
      </c>
      <c r="H1371" s="1">
        <v>1.964293E-6</v>
      </c>
      <c r="I1371">
        <v>288.36919999999998</v>
      </c>
      <c r="J1371">
        <v>-191.80330000000001</v>
      </c>
      <c r="K1371">
        <v>1.1191180000000001</v>
      </c>
      <c r="L1371">
        <v>318.12560000000002</v>
      </c>
      <c r="M1371">
        <v>1.167939E-2</v>
      </c>
      <c r="N1371">
        <v>-1.037976E-2</v>
      </c>
      <c r="O1371">
        <v>-0.99987789999999999</v>
      </c>
      <c r="P1371">
        <v>-9.1580610000000007E-2</v>
      </c>
      <c r="Q1371">
        <v>0.1792783</v>
      </c>
      <c r="R1371">
        <v>-0.97952629999999996</v>
      </c>
      <c r="S1371">
        <v>-0.76106260000000003</v>
      </c>
      <c r="T1371">
        <v>-0.1117615</v>
      </c>
      <c r="U1371">
        <v>-3.0150450000000002</v>
      </c>
      <c r="V1371">
        <v>0.1038589</v>
      </c>
      <c r="W1371">
        <v>0.1889632</v>
      </c>
      <c r="X1371">
        <v>0.97647640000000002</v>
      </c>
      <c r="Y1371">
        <v>0.2559129</v>
      </c>
      <c r="Z1371">
        <v>2.547048E-2</v>
      </c>
      <c r="AA1371">
        <v>0.96636429999999995</v>
      </c>
      <c r="AB1371">
        <v>30</v>
      </c>
      <c r="AC1371">
        <v>-7.6238999999999901</v>
      </c>
      <c r="AD1371">
        <v>-1.119116035707</v>
      </c>
      <c r="AE1371">
        <v>-29.756399999999999</v>
      </c>
      <c r="AF1371">
        <v>7.9603692751526296</v>
      </c>
      <c r="AG1371">
        <v>-1.119116035707</v>
      </c>
      <c r="AH1371">
        <v>29.625999562352</v>
      </c>
      <c r="AI1371">
        <v>92.089271372556396</v>
      </c>
      <c r="AJ1371">
        <v>74.960117865529398</v>
      </c>
      <c r="AK1371">
        <v>30.697227069666202</v>
      </c>
      <c r="AL1371">
        <v>79.107715643908705</v>
      </c>
      <c r="AM1371">
        <v>83.928794963617605</v>
      </c>
      <c r="AN1371">
        <v>0.99999996091020404</v>
      </c>
    </row>
    <row r="1372" spans="1:40" x14ac:dyDescent="0.25">
      <c r="A1372" t="str">
        <f>"20190303170523679"</f>
        <v>20190303170523679</v>
      </c>
      <c r="B1372" t="str">
        <f>"1551603923666313"</f>
        <v>1551603923666313</v>
      </c>
      <c r="C1372" t="s">
        <v>40</v>
      </c>
      <c r="D1372">
        <v>5.3579109999999996</v>
      </c>
      <c r="E1372">
        <v>0.566992099999999</v>
      </c>
      <c r="F1372" t="s">
        <v>52</v>
      </c>
      <c r="G1372">
        <v>-199.67599999999999</v>
      </c>
      <c r="H1372" s="1">
        <v>1.971268E-6</v>
      </c>
      <c r="I1372">
        <v>287.78449999999998</v>
      </c>
      <c r="J1372">
        <v>-191.8023</v>
      </c>
      <c r="K1372">
        <v>1.119108</v>
      </c>
      <c r="L1372">
        <v>317.82659999999998</v>
      </c>
      <c r="M1372">
        <v>9.3844099999999993E-3</v>
      </c>
      <c r="N1372">
        <v>-1.051706E-2</v>
      </c>
      <c r="O1372">
        <v>-0.99990080000000003</v>
      </c>
      <c r="P1372">
        <v>-9.537002E-2</v>
      </c>
      <c r="Q1372">
        <v>0.17931459999999999</v>
      </c>
      <c r="R1372">
        <v>-0.97915859999999999</v>
      </c>
      <c r="S1372">
        <v>-0.78100590000000003</v>
      </c>
      <c r="T1372">
        <v>-0.11102140000000001</v>
      </c>
      <c r="U1372">
        <v>-3.009979</v>
      </c>
      <c r="V1372">
        <v>0.10541059999999999</v>
      </c>
      <c r="W1372">
        <v>0.18911819999999999</v>
      </c>
      <c r="X1372">
        <v>0.97628020000000004</v>
      </c>
      <c r="Y1372">
        <v>0.26008680000000001</v>
      </c>
      <c r="Z1372">
        <v>2.510882E-2</v>
      </c>
      <c r="AA1372">
        <v>0.96525870000000003</v>
      </c>
      <c r="AB1372">
        <v>30</v>
      </c>
      <c r="AC1372">
        <v>-7.8736999999999799</v>
      </c>
      <c r="AD1372">
        <v>-1.119106028732</v>
      </c>
      <c r="AE1372">
        <v>-30.042100000000001</v>
      </c>
      <c r="AF1372">
        <v>8.1447205569205998</v>
      </c>
      <c r="AG1372">
        <v>-1.119106028732</v>
      </c>
      <c r="AH1372">
        <v>29.928022398622002</v>
      </c>
      <c r="AI1372">
        <v>92.066392355371207</v>
      </c>
      <c r="AJ1372">
        <v>74.776011249213695</v>
      </c>
      <c r="AK1372">
        <v>31.0366782363431</v>
      </c>
      <c r="AL1372">
        <v>79.098672806476699</v>
      </c>
      <c r="AM1372">
        <v>83.837552244655896</v>
      </c>
      <c r="AN1372">
        <v>1.0000000585378099</v>
      </c>
    </row>
    <row r="1373" spans="1:40" x14ac:dyDescent="0.25">
      <c r="A1373" t="str">
        <f>"20190303170523701"</f>
        <v>20190303170523701</v>
      </c>
      <c r="B1373" t="str">
        <f>"1551603923695591"</f>
        <v>1551603923695591</v>
      </c>
      <c r="C1373" t="s">
        <v>40</v>
      </c>
      <c r="D1373">
        <v>5.3136869999999998</v>
      </c>
      <c r="E1373">
        <v>0.5672201</v>
      </c>
      <c r="F1373" t="s">
        <v>52</v>
      </c>
      <c r="G1373">
        <v>-199.85290000000001</v>
      </c>
      <c r="H1373" s="1">
        <v>1.979529E-6</v>
      </c>
      <c r="I1373">
        <v>287.33100000000002</v>
      </c>
      <c r="J1373">
        <v>-191.80189999999999</v>
      </c>
      <c r="K1373">
        <v>1.1190990000000001</v>
      </c>
      <c r="L1373">
        <v>317.53320000000002</v>
      </c>
      <c r="M1373">
        <v>7.1038289999999999E-3</v>
      </c>
      <c r="N1373">
        <v>-1.064415E-2</v>
      </c>
      <c r="O1373">
        <v>-0.99991819999999998</v>
      </c>
      <c r="P1373">
        <v>-9.8218020000000003E-2</v>
      </c>
      <c r="Q1373">
        <v>0.1800416</v>
      </c>
      <c r="R1373">
        <v>-0.97874309999999998</v>
      </c>
      <c r="S1373">
        <v>-0.79376219999999997</v>
      </c>
      <c r="T1373">
        <v>-0.1103394</v>
      </c>
      <c r="U1373">
        <v>-3.0067439999999999</v>
      </c>
      <c r="V1373">
        <v>0.1060396</v>
      </c>
      <c r="W1373">
        <v>0.18995809999999999</v>
      </c>
      <c r="X1373">
        <v>0.9760489</v>
      </c>
      <c r="Y1373">
        <v>0.26196999999999998</v>
      </c>
      <c r="Z1373">
        <v>2.4775849999999999E-2</v>
      </c>
      <c r="AA1373">
        <v>0.96475789999999995</v>
      </c>
      <c r="AB1373">
        <v>30</v>
      </c>
      <c r="AC1373">
        <v>-8.0510000000000108</v>
      </c>
      <c r="AD1373">
        <v>-1.119097020471</v>
      </c>
      <c r="AE1373">
        <v>-30.202200000000001</v>
      </c>
      <c r="AF1373">
        <v>8.2547786607232307</v>
      </c>
      <c r="AG1373">
        <v>-1.119097020471</v>
      </c>
      <c r="AH1373">
        <v>30.105650080465299</v>
      </c>
      <c r="AI1373">
        <v>92.053125009812106</v>
      </c>
      <c r="AJ1373">
        <v>74.666708766231494</v>
      </c>
      <c r="AK1373">
        <v>31.236899904538799</v>
      </c>
      <c r="AL1373">
        <v>79.049660647867995</v>
      </c>
      <c r="AM1373">
        <v>83.799607935608194</v>
      </c>
      <c r="AN1373">
        <v>0.99999996585748896</v>
      </c>
    </row>
    <row r="1374" spans="1:40" x14ac:dyDescent="0.25">
      <c r="A1374" t="str">
        <f>"20190303170523723"</f>
        <v>20190303170523723</v>
      </c>
      <c r="B1374" t="str">
        <f>"1551603923716088"</f>
        <v>1551603923716088</v>
      </c>
      <c r="C1374" t="s">
        <v>40</v>
      </c>
      <c r="D1374">
        <v>5.3617879999999998</v>
      </c>
      <c r="E1374">
        <v>0.56733750000000005</v>
      </c>
      <c r="F1374" t="s">
        <v>52</v>
      </c>
      <c r="G1374">
        <v>-200.2492</v>
      </c>
      <c r="H1374" s="1">
        <v>2.2086369999999999E-6</v>
      </c>
      <c r="I1374">
        <v>285.97579999999999</v>
      </c>
      <c r="J1374">
        <v>-191.8023</v>
      </c>
      <c r="K1374">
        <v>1.1190880000000001</v>
      </c>
      <c r="L1374">
        <v>317.2226</v>
      </c>
      <c r="M1374">
        <v>4.6542149999999997E-3</v>
      </c>
      <c r="N1374">
        <v>-1.0775760000000001E-2</v>
      </c>
      <c r="O1374">
        <v>-0.99993100000000001</v>
      </c>
      <c r="P1374">
        <v>-0.100954</v>
      </c>
      <c r="Q1374">
        <v>0.18083879999999999</v>
      </c>
      <c r="R1374">
        <v>-0.97831800000000002</v>
      </c>
      <c r="S1374">
        <v>-0.80412289999999997</v>
      </c>
      <c r="T1374">
        <v>-0.106530399999999</v>
      </c>
      <c r="U1374">
        <v>-3.0040589999999998</v>
      </c>
      <c r="V1374">
        <v>0.1063953</v>
      </c>
      <c r="W1374">
        <v>0.1908724</v>
      </c>
      <c r="X1374">
        <v>0.97583189999999997</v>
      </c>
      <c r="Y1374">
        <v>0.26293499999999997</v>
      </c>
      <c r="Z1374">
        <v>2.3436530000000001E-2</v>
      </c>
      <c r="AA1374">
        <v>0.96452890000000002</v>
      </c>
      <c r="AB1374">
        <v>30</v>
      </c>
      <c r="AC1374">
        <v>-8.4468999999999994</v>
      </c>
      <c r="AD1374">
        <v>-1.1190857913629999</v>
      </c>
      <c r="AE1374">
        <v>-31.2468</v>
      </c>
      <c r="AF1374">
        <v>8.5819880554696795</v>
      </c>
      <c r="AG1374">
        <v>-1.1190857913629999</v>
      </c>
      <c r="AH1374">
        <v>31.1698875293783</v>
      </c>
      <c r="AI1374">
        <v>91.982487106361404</v>
      </c>
      <c r="AJ1374">
        <v>74.606201163056596</v>
      </c>
      <c r="AK1374">
        <v>32.349107570174901</v>
      </c>
      <c r="AL1374">
        <v>78.9962998892793</v>
      </c>
      <c r="AM1374">
        <v>83.777599559201605</v>
      </c>
      <c r="AN1374">
        <v>1.0000000650007199</v>
      </c>
    </row>
    <row r="1375" spans="1:40" x14ac:dyDescent="0.25">
      <c r="A1375" t="str">
        <f>"20190303170523746"</f>
        <v>20190303170523746</v>
      </c>
      <c r="B1375" t="str">
        <f>"1551603923735607"</f>
        <v>1551603923735607</v>
      </c>
      <c r="C1375" t="s">
        <v>40</v>
      </c>
      <c r="D1375">
        <v>5.3363719999999999</v>
      </c>
      <c r="E1375">
        <v>0.5674688</v>
      </c>
      <c r="F1375" t="s">
        <v>52</v>
      </c>
      <c r="G1375">
        <v>-200.6498</v>
      </c>
      <c r="H1375" s="1">
        <v>2.5059009999999998E-6</v>
      </c>
      <c r="I1375">
        <v>284.608</v>
      </c>
      <c r="J1375">
        <v>-191.80350000000001</v>
      </c>
      <c r="K1375">
        <v>1.119067</v>
      </c>
      <c r="L1375">
        <v>316.92270000000002</v>
      </c>
      <c r="M1375">
        <v>2.2528280000000001E-3</v>
      </c>
      <c r="N1375">
        <v>-1.0895470000000001E-2</v>
      </c>
      <c r="O1375">
        <v>-0.9999382</v>
      </c>
      <c r="P1375">
        <v>-0.10462150000000001</v>
      </c>
      <c r="Q1375">
        <v>0.1813147</v>
      </c>
      <c r="R1375">
        <v>-0.97784450000000001</v>
      </c>
      <c r="S1375">
        <v>-0.81422419999999995</v>
      </c>
      <c r="T1375">
        <v>-0.10298740000000001</v>
      </c>
      <c r="U1375">
        <v>-3.001465</v>
      </c>
      <c r="V1375">
        <v>0.1077301</v>
      </c>
      <c r="W1375">
        <v>0.19144849999999999</v>
      </c>
      <c r="X1375">
        <v>0.97557249999999995</v>
      </c>
      <c r="Y1375">
        <v>0.26386029999999999</v>
      </c>
      <c r="Z1375">
        <v>2.2192730000000001E-2</v>
      </c>
      <c r="AA1375">
        <v>0.96430559999999998</v>
      </c>
      <c r="AB1375">
        <v>30</v>
      </c>
      <c r="AC1375">
        <v>-8.8462999999999798</v>
      </c>
      <c r="AD1375">
        <v>-1.119064494099</v>
      </c>
      <c r="AE1375">
        <v>-32.314700000000002</v>
      </c>
      <c r="AF1375">
        <v>8.9091419058225192</v>
      </c>
      <c r="AG1375">
        <v>-1.119064494099</v>
      </c>
      <c r="AH1375">
        <v>32.258698435423199</v>
      </c>
      <c r="AI1375">
        <v>91.915171370716806</v>
      </c>
      <c r="AJ1375">
        <v>74.561020139091795</v>
      </c>
      <c r="AK1375">
        <v>33.485052479988902</v>
      </c>
      <c r="AL1375">
        <v>78.962670950821007</v>
      </c>
      <c r="AM1375">
        <v>83.698497592545195</v>
      </c>
      <c r="AN1375">
        <v>1.00000000267725</v>
      </c>
    </row>
    <row r="1376" spans="1:40" x14ac:dyDescent="0.25">
      <c r="A1376" t="str">
        <f>"20190303170523768"</f>
        <v>20190303170523768</v>
      </c>
      <c r="B1376" t="str">
        <f>"1551603923756103"</f>
        <v>1551603923756103</v>
      </c>
      <c r="C1376" t="s">
        <v>40</v>
      </c>
      <c r="D1376">
        <v>5.3100430000000003</v>
      </c>
      <c r="E1376">
        <v>0.56757209999999902</v>
      </c>
      <c r="F1376" t="s">
        <v>52</v>
      </c>
      <c r="G1376">
        <v>-201.02119999999999</v>
      </c>
      <c r="H1376" s="1">
        <v>2.7677140000000002E-6</v>
      </c>
      <c r="I1376">
        <v>283.49709999999999</v>
      </c>
      <c r="J1376">
        <v>-191.80539999999999</v>
      </c>
      <c r="K1376">
        <v>1.119049</v>
      </c>
      <c r="L1376">
        <v>316.62630000000001</v>
      </c>
      <c r="M1376">
        <v>-1.486968E-4</v>
      </c>
      <c r="N1376">
        <v>-1.1002710000000001E-2</v>
      </c>
      <c r="O1376">
        <v>-0.99993969999999999</v>
      </c>
      <c r="P1376">
        <v>-0.1086569</v>
      </c>
      <c r="Q1376">
        <v>0.18152550000000001</v>
      </c>
      <c r="R1376">
        <v>-0.97736529999999999</v>
      </c>
      <c r="S1376">
        <v>-0.82679749999999996</v>
      </c>
      <c r="T1376">
        <v>-0.10037550000000001</v>
      </c>
      <c r="U1376">
        <v>-2.998138</v>
      </c>
      <c r="V1376">
        <v>0.1094316</v>
      </c>
      <c r="W1376">
        <v>0.19174569999999999</v>
      </c>
      <c r="X1376">
        <v>0.97532470000000004</v>
      </c>
      <c r="Y1376">
        <v>0.26558130000000002</v>
      </c>
      <c r="Z1376">
        <v>2.125987E-2</v>
      </c>
      <c r="AA1376">
        <v>0.96385399999999999</v>
      </c>
      <c r="AB1376">
        <v>30</v>
      </c>
      <c r="AC1376">
        <v>-9.2157999999999998</v>
      </c>
      <c r="AD1376">
        <v>-1.119046232286</v>
      </c>
      <c r="AE1376">
        <v>-33.129199999999997</v>
      </c>
      <c r="AF1376">
        <v>9.2011292156578808</v>
      </c>
      <c r="AG1376">
        <v>-1.119046232286</v>
      </c>
      <c r="AH1376">
        <v>33.095521259010297</v>
      </c>
      <c r="AI1376">
        <v>91.865867599365203</v>
      </c>
      <c r="AJ1376">
        <v>74.463146427413506</v>
      </c>
      <c r="AK1376">
        <v>34.368976864591502</v>
      </c>
      <c r="AL1376">
        <v>78.945320958558398</v>
      </c>
      <c r="AM1376">
        <v>83.598177958016805</v>
      </c>
      <c r="AN1376">
        <v>0.999999979488569</v>
      </c>
    </row>
    <row r="1377" spans="1:40" x14ac:dyDescent="0.25">
      <c r="A1377" t="str">
        <f>"20190303170523791"</f>
        <v>20190303170523791</v>
      </c>
      <c r="B1377" t="str">
        <f>"1551603923786359"</f>
        <v>1551603923786359</v>
      </c>
      <c r="C1377" t="s">
        <v>40</v>
      </c>
      <c r="D1377">
        <v>5.3090199999999896</v>
      </c>
      <c r="E1377">
        <v>0.56770419999999999</v>
      </c>
      <c r="F1377" t="s">
        <v>52</v>
      </c>
      <c r="G1377">
        <v>-201.23849999999999</v>
      </c>
      <c r="H1377" s="1">
        <v>2.909016E-6</v>
      </c>
      <c r="I1377">
        <v>282.98289999999997</v>
      </c>
      <c r="J1377">
        <v>-191.8081</v>
      </c>
      <c r="K1377">
        <v>1.1190340000000001</v>
      </c>
      <c r="L1377">
        <v>316.31700000000001</v>
      </c>
      <c r="M1377">
        <v>-2.6854890000000001E-3</v>
      </c>
      <c r="N1377">
        <v>-1.1104320000000001E-2</v>
      </c>
      <c r="O1377">
        <v>-0.99993489999999996</v>
      </c>
      <c r="P1377">
        <v>-0.1126301</v>
      </c>
      <c r="Q1377">
        <v>0.18113219999999999</v>
      </c>
      <c r="R1377">
        <v>-0.97698819999999997</v>
      </c>
      <c r="S1377">
        <v>-0.83964539999999999</v>
      </c>
      <c r="T1377">
        <v>-9.9606390000000003E-2</v>
      </c>
      <c r="U1377">
        <v>-2.9945979999999999</v>
      </c>
      <c r="V1377">
        <v>0.1109364</v>
      </c>
      <c r="W1377">
        <v>0.19143679999999999</v>
      </c>
      <c r="X1377">
        <v>0.97521539999999995</v>
      </c>
      <c r="Y1377">
        <v>0.26726640000000002</v>
      </c>
      <c r="Z1377">
        <v>2.0925780000000001E-2</v>
      </c>
      <c r="AA1377">
        <v>0.96339540000000001</v>
      </c>
      <c r="AB1377">
        <v>30</v>
      </c>
      <c r="AC1377">
        <v>-9.4303999999999899</v>
      </c>
      <c r="AD1377">
        <v>-1.119031090984</v>
      </c>
      <c r="AE1377">
        <v>-33.334099999999999</v>
      </c>
      <c r="AF1377">
        <v>9.3311056479447796</v>
      </c>
      <c r="AG1377">
        <v>-1.119031090984</v>
      </c>
      <c r="AH1377">
        <v>33.324534319920801</v>
      </c>
      <c r="AI1377">
        <v>91.852075373931896</v>
      </c>
      <c r="AJ1377">
        <v>74.357377220047496</v>
      </c>
      <c r="AK1377">
        <v>34.624360655978499</v>
      </c>
      <c r="AL1377">
        <v>78.963353968146507</v>
      </c>
      <c r="AM1377">
        <v>83.510170903270307</v>
      </c>
      <c r="AN1377">
        <v>1.0000000048181701</v>
      </c>
    </row>
    <row r="1378" spans="1:40" x14ac:dyDescent="0.25">
      <c r="A1378" t="str">
        <f>"20190303170523813"</f>
        <v>20190303170523813</v>
      </c>
      <c r="B1378" t="str">
        <f>"1551603923805879"</f>
        <v>1551603923805879</v>
      </c>
      <c r="C1378" t="s">
        <v>40</v>
      </c>
      <c r="D1378">
        <v>5.3202550000000004</v>
      </c>
      <c r="E1378">
        <v>0.56779860000000004</v>
      </c>
      <c r="F1378" t="s">
        <v>52</v>
      </c>
      <c r="G1378">
        <v>-201.3066</v>
      </c>
      <c r="H1378" s="1">
        <v>2.9379790000000001E-6</v>
      </c>
      <c r="I1378">
        <v>282.99720000000002</v>
      </c>
      <c r="J1378">
        <v>-191.8116</v>
      </c>
      <c r="K1378">
        <v>1.1190180000000001</v>
      </c>
      <c r="L1378">
        <v>316.02030000000002</v>
      </c>
      <c r="M1378">
        <v>-5.1506030000000001E-3</v>
      </c>
      <c r="N1378">
        <v>-1.1196609999999999E-2</v>
      </c>
      <c r="O1378">
        <v>-0.99992420000000004</v>
      </c>
      <c r="P1378">
        <v>-0.116052</v>
      </c>
      <c r="Q1378">
        <v>0.18075820000000001</v>
      </c>
      <c r="R1378">
        <v>-0.976657</v>
      </c>
      <c r="S1378">
        <v>-0.85264589999999996</v>
      </c>
      <c r="T1378">
        <v>-0.1004512</v>
      </c>
      <c r="U1378">
        <v>-2.9909970000000001</v>
      </c>
      <c r="V1378">
        <v>0.1119593</v>
      </c>
      <c r="W1378">
        <v>0.19114149999999999</v>
      </c>
      <c r="X1378">
        <v>0.97515640000000003</v>
      </c>
      <c r="Y1378">
        <v>0.26906639999999998</v>
      </c>
      <c r="Z1378">
        <v>2.11188E-2</v>
      </c>
      <c r="AA1378">
        <v>0.96289009999999997</v>
      </c>
      <c r="AB1378">
        <v>30</v>
      </c>
      <c r="AC1378">
        <v>-9.4949999999999992</v>
      </c>
      <c r="AD1378">
        <v>-1.119015062021</v>
      </c>
      <c r="AE1378">
        <v>-33.023099999999999</v>
      </c>
      <c r="AF1378">
        <v>9.3148954187217399</v>
      </c>
      <c r="AG1378">
        <v>-1.119015062021</v>
      </c>
      <c r="AH1378">
        <v>33.0365323698867</v>
      </c>
      <c r="AI1378">
        <v>91.867235087536798</v>
      </c>
      <c r="AJ1378">
        <v>74.253808079902399</v>
      </c>
      <c r="AK1378">
        <v>34.3428586812066</v>
      </c>
      <c r="AL1378">
        <v>78.980591465135007</v>
      </c>
      <c r="AM1378">
        <v>83.450455517000407</v>
      </c>
      <c r="AN1378">
        <v>0.99999998116984901</v>
      </c>
    </row>
    <row r="1379" spans="1:40" x14ac:dyDescent="0.25">
      <c r="A1379" t="str">
        <f>"20190303170523838"</f>
        <v>20190303170523838</v>
      </c>
      <c r="B1379" t="str">
        <f>"1551603923826376"</f>
        <v>1551603923826376</v>
      </c>
      <c r="C1379" t="s">
        <v>40</v>
      </c>
      <c r="D1379">
        <v>5.2989369999999996</v>
      </c>
      <c r="E1379">
        <v>0.56787310000000002</v>
      </c>
      <c r="F1379" t="s">
        <v>52</v>
      </c>
      <c r="G1379">
        <v>-201.3954</v>
      </c>
      <c r="H1379" s="1">
        <v>2.9866439999999999E-6</v>
      </c>
      <c r="I1379">
        <v>282.89100000000002</v>
      </c>
      <c r="J1379">
        <v>-191.81620000000001</v>
      </c>
      <c r="K1379">
        <v>1.118995</v>
      </c>
      <c r="L1379">
        <v>315.69529999999997</v>
      </c>
      <c r="M1379">
        <v>-7.8806669999999992E-3</v>
      </c>
      <c r="N1379">
        <v>-1.1289810000000001E-2</v>
      </c>
      <c r="O1379">
        <v>-0.9999053</v>
      </c>
      <c r="P1379">
        <v>-0.120182399999999</v>
      </c>
      <c r="Q1379">
        <v>0.1802261</v>
      </c>
      <c r="R1379">
        <v>-0.97625569999999895</v>
      </c>
      <c r="S1379">
        <v>-0.86430359999999995</v>
      </c>
      <c r="T1379">
        <v>-0.10091609999999999</v>
      </c>
      <c r="U1379">
        <v>-2.9877009999999999</v>
      </c>
      <c r="V1379">
        <v>0.11343250000000001</v>
      </c>
      <c r="W1379">
        <v>0.1906861</v>
      </c>
      <c r="X1379">
        <v>0.97507529999999998</v>
      </c>
      <c r="Y1379">
        <v>0.27018560000000003</v>
      </c>
      <c r="Z1379">
        <v>2.1190750000000001E-2</v>
      </c>
      <c r="AA1379">
        <v>0.96257499999999996</v>
      </c>
      <c r="AB1379">
        <v>30</v>
      </c>
      <c r="AC1379">
        <v>-9.5791999999999806</v>
      </c>
      <c r="AD1379">
        <v>-1.1189920133560001</v>
      </c>
      <c r="AE1379">
        <v>-32.804299999999998</v>
      </c>
      <c r="AF1379">
        <v>9.3103841748530893</v>
      </c>
      <c r="AG1379">
        <v>-1.1189920133560001</v>
      </c>
      <c r="AH1379">
        <v>32.843563343397797</v>
      </c>
      <c r="AI1379">
        <v>91.877413029019394</v>
      </c>
      <c r="AJ1379">
        <v>74.173203712524995</v>
      </c>
      <c r="AK1379">
        <v>34.156039725077797</v>
      </c>
      <c r="AL1379">
        <v>79.007172876145802</v>
      </c>
      <c r="AM1379">
        <v>83.3644908507476</v>
      </c>
      <c r="AN1379">
        <v>0.99999998072977403</v>
      </c>
    </row>
    <row r="1380" spans="1:40" x14ac:dyDescent="0.25">
      <c r="A1380" t="str">
        <f>"20190303170523859"</f>
        <v>20190303170523859</v>
      </c>
      <c r="B1380" t="str">
        <f>"1551603923845895"</f>
        <v>1551603923845895</v>
      </c>
      <c r="C1380" t="s">
        <v>40</v>
      </c>
      <c r="D1380">
        <v>5.3031949999999997</v>
      </c>
      <c r="E1380">
        <v>0.56792640000000005</v>
      </c>
      <c r="F1380" t="s">
        <v>52</v>
      </c>
      <c r="G1380">
        <v>-201.4051</v>
      </c>
      <c r="H1380" s="1">
        <v>2.9742159999999998E-6</v>
      </c>
      <c r="I1380">
        <v>283.0822</v>
      </c>
      <c r="J1380">
        <v>-191.821</v>
      </c>
      <c r="K1380">
        <v>1.118978</v>
      </c>
      <c r="L1380">
        <v>315.4083</v>
      </c>
      <c r="M1380">
        <v>-1.0313950000000001E-2</v>
      </c>
      <c r="N1380">
        <v>-1.136319E-2</v>
      </c>
      <c r="O1380">
        <v>-0.99988259999999995</v>
      </c>
      <c r="P1380">
        <v>-0.124414</v>
      </c>
      <c r="Q1380">
        <v>0.18011930000000001</v>
      </c>
      <c r="R1380">
        <v>-0.97574539999999998</v>
      </c>
      <c r="S1380">
        <v>-0.87731930000000002</v>
      </c>
      <c r="T1380">
        <v>-0.1023796</v>
      </c>
      <c r="U1380">
        <v>-2.9838559999999998</v>
      </c>
      <c r="V1380">
        <v>0.1152992</v>
      </c>
      <c r="W1380">
        <v>0.19063459999999999</v>
      </c>
      <c r="X1380">
        <v>0.97486640000000002</v>
      </c>
      <c r="Y1380">
        <v>0.27203840000000001</v>
      </c>
      <c r="Z1380">
        <v>2.1603190000000001E-2</v>
      </c>
      <c r="AA1380">
        <v>0.96204389999999995</v>
      </c>
      <c r="AB1380">
        <v>30</v>
      </c>
      <c r="AC1380">
        <v>-9.5840999999999994</v>
      </c>
      <c r="AD1380">
        <v>-1.1189750257840001</v>
      </c>
      <c r="AE1380">
        <v>-32.326099999999997</v>
      </c>
      <c r="AF1380">
        <v>9.2399820615174004</v>
      </c>
      <c r="AG1380">
        <v>-1.1189750257840001</v>
      </c>
      <c r="AH1380">
        <v>32.387564997081597</v>
      </c>
      <c r="AI1380">
        <v>91.902888253338105</v>
      </c>
      <c r="AJ1380">
        <v>74.076863067694404</v>
      </c>
      <c r="AK1380">
        <v>33.698423405935102</v>
      </c>
      <c r="AL1380">
        <v>79.010178707356303</v>
      </c>
      <c r="AM1380">
        <v>83.254859618097697</v>
      </c>
      <c r="AN1380">
        <v>0.99999997704337895</v>
      </c>
    </row>
    <row r="1381" spans="1:40" x14ac:dyDescent="0.25">
      <c r="A1381" t="str">
        <f>"20190303170523880"</f>
        <v>20190303170523880</v>
      </c>
      <c r="B1381" t="str">
        <f>"1551603923866393"</f>
        <v>1551603923866393</v>
      </c>
      <c r="C1381" t="s">
        <v>40</v>
      </c>
      <c r="D1381">
        <v>5.3108950000000004</v>
      </c>
      <c r="E1381">
        <v>0.56800240000000002</v>
      </c>
      <c r="F1381" t="s">
        <v>52</v>
      </c>
      <c r="G1381">
        <v>-201.4957</v>
      </c>
      <c r="H1381" s="1">
        <v>3.0188409999999999E-6</v>
      </c>
      <c r="I1381">
        <v>283.03109999999998</v>
      </c>
      <c r="J1381">
        <v>-191.82650000000001</v>
      </c>
      <c r="K1381">
        <v>1.118978</v>
      </c>
      <c r="L1381">
        <v>315.12299999999999</v>
      </c>
      <c r="M1381">
        <v>-1.274958E-2</v>
      </c>
      <c r="N1381">
        <v>-1.142813E-2</v>
      </c>
      <c r="O1381">
        <v>-0.9998534</v>
      </c>
      <c r="P1381">
        <v>-0.1281738</v>
      </c>
      <c r="Q1381">
        <v>0.1803584</v>
      </c>
      <c r="R1381">
        <v>-0.97521400000000003</v>
      </c>
      <c r="S1381">
        <v>-0.89047240000000005</v>
      </c>
      <c r="T1381">
        <v>-0.102991899999999</v>
      </c>
      <c r="U1381">
        <v>-2.9800420000000001</v>
      </c>
      <c r="V1381">
        <v>0.1166944</v>
      </c>
      <c r="W1381">
        <v>0.19092249999999999</v>
      </c>
      <c r="X1381">
        <v>0.97464410000000001</v>
      </c>
      <c r="Y1381">
        <v>0.2739277</v>
      </c>
      <c r="Z1381">
        <v>2.174939E-2</v>
      </c>
      <c r="AA1381">
        <v>0.96150429999999998</v>
      </c>
      <c r="AB1381">
        <v>30</v>
      </c>
      <c r="AC1381">
        <v>-9.6691999999999894</v>
      </c>
      <c r="AD1381">
        <v>-1.118974981159</v>
      </c>
      <c r="AE1381">
        <v>-32.091900000000003</v>
      </c>
      <c r="AF1381">
        <v>9.2489203233269208</v>
      </c>
      <c r="AG1381">
        <v>-1.118974981159</v>
      </c>
      <c r="AH1381">
        <v>32.176713903075502</v>
      </c>
      <c r="AI1381">
        <v>91.914260981647999</v>
      </c>
      <c r="AJ1381">
        <v>73.963156902512296</v>
      </c>
      <c r="AK1381">
        <v>33.498291743849897</v>
      </c>
      <c r="AL1381">
        <v>78.993375457451506</v>
      </c>
      <c r="AM1381">
        <v>83.172462151925302</v>
      </c>
      <c r="AN1381">
        <v>1.0000000528312001</v>
      </c>
    </row>
    <row r="1382" spans="1:40" x14ac:dyDescent="0.25">
      <c r="A1382" t="str">
        <f>"20190303170523901"</f>
        <v>20190303170523901</v>
      </c>
      <c r="B1382" t="str">
        <f>"1551603923895672"</f>
        <v>1551603923895672</v>
      </c>
      <c r="C1382" t="s">
        <v>40</v>
      </c>
      <c r="D1382">
        <v>5.3304369999999999</v>
      </c>
      <c r="E1382">
        <v>0.56808610000000004</v>
      </c>
      <c r="F1382" t="s">
        <v>52</v>
      </c>
      <c r="G1382">
        <v>-201.75389999999999</v>
      </c>
      <c r="H1382" s="1">
        <v>3.188468E-6</v>
      </c>
      <c r="I1382">
        <v>282.40050000000002</v>
      </c>
      <c r="J1382">
        <v>-191.83260000000001</v>
      </c>
      <c r="K1382">
        <v>1.1189739999999999</v>
      </c>
      <c r="L1382">
        <v>314.84190000000001</v>
      </c>
      <c r="M1382">
        <v>-1.5162810000000001E-2</v>
      </c>
      <c r="N1382">
        <v>-1.148505E-2</v>
      </c>
      <c r="O1382">
        <v>-0.99981909999999896</v>
      </c>
      <c r="P1382">
        <v>-0.12999140000000001</v>
      </c>
      <c r="Q1382">
        <v>0.17992139999999901</v>
      </c>
      <c r="R1382">
        <v>-0.97505430000000004</v>
      </c>
      <c r="S1382">
        <v>-0.90298460000000003</v>
      </c>
      <c r="T1382">
        <v>-0.10178089999999999</v>
      </c>
      <c r="U1382">
        <v>-2.97641</v>
      </c>
      <c r="V1382">
        <v>0.1161609</v>
      </c>
      <c r="W1382">
        <v>0.1905415</v>
      </c>
      <c r="X1382">
        <v>0.97478229999999999</v>
      </c>
      <c r="Y1382">
        <v>0.27563589999999999</v>
      </c>
      <c r="Z1382">
        <v>2.131649E-2</v>
      </c>
      <c r="AA1382">
        <v>0.96102569999999998</v>
      </c>
      <c r="AB1382">
        <v>30</v>
      </c>
      <c r="AC1382">
        <v>-9.9212999999999703</v>
      </c>
      <c r="AD1382">
        <v>-1.1189708115319901</v>
      </c>
      <c r="AE1382">
        <v>-32.441399999999902</v>
      </c>
      <c r="AF1382">
        <v>9.4179777747305096</v>
      </c>
      <c r="AG1382">
        <v>-1.1189708115319901</v>
      </c>
      <c r="AH1382">
        <v>32.552698991960597</v>
      </c>
      <c r="AI1382">
        <v>91.891217481981897</v>
      </c>
      <c r="AJ1382">
        <v>73.864060843558406</v>
      </c>
      <c r="AK1382">
        <v>33.906173666510597</v>
      </c>
      <c r="AL1382">
        <v>79.015612525222195</v>
      </c>
      <c r="AM1382">
        <v>83.204338011627399</v>
      </c>
      <c r="AN1382">
        <v>0.99999997515217398</v>
      </c>
    </row>
    <row r="1383" spans="1:40" x14ac:dyDescent="0.25">
      <c r="A1383" t="str">
        <f>"20190303170523925"</f>
        <v>20190303170523925</v>
      </c>
      <c r="B1383" t="str">
        <f>"1551603923916168"</f>
        <v>1551603923916168</v>
      </c>
      <c r="C1383" t="s">
        <v>40</v>
      </c>
      <c r="D1383">
        <v>5.3313249999999996</v>
      </c>
      <c r="E1383">
        <v>0.56810799999999995</v>
      </c>
      <c r="F1383" t="s">
        <v>52</v>
      </c>
      <c r="G1383">
        <v>-201.76079999999999</v>
      </c>
      <c r="H1383" s="1">
        <v>3.1927879999999998E-6</v>
      </c>
      <c r="I1383">
        <v>282.38630000000001</v>
      </c>
      <c r="J1383">
        <v>-191.84049999999999</v>
      </c>
      <c r="K1383">
        <v>1.118965</v>
      </c>
      <c r="L1383">
        <v>314.5197</v>
      </c>
      <c r="M1383">
        <v>-1.7941990000000001E-2</v>
      </c>
      <c r="N1383">
        <v>-1.1542230000000001E-2</v>
      </c>
      <c r="O1383">
        <v>-0.99977249999999995</v>
      </c>
      <c r="P1383">
        <v>-0.133248799999999</v>
      </c>
      <c r="Q1383">
        <v>0.17969309999999999</v>
      </c>
      <c r="R1383">
        <v>-0.97465650000000004</v>
      </c>
      <c r="S1383">
        <v>-0.90985110000000002</v>
      </c>
      <c r="T1383">
        <v>-0.102546</v>
      </c>
      <c r="U1383">
        <v>-2.974335</v>
      </c>
      <c r="V1383">
        <v>0.1167139</v>
      </c>
      <c r="W1383">
        <v>0.19036259999999999</v>
      </c>
      <c r="X1383">
        <v>0.97475120000000004</v>
      </c>
      <c r="Y1383">
        <v>0.27517829999999999</v>
      </c>
      <c r="Z1383">
        <v>2.1521640000000002E-2</v>
      </c>
      <c r="AA1383">
        <v>0.96115229999999996</v>
      </c>
      <c r="AB1383">
        <v>30</v>
      </c>
      <c r="AC1383">
        <v>-9.9202999999999903</v>
      </c>
      <c r="AD1383">
        <v>-1.118961807212</v>
      </c>
      <c r="AE1383">
        <v>-32.133399999999902</v>
      </c>
      <c r="AF1383">
        <v>9.3317963416334706</v>
      </c>
      <c r="AG1383">
        <v>-1.118961807212</v>
      </c>
      <c r="AH1383">
        <v>32.270502412608899</v>
      </c>
      <c r="AI1383">
        <v>91.907799696085803</v>
      </c>
      <c r="AJ1383">
        <v>73.871495600764604</v>
      </c>
      <c r="AK1383">
        <v>33.611305009623102</v>
      </c>
      <c r="AL1383">
        <v>79.026053884028002</v>
      </c>
      <c r="AM1383">
        <v>83.172075232037898</v>
      </c>
      <c r="AN1383">
        <v>0.99999997791670403</v>
      </c>
    </row>
    <row r="1384" spans="1:40" x14ac:dyDescent="0.25">
      <c r="A1384" t="str">
        <f>"20190303170523947"</f>
        <v>20190303170523947</v>
      </c>
      <c r="B1384" t="str">
        <f>"1551603923935688"</f>
        <v>1551603923935688</v>
      </c>
      <c r="C1384" t="s">
        <v>40</v>
      </c>
      <c r="D1384">
        <v>5.3310250000000003</v>
      </c>
      <c r="E1384">
        <v>0.56813740000000001</v>
      </c>
      <c r="F1384" t="s">
        <v>52</v>
      </c>
      <c r="G1384">
        <v>-201.8586</v>
      </c>
      <c r="H1384" s="1">
        <v>3.2528579999999999E-6</v>
      </c>
      <c r="I1384">
        <v>282.19540000000001</v>
      </c>
      <c r="J1384">
        <v>-191.8486</v>
      </c>
      <c r="K1384">
        <v>1.1189530000000001</v>
      </c>
      <c r="L1384">
        <v>314.22219999999999</v>
      </c>
      <c r="M1384">
        <v>-2.05176E-2</v>
      </c>
      <c r="N1384">
        <v>-1.1588330000000001E-2</v>
      </c>
      <c r="O1384">
        <v>-0.99972240000000001</v>
      </c>
      <c r="P1384">
        <v>-0.1371021</v>
      </c>
      <c r="Q1384">
        <v>0.17928269999999999</v>
      </c>
      <c r="R1384">
        <v>-0.9741976</v>
      </c>
      <c r="S1384">
        <v>-0.92082209999999998</v>
      </c>
      <c r="T1384">
        <v>-0.1028496</v>
      </c>
      <c r="U1384">
        <v>-2.9710999999999999</v>
      </c>
      <c r="V1384">
        <v>0.1180606</v>
      </c>
      <c r="W1384">
        <v>0.18998670000000001</v>
      </c>
      <c r="X1384">
        <v>0.97466240000000004</v>
      </c>
      <c r="Y1384">
        <v>0.27623429999999999</v>
      </c>
      <c r="Z1384">
        <v>2.1587510000000001E-2</v>
      </c>
      <c r="AA1384">
        <v>0.96084789999999998</v>
      </c>
      <c r="AB1384">
        <v>30</v>
      </c>
      <c r="AC1384">
        <v>-10.0099999999999</v>
      </c>
      <c r="AD1384">
        <v>-1.118949747142</v>
      </c>
      <c r="AE1384">
        <v>-32.026799999999902</v>
      </c>
      <c r="AF1384">
        <v>9.3403486627817802</v>
      </c>
      <c r="AG1384">
        <v>-1.118949747142</v>
      </c>
      <c r="AH1384">
        <v>32.1896563941525</v>
      </c>
      <c r="AI1384">
        <v>91.912060509588301</v>
      </c>
      <c r="AJ1384">
        <v>73.819060184122705</v>
      </c>
      <c r="AK1384">
        <v>33.536072227566599</v>
      </c>
      <c r="AL1384">
        <v>79.047992224459094</v>
      </c>
      <c r="AM1384">
        <v>83.093424856817293</v>
      </c>
      <c r="AN1384">
        <v>1.0000000227115</v>
      </c>
    </row>
    <row r="1385" spans="1:40" x14ac:dyDescent="0.25">
      <c r="A1385" t="str">
        <f>"20190303170523968"</f>
        <v>20190303170523968</v>
      </c>
      <c r="B1385" t="str">
        <f>"1551603923956184"</f>
        <v>1551603923956184</v>
      </c>
      <c r="C1385" t="s">
        <v>40</v>
      </c>
      <c r="D1385">
        <v>5.29359</v>
      </c>
      <c r="E1385">
        <v>0.56816279999999997</v>
      </c>
      <c r="F1385" t="s">
        <v>52</v>
      </c>
      <c r="G1385">
        <v>-201.7713</v>
      </c>
      <c r="H1385" s="1">
        <v>3.1779539999999999E-6</v>
      </c>
      <c r="I1385">
        <v>282.60899999999998</v>
      </c>
      <c r="J1385">
        <v>-191.85730000000001</v>
      </c>
      <c r="K1385">
        <v>1.1189519999999999</v>
      </c>
      <c r="L1385">
        <v>313.92849999999999</v>
      </c>
      <c r="M1385">
        <v>-2.3064540000000001E-2</v>
      </c>
      <c r="N1385">
        <v>-1.1628019999999999E-2</v>
      </c>
      <c r="O1385">
        <v>-0.99966659999999996</v>
      </c>
      <c r="P1385">
        <v>-0.139822</v>
      </c>
      <c r="Q1385">
        <v>0.17915970000000001</v>
      </c>
      <c r="R1385">
        <v>-0.97383379999999997</v>
      </c>
      <c r="S1385">
        <v>-0.93150330000000003</v>
      </c>
      <c r="T1385">
        <v>-0.1050425</v>
      </c>
      <c r="U1385">
        <v>-2.9677120000000001</v>
      </c>
      <c r="V1385">
        <v>0.1183013</v>
      </c>
      <c r="W1385">
        <v>0.18989909999999999</v>
      </c>
      <c r="X1385">
        <v>0.97465029999999997</v>
      </c>
      <c r="Y1385">
        <v>0.27724100000000002</v>
      </c>
      <c r="Z1385">
        <v>2.2270069999999999E-2</v>
      </c>
      <c r="AA1385">
        <v>0.96054229999999996</v>
      </c>
      <c r="AB1385">
        <v>30</v>
      </c>
      <c r="AC1385">
        <v>-9.9139999999999802</v>
      </c>
      <c r="AD1385">
        <v>-1.118948822046</v>
      </c>
      <c r="AE1385">
        <v>-31.319499999999898</v>
      </c>
      <c r="AF1385">
        <v>9.1782954592973205</v>
      </c>
      <c r="AG1385">
        <v>-1.118948822046</v>
      </c>
      <c r="AH1385">
        <v>31.503295490837999</v>
      </c>
      <c r="AI1385">
        <v>91.953068603425095</v>
      </c>
      <c r="AJ1385">
        <v>73.756835902209602</v>
      </c>
      <c r="AK1385">
        <v>32.832160769397603</v>
      </c>
      <c r="AL1385">
        <v>79.053104554190099</v>
      </c>
      <c r="AM1385">
        <v>83.079395180718393</v>
      </c>
      <c r="AN1385">
        <v>1.00000003652629</v>
      </c>
    </row>
    <row r="1386" spans="1:40" x14ac:dyDescent="0.25">
      <c r="A1386" t="str">
        <f>"20190303170523992"</f>
        <v>20190303170523992</v>
      </c>
      <c r="B1386" t="str">
        <f>"1551603923986440"</f>
        <v>1551603923986440</v>
      </c>
      <c r="C1386" t="s">
        <v>40</v>
      </c>
      <c r="D1386">
        <v>5.3536469999999996</v>
      </c>
      <c r="E1386">
        <v>0.56821390000000005</v>
      </c>
      <c r="F1386" t="s">
        <v>52</v>
      </c>
      <c r="G1386">
        <v>-201.79169999999999</v>
      </c>
      <c r="H1386" s="1">
        <v>3.1894209999999999E-6</v>
      </c>
      <c r="I1386">
        <v>282.5813</v>
      </c>
      <c r="J1386">
        <v>-191.8672</v>
      </c>
      <c r="K1386">
        <v>1.118949</v>
      </c>
      <c r="L1386">
        <v>313.62200000000001</v>
      </c>
      <c r="M1386">
        <v>-2.5724210000000001E-2</v>
      </c>
      <c r="N1386">
        <v>-1.16642E-2</v>
      </c>
      <c r="O1386">
        <v>-0.99960099999999996</v>
      </c>
      <c r="P1386">
        <v>-0.1424126</v>
      </c>
      <c r="Q1386">
        <v>0.17926029999999901</v>
      </c>
      <c r="R1386">
        <v>-0.97343959999999996</v>
      </c>
      <c r="S1386">
        <v>-0.93969729999999996</v>
      </c>
      <c r="T1386">
        <v>-0.10584200000000001</v>
      </c>
      <c r="U1386">
        <v>-2.9651489999999998</v>
      </c>
      <c r="V1386">
        <v>0.11830450000000001</v>
      </c>
      <c r="W1386">
        <v>0.19003400000000001</v>
      </c>
      <c r="X1386">
        <v>0.97462360000000003</v>
      </c>
      <c r="Y1386">
        <v>0.27733360000000001</v>
      </c>
      <c r="Z1386">
        <v>2.2507050000000001E-2</v>
      </c>
      <c r="AA1386">
        <v>0.96050999999999997</v>
      </c>
      <c r="AB1386">
        <v>30</v>
      </c>
      <c r="AC1386">
        <v>-9.9244999999999894</v>
      </c>
      <c r="AD1386">
        <v>-1.118945810579</v>
      </c>
      <c r="AE1386">
        <v>-31.040700000000001</v>
      </c>
      <c r="AF1386">
        <v>9.1119212388669393</v>
      </c>
      <c r="AG1386">
        <v>-1.118945810579</v>
      </c>
      <c r="AH1386">
        <v>31.2489038182804</v>
      </c>
      <c r="AI1386">
        <v>91.9688194937535</v>
      </c>
      <c r="AJ1386">
        <v>73.743753470848205</v>
      </c>
      <c r="AK1386">
        <v>32.569512404002403</v>
      </c>
      <c r="AL1386">
        <v>79.045231802175493</v>
      </c>
      <c r="AM1386">
        <v>83.079022039349695</v>
      </c>
      <c r="AN1386">
        <v>1.0000000187766001</v>
      </c>
    </row>
    <row r="1387" spans="1:40" x14ac:dyDescent="0.25">
      <c r="A1387" t="str">
        <f>"20190303170524014"</f>
        <v>20190303170524014</v>
      </c>
      <c r="B1387" t="str">
        <f>"1551603924005960"</f>
        <v>1551603924005960</v>
      </c>
      <c r="C1387" t="s">
        <v>40</v>
      </c>
      <c r="D1387">
        <v>5.3306139999999997</v>
      </c>
      <c r="E1387">
        <v>0.56826509999999997</v>
      </c>
      <c r="F1387" t="s">
        <v>52</v>
      </c>
      <c r="G1387">
        <v>-201.88810000000001</v>
      </c>
      <c r="H1387" s="1">
        <v>3.2554179999999999E-6</v>
      </c>
      <c r="I1387">
        <v>282.31580000000002</v>
      </c>
      <c r="J1387">
        <v>-191.87790000000001</v>
      </c>
      <c r="K1387">
        <v>1.118932</v>
      </c>
      <c r="L1387">
        <v>313.31529999999998</v>
      </c>
      <c r="M1387">
        <v>-2.8386580000000002E-2</v>
      </c>
      <c r="N1387">
        <v>-1.16956E-2</v>
      </c>
      <c r="O1387">
        <v>-0.99952870000000005</v>
      </c>
      <c r="P1387">
        <v>-0.14582909999999999</v>
      </c>
      <c r="Q1387">
        <v>0.17872569999999999</v>
      </c>
      <c r="R1387">
        <v>-0.97303220000000001</v>
      </c>
      <c r="S1387">
        <v>-0.94831849999999995</v>
      </c>
      <c r="T1387">
        <v>-0.1058899</v>
      </c>
      <c r="U1387">
        <v>-2.9626160000000001</v>
      </c>
      <c r="V1387">
        <v>0.1191276</v>
      </c>
      <c r="W1387">
        <v>0.18952459999999999</v>
      </c>
      <c r="X1387">
        <v>0.97462249999999995</v>
      </c>
      <c r="Y1387">
        <v>0.27754839999999997</v>
      </c>
      <c r="Z1387">
        <v>2.250475E-2</v>
      </c>
      <c r="AA1387">
        <v>0.96044799999999997</v>
      </c>
      <c r="AB1387">
        <v>30</v>
      </c>
      <c r="AC1387">
        <v>-10.0101999999999</v>
      </c>
      <c r="AD1387">
        <v>-1.118928744582</v>
      </c>
      <c r="AE1387">
        <v>-30.999499999999902</v>
      </c>
      <c r="AF1387">
        <v>9.1153810708470093</v>
      </c>
      <c r="AG1387">
        <v>-1.118928744582</v>
      </c>
      <c r="AH1387">
        <v>31.234329729164401</v>
      </c>
      <c r="AI1387">
        <v>91.969576816402196</v>
      </c>
      <c r="AJ1387">
        <v>73.730720342283107</v>
      </c>
      <c r="AK1387">
        <v>32.556497465672997</v>
      </c>
      <c r="AL1387">
        <v>79.074958164951497</v>
      </c>
      <c r="AM1387">
        <v>83.031333618874697</v>
      </c>
      <c r="AN1387">
        <v>0.99999998829658399</v>
      </c>
    </row>
    <row r="1388" spans="1:40" x14ac:dyDescent="0.25">
      <c r="A1388" t="str">
        <f>"20190303170524060"</f>
        <v>20190303170524060</v>
      </c>
      <c r="B1388" t="str">
        <f>"1551603924055736"</f>
        <v>1551603924055736</v>
      </c>
      <c r="C1388" t="s">
        <v>40</v>
      </c>
      <c r="D1388">
        <v>5.3448099999999998</v>
      </c>
      <c r="E1388">
        <v>0.56844220000000001</v>
      </c>
      <c r="F1388" t="s">
        <v>52</v>
      </c>
      <c r="G1388">
        <v>-201.7698</v>
      </c>
      <c r="H1388" s="1">
        <v>3.1637049999999998E-6</v>
      </c>
      <c r="I1388">
        <v>282.7645</v>
      </c>
      <c r="J1388">
        <v>-191.90180000000001</v>
      </c>
      <c r="K1388">
        <v>1.11893</v>
      </c>
      <c r="L1388">
        <v>312.70170000000002</v>
      </c>
      <c r="M1388">
        <v>-3.3712190000000003E-2</v>
      </c>
      <c r="N1388">
        <v>-1.1746629999999999E-2</v>
      </c>
      <c r="O1388">
        <v>-0.99936270000000005</v>
      </c>
      <c r="P1388">
        <v>-0.15216389999999999</v>
      </c>
      <c r="Q1388">
        <v>0.17729610000000001</v>
      </c>
      <c r="R1388">
        <v>-0.97232339999999995</v>
      </c>
      <c r="S1388">
        <v>-0.9582214</v>
      </c>
      <c r="T1388">
        <v>-0.10839029999999999</v>
      </c>
      <c r="U1388">
        <v>-2.9594420000000001</v>
      </c>
      <c r="V1388">
        <v>0.1202709</v>
      </c>
      <c r="W1388">
        <v>0.1881391</v>
      </c>
      <c r="X1388">
        <v>0.97475049999999996</v>
      </c>
      <c r="Y1388">
        <v>0.27563290000000001</v>
      </c>
      <c r="Z1388">
        <v>2.3289069999999999E-2</v>
      </c>
      <c r="AA1388">
        <v>0.96098079999999997</v>
      </c>
      <c r="AB1388">
        <v>30</v>
      </c>
      <c r="AC1388">
        <v>-9.8679999999999897</v>
      </c>
      <c r="AD1388">
        <v>-1.118926836295</v>
      </c>
      <c r="AE1388">
        <v>-29.937200000000001</v>
      </c>
      <c r="AF1388">
        <v>8.8419307967586693</v>
      </c>
      <c r="AG1388">
        <v>-1.118926836295</v>
      </c>
      <c r="AH1388">
        <v>30.214803621308</v>
      </c>
      <c r="AI1388">
        <v>92.035540395772401</v>
      </c>
      <c r="AJ1388">
        <v>73.688638968756607</v>
      </c>
      <c r="AK1388">
        <v>31.501842729495301</v>
      </c>
      <c r="AL1388">
        <v>79.155795631028496</v>
      </c>
      <c r="AM1388">
        <v>82.966034970298793</v>
      </c>
      <c r="AN1388">
        <v>0.99999997379293404</v>
      </c>
    </row>
    <row r="1389" spans="1:40" x14ac:dyDescent="0.25">
      <c r="A1389" t="str">
        <f>"20190303170524081"</f>
        <v>20190303170524081</v>
      </c>
      <c r="B1389" t="str">
        <f>"1551603924065496"</f>
        <v>1551603924065496</v>
      </c>
      <c r="C1389" t="s">
        <v>40</v>
      </c>
      <c r="D1389">
        <v>5.3549559999999996</v>
      </c>
      <c r="E1389">
        <v>0.56846049999999904</v>
      </c>
      <c r="F1389" t="s">
        <v>52</v>
      </c>
      <c r="G1389">
        <v>-201.5155</v>
      </c>
      <c r="H1389" s="1">
        <v>2.970149E-6</v>
      </c>
      <c r="I1389">
        <v>283.68880000000001</v>
      </c>
      <c r="J1389">
        <v>-191.91380000000001</v>
      </c>
      <c r="K1389">
        <v>1.118932</v>
      </c>
      <c r="L1389">
        <v>312.42200000000003</v>
      </c>
      <c r="M1389">
        <v>-3.6141619999999999E-2</v>
      </c>
      <c r="N1389">
        <v>-1.176545E-2</v>
      </c>
      <c r="O1389">
        <v>-0.99927739999999998</v>
      </c>
      <c r="P1389">
        <v>-0.15448919999999999</v>
      </c>
      <c r="Q1389">
        <v>0.1779849</v>
      </c>
      <c r="R1389">
        <v>-0.97183050000000004</v>
      </c>
      <c r="S1389">
        <v>-0.97851560000000004</v>
      </c>
      <c r="T1389">
        <v>-0.1138883</v>
      </c>
      <c r="U1389">
        <v>-2.953033</v>
      </c>
      <c r="V1389">
        <v>0.1202421</v>
      </c>
      <c r="W1389">
        <v>0.1888447</v>
      </c>
      <c r="X1389">
        <v>0.97461759999999997</v>
      </c>
      <c r="Y1389">
        <v>0.27984989999999998</v>
      </c>
      <c r="Z1389">
        <v>2.5058049999999998E-2</v>
      </c>
      <c r="AA1389">
        <v>0.95971669999999998</v>
      </c>
      <c r="AB1389">
        <v>30</v>
      </c>
      <c r="AC1389">
        <v>-9.6016999999999904</v>
      </c>
      <c r="AD1389">
        <v>-1.118929029851</v>
      </c>
      <c r="AE1389">
        <v>-28.7332</v>
      </c>
      <c r="AF1389">
        <v>8.5452328578348595</v>
      </c>
      <c r="AG1389">
        <v>-1.118929029851</v>
      </c>
      <c r="AH1389">
        <v>29.021880205102502</v>
      </c>
      <c r="AI1389">
        <v>92.118106462909097</v>
      </c>
      <c r="AJ1389">
        <v>73.593406865552595</v>
      </c>
      <c r="AK1389">
        <v>30.274453544329798</v>
      </c>
      <c r="AL1389">
        <v>79.114629830119696</v>
      </c>
      <c r="AM1389">
        <v>82.966753123741299</v>
      </c>
      <c r="AN1389">
        <v>0.99999997478012903</v>
      </c>
    </row>
    <row r="1390" spans="1:40" x14ac:dyDescent="0.25">
      <c r="A1390" t="str">
        <f>"20190303170524103"</f>
        <v>20190303170524103</v>
      </c>
      <c r="B1390" t="str">
        <f>"1551603924095752"</f>
        <v>1551603924095752</v>
      </c>
      <c r="C1390" t="s">
        <v>40</v>
      </c>
      <c r="D1390">
        <v>5.3398289999999999</v>
      </c>
      <c r="E1390">
        <v>0.56854539999999998</v>
      </c>
      <c r="F1390" t="s">
        <v>52</v>
      </c>
      <c r="G1390">
        <v>-201.8595</v>
      </c>
      <c r="H1390" s="1">
        <v>3.2114389999999999E-6</v>
      </c>
      <c r="I1390">
        <v>282.67340000000002</v>
      </c>
      <c r="J1390">
        <v>-191.92769999999999</v>
      </c>
      <c r="K1390">
        <v>1.1189340000000001</v>
      </c>
      <c r="L1390">
        <v>312.11579999999998</v>
      </c>
      <c r="M1390">
        <v>-3.881217E-2</v>
      </c>
      <c r="N1390">
        <v>-1.178357E-2</v>
      </c>
      <c r="O1390">
        <v>-0.99917730000000005</v>
      </c>
      <c r="P1390">
        <v>-0.15744179999999999</v>
      </c>
      <c r="Q1390">
        <v>0.1791053</v>
      </c>
      <c r="R1390">
        <v>-0.97115099999999999</v>
      </c>
      <c r="S1390">
        <v>-0.98641970000000001</v>
      </c>
      <c r="T1390">
        <v>-0.1109767</v>
      </c>
      <c r="U1390">
        <v>-2.9504999999999999</v>
      </c>
      <c r="V1390">
        <v>0.120617</v>
      </c>
      <c r="W1390">
        <v>0.18997549999999999</v>
      </c>
      <c r="X1390">
        <v>0.97435150000000004</v>
      </c>
      <c r="Y1390">
        <v>0.27985320000000002</v>
      </c>
      <c r="Z1390">
        <v>2.411603E-2</v>
      </c>
      <c r="AA1390">
        <v>0.95973989999999998</v>
      </c>
      <c r="AB1390">
        <v>30</v>
      </c>
      <c r="AC1390">
        <v>-9.9318000000000097</v>
      </c>
      <c r="AD1390">
        <v>-1.118930788561</v>
      </c>
      <c r="AE1390">
        <v>-29.4423999999999</v>
      </c>
      <c r="AF1390">
        <v>8.7701404292096292</v>
      </c>
      <c r="AG1390">
        <v>-1.118930788561</v>
      </c>
      <c r="AH1390">
        <v>29.7671136632495</v>
      </c>
      <c r="AI1390">
        <v>92.065025483461298</v>
      </c>
      <c r="AJ1390">
        <v>73.583700498012803</v>
      </c>
      <c r="AK1390">
        <v>31.052349751644599</v>
      </c>
      <c r="AL1390">
        <v>79.048645571699694</v>
      </c>
      <c r="AM1390">
        <v>82.943137652298503</v>
      </c>
      <c r="AN1390">
        <v>0.99999999842075005</v>
      </c>
    </row>
    <row r="1391" spans="1:40" x14ac:dyDescent="0.25">
      <c r="A1391" t="str">
        <f>"20190303170524126"</f>
        <v>20190303170524126</v>
      </c>
      <c r="B1391" t="str">
        <f>"1551603924116248"</f>
        <v>1551603924116248</v>
      </c>
      <c r="C1391" t="s">
        <v>40</v>
      </c>
      <c r="D1391">
        <v>5.3521700000000001</v>
      </c>
      <c r="E1391">
        <v>0.56860440000000001</v>
      </c>
      <c r="F1391" t="s">
        <v>52</v>
      </c>
      <c r="G1391">
        <v>-202.2706</v>
      </c>
      <c r="H1391" s="1">
        <v>3.4953199999999999E-6</v>
      </c>
      <c r="I1391">
        <v>281.51159999999999</v>
      </c>
      <c r="J1391">
        <v>-191.94229999999999</v>
      </c>
      <c r="K1391">
        <v>1.118922</v>
      </c>
      <c r="L1391">
        <v>311.81400000000002</v>
      </c>
      <c r="M1391">
        <v>-4.1467799999999999E-2</v>
      </c>
      <c r="N1391">
        <v>-1.179936E-2</v>
      </c>
      <c r="O1391">
        <v>-0.99907009999999996</v>
      </c>
      <c r="P1391">
        <v>-0.1600152</v>
      </c>
      <c r="Q1391">
        <v>0.17990719999999999</v>
      </c>
      <c r="R1391">
        <v>-0.97058169999999999</v>
      </c>
      <c r="S1391">
        <v>-0.99612429999999996</v>
      </c>
      <c r="T1391">
        <v>-0.1077646</v>
      </c>
      <c r="U1391">
        <v>-2.9475099999999999</v>
      </c>
      <c r="V1391">
        <v>0.120627</v>
      </c>
      <c r="W1391">
        <v>0.1907867</v>
      </c>
      <c r="X1391">
        <v>0.97419169999999999</v>
      </c>
      <c r="Y1391">
        <v>0.28044229999999998</v>
      </c>
      <c r="Z1391">
        <v>2.307735E-2</v>
      </c>
      <c r="AA1391">
        <v>0.95959340000000004</v>
      </c>
      <c r="AB1391">
        <v>30</v>
      </c>
      <c r="AC1391">
        <v>-10.3283</v>
      </c>
      <c r="AD1391">
        <v>-1.1189185046800001</v>
      </c>
      <c r="AE1391">
        <v>-30.302399999999999</v>
      </c>
      <c r="AF1391">
        <v>9.0516962452773999</v>
      </c>
      <c r="AG1391">
        <v>-1.1189185046800001</v>
      </c>
      <c r="AH1391">
        <v>30.667191672826299</v>
      </c>
      <c r="AI1391">
        <v>92.004155432966201</v>
      </c>
      <c r="AJ1391">
        <v>73.555562812933204</v>
      </c>
      <c r="AK1391">
        <v>31.994715636097599</v>
      </c>
      <c r="AL1391">
        <v>79.001300816095196</v>
      </c>
      <c r="AM1391">
        <v>82.941412508823703</v>
      </c>
      <c r="AN1391">
        <v>0.99999995318738899</v>
      </c>
    </row>
    <row r="1392" spans="1:40" x14ac:dyDescent="0.25">
      <c r="A1392" t="str">
        <f>"20190303170524147"</f>
        <v>20190303170524147</v>
      </c>
      <c r="B1392" t="str">
        <f>"1551603924135768"</f>
        <v>1551603924135768</v>
      </c>
      <c r="C1392" t="s">
        <v>40</v>
      </c>
      <c r="D1392">
        <v>5.3395409999999996</v>
      </c>
      <c r="E1392">
        <v>0.56864530000000002</v>
      </c>
      <c r="F1392" t="s">
        <v>52</v>
      </c>
      <c r="G1392">
        <v>-202.5575</v>
      </c>
      <c r="H1392" s="1">
        <v>3.694985E-6</v>
      </c>
      <c r="I1392">
        <v>280.6832</v>
      </c>
      <c r="J1392">
        <v>-191.9571</v>
      </c>
      <c r="K1392">
        <v>1.1189070000000001</v>
      </c>
      <c r="L1392">
        <v>311.52260000000001</v>
      </c>
      <c r="M1392">
        <v>-4.4051409999999999E-2</v>
      </c>
      <c r="N1392">
        <v>-1.1812720000000001E-2</v>
      </c>
      <c r="O1392">
        <v>-0.99895940000000005</v>
      </c>
      <c r="P1392">
        <v>-0.16145709999999999</v>
      </c>
      <c r="Q1392">
        <v>0.17929529999999999</v>
      </c>
      <c r="R1392">
        <v>-0.97045610000000004</v>
      </c>
      <c r="S1392">
        <v>-1.004211</v>
      </c>
      <c r="T1392">
        <v>-0.10585079999999999</v>
      </c>
      <c r="U1392">
        <v>-2.9450069999999999</v>
      </c>
      <c r="V1392">
        <v>0.1195528</v>
      </c>
      <c r="W1392">
        <v>0.19019079999999999</v>
      </c>
      <c r="X1392">
        <v>0.97444059999999999</v>
      </c>
      <c r="Y1392">
        <v>0.28057530000000003</v>
      </c>
      <c r="Z1392">
        <v>2.2458829999999999E-2</v>
      </c>
      <c r="AA1392">
        <v>0.95956920000000001</v>
      </c>
      <c r="AB1392">
        <v>30</v>
      </c>
      <c r="AC1392">
        <v>-10.6004</v>
      </c>
      <c r="AD1392">
        <v>-1.1189033050149999</v>
      </c>
      <c r="AE1392">
        <v>-30.839400000000001</v>
      </c>
      <c r="AF1392">
        <v>9.2206393936779598</v>
      </c>
      <c r="AG1392">
        <v>-1.1189033050149999</v>
      </c>
      <c r="AH1392">
        <v>31.239676809337599</v>
      </c>
      <c r="AI1392">
        <v>91.967431083104501</v>
      </c>
      <c r="AJ1392">
        <v>73.555615055838601</v>
      </c>
      <c r="AK1392">
        <v>32.591249478749397</v>
      </c>
      <c r="AL1392">
        <v>79.036080144233196</v>
      </c>
      <c r="AM1392">
        <v>83.005413835525502</v>
      </c>
      <c r="AN1392">
        <v>0.999999947660418</v>
      </c>
    </row>
    <row r="1393" spans="1:40" x14ac:dyDescent="0.25">
      <c r="A1393" t="str">
        <f>"20190303170524169"</f>
        <v>20190303170524169</v>
      </c>
      <c r="B1393" t="str">
        <f>"1551603924156265"</f>
        <v>1551603924156265</v>
      </c>
      <c r="C1393" t="s">
        <v>40</v>
      </c>
      <c r="D1393">
        <v>5.3629569999999998</v>
      </c>
      <c r="E1393">
        <v>0.56872809999999996</v>
      </c>
      <c r="F1393" t="s">
        <v>52</v>
      </c>
      <c r="G1393">
        <v>-202.46469999999999</v>
      </c>
      <c r="H1393" s="1">
        <v>3.6360279999999999E-6</v>
      </c>
      <c r="I1393">
        <v>280.88670000000002</v>
      </c>
      <c r="J1393">
        <v>-191.97290000000001</v>
      </c>
      <c r="K1393">
        <v>1.1188880000000001</v>
      </c>
      <c r="L1393">
        <v>311.22930000000002</v>
      </c>
      <c r="M1393">
        <v>-4.667905E-2</v>
      </c>
      <c r="N1393">
        <v>-1.18247E-2</v>
      </c>
      <c r="O1393">
        <v>-0.9988399</v>
      </c>
      <c r="P1393">
        <v>-0.16347799999999901</v>
      </c>
      <c r="Q1393">
        <v>0.17906749999999999</v>
      </c>
      <c r="R1393">
        <v>-0.97015960000000001</v>
      </c>
      <c r="S1393">
        <v>-1.009476</v>
      </c>
      <c r="T1393">
        <v>-0.107494699999999</v>
      </c>
      <c r="U1393">
        <v>-2.9432369999999999</v>
      </c>
      <c r="V1393">
        <v>0.1190249</v>
      </c>
      <c r="W1393">
        <v>0.18997310000000001</v>
      </c>
      <c r="X1393">
        <v>0.97454770000000002</v>
      </c>
      <c r="Y1393">
        <v>0.27975850000000002</v>
      </c>
      <c r="Z1393">
        <v>2.299081E-2</v>
      </c>
      <c r="AA1393">
        <v>0.95979510000000001</v>
      </c>
      <c r="AB1393">
        <v>30</v>
      </c>
      <c r="AC1393">
        <v>-10.4917999999999</v>
      </c>
      <c r="AD1393">
        <v>-1.1188843639720001</v>
      </c>
      <c r="AE1393">
        <v>-30.342600000000001</v>
      </c>
      <c r="AF1393">
        <v>9.0529036218491292</v>
      </c>
      <c r="AG1393">
        <v>-1.1188843639720001</v>
      </c>
      <c r="AH1393">
        <v>30.761939595926801</v>
      </c>
      <c r="AI1393">
        <v>91.998397595415497</v>
      </c>
      <c r="AJ1393">
        <v>73.601418505805995</v>
      </c>
      <c r="AK1393">
        <v>32.085883093813699</v>
      </c>
      <c r="AL1393">
        <v>79.048785234625598</v>
      </c>
      <c r="AM1393">
        <v>83.036753147832101</v>
      </c>
      <c r="AN1393">
        <v>0.999999962559454</v>
      </c>
    </row>
    <row r="1394" spans="1:40" x14ac:dyDescent="0.25">
      <c r="A1394" t="str">
        <f>"20190303170524194"</f>
        <v>20190303170524194</v>
      </c>
      <c r="B1394" t="str">
        <f>"1551603924186520"</f>
        <v>1551603924186520</v>
      </c>
      <c r="C1394" t="s">
        <v>40</v>
      </c>
      <c r="D1394">
        <v>5.3600219999999998</v>
      </c>
      <c r="E1394">
        <v>0.56882349999999904</v>
      </c>
      <c r="F1394" t="s">
        <v>52</v>
      </c>
      <c r="G1394">
        <v>-202.541</v>
      </c>
      <c r="H1394" s="1">
        <v>3.6878730000000002E-6</v>
      </c>
      <c r="I1394">
        <v>280.68099999999998</v>
      </c>
      <c r="J1394">
        <v>-191.9913</v>
      </c>
      <c r="K1394">
        <v>1.11886</v>
      </c>
      <c r="L1394">
        <v>310.90339999999998</v>
      </c>
      <c r="M1394">
        <v>-4.9646250000000003E-2</v>
      </c>
      <c r="N1394">
        <v>-1.183645E-2</v>
      </c>
      <c r="O1394">
        <v>-0.99869669999999999</v>
      </c>
      <c r="P1394">
        <v>-0.16660349999999999</v>
      </c>
      <c r="Q1394">
        <v>0.17979709999999999</v>
      </c>
      <c r="R1394">
        <v>-0.96949289999999999</v>
      </c>
      <c r="S1394">
        <v>-1.017334</v>
      </c>
      <c r="T1394">
        <v>-0.1077082</v>
      </c>
      <c r="U1394">
        <v>-2.9407040000000002</v>
      </c>
      <c r="V1394">
        <v>0.1192957</v>
      </c>
      <c r="W1394">
        <v>0.1907015</v>
      </c>
      <c r="X1394">
        <v>0.97437229999999997</v>
      </c>
      <c r="Y1394">
        <v>0.27945199999999998</v>
      </c>
      <c r="Z1394">
        <v>2.3062249999999999E-2</v>
      </c>
      <c r="AA1394">
        <v>0.95988269999999998</v>
      </c>
      <c r="AB1394">
        <v>30</v>
      </c>
      <c r="AC1394">
        <v>-10.5497</v>
      </c>
      <c r="AD1394">
        <v>-1.1188563121270001</v>
      </c>
      <c r="AE1394">
        <v>-30.2224</v>
      </c>
      <c r="AF1394">
        <v>9.0251291964299192</v>
      </c>
      <c r="AG1394">
        <v>-1.1188563121270001</v>
      </c>
      <c r="AH1394">
        <v>30.6714456214664</v>
      </c>
      <c r="AI1394">
        <v>92.004258929743003</v>
      </c>
      <c r="AJ1394">
        <v>73.603383585186805</v>
      </c>
      <c r="AK1394">
        <v>31.991285891161201</v>
      </c>
      <c r="AL1394">
        <v>79.006273713458697</v>
      </c>
      <c r="AM1394">
        <v>83.019822838588397</v>
      </c>
      <c r="AN1394">
        <v>0.99999995257401297</v>
      </c>
    </row>
    <row r="1395" spans="1:40" x14ac:dyDescent="0.25">
      <c r="A1395" t="str">
        <f>"20190303170524215"</f>
        <v>20190303170524215</v>
      </c>
      <c r="B1395" t="str">
        <f>"1551603924206042"</f>
        <v>1551603924206042</v>
      </c>
      <c r="C1395" t="s">
        <v>40</v>
      </c>
      <c r="D1395">
        <v>5.3548920000000004</v>
      </c>
      <c r="E1395">
        <v>0.56886300000000001</v>
      </c>
      <c r="F1395" t="s">
        <v>52</v>
      </c>
      <c r="G1395">
        <v>-202.82570000000001</v>
      </c>
      <c r="H1395" s="1">
        <v>3.8792640000000001E-6</v>
      </c>
      <c r="I1395">
        <v>279.93549999999999</v>
      </c>
      <c r="J1395">
        <v>-192.00899999999999</v>
      </c>
      <c r="K1395">
        <v>1.118833</v>
      </c>
      <c r="L1395">
        <v>310.60599999999999</v>
      </c>
      <c r="M1395">
        <v>-5.2409079999999997E-2</v>
      </c>
      <c r="N1395">
        <v>-1.184633E-2</v>
      </c>
      <c r="O1395">
        <v>-0.99855550000000004</v>
      </c>
      <c r="P1395">
        <v>-0.17041190000000001</v>
      </c>
      <c r="Q1395">
        <v>0.18034240000000001</v>
      </c>
      <c r="R1395">
        <v>-0.96872939999999996</v>
      </c>
      <c r="S1395">
        <v>-1.027695</v>
      </c>
      <c r="T1395">
        <v>-0.1061293</v>
      </c>
      <c r="U1395">
        <v>-2.9374690000000001</v>
      </c>
      <c r="V1395">
        <v>0.12045699999999999</v>
      </c>
      <c r="W1395">
        <v>0.19123599999999999</v>
      </c>
      <c r="X1395">
        <v>0.97412469999999995</v>
      </c>
      <c r="Y1395">
        <v>0.28014620000000001</v>
      </c>
      <c r="Z1395">
        <v>2.25548E-2</v>
      </c>
      <c r="AA1395">
        <v>0.9596924</v>
      </c>
      <c r="AB1395">
        <v>30</v>
      </c>
      <c r="AC1395">
        <v>-10.8166999999999</v>
      </c>
      <c r="AD1395">
        <v>-1.1188291207359999</v>
      </c>
      <c r="AE1395">
        <v>-30.670500000000001</v>
      </c>
      <c r="AF1395">
        <v>9.1834384224214798</v>
      </c>
      <c r="AG1395">
        <v>-1.1188291207359999</v>
      </c>
      <c r="AH1395">
        <v>31.1584002824927</v>
      </c>
      <c r="AI1395">
        <v>91.972655154641501</v>
      </c>
      <c r="AJ1395">
        <v>73.577964909696107</v>
      </c>
      <c r="AK1395">
        <v>32.502818770436697</v>
      </c>
      <c r="AL1395">
        <v>78.975075622774</v>
      </c>
      <c r="AM1395">
        <v>82.950780127783105</v>
      </c>
      <c r="AN1395">
        <v>1.00000001384754</v>
      </c>
    </row>
    <row r="1396" spans="1:40" x14ac:dyDescent="0.25">
      <c r="A1396" t="str">
        <f>"20190303170524240"</f>
        <v>20190303170524240</v>
      </c>
      <c r="B1396" t="str">
        <f>"1551603924226536"</f>
        <v>1551603924226536</v>
      </c>
      <c r="C1396" t="s">
        <v>40</v>
      </c>
      <c r="D1396">
        <v>5.3517400000000004</v>
      </c>
      <c r="E1396">
        <v>0.57247199999999998</v>
      </c>
      <c r="F1396" t="s">
        <v>52</v>
      </c>
      <c r="G1396">
        <v>-203.00720000000001</v>
      </c>
      <c r="H1396">
        <v>1.052843E-2</v>
      </c>
      <c r="I1396">
        <v>279.56060000000002</v>
      </c>
      <c r="J1396">
        <v>-192.02889999999999</v>
      </c>
      <c r="K1396">
        <v>1.1187879999999999</v>
      </c>
      <c r="L1396">
        <v>310.2876</v>
      </c>
      <c r="M1396">
        <v>-5.543911E-2</v>
      </c>
      <c r="N1396">
        <v>-1.185635E-2</v>
      </c>
      <c r="O1396">
        <v>-0.99839169999999999</v>
      </c>
      <c r="P1396">
        <v>-0.17399629999999999</v>
      </c>
      <c r="Q1396">
        <v>0.18048829999999999</v>
      </c>
      <c r="R1396">
        <v>-0.9680647</v>
      </c>
      <c r="S1396">
        <v>-1.0392300000000001</v>
      </c>
      <c r="T1396">
        <v>-0.1047244</v>
      </c>
      <c r="U1396">
        <v>-2.9335019999999998</v>
      </c>
      <c r="V1396">
        <v>0.12113409999999999</v>
      </c>
      <c r="W1396">
        <v>0.19137219999999999</v>
      </c>
      <c r="X1396">
        <v>0.97401400000000005</v>
      </c>
      <c r="Y1396">
        <v>0.28099859999999999</v>
      </c>
      <c r="Z1396">
        <v>2.210763E-2</v>
      </c>
      <c r="AA1396">
        <v>0.95945349999999996</v>
      </c>
      <c r="AB1396">
        <v>30</v>
      </c>
      <c r="AC1396">
        <v>-10.978300000000001</v>
      </c>
      <c r="AD1396">
        <v>-1.10825957</v>
      </c>
      <c r="AE1396">
        <v>-30.726999999999901</v>
      </c>
      <c r="AF1396">
        <v>9.2471487299278898</v>
      </c>
      <c r="AG1396">
        <v>-1.10825957</v>
      </c>
      <c r="AH1396">
        <v>31.252353607161702</v>
      </c>
      <c r="AI1396">
        <v>91.947554896160497</v>
      </c>
      <c r="AJ1396">
        <v>73.517227017659096</v>
      </c>
      <c r="AK1396">
        <v>32.610544382070302</v>
      </c>
      <c r="AL1396">
        <v>78.967125285768901</v>
      </c>
      <c r="AM1396">
        <v>82.910760355797805</v>
      </c>
      <c r="AN1396">
        <v>1.0000000306558201</v>
      </c>
    </row>
    <row r="1397" spans="1:40" x14ac:dyDescent="0.25">
      <c r="A1397" t="str">
        <f>"20190303170524262"</f>
        <v>20190303170524262</v>
      </c>
      <c r="B1397" t="str">
        <f>"1551603924255816"</f>
        <v>1551603924255816</v>
      </c>
      <c r="C1397" t="s">
        <v>40</v>
      </c>
      <c r="D1397">
        <v>5.3588829999999996</v>
      </c>
      <c r="E1397">
        <v>0.57288249999999996</v>
      </c>
      <c r="F1397" t="s">
        <v>52</v>
      </c>
      <c r="G1397">
        <v>-201.90940000000001</v>
      </c>
      <c r="H1397" s="1">
        <v>3.164824E-6</v>
      </c>
      <c r="I1397">
        <v>283.46010000000001</v>
      </c>
      <c r="J1397">
        <v>-192.0489</v>
      </c>
      <c r="K1397">
        <v>1.1187290000000001</v>
      </c>
      <c r="L1397">
        <v>309.98349999999999</v>
      </c>
      <c r="M1397">
        <v>-5.8415790000000002E-2</v>
      </c>
      <c r="N1397">
        <v>-1.186543E-2</v>
      </c>
      <c r="O1397">
        <v>-0.9982219</v>
      </c>
      <c r="P1397">
        <v>-0.17788679999999901</v>
      </c>
      <c r="Q1397">
        <v>0.1799732</v>
      </c>
      <c r="R1397">
        <v>-0.96745360000000002</v>
      </c>
      <c r="S1397">
        <v>-1.078354</v>
      </c>
      <c r="T1397">
        <v>-0.122103</v>
      </c>
      <c r="U1397">
        <v>-2.9279169999999999</v>
      </c>
      <c r="V1397">
        <v>0.1221675</v>
      </c>
      <c r="W1397">
        <v>0.19084190000000001</v>
      </c>
      <c r="X1397">
        <v>0.97398899999999999</v>
      </c>
      <c r="Y1397">
        <v>0.28997899999999999</v>
      </c>
      <c r="Z1397">
        <v>2.7639319999999998E-2</v>
      </c>
      <c r="AA1397">
        <v>0.95663379999999998</v>
      </c>
      <c r="AB1397">
        <v>30</v>
      </c>
      <c r="AC1397">
        <v>-9.8605</v>
      </c>
      <c r="AD1397">
        <v>-1.1187258351760001</v>
      </c>
      <c r="AE1397">
        <v>-26.523399999999899</v>
      </c>
      <c r="AF1397">
        <v>8.2812211468869492</v>
      </c>
      <c r="AG1397">
        <v>-1.1187258351760001</v>
      </c>
      <c r="AH1397">
        <v>27.0119296893001</v>
      </c>
      <c r="AI1397">
        <v>92.267552570392496</v>
      </c>
      <c r="AJ1397">
        <v>72.955694557124303</v>
      </c>
      <c r="AK1397">
        <v>28.274980401719699</v>
      </c>
      <c r="AL1397">
        <v>78.998079973557694</v>
      </c>
      <c r="AM1397">
        <v>82.8507233254754</v>
      </c>
      <c r="AN1397">
        <v>1.0000000504864199</v>
      </c>
    </row>
    <row r="1398" spans="1:40" x14ac:dyDescent="0.25">
      <c r="A1398" t="str">
        <f>"20190303170524283"</f>
        <v>20190303170524283</v>
      </c>
      <c r="B1398" t="str">
        <f>"1551603924276312"</f>
        <v>1551603924276312</v>
      </c>
      <c r="C1398" t="s">
        <v>40</v>
      </c>
      <c r="D1398">
        <v>5.350848</v>
      </c>
      <c r="E1398">
        <v>0.57308789999999998</v>
      </c>
      <c r="F1398" t="s">
        <v>52</v>
      </c>
      <c r="G1398">
        <v>-201.75649999999999</v>
      </c>
      <c r="H1398" s="1">
        <v>3.0453159999999999E-6</v>
      </c>
      <c r="I1398">
        <v>284.05110000000002</v>
      </c>
      <c r="J1398">
        <v>-192.06800000000001</v>
      </c>
      <c r="K1398">
        <v>1.1186590000000001</v>
      </c>
      <c r="L1398">
        <v>309.70729999999998</v>
      </c>
      <c r="M1398">
        <v>-6.1201690000000003E-2</v>
      </c>
      <c r="N1398">
        <v>-1.1878089999999999E-2</v>
      </c>
      <c r="O1398">
        <v>-0.99805489999999997</v>
      </c>
      <c r="P1398">
        <v>-0.18243100000000001</v>
      </c>
      <c r="Q1398">
        <v>0.17926889999999901</v>
      </c>
      <c r="R1398">
        <v>-0.96673770000000003</v>
      </c>
      <c r="S1398">
        <v>-1.0942689999999999</v>
      </c>
      <c r="T1398">
        <v>-0.12610660000000001</v>
      </c>
      <c r="U1398">
        <v>-2.923187</v>
      </c>
      <c r="V1398">
        <v>0.12404709999999999</v>
      </c>
      <c r="W1398">
        <v>0.1901187</v>
      </c>
      <c r="X1398">
        <v>0.9738928</v>
      </c>
      <c r="Y1398">
        <v>0.29236970000000001</v>
      </c>
      <c r="Z1398">
        <v>2.892285E-2</v>
      </c>
      <c r="AA1398">
        <v>0.95586789999999999</v>
      </c>
      <c r="AB1398">
        <v>30</v>
      </c>
      <c r="AC1398">
        <v>-9.6884999999999994</v>
      </c>
      <c r="AD1398">
        <v>-1.118655954684</v>
      </c>
      <c r="AE1398">
        <v>-25.656199999999899</v>
      </c>
      <c r="AF1398">
        <v>8.0865674371889806</v>
      </c>
      <c r="AG1398">
        <v>-1.118655954684</v>
      </c>
      <c r="AH1398">
        <v>26.157570759173101</v>
      </c>
      <c r="AI1398">
        <v>92.339697324161406</v>
      </c>
      <c r="AJ1398">
        <v>72.821097120574805</v>
      </c>
      <c r="AK1398">
        <v>27.401869864706399</v>
      </c>
      <c r="AL1398">
        <v>79.040288464853603</v>
      </c>
      <c r="AM1398">
        <v>82.741183536348302</v>
      </c>
      <c r="AN1398">
        <v>0.99999999449997001</v>
      </c>
    </row>
    <row r="1399" spans="1:40" x14ac:dyDescent="0.25">
      <c r="A1399" t="str">
        <f>"20190303170524306"</f>
        <v>20190303170524306</v>
      </c>
      <c r="B1399" t="str">
        <f>"1551603924295832"</f>
        <v>1551603924295832</v>
      </c>
      <c r="C1399" t="s">
        <v>40</v>
      </c>
      <c r="D1399">
        <v>5.3849479999999996</v>
      </c>
      <c r="E1399">
        <v>0.5733374</v>
      </c>
      <c r="F1399" t="s">
        <v>52</v>
      </c>
      <c r="G1399">
        <v>-201.7029</v>
      </c>
      <c r="H1399" s="1">
        <v>2.9938360000000002E-6</v>
      </c>
      <c r="I1399">
        <v>284.36829999999998</v>
      </c>
      <c r="J1399">
        <v>-192.09039999999999</v>
      </c>
      <c r="K1399">
        <v>1.1185769999999999</v>
      </c>
      <c r="L1399">
        <v>309.39760000000001</v>
      </c>
      <c r="M1399">
        <v>-6.4428819999999998E-2</v>
      </c>
      <c r="N1399">
        <v>-1.190197E-2</v>
      </c>
      <c r="O1399">
        <v>-0.99785140000000006</v>
      </c>
      <c r="P1399">
        <v>-0.18788750000000001</v>
      </c>
      <c r="Q1399">
        <v>0.17887500000000001</v>
      </c>
      <c r="R1399">
        <v>-0.96576519999999999</v>
      </c>
      <c r="S1399">
        <v>-1.1094360000000001</v>
      </c>
      <c r="T1399">
        <v>-0.12881039999999999</v>
      </c>
      <c r="U1399">
        <v>-2.9177249999999999</v>
      </c>
      <c r="V1399">
        <v>0.126431399999999</v>
      </c>
      <c r="W1399">
        <v>0.18970770000000001</v>
      </c>
      <c r="X1399">
        <v>0.97366629999999998</v>
      </c>
      <c r="Y1399">
        <v>0.29420190000000002</v>
      </c>
      <c r="Z1399">
        <v>2.978979E-2</v>
      </c>
      <c r="AA1399">
        <v>0.95527890000000004</v>
      </c>
      <c r="AB1399">
        <v>30</v>
      </c>
      <c r="AC1399">
        <v>-9.6125000000000096</v>
      </c>
      <c r="AD1399">
        <v>-1.1185740061639999</v>
      </c>
      <c r="AE1399">
        <v>-25.029299999999999</v>
      </c>
      <c r="AF1399">
        <v>7.9659379982585996</v>
      </c>
      <c r="AG1399">
        <v>-1.1185740061639999</v>
      </c>
      <c r="AH1399">
        <v>25.552180906887401</v>
      </c>
      <c r="AI1399">
        <v>92.393128232501297</v>
      </c>
      <c r="AJ1399">
        <v>72.685039243253698</v>
      </c>
      <c r="AK1399">
        <v>26.788455071124702</v>
      </c>
      <c r="AL1399">
        <v>79.064273455204201</v>
      </c>
      <c r="AM1399">
        <v>82.601491482986404</v>
      </c>
      <c r="AN1399">
        <v>0.999999987050469</v>
      </c>
    </row>
    <row r="1400" spans="1:40" x14ac:dyDescent="0.25">
      <c r="A1400" t="str">
        <f>"20190303170524328"</f>
        <v>20190303170524328</v>
      </c>
      <c r="B1400" t="str">
        <f>"1551603924316329"</f>
        <v>1551603924316329</v>
      </c>
      <c r="C1400" t="s">
        <v>40</v>
      </c>
      <c r="D1400">
        <v>5.3819730000000003</v>
      </c>
      <c r="E1400">
        <v>0.57358819999999999</v>
      </c>
      <c r="F1400" t="s">
        <v>52</v>
      </c>
      <c r="G1400">
        <v>-201.66149999999999</v>
      </c>
      <c r="H1400" s="1">
        <v>2.949451E-6</v>
      </c>
      <c r="I1400">
        <v>284.66590000000002</v>
      </c>
      <c r="J1400">
        <v>-192.11240000000001</v>
      </c>
      <c r="K1400">
        <v>1.1185099999999999</v>
      </c>
      <c r="L1400">
        <v>309.10820000000001</v>
      </c>
      <c r="M1400">
        <v>-6.7535570000000003E-2</v>
      </c>
      <c r="N1400">
        <v>-1.192815E-2</v>
      </c>
      <c r="O1400">
        <v>-0.99764549999999996</v>
      </c>
      <c r="P1400">
        <v>-0.1930663</v>
      </c>
      <c r="Q1400">
        <v>0.1784442</v>
      </c>
      <c r="R1400">
        <v>-0.96482279999999998</v>
      </c>
      <c r="S1400">
        <v>-1.1267400000000001</v>
      </c>
      <c r="T1400">
        <v>-0.13168250000000001</v>
      </c>
      <c r="U1400">
        <v>-2.9114990000000001</v>
      </c>
      <c r="V1400">
        <v>0.12865389999999999</v>
      </c>
      <c r="W1400">
        <v>0.18926380000000001</v>
      </c>
      <c r="X1400">
        <v>0.97346160000000004</v>
      </c>
      <c r="Y1400">
        <v>0.2968384</v>
      </c>
      <c r="Z1400">
        <v>3.0708039999999999E-2</v>
      </c>
      <c r="AA1400">
        <v>0.95443389999999995</v>
      </c>
      <c r="AB1400">
        <v>30</v>
      </c>
      <c r="AC1400">
        <v>-9.5490999999999797</v>
      </c>
      <c r="AD1400">
        <v>-1.118507050549</v>
      </c>
      <c r="AE1400">
        <v>-24.4422999999999</v>
      </c>
      <c r="AF1400">
        <v>7.8621689548382001</v>
      </c>
      <c r="AG1400">
        <v>-1.118507050549</v>
      </c>
      <c r="AH1400">
        <v>24.986042615980999</v>
      </c>
      <c r="AI1400">
        <v>92.445112365580798</v>
      </c>
      <c r="AJ1400">
        <v>72.533169663863902</v>
      </c>
      <c r="AK1400">
        <v>26.217686478867101</v>
      </c>
      <c r="AL1400">
        <v>79.090177010094493</v>
      </c>
      <c r="AM1400">
        <v>82.471349251834994</v>
      </c>
      <c r="AN1400">
        <v>1.0000000493251</v>
      </c>
    </row>
    <row r="1401" spans="1:40" x14ac:dyDescent="0.25">
      <c r="A1401" t="str">
        <f>"20190303170524349"</f>
        <v>20190303170524349</v>
      </c>
      <c r="B1401" t="str">
        <f>"1551603924335848"</f>
        <v>1551603924335848</v>
      </c>
      <c r="C1401" t="s">
        <v>40</v>
      </c>
      <c r="D1401">
        <v>5.3984310000000004</v>
      </c>
      <c r="E1401">
        <v>0.57378859999999998</v>
      </c>
      <c r="F1401" t="s">
        <v>52</v>
      </c>
      <c r="G1401">
        <v>-201.65780000000001</v>
      </c>
      <c r="H1401" s="1">
        <v>2.9303749999999999E-6</v>
      </c>
      <c r="I1401">
        <v>284.86529999999999</v>
      </c>
      <c r="J1401">
        <v>-192.13570000000001</v>
      </c>
      <c r="K1401">
        <v>1.118444</v>
      </c>
      <c r="L1401">
        <v>308.81400000000002</v>
      </c>
      <c r="M1401">
        <v>-7.0773710000000004E-2</v>
      </c>
      <c r="N1401">
        <v>-1.1955220000000001E-2</v>
      </c>
      <c r="O1401">
        <v>-0.997421</v>
      </c>
      <c r="P1401">
        <v>-0.1968066</v>
      </c>
      <c r="Q1401">
        <v>0.17850179999999999</v>
      </c>
      <c r="R1401">
        <v>-0.96405660000000004</v>
      </c>
      <c r="S1401">
        <v>-1.1439060000000001</v>
      </c>
      <c r="T1401">
        <v>-0.1340404</v>
      </c>
      <c r="U1401">
        <v>-2.905243</v>
      </c>
      <c r="V1401">
        <v>0.1293028</v>
      </c>
      <c r="W1401">
        <v>0.18932189999999999</v>
      </c>
      <c r="X1401">
        <v>0.97336429999999996</v>
      </c>
      <c r="Y1401">
        <v>0.29931079999999999</v>
      </c>
      <c r="Z1401">
        <v>3.1460330000000002E-2</v>
      </c>
      <c r="AA1401">
        <v>0.95363690000000001</v>
      </c>
      <c r="AB1401">
        <v>30</v>
      </c>
      <c r="AC1401">
        <v>-9.5220999999999894</v>
      </c>
      <c r="AD1401">
        <v>-1.118441069625</v>
      </c>
      <c r="AE1401">
        <v>-23.948699999999999</v>
      </c>
      <c r="AF1401">
        <v>7.7884917834405902</v>
      </c>
      <c r="AG1401">
        <v>-1.118441069625</v>
      </c>
      <c r="AH1401">
        <v>24.516428059869199</v>
      </c>
      <c r="AI1401">
        <v>92.489582543218106</v>
      </c>
      <c r="AJ1401">
        <v>72.375748679443603</v>
      </c>
      <c r="AK1401">
        <v>25.748140894085701</v>
      </c>
      <c r="AL1401">
        <v>79.086786600125805</v>
      </c>
      <c r="AM1401">
        <v>82.433067774445803</v>
      </c>
      <c r="AN1401">
        <v>1.00000002821096</v>
      </c>
    </row>
    <row r="1402" spans="1:40" x14ac:dyDescent="0.25">
      <c r="A1402" t="str">
        <f>"20190303170524371"</f>
        <v>20190303170524371</v>
      </c>
      <c r="B1402" t="str">
        <f>"1551603924366104"</f>
        <v>1551603924366104</v>
      </c>
      <c r="C1402" t="s">
        <v>40</v>
      </c>
      <c r="D1402">
        <v>5.3941819999999998</v>
      </c>
      <c r="E1402">
        <v>0.57384199999999996</v>
      </c>
      <c r="F1402" t="s">
        <v>52</v>
      </c>
      <c r="G1402">
        <v>-201.77500000000001</v>
      </c>
      <c r="H1402" s="1">
        <v>3.0003540000000001E-6</v>
      </c>
      <c r="I1402">
        <v>284.65949999999998</v>
      </c>
      <c r="J1402">
        <v>-192.1609</v>
      </c>
      <c r="K1402">
        <v>1.1183780000000001</v>
      </c>
      <c r="L1402">
        <v>308.51060000000001</v>
      </c>
      <c r="M1402">
        <v>-7.4195540000000004E-2</v>
      </c>
      <c r="N1402">
        <v>-1.1988810000000001E-2</v>
      </c>
      <c r="O1402">
        <v>-0.99717160000000005</v>
      </c>
      <c r="P1402">
        <v>-0.20114489999999999</v>
      </c>
      <c r="Q1402">
        <v>0.17825439999999901</v>
      </c>
      <c r="R1402">
        <v>-0.96320649999999997</v>
      </c>
      <c r="S1402">
        <v>-1.1574709999999999</v>
      </c>
      <c r="T1402">
        <v>-0.13430120000000001</v>
      </c>
      <c r="U1402">
        <v>-2.900452</v>
      </c>
      <c r="V1402">
        <v>0.1303724</v>
      </c>
      <c r="W1402">
        <v>0.18907889999999999</v>
      </c>
      <c r="X1402">
        <v>0.97326880000000005</v>
      </c>
      <c r="Y1402">
        <v>0.30042590000000002</v>
      </c>
      <c r="Z1402">
        <v>3.1527239999999998E-2</v>
      </c>
      <c r="AA1402">
        <v>0.95328400000000002</v>
      </c>
      <c r="AB1402">
        <v>30</v>
      </c>
      <c r="AC1402">
        <v>-9.6141000000000005</v>
      </c>
      <c r="AD1402">
        <v>-1.118374999646</v>
      </c>
      <c r="AE1402">
        <v>-23.851099999999999</v>
      </c>
      <c r="AF1402">
        <v>7.8030660936019398</v>
      </c>
      <c r="AG1402">
        <v>-1.118374999646</v>
      </c>
      <c r="AH1402">
        <v>24.4524764251824</v>
      </c>
      <c r="AI1402">
        <v>92.494910111968295</v>
      </c>
      <c r="AJ1402">
        <v>72.301519605314397</v>
      </c>
      <c r="AK1402">
        <v>25.691675819709602</v>
      </c>
      <c r="AL1402">
        <v>79.100964981506607</v>
      </c>
      <c r="AM1402">
        <v>82.370468148610399</v>
      </c>
      <c r="AN1402">
        <v>0.999999975080204</v>
      </c>
    </row>
    <row r="1403" spans="1:40" x14ac:dyDescent="0.25">
      <c r="A1403" t="str">
        <f>"20190303170524394"</f>
        <v>20190303170524394</v>
      </c>
      <c r="B1403" t="str">
        <f>"1551603924385624"</f>
        <v>1551603924385624</v>
      </c>
      <c r="C1403" t="s">
        <v>40</v>
      </c>
      <c r="D1403">
        <v>5.4064350000000001</v>
      </c>
      <c r="E1403">
        <v>0.57397699999999996</v>
      </c>
      <c r="F1403" t="s">
        <v>52</v>
      </c>
      <c r="G1403">
        <v>-201.72620000000001</v>
      </c>
      <c r="H1403" s="1">
        <v>2.9624720000000001E-6</v>
      </c>
      <c r="I1403">
        <v>284.84550000000002</v>
      </c>
      <c r="J1403">
        <v>-192.18780000000001</v>
      </c>
      <c r="K1403">
        <v>1.118322</v>
      </c>
      <c r="L1403">
        <v>308.20010000000002</v>
      </c>
      <c r="M1403">
        <v>-7.7787319999999993E-2</v>
      </c>
      <c r="N1403">
        <v>-1.203011E-2</v>
      </c>
      <c r="O1403">
        <v>-0.99689749999999999</v>
      </c>
      <c r="P1403">
        <v>-0.206319</v>
      </c>
      <c r="Q1403">
        <v>0.1790727</v>
      </c>
      <c r="R1403">
        <v>-0.96195929999999996</v>
      </c>
      <c r="S1403">
        <v>-1.170364</v>
      </c>
      <c r="T1403">
        <v>-0.136838299999999</v>
      </c>
      <c r="U1403">
        <v>-2.8955380000000002</v>
      </c>
      <c r="V1403">
        <v>0.13214870000000001</v>
      </c>
      <c r="W1403">
        <v>0.18990009999999999</v>
      </c>
      <c r="X1403">
        <v>0.97286930000000005</v>
      </c>
      <c r="Y1403">
        <v>0.301189599999999</v>
      </c>
      <c r="Z1403">
        <v>3.2324550000000001E-2</v>
      </c>
      <c r="AA1403">
        <v>0.95301619999999998</v>
      </c>
      <c r="AB1403">
        <v>30</v>
      </c>
      <c r="AC1403">
        <v>-9.5383999999999904</v>
      </c>
      <c r="AD1403">
        <v>-1.1183190375280001</v>
      </c>
      <c r="AE1403">
        <v>-23.354600000000001</v>
      </c>
      <c r="AF1403">
        <v>7.6775838536762402</v>
      </c>
      <c r="AG1403">
        <v>-1.1183190375280001</v>
      </c>
      <c r="AH1403">
        <v>23.978723915820101</v>
      </c>
      <c r="AI1403">
        <v>92.543221747876999</v>
      </c>
      <c r="AJ1403">
        <v>72.245808824621605</v>
      </c>
      <c r="AK1403">
        <v>25.202681046488799</v>
      </c>
      <c r="AL1403">
        <v>79.0530458015498</v>
      </c>
      <c r="AM1403">
        <v>82.264629685115594</v>
      </c>
      <c r="AN1403">
        <v>1.00000000088709</v>
      </c>
    </row>
    <row r="1404" spans="1:40" x14ac:dyDescent="0.25">
      <c r="A1404" t="str">
        <f>"20190303170524417"</f>
        <v>20190303170524417</v>
      </c>
      <c r="B1404" t="str">
        <f>"1551603924406121"</f>
        <v>1551603924406121</v>
      </c>
      <c r="C1404" t="s">
        <v>40</v>
      </c>
      <c r="D1404">
        <v>5.3981209999999997</v>
      </c>
      <c r="E1404">
        <v>0.57405499999999998</v>
      </c>
      <c r="F1404" t="s">
        <v>52</v>
      </c>
      <c r="G1404">
        <v>-201.87299999999999</v>
      </c>
      <c r="H1404" s="1">
        <v>3.0501860000000001E-6</v>
      </c>
      <c r="I1404">
        <v>284.5865</v>
      </c>
      <c r="J1404">
        <v>-192.21539999999999</v>
      </c>
      <c r="K1404">
        <v>1.1182639999999999</v>
      </c>
      <c r="L1404">
        <v>307.89479999999998</v>
      </c>
      <c r="M1404">
        <v>-8.1409179999999998E-2</v>
      </c>
      <c r="N1404">
        <v>-1.2075260000000001E-2</v>
      </c>
      <c r="O1404">
        <v>-0.99660749999999998</v>
      </c>
      <c r="P1404">
        <v>-0.21127560000000001</v>
      </c>
      <c r="Q1404">
        <v>0.17867920000000001</v>
      </c>
      <c r="R1404">
        <v>-0.96095589999999997</v>
      </c>
      <c r="S1404">
        <v>-1.185287</v>
      </c>
      <c r="T1404">
        <v>-0.13686129999999999</v>
      </c>
      <c r="U1404">
        <v>-2.8898619999999999</v>
      </c>
      <c r="V1404">
        <v>0.13365539999999901</v>
      </c>
      <c r="W1404">
        <v>0.18951709999999999</v>
      </c>
      <c r="X1404">
        <v>0.97273810000000005</v>
      </c>
      <c r="Y1404">
        <v>0.30259429999999998</v>
      </c>
      <c r="Z1404">
        <v>3.2307740000000001E-2</v>
      </c>
      <c r="AA1404">
        <v>0.95257170000000002</v>
      </c>
      <c r="AB1404">
        <v>30</v>
      </c>
      <c r="AC1404">
        <v>-9.6576000000000004</v>
      </c>
      <c r="AD1404">
        <v>-1.1182609498139999</v>
      </c>
      <c r="AE1404">
        <v>-23.3082999999999</v>
      </c>
      <c r="AF1404">
        <v>7.7127394676015202</v>
      </c>
      <c r="AG1404">
        <v>-1.1182609498139999</v>
      </c>
      <c r="AH1404">
        <v>23.970107887437401</v>
      </c>
      <c r="AI1404">
        <v>92.542833595538397</v>
      </c>
      <c r="AJ1404">
        <v>72.163646865884601</v>
      </c>
      <c r="AK1404">
        <v>25.205216320880201</v>
      </c>
      <c r="AL1404">
        <v>79.075395437525202</v>
      </c>
      <c r="AM1404">
        <v>82.176478320440197</v>
      </c>
      <c r="AN1404">
        <v>0.99999995416658904</v>
      </c>
    </row>
    <row r="1405" spans="1:40" x14ac:dyDescent="0.25">
      <c r="A1405" t="str">
        <f>"20190303170524441"</f>
        <v>20190303170524441</v>
      </c>
      <c r="B1405" t="str">
        <f>"1551603924436376"</f>
        <v>1551603924436376</v>
      </c>
      <c r="C1405" t="s">
        <v>40</v>
      </c>
      <c r="D1405">
        <v>5.3722640000000004</v>
      </c>
      <c r="E1405">
        <v>0.57410969999999995</v>
      </c>
      <c r="F1405" t="s">
        <v>52</v>
      </c>
      <c r="G1405">
        <v>-201.85480000000001</v>
      </c>
      <c r="H1405" s="1">
        <v>3.0288090000000002E-6</v>
      </c>
      <c r="I1405">
        <v>284.73899999999998</v>
      </c>
      <c r="J1405">
        <v>-192.24469999999999</v>
      </c>
      <c r="K1405">
        <v>1.1182019999999999</v>
      </c>
      <c r="L1405">
        <v>307.58550000000002</v>
      </c>
      <c r="M1405">
        <v>-8.5169819999999993E-2</v>
      </c>
      <c r="N1405">
        <v>-1.21282E-2</v>
      </c>
      <c r="O1405">
        <v>-0.99629279999999998</v>
      </c>
      <c r="P1405">
        <v>-0.21582750000000001</v>
      </c>
      <c r="Q1405">
        <v>0.1771404</v>
      </c>
      <c r="R1405">
        <v>-0.96022909999999995</v>
      </c>
      <c r="S1405">
        <v>-1.200485</v>
      </c>
      <c r="T1405">
        <v>-0.13926769999999999</v>
      </c>
      <c r="U1405">
        <v>-2.8838200000000001</v>
      </c>
      <c r="V1405">
        <v>0.13459599999999999</v>
      </c>
      <c r="W1405">
        <v>0.18800040000000001</v>
      </c>
      <c r="X1405">
        <v>0.97290279999999996</v>
      </c>
      <c r="Y1405">
        <v>0.30397259999999998</v>
      </c>
      <c r="Z1405">
        <v>3.305462E-2</v>
      </c>
      <c r="AA1405">
        <v>0.95210720000000004</v>
      </c>
      <c r="AB1405">
        <v>30</v>
      </c>
      <c r="AC1405">
        <v>-9.6101000000000099</v>
      </c>
      <c r="AD1405">
        <v>-1.1181989711910001</v>
      </c>
      <c r="AE1405">
        <v>-22.846499999999899</v>
      </c>
      <c r="AF1405">
        <v>7.6137041932365896</v>
      </c>
      <c r="AG1405">
        <v>-1.1181989711910001</v>
      </c>
      <c r="AH1405">
        <v>23.534123504127901</v>
      </c>
      <c r="AI1405">
        <v>92.588409987694803</v>
      </c>
      <c r="AJ1405">
        <v>72.072690588674703</v>
      </c>
      <c r="AK1405">
        <v>24.760327735892901</v>
      </c>
      <c r="AL1405">
        <v>79.163887730979695</v>
      </c>
      <c r="AM1405">
        <v>82.123426090360994</v>
      </c>
      <c r="AN1405">
        <v>1.00000004593199</v>
      </c>
    </row>
    <row r="1406" spans="1:40" x14ac:dyDescent="0.25">
      <c r="A1406" t="str">
        <f>"20190303170524463"</f>
        <v>20190303170524463</v>
      </c>
      <c r="B1406" t="str">
        <f>"1551603924455896"</f>
        <v>1551603924455896</v>
      </c>
      <c r="C1406" t="s">
        <v>40</v>
      </c>
      <c r="D1406">
        <v>5.3837780000000004</v>
      </c>
      <c r="E1406">
        <v>0.57412419999999997</v>
      </c>
      <c r="F1406" t="s">
        <v>52</v>
      </c>
      <c r="G1406">
        <v>-201.67439999999999</v>
      </c>
      <c r="H1406" s="1">
        <v>2.9033740000000001E-6</v>
      </c>
      <c r="I1406">
        <v>285.2586</v>
      </c>
      <c r="J1406">
        <v>-192.27440000000001</v>
      </c>
      <c r="K1406">
        <v>1.118123</v>
      </c>
      <c r="L1406">
        <v>307.28339999999997</v>
      </c>
      <c r="M1406">
        <v>-8.8938630000000005E-2</v>
      </c>
      <c r="N1406">
        <v>-1.218847E-2</v>
      </c>
      <c r="O1406">
        <v>-0.99596240000000003</v>
      </c>
      <c r="P1406">
        <v>-0.220364</v>
      </c>
      <c r="Q1406">
        <v>0.17696039999999999</v>
      </c>
      <c r="R1406">
        <v>-0.95923139999999996</v>
      </c>
      <c r="S1406">
        <v>-1.2153929999999999</v>
      </c>
      <c r="T1406">
        <v>-0.14412359999999999</v>
      </c>
      <c r="U1406">
        <v>-2.8776860000000002</v>
      </c>
      <c r="V1406">
        <v>0.1355479</v>
      </c>
      <c r="W1406">
        <v>0.18784590000000001</v>
      </c>
      <c r="X1406">
        <v>0.97280040000000001</v>
      </c>
      <c r="Y1406">
        <v>0.30525750000000001</v>
      </c>
      <c r="Z1406">
        <v>3.4585860000000003E-2</v>
      </c>
      <c r="AA1406">
        <v>0.95164159999999998</v>
      </c>
      <c r="AB1406">
        <v>30</v>
      </c>
      <c r="AC1406">
        <v>-9.3999999999999702</v>
      </c>
      <c r="AD1406">
        <v>-1.1181200966260001</v>
      </c>
      <c r="AE1406">
        <v>-22.0247999999999</v>
      </c>
      <c r="AF1406">
        <v>7.3876360297263997</v>
      </c>
      <c r="AG1406">
        <v>-1.1181200966260001</v>
      </c>
      <c r="AH1406">
        <v>22.724049305285899</v>
      </c>
      <c r="AI1406">
        <v>92.679117251369107</v>
      </c>
      <c r="AJ1406">
        <v>71.990547792708796</v>
      </c>
      <c r="AK1406">
        <v>23.9209066610623</v>
      </c>
      <c r="AL1406">
        <v>79.172899635207699</v>
      </c>
      <c r="AM1406">
        <v>82.067603022619807</v>
      </c>
      <c r="AN1406">
        <v>0.99999996679068903</v>
      </c>
    </row>
    <row r="1407" spans="1:40" x14ac:dyDescent="0.25">
      <c r="A1407" t="str">
        <f>"20190303170524485"</f>
        <v>20190303170524485</v>
      </c>
      <c r="B1407" t="str">
        <f>"1551603924476393"</f>
        <v>1551603924476393</v>
      </c>
      <c r="C1407" t="s">
        <v>40</v>
      </c>
      <c r="D1407">
        <v>5.3805149999999999</v>
      </c>
      <c r="E1407">
        <v>0.57411679999999998</v>
      </c>
      <c r="F1407" t="s">
        <v>52</v>
      </c>
      <c r="G1407">
        <v>-201.72139999999999</v>
      </c>
      <c r="H1407" s="1">
        <v>2.9281010000000002E-6</v>
      </c>
      <c r="I1407">
        <v>285.21409999999997</v>
      </c>
      <c r="J1407">
        <v>-192.30420000000001</v>
      </c>
      <c r="K1407">
        <v>1.118047</v>
      </c>
      <c r="L1407">
        <v>306.99380000000002</v>
      </c>
      <c r="M1407">
        <v>-9.2656189999999999E-2</v>
      </c>
      <c r="N1407">
        <v>-1.225473E-2</v>
      </c>
      <c r="O1407">
        <v>-0.99562300000000004</v>
      </c>
      <c r="P1407">
        <v>-0.2261533</v>
      </c>
      <c r="Q1407">
        <v>0.17808669999999999</v>
      </c>
      <c r="R1407">
        <v>-0.95767440000000004</v>
      </c>
      <c r="S1407">
        <v>-1.229355</v>
      </c>
      <c r="T1407">
        <v>-0.14550299999999999</v>
      </c>
      <c r="U1407">
        <v>-2.871918</v>
      </c>
      <c r="V1407">
        <v>0.13786099999999901</v>
      </c>
      <c r="W1407">
        <v>0.1889866</v>
      </c>
      <c r="X1407">
        <v>0.97225430000000002</v>
      </c>
      <c r="Y1407">
        <v>0.30629689999999998</v>
      </c>
      <c r="Z1407">
        <v>3.4988909999999998E-2</v>
      </c>
      <c r="AA1407">
        <v>0.95129280000000005</v>
      </c>
      <c r="AB1407">
        <v>30</v>
      </c>
      <c r="AC1407">
        <v>-9.4171999999999798</v>
      </c>
      <c r="AD1407">
        <v>-1.1180440718989999</v>
      </c>
      <c r="AE1407">
        <v>-21.779699999999998</v>
      </c>
      <c r="AF1407">
        <v>7.3422069070238498</v>
      </c>
      <c r="AG1407">
        <v>-1.1180440718989999</v>
      </c>
      <c r="AH1407">
        <v>22.508648152435001</v>
      </c>
      <c r="AI1407">
        <v>92.703665319305401</v>
      </c>
      <c r="AJ1407">
        <v>71.933936414933001</v>
      </c>
      <c r="AK1407">
        <v>23.702262897503498</v>
      </c>
      <c r="AL1407">
        <v>79.106350831290797</v>
      </c>
      <c r="AM1407">
        <v>81.929534028510105</v>
      </c>
      <c r="AN1407">
        <v>1.0000000070845201</v>
      </c>
    </row>
    <row r="1408" spans="1:40" x14ac:dyDescent="0.25">
      <c r="A1408" t="str">
        <f>"20190303170524506"</f>
        <v>20190303170524506</v>
      </c>
      <c r="B1408" t="str">
        <f>"1551603924495912"</f>
        <v>1551603924495912</v>
      </c>
      <c r="C1408" t="s">
        <v>40</v>
      </c>
      <c r="D1408">
        <v>5.409961</v>
      </c>
      <c r="E1408">
        <v>0.57412149999999995</v>
      </c>
      <c r="F1408" t="s">
        <v>52</v>
      </c>
      <c r="G1408">
        <v>-201.99010000000001</v>
      </c>
      <c r="H1408" s="1">
        <v>3.0916420000000001E-6</v>
      </c>
      <c r="I1408">
        <v>284.70609999999999</v>
      </c>
      <c r="J1408">
        <v>-192.3356</v>
      </c>
      <c r="K1408">
        <v>1.117982</v>
      </c>
      <c r="L1408">
        <v>306.70080000000002</v>
      </c>
      <c r="M1408">
        <v>-9.6519750000000001E-2</v>
      </c>
      <c r="N1408">
        <v>-1.2333739999999999E-2</v>
      </c>
      <c r="O1408">
        <v>-0.99525469999999905</v>
      </c>
      <c r="P1408">
        <v>-0.23167399999999999</v>
      </c>
      <c r="Q1408">
        <v>0.17795229999999901</v>
      </c>
      <c r="R1408">
        <v>-0.95637899999999998</v>
      </c>
      <c r="S1408">
        <v>-1.2451779999999999</v>
      </c>
      <c r="T1408">
        <v>-0.1437322</v>
      </c>
      <c r="U1408">
        <v>-2.8652340000000001</v>
      </c>
      <c r="V1408">
        <v>0.13973540000000001</v>
      </c>
      <c r="W1408">
        <v>0.1888841</v>
      </c>
      <c r="X1408">
        <v>0.97200660000000005</v>
      </c>
      <c r="Y1408">
        <v>0.30784070000000002</v>
      </c>
      <c r="Z1408">
        <v>3.4366069999999999E-2</v>
      </c>
      <c r="AA1408">
        <v>0.95081700000000002</v>
      </c>
      <c r="AB1408">
        <v>30</v>
      </c>
      <c r="AC1408">
        <v>-9.6545000000000094</v>
      </c>
      <c r="AD1408">
        <v>-1.1179789083580001</v>
      </c>
      <c r="AE1408">
        <v>-21.994700000000002</v>
      </c>
      <c r="AF1408">
        <v>7.4701503724703304</v>
      </c>
      <c r="AG1408">
        <v>-1.1179789083580001</v>
      </c>
      <c r="AH1408">
        <v>22.774577873740999</v>
      </c>
      <c r="AI1408">
        <v>92.670560415415693</v>
      </c>
      <c r="AJ1408">
        <v>71.840307764319505</v>
      </c>
      <c r="AK1408">
        <v>23.994466461122801</v>
      </c>
      <c r="AL1408">
        <v>79.112331369187203</v>
      </c>
      <c r="AM1408">
        <v>81.819224285177896</v>
      </c>
      <c r="AN1408">
        <v>1.00000000784476</v>
      </c>
    </row>
    <row r="1409" spans="1:40" x14ac:dyDescent="0.25">
      <c r="A1409" t="str">
        <f>"20190303170524528"</f>
        <v>20190303170524528</v>
      </c>
      <c r="B1409" t="str">
        <f>"1551603924516410"</f>
        <v>1551603924516410</v>
      </c>
      <c r="C1409" t="s">
        <v>40</v>
      </c>
      <c r="D1409">
        <v>5.3970070000000003</v>
      </c>
      <c r="E1409">
        <v>0.57407759999999997</v>
      </c>
      <c r="F1409" t="s">
        <v>52</v>
      </c>
      <c r="G1409">
        <v>-202.03030000000001</v>
      </c>
      <c r="H1409" s="1">
        <v>3.1079439999999999E-6</v>
      </c>
      <c r="I1409">
        <v>284.72399999999999</v>
      </c>
      <c r="J1409">
        <v>-192.36760000000001</v>
      </c>
      <c r="K1409">
        <v>1.117915</v>
      </c>
      <c r="L1409">
        <v>306.41320000000002</v>
      </c>
      <c r="M1409">
        <v>-0.1003986</v>
      </c>
      <c r="N1409">
        <v>-1.241564E-2</v>
      </c>
      <c r="O1409">
        <v>-0.99486980000000003</v>
      </c>
      <c r="P1409">
        <v>-0.235651</v>
      </c>
      <c r="Q1409">
        <v>0.17647699999999999</v>
      </c>
      <c r="R1409">
        <v>-0.95568030000000004</v>
      </c>
      <c r="S1409">
        <v>-1.260956</v>
      </c>
      <c r="T1409">
        <v>-0.14541099999999901</v>
      </c>
      <c r="U1409">
        <v>-2.8584290000000001</v>
      </c>
      <c r="V1409">
        <v>0.13998729999999901</v>
      </c>
      <c r="W1409">
        <v>0.18746370000000001</v>
      </c>
      <c r="X1409">
        <v>0.97224529999999998</v>
      </c>
      <c r="Y1409">
        <v>0.30935200000000002</v>
      </c>
      <c r="Z1409">
        <v>3.4853839999999997E-2</v>
      </c>
      <c r="AA1409">
        <v>0.95030870000000001</v>
      </c>
      <c r="AB1409">
        <v>30</v>
      </c>
      <c r="AC1409">
        <v>-9.6626999999999992</v>
      </c>
      <c r="AD1409">
        <v>-1.1179118920559901</v>
      </c>
      <c r="AE1409">
        <v>-21.6892</v>
      </c>
      <c r="AF1409">
        <v>7.4196895535585803</v>
      </c>
      <c r="AG1409">
        <v>-1.1179118920559901</v>
      </c>
      <c r="AH1409">
        <v>22.4999157112719</v>
      </c>
      <c r="AI1409">
        <v>92.701540318974693</v>
      </c>
      <c r="AJ1409">
        <v>71.749241990307297</v>
      </c>
      <c r="AK1409">
        <v>23.718088605196002</v>
      </c>
      <c r="AL1409">
        <v>79.195194541936203</v>
      </c>
      <c r="AM1409">
        <v>81.806661754570698</v>
      </c>
      <c r="AN1409">
        <v>1.0000000031755301</v>
      </c>
    </row>
    <row r="1410" spans="1:40" x14ac:dyDescent="0.25">
      <c r="A1410" t="str">
        <f>"20190303170524550"</f>
        <v>20190303170524550</v>
      </c>
      <c r="B1410" t="str">
        <f>"1551603924535928"</f>
        <v>1551603924535928</v>
      </c>
      <c r="C1410" t="s">
        <v>40</v>
      </c>
      <c r="D1410">
        <v>5.4133339999999999</v>
      </c>
      <c r="E1410">
        <v>0.57413159999999996</v>
      </c>
      <c r="F1410" t="s">
        <v>52</v>
      </c>
      <c r="G1410">
        <v>-201.87710000000001</v>
      </c>
      <c r="H1410" s="1">
        <v>3.0062199999999998E-6</v>
      </c>
      <c r="I1410">
        <v>285.1103</v>
      </c>
      <c r="J1410">
        <v>-192.40180000000001</v>
      </c>
      <c r="K1410">
        <v>1.1178429999999999</v>
      </c>
      <c r="L1410">
        <v>306.11750000000001</v>
      </c>
      <c r="M1410">
        <v>-0.10448399999999999</v>
      </c>
      <c r="N1410">
        <v>-1.250413E-2</v>
      </c>
      <c r="O1410">
        <v>-0.99444809999999995</v>
      </c>
      <c r="P1410">
        <v>-0.24077109999999999</v>
      </c>
      <c r="Q1410">
        <v>0.175008</v>
      </c>
      <c r="R1410">
        <v>-0.95467369999999996</v>
      </c>
      <c r="S1410">
        <v>-1.2734379999999901</v>
      </c>
      <c r="T1410">
        <v>-0.14970240000000001</v>
      </c>
      <c r="U1410">
        <v>-2.852722</v>
      </c>
      <c r="V1410">
        <v>0.14120379999999999</v>
      </c>
      <c r="W1410">
        <v>0.18604660000000001</v>
      </c>
      <c r="X1410">
        <v>0.97234160000000003</v>
      </c>
      <c r="Y1410">
        <v>0.30959809999999999</v>
      </c>
      <c r="Z1410">
        <v>3.6179379999999997E-2</v>
      </c>
      <c r="AA1410">
        <v>0.950179</v>
      </c>
      <c r="AB1410">
        <v>30</v>
      </c>
      <c r="AC1410">
        <v>-9.4753000000000007</v>
      </c>
      <c r="AD1410">
        <v>-1.1178399937800001</v>
      </c>
      <c r="AE1410">
        <v>-21.007200000000001</v>
      </c>
      <c r="AF1410">
        <v>7.2113745217384899</v>
      </c>
      <c r="AG1410">
        <v>-1.1178399937800001</v>
      </c>
      <c r="AH1410">
        <v>21.830929881976601</v>
      </c>
      <c r="AI1410">
        <v>92.783553242537707</v>
      </c>
      <c r="AJ1410">
        <v>71.720147434890094</v>
      </c>
      <c r="AK1410">
        <v>23.018318536683999</v>
      </c>
      <c r="AL1410">
        <v>79.277842635084596</v>
      </c>
      <c r="AM1410">
        <v>81.737247287432893</v>
      </c>
      <c r="AN1410">
        <v>1.0000000187982701</v>
      </c>
    </row>
    <row r="1411" spans="1:40" x14ac:dyDescent="0.25">
      <c r="A1411" t="str">
        <f>"20190303170524573"</f>
        <v>20190303170524573</v>
      </c>
      <c r="B1411" t="str">
        <f>"1551603924566185"</f>
        <v>1551603924566185</v>
      </c>
      <c r="C1411" t="s">
        <v>40</v>
      </c>
      <c r="D1411">
        <v>5.3992009999999997</v>
      </c>
      <c r="E1411">
        <v>0.57411140000000005</v>
      </c>
      <c r="F1411" t="s">
        <v>52</v>
      </c>
      <c r="G1411">
        <v>-201.73869999999999</v>
      </c>
      <c r="H1411" s="1">
        <v>2.908832E-6</v>
      </c>
      <c r="I1411">
        <v>285.5224</v>
      </c>
      <c r="J1411">
        <v>-192.43879999999999</v>
      </c>
      <c r="K1411">
        <v>1.1177760000000001</v>
      </c>
      <c r="L1411">
        <v>305.8098</v>
      </c>
      <c r="M1411">
        <v>-0.1088512</v>
      </c>
      <c r="N1411">
        <v>-1.2609230000000001E-2</v>
      </c>
      <c r="O1411">
        <v>-0.99397809999999998</v>
      </c>
      <c r="P1411">
        <v>-0.2467027</v>
      </c>
      <c r="Q1411">
        <v>0.17561450000000001</v>
      </c>
      <c r="R1411">
        <v>-0.95304639999999996</v>
      </c>
      <c r="S1411">
        <v>-1.289963</v>
      </c>
      <c r="T1411">
        <v>-0.15443789999999999</v>
      </c>
      <c r="U1411">
        <v>-2.845367</v>
      </c>
      <c r="V1411">
        <v>0.143038</v>
      </c>
      <c r="W1411">
        <v>0.1867076</v>
      </c>
      <c r="X1411">
        <v>0.97194669999999905</v>
      </c>
      <c r="Y1411">
        <v>0.31089609999999901</v>
      </c>
      <c r="Z1411">
        <v>3.7634090000000002E-2</v>
      </c>
      <c r="AA1411">
        <v>0.9496985</v>
      </c>
      <c r="AB1411">
        <v>30</v>
      </c>
      <c r="AC1411">
        <v>-9.2998999999999992</v>
      </c>
      <c r="AD1411">
        <v>-1.1177730911679999</v>
      </c>
      <c r="AE1411">
        <v>-20.287399999999899</v>
      </c>
      <c r="AF1411">
        <v>7.0185420858223297</v>
      </c>
      <c r="AG1411">
        <v>-1.1177730911679999</v>
      </c>
      <c r="AH1411">
        <v>21.126224074591899</v>
      </c>
      <c r="AI1411">
        <v>92.874458328497099</v>
      </c>
      <c r="AJ1411">
        <v>71.622510206497694</v>
      </c>
      <c r="AK1411">
        <v>22.289609537712</v>
      </c>
      <c r="AL1411">
        <v>79.239294412284295</v>
      </c>
      <c r="AM1411">
        <v>81.628074814651498</v>
      </c>
      <c r="AN1411">
        <v>0.99999999249132399</v>
      </c>
    </row>
    <row r="1412" spans="1:40" x14ac:dyDescent="0.25">
      <c r="A1412" t="str">
        <f>"20190303170524595"</f>
        <v>20190303170524595</v>
      </c>
      <c r="B1412" t="str">
        <f>"1551603924585704"</f>
        <v>1551603924585704</v>
      </c>
      <c r="C1412" t="s">
        <v>40</v>
      </c>
      <c r="D1412">
        <v>5.4129880000000004</v>
      </c>
      <c r="E1412">
        <v>0.57405050000000002</v>
      </c>
      <c r="F1412" t="s">
        <v>52</v>
      </c>
      <c r="G1412">
        <v>-201.91460000000001</v>
      </c>
      <c r="H1412" s="1">
        <v>3.0124059999999999E-6</v>
      </c>
      <c r="I1412">
        <v>285.22949999999997</v>
      </c>
      <c r="J1412">
        <v>-192.476</v>
      </c>
      <c r="K1412">
        <v>1.117712</v>
      </c>
      <c r="L1412">
        <v>305.5127</v>
      </c>
      <c r="M1412">
        <v>-0.113190899999999</v>
      </c>
      <c r="N1412">
        <v>-1.273007E-2</v>
      </c>
      <c r="O1412">
        <v>-0.99349180000000004</v>
      </c>
      <c r="P1412">
        <v>-0.25198100000000001</v>
      </c>
      <c r="Q1412">
        <v>0.1763382</v>
      </c>
      <c r="R1412">
        <v>-0.95153069999999895</v>
      </c>
      <c r="S1412">
        <v>-1.3066409999999999</v>
      </c>
      <c r="T1412">
        <v>-0.15413370000000001</v>
      </c>
      <c r="U1412">
        <v>-2.8378909999999999</v>
      </c>
      <c r="V1412">
        <v>0.1442456</v>
      </c>
      <c r="W1412">
        <v>0.1875039</v>
      </c>
      <c r="X1412">
        <v>0.97161489999999995</v>
      </c>
      <c r="Y1412">
        <v>0.31230259999999999</v>
      </c>
      <c r="Z1412">
        <v>3.7446430000000003E-2</v>
      </c>
      <c r="AA1412">
        <v>0.94924439999999999</v>
      </c>
      <c r="AB1412">
        <v>30</v>
      </c>
      <c r="AC1412">
        <v>-9.4385999999999992</v>
      </c>
      <c r="AD1412">
        <v>-1.1177089875940001</v>
      </c>
      <c r="AE1412">
        <v>-20.283200000000001</v>
      </c>
      <c r="AF1412">
        <v>7.0642383517880702</v>
      </c>
      <c r="AG1412">
        <v>-1.1177089875940001</v>
      </c>
      <c r="AH1412">
        <v>21.168436072272701</v>
      </c>
      <c r="AI1412">
        <v>92.867287670456705</v>
      </c>
      <c r="AJ1412">
        <v>71.545338946027002</v>
      </c>
      <c r="AK1412">
        <v>22.3440243156357</v>
      </c>
      <c r="AL1412">
        <v>79.192849743758302</v>
      </c>
      <c r="AM1412">
        <v>81.5555677943847</v>
      </c>
      <c r="AN1412">
        <v>1.00000000976829</v>
      </c>
    </row>
    <row r="1413" spans="1:40" x14ac:dyDescent="0.25">
      <c r="A1413" t="str">
        <f>"20190303170524617"</f>
        <v>20190303170524617</v>
      </c>
      <c r="B1413" t="str">
        <f>"1551603924606148"</f>
        <v>1551603924606148</v>
      </c>
      <c r="C1413" t="s">
        <v>40</v>
      </c>
      <c r="D1413">
        <v>5.4026069999999997</v>
      </c>
      <c r="E1413">
        <v>0.57399829999999996</v>
      </c>
      <c r="F1413" t="s">
        <v>52</v>
      </c>
      <c r="G1413">
        <v>-202.15289999999999</v>
      </c>
      <c r="H1413" s="1">
        <v>3.1565909999999999E-6</v>
      </c>
      <c r="I1413">
        <v>284.7894</v>
      </c>
      <c r="J1413">
        <v>-192.51519999999999</v>
      </c>
      <c r="K1413">
        <v>1.1176330000000001</v>
      </c>
      <c r="L1413">
        <v>305.21120000000002</v>
      </c>
      <c r="M1413">
        <v>-0.117729</v>
      </c>
      <c r="N1413">
        <v>-1.287025E-2</v>
      </c>
      <c r="O1413">
        <v>-0.99296240000000002</v>
      </c>
      <c r="P1413">
        <v>-0.2573666</v>
      </c>
      <c r="Q1413">
        <v>0.17645949999999999</v>
      </c>
      <c r="R1413">
        <v>-0.95006559999999995</v>
      </c>
      <c r="S1413">
        <v>-1.32196</v>
      </c>
      <c r="T1413">
        <v>-0.152689299999999</v>
      </c>
      <c r="U1413">
        <v>-2.830994</v>
      </c>
      <c r="V1413">
        <v>0.14536299999999999</v>
      </c>
      <c r="W1413">
        <v>0.1877143</v>
      </c>
      <c r="X1413">
        <v>0.97140769999999999</v>
      </c>
      <c r="Y1413">
        <v>0.31307449999999998</v>
      </c>
      <c r="Z1413">
        <v>3.6869440000000003E-2</v>
      </c>
      <c r="AA1413">
        <v>0.94901259999999998</v>
      </c>
      <c r="AB1413">
        <v>30</v>
      </c>
      <c r="AC1413">
        <v>-9.6376999999999899</v>
      </c>
      <c r="AD1413">
        <v>-1.117629843409</v>
      </c>
      <c r="AE1413">
        <v>-20.421800000000001</v>
      </c>
      <c r="AF1413">
        <v>7.14871792814413</v>
      </c>
      <c r="AG1413">
        <v>-1.117629843409</v>
      </c>
      <c r="AH1413">
        <v>21.362161986869701</v>
      </c>
      <c r="AI1413">
        <v>92.840335779725393</v>
      </c>
      <c r="AJ1413">
        <v>71.497495066878798</v>
      </c>
      <c r="AK1413">
        <v>22.5542729706881</v>
      </c>
      <c r="AL1413">
        <v>79.180576572990304</v>
      </c>
      <c r="AM1413">
        <v>81.489318529477003</v>
      </c>
      <c r="AN1413">
        <v>0.99999998990639005</v>
      </c>
    </row>
    <row r="1414" spans="1:40" x14ac:dyDescent="0.25">
      <c r="A1414" t="str">
        <f>"20190303170524640"</f>
        <v>20190303170524640</v>
      </c>
      <c r="B1414" t="str">
        <f>"1551603924625667"</f>
        <v>1551603924625667</v>
      </c>
      <c r="C1414" t="s">
        <v>40</v>
      </c>
      <c r="D1414">
        <v>5.4244599999999998</v>
      </c>
      <c r="E1414">
        <v>0.5739959</v>
      </c>
      <c r="F1414" t="s">
        <v>52</v>
      </c>
      <c r="G1414">
        <v>-202.34209999999999</v>
      </c>
      <c r="H1414" s="1">
        <v>3.2673189999999999E-6</v>
      </c>
      <c r="I1414">
        <v>284.48250000000002</v>
      </c>
      <c r="J1414">
        <v>-192.55430000000001</v>
      </c>
      <c r="K1414">
        <v>1.117537</v>
      </c>
      <c r="L1414">
        <v>304.92149999999998</v>
      </c>
      <c r="M1414">
        <v>-0.1222304</v>
      </c>
      <c r="N1414">
        <v>-1.3012569999999999E-2</v>
      </c>
      <c r="O1414">
        <v>-0.99241639999999998</v>
      </c>
      <c r="P1414">
        <v>-0.2641812</v>
      </c>
      <c r="Q1414">
        <v>0.17615210000000001</v>
      </c>
      <c r="R1414">
        <v>-0.94825020000000004</v>
      </c>
      <c r="S1414">
        <v>-1.3385009999999999</v>
      </c>
      <c r="T1414">
        <v>-0.15222929999999901</v>
      </c>
      <c r="U1414">
        <v>-2.8233950000000001</v>
      </c>
      <c r="V1414">
        <v>0.1479791</v>
      </c>
      <c r="W1414">
        <v>0.1874796</v>
      </c>
      <c r="X1414">
        <v>0.97105799999999998</v>
      </c>
      <c r="Y1414">
        <v>0.31429869999999999</v>
      </c>
      <c r="Z1414">
        <v>3.6609910000000002E-2</v>
      </c>
      <c r="AA1414">
        <v>0.94861790000000001</v>
      </c>
      <c r="AB1414">
        <v>30</v>
      </c>
      <c r="AC1414">
        <v>-9.7877999999999705</v>
      </c>
      <c r="AD1414">
        <v>-1.117533732681</v>
      </c>
      <c r="AE1414">
        <v>-20.438999999999901</v>
      </c>
      <c r="AF1414">
        <v>7.1984119730475102</v>
      </c>
      <c r="AG1414">
        <v>-1.117533732681</v>
      </c>
      <c r="AH1414">
        <v>21.430070774839301</v>
      </c>
      <c r="AI1414">
        <v>92.830034886864496</v>
      </c>
      <c r="AJ1414">
        <v>71.432676985427406</v>
      </c>
      <c r="AK1414">
        <v>22.6343533150831</v>
      </c>
      <c r="AL1414">
        <v>79.194267354967806</v>
      </c>
      <c r="AM1414">
        <v>81.335382657122807</v>
      </c>
      <c r="AN1414">
        <v>1.0000000269084801</v>
      </c>
    </row>
    <row r="1415" spans="1:40" x14ac:dyDescent="0.25">
      <c r="A1415" t="str">
        <f>"20190303170524665"</f>
        <v>20190303170524665</v>
      </c>
      <c r="B1415" t="str">
        <f>"1551603924655923"</f>
        <v>1551603924655923</v>
      </c>
      <c r="C1415" t="s">
        <v>40</v>
      </c>
      <c r="D1415">
        <v>5.4027440000000002</v>
      </c>
      <c r="E1415">
        <v>0.57398400000000005</v>
      </c>
      <c r="F1415" t="s">
        <v>52</v>
      </c>
      <c r="G1415">
        <v>-202.40219999999999</v>
      </c>
      <c r="H1415" s="1">
        <v>3.2904790000000001E-6</v>
      </c>
      <c r="I1415">
        <v>284.52260000000001</v>
      </c>
      <c r="J1415">
        <v>-192.60069999999999</v>
      </c>
      <c r="K1415">
        <v>1.117415</v>
      </c>
      <c r="L1415">
        <v>304.59120000000001</v>
      </c>
      <c r="M1415">
        <v>-0.1275568</v>
      </c>
      <c r="N1415">
        <v>-1.3172680000000001E-2</v>
      </c>
      <c r="O1415">
        <v>-0.99174399999999996</v>
      </c>
      <c r="P1415">
        <v>-0.2722446</v>
      </c>
      <c r="Q1415">
        <v>0.1759714</v>
      </c>
      <c r="R1415">
        <v>-0.94600079999999998</v>
      </c>
      <c r="S1415">
        <v>-1.3584750000000001</v>
      </c>
      <c r="T1415">
        <v>-0.15415799999999999</v>
      </c>
      <c r="U1415">
        <v>-2.8139340000000002</v>
      </c>
      <c r="V1415">
        <v>0.1510976</v>
      </c>
      <c r="W1415">
        <v>0.18737000000000001</v>
      </c>
      <c r="X1415">
        <v>0.97059879999999998</v>
      </c>
      <c r="Y1415">
        <v>0.31589970000000001</v>
      </c>
      <c r="Z1415">
        <v>3.7112190000000003E-2</v>
      </c>
      <c r="AA1415">
        <v>0.94806650000000003</v>
      </c>
      <c r="AB1415">
        <v>30</v>
      </c>
      <c r="AC1415">
        <v>-9.8015000000000008</v>
      </c>
      <c r="AD1415">
        <v>-1.1174117095209899</v>
      </c>
      <c r="AE1415">
        <v>-20.0686</v>
      </c>
      <c r="AF1415">
        <v>7.1434312914256104</v>
      </c>
      <c r="AG1415">
        <v>-1.1174117095209899</v>
      </c>
      <c r="AH1415">
        <v>21.102171093295201</v>
      </c>
      <c r="AI1415">
        <v>92.871353734848398</v>
      </c>
      <c r="AJ1415">
        <v>71.298196253516295</v>
      </c>
      <c r="AK1415">
        <v>22.3064753915673</v>
      </c>
      <c r="AL1415">
        <v>79.200660143017103</v>
      </c>
      <c r="AM1415">
        <v>81.151524806295399</v>
      </c>
      <c r="AN1415">
        <v>1.00000001609359</v>
      </c>
    </row>
    <row r="1416" spans="1:40" x14ac:dyDescent="0.25">
      <c r="A1416" t="str">
        <f>"20190303170524685"</f>
        <v>20190303170524685</v>
      </c>
      <c r="B1416" t="str">
        <f>"1551603924676419"</f>
        <v>1551603924676419</v>
      </c>
      <c r="C1416" t="s">
        <v>40</v>
      </c>
      <c r="D1416">
        <v>5.42049</v>
      </c>
      <c r="E1416">
        <v>0.57396380000000002</v>
      </c>
      <c r="F1416" t="s">
        <v>52</v>
      </c>
      <c r="G1416">
        <v>-202.39670000000001</v>
      </c>
      <c r="H1416" s="1">
        <v>3.2722830000000002E-6</v>
      </c>
      <c r="I1416">
        <v>284.70240000000001</v>
      </c>
      <c r="J1416">
        <v>-192.6413</v>
      </c>
      <c r="K1416">
        <v>1.1173029999999999</v>
      </c>
      <c r="L1416">
        <v>304.31420000000003</v>
      </c>
      <c r="M1416">
        <v>-0.13220009999999999</v>
      </c>
      <c r="N1416">
        <v>-1.3299139999999999E-2</v>
      </c>
      <c r="O1416">
        <v>-0.99113410000000002</v>
      </c>
      <c r="P1416">
        <v>-0.28010869999999999</v>
      </c>
      <c r="Q1416">
        <v>0.1751858</v>
      </c>
      <c r="R1416">
        <v>-0.94384840000000003</v>
      </c>
      <c r="S1416">
        <v>-1.380676</v>
      </c>
      <c r="T1416">
        <v>-0.15749189999999999</v>
      </c>
      <c r="U1416">
        <v>-2.8031920000000001</v>
      </c>
      <c r="V1416">
        <v>0.15466839999999901</v>
      </c>
      <c r="W1416">
        <v>0.18662239999999999</v>
      </c>
      <c r="X1416">
        <v>0.9701803</v>
      </c>
      <c r="Y1416">
        <v>0.318916799999999</v>
      </c>
      <c r="Z1416">
        <v>3.8104359999999997E-2</v>
      </c>
      <c r="AA1416">
        <v>0.94701639999999998</v>
      </c>
      <c r="AB1416">
        <v>30</v>
      </c>
      <c r="AC1416">
        <v>-9.7553999999999998</v>
      </c>
      <c r="AD1416">
        <v>-1.117299727717</v>
      </c>
      <c r="AE1416">
        <v>-19.611799999999999</v>
      </c>
      <c r="AF1416">
        <v>7.05848628045627</v>
      </c>
      <c r="AG1416">
        <v>-1.117299727717</v>
      </c>
      <c r="AH1416">
        <v>20.675620740843399</v>
      </c>
      <c r="AI1416">
        <v>92.927634192497706</v>
      </c>
      <c r="AJ1416">
        <v>71.150518797539206</v>
      </c>
      <c r="AK1416">
        <v>21.875828676238498</v>
      </c>
      <c r="AL1416">
        <v>79.244263695095498</v>
      </c>
      <c r="AM1416">
        <v>80.941998104144304</v>
      </c>
      <c r="AN1416">
        <v>1.0000000243242</v>
      </c>
    </row>
    <row r="1417" spans="1:40" x14ac:dyDescent="0.25">
      <c r="A1417" t="str">
        <f>"20190303170524709"</f>
        <v>20190303170524709</v>
      </c>
      <c r="B1417" t="str">
        <f>"1551603924695939"</f>
        <v>1551603924695939</v>
      </c>
      <c r="C1417" t="s">
        <v>40</v>
      </c>
      <c r="D1417">
        <v>5.4106110000000003</v>
      </c>
      <c r="E1417">
        <v>0.57258719999999996</v>
      </c>
      <c r="F1417" t="s">
        <v>52</v>
      </c>
      <c r="G1417">
        <v>-202.3536</v>
      </c>
      <c r="H1417" s="1">
        <v>3.228933E-6</v>
      </c>
      <c r="I1417">
        <v>284.97969999999998</v>
      </c>
      <c r="J1417">
        <v>-192.68620000000001</v>
      </c>
      <c r="K1417">
        <v>1.117189</v>
      </c>
      <c r="L1417">
        <v>304.01929999999999</v>
      </c>
      <c r="M1417">
        <v>-0.137294</v>
      </c>
      <c r="N1417">
        <v>-1.3424810000000001E-2</v>
      </c>
      <c r="O1417">
        <v>-0.99043950000000003</v>
      </c>
      <c r="P1417">
        <v>-0.28797030000000001</v>
      </c>
      <c r="Q1417">
        <v>0.17419509999999999</v>
      </c>
      <c r="R1417">
        <v>-0.94166329999999998</v>
      </c>
      <c r="S1417">
        <v>-1.4025879999999999</v>
      </c>
      <c r="T1417">
        <v>-0.16135379999999999</v>
      </c>
      <c r="U1417">
        <v>-2.7921749999999999</v>
      </c>
      <c r="V1417">
        <v>0.15780039999999901</v>
      </c>
      <c r="W1417">
        <v>0.18567220000000001</v>
      </c>
      <c r="X1417">
        <v>0.9698582</v>
      </c>
      <c r="Y1417">
        <v>0.32145079999999998</v>
      </c>
      <c r="Z1417">
        <v>3.9272210000000002E-2</v>
      </c>
      <c r="AA1417">
        <v>0.94611160000000005</v>
      </c>
      <c r="AB1417">
        <v>30</v>
      </c>
      <c r="AC1417">
        <v>-9.6673999999999793</v>
      </c>
      <c r="AD1417">
        <v>-1.1171857710669999</v>
      </c>
      <c r="AE1417">
        <v>-19.0396</v>
      </c>
      <c r="AF1417">
        <v>6.94257461778174</v>
      </c>
      <c r="AG1417">
        <v>-1.1171857710669999</v>
      </c>
      <c r="AH1417">
        <v>20.131558619630301</v>
      </c>
      <c r="AI1417">
        <v>93.003111662993206</v>
      </c>
      <c r="AJ1417">
        <v>70.972720655195005</v>
      </c>
      <c r="AK1417">
        <v>21.324331146044202</v>
      </c>
      <c r="AL1417">
        <v>79.299674688954596</v>
      </c>
      <c r="AM1417">
        <v>80.758692451562894</v>
      </c>
      <c r="AN1417">
        <v>1.00000003010011</v>
      </c>
    </row>
    <row r="1418" spans="1:40" x14ac:dyDescent="0.25">
      <c r="A1418" t="str">
        <f>"20190303170524729"</f>
        <v>20190303170524729</v>
      </c>
      <c r="B1418" t="str">
        <f>"1551603924715846"</f>
        <v>1551603924715846</v>
      </c>
      <c r="C1418" t="s">
        <v>40</v>
      </c>
      <c r="D1418">
        <v>5.4042209999999997</v>
      </c>
      <c r="E1418">
        <v>0.57206299999999999</v>
      </c>
      <c r="F1418" t="s">
        <v>52</v>
      </c>
      <c r="G1418">
        <v>-200.9014</v>
      </c>
      <c r="H1418" s="1">
        <v>2.3352499999999998E-6</v>
      </c>
      <c r="I1418">
        <v>287.83609999999999</v>
      </c>
      <c r="J1418">
        <v>-192.7296</v>
      </c>
      <c r="K1418">
        <v>1.1170770000000001</v>
      </c>
      <c r="L1418">
        <v>303.7441</v>
      </c>
      <c r="M1418">
        <v>-0.14219689999999999</v>
      </c>
      <c r="N1418">
        <v>-1.353707E-2</v>
      </c>
      <c r="O1418">
        <v>-0.98974589999999996</v>
      </c>
      <c r="P1418">
        <v>-0.29483150000000002</v>
      </c>
      <c r="Q1418">
        <v>0.1724378</v>
      </c>
      <c r="R1418">
        <v>-0.93986170000000002</v>
      </c>
      <c r="S1418">
        <v>-1.4155879999999901</v>
      </c>
      <c r="T1418">
        <v>-0.19250600000000001</v>
      </c>
      <c r="U1418">
        <v>-2.7885740000000001</v>
      </c>
      <c r="V1418">
        <v>0.16006479999999901</v>
      </c>
      <c r="W1418">
        <v>0.1839576</v>
      </c>
      <c r="X1418">
        <v>0.96981379999999995</v>
      </c>
      <c r="Y1418">
        <v>0.32054539999999998</v>
      </c>
      <c r="Z1418">
        <v>4.919395E-2</v>
      </c>
      <c r="AA1418">
        <v>0.94595490000000004</v>
      </c>
      <c r="AB1418">
        <v>30</v>
      </c>
      <c r="AC1418">
        <v>-8.1717999999999904</v>
      </c>
      <c r="AD1418">
        <v>-1.1170746647499901</v>
      </c>
      <c r="AE1418">
        <v>-15.907999999999999</v>
      </c>
      <c r="AF1418">
        <v>5.8038272477543096</v>
      </c>
      <c r="AG1418">
        <v>-1.1170746647499901</v>
      </c>
      <c r="AH1418">
        <v>16.842719100520799</v>
      </c>
      <c r="AI1418">
        <v>93.588057586062405</v>
      </c>
      <c r="AJ1418">
        <v>70.986577119162206</v>
      </c>
      <c r="AK1418">
        <v>17.849634540444999</v>
      </c>
      <c r="AL1418">
        <v>79.399635427582396</v>
      </c>
      <c r="AM1418">
        <v>80.627996742856993</v>
      </c>
      <c r="AN1418">
        <v>0.99999997273361896</v>
      </c>
    </row>
    <row r="1419" spans="1:40" x14ac:dyDescent="0.25">
      <c r="A1419" t="str">
        <f>"20190303170524752"</f>
        <v>20190303170524752</v>
      </c>
      <c r="B1419" t="str">
        <f>"1551603924746102"</f>
        <v>1551603924746102</v>
      </c>
      <c r="C1419" t="s">
        <v>40</v>
      </c>
      <c r="D1419">
        <v>5.4351000000000003</v>
      </c>
      <c r="E1419">
        <v>0.57173319999999905</v>
      </c>
      <c r="F1419" t="s">
        <v>52</v>
      </c>
      <c r="G1419">
        <v>-200.95519999999999</v>
      </c>
      <c r="H1419" s="1">
        <v>2.363656E-6</v>
      </c>
      <c r="I1419">
        <v>287.78410000000002</v>
      </c>
      <c r="J1419">
        <v>-192.78059999999999</v>
      </c>
      <c r="K1419">
        <v>1.116943</v>
      </c>
      <c r="L1419">
        <v>303.43299999999999</v>
      </c>
      <c r="M1419">
        <v>-0.14794740000000001</v>
      </c>
      <c r="N1419">
        <v>-1.365768E-2</v>
      </c>
      <c r="O1419">
        <v>-0.98890109999999998</v>
      </c>
      <c r="P1419">
        <v>-0.30228569999999999</v>
      </c>
      <c r="Q1419">
        <v>0.17121879999999901</v>
      </c>
      <c r="R1419">
        <v>-0.9377143</v>
      </c>
      <c r="S1419">
        <v>-1.4319759999999999</v>
      </c>
      <c r="T1419">
        <v>-0.19446930000000001</v>
      </c>
      <c r="U1419">
        <v>-2.7784420000000001</v>
      </c>
      <c r="V1419">
        <v>0.16214890000000001</v>
      </c>
      <c r="W1419">
        <v>0.18278050000000001</v>
      </c>
      <c r="X1419">
        <v>0.9696901</v>
      </c>
      <c r="Y1419">
        <v>0.32083430000000002</v>
      </c>
      <c r="Z1419">
        <v>4.9774520000000003E-2</v>
      </c>
      <c r="AA1419">
        <v>0.94582650000000001</v>
      </c>
      <c r="AB1419">
        <v>30</v>
      </c>
      <c r="AC1419">
        <v>-8.1745999999999892</v>
      </c>
      <c r="AD1419">
        <v>-1.116940636344</v>
      </c>
      <c r="AE1419">
        <v>-15.6488999999999</v>
      </c>
      <c r="AF1419">
        <v>5.7461961155586696</v>
      </c>
      <c r="AG1419">
        <v>-1.116940636344</v>
      </c>
      <c r="AH1419">
        <v>16.619662254076299</v>
      </c>
      <c r="AI1419">
        <v>93.634356558854606</v>
      </c>
      <c r="AJ1419">
        <v>70.9273338507886</v>
      </c>
      <c r="AK1419">
        <v>17.6204284744482</v>
      </c>
      <c r="AL1419">
        <v>79.468241153844104</v>
      </c>
      <c r="AM1419">
        <v>80.506987713682804</v>
      </c>
      <c r="AN1419">
        <v>0.99999993349473204</v>
      </c>
    </row>
    <row r="1420" spans="1:40" x14ac:dyDescent="0.25">
      <c r="A1420" t="str">
        <f>"20190303170524773"</f>
        <v>20190303170524773</v>
      </c>
      <c r="B1420" t="str">
        <f>"1551603924765622"</f>
        <v>1551603924765622</v>
      </c>
      <c r="C1420" t="s">
        <v>40</v>
      </c>
      <c r="D1420">
        <v>5.4177119999999999</v>
      </c>
      <c r="E1420">
        <v>0.57155900000000004</v>
      </c>
      <c r="F1420" t="s">
        <v>52</v>
      </c>
      <c r="G1420">
        <v>-200.9941</v>
      </c>
      <c r="H1420" s="1">
        <v>2.3816709999999998E-6</v>
      </c>
      <c r="I1420">
        <v>287.77499999999998</v>
      </c>
      <c r="J1420">
        <v>-192.82830000000001</v>
      </c>
      <c r="K1420">
        <v>1.1168100000000001</v>
      </c>
      <c r="L1420">
        <v>303.15269999999998</v>
      </c>
      <c r="M1420">
        <v>-0.15332989999999999</v>
      </c>
      <c r="N1420">
        <v>-1.3760680000000001E-2</v>
      </c>
      <c r="O1420">
        <v>-0.98807940000000005</v>
      </c>
      <c r="P1420">
        <v>-0.30918889999999999</v>
      </c>
      <c r="Q1420">
        <v>0.17005339999999999</v>
      </c>
      <c r="R1420">
        <v>-0.93567310000000004</v>
      </c>
      <c r="S1420">
        <v>-1.45163</v>
      </c>
      <c r="T1420">
        <v>-0.19740579999999999</v>
      </c>
      <c r="U1420">
        <v>-2.7673649999999999</v>
      </c>
      <c r="V1420">
        <v>0.1640366</v>
      </c>
      <c r="W1420">
        <v>0.1816403</v>
      </c>
      <c r="X1420">
        <v>0.96958690000000003</v>
      </c>
      <c r="Y1420">
        <v>0.32247559999999997</v>
      </c>
      <c r="Z1420">
        <v>5.0676369999999998E-2</v>
      </c>
      <c r="AA1420">
        <v>0.94522030000000001</v>
      </c>
      <c r="AB1420">
        <v>30</v>
      </c>
      <c r="AC1420">
        <v>-8.1657999999999902</v>
      </c>
      <c r="AD1420">
        <v>-1.1168076183290001</v>
      </c>
      <c r="AE1420">
        <v>-15.377700000000001</v>
      </c>
      <c r="AF1420">
        <v>5.6877364841758098</v>
      </c>
      <c r="AG1420">
        <v>-1.1168076183290001</v>
      </c>
      <c r="AH1420">
        <v>16.380610269302601</v>
      </c>
      <c r="AI1420">
        <v>93.685132366782</v>
      </c>
      <c r="AJ1420">
        <v>70.851785800934394</v>
      </c>
      <c r="AK1420">
        <v>17.375902807180001</v>
      </c>
      <c r="AL1420">
        <v>79.534682559369799</v>
      </c>
      <c r="AM1420">
        <v>80.397515265678706</v>
      </c>
      <c r="AN1420">
        <v>0.99999998068762896</v>
      </c>
    </row>
    <row r="1421" spans="1:40" x14ac:dyDescent="0.25">
      <c r="A1421" t="str">
        <f>"20190303170524796"</f>
        <v>20190303170524796</v>
      </c>
      <c r="B1421" t="str">
        <f>"1551603924786118"</f>
        <v>1551603924786118</v>
      </c>
      <c r="C1421" t="s">
        <v>40</v>
      </c>
      <c r="D1421">
        <v>5.3845260000000001</v>
      </c>
      <c r="E1421">
        <v>0.57558520000000002</v>
      </c>
      <c r="F1421" t="s">
        <v>52</v>
      </c>
      <c r="G1421">
        <v>-201.0154</v>
      </c>
      <c r="H1421" s="1">
        <v>2.3884939999999999E-6</v>
      </c>
      <c r="I1421">
        <v>287.80540000000002</v>
      </c>
      <c r="J1421">
        <v>-192.8819</v>
      </c>
      <c r="K1421">
        <v>1.1166499999999999</v>
      </c>
      <c r="L1421">
        <v>302.84969999999998</v>
      </c>
      <c r="M1421">
        <v>-0.15938039999999901</v>
      </c>
      <c r="N1421">
        <v>-1.386506E-2</v>
      </c>
      <c r="O1421">
        <v>-0.98712009999999994</v>
      </c>
      <c r="P1421">
        <v>-0.3161658</v>
      </c>
      <c r="Q1421">
        <v>0.16989699999999999</v>
      </c>
      <c r="R1421">
        <v>-0.93336750000000002</v>
      </c>
      <c r="S1421">
        <v>-1.470596</v>
      </c>
      <c r="T1421">
        <v>-0.20060459999999999</v>
      </c>
      <c r="U1421">
        <v>-2.7567439999999999</v>
      </c>
      <c r="V1421">
        <v>0.16540759999999999</v>
      </c>
      <c r="W1421">
        <v>0.1815001</v>
      </c>
      <c r="X1421">
        <v>0.96938029999999997</v>
      </c>
      <c r="Y1421">
        <v>0.32322329999999999</v>
      </c>
      <c r="Z1421">
        <v>5.165409E-2</v>
      </c>
      <c r="AA1421">
        <v>0.94491199999999997</v>
      </c>
      <c r="AB1421">
        <v>30</v>
      </c>
      <c r="AC1421">
        <v>-8.1334999999999908</v>
      </c>
      <c r="AD1421">
        <v>-1.116647611506</v>
      </c>
      <c r="AE1421">
        <v>-15.0442999999999</v>
      </c>
      <c r="AF1421">
        <v>5.60760887016027</v>
      </c>
      <c r="AG1421">
        <v>-1.116647611506</v>
      </c>
      <c r="AH1421">
        <v>16.079849523152401</v>
      </c>
      <c r="AI1421">
        <v>93.7515728672291</v>
      </c>
      <c r="AJ1421">
        <v>70.774540549787602</v>
      </c>
      <c r="AK1421">
        <v>17.066157734423001</v>
      </c>
      <c r="AL1421">
        <v>79.542852080110094</v>
      </c>
      <c r="AM1421">
        <v>80.316747264652605</v>
      </c>
      <c r="AN1421">
        <v>1.00000006323292</v>
      </c>
    </row>
    <row r="1422" spans="1:40" x14ac:dyDescent="0.25">
      <c r="A1422" t="str">
        <f>"20190303170524821"</f>
        <v>20190303170524821</v>
      </c>
      <c r="B1422" t="str">
        <f>"1551603924805638"</f>
        <v>1551603924805638</v>
      </c>
      <c r="C1422" t="s">
        <v>40</v>
      </c>
      <c r="D1422">
        <v>5.3461480000000003</v>
      </c>
      <c r="E1422">
        <v>0.57831379999999999</v>
      </c>
      <c r="F1422" t="s">
        <v>52</v>
      </c>
      <c r="G1422">
        <v>-201.8021</v>
      </c>
      <c r="H1422" s="1">
        <v>2.8220269999999999E-6</v>
      </c>
      <c r="I1422">
        <v>286.83690000000001</v>
      </c>
      <c r="J1422">
        <v>-192.9393</v>
      </c>
      <c r="K1422">
        <v>1.116458</v>
      </c>
      <c r="L1422">
        <v>302.53739999999999</v>
      </c>
      <c r="M1422">
        <v>-0.1658876</v>
      </c>
      <c r="N1422">
        <v>-1.396476E-2</v>
      </c>
      <c r="O1422">
        <v>-0.98604570000000002</v>
      </c>
      <c r="P1422">
        <v>-0.32339020000000002</v>
      </c>
      <c r="Q1422">
        <v>0.16962070000000001</v>
      </c>
      <c r="R1422">
        <v>-0.93093899999999996</v>
      </c>
      <c r="S1422">
        <v>-1.522537</v>
      </c>
      <c r="T1422">
        <v>-0.19059280000000001</v>
      </c>
      <c r="U1422">
        <v>-2.7331240000000001</v>
      </c>
      <c r="V1422">
        <v>0.166606</v>
      </c>
      <c r="W1422">
        <v>0.1812262</v>
      </c>
      <c r="X1422">
        <v>0.96922620000000004</v>
      </c>
      <c r="Y1422">
        <v>0.33424199999999998</v>
      </c>
      <c r="Z1422">
        <v>4.8350419999999998E-2</v>
      </c>
      <c r="AA1422">
        <v>0.94124629999999998</v>
      </c>
      <c r="AB1422">
        <v>30</v>
      </c>
      <c r="AC1422">
        <v>-8.8627999999999894</v>
      </c>
      <c r="AD1422">
        <v>-1.1164551779730001</v>
      </c>
      <c r="AE1422">
        <v>-15.7004999999999</v>
      </c>
      <c r="AF1422">
        <v>6.1117698314910296</v>
      </c>
      <c r="AG1422">
        <v>-1.1164551779730001</v>
      </c>
      <c r="AH1422">
        <v>16.888532075923798</v>
      </c>
      <c r="AI1422">
        <v>93.5570443420945</v>
      </c>
      <c r="AJ1422">
        <v>70.105379633160197</v>
      </c>
      <c r="AK1422">
        <v>17.9950748349946</v>
      </c>
      <c r="AL1422">
        <v>79.558808955144997</v>
      </c>
      <c r="AM1422">
        <v>80.246412511878404</v>
      </c>
      <c r="AN1422">
        <v>0.99999996078443898</v>
      </c>
    </row>
    <row r="1423" spans="1:40" x14ac:dyDescent="0.25">
      <c r="A1423" t="str">
        <f>"20190303170524840"</f>
        <v>20190303170524840</v>
      </c>
      <c r="B1423" t="str">
        <f>"1551603924826134"</f>
        <v>1551603924826134</v>
      </c>
      <c r="C1423" t="s">
        <v>40</v>
      </c>
      <c r="D1423">
        <v>5.3608500000000001</v>
      </c>
      <c r="E1423">
        <v>0.58033710000000005</v>
      </c>
      <c r="F1423" t="s">
        <v>52</v>
      </c>
      <c r="G1423">
        <v>-202.47059999999999</v>
      </c>
      <c r="H1423" s="1">
        <v>3.190016E-6</v>
      </c>
      <c r="I1423">
        <v>286.01870000000002</v>
      </c>
      <c r="J1423">
        <v>-192.98910000000001</v>
      </c>
      <c r="K1423">
        <v>1.1162859999999999</v>
      </c>
      <c r="L1423">
        <v>302.27760000000001</v>
      </c>
      <c r="M1423">
        <v>-0.171547799999999</v>
      </c>
      <c r="N1423">
        <v>-1.404188E-2</v>
      </c>
      <c r="O1423">
        <v>-0.9850757</v>
      </c>
      <c r="P1423">
        <v>-0.32960780000000001</v>
      </c>
      <c r="Q1423">
        <v>0.16872670000000001</v>
      </c>
      <c r="R1423">
        <v>-0.92891880000000004</v>
      </c>
      <c r="S1423">
        <v>-1.5650329999999999</v>
      </c>
      <c r="T1423">
        <v>-0.18331990000000001</v>
      </c>
      <c r="U1423">
        <v>-2.7123409999999999</v>
      </c>
      <c r="V1423">
        <v>0.16756289999999999</v>
      </c>
      <c r="W1423">
        <v>0.18032429999999999</v>
      </c>
      <c r="X1423">
        <v>0.96922949999999997</v>
      </c>
      <c r="Y1423">
        <v>0.34307130000000002</v>
      </c>
      <c r="Z1423">
        <v>4.596182E-2</v>
      </c>
      <c r="AA1423">
        <v>0.93818420000000002</v>
      </c>
      <c r="AB1423">
        <v>29</v>
      </c>
      <c r="AC1423">
        <v>-9.4814999999999792</v>
      </c>
      <c r="AD1423">
        <v>-1.1162828099840001</v>
      </c>
      <c r="AE1423">
        <v>-16.258899999999901</v>
      </c>
      <c r="AF1423">
        <v>6.5284985991093398</v>
      </c>
      <c r="AG1423">
        <v>-1.1162828099840001</v>
      </c>
      <c r="AH1423">
        <v>17.5826701875521</v>
      </c>
      <c r="AI1423">
        <v>93.406077095203202</v>
      </c>
      <c r="AJ1423">
        <v>69.629886339869799</v>
      </c>
      <c r="AK1423">
        <v>18.788764520177299</v>
      </c>
      <c r="AL1423">
        <v>79.611350084712498</v>
      </c>
      <c r="AM1423">
        <v>80.191510699838304</v>
      </c>
      <c r="AN1423">
        <v>1.0000000011485699</v>
      </c>
    </row>
    <row r="1424" spans="1:40" x14ac:dyDescent="0.25">
      <c r="A1424" t="str">
        <f>"20190303170524866"</f>
        <v>20190303170524866</v>
      </c>
      <c r="B1424" t="str">
        <f>"1551603924856390"</f>
        <v>1551603924856390</v>
      </c>
      <c r="C1424" t="s">
        <v>40</v>
      </c>
      <c r="D1424">
        <v>5.3381360000000004</v>
      </c>
      <c r="E1424">
        <v>0.58257749999999997</v>
      </c>
      <c r="F1424" t="s">
        <v>52</v>
      </c>
      <c r="G1424">
        <v>-202.8801</v>
      </c>
      <c r="H1424" s="1">
        <v>3.4083570000000001E-6</v>
      </c>
      <c r="I1424">
        <v>285.59840000000003</v>
      </c>
      <c r="J1424">
        <v>-193.05359999999999</v>
      </c>
      <c r="K1424">
        <v>1.1160600000000001</v>
      </c>
      <c r="L1424">
        <v>301.95370000000003</v>
      </c>
      <c r="M1424">
        <v>-0.17891699999999999</v>
      </c>
      <c r="N1424">
        <v>-1.413151E-2</v>
      </c>
      <c r="O1424">
        <v>-0.98376280000000005</v>
      </c>
      <c r="P1424">
        <v>-0.33774369999999998</v>
      </c>
      <c r="Q1424">
        <v>0.16822590000000001</v>
      </c>
      <c r="R1424">
        <v>-0.92608299999999999</v>
      </c>
      <c r="S1424">
        <v>-1.5982970000000001</v>
      </c>
      <c r="T1424">
        <v>-0.18037990000000001</v>
      </c>
      <c r="U1424">
        <v>-2.6951900000000002</v>
      </c>
      <c r="V1424">
        <v>0.16889189999999901</v>
      </c>
      <c r="W1424">
        <v>0.1797986</v>
      </c>
      <c r="X1424">
        <v>0.96909650000000003</v>
      </c>
      <c r="Y1424">
        <v>0.34725339999999999</v>
      </c>
      <c r="Z1424">
        <v>4.4955929999999998E-2</v>
      </c>
      <c r="AA1424">
        <v>0.93669309999999995</v>
      </c>
      <c r="AB1424">
        <v>29</v>
      </c>
      <c r="AC1424">
        <v>-9.82650000000001</v>
      </c>
      <c r="AD1424">
        <v>-1.1160565916429901</v>
      </c>
      <c r="AE1424">
        <v>-16.3553</v>
      </c>
      <c r="AF1424">
        <v>6.7183899727543404</v>
      </c>
      <c r="AG1424">
        <v>-1.1160565916429901</v>
      </c>
      <c r="AH1424">
        <v>17.788781260314501</v>
      </c>
      <c r="AI1424">
        <v>93.3590015002396</v>
      </c>
      <c r="AJ1424">
        <v>69.309668863726998</v>
      </c>
      <c r="AK1424">
        <v>19.0479154993157</v>
      </c>
      <c r="AL1424">
        <v>79.641971143945796</v>
      </c>
      <c r="AM1424">
        <v>80.113914929116007</v>
      </c>
      <c r="AN1424">
        <v>1.0000000183799</v>
      </c>
    </row>
    <row r="1425" spans="1:40" x14ac:dyDescent="0.25">
      <c r="A1425" t="str">
        <f>"20190303170524886"</f>
        <v>20190303170524886</v>
      </c>
      <c r="B1425" t="str">
        <f>"1551603924875910"</f>
        <v>1551603924875910</v>
      </c>
      <c r="C1425" t="s">
        <v>40</v>
      </c>
      <c r="D1425">
        <v>5.3556489999999997</v>
      </c>
      <c r="E1425">
        <v>0.58367690000000005</v>
      </c>
      <c r="F1425" t="s">
        <v>52</v>
      </c>
      <c r="G1425">
        <v>-203.46979999999999</v>
      </c>
      <c r="H1425" s="1">
        <v>3.7259830000000002E-6</v>
      </c>
      <c r="I1425">
        <v>284.95609999999999</v>
      </c>
      <c r="J1425">
        <v>-193.10980000000001</v>
      </c>
      <c r="K1425">
        <v>1.1158779999999999</v>
      </c>
      <c r="L1425">
        <v>301.68299999999999</v>
      </c>
      <c r="M1425">
        <v>-0.18534510000000001</v>
      </c>
      <c r="N1425">
        <v>-1.4201139999999999E-2</v>
      </c>
      <c r="O1425">
        <v>-0.98257099999999997</v>
      </c>
      <c r="P1425">
        <v>-0.34483839999999999</v>
      </c>
      <c r="Q1425">
        <v>0.16809479999999999</v>
      </c>
      <c r="R1425">
        <v>-0.92348839999999999</v>
      </c>
      <c r="S1425">
        <v>-1.638504</v>
      </c>
      <c r="T1425">
        <v>-0.17555989999999999</v>
      </c>
      <c r="U1425">
        <v>-2.6737980000000001</v>
      </c>
      <c r="V1425">
        <v>0.17007069999999999</v>
      </c>
      <c r="W1425">
        <v>0.17964050000000001</v>
      </c>
      <c r="X1425">
        <v>0.96891959999999999</v>
      </c>
      <c r="Y1425">
        <v>0.35473789999999999</v>
      </c>
      <c r="Z1425">
        <v>4.3374049999999997E-2</v>
      </c>
      <c r="AA1425">
        <v>0.93395919999999999</v>
      </c>
      <c r="AB1425">
        <v>29</v>
      </c>
      <c r="AC1425">
        <v>-10.3599999999999</v>
      </c>
      <c r="AD1425">
        <v>-1.115874274017</v>
      </c>
      <c r="AE1425">
        <v>-16.726900000000001</v>
      </c>
      <c r="AF1425">
        <v>7.0572000464438096</v>
      </c>
      <c r="AG1425">
        <v>-1.115874274017</v>
      </c>
      <c r="AH1425">
        <v>18.2985333946521</v>
      </c>
      <c r="AI1425">
        <v>93.256435401423701</v>
      </c>
      <c r="AJ1425">
        <v>68.909856565185393</v>
      </c>
      <c r="AK1425">
        <v>19.643970379893599</v>
      </c>
      <c r="AL1425">
        <v>79.651179050771901</v>
      </c>
      <c r="AM1425">
        <v>80.044508279047903</v>
      </c>
      <c r="AN1425">
        <v>0.99999997175144895</v>
      </c>
    </row>
    <row r="1426" spans="1:40" x14ac:dyDescent="0.25">
      <c r="A1426" t="str">
        <f>"20190303170524909"</f>
        <v>20190303170524909</v>
      </c>
      <c r="B1426" t="str">
        <f>"1551603924896406"</f>
        <v>1551603924896406</v>
      </c>
      <c r="C1426" t="s">
        <v>40</v>
      </c>
      <c r="D1426">
        <v>5.3502409999999996</v>
      </c>
      <c r="E1426">
        <v>0.58450409999999997</v>
      </c>
      <c r="F1426" t="s">
        <v>52</v>
      </c>
      <c r="G1426">
        <v>-203.87989999999999</v>
      </c>
      <c r="H1426" s="1">
        <v>3.946053E-6</v>
      </c>
      <c r="I1426">
        <v>284.51929999999999</v>
      </c>
      <c r="J1426">
        <v>-193.16980000000001</v>
      </c>
      <c r="K1426">
        <v>1.115702</v>
      </c>
      <c r="L1426">
        <v>301.40460000000002</v>
      </c>
      <c r="M1426">
        <v>-0.19216949999999999</v>
      </c>
      <c r="N1426">
        <v>-1.426682E-2</v>
      </c>
      <c r="O1426">
        <v>-0.98125810000000002</v>
      </c>
      <c r="P1426">
        <v>-0.35318339999999998</v>
      </c>
      <c r="Q1426">
        <v>0.16925119999999999</v>
      </c>
      <c r="R1426">
        <v>-0.92011739999999997</v>
      </c>
      <c r="S1426">
        <v>-1.6674500000000001</v>
      </c>
      <c r="T1426">
        <v>-0.17276159999999999</v>
      </c>
      <c r="U1426">
        <v>-2.6573180000000001</v>
      </c>
      <c r="V1426">
        <v>0.172244799999999</v>
      </c>
      <c r="W1426">
        <v>0.18075160000000001</v>
      </c>
      <c r="X1426">
        <v>0.96832879999999999</v>
      </c>
      <c r="Y1426">
        <v>0.35817100000000002</v>
      </c>
      <c r="Z1426">
        <v>4.2444450000000002E-2</v>
      </c>
      <c r="AA1426">
        <v>0.93269069999999998</v>
      </c>
      <c r="AB1426">
        <v>29</v>
      </c>
      <c r="AC1426">
        <v>-10.710099999999899</v>
      </c>
      <c r="AD1426">
        <v>-1.1156980539470001</v>
      </c>
      <c r="AE1426">
        <v>-16.885300000000001</v>
      </c>
      <c r="AF1426">
        <v>7.2427225239718203</v>
      </c>
      <c r="AG1426">
        <v>-1.1156980539470001</v>
      </c>
      <c r="AH1426">
        <v>18.571068427341199</v>
      </c>
      <c r="AI1426">
        <v>93.203571209404998</v>
      </c>
      <c r="AJ1426">
        <v>68.694200750400199</v>
      </c>
      <c r="AK1426">
        <v>19.964628577557299</v>
      </c>
      <c r="AL1426">
        <v>79.586458974219099</v>
      </c>
      <c r="AM1426">
        <v>79.913812224397105</v>
      </c>
      <c r="AN1426">
        <v>1.00000003846951</v>
      </c>
    </row>
    <row r="1427" spans="1:40" x14ac:dyDescent="0.25">
      <c r="A1427" t="str">
        <f>"20190303170524930"</f>
        <v>20190303170524930</v>
      </c>
      <c r="B1427" t="str">
        <f>"1551603924925687"</f>
        <v>1551603924925687</v>
      </c>
      <c r="C1427" t="s">
        <v>40</v>
      </c>
      <c r="D1427">
        <v>5.3633620000000004</v>
      </c>
      <c r="E1427">
        <v>0.58553630000000001</v>
      </c>
      <c r="F1427" t="s">
        <v>52</v>
      </c>
      <c r="G1427">
        <v>-204.5352</v>
      </c>
      <c r="H1427" s="1">
        <v>4.3047310000000003E-6</v>
      </c>
      <c r="I1427">
        <v>283.7405</v>
      </c>
      <c r="J1427">
        <v>-193.23480000000001</v>
      </c>
      <c r="K1427">
        <v>1.115543</v>
      </c>
      <c r="L1427">
        <v>301.11430000000001</v>
      </c>
      <c r="M1427">
        <v>-0.19951469999999999</v>
      </c>
      <c r="N1427">
        <v>-1.4327640000000001E-2</v>
      </c>
      <c r="O1427">
        <v>-0.97979000000000005</v>
      </c>
      <c r="P1427">
        <v>-0.36275429999999997</v>
      </c>
      <c r="Q1427">
        <v>0.1714426</v>
      </c>
      <c r="R1427">
        <v>-0.91597859999999998</v>
      </c>
      <c r="S1427">
        <v>-1.6981660000000001</v>
      </c>
      <c r="T1427">
        <v>-0.16670219999999999</v>
      </c>
      <c r="U1427">
        <v>-2.6392820000000001</v>
      </c>
      <c r="V1427">
        <v>0.1752744</v>
      </c>
      <c r="W1427">
        <v>0.18287900000000001</v>
      </c>
      <c r="X1427">
        <v>0.96738519999999995</v>
      </c>
      <c r="Y1427">
        <v>0.3618034</v>
      </c>
      <c r="Z1427">
        <v>4.0470359999999997E-2</v>
      </c>
      <c r="AA1427">
        <v>0.93137559999999997</v>
      </c>
      <c r="AB1427">
        <v>29</v>
      </c>
      <c r="AC1427">
        <v>-11.3003999999999</v>
      </c>
      <c r="AD1427">
        <v>-1.1155386952689901</v>
      </c>
      <c r="AE1427">
        <v>-17.373799999999999</v>
      </c>
      <c r="AF1427">
        <v>7.5844990445611602</v>
      </c>
      <c r="AG1427">
        <v>-1.1155386952689901</v>
      </c>
      <c r="AH1427">
        <v>19.223560065536098</v>
      </c>
      <c r="AI1427">
        <v>93.0898436370083</v>
      </c>
      <c r="AJ1427">
        <v>68.468690568930199</v>
      </c>
      <c r="AK1427">
        <v>20.6957559400681</v>
      </c>
      <c r="AL1427">
        <v>79.462501306740805</v>
      </c>
      <c r="AM1427">
        <v>79.730348999432906</v>
      </c>
      <c r="AN1427">
        <v>0.99999998455769901</v>
      </c>
    </row>
    <row r="1428" spans="1:40" x14ac:dyDescent="0.25">
      <c r="A1428" t="str">
        <f>"20190303170524953"</f>
        <v>20190303170524953</v>
      </c>
      <c r="B1428" t="str">
        <f>"1551603924946182"</f>
        <v>1551603924946182</v>
      </c>
      <c r="C1428" t="s">
        <v>40</v>
      </c>
      <c r="D1428">
        <v>5.3681789999999996</v>
      </c>
      <c r="E1428">
        <v>0.58605039999999997</v>
      </c>
      <c r="F1428" t="s">
        <v>52</v>
      </c>
      <c r="G1428">
        <v>-205.364</v>
      </c>
      <c r="H1428" s="1">
        <v>4.756496E-6</v>
      </c>
      <c r="I1428">
        <v>282.77679999999998</v>
      </c>
      <c r="J1428">
        <v>-193.30179999999999</v>
      </c>
      <c r="K1428">
        <v>1.115399</v>
      </c>
      <c r="L1428">
        <v>300.82569999999998</v>
      </c>
      <c r="M1428">
        <v>-0.20703299999999999</v>
      </c>
      <c r="N1428">
        <v>-1.4382219999999999E-2</v>
      </c>
      <c r="O1428">
        <v>-0.97822819999999999</v>
      </c>
      <c r="P1428">
        <v>-0.37291570000000002</v>
      </c>
      <c r="Q1428">
        <v>0.17201089999999999</v>
      </c>
      <c r="R1428">
        <v>-0.91178159999999997</v>
      </c>
      <c r="S1428">
        <v>-1.732315</v>
      </c>
      <c r="T1428">
        <v>-0.15932349999999901</v>
      </c>
      <c r="U1428">
        <v>-2.6189879999999999</v>
      </c>
      <c r="V1428">
        <v>0.17870649999999999</v>
      </c>
      <c r="W1428">
        <v>0.18337729999999999</v>
      </c>
      <c r="X1428">
        <v>0.96666269999999999</v>
      </c>
      <c r="Y1428">
        <v>0.36647150000000001</v>
      </c>
      <c r="Z1428">
        <v>3.8077859999999998E-2</v>
      </c>
      <c r="AA1428">
        <v>0.92964979999999997</v>
      </c>
      <c r="AB1428">
        <v>29</v>
      </c>
      <c r="AC1428">
        <v>-12.062200000000001</v>
      </c>
      <c r="AD1428">
        <v>-1.1153942435040001</v>
      </c>
      <c r="AE1428">
        <v>-18.0489</v>
      </c>
      <c r="AF1428">
        <v>8.0424688514390397</v>
      </c>
      <c r="AG1428">
        <v>-1.1153942435040001</v>
      </c>
      <c r="AH1428">
        <v>20.102232830234499</v>
      </c>
      <c r="AI1428">
        <v>92.949050747765895</v>
      </c>
      <c r="AJ1428">
        <v>68.194718940473507</v>
      </c>
      <c r="AK1428">
        <v>21.6800639829722</v>
      </c>
      <c r="AL1428">
        <v>79.433459985084099</v>
      </c>
      <c r="AM1428">
        <v>79.5260088239407</v>
      </c>
      <c r="AN1428">
        <v>1.0000000114344101</v>
      </c>
    </row>
    <row r="1429" spans="1:40" x14ac:dyDescent="0.25">
      <c r="A1429" t="str">
        <f>"20190303170524976"</f>
        <v>20190303170524976</v>
      </c>
      <c r="B1429" t="str">
        <f>"1551603924965702"</f>
        <v>1551603924965702</v>
      </c>
      <c r="C1429" t="s">
        <v>40</v>
      </c>
      <c r="D1429">
        <v>5.3722349999999999</v>
      </c>
      <c r="E1429">
        <v>0.58653750000000004</v>
      </c>
      <c r="F1429" t="s">
        <v>52</v>
      </c>
      <c r="G1429">
        <v>-205.8039</v>
      </c>
      <c r="H1429" s="1">
        <v>4.9832180000000001E-6</v>
      </c>
      <c r="I1429">
        <v>282.4151</v>
      </c>
      <c r="J1429">
        <v>-193.37459999999999</v>
      </c>
      <c r="K1429">
        <v>1.1152470000000001</v>
      </c>
      <c r="L1429">
        <v>300.524</v>
      </c>
      <c r="M1429">
        <v>-0.21511230000000001</v>
      </c>
      <c r="N1429">
        <v>-1.4435389999999999E-2</v>
      </c>
      <c r="O1429">
        <v>-0.97648279999999998</v>
      </c>
      <c r="P1429">
        <v>-0.38307770000000002</v>
      </c>
      <c r="Q1429">
        <v>0.1706444</v>
      </c>
      <c r="R1429">
        <v>-0.90781719999999999</v>
      </c>
      <c r="S1429">
        <v>-1.7644500000000001</v>
      </c>
      <c r="T1429">
        <v>-0.15741849999999999</v>
      </c>
      <c r="U1429">
        <v>-2.598328</v>
      </c>
      <c r="V1429">
        <v>0.18151419999999999</v>
      </c>
      <c r="W1429">
        <v>0.18195069999999999</v>
      </c>
      <c r="X1429">
        <v>0.96640910000000002</v>
      </c>
      <c r="Y1429">
        <v>0.37009839999999999</v>
      </c>
      <c r="Z1429">
        <v>3.7465640000000001E-2</v>
      </c>
      <c r="AA1429">
        <v>0.92823679999999997</v>
      </c>
      <c r="AB1429">
        <v>29</v>
      </c>
      <c r="AC1429">
        <v>-12.4293</v>
      </c>
      <c r="AD1429">
        <v>-1.1152420167820001</v>
      </c>
      <c r="AE1429">
        <v>-18.108899999999998</v>
      </c>
      <c r="AF1429">
        <v>8.2212121939845009</v>
      </c>
      <c r="AG1429">
        <v>-1.1152420167820001</v>
      </c>
      <c r="AH1429">
        <v>20.306488747025099</v>
      </c>
      <c r="AI1429">
        <v>92.914222618416204</v>
      </c>
      <c r="AJ1429">
        <v>67.959120548056703</v>
      </c>
      <c r="AK1429">
        <v>21.935942649623598</v>
      </c>
      <c r="AL1429">
        <v>79.5165968314721</v>
      </c>
      <c r="AM1429">
        <v>79.362448079864905</v>
      </c>
      <c r="AN1429">
        <v>1.00000000529747</v>
      </c>
    </row>
    <row r="1430" spans="1:40" x14ac:dyDescent="0.25">
      <c r="A1430" t="str">
        <f>"20190303170524997"</f>
        <v>20190303170524997</v>
      </c>
      <c r="B1430" t="str">
        <f>"1551603924986198"</f>
        <v>1551603924986198</v>
      </c>
      <c r="C1430" t="s">
        <v>40</v>
      </c>
      <c r="D1430">
        <v>5.3670030000000004</v>
      </c>
      <c r="E1430">
        <v>0.58691879999999996</v>
      </c>
      <c r="F1430" t="s">
        <v>52</v>
      </c>
      <c r="G1430">
        <v>-205.90700000000001</v>
      </c>
      <c r="H1430" s="1">
        <v>5.0160099999999998E-6</v>
      </c>
      <c r="I1430">
        <v>282.56290000000001</v>
      </c>
      <c r="J1430">
        <v>-193.44210000000001</v>
      </c>
      <c r="K1430">
        <v>1.1151070000000001</v>
      </c>
      <c r="L1430">
        <v>300.25439999999998</v>
      </c>
      <c r="M1430">
        <v>-0.22251969999999999</v>
      </c>
      <c r="N1430">
        <v>-1.447994E-2</v>
      </c>
      <c r="O1430">
        <v>-0.97482080000000004</v>
      </c>
      <c r="P1430">
        <v>-0.3917446</v>
      </c>
      <c r="Q1430">
        <v>0.16902320000000001</v>
      </c>
      <c r="R1430">
        <v>-0.90441550000000004</v>
      </c>
      <c r="S1430">
        <v>-1.797531</v>
      </c>
      <c r="T1430">
        <v>-0.159960299999999</v>
      </c>
      <c r="U1430">
        <v>-2.5761720000000001</v>
      </c>
      <c r="V1430">
        <v>0.18339610000000001</v>
      </c>
      <c r="W1430">
        <v>0.18028359999999999</v>
      </c>
      <c r="X1430">
        <v>0.96636619999999995</v>
      </c>
      <c r="Y1430">
        <v>0.3747837</v>
      </c>
      <c r="Z1430">
        <v>3.8307470000000003E-2</v>
      </c>
      <c r="AA1430">
        <v>0.92632060000000005</v>
      </c>
      <c r="AB1430">
        <v>29</v>
      </c>
      <c r="AC1430">
        <v>-12.4649</v>
      </c>
      <c r="AD1430">
        <v>-1.1151019839899901</v>
      </c>
      <c r="AE1430">
        <v>-17.691499999999898</v>
      </c>
      <c r="AF1430">
        <v>8.1934439563281707</v>
      </c>
      <c r="AG1430">
        <v>-1.1151019839899901</v>
      </c>
      <c r="AH1430">
        <v>19.9688092853653</v>
      </c>
      <c r="AI1430">
        <v>92.957409885776698</v>
      </c>
      <c r="AJ1430">
        <v>67.691064170702703</v>
      </c>
      <c r="AK1430">
        <v>21.613174699138501</v>
      </c>
      <c r="AL1430">
        <v>79.613720542634198</v>
      </c>
      <c r="AM1430">
        <v>79.254249499947605</v>
      </c>
      <c r="AN1430">
        <v>0.99999996921330403</v>
      </c>
    </row>
    <row r="1431" spans="1:40" x14ac:dyDescent="0.25">
      <c r="A1431" t="str">
        <f>"20190303170525020"</f>
        <v>20190303170525020</v>
      </c>
      <c r="B1431" t="str">
        <f>"1551603925005718"</f>
        <v>1551603925005718</v>
      </c>
      <c r="C1431" t="s">
        <v>40</v>
      </c>
      <c r="D1431">
        <v>5.3692760000000002</v>
      </c>
      <c r="E1431">
        <v>0.58731429999999996</v>
      </c>
      <c r="F1431" t="s">
        <v>52</v>
      </c>
      <c r="G1431">
        <v>-205.8896</v>
      </c>
      <c r="H1431" s="1">
        <v>4.9860250000000003E-6</v>
      </c>
      <c r="I1431">
        <v>282.8175</v>
      </c>
      <c r="J1431">
        <v>-193.5163</v>
      </c>
      <c r="K1431">
        <v>1.114959</v>
      </c>
      <c r="L1431">
        <v>299.9683</v>
      </c>
      <c r="M1431">
        <v>-0.23057230000000001</v>
      </c>
      <c r="N1431">
        <v>-1.4524560000000001E-2</v>
      </c>
      <c r="O1431">
        <v>-0.97294689999999995</v>
      </c>
      <c r="P1431">
        <v>-0.40050609999999998</v>
      </c>
      <c r="Q1431">
        <v>0.16982059999999999</v>
      </c>
      <c r="R1431">
        <v>-0.90042</v>
      </c>
      <c r="S1431">
        <v>-1.8253170000000001</v>
      </c>
      <c r="T1431">
        <v>-0.16352030000000001</v>
      </c>
      <c r="U1431">
        <v>-2.5569760000000001</v>
      </c>
      <c r="V1431">
        <v>0.18490390000000001</v>
      </c>
      <c r="W1431">
        <v>0.1810283</v>
      </c>
      <c r="X1431">
        <v>0.96593960000000001</v>
      </c>
      <c r="Y1431">
        <v>0.37704490000000002</v>
      </c>
      <c r="Z1431">
        <v>3.9464039999999999E-2</v>
      </c>
      <c r="AA1431">
        <v>0.9253538</v>
      </c>
      <c r="AB1431">
        <v>29</v>
      </c>
      <c r="AC1431">
        <v>-12.3733</v>
      </c>
      <c r="AD1431">
        <v>-1.1149540139749901</v>
      </c>
      <c r="AE1431">
        <v>-17.1508</v>
      </c>
      <c r="AF1431">
        <v>8.0625067923767997</v>
      </c>
      <c r="AG1431">
        <v>-1.1149540139749901</v>
      </c>
      <c r="AH1431">
        <v>19.487651482443098</v>
      </c>
      <c r="AI1431">
        <v>93.026261578252203</v>
      </c>
      <c r="AJ1431">
        <v>67.523952042694006</v>
      </c>
      <c r="AK1431">
        <v>21.119083752179399</v>
      </c>
      <c r="AL1431">
        <v>79.570338951089795</v>
      </c>
      <c r="AM1431">
        <v>79.163314055887298</v>
      </c>
      <c r="AN1431">
        <v>1.00000000424213</v>
      </c>
    </row>
    <row r="1432" spans="1:40" x14ac:dyDescent="0.25">
      <c r="A1432" t="str">
        <f>"20190303170525041"</f>
        <v>20190303170525041</v>
      </c>
      <c r="B1432" t="str">
        <f>"1551603925035974"</f>
        <v>1551603925035974</v>
      </c>
      <c r="C1432" t="s">
        <v>40</v>
      </c>
      <c r="D1432">
        <v>5.3839880000000004</v>
      </c>
      <c r="E1432">
        <v>0.58780089999999996</v>
      </c>
      <c r="F1432" t="s">
        <v>52</v>
      </c>
      <c r="G1432">
        <v>-206.25890000000001</v>
      </c>
      <c r="H1432" s="1">
        <v>5.1769259999999998E-6</v>
      </c>
      <c r="I1432">
        <v>282.50709999999998</v>
      </c>
      <c r="J1432">
        <v>-193.59010000000001</v>
      </c>
      <c r="K1432">
        <v>1.1148149999999999</v>
      </c>
      <c r="L1432">
        <v>299.69349999999997</v>
      </c>
      <c r="M1432">
        <v>-0.23850180000000001</v>
      </c>
      <c r="N1432">
        <v>-1.4565140000000001E-2</v>
      </c>
      <c r="O1432">
        <v>-0.97103289999999998</v>
      </c>
      <c r="P1432">
        <v>-0.40899720000000001</v>
      </c>
      <c r="Q1432">
        <v>0.17146629999999999</v>
      </c>
      <c r="R1432">
        <v>-0.89628149999999995</v>
      </c>
      <c r="S1432">
        <v>-1.852417</v>
      </c>
      <c r="T1432">
        <v>-0.1620828</v>
      </c>
      <c r="U1432">
        <v>-2.5383610000000001</v>
      </c>
      <c r="V1432">
        <v>0.1863216</v>
      </c>
      <c r="W1432">
        <v>0.18261740000000001</v>
      </c>
      <c r="X1432">
        <v>0.96536789999999995</v>
      </c>
      <c r="Y1432">
        <v>0.37918000000000002</v>
      </c>
      <c r="Z1432">
        <v>3.9000109999999998E-2</v>
      </c>
      <c r="AA1432">
        <v>0.92450069999999995</v>
      </c>
      <c r="AB1432">
        <v>29</v>
      </c>
      <c r="AC1432">
        <v>-12.668799999999999</v>
      </c>
      <c r="AD1432">
        <v>-1.11480982307399</v>
      </c>
      <c r="AE1432">
        <v>-17.1863999999999</v>
      </c>
      <c r="AF1432">
        <v>8.1813996636457507</v>
      </c>
      <c r="AG1432">
        <v>-1.11480982307399</v>
      </c>
      <c r="AH1432">
        <v>19.6585875295889</v>
      </c>
      <c r="AI1432">
        <v>92.997012384930201</v>
      </c>
      <c r="AJ1432">
        <v>67.404174742611602</v>
      </c>
      <c r="AK1432">
        <v>21.3222457789144</v>
      </c>
      <c r="AL1432">
        <v>79.477746972408397</v>
      </c>
      <c r="AM1432">
        <v>79.075906023629599</v>
      </c>
      <c r="AN1432">
        <v>1.00000001787986</v>
      </c>
    </row>
    <row r="1433" spans="1:40" x14ac:dyDescent="0.25">
      <c r="A1433" t="str">
        <f>"20190303170525067"</f>
        <v>20190303170525067</v>
      </c>
      <c r="B1433" t="str">
        <f>"1551603925056470"</f>
        <v>1551603925056470</v>
      </c>
      <c r="C1433" t="s">
        <v>40</v>
      </c>
      <c r="D1433">
        <v>5.388922</v>
      </c>
      <c r="E1433">
        <v>0.58809080000000002</v>
      </c>
      <c r="F1433" t="s">
        <v>52</v>
      </c>
      <c r="G1433">
        <v>-206.69380000000001</v>
      </c>
      <c r="H1433" s="1">
        <v>5.4043430000000002E-6</v>
      </c>
      <c r="I1433">
        <v>282.11200000000002</v>
      </c>
      <c r="J1433">
        <v>-193.67509999999999</v>
      </c>
      <c r="K1433">
        <v>1.1146499999999999</v>
      </c>
      <c r="L1433">
        <v>299.38929999999999</v>
      </c>
      <c r="M1433">
        <v>-0.24751799999999999</v>
      </c>
      <c r="N1433">
        <v>-1.460885E-2</v>
      </c>
      <c r="O1433">
        <v>-0.9687732</v>
      </c>
      <c r="P1433">
        <v>-0.41825580000000001</v>
      </c>
      <c r="Q1433">
        <v>0.17132349999999999</v>
      </c>
      <c r="R1433">
        <v>-0.89202610000000004</v>
      </c>
      <c r="S1433">
        <v>-1.878571</v>
      </c>
      <c r="T1433">
        <v>-0.15982099999999999</v>
      </c>
      <c r="U1433">
        <v>-2.520508</v>
      </c>
      <c r="V1433">
        <v>0.1874112</v>
      </c>
      <c r="W1433">
        <v>0.18242230000000001</v>
      </c>
      <c r="X1433">
        <v>0.96519379999999999</v>
      </c>
      <c r="Y1433">
        <v>0.37990639999999998</v>
      </c>
      <c r="Z1433">
        <v>3.8251390000000003E-2</v>
      </c>
      <c r="AA1433">
        <v>0.92423370000000005</v>
      </c>
      <c r="AB1433">
        <v>29</v>
      </c>
      <c r="AC1433">
        <v>-13.018700000000001</v>
      </c>
      <c r="AD1433">
        <v>-1.1146445956569999</v>
      </c>
      <c r="AE1433">
        <v>-17.277299999999901</v>
      </c>
      <c r="AF1433">
        <v>8.3145405850112901</v>
      </c>
      <c r="AG1433">
        <v>-1.1146445956569999</v>
      </c>
      <c r="AH1433">
        <v>19.909421264225902</v>
      </c>
      <c r="AI1433">
        <v>92.957369031360301</v>
      </c>
      <c r="AJ1433">
        <v>67.333687233609297</v>
      </c>
      <c r="AK1433">
        <v>21.604607675003901</v>
      </c>
      <c r="AL1433">
        <v>79.489115771047906</v>
      </c>
      <c r="AM1433">
        <v>79.011639039130401</v>
      </c>
      <c r="AN1433">
        <v>0.99999996249058398</v>
      </c>
    </row>
    <row r="1434" spans="1:40" x14ac:dyDescent="0.25">
      <c r="A1434" t="str">
        <f>"20190303170525089"</f>
        <v>20190303170525089</v>
      </c>
      <c r="B1434" t="str">
        <f>"1551603925075990"</f>
        <v>1551603925075990</v>
      </c>
      <c r="C1434" t="s">
        <v>40</v>
      </c>
      <c r="D1434">
        <v>5.4087589999999999</v>
      </c>
      <c r="E1434">
        <v>0.58836449999999996</v>
      </c>
      <c r="F1434" t="s">
        <v>52</v>
      </c>
      <c r="G1434">
        <v>-206.97059999999999</v>
      </c>
      <c r="H1434" s="1">
        <v>5.5402419999999998E-6</v>
      </c>
      <c r="I1434">
        <v>281.96179999999998</v>
      </c>
      <c r="J1434">
        <v>-193.75810000000001</v>
      </c>
      <c r="K1434">
        <v>1.1144909999999999</v>
      </c>
      <c r="L1434">
        <v>299.10309999999998</v>
      </c>
      <c r="M1434">
        <v>-0.25621939999999999</v>
      </c>
      <c r="N1434">
        <v>-1.4648319999999999E-2</v>
      </c>
      <c r="O1434">
        <v>-0.96650769999999997</v>
      </c>
      <c r="P1434">
        <v>-0.42698350000000002</v>
      </c>
      <c r="Q1434">
        <v>0.16938780000000001</v>
      </c>
      <c r="R1434">
        <v>-0.88825270000000001</v>
      </c>
      <c r="S1434">
        <v>-1.907043</v>
      </c>
      <c r="T1434">
        <v>-0.159878399999999</v>
      </c>
      <c r="U1434">
        <v>-2.499695</v>
      </c>
      <c r="V1434">
        <v>0.18814020000000001</v>
      </c>
      <c r="W1434">
        <v>0.1804473</v>
      </c>
      <c r="X1434">
        <v>0.96542320000000004</v>
      </c>
      <c r="Y1434">
        <v>0.38195380000000001</v>
      </c>
      <c r="Z1434">
        <v>3.8274929999999999E-2</v>
      </c>
      <c r="AA1434">
        <v>0.92338849999999995</v>
      </c>
      <c r="AB1434">
        <v>29</v>
      </c>
      <c r="AC1434">
        <v>-13.212499999999901</v>
      </c>
      <c r="AD1434">
        <v>-1.1144854597579901</v>
      </c>
      <c r="AE1434">
        <v>-17.141300000000001</v>
      </c>
      <c r="AF1434">
        <v>8.3567876650099393</v>
      </c>
      <c r="AG1434">
        <v>-1.1144854597579901</v>
      </c>
      <c r="AH1434">
        <v>19.901862036132801</v>
      </c>
      <c r="AI1434">
        <v>92.955669560252502</v>
      </c>
      <c r="AJ1434">
        <v>67.222475165659304</v>
      </c>
      <c r="AK1434">
        <v>21.613932784741898</v>
      </c>
      <c r="AL1434">
        <v>79.604184727234795</v>
      </c>
      <c r="AM1434">
        <v>78.972499009232607</v>
      </c>
      <c r="AN1434">
        <v>0.99999995901578398</v>
      </c>
    </row>
    <row r="1435" spans="1:40" x14ac:dyDescent="0.25">
      <c r="A1435" t="str">
        <f>"20190303170525110"</f>
        <v>20190303170525110</v>
      </c>
      <c r="B1435" t="str">
        <f>"1551603925096486"</f>
        <v>1551603925096486</v>
      </c>
      <c r="C1435" t="s">
        <v>40</v>
      </c>
      <c r="D1435">
        <v>5.4090499999999997</v>
      </c>
      <c r="E1435">
        <v>0.58860310000000005</v>
      </c>
      <c r="F1435" t="s">
        <v>52</v>
      </c>
      <c r="G1435">
        <v>-206.87700000000001</v>
      </c>
      <c r="H1435" s="1">
        <v>5.469465E-6</v>
      </c>
      <c r="I1435">
        <v>282.29640000000001</v>
      </c>
      <c r="J1435">
        <v>-193.83940000000001</v>
      </c>
      <c r="K1435">
        <v>1.114357</v>
      </c>
      <c r="L1435">
        <v>298.83210000000003</v>
      </c>
      <c r="M1435">
        <v>-0.264627</v>
      </c>
      <c r="N1435">
        <v>-1.4683470000000001E-2</v>
      </c>
      <c r="O1435">
        <v>-0.96423919999999996</v>
      </c>
      <c r="P1435">
        <v>-0.43597750000000002</v>
      </c>
      <c r="Q1435">
        <v>0.16685949999999999</v>
      </c>
      <c r="R1435">
        <v>-0.88435379999999997</v>
      </c>
      <c r="S1435">
        <v>-1.934814</v>
      </c>
      <c r="T1435">
        <v>-0.16436729999999899</v>
      </c>
      <c r="U1435">
        <v>-2.4786990000000002</v>
      </c>
      <c r="V1435">
        <v>0.18942239999999999</v>
      </c>
      <c r="W1435">
        <v>0.17787549999999999</v>
      </c>
      <c r="X1435">
        <v>0.9656498</v>
      </c>
      <c r="Y1435">
        <v>0.3840884</v>
      </c>
      <c r="Z1435">
        <v>3.9733030000000003E-2</v>
      </c>
      <c r="AA1435">
        <v>0.92244099999999996</v>
      </c>
      <c r="AB1435">
        <v>29</v>
      </c>
      <c r="AC1435">
        <v>-13.0375999999999</v>
      </c>
      <c r="AD1435">
        <v>-1.114351530535</v>
      </c>
      <c r="AE1435">
        <v>-16.535699999999999</v>
      </c>
      <c r="AF1435">
        <v>8.1735644437582593</v>
      </c>
      <c r="AG1435">
        <v>-1.114351530535</v>
      </c>
      <c r="AH1435">
        <v>19.342390441032101</v>
      </c>
      <c r="AI1435">
        <v>93.037737579376696</v>
      </c>
      <c r="AJ1435">
        <v>67.0924121078165</v>
      </c>
      <c r="AK1435">
        <v>21.028005207893699</v>
      </c>
      <c r="AL1435">
        <v>79.753962313881502</v>
      </c>
      <c r="AM1435">
        <v>78.901745968892698</v>
      </c>
      <c r="AN1435">
        <v>1.0000000376810201</v>
      </c>
    </row>
    <row r="1436" spans="1:40" x14ac:dyDescent="0.25">
      <c r="A1436" t="str">
        <f>"20190303170525143"</f>
        <v>20190303170525143</v>
      </c>
      <c r="B1436" t="str">
        <f>"1551603925136502"</f>
        <v>1551603925136502</v>
      </c>
      <c r="C1436" t="s">
        <v>40</v>
      </c>
      <c r="D1436">
        <v>5.4411370000000003</v>
      </c>
      <c r="E1436">
        <v>0.58904780000000001</v>
      </c>
      <c r="F1436" t="s">
        <v>52</v>
      </c>
      <c r="G1436">
        <v>-206.4956</v>
      </c>
      <c r="H1436" s="1">
        <v>5.2417799999999998E-6</v>
      </c>
      <c r="I1436">
        <v>282.96600000000001</v>
      </c>
      <c r="J1436">
        <v>-193.9674</v>
      </c>
      <c r="K1436">
        <v>1.1141840000000001</v>
      </c>
      <c r="L1436">
        <v>298.42219999999998</v>
      </c>
      <c r="M1436">
        <v>-0.27764119999999998</v>
      </c>
      <c r="N1436">
        <v>-1.473123E-2</v>
      </c>
      <c r="O1436">
        <v>-0.96057190000000003</v>
      </c>
      <c r="P1436">
        <v>-0.44927660000000003</v>
      </c>
      <c r="Q1436">
        <v>0.16770879999999999</v>
      </c>
      <c r="R1436">
        <v>-0.87751039999999902</v>
      </c>
      <c r="S1436">
        <v>-1.9608920000000001</v>
      </c>
      <c r="T1436">
        <v>-0.17265329999999901</v>
      </c>
      <c r="U1436">
        <v>-2.458221</v>
      </c>
      <c r="V1436">
        <v>0.1910829</v>
      </c>
      <c r="W1436">
        <v>0.1786539</v>
      </c>
      <c r="X1436">
        <v>0.9651788</v>
      </c>
      <c r="Y1436">
        <v>0.38125510000000001</v>
      </c>
      <c r="Z1436">
        <v>4.2362619999999997E-2</v>
      </c>
      <c r="AA1436">
        <v>0.92349870000000001</v>
      </c>
      <c r="AB1436">
        <v>29</v>
      </c>
      <c r="AC1436">
        <v>-12.528199999999901</v>
      </c>
      <c r="AD1436">
        <v>-1.11417875822</v>
      </c>
      <c r="AE1436">
        <v>-15.4561999999999</v>
      </c>
      <c r="AF1436">
        <v>7.7195903569103796</v>
      </c>
      <c r="AG1436">
        <v>-1.11417875822</v>
      </c>
      <c r="AH1436">
        <v>18.269829782159601</v>
      </c>
      <c r="AI1436">
        <v>93.215258104435904</v>
      </c>
      <c r="AJ1436">
        <v>67.094379437495505</v>
      </c>
      <c r="AK1436">
        <v>19.8650484482887</v>
      </c>
      <c r="AL1436">
        <v>79.7086369315832</v>
      </c>
      <c r="AM1436">
        <v>78.801579395511695</v>
      </c>
      <c r="AN1436">
        <v>1.0000000033135299</v>
      </c>
    </row>
    <row r="1437" spans="1:40" x14ac:dyDescent="0.25">
      <c r="A1437" t="str">
        <f>"20190303170525165"</f>
        <v>20190303170525165</v>
      </c>
      <c r="B1437" t="str">
        <f>"1551603925156022"</f>
        <v>1551603925156022</v>
      </c>
      <c r="C1437" t="s">
        <v>40</v>
      </c>
      <c r="D1437">
        <v>5.4117920000000002</v>
      </c>
      <c r="E1437">
        <v>0.58928719999999901</v>
      </c>
      <c r="F1437" t="s">
        <v>52</v>
      </c>
      <c r="G1437">
        <v>-206.84829999999999</v>
      </c>
      <c r="H1437" s="1">
        <v>5.4139080000000002E-6</v>
      </c>
      <c r="I1437">
        <v>282.78649999999999</v>
      </c>
      <c r="J1437">
        <v>-194.05860000000001</v>
      </c>
      <c r="K1437">
        <v>1.114066</v>
      </c>
      <c r="L1437">
        <v>298.14319999999998</v>
      </c>
      <c r="M1437">
        <v>-0.28674650000000002</v>
      </c>
      <c r="N1437">
        <v>-1.476301E-2</v>
      </c>
      <c r="O1437">
        <v>-0.95789279999999999</v>
      </c>
      <c r="P1437">
        <v>-0.4574338</v>
      </c>
      <c r="Q1437">
        <v>0.16940959999999999</v>
      </c>
      <c r="R1437">
        <v>-0.87295750000000005</v>
      </c>
      <c r="S1437">
        <v>-2.000076</v>
      </c>
      <c r="T1437">
        <v>-0.1730034</v>
      </c>
      <c r="U1437">
        <v>-2.427826</v>
      </c>
      <c r="V1437">
        <v>0.19109180000000001</v>
      </c>
      <c r="W1437">
        <v>0.18032529999999999</v>
      </c>
      <c r="X1437">
        <v>0.96486620000000001</v>
      </c>
      <c r="Y1437">
        <v>0.38702530000000002</v>
      </c>
      <c r="Z1437">
        <v>4.2511029999999998E-2</v>
      </c>
      <c r="AA1437">
        <v>0.92108860000000004</v>
      </c>
      <c r="AB1437">
        <v>29</v>
      </c>
      <c r="AC1437">
        <v>-12.7896999999999</v>
      </c>
      <c r="AD1437">
        <v>-1.1140605860920001</v>
      </c>
      <c r="AE1437">
        <v>-15.356699999999901</v>
      </c>
      <c r="AF1437">
        <v>7.8242230304426403</v>
      </c>
      <c r="AG1437">
        <v>-1.1140605860920001</v>
      </c>
      <c r="AH1437">
        <v>18.322539547897801</v>
      </c>
      <c r="AI1437">
        <v>93.200518169045793</v>
      </c>
      <c r="AJ1437">
        <v>66.876199014319596</v>
      </c>
      <c r="AK1437">
        <v>19.954324155527502</v>
      </c>
      <c r="AL1437">
        <v>79.611292209308402</v>
      </c>
      <c r="AM1437">
        <v>78.797534482696406</v>
      </c>
      <c r="AN1437">
        <v>1.00000003687488</v>
      </c>
    </row>
    <row r="1438" spans="1:40" x14ac:dyDescent="0.25">
      <c r="A1438" t="str">
        <f>"20190303170525189"</f>
        <v>20190303170525189</v>
      </c>
      <c r="B1438" t="str">
        <f>"1551603925176518"</f>
        <v>1551603925176518</v>
      </c>
      <c r="C1438" t="s">
        <v>40</v>
      </c>
      <c r="D1438">
        <v>5.4391509999999998</v>
      </c>
      <c r="E1438">
        <v>0.58949240000000003</v>
      </c>
      <c r="F1438" t="s">
        <v>52</v>
      </c>
      <c r="G1438">
        <v>-207.43889999999999</v>
      </c>
      <c r="H1438" s="1">
        <v>5.72473E-6</v>
      </c>
      <c r="I1438">
        <v>282.22680000000003</v>
      </c>
      <c r="J1438">
        <v>-194.15440000000001</v>
      </c>
      <c r="K1438">
        <v>1.1139479999999999</v>
      </c>
      <c r="L1438">
        <v>297.86</v>
      </c>
      <c r="M1438">
        <v>-0.29617729999999998</v>
      </c>
      <c r="N1438">
        <v>-1.479552E-2</v>
      </c>
      <c r="O1438">
        <v>-0.95501849999999999</v>
      </c>
      <c r="P1438">
        <v>-0.46676849999999998</v>
      </c>
      <c r="Q1438">
        <v>0.16997110000000001</v>
      </c>
      <c r="R1438">
        <v>-0.86789259999999901</v>
      </c>
      <c r="S1438">
        <v>-2.0246119999999999</v>
      </c>
      <c r="T1438">
        <v>-0.16857159999999999</v>
      </c>
      <c r="U1438">
        <v>-2.4083559999999999</v>
      </c>
      <c r="V1438">
        <v>0.1920251</v>
      </c>
      <c r="W1438">
        <v>0.18084020000000001</v>
      </c>
      <c r="X1438">
        <v>0.96458449999999996</v>
      </c>
      <c r="Y1438">
        <v>0.38714660000000001</v>
      </c>
      <c r="Z1438">
        <v>4.1063099999999998E-2</v>
      </c>
      <c r="AA1438">
        <v>0.92110329999999996</v>
      </c>
      <c r="AB1438">
        <v>29</v>
      </c>
      <c r="AC1438">
        <v>-13.2844999999999</v>
      </c>
      <c r="AD1438">
        <v>-1.1139422752699999</v>
      </c>
      <c r="AE1438">
        <v>-15.633199999999899</v>
      </c>
      <c r="AF1438">
        <v>8.0339388324690297</v>
      </c>
      <c r="AG1438">
        <v>-1.1139422752699999</v>
      </c>
      <c r="AH1438">
        <v>18.811164422221299</v>
      </c>
      <c r="AI1438">
        <v>93.117156324881805</v>
      </c>
      <c r="AJ1438">
        <v>66.873469237406496</v>
      </c>
      <c r="AK1438">
        <v>20.485237305833898</v>
      </c>
      <c r="AL1438">
        <v>79.581297498433599</v>
      </c>
      <c r="AM1438">
        <v>78.741011590385</v>
      </c>
      <c r="AN1438">
        <v>1.0000000373031399</v>
      </c>
    </row>
    <row r="1439" spans="1:40" x14ac:dyDescent="0.25">
      <c r="A1439" t="str">
        <f>"20190303170525212"</f>
        <v>20190303170525212</v>
      </c>
      <c r="B1439" t="str">
        <f>"1551603925205799"</f>
        <v>1551603925205799</v>
      </c>
      <c r="C1439" t="s">
        <v>40</v>
      </c>
      <c r="D1439">
        <v>5.471902</v>
      </c>
      <c r="E1439">
        <v>0.58973100000000001</v>
      </c>
      <c r="F1439" t="s">
        <v>52</v>
      </c>
      <c r="G1439">
        <v>-207.78110000000001</v>
      </c>
      <c r="H1439" s="1">
        <v>5.8950770000000001E-6</v>
      </c>
      <c r="I1439">
        <v>282.01420000000002</v>
      </c>
      <c r="J1439">
        <v>-194.256</v>
      </c>
      <c r="K1439">
        <v>1.1138209999999999</v>
      </c>
      <c r="L1439">
        <v>297.56959999999998</v>
      </c>
      <c r="M1439">
        <v>-0.30601469999999997</v>
      </c>
      <c r="N1439">
        <v>-1.4827740000000001E-2</v>
      </c>
      <c r="O1439">
        <v>-0.95191139999999996</v>
      </c>
      <c r="P1439">
        <v>-0.47761369999999997</v>
      </c>
      <c r="Q1439">
        <v>0.1696954</v>
      </c>
      <c r="R1439">
        <v>-0.86202619999999897</v>
      </c>
      <c r="S1439">
        <v>-2.0518649999999998</v>
      </c>
      <c r="T1439">
        <v>-0.167733299999999</v>
      </c>
      <c r="U1439">
        <v>-2.3860169999999998</v>
      </c>
      <c r="V1439">
        <v>0.1942045</v>
      </c>
      <c r="W1439">
        <v>0.18049460000000001</v>
      </c>
      <c r="X1439">
        <v>0.96421279999999998</v>
      </c>
      <c r="Y1439">
        <v>0.38795629999999998</v>
      </c>
      <c r="Z1439">
        <v>4.077919E-2</v>
      </c>
      <c r="AA1439">
        <v>0.92077520000000002</v>
      </c>
      <c r="AB1439">
        <v>29</v>
      </c>
      <c r="AC1439">
        <v>-13.5251</v>
      </c>
      <c r="AD1439">
        <v>-1.1138151049229901</v>
      </c>
      <c r="AE1439">
        <v>-15.555399999999899</v>
      </c>
      <c r="AF1439">
        <v>8.0917815881416999</v>
      </c>
      <c r="AG1439">
        <v>-1.1138151049229901</v>
      </c>
      <c r="AH1439">
        <v>18.8931608270574</v>
      </c>
      <c r="AI1439">
        <v>93.101948256741494</v>
      </c>
      <c r="AJ1439">
        <v>66.814957235603302</v>
      </c>
      <c r="AK1439">
        <v>20.583222279206002</v>
      </c>
      <c r="AL1439">
        <v>79.601429889767701</v>
      </c>
      <c r="AM1439">
        <v>78.612271725021301</v>
      </c>
      <c r="AN1439">
        <v>1.0000000060666201</v>
      </c>
    </row>
    <row r="1440" spans="1:40" x14ac:dyDescent="0.25">
      <c r="A1440" t="str">
        <f>"20190303170525233"</f>
        <v>20190303170525233</v>
      </c>
      <c r="B1440" t="str">
        <f>"1551603925226294"</f>
        <v>1551603925226294</v>
      </c>
      <c r="C1440" t="s">
        <v>40</v>
      </c>
      <c r="D1440">
        <v>5.4317080000000004</v>
      </c>
      <c r="E1440">
        <v>0.59614040000000001</v>
      </c>
      <c r="F1440" t="s">
        <v>52</v>
      </c>
      <c r="G1440">
        <v>-207.92160000000001</v>
      </c>
      <c r="H1440" s="1">
        <v>5.9506539999999996E-6</v>
      </c>
      <c r="I1440">
        <v>282.09120000000001</v>
      </c>
      <c r="J1440">
        <v>-194.34809999999999</v>
      </c>
      <c r="K1440">
        <v>1.1137189999999999</v>
      </c>
      <c r="L1440">
        <v>297.31450000000001</v>
      </c>
      <c r="M1440">
        <v>-0.31478719999999999</v>
      </c>
      <c r="N1440">
        <v>-1.485362E-2</v>
      </c>
      <c r="O1440">
        <v>-0.9490461</v>
      </c>
      <c r="P1440">
        <v>-0.487174</v>
      </c>
      <c r="Q1440">
        <v>0.1678905</v>
      </c>
      <c r="R1440">
        <v>-0.85701510000000003</v>
      </c>
      <c r="S1440">
        <v>-2.0830989999999998</v>
      </c>
      <c r="T1440">
        <v>-0.16978309999999999</v>
      </c>
      <c r="U1440">
        <v>-2.3594360000000001</v>
      </c>
      <c r="V1440">
        <v>0.19593459999999999</v>
      </c>
      <c r="W1440">
        <v>0.17863660000000001</v>
      </c>
      <c r="X1440">
        <v>0.96420879999999998</v>
      </c>
      <c r="Y1440">
        <v>0.39142460000000001</v>
      </c>
      <c r="Z1440">
        <v>4.1458580000000002E-2</v>
      </c>
      <c r="AA1440">
        <v>0.91927579999999998</v>
      </c>
      <c r="AB1440">
        <v>29</v>
      </c>
      <c r="AC1440">
        <v>-13.573499999999999</v>
      </c>
      <c r="AD1440">
        <v>-1.1137130493459999</v>
      </c>
      <c r="AE1440">
        <v>-15.223299999999901</v>
      </c>
      <c r="AF1440">
        <v>8.0666170866764197</v>
      </c>
      <c r="AG1440">
        <v>-1.1137130493459999</v>
      </c>
      <c r="AH1440">
        <v>18.666783107991101</v>
      </c>
      <c r="AI1440">
        <v>93.134833588065305</v>
      </c>
      <c r="AJ1440">
        <v>66.629016448424395</v>
      </c>
      <c r="AK1440">
        <v>20.365644099318999</v>
      </c>
      <c r="AL1440">
        <v>79.709644384105999</v>
      </c>
      <c r="AM1440">
        <v>78.513461114406198</v>
      </c>
      <c r="AN1440">
        <v>1.00000000616708</v>
      </c>
    </row>
    <row r="1441" spans="1:40" x14ac:dyDescent="0.25">
      <c r="A1441" t="str">
        <f>"20190303170525256"</f>
        <v>20190303170525256</v>
      </c>
      <c r="B1441" t="str">
        <f>"1551603925245815"</f>
        <v>1551603925245815</v>
      </c>
      <c r="C1441" t="s">
        <v>40</v>
      </c>
      <c r="D1441">
        <v>5.4464389999999998</v>
      </c>
      <c r="E1441">
        <v>0.596020199999999</v>
      </c>
      <c r="F1441" t="s">
        <v>52</v>
      </c>
      <c r="G1441">
        <v>-205.8956</v>
      </c>
      <c r="H1441" s="1">
        <v>4.8067909999999998E-6</v>
      </c>
      <c r="I1441">
        <v>284.89830000000001</v>
      </c>
      <c r="J1441">
        <v>-194.45400000000001</v>
      </c>
      <c r="K1441">
        <v>1.1136189999999999</v>
      </c>
      <c r="L1441">
        <v>297.03070000000002</v>
      </c>
      <c r="M1441">
        <v>-0.32469989999999999</v>
      </c>
      <c r="N1441">
        <v>-1.488043E-2</v>
      </c>
      <c r="O1441">
        <v>-0.94570019999999999</v>
      </c>
      <c r="P1441">
        <v>-0.49695289999999998</v>
      </c>
      <c r="Q1441">
        <v>0.167270899999999</v>
      </c>
      <c r="R1441">
        <v>-0.85150380000000003</v>
      </c>
      <c r="S1441">
        <v>-2.1544490000000001</v>
      </c>
      <c r="T1441">
        <v>-0.20778940000000001</v>
      </c>
      <c r="U1441">
        <v>-2.3165279999999999</v>
      </c>
      <c r="V1441">
        <v>0.1968799</v>
      </c>
      <c r="W1441">
        <v>0.17797589999999999</v>
      </c>
      <c r="X1441">
        <v>0.96413839999999995</v>
      </c>
      <c r="Y1441">
        <v>0.40510970000000002</v>
      </c>
      <c r="Z1441">
        <v>5.3477080000000003E-2</v>
      </c>
      <c r="AA1441">
        <v>0.91270280000000004</v>
      </c>
      <c r="AB1441">
        <v>29</v>
      </c>
      <c r="AC1441">
        <v>-11.4415999999999</v>
      </c>
      <c r="AD1441">
        <v>-1.113614193209</v>
      </c>
      <c r="AE1441">
        <v>-12.132400000000001</v>
      </c>
      <c r="AF1441">
        <v>6.8511443275781696</v>
      </c>
      <c r="AG1441">
        <v>-1.113614193209</v>
      </c>
      <c r="AH1441">
        <v>15.122942195956799</v>
      </c>
      <c r="AI1441">
        <v>93.837381672345202</v>
      </c>
      <c r="AJ1441">
        <v>65.628054270080099</v>
      </c>
      <c r="AK1441">
        <v>16.639762493223099</v>
      </c>
      <c r="AL1441">
        <v>79.748115998209997</v>
      </c>
      <c r="AM1441">
        <v>78.4587067738331</v>
      </c>
      <c r="AN1441">
        <v>0.99999998517968902</v>
      </c>
    </row>
    <row r="1442" spans="1:40" x14ac:dyDescent="0.25">
      <c r="A1442" t="str">
        <f>"20190303170525278"</f>
        <v>20190303170525278</v>
      </c>
      <c r="B1442" t="str">
        <f>"1551603925266310"</f>
        <v>1551603925266310</v>
      </c>
      <c r="C1442" t="s">
        <v>40</v>
      </c>
      <c r="D1442">
        <v>5.4677160000000002</v>
      </c>
      <c r="E1442">
        <v>0.59601340000000003</v>
      </c>
      <c r="F1442" t="s">
        <v>52</v>
      </c>
      <c r="G1442">
        <v>-206.0017</v>
      </c>
      <c r="H1442" s="1">
        <v>4.854667E-6</v>
      </c>
      <c r="I1442">
        <v>284.8888</v>
      </c>
      <c r="J1442">
        <v>-194.55779999999999</v>
      </c>
      <c r="K1442">
        <v>1.1135330000000001</v>
      </c>
      <c r="L1442">
        <v>296.7611</v>
      </c>
      <c r="M1442">
        <v>-0.33425480000000002</v>
      </c>
      <c r="N1442">
        <v>-1.490525E-2</v>
      </c>
      <c r="O1442">
        <v>-0.94236489999999995</v>
      </c>
      <c r="P1442">
        <v>-0.50615200000000005</v>
      </c>
      <c r="Q1442">
        <v>0.16803660000000001</v>
      </c>
      <c r="R1442">
        <v>-0.84591640000000001</v>
      </c>
      <c r="S1442">
        <v>-2.1800229999999998</v>
      </c>
      <c r="T1442">
        <v>-0.210233</v>
      </c>
      <c r="U1442">
        <v>-2.2922060000000002</v>
      </c>
      <c r="V1442">
        <v>0.1976774</v>
      </c>
      <c r="W1442">
        <v>0.17870320000000001</v>
      </c>
      <c r="X1442">
        <v>0.96384069999999999</v>
      </c>
      <c r="Y1442">
        <v>0.40600829999999999</v>
      </c>
      <c r="Z1442">
        <v>5.4246269999999999E-2</v>
      </c>
      <c r="AA1442">
        <v>0.91225800000000001</v>
      </c>
      <c r="AB1442">
        <v>29</v>
      </c>
      <c r="AC1442">
        <v>-11.443899999999999</v>
      </c>
      <c r="AD1442">
        <v>-1.1135281453329999</v>
      </c>
      <c r="AE1442">
        <v>-11.8722999999999</v>
      </c>
      <c r="AF1442">
        <v>6.7857700391601101</v>
      </c>
      <c r="AG1442">
        <v>-1.1135281453329999</v>
      </c>
      <c r="AH1442">
        <v>14.946727057235501</v>
      </c>
      <c r="AI1442">
        <v>93.880778218489198</v>
      </c>
      <c r="AJ1442">
        <v>65.582091358259703</v>
      </c>
      <c r="AK1442">
        <v>16.452697945270501</v>
      </c>
      <c r="AL1442">
        <v>79.705766448112399</v>
      </c>
      <c r="AM1442">
        <v>78.409736340468896</v>
      </c>
      <c r="AN1442">
        <v>1.00000004156874</v>
      </c>
    </row>
    <row r="1443" spans="1:40" x14ac:dyDescent="0.25">
      <c r="A1443" t="str">
        <f>"20190303170525302"</f>
        <v>20190303170525302</v>
      </c>
      <c r="B1443" t="str">
        <f>"1551603925296567"</f>
        <v>1551603925296567</v>
      </c>
      <c r="C1443" t="s">
        <v>40</v>
      </c>
      <c r="D1443">
        <v>5.4543589999999904</v>
      </c>
      <c r="E1443">
        <v>0.59638800000000003</v>
      </c>
      <c r="F1443" t="s">
        <v>52</v>
      </c>
      <c r="G1443">
        <v>-206.40530000000001</v>
      </c>
      <c r="H1443" s="1">
        <v>5.0605589999999998E-6</v>
      </c>
      <c r="I1443">
        <v>284.58100000000002</v>
      </c>
      <c r="J1443">
        <v>-194.67099999999999</v>
      </c>
      <c r="K1443">
        <v>1.113448</v>
      </c>
      <c r="L1443">
        <v>296.47629999999998</v>
      </c>
      <c r="M1443">
        <v>-0.34448869999999998</v>
      </c>
      <c r="N1443">
        <v>-1.4930830000000001E-2</v>
      </c>
      <c r="O1443">
        <v>-0.9386719</v>
      </c>
      <c r="P1443">
        <v>-0.51620219999999895</v>
      </c>
      <c r="Q1443">
        <v>0.1691425</v>
      </c>
      <c r="R1443">
        <v>-0.83959919999999999</v>
      </c>
      <c r="S1443">
        <v>-2.2058719999999998</v>
      </c>
      <c r="T1443">
        <v>-0.20732619999999999</v>
      </c>
      <c r="U1443">
        <v>-2.267792</v>
      </c>
      <c r="V1443">
        <v>0.19882250000000001</v>
      </c>
      <c r="W1443">
        <v>0.17976249999999999</v>
      </c>
      <c r="X1443">
        <v>0.96340809999999999</v>
      </c>
      <c r="Y1443">
        <v>0.40635929999999998</v>
      </c>
      <c r="Z1443">
        <v>5.3284860000000003E-2</v>
      </c>
      <c r="AA1443">
        <v>0.91215840000000004</v>
      </c>
      <c r="AB1443">
        <v>29</v>
      </c>
      <c r="AC1443">
        <v>-11.734299999999999</v>
      </c>
      <c r="AD1443">
        <v>-1.1134429394409999</v>
      </c>
      <c r="AE1443">
        <v>-11.895300000000001</v>
      </c>
      <c r="AF1443">
        <v>6.8870491942687702</v>
      </c>
      <c r="AG1443">
        <v>-1.1134429394409999</v>
      </c>
      <c r="AH1443">
        <v>15.142569789059699</v>
      </c>
      <c r="AI1443">
        <v>93.829270712054296</v>
      </c>
      <c r="AJ1443">
        <v>65.543305771051095</v>
      </c>
      <c r="AK1443">
        <v>16.6723909983006</v>
      </c>
      <c r="AL1443">
        <v>79.6440741640684</v>
      </c>
      <c r="AM1443">
        <v>78.339338138268104</v>
      </c>
      <c r="AN1443">
        <v>1.00000005502905</v>
      </c>
    </row>
    <row r="1444" spans="1:40" x14ac:dyDescent="0.25">
      <c r="A1444" t="str">
        <f>"20190303170525321"</f>
        <v>20190303170525321</v>
      </c>
      <c r="B1444" t="str">
        <f>"1551603925306326"</f>
        <v>1551603925306326</v>
      </c>
      <c r="C1444" t="s">
        <v>40</v>
      </c>
      <c r="D1444">
        <v>5.4499459999999997</v>
      </c>
      <c r="E1444">
        <v>0.59645899999999996</v>
      </c>
      <c r="F1444" t="s">
        <v>52</v>
      </c>
      <c r="G1444">
        <v>-206.65430000000001</v>
      </c>
      <c r="H1444" s="1">
        <v>5.1810519999999998E-6</v>
      </c>
      <c r="I1444">
        <v>284.46589999999998</v>
      </c>
      <c r="J1444">
        <v>-194.76840000000001</v>
      </c>
      <c r="K1444">
        <v>1.1133729999999999</v>
      </c>
      <c r="L1444">
        <v>296.23880000000003</v>
      </c>
      <c r="M1444">
        <v>-0.35313480000000003</v>
      </c>
      <c r="N1444">
        <v>-1.495121E-2</v>
      </c>
      <c r="O1444">
        <v>-0.93545319999999998</v>
      </c>
      <c r="P1444">
        <v>-0.52524029999999999</v>
      </c>
      <c r="Q1444">
        <v>0.1687052</v>
      </c>
      <c r="R1444">
        <v>-0.83406360000000002</v>
      </c>
      <c r="S1444">
        <v>-2.235519</v>
      </c>
      <c r="T1444">
        <v>-0.20771539999999999</v>
      </c>
      <c r="U1444">
        <v>-2.24057</v>
      </c>
      <c r="V1444">
        <v>0.20033380000000001</v>
      </c>
      <c r="W1444">
        <v>0.17927879999999999</v>
      </c>
      <c r="X1444">
        <v>0.96318510000000002</v>
      </c>
      <c r="Y1444">
        <v>0.40951720000000003</v>
      </c>
      <c r="Z1444">
        <v>5.3398439999999998E-2</v>
      </c>
      <c r="AA1444">
        <v>0.9107383</v>
      </c>
      <c r="AB1444">
        <v>29</v>
      </c>
      <c r="AC1444">
        <v>-11.8858999999999</v>
      </c>
      <c r="AD1444">
        <v>-1.1133678189480001</v>
      </c>
      <c r="AE1444">
        <v>-11.7729</v>
      </c>
      <c r="AF1444">
        <v>6.9313598076131502</v>
      </c>
      <c r="AG1444">
        <v>-1.1133678189480001</v>
      </c>
      <c r="AH1444">
        <v>15.1449411537392</v>
      </c>
      <c r="AI1444">
        <v>93.824302902778498</v>
      </c>
      <c r="AJ1444">
        <v>65.407930866848204</v>
      </c>
      <c r="AK1444">
        <v>16.692890080303201</v>
      </c>
      <c r="AL1444">
        <v>79.672245521947602</v>
      </c>
      <c r="AM1444">
        <v>78.250512538956997</v>
      </c>
      <c r="AN1444">
        <v>1.0000000282069399</v>
      </c>
    </row>
    <row r="1445" spans="1:40" x14ac:dyDescent="0.25">
      <c r="A1445" t="str">
        <f>"20190303170525344"</f>
        <v>20190303170525344</v>
      </c>
      <c r="B1445" t="str">
        <f>"1551603925335606"</f>
        <v>1551603925335606</v>
      </c>
      <c r="C1445" t="s">
        <v>40</v>
      </c>
      <c r="D1445">
        <v>5.4746540000000001</v>
      </c>
      <c r="E1445">
        <v>0.5965743</v>
      </c>
      <c r="F1445" t="s">
        <v>52</v>
      </c>
      <c r="G1445">
        <v>-206.68279999999999</v>
      </c>
      <c r="H1445" s="1">
        <v>5.1869329999999997E-6</v>
      </c>
      <c r="I1445">
        <v>284.54300000000001</v>
      </c>
      <c r="J1445">
        <v>-194.87899999999999</v>
      </c>
      <c r="K1445">
        <v>1.113299</v>
      </c>
      <c r="L1445">
        <v>295.97660000000002</v>
      </c>
      <c r="M1445">
        <v>-0.3627746</v>
      </c>
      <c r="N1445">
        <v>-1.497212E-2</v>
      </c>
      <c r="O1445">
        <v>-0.93175669999999999</v>
      </c>
      <c r="P1445">
        <v>-0.53374919999999904</v>
      </c>
      <c r="Q1445">
        <v>0.168188</v>
      </c>
      <c r="R1445">
        <v>-0.82874910000000002</v>
      </c>
      <c r="S1445">
        <v>-2.258667</v>
      </c>
      <c r="T1445">
        <v>-0.21106649999999999</v>
      </c>
      <c r="U1445">
        <v>-2.2172239999999999</v>
      </c>
      <c r="V1445">
        <v>0.20022870000000001</v>
      </c>
      <c r="W1445">
        <v>0.17875289999999999</v>
      </c>
      <c r="X1445">
        <v>0.96330459999999996</v>
      </c>
      <c r="Y1445">
        <v>0.40951510000000002</v>
      </c>
      <c r="Z1445">
        <v>5.4423840000000001E-2</v>
      </c>
      <c r="AA1445">
        <v>0.9106786</v>
      </c>
      <c r="AB1445">
        <v>29</v>
      </c>
      <c r="AC1445">
        <v>-11.803799999999899</v>
      </c>
      <c r="AD1445">
        <v>-1.113293813067</v>
      </c>
      <c r="AE1445">
        <v>-11.4336</v>
      </c>
      <c r="AF1445">
        <v>6.8199176555572798</v>
      </c>
      <c r="AG1445">
        <v>-1.113293813067</v>
      </c>
      <c r="AH1445">
        <v>14.868885010925601</v>
      </c>
      <c r="AI1445">
        <v>93.893357186774907</v>
      </c>
      <c r="AJ1445">
        <v>65.360476725341002</v>
      </c>
      <c r="AK1445">
        <v>16.396171547374198</v>
      </c>
      <c r="AL1445">
        <v>79.702871210301794</v>
      </c>
      <c r="AM1445">
        <v>78.257921729222403</v>
      </c>
      <c r="AN1445">
        <v>0.999999941971628</v>
      </c>
    </row>
    <row r="1446" spans="1:40" x14ac:dyDescent="0.25">
      <c r="A1446" t="str">
        <f>"20190303170525367"</f>
        <v>20190303170525367</v>
      </c>
      <c r="B1446" t="str">
        <f>"1551603925356103"</f>
        <v>1551603925356103</v>
      </c>
      <c r="C1446" t="s">
        <v>40</v>
      </c>
      <c r="D1446">
        <v>5.4721359999999999</v>
      </c>
      <c r="E1446">
        <v>0.59657680000000002</v>
      </c>
      <c r="F1446" t="s">
        <v>52</v>
      </c>
      <c r="G1446">
        <v>-206.61689999999999</v>
      </c>
      <c r="H1446" s="1">
        <v>5.1453499999999998E-6</v>
      </c>
      <c r="I1446">
        <v>284.68459999999999</v>
      </c>
      <c r="J1446">
        <v>-194.99930000000001</v>
      </c>
      <c r="K1446">
        <v>1.1132439999999999</v>
      </c>
      <c r="L1446">
        <v>295.7004</v>
      </c>
      <c r="M1446">
        <v>-0.37302600000000002</v>
      </c>
      <c r="N1446">
        <v>-1.4991630000000001E-2</v>
      </c>
      <c r="O1446">
        <v>-0.92769990000000002</v>
      </c>
      <c r="P1446">
        <v>-0.54267159999999903</v>
      </c>
      <c r="Q1446">
        <v>0.1675942</v>
      </c>
      <c r="R1446">
        <v>-0.82305529999999905</v>
      </c>
      <c r="S1446">
        <v>-2.2812649999999999</v>
      </c>
      <c r="T1446">
        <v>-0.21636820000000001</v>
      </c>
      <c r="U1446">
        <v>-2.1945800000000002</v>
      </c>
      <c r="V1446">
        <v>0.1999824</v>
      </c>
      <c r="W1446">
        <v>0.1781575</v>
      </c>
      <c r="X1446">
        <v>0.96346609999999999</v>
      </c>
      <c r="Y1446">
        <v>0.4085898</v>
      </c>
      <c r="Z1446">
        <v>5.603093E-2</v>
      </c>
      <c r="AA1446">
        <v>0.91099669999999999</v>
      </c>
      <c r="AB1446">
        <v>28</v>
      </c>
      <c r="AC1446">
        <v>-11.6175999999999</v>
      </c>
      <c r="AD1446">
        <v>-1.1132388546500001</v>
      </c>
      <c r="AE1446">
        <v>-11.0158</v>
      </c>
      <c r="AF1446">
        <v>6.6371244347451501</v>
      </c>
      <c r="AG1446">
        <v>-1.1132388546500001</v>
      </c>
      <c r="AH1446">
        <v>14.484623507778601</v>
      </c>
      <c r="AI1446">
        <v>93.996798531141806</v>
      </c>
      <c r="AJ1446">
        <v>65.381866246613299</v>
      </c>
      <c r="AK1446">
        <v>15.971694953006301</v>
      </c>
      <c r="AL1446">
        <v>79.737542151831505</v>
      </c>
      <c r="AM1446">
        <v>78.2738767153444</v>
      </c>
      <c r="AN1446">
        <v>0.99999999048260901</v>
      </c>
    </row>
    <row r="1447" spans="1:40" x14ac:dyDescent="0.25">
      <c r="A1447" t="str">
        <f>"20190303170525388"</f>
        <v>20190303170525388</v>
      </c>
      <c r="B1447" t="str">
        <f>"1551603925375622"</f>
        <v>1551603925375622</v>
      </c>
      <c r="C1447" t="s">
        <v>40</v>
      </c>
      <c r="D1447">
        <v>5.4546599999999996</v>
      </c>
      <c r="E1447">
        <v>0.59669430000000001</v>
      </c>
      <c r="F1447" t="s">
        <v>52</v>
      </c>
      <c r="G1447">
        <v>-206.67609999999999</v>
      </c>
      <c r="H1447" s="1">
        <v>5.1696219999999998E-6</v>
      </c>
      <c r="I1447">
        <v>284.70690000000002</v>
      </c>
      <c r="J1447">
        <v>-195.10759999999999</v>
      </c>
      <c r="K1447">
        <v>1.1131949999999999</v>
      </c>
      <c r="L1447">
        <v>295.45850000000002</v>
      </c>
      <c r="M1447">
        <v>-0.38206679999999998</v>
      </c>
      <c r="N1447">
        <v>-1.500638E-2</v>
      </c>
      <c r="O1447">
        <v>-0.92401299999999997</v>
      </c>
      <c r="P1447">
        <v>-0.55151899999999998</v>
      </c>
      <c r="Q1447">
        <v>0.16782900000000001</v>
      </c>
      <c r="R1447">
        <v>-0.81710479999999996</v>
      </c>
      <c r="S1447">
        <v>-2.3048860000000002</v>
      </c>
      <c r="T1447">
        <v>-0.21974270000000001</v>
      </c>
      <c r="U1447">
        <v>-2.170013</v>
      </c>
      <c r="V1447">
        <v>0.20100970000000001</v>
      </c>
      <c r="W1447">
        <v>0.17836489999999999</v>
      </c>
      <c r="X1447">
        <v>0.96321389999999996</v>
      </c>
      <c r="Y1447">
        <v>0.40943869999999999</v>
      </c>
      <c r="Z1447">
        <v>5.7061630000000002E-2</v>
      </c>
      <c r="AA1447">
        <v>0.91055140000000001</v>
      </c>
      <c r="AB1447">
        <v>28</v>
      </c>
      <c r="AC1447">
        <v>-11.5685</v>
      </c>
      <c r="AD1447">
        <v>-1.1131898303779999</v>
      </c>
      <c r="AE1447">
        <v>-10.7515999999999</v>
      </c>
      <c r="AF1447">
        <v>6.5498148575554396</v>
      </c>
      <c r="AG1447">
        <v>-1.1131898303779999</v>
      </c>
      <c r="AH1447">
        <v>14.2852016026876</v>
      </c>
      <c r="AI1447">
        <v>94.051795744635101</v>
      </c>
      <c r="AJ1447">
        <v>65.368378733511406</v>
      </c>
      <c r="AK1447">
        <v>15.754562865917199</v>
      </c>
      <c r="AL1447">
        <v>79.7254654400123</v>
      </c>
      <c r="AM1447">
        <v>78.212321337104001</v>
      </c>
      <c r="AN1447">
        <v>0.99999997709965405</v>
      </c>
    </row>
    <row r="1448" spans="1:40" x14ac:dyDescent="0.25">
      <c r="A1448" t="str">
        <f>"20190303170525410"</f>
        <v>20190303170525410</v>
      </c>
      <c r="B1448" t="str">
        <f>"1551603925396119"</f>
        <v>1551603925396119</v>
      </c>
      <c r="C1448" t="s">
        <v>40</v>
      </c>
      <c r="D1448">
        <v>5.4860829999999998</v>
      </c>
      <c r="E1448">
        <v>0.5968502</v>
      </c>
      <c r="F1448" t="s">
        <v>52</v>
      </c>
      <c r="G1448">
        <v>-206.85409999999999</v>
      </c>
      <c r="H1448" s="1">
        <v>5.2541420000000001E-6</v>
      </c>
      <c r="I1448">
        <v>284.64330000000001</v>
      </c>
      <c r="J1448">
        <v>-195.23009999999999</v>
      </c>
      <c r="K1448">
        <v>1.1131719999999901</v>
      </c>
      <c r="L1448">
        <v>295.19260000000003</v>
      </c>
      <c r="M1448">
        <v>-0.39205210000000001</v>
      </c>
      <c r="N1448">
        <v>-1.501975E-2</v>
      </c>
      <c r="O1448">
        <v>-0.91982039999999998</v>
      </c>
      <c r="P1448">
        <v>-0.56176499999999996</v>
      </c>
      <c r="Q1448">
        <v>0.16769729999999999</v>
      </c>
      <c r="R1448">
        <v>-0.81012229999999996</v>
      </c>
      <c r="S1448">
        <v>-2.3292999999999999</v>
      </c>
      <c r="T1448">
        <v>-0.2207431</v>
      </c>
      <c r="U1448">
        <v>-2.1446230000000002</v>
      </c>
      <c r="V1448">
        <v>0.20270859999999999</v>
      </c>
      <c r="W1448">
        <v>0.17819549999999901</v>
      </c>
      <c r="X1448">
        <v>0.9628892</v>
      </c>
      <c r="Y1448">
        <v>0.4096766</v>
      </c>
      <c r="Z1448">
        <v>5.7311279999999999E-2</v>
      </c>
      <c r="AA1448">
        <v>0.91042880000000004</v>
      </c>
      <c r="AB1448">
        <v>28</v>
      </c>
      <c r="AC1448">
        <v>-11.623999999999899</v>
      </c>
      <c r="AD1448">
        <v>-1.1131667458579999</v>
      </c>
      <c r="AE1448">
        <v>-10.549300000000001</v>
      </c>
      <c r="AF1448">
        <v>6.5240480942140602</v>
      </c>
      <c r="AG1448">
        <v>-1.1131667458579999</v>
      </c>
      <c r="AH1448">
        <v>14.1909193648459</v>
      </c>
      <c r="AI1448">
        <v>94.076644233187295</v>
      </c>
      <c r="AJ1448">
        <v>65.310150107151998</v>
      </c>
      <c r="AK1448">
        <v>15.6583695242915</v>
      </c>
      <c r="AL1448">
        <v>79.735329731000704</v>
      </c>
      <c r="AM1448">
        <v>78.111622055716694</v>
      </c>
      <c r="AN1448">
        <v>1.00000001210542</v>
      </c>
    </row>
    <row r="1449" spans="1:40" x14ac:dyDescent="0.25">
      <c r="A1449" t="str">
        <f>"20190303170525434"</f>
        <v>20190303170525434</v>
      </c>
      <c r="B1449" t="str">
        <f>"1551603925426375"</f>
        <v>1551603925426375</v>
      </c>
      <c r="C1449" t="s">
        <v>40</v>
      </c>
      <c r="D1449">
        <v>5.5484460000000002</v>
      </c>
      <c r="E1449">
        <v>0.57017669999999998</v>
      </c>
      <c r="F1449" t="s">
        <v>52</v>
      </c>
      <c r="G1449">
        <v>-206.8751</v>
      </c>
      <c r="H1449" s="1">
        <v>5.255893E-6</v>
      </c>
      <c r="I1449">
        <v>284.7296</v>
      </c>
      <c r="J1449">
        <v>-195.35749999999999</v>
      </c>
      <c r="K1449">
        <v>1.1131549999999999</v>
      </c>
      <c r="L1449">
        <v>294.9237</v>
      </c>
      <c r="M1449">
        <v>-0.40219670000000002</v>
      </c>
      <c r="N1449">
        <v>-1.5030719999999999E-2</v>
      </c>
      <c r="O1449">
        <v>-0.91542979999999996</v>
      </c>
      <c r="P1449">
        <v>-0.57176689999999997</v>
      </c>
      <c r="Q1449">
        <v>0.167535299999999</v>
      </c>
      <c r="R1449">
        <v>-0.80312810000000001</v>
      </c>
      <c r="S1449">
        <v>-2.3554840000000001</v>
      </c>
      <c r="T1449">
        <v>-0.22516520000000001</v>
      </c>
      <c r="U1449">
        <v>-2.1163940000000001</v>
      </c>
      <c r="V1449">
        <v>0.2039955</v>
      </c>
      <c r="W1449">
        <v>0.17800879999999999</v>
      </c>
      <c r="X1449">
        <v>0.9626519</v>
      </c>
      <c r="Y1449">
        <v>0.41059830000000003</v>
      </c>
      <c r="Z1449">
        <v>5.8648220000000001E-2</v>
      </c>
      <c r="AA1449">
        <v>0.90992830000000002</v>
      </c>
      <c r="AB1449">
        <v>28</v>
      </c>
      <c r="AC1449">
        <v>-11.5176</v>
      </c>
      <c r="AD1449">
        <v>-1.113149744107</v>
      </c>
      <c r="AE1449">
        <v>-10.194099999999899</v>
      </c>
      <c r="AF1449">
        <v>6.4106724023848196</v>
      </c>
      <c r="AG1449">
        <v>-1.113149744107</v>
      </c>
      <c r="AH1449">
        <v>13.893134786010201</v>
      </c>
      <c r="AI1449">
        <v>94.160986542035701</v>
      </c>
      <c r="AJ1449">
        <v>65.230107785913802</v>
      </c>
      <c r="AK1449">
        <v>15.341284730613401</v>
      </c>
      <c r="AL1449">
        <v>79.746200415023694</v>
      </c>
      <c r="AM1449">
        <v>78.035452199061098</v>
      </c>
      <c r="AN1449">
        <v>0.99999998873564899</v>
      </c>
    </row>
    <row r="1450" spans="1:40" x14ac:dyDescent="0.25">
      <c r="A1450" t="str">
        <f>"20190303170525455"</f>
        <v>20190303170525455</v>
      </c>
      <c r="B1450" t="str">
        <f>"1551603925445895"</f>
        <v>1551603925445895</v>
      </c>
      <c r="C1450" t="s">
        <v>40</v>
      </c>
      <c r="D1450">
        <v>5.5609500000000001</v>
      </c>
      <c r="E1450">
        <v>0.56684080000000003</v>
      </c>
      <c r="F1450" t="s">
        <v>52</v>
      </c>
      <c r="G1450">
        <v>-205.4092</v>
      </c>
      <c r="H1450" s="1">
        <v>4.5965129999999997E-6</v>
      </c>
      <c r="I1450">
        <v>284.8365</v>
      </c>
      <c r="J1450">
        <v>-195.4803</v>
      </c>
      <c r="K1450">
        <v>1.1131450000000001</v>
      </c>
      <c r="L1450">
        <v>294.67180000000002</v>
      </c>
      <c r="M1450">
        <v>-0.41173419999999999</v>
      </c>
      <c r="N1450">
        <v>-1.50394E-2</v>
      </c>
      <c r="O1450">
        <v>-0.91118010000000005</v>
      </c>
      <c r="P1450">
        <v>-0.58013230000000005</v>
      </c>
      <c r="Q1450">
        <v>0.1656126</v>
      </c>
      <c r="R1450">
        <v>-0.79750840000000001</v>
      </c>
      <c r="S1450">
        <v>-2.20723</v>
      </c>
      <c r="T1450">
        <v>-0.24443409999999999</v>
      </c>
      <c r="U1450">
        <v>-2.2150270000000001</v>
      </c>
      <c r="V1450">
        <v>0.20380670000000001</v>
      </c>
      <c r="W1450">
        <v>0.1761006</v>
      </c>
      <c r="X1450">
        <v>0.96304279999999998</v>
      </c>
      <c r="Y1450">
        <v>0.34977129999999901</v>
      </c>
      <c r="Z1450">
        <v>6.4283889999999996E-2</v>
      </c>
      <c r="AA1450">
        <v>0.93462699999999999</v>
      </c>
      <c r="AB1450">
        <v>28</v>
      </c>
      <c r="AC1450">
        <v>-9.9289000000000005</v>
      </c>
      <c r="AD1450">
        <v>-1.1131404034870001</v>
      </c>
      <c r="AE1450">
        <v>-9.8353000000000108</v>
      </c>
      <c r="AF1450">
        <v>4.9665433226531404</v>
      </c>
      <c r="AG1450">
        <v>-1.1131404034870001</v>
      </c>
      <c r="AH1450">
        <v>12.968995713784899</v>
      </c>
      <c r="AI1450">
        <v>94.582710509921498</v>
      </c>
      <c r="AJ1450">
        <v>69.045402620327295</v>
      </c>
      <c r="AK1450">
        <v>13.9319949740817</v>
      </c>
      <c r="AL1450">
        <v>79.857287555284202</v>
      </c>
      <c r="AM1450">
        <v>78.050919388487699</v>
      </c>
      <c r="AN1450">
        <v>1.0000000134585401</v>
      </c>
    </row>
    <row r="1451" spans="1:40" x14ac:dyDescent="0.25">
      <c r="A1451" t="str">
        <f>"20190303170525482"</f>
        <v>20190303170525482</v>
      </c>
      <c r="B1451" t="str">
        <f>"1551603925476153"</f>
        <v>1551603925476153</v>
      </c>
      <c r="C1451" t="s">
        <v>40</v>
      </c>
      <c r="D1451">
        <v>5.5522070000000001</v>
      </c>
      <c r="E1451">
        <v>0.56555290000000003</v>
      </c>
      <c r="F1451" t="s">
        <v>52</v>
      </c>
      <c r="G1451">
        <v>-205.88460000000001</v>
      </c>
      <c r="H1451" s="1">
        <v>4.8557220000000001E-6</v>
      </c>
      <c r="I1451">
        <v>284.28300000000002</v>
      </c>
      <c r="J1451">
        <v>-195.62440000000001</v>
      </c>
      <c r="K1451">
        <v>1.1131409999999999</v>
      </c>
      <c r="L1451">
        <v>294.38389999999998</v>
      </c>
      <c r="M1451">
        <v>-0.42266550000000003</v>
      </c>
      <c r="N1451">
        <v>-1.504781E-2</v>
      </c>
      <c r="O1451">
        <v>-0.90616110000000005</v>
      </c>
      <c r="P1451">
        <v>-0.58982179999999995</v>
      </c>
      <c r="Q1451">
        <v>0.16499720000000001</v>
      </c>
      <c r="R1451">
        <v>-0.79049789999999998</v>
      </c>
      <c r="S1451">
        <v>-2.2079469999999999</v>
      </c>
      <c r="T1451">
        <v>-0.2362233</v>
      </c>
      <c r="U1451">
        <v>-2.2046510000000001</v>
      </c>
      <c r="V1451">
        <v>0.20391010000000001</v>
      </c>
      <c r="W1451">
        <v>0.17548989999999901</v>
      </c>
      <c r="X1451">
        <v>0.9631324</v>
      </c>
      <c r="Y1451">
        <v>0.34097189999999999</v>
      </c>
      <c r="Z1451">
        <v>6.155907E-2</v>
      </c>
      <c r="AA1451">
        <v>0.9380558</v>
      </c>
      <c r="AB1451">
        <v>28</v>
      </c>
      <c r="AC1451">
        <v>-10.2601999999999</v>
      </c>
      <c r="AD1451">
        <v>-1.1131361442779999</v>
      </c>
      <c r="AE1451">
        <v>-10.1008999999999</v>
      </c>
      <c r="AF1451">
        <v>4.9987815808760399</v>
      </c>
      <c r="AG1451">
        <v>-1.1131361442779999</v>
      </c>
      <c r="AH1451">
        <v>13.411038967087601</v>
      </c>
      <c r="AI1451">
        <v>94.447194736367294</v>
      </c>
      <c r="AJ1451">
        <v>69.557747294280304</v>
      </c>
      <c r="AK1451">
        <v>14.355586213935799</v>
      </c>
      <c r="AL1451">
        <v>79.892831761919396</v>
      </c>
      <c r="AM1451">
        <v>78.046111658103897</v>
      </c>
      <c r="AN1451">
        <v>1.0000000269068801</v>
      </c>
    </row>
    <row r="1452" spans="1:40" x14ac:dyDescent="0.25">
      <c r="A1452" t="str">
        <f>"20190303170525502"</f>
        <v>20190303170525502</v>
      </c>
      <c r="B1452" t="str">
        <f>"1551603925495671"</f>
        <v>1551603925495671</v>
      </c>
      <c r="C1452" t="s">
        <v>40</v>
      </c>
      <c r="D1452">
        <v>5.5554489999999896</v>
      </c>
      <c r="E1452">
        <v>0.56515909999999903</v>
      </c>
      <c r="F1452" t="s">
        <v>52</v>
      </c>
      <c r="G1452">
        <v>-206.43360000000001</v>
      </c>
      <c r="H1452" s="1">
        <v>5.1411639999999999E-6</v>
      </c>
      <c r="I1452">
        <v>283.80270000000002</v>
      </c>
      <c r="J1452">
        <v>-195.74520000000001</v>
      </c>
      <c r="K1452">
        <v>1.1131390000000001</v>
      </c>
      <c r="L1452">
        <v>294.14940000000001</v>
      </c>
      <c r="M1452">
        <v>-0.43159720000000001</v>
      </c>
      <c r="N1452">
        <v>-1.505373E-2</v>
      </c>
      <c r="O1452">
        <v>-0.90194110000000005</v>
      </c>
      <c r="P1452">
        <v>-0.5974756</v>
      </c>
      <c r="Q1452">
        <v>0.16533419999999999</v>
      </c>
      <c r="R1452">
        <v>-0.78465810000000002</v>
      </c>
      <c r="S1452">
        <v>-2.2277529999999999</v>
      </c>
      <c r="T1452">
        <v>-0.2294149</v>
      </c>
      <c r="U1452">
        <v>-2.1807560000000001</v>
      </c>
      <c r="V1452">
        <v>0.20379249999999999</v>
      </c>
      <c r="W1452">
        <v>0.1758335</v>
      </c>
      <c r="X1452">
        <v>0.96309460000000002</v>
      </c>
      <c r="Y1452">
        <v>0.34109030000000001</v>
      </c>
      <c r="Z1452">
        <v>5.9386340000000003E-2</v>
      </c>
      <c r="AA1452">
        <v>0.93815280000000001</v>
      </c>
      <c r="AB1452">
        <v>28</v>
      </c>
      <c r="AC1452">
        <v>-10.6884</v>
      </c>
      <c r="AD1452">
        <v>-1.11313385883599</v>
      </c>
      <c r="AE1452">
        <v>-10.346699999999901</v>
      </c>
      <c r="AF1452">
        <v>5.1464698408296501</v>
      </c>
      <c r="AG1452">
        <v>-1.11313385883599</v>
      </c>
      <c r="AH1452">
        <v>13.8691192390251</v>
      </c>
      <c r="AI1452">
        <v>94.303188646174107</v>
      </c>
      <c r="AJ1452">
        <v>69.641418331380507</v>
      </c>
      <c r="AK1452">
        <v>14.835015580596799</v>
      </c>
      <c r="AL1452">
        <v>79.872833761417098</v>
      </c>
      <c r="AM1452">
        <v>78.052352167587301</v>
      </c>
      <c r="AN1452">
        <v>1.0000000056638301</v>
      </c>
    </row>
    <row r="1453" spans="1:40" x14ac:dyDescent="0.25">
      <c r="A1453" t="str">
        <f>"20190303170525524"</f>
        <v>20190303170525524</v>
      </c>
      <c r="B1453" t="str">
        <f>"1551603925516168"</f>
        <v>1551603925516168</v>
      </c>
      <c r="C1453" t="s">
        <v>40</v>
      </c>
      <c r="D1453">
        <v>5.5100870000000004</v>
      </c>
      <c r="E1453">
        <v>0.56498459999999995</v>
      </c>
      <c r="F1453" t="s">
        <v>52</v>
      </c>
      <c r="G1453">
        <v>-206.77680000000001</v>
      </c>
      <c r="H1453" s="1">
        <v>5.3163339999999999E-6</v>
      </c>
      <c r="I1453">
        <v>283.53960000000001</v>
      </c>
      <c r="J1453">
        <v>-195.8801</v>
      </c>
      <c r="K1453">
        <v>1.11314</v>
      </c>
      <c r="L1453">
        <v>293.89420000000001</v>
      </c>
      <c r="M1453">
        <v>-0.4413473</v>
      </c>
      <c r="N1453">
        <v>-1.505955E-2</v>
      </c>
      <c r="O1453">
        <v>-0.89721019999999896</v>
      </c>
      <c r="P1453">
        <v>-0.60584309999999997</v>
      </c>
      <c r="Q1453">
        <v>0.1656147</v>
      </c>
      <c r="R1453">
        <v>-0.77815570000000001</v>
      </c>
      <c r="S1453">
        <v>-2.246445</v>
      </c>
      <c r="T1453">
        <v>-0.22667689999999999</v>
      </c>
      <c r="U1453">
        <v>-2.1605530000000002</v>
      </c>
      <c r="V1453">
        <v>0.2037003</v>
      </c>
      <c r="W1453">
        <v>0.17611889999999999</v>
      </c>
      <c r="X1453">
        <v>0.96306190000000003</v>
      </c>
      <c r="Y1453">
        <v>0.33923120000000001</v>
      </c>
      <c r="Z1453">
        <v>5.8382049999999998E-2</v>
      </c>
      <c r="AA1453">
        <v>0.93888959999999999</v>
      </c>
      <c r="AB1453">
        <v>28</v>
      </c>
      <c r="AC1453">
        <v>-10.896699999999999</v>
      </c>
      <c r="AD1453">
        <v>-1.1131346836660001</v>
      </c>
      <c r="AE1453">
        <v>-10.3546</v>
      </c>
      <c r="AF1453">
        <v>5.1788460515666399</v>
      </c>
      <c r="AG1453">
        <v>-1.1131346836660001</v>
      </c>
      <c r="AH1453">
        <v>14.024174268534001</v>
      </c>
      <c r="AI1453">
        <v>94.258267712759405</v>
      </c>
      <c r="AJ1453">
        <v>69.731823944260498</v>
      </c>
      <c r="AK1453">
        <v>14.9912300750812</v>
      </c>
      <c r="AL1453">
        <v>79.856221756370005</v>
      </c>
      <c r="AM1453">
        <v>78.057208447213895</v>
      </c>
      <c r="AN1453">
        <v>0.99999995119445295</v>
      </c>
    </row>
    <row r="1454" spans="1:40" x14ac:dyDescent="0.25">
      <c r="A1454" t="str">
        <f>"20190303170525545"</f>
        <v>20190303170525545</v>
      </c>
      <c r="B1454" t="str">
        <f>"1551603925535687"</f>
        <v>1551603925535687</v>
      </c>
      <c r="C1454" t="s">
        <v>40</v>
      </c>
      <c r="D1454">
        <v>5.5179749999999999</v>
      </c>
      <c r="E1454">
        <v>0.56439399999999995</v>
      </c>
      <c r="F1454" t="s">
        <v>52</v>
      </c>
      <c r="G1454">
        <v>-207.0292</v>
      </c>
      <c r="H1454" s="1">
        <v>5.4417719999999901E-6</v>
      </c>
      <c r="I1454">
        <v>283.3854</v>
      </c>
      <c r="J1454">
        <v>-196.01089999999999</v>
      </c>
      <c r="K1454">
        <v>1.113138</v>
      </c>
      <c r="L1454">
        <v>293.65309999999999</v>
      </c>
      <c r="M1454">
        <v>-0.4505943</v>
      </c>
      <c r="N1454">
        <v>-1.506479E-2</v>
      </c>
      <c r="O1454">
        <v>-0.89260189999999995</v>
      </c>
      <c r="P1454">
        <v>-0.6129791</v>
      </c>
      <c r="Q1454">
        <v>0.16572249999999999</v>
      </c>
      <c r="R1454">
        <v>-0.77252399999999999</v>
      </c>
      <c r="S1454">
        <v>-2.267944</v>
      </c>
      <c r="T1454">
        <v>-0.2264332</v>
      </c>
      <c r="U1454">
        <v>-2.1376949999999999</v>
      </c>
      <c r="V1454">
        <v>0.2026261</v>
      </c>
      <c r="W1454">
        <v>0.17625170000000001</v>
      </c>
      <c r="X1454">
        <v>0.96326420000000001</v>
      </c>
      <c r="Y1454">
        <v>0.33897310000000003</v>
      </c>
      <c r="Z1454">
        <v>5.8178239999999999E-2</v>
      </c>
      <c r="AA1454">
        <v>0.93899549999999998</v>
      </c>
      <c r="AB1454">
        <v>28</v>
      </c>
      <c r="AC1454">
        <v>-11.0183</v>
      </c>
      <c r="AD1454">
        <v>-1.1131325582280001</v>
      </c>
      <c r="AE1454">
        <v>-10.2676999999999</v>
      </c>
      <c r="AF1454">
        <v>5.1806789435243896</v>
      </c>
      <c r="AG1454">
        <v>-1.1131325582280001</v>
      </c>
      <c r="AH1454">
        <v>14.0545791173006</v>
      </c>
      <c r="AI1454">
        <v>94.250000424626805</v>
      </c>
      <c r="AJ1454">
        <v>69.7655353911925</v>
      </c>
      <c r="AK1454">
        <v>15.0203093367788</v>
      </c>
      <c r="AL1454">
        <v>79.848492035137795</v>
      </c>
      <c r="AM1454">
        <v>78.120817748390195</v>
      </c>
      <c r="AN1454">
        <v>0.99999995857786905</v>
      </c>
    </row>
    <row r="1455" spans="1:40" x14ac:dyDescent="0.25">
      <c r="A1455" t="str">
        <f>"20190303170525568"</f>
        <v>20190303170525568</v>
      </c>
      <c r="B1455" t="str">
        <f>"1551603925556183"</f>
        <v>1551603925556183</v>
      </c>
      <c r="C1455" t="s">
        <v>40</v>
      </c>
      <c r="D1455">
        <v>5.5597699999999897</v>
      </c>
      <c r="E1455">
        <v>0.5583439</v>
      </c>
      <c r="F1455" t="s">
        <v>52</v>
      </c>
      <c r="G1455">
        <v>-207.31870000000001</v>
      </c>
      <c r="H1455" s="1">
        <v>5.5892160000000002E-6</v>
      </c>
      <c r="I1455">
        <v>283.16739999999999</v>
      </c>
      <c r="J1455">
        <v>-196.15350000000001</v>
      </c>
      <c r="K1455">
        <v>1.113127</v>
      </c>
      <c r="L1455">
        <v>293.3972</v>
      </c>
      <c r="M1455">
        <v>-0.46045589999999997</v>
      </c>
      <c r="N1455">
        <v>-1.507038E-2</v>
      </c>
      <c r="O1455">
        <v>-0.88755479999999998</v>
      </c>
      <c r="P1455">
        <v>-0.62065459999999995</v>
      </c>
      <c r="Q1455">
        <v>0.1656908</v>
      </c>
      <c r="R1455">
        <v>-0.76637759999999999</v>
      </c>
      <c r="S1455">
        <v>-2.2847749999999998</v>
      </c>
      <c r="T1455">
        <v>-0.2249119</v>
      </c>
      <c r="U1455">
        <v>-2.1186829999999999</v>
      </c>
      <c r="V1455">
        <v>0.20156060000000001</v>
      </c>
      <c r="W1455">
        <v>0.17624519999999999</v>
      </c>
      <c r="X1455">
        <v>0.96348889999999998</v>
      </c>
      <c r="Y1455">
        <v>0.33622849999999999</v>
      </c>
      <c r="Z1455">
        <v>5.7520679999999998E-2</v>
      </c>
      <c r="AA1455">
        <v>0.94002220000000003</v>
      </c>
      <c r="AB1455">
        <v>28</v>
      </c>
      <c r="AC1455">
        <v>-11.1652</v>
      </c>
      <c r="AD1455">
        <v>-1.113121410784</v>
      </c>
      <c r="AE1455">
        <v>-10.229799999999999</v>
      </c>
      <c r="AF1455">
        <v>5.17199890757189</v>
      </c>
      <c r="AG1455">
        <v>-1.113121410784</v>
      </c>
      <c r="AH1455">
        <v>14.145769293286</v>
      </c>
      <c r="AI1455">
        <v>94.226731828586693</v>
      </c>
      <c r="AJ1455">
        <v>69.916495717665995</v>
      </c>
      <c r="AK1455">
        <v>15.1026951526521</v>
      </c>
      <c r="AL1455">
        <v>79.848870325371905</v>
      </c>
      <c r="AM1455">
        <v>78.184201347619705</v>
      </c>
      <c r="AN1455">
        <v>0.99999995320930302</v>
      </c>
    </row>
    <row r="1456" spans="1:40" x14ac:dyDescent="0.25">
      <c r="A1456" t="str">
        <f>"20190303170525590"</f>
        <v>20190303170525590</v>
      </c>
      <c r="B1456" t="str">
        <f>"1551603925575703"</f>
        <v>1551603925575703</v>
      </c>
      <c r="C1456" t="s">
        <v>40</v>
      </c>
      <c r="D1456">
        <v>5.5538410000000002</v>
      </c>
      <c r="E1456">
        <v>0.55738829999999995</v>
      </c>
      <c r="F1456" t="s">
        <v>52</v>
      </c>
      <c r="G1456">
        <v>-208.40889999999999</v>
      </c>
      <c r="H1456" s="1">
        <v>6.180081E-6</v>
      </c>
      <c r="I1456">
        <v>281.93860000000001</v>
      </c>
      <c r="J1456">
        <v>-196.2817</v>
      </c>
      <c r="K1456">
        <v>1.113105</v>
      </c>
      <c r="L1456">
        <v>293.17270000000002</v>
      </c>
      <c r="M1456">
        <v>-0.46914729999999999</v>
      </c>
      <c r="N1456">
        <v>-1.507498E-2</v>
      </c>
      <c r="O1456">
        <v>-0.88299130000000003</v>
      </c>
      <c r="P1456">
        <v>-0.62758579999999997</v>
      </c>
      <c r="Q1456">
        <v>0.16464770000000001</v>
      </c>
      <c r="R1456">
        <v>-0.76093849999999996</v>
      </c>
      <c r="S1456">
        <v>-2.269012</v>
      </c>
      <c r="T1456">
        <v>-0.2060881</v>
      </c>
      <c r="U1456">
        <v>-2.1214900000000001</v>
      </c>
      <c r="V1456">
        <v>0.20072409999999999</v>
      </c>
      <c r="W1456">
        <v>0.17522279999999901</v>
      </c>
      <c r="X1456">
        <v>0.96384999999999998</v>
      </c>
      <c r="Y1456">
        <v>0.32336490000000001</v>
      </c>
      <c r="Z1456">
        <v>5.152296E-2</v>
      </c>
      <c r="AA1456">
        <v>0.94487069999999995</v>
      </c>
      <c r="AB1456">
        <v>28</v>
      </c>
      <c r="AC1456">
        <v>-12.127199999999901</v>
      </c>
      <c r="AD1456">
        <v>-1.1130988199189999</v>
      </c>
      <c r="AE1456">
        <v>-11.2341</v>
      </c>
      <c r="AF1456">
        <v>5.4138365413740503</v>
      </c>
      <c r="AG1456">
        <v>-1.1130988199189999</v>
      </c>
      <c r="AH1456">
        <v>15.5403709587568</v>
      </c>
      <c r="AI1456">
        <v>93.869552968033005</v>
      </c>
      <c r="AJ1456">
        <v>70.793072807134294</v>
      </c>
      <c r="AK1456">
        <v>16.493991166949002</v>
      </c>
      <c r="AL1456">
        <v>79.908376136399099</v>
      </c>
      <c r="AM1456">
        <v>78.236154003413603</v>
      </c>
      <c r="AN1456">
        <v>1.00000000823032</v>
      </c>
    </row>
    <row r="1457" spans="1:40" x14ac:dyDescent="0.25">
      <c r="A1457" t="str">
        <f>"20190303170525611"</f>
        <v>20190303170525611</v>
      </c>
      <c r="B1457" t="str">
        <f>"1551603925605959"</f>
        <v>1551603925605959</v>
      </c>
      <c r="C1457" t="s">
        <v>40</v>
      </c>
      <c r="D1457">
        <v>5.53348</v>
      </c>
      <c r="E1457">
        <v>0.556706699999999</v>
      </c>
      <c r="F1457" t="s">
        <v>52</v>
      </c>
      <c r="G1457">
        <v>-208.65180000000001</v>
      </c>
      <c r="H1457" s="1">
        <v>6.3036449999999999E-6</v>
      </c>
      <c r="I1457">
        <v>281.75740000000002</v>
      </c>
      <c r="J1457">
        <v>-196.42910000000001</v>
      </c>
      <c r="K1457">
        <v>1.1130850000000001</v>
      </c>
      <c r="L1457">
        <v>292.92070000000001</v>
      </c>
      <c r="M1457">
        <v>-0.47896630000000001</v>
      </c>
      <c r="N1457">
        <v>-1.5080970000000001E-2</v>
      </c>
      <c r="O1457">
        <v>-0.87770400000000004</v>
      </c>
      <c r="P1457">
        <v>-0.63561509999999999</v>
      </c>
      <c r="Q1457">
        <v>0.165339299999999</v>
      </c>
      <c r="R1457">
        <v>-0.75409349999999997</v>
      </c>
      <c r="S1457">
        <v>-2.2813720000000002</v>
      </c>
      <c r="T1457">
        <v>-0.2052841</v>
      </c>
      <c r="U1457">
        <v>-2.105286</v>
      </c>
      <c r="V1457">
        <v>0.2002833</v>
      </c>
      <c r="W1457">
        <v>0.17591799999999999</v>
      </c>
      <c r="X1457">
        <v>0.96381510000000004</v>
      </c>
      <c r="Y1457">
        <v>0.31899870000000002</v>
      </c>
      <c r="Z1457">
        <v>5.108219E-2</v>
      </c>
      <c r="AA1457">
        <v>0.94637749999999998</v>
      </c>
      <c r="AB1457">
        <v>28</v>
      </c>
      <c r="AC1457">
        <v>-12.2227</v>
      </c>
      <c r="AD1457">
        <v>-1.1130786963549999</v>
      </c>
      <c r="AE1457">
        <v>-11.1632999999999</v>
      </c>
      <c r="AF1457">
        <v>5.3574553968387599</v>
      </c>
      <c r="AG1457">
        <v>-1.1130786963549999</v>
      </c>
      <c r="AH1457">
        <v>15.5836500948724</v>
      </c>
      <c r="AI1457">
        <v>93.864225282338097</v>
      </c>
      <c r="AJ1457">
        <v>71.027699317740201</v>
      </c>
      <c r="AK1457">
        <v>16.516398602383401</v>
      </c>
      <c r="AL1457">
        <v>79.867916008314694</v>
      </c>
      <c r="AM1457">
        <v>78.2608570810049</v>
      </c>
      <c r="AN1457">
        <v>1.00000004498544</v>
      </c>
    </row>
    <row r="1458" spans="1:40" x14ac:dyDescent="0.25">
      <c r="A1458" t="str">
        <f>"20190303170525635"</f>
        <v>20190303170525635</v>
      </c>
      <c r="B1458" t="str">
        <f>"1551603925626455"</f>
        <v>1551603925626455</v>
      </c>
      <c r="C1458" t="s">
        <v>40</v>
      </c>
      <c r="D1458">
        <v>5.5163469999999997</v>
      </c>
      <c r="E1458">
        <v>0.55632910000000002</v>
      </c>
      <c r="F1458" t="s">
        <v>52</v>
      </c>
      <c r="G1458">
        <v>-209.0831</v>
      </c>
      <c r="H1458" s="1">
        <v>6.52186799999999E-6</v>
      </c>
      <c r="I1458">
        <v>281.44880000000001</v>
      </c>
      <c r="J1458">
        <v>-196.57820000000001</v>
      </c>
      <c r="K1458">
        <v>1.113065</v>
      </c>
      <c r="L1458">
        <v>292.67250000000001</v>
      </c>
      <c r="M1458">
        <v>-0.48871769999999998</v>
      </c>
      <c r="N1458">
        <v>-1.508833E-2</v>
      </c>
      <c r="O1458">
        <v>-0.87231159999999996</v>
      </c>
      <c r="P1458">
        <v>-0.64269659999999995</v>
      </c>
      <c r="Q1458">
        <v>0.16743810000000001</v>
      </c>
      <c r="R1458">
        <v>-0.7476003</v>
      </c>
      <c r="S1458">
        <v>-2.2993320000000002</v>
      </c>
      <c r="T1458">
        <v>-0.2022563</v>
      </c>
      <c r="U1458">
        <v>-2.0845639999999999</v>
      </c>
      <c r="V1458">
        <v>0.1989088</v>
      </c>
      <c r="W1458">
        <v>0.178036</v>
      </c>
      <c r="X1458">
        <v>0.96371079999999998</v>
      </c>
      <c r="Y1458">
        <v>0.31684099999999998</v>
      </c>
      <c r="Z1458">
        <v>4.9975940000000003E-2</v>
      </c>
      <c r="AA1458">
        <v>0.94716109999999998</v>
      </c>
      <c r="AB1458">
        <v>28</v>
      </c>
      <c r="AC1458">
        <v>-12.5048999999999</v>
      </c>
      <c r="AD1458">
        <v>-1.1130584781320001</v>
      </c>
      <c r="AE1458">
        <v>-11.223699999999999</v>
      </c>
      <c r="AF1458">
        <v>5.3998712597170897</v>
      </c>
      <c r="AG1458">
        <v>-1.1130584781320001</v>
      </c>
      <c r="AH1458">
        <v>15.8342594193235</v>
      </c>
      <c r="AI1458">
        <v>93.8063897824414</v>
      </c>
      <c r="AJ1458">
        <v>71.169363432881198</v>
      </c>
      <c r="AK1458">
        <v>16.766671707756899</v>
      </c>
      <c r="AL1458">
        <v>79.744616965034297</v>
      </c>
      <c r="AM1458">
        <v>78.337979217175899</v>
      </c>
      <c r="AN1458">
        <v>1.0000000170250301</v>
      </c>
    </row>
    <row r="1459" spans="1:40" x14ac:dyDescent="0.25">
      <c r="A1459" t="str">
        <f>"20190303170525661"</f>
        <v>20190303170525661</v>
      </c>
      <c r="B1459" t="str">
        <f>"1551603925655735"</f>
        <v>1551603925655735</v>
      </c>
      <c r="C1459" t="s">
        <v>40</v>
      </c>
      <c r="D1459">
        <v>5.5676160000000001</v>
      </c>
      <c r="E1459">
        <v>0.55566300000000002</v>
      </c>
      <c r="F1459" t="s">
        <v>52</v>
      </c>
      <c r="G1459">
        <v>-209.8596</v>
      </c>
      <c r="H1459" s="1">
        <v>6.9184270000000002E-6</v>
      </c>
      <c r="I1459">
        <v>280.85140000000001</v>
      </c>
      <c r="J1459">
        <v>-196.7396</v>
      </c>
      <c r="K1459">
        <v>1.1130279999999999</v>
      </c>
      <c r="L1459">
        <v>292.41059999999999</v>
      </c>
      <c r="M1459">
        <v>-0.49909949999999997</v>
      </c>
      <c r="N1459">
        <v>-1.5097899999999999E-2</v>
      </c>
      <c r="O1459">
        <v>-0.86641309999999905</v>
      </c>
      <c r="P1459">
        <v>-0.650294699999999</v>
      </c>
      <c r="Q1459">
        <v>0.1679339</v>
      </c>
      <c r="R1459">
        <v>-0.7408882</v>
      </c>
      <c r="S1459">
        <v>-2.3182830000000001</v>
      </c>
      <c r="T1459">
        <v>-0.19428619999999999</v>
      </c>
      <c r="U1459">
        <v>-2.0633849999999998</v>
      </c>
      <c r="V1459">
        <v>0.19731950000000001</v>
      </c>
      <c r="W1459">
        <v>0.178555399999999</v>
      </c>
      <c r="X1459">
        <v>0.96394139999999995</v>
      </c>
      <c r="Y1459">
        <v>0.31429970000000002</v>
      </c>
      <c r="Z1459">
        <v>4.733441E-2</v>
      </c>
      <c r="AA1459">
        <v>0.94814299999999996</v>
      </c>
      <c r="AB1459">
        <v>28</v>
      </c>
      <c r="AC1459">
        <v>-13.12</v>
      </c>
      <c r="AD1459">
        <v>-1.1130210815729999</v>
      </c>
      <c r="AE1459">
        <v>-11.559199999999899</v>
      </c>
      <c r="AF1459">
        <v>5.5761940517692601</v>
      </c>
      <c r="AG1459">
        <v>-1.1130210815729999</v>
      </c>
      <c r="AH1459">
        <v>16.4982699033465</v>
      </c>
      <c r="AI1459">
        <v>93.656865314383793</v>
      </c>
      <c r="AJ1459">
        <v>71.325436095182894</v>
      </c>
      <c r="AK1459">
        <v>17.450663764873902</v>
      </c>
      <c r="AL1459">
        <v>79.714372959354094</v>
      </c>
      <c r="AM1459">
        <v>78.431330585609999</v>
      </c>
      <c r="AN1459">
        <v>1.00000001929168</v>
      </c>
    </row>
    <row r="1460" spans="1:40" x14ac:dyDescent="0.25">
      <c r="A1460" t="str">
        <f>"20190303170525682"</f>
        <v>20190303170525682</v>
      </c>
      <c r="B1460" t="str">
        <f>"1551603925676232"</f>
        <v>1551603925676232</v>
      </c>
      <c r="C1460" t="s">
        <v>40</v>
      </c>
      <c r="D1460">
        <v>5.5289929999999998</v>
      </c>
      <c r="E1460">
        <v>0.55518959999999995</v>
      </c>
      <c r="F1460" t="s">
        <v>60</v>
      </c>
      <c r="G1460">
        <v>-210.08709999999999</v>
      </c>
      <c r="H1460" s="1">
        <v>-1.490464E-6</v>
      </c>
      <c r="I1460">
        <v>280.74279999999999</v>
      </c>
      <c r="J1460">
        <v>-196.8897</v>
      </c>
      <c r="K1460">
        <v>1.1129830000000001</v>
      </c>
      <c r="L1460">
        <v>292.17329999999998</v>
      </c>
      <c r="M1460">
        <v>-0.5086058</v>
      </c>
      <c r="N1460">
        <v>-1.5108409999999999E-2</v>
      </c>
      <c r="O1460">
        <v>-0.8608671</v>
      </c>
      <c r="P1460">
        <v>-0.65828469999999994</v>
      </c>
      <c r="Q1460">
        <v>0.16750300000000001</v>
      </c>
      <c r="R1460">
        <v>-0.73389669999999996</v>
      </c>
      <c r="S1460">
        <v>-2.3365170000000002</v>
      </c>
      <c r="T1460">
        <v>-0.19483919999999999</v>
      </c>
      <c r="U1460">
        <v>-2.0424799999999999</v>
      </c>
      <c r="V1460">
        <v>0.19711819999999999</v>
      </c>
      <c r="W1460">
        <v>0.178115299999999</v>
      </c>
      <c r="X1460">
        <v>0.96406400000000003</v>
      </c>
      <c r="Y1460">
        <v>0.31232399999999999</v>
      </c>
      <c r="Z1460">
        <v>4.7310629999999999E-2</v>
      </c>
      <c r="AA1460">
        <v>0.9487968</v>
      </c>
      <c r="AB1460">
        <v>28</v>
      </c>
      <c r="AC1460">
        <v>-13.197399999999901</v>
      </c>
      <c r="AD1460">
        <v>-1.1129844904640001</v>
      </c>
      <c r="AE1460">
        <v>-11.430499999999901</v>
      </c>
      <c r="AF1460">
        <v>5.52576616858547</v>
      </c>
      <c r="AG1460">
        <v>-1.1129844904640001</v>
      </c>
      <c r="AH1460">
        <v>16.487302887609101</v>
      </c>
      <c r="AI1460">
        <v>93.6622988695228</v>
      </c>
      <c r="AJ1460">
        <v>71.4712780814464</v>
      </c>
      <c r="AK1460">
        <v>17.424235499259598</v>
      </c>
      <c r="AL1460">
        <v>79.739999645522502</v>
      </c>
      <c r="AM1460">
        <v>78.444245130490202</v>
      </c>
      <c r="AN1460">
        <v>1.0000000204806601</v>
      </c>
    </row>
    <row r="1461" spans="1:40" x14ac:dyDescent="0.25">
      <c r="A1461" t="str">
        <f>"20190303170525726"</f>
        <v>20190303170525726</v>
      </c>
      <c r="B1461" t="str">
        <f>"1551603925716247"</f>
        <v>1551603925716247</v>
      </c>
      <c r="C1461" t="s">
        <v>40</v>
      </c>
      <c r="D1461">
        <v>5.5353379999999897</v>
      </c>
      <c r="E1461">
        <v>0.55460290000000001</v>
      </c>
      <c r="F1461" t="s">
        <v>60</v>
      </c>
      <c r="G1461">
        <v>-210.25399999999999</v>
      </c>
      <c r="H1461" s="1">
        <v>-1.4016460000000001E-6</v>
      </c>
      <c r="I1461">
        <v>280.71940000000001</v>
      </c>
      <c r="J1461">
        <v>-197.19589999999999</v>
      </c>
      <c r="K1461">
        <v>1.112857</v>
      </c>
      <c r="L1461">
        <v>291.70760000000001</v>
      </c>
      <c r="M1461">
        <v>-0.52761069999999999</v>
      </c>
      <c r="N1461">
        <v>-1.5134409999999999E-2</v>
      </c>
      <c r="O1461">
        <v>-0.84935159999999998</v>
      </c>
      <c r="P1461">
        <v>-0.67442789999999997</v>
      </c>
      <c r="Q1461">
        <v>0.16815050000000001</v>
      </c>
      <c r="R1461">
        <v>-0.71893859999999998</v>
      </c>
      <c r="S1461">
        <v>-2.3560789999999998</v>
      </c>
      <c r="T1461">
        <v>-0.19621530000000001</v>
      </c>
      <c r="U1461">
        <v>-2.0192869999999998</v>
      </c>
      <c r="V1461">
        <v>0.19726289999999999</v>
      </c>
      <c r="W1461">
        <v>0.17872289999999999</v>
      </c>
      <c r="X1461">
        <v>0.9639219</v>
      </c>
      <c r="Y1461">
        <v>0.3004696</v>
      </c>
      <c r="Z1461">
        <v>4.7136480000000001E-2</v>
      </c>
      <c r="AA1461">
        <v>0.95262590000000003</v>
      </c>
      <c r="AB1461">
        <v>28</v>
      </c>
      <c r="AC1461">
        <v>-13.0581</v>
      </c>
      <c r="AD1461">
        <v>-1.1128584016459999</v>
      </c>
      <c r="AE1461">
        <v>-10.988200000000001</v>
      </c>
      <c r="AF1461">
        <v>5.2716162997700096</v>
      </c>
      <c r="AG1461">
        <v>-1.1128584016459999</v>
      </c>
      <c r="AH1461">
        <v>16.155598965114098</v>
      </c>
      <c r="AI1461">
        <v>93.746703423826901</v>
      </c>
      <c r="AJ1461">
        <v>71.928353288613593</v>
      </c>
      <c r="AK1461">
        <v>17.030319144270599</v>
      </c>
      <c r="AL1461">
        <v>79.704618591283094</v>
      </c>
      <c r="AM1461">
        <v>78.434331910251302</v>
      </c>
      <c r="AN1461">
        <v>0.99999997800021401</v>
      </c>
    </row>
    <row r="1462" spans="1:40" x14ac:dyDescent="0.25">
      <c r="A1462" t="str">
        <f>"20190303170525746"</f>
        <v>20190303170525746</v>
      </c>
      <c r="B1462" t="str">
        <f>"1551603925735767"</f>
        <v>1551603925735767</v>
      </c>
      <c r="C1462" t="s">
        <v>40</v>
      </c>
      <c r="D1462">
        <v>5.541633</v>
      </c>
      <c r="E1462">
        <v>0.55207530000000005</v>
      </c>
      <c r="F1462" t="s">
        <v>60</v>
      </c>
      <c r="G1462">
        <v>-210.93690000000001</v>
      </c>
      <c r="H1462" s="1">
        <v>-1.038229E-6</v>
      </c>
      <c r="I1462">
        <v>280.41809999999998</v>
      </c>
      <c r="J1462">
        <v>-197.3409</v>
      </c>
      <c r="K1462">
        <v>1.112814</v>
      </c>
      <c r="L1462">
        <v>291.49509999999998</v>
      </c>
      <c r="M1462">
        <v>-0.5364255</v>
      </c>
      <c r="N1462">
        <v>-1.514792E-2</v>
      </c>
      <c r="O1462">
        <v>-0.8438118</v>
      </c>
      <c r="P1462">
        <v>-0.68150489999999997</v>
      </c>
      <c r="Q1462">
        <v>0.16952719999999999</v>
      </c>
      <c r="R1462">
        <v>-0.71190719999999996</v>
      </c>
      <c r="S1462">
        <v>-2.397186</v>
      </c>
      <c r="T1462">
        <v>-0.19414400000000001</v>
      </c>
      <c r="U1462">
        <v>-1.9695130000000001</v>
      </c>
      <c r="V1462">
        <v>0.196987</v>
      </c>
      <c r="W1462">
        <v>0.1800889</v>
      </c>
      <c r="X1462">
        <v>0.96372409999999997</v>
      </c>
      <c r="Y1462">
        <v>0.310361</v>
      </c>
      <c r="Z1462">
        <v>4.6582289999999998E-2</v>
      </c>
      <c r="AA1462">
        <v>0.94947680000000001</v>
      </c>
      <c r="AB1462">
        <v>28</v>
      </c>
      <c r="AC1462">
        <v>-13.596</v>
      </c>
      <c r="AD1462">
        <v>-1.1128150382290001</v>
      </c>
      <c r="AE1462">
        <v>-11.0769999999999</v>
      </c>
      <c r="AF1462">
        <v>5.5089324649029301</v>
      </c>
      <c r="AG1462">
        <v>-1.1128150382290001</v>
      </c>
      <c r="AH1462">
        <v>16.575312134037802</v>
      </c>
      <c r="AI1462">
        <v>93.645403063109299</v>
      </c>
      <c r="AJ1462">
        <v>71.615376074193307</v>
      </c>
      <c r="AK1462">
        <v>17.502218903697599</v>
      </c>
      <c r="AL1462">
        <v>79.625062142353997</v>
      </c>
      <c r="AM1462">
        <v>78.447766308257798</v>
      </c>
      <c r="AN1462">
        <v>1.0000000154965001</v>
      </c>
    </row>
    <row r="1463" spans="1:40" x14ac:dyDescent="0.25">
      <c r="A1463" t="str">
        <f>"20190303170525767"</f>
        <v>20190303170525767</v>
      </c>
      <c r="B1463" t="str">
        <f>"1551603925756263"</f>
        <v>1551603925756263</v>
      </c>
      <c r="C1463" t="s">
        <v>40</v>
      </c>
      <c r="D1463">
        <v>5.5333940000000004</v>
      </c>
      <c r="E1463">
        <v>0.55223849999999997</v>
      </c>
      <c r="F1463" t="s">
        <v>52</v>
      </c>
      <c r="G1463">
        <v>-209.52440000000001</v>
      </c>
      <c r="H1463" s="1">
        <v>6.7081649999999997E-6</v>
      </c>
      <c r="I1463">
        <v>281.55650000000003</v>
      </c>
      <c r="J1463">
        <v>-197.499</v>
      </c>
      <c r="K1463">
        <v>1.1127609999999999</v>
      </c>
      <c r="L1463">
        <v>291.26900000000001</v>
      </c>
      <c r="M1463">
        <v>-0.54589589999999999</v>
      </c>
      <c r="N1463">
        <v>-1.51611E-2</v>
      </c>
      <c r="O1463">
        <v>-0.83771580000000001</v>
      </c>
      <c r="P1463">
        <v>-0.68987449999999995</v>
      </c>
      <c r="Q1463">
        <v>0.17071600000000001</v>
      </c>
      <c r="R1463">
        <v>-0.70351219999999903</v>
      </c>
      <c r="S1463">
        <v>-2.4062649999999999</v>
      </c>
      <c r="T1463">
        <v>-0.219781</v>
      </c>
      <c r="U1463">
        <v>-1.9628909999999999</v>
      </c>
      <c r="V1463">
        <v>0.19773160000000001</v>
      </c>
      <c r="W1463">
        <v>0.1812464</v>
      </c>
      <c r="X1463">
        <v>0.9633545</v>
      </c>
      <c r="Y1463">
        <v>0.30262840000000002</v>
      </c>
      <c r="Z1463">
        <v>5.3751529999999999E-2</v>
      </c>
      <c r="AA1463">
        <v>0.95159170000000004</v>
      </c>
      <c r="AB1463">
        <v>28</v>
      </c>
      <c r="AC1463">
        <v>-12.0253999999999</v>
      </c>
      <c r="AD1463">
        <v>-1.112754291835</v>
      </c>
      <c r="AE1463">
        <v>-9.7124999999999702</v>
      </c>
      <c r="AF1463">
        <v>4.7477987924650504</v>
      </c>
      <c r="AG1463">
        <v>-1.112754291835</v>
      </c>
      <c r="AH1463">
        <v>14.626824035707999</v>
      </c>
      <c r="AI1463">
        <v>94.138694012859702</v>
      </c>
      <c r="AJ1463">
        <v>72.016811663421706</v>
      </c>
      <c r="AK1463">
        <v>15.4182942266418</v>
      </c>
      <c r="AL1463">
        <v>79.5576321662368</v>
      </c>
      <c r="AM1463">
        <v>78.400951907958898</v>
      </c>
      <c r="AN1463">
        <v>0.99999996791088397</v>
      </c>
    </row>
    <row r="1464" spans="1:40" x14ac:dyDescent="0.25">
      <c r="A1464" t="str">
        <f>"20190303170525790"</f>
        <v>20190303170525790</v>
      </c>
      <c r="B1464" t="str">
        <f>"1551603925775783"</f>
        <v>1551603925775783</v>
      </c>
      <c r="C1464" t="s">
        <v>40</v>
      </c>
      <c r="D1464">
        <v>5.5589940000000002</v>
      </c>
      <c r="E1464">
        <v>0.55181020000000003</v>
      </c>
      <c r="F1464" t="s">
        <v>52</v>
      </c>
      <c r="G1464">
        <v>-209.6669</v>
      </c>
      <c r="H1464" s="1">
        <v>6.7683510000000004E-6</v>
      </c>
      <c r="I1464">
        <v>281.59089999999998</v>
      </c>
      <c r="J1464">
        <v>-197.65960000000001</v>
      </c>
      <c r="K1464">
        <v>1.112716</v>
      </c>
      <c r="L1464">
        <v>291.04469999999998</v>
      </c>
      <c r="M1464">
        <v>-0.55538540000000003</v>
      </c>
      <c r="N1464">
        <v>-1.5173000000000001E-2</v>
      </c>
      <c r="O1464">
        <v>-0.83145480000000005</v>
      </c>
      <c r="P1464">
        <v>-0.69816820000000002</v>
      </c>
      <c r="Q1464">
        <v>0.17089760000000001</v>
      </c>
      <c r="R1464">
        <v>-0.69523780000000002</v>
      </c>
      <c r="S1464">
        <v>-2.4315190000000002</v>
      </c>
      <c r="T1464">
        <v>-0.2223618</v>
      </c>
      <c r="U1464">
        <v>-1.9339599999999999</v>
      </c>
      <c r="V1464">
        <v>0.19825309999999999</v>
      </c>
      <c r="W1464">
        <v>0.1814035</v>
      </c>
      <c r="X1464">
        <v>0.96321780000000001</v>
      </c>
      <c r="Y1464">
        <v>0.3035156</v>
      </c>
      <c r="Z1464">
        <v>5.4271680000000003E-2</v>
      </c>
      <c r="AA1464">
        <v>0.9512796</v>
      </c>
      <c r="AB1464">
        <v>28</v>
      </c>
      <c r="AC1464">
        <v>-12.007299999999899</v>
      </c>
      <c r="AD1464">
        <v>-1.1127092316489999</v>
      </c>
      <c r="AE1464">
        <v>-9.4537999999999993</v>
      </c>
      <c r="AF1464">
        <v>4.70860720506926</v>
      </c>
      <c r="AG1464">
        <v>-1.1127092316489999</v>
      </c>
      <c r="AH1464">
        <v>14.454131417467799</v>
      </c>
      <c r="AI1464">
        <v>94.186366210653901</v>
      </c>
      <c r="AJ1464">
        <v>71.956357224520303</v>
      </c>
      <c r="AK1464">
        <v>15.2424085589928</v>
      </c>
      <c r="AL1464">
        <v>79.548479886036901</v>
      </c>
      <c r="AM1464">
        <v>78.369587183064397</v>
      </c>
      <c r="AN1464">
        <v>1.00000002585434</v>
      </c>
    </row>
    <row r="1465" spans="1:40" x14ac:dyDescent="0.25">
      <c r="A1465" t="str">
        <f>"20190303170525814"</f>
        <v>20190303170525814</v>
      </c>
      <c r="B1465" t="str">
        <f>"1551603925806039"</f>
        <v>1551603925806039</v>
      </c>
      <c r="C1465" t="s">
        <v>40</v>
      </c>
      <c r="D1465">
        <v>5.5333489999999896</v>
      </c>
      <c r="E1465">
        <v>0.55120409999999997</v>
      </c>
      <c r="F1465" t="s">
        <v>52</v>
      </c>
      <c r="G1465">
        <v>-209.57320000000001</v>
      </c>
      <c r="H1465" s="1">
        <v>6.7113280000000004E-6</v>
      </c>
      <c r="I1465">
        <v>281.76769999999999</v>
      </c>
      <c r="J1465">
        <v>-197.8407</v>
      </c>
      <c r="K1465">
        <v>1.1126590000000001</v>
      </c>
      <c r="L1465">
        <v>290.79849999999999</v>
      </c>
      <c r="M1465">
        <v>-0.56592390000000004</v>
      </c>
      <c r="N1465">
        <v>-1.518766E-2</v>
      </c>
      <c r="O1465">
        <v>-0.82431749999999904</v>
      </c>
      <c r="P1465">
        <v>-0.70684290000000005</v>
      </c>
      <c r="Q1465">
        <v>0.1702999</v>
      </c>
      <c r="R1465">
        <v>-0.68656479999999998</v>
      </c>
      <c r="S1465">
        <v>-2.451797</v>
      </c>
      <c r="T1465">
        <v>-0.228995</v>
      </c>
      <c r="U1465">
        <v>-1.9092100000000001</v>
      </c>
      <c r="V1465">
        <v>0.19801560000000001</v>
      </c>
      <c r="W1465">
        <v>0.1807995</v>
      </c>
      <c r="X1465">
        <v>0.96338020000000002</v>
      </c>
      <c r="Y1465">
        <v>0.30108970000000002</v>
      </c>
      <c r="Z1465">
        <v>5.5860050000000001E-2</v>
      </c>
      <c r="AA1465">
        <v>0.95195830000000004</v>
      </c>
      <c r="AB1465">
        <v>28</v>
      </c>
      <c r="AC1465">
        <v>-11.7325</v>
      </c>
      <c r="AD1465">
        <v>-1.1126522886720001</v>
      </c>
      <c r="AE1465">
        <v>-9.0307999999999993</v>
      </c>
      <c r="AF1465">
        <v>4.5354713158179099</v>
      </c>
      <c r="AG1465">
        <v>-1.1126522886720001</v>
      </c>
      <c r="AH1465">
        <v>14.0064711082039</v>
      </c>
      <c r="AI1465">
        <v>94.321912917730401</v>
      </c>
      <c r="AJ1465">
        <v>72.057395275272896</v>
      </c>
      <c r="AK1465">
        <v>14.7644752049318</v>
      </c>
      <c r="AL1465">
        <v>79.583668373474893</v>
      </c>
      <c r="AM1465">
        <v>78.385046140091106</v>
      </c>
      <c r="AN1465">
        <v>1.0000000233978199</v>
      </c>
    </row>
    <row r="1466" spans="1:40" x14ac:dyDescent="0.25">
      <c r="A1466" t="str">
        <f>"20190303170525836"</f>
        <v>20190303170525836</v>
      </c>
      <c r="B1466" t="str">
        <f>"1551603925826536"</f>
        <v>1551603925826536</v>
      </c>
      <c r="C1466" t="s">
        <v>40</v>
      </c>
      <c r="D1466">
        <v>5.6888389999999998</v>
      </c>
      <c r="E1466">
        <v>0.55143790000000004</v>
      </c>
      <c r="F1466" t="s">
        <v>52</v>
      </c>
      <c r="G1466">
        <v>-209.5385</v>
      </c>
      <c r="H1466" s="1">
        <v>6.6849979999999999E-6</v>
      </c>
      <c r="I1466">
        <v>281.8929</v>
      </c>
      <c r="J1466">
        <v>-198.0033</v>
      </c>
      <c r="K1466">
        <v>1.1126049999999901</v>
      </c>
      <c r="L1466">
        <v>290.5829</v>
      </c>
      <c r="M1466">
        <v>-0.57525780000000004</v>
      </c>
      <c r="N1466">
        <v>-1.520241E-2</v>
      </c>
      <c r="O1466">
        <v>-0.81783090000000003</v>
      </c>
      <c r="P1466">
        <v>-0.71403490000000003</v>
      </c>
      <c r="Q1466">
        <v>0.16982259999999999</v>
      </c>
      <c r="R1466">
        <v>-0.67920150000000001</v>
      </c>
      <c r="S1466">
        <v>-2.472534</v>
      </c>
      <c r="T1466">
        <v>-0.2351781</v>
      </c>
      <c r="U1466">
        <v>-1.882355</v>
      </c>
      <c r="V1466">
        <v>0.1971551</v>
      </c>
      <c r="W1466">
        <v>0.18033189999999999</v>
      </c>
      <c r="X1466">
        <v>0.96364430000000001</v>
      </c>
      <c r="Y1466">
        <v>0.30055310000000002</v>
      </c>
      <c r="Z1466">
        <v>5.7376469999999999E-2</v>
      </c>
      <c r="AA1466">
        <v>0.95203769999999999</v>
      </c>
      <c r="AB1466">
        <v>28</v>
      </c>
      <c r="AC1466">
        <v>-11.5352</v>
      </c>
      <c r="AD1466">
        <v>-1.11259831500199</v>
      </c>
      <c r="AE1466">
        <v>-8.6899999999999906</v>
      </c>
      <c r="AF1466">
        <v>4.4091972430272399</v>
      </c>
      <c r="AG1466">
        <v>-1.11259831500199</v>
      </c>
      <c r="AH1466">
        <v>13.663163448380899</v>
      </c>
      <c r="AI1466">
        <v>94.431294472253995</v>
      </c>
      <c r="AJ1466">
        <v>72.114751108886296</v>
      </c>
      <c r="AK1466">
        <v>14.400032317867799</v>
      </c>
      <c r="AL1466">
        <v>79.610907706197906</v>
      </c>
      <c r="AM1466">
        <v>78.437241820831503</v>
      </c>
      <c r="AN1466">
        <v>1.00000003226805</v>
      </c>
    </row>
    <row r="1467" spans="1:40" x14ac:dyDescent="0.25">
      <c r="A1467" t="str">
        <f>"20190303170525857"</f>
        <v>20190303170525857</v>
      </c>
      <c r="B1467" t="str">
        <f>"1551603925846055"</f>
        <v>1551603925846055</v>
      </c>
      <c r="C1467" t="s">
        <v>40</v>
      </c>
      <c r="D1467">
        <v>5.5147250000000003</v>
      </c>
      <c r="E1467">
        <v>0.59715629999999997</v>
      </c>
      <c r="F1467" t="s">
        <v>52</v>
      </c>
      <c r="G1467">
        <v>-209.8999</v>
      </c>
      <c r="H1467" s="1">
        <v>6.8588149999999997E-6</v>
      </c>
      <c r="I1467">
        <v>281.73790000000002</v>
      </c>
      <c r="J1467">
        <v>-198.16919999999999</v>
      </c>
      <c r="K1467">
        <v>1.112538</v>
      </c>
      <c r="L1467">
        <v>290.36829999999998</v>
      </c>
      <c r="M1467">
        <v>-0.58465089999999997</v>
      </c>
      <c r="N1467">
        <v>-1.521841E-2</v>
      </c>
      <c r="O1467">
        <v>-0.81114240000000004</v>
      </c>
      <c r="P1467">
        <v>-0.72172550000000002</v>
      </c>
      <c r="Q1467">
        <v>0.16979849999999999</v>
      </c>
      <c r="R1467">
        <v>-0.67103000000000002</v>
      </c>
      <c r="S1467">
        <v>-2.493484</v>
      </c>
      <c r="T1467">
        <v>-0.2331973</v>
      </c>
      <c r="U1467">
        <v>-1.853882</v>
      </c>
      <c r="V1467">
        <v>0.19704360000000001</v>
      </c>
      <c r="W1467">
        <v>0.1802957</v>
      </c>
      <c r="X1467">
        <v>0.96367380000000002</v>
      </c>
      <c r="Y1467">
        <v>0.30042629999999998</v>
      </c>
      <c r="Z1467">
        <v>5.6526979999999998E-2</v>
      </c>
      <c r="AA1467">
        <v>0.95212850000000004</v>
      </c>
      <c r="AB1467">
        <v>28</v>
      </c>
      <c r="AC1467">
        <v>-11.730700000000001</v>
      </c>
      <c r="AD1467">
        <v>-1.1125311411849901</v>
      </c>
      <c r="AE1467">
        <v>-8.6303999999999501</v>
      </c>
      <c r="AF1467">
        <v>4.4440794816951996</v>
      </c>
      <c r="AG1467">
        <v>-1.1125311411849901</v>
      </c>
      <c r="AH1467">
        <v>13.780033924748601</v>
      </c>
      <c r="AI1467">
        <v>94.393858447418395</v>
      </c>
      <c r="AJ1467">
        <v>72.125418804211805</v>
      </c>
      <c r="AK1467">
        <v>14.521601252856099</v>
      </c>
      <c r="AL1467">
        <v>79.613015578147696</v>
      </c>
      <c r="AM1467">
        <v>78.443949362008894</v>
      </c>
      <c r="AN1467">
        <v>0.99999995627294402</v>
      </c>
    </row>
    <row r="1468" spans="1:40" x14ac:dyDescent="0.25">
      <c r="A1468" t="str">
        <f>"20190303170525882"</f>
        <v>20190303170525882</v>
      </c>
      <c r="B1468" t="str">
        <f>"1551603925876310"</f>
        <v>1551603925876310</v>
      </c>
      <c r="C1468" t="s">
        <v>40</v>
      </c>
      <c r="D1468">
        <v>5.7282890000000002</v>
      </c>
      <c r="E1468">
        <v>0.61775919999999995</v>
      </c>
      <c r="F1468" t="s">
        <v>60</v>
      </c>
      <c r="G1468">
        <v>-221.7182</v>
      </c>
      <c r="H1468">
        <v>8.0000959999999996E-2</v>
      </c>
      <c r="I1468">
        <v>277.18889999999999</v>
      </c>
      <c r="J1468">
        <v>-198.3579</v>
      </c>
      <c r="K1468">
        <v>1.1124590000000001</v>
      </c>
      <c r="L1468">
        <v>290.13029999999998</v>
      </c>
      <c r="M1468">
        <v>-0.59519919999999904</v>
      </c>
      <c r="N1468">
        <v>-1.523773E-2</v>
      </c>
      <c r="O1468">
        <v>-0.80343379999999998</v>
      </c>
      <c r="P1468">
        <v>-0.73004499999999894</v>
      </c>
      <c r="Q1468">
        <v>0.17033889999999999</v>
      </c>
      <c r="R1468">
        <v>-0.66183019999999904</v>
      </c>
      <c r="S1468">
        <v>-2.7527309999999998</v>
      </c>
      <c r="T1468">
        <v>-0.120697</v>
      </c>
      <c r="U1468">
        <v>-1.5405879999999901</v>
      </c>
      <c r="V1468">
        <v>0.19661010000000001</v>
      </c>
      <c r="W1468">
        <v>0.18082519999999999</v>
      </c>
      <c r="X1468">
        <v>0.96366320000000005</v>
      </c>
      <c r="Y1468">
        <v>0.4100065</v>
      </c>
      <c r="Z1468">
        <v>2.5313499999999999E-2</v>
      </c>
      <c r="AA1468">
        <v>0.91173119999999996</v>
      </c>
      <c r="AB1468">
        <v>27</v>
      </c>
      <c r="AC1468">
        <v>-23.360299999999899</v>
      </c>
      <c r="AD1468">
        <v>-1.0324580400000001</v>
      </c>
      <c r="AE1468">
        <v>-12.9413999999999</v>
      </c>
      <c r="AF1468">
        <v>11.0505109491833</v>
      </c>
      <c r="AG1468">
        <v>-1.0324580400000001</v>
      </c>
      <c r="AH1468">
        <v>24.268137318189499</v>
      </c>
      <c r="AI1468">
        <v>92.217308762167406</v>
      </c>
      <c r="AJ1468">
        <v>65.517824481775904</v>
      </c>
      <c r="AK1468">
        <v>26.685618799961901</v>
      </c>
      <c r="AL1468">
        <v>79.582171198142206</v>
      </c>
      <c r="AM1468">
        <v>78.468567765017596</v>
      </c>
      <c r="AN1468">
        <v>1.0000000237056399</v>
      </c>
    </row>
    <row r="1469" spans="1:40" x14ac:dyDescent="0.25">
      <c r="A1469" t="str">
        <f>"20190303170525904"</f>
        <v>20190303170525904</v>
      </c>
      <c r="B1469" t="str">
        <f>"1551603925895831"</f>
        <v>1551603925895831</v>
      </c>
      <c r="C1469" t="s">
        <v>40</v>
      </c>
      <c r="D1469">
        <v>5.7387430000000004</v>
      </c>
      <c r="E1469">
        <v>0.62355649999999996</v>
      </c>
      <c r="F1469" t="s">
        <v>43</v>
      </c>
      <c r="G1469">
        <v>-240.5821</v>
      </c>
      <c r="H1469">
        <v>-0.05</v>
      </c>
      <c r="I1469">
        <v>269.91230000000002</v>
      </c>
      <c r="J1469">
        <v>-198.53229999999999</v>
      </c>
      <c r="K1469">
        <v>1.1123799999999999</v>
      </c>
      <c r="L1469">
        <v>289.91629999999998</v>
      </c>
      <c r="M1469">
        <v>-0.60482389999999997</v>
      </c>
      <c r="N1469">
        <v>-1.5257430000000001E-2</v>
      </c>
      <c r="O1469">
        <v>-0.79621309999999901</v>
      </c>
      <c r="P1469">
        <v>-0.73735379999999995</v>
      </c>
      <c r="Q1469">
        <v>0.17058190000000001</v>
      </c>
      <c r="R1469">
        <v>-0.65361420000000003</v>
      </c>
      <c r="S1469">
        <v>-2.8783720000000002</v>
      </c>
      <c r="T1469">
        <v>-7.9243419999999995E-2</v>
      </c>
      <c r="U1469">
        <v>-1.3782350000000001</v>
      </c>
      <c r="V1469">
        <v>0.195801</v>
      </c>
      <c r="W1469">
        <v>0.18106630000000001</v>
      </c>
      <c r="X1469">
        <v>0.96378260000000004</v>
      </c>
      <c r="Y1469">
        <v>0.4567792</v>
      </c>
      <c r="Z1469">
        <v>1.348121E-2</v>
      </c>
      <c r="AA1469">
        <v>0.88947799999999999</v>
      </c>
      <c r="AB1469">
        <v>27</v>
      </c>
      <c r="AC1469">
        <v>-42.049799999999998</v>
      </c>
      <c r="AD1469">
        <v>-1.16238</v>
      </c>
      <c r="AE1469">
        <v>-20.003999999999898</v>
      </c>
      <c r="AF1469">
        <v>21.370876541099399</v>
      </c>
      <c r="AG1469">
        <v>-1.16238</v>
      </c>
      <c r="AH1469">
        <v>41.339225936146399</v>
      </c>
      <c r="AI1469">
        <v>91.430825718690699</v>
      </c>
      <c r="AJ1469">
        <v>62.662680314034397</v>
      </c>
      <c r="AK1469">
        <v>46.551016018977201</v>
      </c>
      <c r="AL1469">
        <v>79.568124747849097</v>
      </c>
      <c r="AM1469">
        <v>78.516144029014001</v>
      </c>
      <c r="AN1469">
        <v>0.99999996832972404</v>
      </c>
    </row>
    <row r="1470" spans="1:40" x14ac:dyDescent="0.25">
      <c r="A1470" t="str">
        <f>"20190303170525926"</f>
        <v>20190303170525926</v>
      </c>
      <c r="B1470" t="str">
        <f>"1551603925916327"</f>
        <v>1551603925916327</v>
      </c>
      <c r="C1470" t="s">
        <v>40</v>
      </c>
      <c r="D1470">
        <v>5.7121519999999997</v>
      </c>
      <c r="E1470">
        <v>0.62681319999999996</v>
      </c>
      <c r="F1470" t="s">
        <v>43</v>
      </c>
      <c r="G1470">
        <v>-245.39709999999999</v>
      </c>
      <c r="H1470">
        <v>-0.05</v>
      </c>
      <c r="I1470">
        <v>268.91109999999998</v>
      </c>
      <c r="J1470">
        <v>-198.70359999999999</v>
      </c>
      <c r="K1470">
        <v>1.1122970000000001</v>
      </c>
      <c r="L1470">
        <v>289.71170000000001</v>
      </c>
      <c r="M1470">
        <v>-0.61417819999999901</v>
      </c>
      <c r="N1470">
        <v>-1.5278989999999999E-2</v>
      </c>
      <c r="O1470">
        <v>-0.78901960000000004</v>
      </c>
      <c r="P1470">
        <v>-0.74452949999999996</v>
      </c>
      <c r="Q1470">
        <v>0.17044879999999901</v>
      </c>
      <c r="R1470">
        <v>-0.64546389999999998</v>
      </c>
      <c r="S1470">
        <v>-2.9237519999999999</v>
      </c>
      <c r="T1470">
        <v>-7.2517399999999996E-2</v>
      </c>
      <c r="U1470">
        <v>-1.3104549999999999</v>
      </c>
      <c r="V1470">
        <v>0.19508890000000001</v>
      </c>
      <c r="W1470">
        <v>0.18092939999999999</v>
      </c>
      <c r="X1470">
        <v>0.9639527</v>
      </c>
      <c r="Y1470">
        <v>0.46868300000000002</v>
      </c>
      <c r="Z1470">
        <v>1.1595660000000001E-2</v>
      </c>
      <c r="AA1470">
        <v>0.88329040000000003</v>
      </c>
      <c r="AB1470">
        <v>27</v>
      </c>
      <c r="AC1470">
        <v>-46.6935</v>
      </c>
      <c r="AD1470">
        <v>-1.1622969999999999</v>
      </c>
      <c r="AE1470">
        <v>-20.800599999999999</v>
      </c>
      <c r="AF1470">
        <v>24.057180487801102</v>
      </c>
      <c r="AG1470">
        <v>-1.1622969999999999</v>
      </c>
      <c r="AH1470">
        <v>45.072166520736303</v>
      </c>
      <c r="AI1470">
        <v>91.303238635620801</v>
      </c>
      <c r="AJ1470">
        <v>61.909017297273898</v>
      </c>
      <c r="AK1470">
        <v>51.103806729164802</v>
      </c>
      <c r="AL1470">
        <v>79.5761002568251</v>
      </c>
      <c r="AM1470">
        <v>78.558771441076004</v>
      </c>
      <c r="AN1470">
        <v>0.99999996726242901</v>
      </c>
    </row>
    <row r="1471" spans="1:40" x14ac:dyDescent="0.25">
      <c r="A1471" t="str">
        <f>"20190303170525948"</f>
        <v>20190303170525948</v>
      </c>
      <c r="B1471" t="str">
        <f>"1551603925935847"</f>
        <v>1551603925935847</v>
      </c>
      <c r="C1471" t="s">
        <v>40</v>
      </c>
      <c r="D1471">
        <v>5.7188400000000001</v>
      </c>
      <c r="E1471">
        <v>0.62870819999999905</v>
      </c>
      <c r="F1471" t="s">
        <v>43</v>
      </c>
      <c r="G1471">
        <v>-249.76599999999999</v>
      </c>
      <c r="H1471">
        <v>-0.05</v>
      </c>
      <c r="I1471">
        <v>268.00560000000002</v>
      </c>
      <c r="J1471">
        <v>-198.886</v>
      </c>
      <c r="K1471">
        <v>1.112204</v>
      </c>
      <c r="L1471">
        <v>289.49939999999998</v>
      </c>
      <c r="M1471">
        <v>-0.6240156</v>
      </c>
      <c r="N1471">
        <v>-1.530348E-2</v>
      </c>
      <c r="O1471">
        <v>-0.78126200000000001</v>
      </c>
      <c r="P1471">
        <v>-0.75289659999999903</v>
      </c>
      <c r="Q1471">
        <v>0.17082449999999999</v>
      </c>
      <c r="R1471">
        <v>-0.63558300000000001</v>
      </c>
      <c r="S1471">
        <v>-2.9555660000000001</v>
      </c>
      <c r="T1471">
        <v>-6.7275520000000005E-2</v>
      </c>
      <c r="U1471">
        <v>-1.256378</v>
      </c>
      <c r="V1471">
        <v>0.19571720000000001</v>
      </c>
      <c r="W1471">
        <v>0.1812675</v>
      </c>
      <c r="X1471">
        <v>0.9637618</v>
      </c>
      <c r="Y1471">
        <v>0.4747769</v>
      </c>
      <c r="Z1471">
        <v>1.0121420000000001E-2</v>
      </c>
      <c r="AA1471">
        <v>0.88004799999999905</v>
      </c>
      <c r="AB1471">
        <v>27</v>
      </c>
      <c r="AC1471">
        <v>-50.88</v>
      </c>
      <c r="AD1471">
        <v>-1.162204</v>
      </c>
      <c r="AE1471">
        <v>-21.493799999999901</v>
      </c>
      <c r="AF1471">
        <v>26.329571660875601</v>
      </c>
      <c r="AG1471">
        <v>-1.162204</v>
      </c>
      <c r="AH1471">
        <v>48.526403651475398</v>
      </c>
      <c r="AI1471">
        <v>91.205949806378598</v>
      </c>
      <c r="AJ1471">
        <v>61.516522153991303</v>
      </c>
      <c r="AK1471">
        <v>55.221453379359097</v>
      </c>
      <c r="AL1471">
        <v>79.5564028641043</v>
      </c>
      <c r="AM1471">
        <v>78.520687292139598</v>
      </c>
      <c r="AN1471">
        <v>0.99999996803566404</v>
      </c>
    </row>
    <row r="1472" spans="1:40" x14ac:dyDescent="0.25">
      <c r="A1472" t="str">
        <f>"20190303170525969"</f>
        <v>20190303170525969</v>
      </c>
      <c r="B1472" t="str">
        <f>"1551603925956343"</f>
        <v>1551603925956343</v>
      </c>
      <c r="C1472" t="s">
        <v>40</v>
      </c>
      <c r="D1472">
        <v>5.7466010000000001</v>
      </c>
      <c r="E1472">
        <v>0.62989319999999904</v>
      </c>
      <c r="F1472" t="s">
        <v>43</v>
      </c>
      <c r="G1472">
        <v>-253.85429999999999</v>
      </c>
      <c r="H1472">
        <v>-0.05</v>
      </c>
      <c r="I1472">
        <v>267.298</v>
      </c>
      <c r="J1472">
        <v>-199.0583</v>
      </c>
      <c r="K1472">
        <v>1.1121129999999999</v>
      </c>
      <c r="L1472">
        <v>289.30369999999999</v>
      </c>
      <c r="M1472">
        <v>-0.63321729999999998</v>
      </c>
      <c r="N1472">
        <v>-1.532674E-2</v>
      </c>
      <c r="O1472">
        <v>-0.77382259999999903</v>
      </c>
      <c r="P1472">
        <v>-0.75960879999999997</v>
      </c>
      <c r="Q1472">
        <v>0.17123550000000001</v>
      </c>
      <c r="R1472">
        <v>-0.62743380000000004</v>
      </c>
      <c r="S1472">
        <v>-2.982132</v>
      </c>
      <c r="T1472">
        <v>-6.3051699999999905E-2</v>
      </c>
      <c r="U1472">
        <v>-1.2044680000000001</v>
      </c>
      <c r="V1472">
        <v>0.1946724</v>
      </c>
      <c r="W1472">
        <v>0.18168390000000001</v>
      </c>
      <c r="X1472">
        <v>0.96389499999999995</v>
      </c>
      <c r="Y1472">
        <v>0.48028409999999999</v>
      </c>
      <c r="Z1472">
        <v>8.9688760000000006E-3</v>
      </c>
      <c r="AA1472">
        <v>0.87706709999999999</v>
      </c>
      <c r="AB1472">
        <v>27</v>
      </c>
      <c r="AC1472">
        <v>-54.7959999999999</v>
      </c>
      <c r="AD1472">
        <v>-1.162113</v>
      </c>
      <c r="AE1472">
        <v>-22.005699999999901</v>
      </c>
      <c r="AF1472">
        <v>28.4603077062566</v>
      </c>
      <c r="AG1472">
        <v>-1.162113</v>
      </c>
      <c r="AH1472">
        <v>51.712318541193603</v>
      </c>
      <c r="AI1472">
        <v>91.127888787236301</v>
      </c>
      <c r="AJ1472">
        <v>61.173443964868298</v>
      </c>
      <c r="AK1472">
        <v>59.0381530052004</v>
      </c>
      <c r="AL1472">
        <v>79.532142154483395</v>
      </c>
      <c r="AM1472">
        <v>78.581889912349993</v>
      </c>
      <c r="AN1472">
        <v>0.99999997693298404</v>
      </c>
    </row>
    <row r="1473" spans="1:40" x14ac:dyDescent="0.25">
      <c r="A1473" t="str">
        <f>"20190303170525992"</f>
        <v>20190303170525992</v>
      </c>
      <c r="B1473" t="str">
        <f>"1551603925975863"</f>
        <v>1551603925975863</v>
      </c>
      <c r="C1473" t="s">
        <v>40</v>
      </c>
      <c r="D1473">
        <v>5.8224819999999999</v>
      </c>
      <c r="E1473">
        <v>0.63090259999999998</v>
      </c>
      <c r="F1473" t="s">
        <v>43</v>
      </c>
      <c r="G1473">
        <v>-254.20150000000001</v>
      </c>
      <c r="H1473">
        <v>-0.05</v>
      </c>
      <c r="I1473">
        <v>267.87860000000001</v>
      </c>
      <c r="J1473">
        <v>-199.2474</v>
      </c>
      <c r="K1473">
        <v>1.1120049999999999</v>
      </c>
      <c r="L1473">
        <v>289.09469999999999</v>
      </c>
      <c r="M1473">
        <v>-0.64321509999999904</v>
      </c>
      <c r="N1473">
        <v>-1.5353810000000001E-2</v>
      </c>
      <c r="O1473">
        <v>-0.76553179999999998</v>
      </c>
      <c r="P1473">
        <v>-0.76621790000000001</v>
      </c>
      <c r="Q1473">
        <v>0.1726241</v>
      </c>
      <c r="R1473">
        <v>-0.61895999999999995</v>
      </c>
      <c r="S1473">
        <v>-3.0006560000000002</v>
      </c>
      <c r="T1473">
        <v>-6.3237310000000005E-2</v>
      </c>
      <c r="U1473">
        <v>-1.1658630000000001</v>
      </c>
      <c r="V1473">
        <v>0.1926928</v>
      </c>
      <c r="W1473">
        <v>0.1830956</v>
      </c>
      <c r="X1473">
        <v>0.96402569999999999</v>
      </c>
      <c r="Y1473">
        <v>0.48053279999999898</v>
      </c>
      <c r="Z1473">
        <v>9.0465549999999995E-3</v>
      </c>
      <c r="AA1473">
        <v>0.87693009999999905</v>
      </c>
      <c r="AB1473">
        <v>27</v>
      </c>
      <c r="AC1473">
        <v>-54.954099999999997</v>
      </c>
      <c r="AD1473">
        <v>-1.162005</v>
      </c>
      <c r="AE1473">
        <v>-21.216099999999901</v>
      </c>
      <c r="AF1473">
        <v>28.414884480421101</v>
      </c>
      <c r="AG1473">
        <v>-1.162005</v>
      </c>
      <c r="AH1473">
        <v>51.574910665337399</v>
      </c>
      <c r="AI1473">
        <v>91.130508230185001</v>
      </c>
      <c r="AJ1473">
        <v>61.147699759965597</v>
      </c>
      <c r="AK1473">
        <v>58.895902453339197</v>
      </c>
      <c r="AL1473">
        <v>79.449878405084704</v>
      </c>
      <c r="AM1473">
        <v>78.696487670902499</v>
      </c>
      <c r="AN1473">
        <v>1.00000003208584</v>
      </c>
    </row>
    <row r="1474" spans="1:40" x14ac:dyDescent="0.25">
      <c r="A1474" t="str">
        <f>"20190303170526014"</f>
        <v>20190303170526014</v>
      </c>
      <c r="B1474" t="str">
        <f>"1551603926006119"</f>
        <v>1551603926006119</v>
      </c>
      <c r="C1474" t="s">
        <v>40</v>
      </c>
      <c r="D1474">
        <v>5.7691229999999996</v>
      </c>
      <c r="E1474">
        <v>0.63135019999999997</v>
      </c>
      <c r="F1474" t="s">
        <v>43</v>
      </c>
      <c r="G1474">
        <v>-257.5813</v>
      </c>
      <c r="H1474">
        <v>-0.05</v>
      </c>
      <c r="I1474">
        <v>267.30900000000003</v>
      </c>
      <c r="J1474">
        <v>-199.43950000000001</v>
      </c>
      <c r="K1474">
        <v>1.1118920000000001</v>
      </c>
      <c r="L1474">
        <v>288.88799999999998</v>
      </c>
      <c r="M1474">
        <v>-0.65328489999999995</v>
      </c>
      <c r="N1474">
        <v>-1.5385090000000001E-2</v>
      </c>
      <c r="O1474">
        <v>-0.75695610000000002</v>
      </c>
      <c r="P1474">
        <v>-0.77357980000000004</v>
      </c>
      <c r="Q1474">
        <v>0.1733615</v>
      </c>
      <c r="R1474">
        <v>-0.60952499999999998</v>
      </c>
      <c r="S1474">
        <v>-3.0182950000000002</v>
      </c>
      <c r="T1474">
        <v>-6.0124160000000003E-2</v>
      </c>
      <c r="U1474">
        <v>-1.1272279999999999</v>
      </c>
      <c r="V1474">
        <v>0.19169839999999999</v>
      </c>
      <c r="W1474">
        <v>0.18383099999999999</v>
      </c>
      <c r="X1474">
        <v>0.96408400000000005</v>
      </c>
      <c r="Y1474">
        <v>0.48048400000000002</v>
      </c>
      <c r="Z1474">
        <v>8.1727080000000007E-3</v>
      </c>
      <c r="AA1474">
        <v>0.87696540000000001</v>
      </c>
      <c r="AB1474">
        <v>27</v>
      </c>
      <c r="AC1474">
        <v>-58.141799999999897</v>
      </c>
      <c r="AD1474">
        <v>-1.1618919999999999</v>
      </c>
      <c r="AE1474">
        <v>-21.578999999999901</v>
      </c>
      <c r="AF1474">
        <v>29.906593016035799</v>
      </c>
      <c r="AG1474">
        <v>-1.1618919999999999</v>
      </c>
      <c r="AH1474">
        <v>54.3048734208623</v>
      </c>
      <c r="AI1474">
        <v>91.073688812708994</v>
      </c>
      <c r="AJ1474">
        <v>61.1576950311714</v>
      </c>
      <c r="AK1474">
        <v>62.006238203122301</v>
      </c>
      <c r="AL1474">
        <v>79.407015602102902</v>
      </c>
      <c r="AM1474">
        <v>78.753992166326597</v>
      </c>
      <c r="AN1474">
        <v>1.0000000360897701</v>
      </c>
    </row>
    <row r="1475" spans="1:40" x14ac:dyDescent="0.25">
      <c r="A1475" t="str">
        <f>"20190303170526036"</f>
        <v>20190303170526036</v>
      </c>
      <c r="B1475" t="str">
        <f>"1551603926026615"</f>
        <v>1551603926026615</v>
      </c>
      <c r="C1475" t="s">
        <v>40</v>
      </c>
      <c r="D1475">
        <v>5.7770839999999897</v>
      </c>
      <c r="E1475">
        <v>0.6314147</v>
      </c>
      <c r="F1475" t="s">
        <v>61</v>
      </c>
      <c r="G1475">
        <v>-258.28579999999999</v>
      </c>
      <c r="H1475">
        <v>9.3380210000000002E-3</v>
      </c>
      <c r="I1475">
        <v>267.81400000000002</v>
      </c>
      <c r="J1475">
        <v>-199.6251</v>
      </c>
      <c r="K1475">
        <v>1.111766</v>
      </c>
      <c r="L1475">
        <v>288.69380000000001</v>
      </c>
      <c r="M1475">
        <v>-0.66293539999999995</v>
      </c>
      <c r="N1475">
        <v>-1.541936E-2</v>
      </c>
      <c r="O1475">
        <v>-0.74851780000000001</v>
      </c>
      <c r="P1475">
        <v>-0.78114879999999998</v>
      </c>
      <c r="Q1475">
        <v>0.17419389999999901</v>
      </c>
      <c r="R1475">
        <v>-0.59955219999999998</v>
      </c>
      <c r="S1475">
        <v>-3.0345460000000002</v>
      </c>
      <c r="T1475">
        <v>-5.685461E-2</v>
      </c>
      <c r="U1475">
        <v>-1.0867309999999999</v>
      </c>
      <c r="V1475">
        <v>0.1916448</v>
      </c>
      <c r="W1475">
        <v>0.18463570000000001</v>
      </c>
      <c r="X1475">
        <v>0.96394089999999999</v>
      </c>
      <c r="Y1475">
        <v>0.48111949999999998</v>
      </c>
      <c r="Z1475">
        <v>7.2793909999999996E-3</v>
      </c>
      <c r="AA1475">
        <v>0.87662479999999998</v>
      </c>
      <c r="AB1475">
        <v>27</v>
      </c>
      <c r="AC1475">
        <v>-58.660699999999899</v>
      </c>
      <c r="AD1475">
        <v>-1.102427979</v>
      </c>
      <c r="AE1475">
        <v>-20.8797999999999</v>
      </c>
      <c r="AF1475">
        <v>30.0607712486967</v>
      </c>
      <c r="AG1475">
        <v>-1.102427979</v>
      </c>
      <c r="AH1475">
        <v>54.506552376967001</v>
      </c>
      <c r="AI1475">
        <v>91.014642905647605</v>
      </c>
      <c r="AJ1475">
        <v>61.122935887413597</v>
      </c>
      <c r="AK1475">
        <v>62.256160880176303</v>
      </c>
      <c r="AL1475">
        <v>79.3601070374648</v>
      </c>
      <c r="AM1475">
        <v>78.755429982315604</v>
      </c>
      <c r="AN1475">
        <v>1.0000000648871601</v>
      </c>
    </row>
    <row r="1476" spans="1:40" x14ac:dyDescent="0.25">
      <c r="A1476" t="str">
        <f>"20190303170526058"</f>
        <v>20190303170526058</v>
      </c>
      <c r="B1476" t="str">
        <f>"1551603926046135"</f>
        <v>1551603926046135</v>
      </c>
      <c r="C1476" t="s">
        <v>40</v>
      </c>
      <c r="D1476">
        <v>5.5117699999999896</v>
      </c>
      <c r="E1476">
        <v>0.63169739999999996</v>
      </c>
      <c r="F1476" t="s">
        <v>48</v>
      </c>
      <c r="G1476">
        <v>-234.16130000000001</v>
      </c>
      <c r="H1476">
        <v>0.51335319999999995</v>
      </c>
      <c r="I1476">
        <v>276.84320000000002</v>
      </c>
      <c r="J1476">
        <v>-199.8168</v>
      </c>
      <c r="K1476">
        <v>1.1116189999999999</v>
      </c>
      <c r="L1476">
        <v>288.49849999999998</v>
      </c>
      <c r="M1476">
        <v>-0.67283470000000001</v>
      </c>
      <c r="N1476">
        <v>-1.5458410000000001E-2</v>
      </c>
      <c r="O1476">
        <v>-0.73963129999999999</v>
      </c>
      <c r="P1476">
        <v>-0.78929659999999902</v>
      </c>
      <c r="Q1476">
        <v>0.17513110000000001</v>
      </c>
      <c r="R1476">
        <v>-0.58850669999999905</v>
      </c>
      <c r="S1476">
        <v>-3.0492249999999999</v>
      </c>
      <c r="T1476">
        <v>-5.2828310000000003E-2</v>
      </c>
      <c r="U1476">
        <v>-1.046295</v>
      </c>
      <c r="V1476">
        <v>0.1923165</v>
      </c>
      <c r="W1476">
        <v>0.1855223</v>
      </c>
      <c r="X1476">
        <v>0.96363679999999996</v>
      </c>
      <c r="Y1476">
        <v>0.48116599999999998</v>
      </c>
      <c r="Z1476">
        <v>6.180629E-3</v>
      </c>
      <c r="AA1476">
        <v>0.87660780000000005</v>
      </c>
      <c r="AB1476">
        <v>27</v>
      </c>
      <c r="AC1476">
        <v>-34.344499999999996</v>
      </c>
      <c r="AD1476">
        <v>-0.59826579999999996</v>
      </c>
      <c r="AE1476">
        <v>-11.655299999999899</v>
      </c>
      <c r="AF1476">
        <v>17.557498327908998</v>
      </c>
      <c r="AG1476">
        <v>-0.59826579999999996</v>
      </c>
      <c r="AH1476">
        <v>31.723956230894299</v>
      </c>
      <c r="AI1476">
        <v>90.945296772846703</v>
      </c>
      <c r="AJ1476">
        <v>61.037838210489497</v>
      </c>
      <c r="AK1476">
        <v>36.263384679889903</v>
      </c>
      <c r="AL1476">
        <v>79.308415087373405</v>
      </c>
      <c r="AM1476">
        <v>78.713558734743899</v>
      </c>
      <c r="AN1476">
        <v>1.00000002114188</v>
      </c>
    </row>
    <row r="1477" spans="1:40" x14ac:dyDescent="0.25">
      <c r="A1477" t="str">
        <f>"20190303170526084"</f>
        <v>20190303170526084</v>
      </c>
      <c r="B1477" t="str">
        <f>"1551603926076391"</f>
        <v>1551603926076391</v>
      </c>
      <c r="C1477" t="s">
        <v>40</v>
      </c>
      <c r="D1477">
        <v>5.5118410000000004</v>
      </c>
      <c r="E1477">
        <v>0.6316503</v>
      </c>
      <c r="F1477" t="s">
        <v>48</v>
      </c>
      <c r="G1477">
        <v>-234.2919</v>
      </c>
      <c r="H1477">
        <v>0.60922270000000001</v>
      </c>
      <c r="I1477">
        <v>277.23349999999999</v>
      </c>
      <c r="J1477">
        <v>-200.03360000000001</v>
      </c>
      <c r="K1477">
        <v>1.1114379999999999</v>
      </c>
      <c r="L1477">
        <v>288.28410000000002</v>
      </c>
      <c r="M1477">
        <v>-0.68393599999999999</v>
      </c>
      <c r="N1477">
        <v>-1.550617E-2</v>
      </c>
      <c r="O1477">
        <v>-0.72937730000000001</v>
      </c>
      <c r="P1477">
        <v>-0.79868349999999999</v>
      </c>
      <c r="Q1477">
        <v>0.176644</v>
      </c>
      <c r="R1477">
        <v>-0.57524069999999905</v>
      </c>
      <c r="S1477">
        <v>-3.064209</v>
      </c>
      <c r="T1477">
        <v>-4.4647930000000002E-2</v>
      </c>
      <c r="U1477">
        <v>-1.0012509999999999</v>
      </c>
      <c r="V1477">
        <v>0.19372790000000001</v>
      </c>
      <c r="W1477">
        <v>0.18695729999999999</v>
      </c>
      <c r="X1477">
        <v>0.96307659999999995</v>
      </c>
      <c r="Y1477">
        <v>0.48084460000000001</v>
      </c>
      <c r="Z1477">
        <v>3.9361320000000002E-3</v>
      </c>
      <c r="AA1477">
        <v>0.87679699999999905</v>
      </c>
      <c r="AB1477">
        <v>27</v>
      </c>
      <c r="AC1477">
        <v>-34.258299999999899</v>
      </c>
      <c r="AD1477">
        <v>-0.50221529999999903</v>
      </c>
      <c r="AE1477">
        <v>-11.050599999999999</v>
      </c>
      <c r="AF1477">
        <v>17.428025317873399</v>
      </c>
      <c r="AG1477">
        <v>-0.50221529999999903</v>
      </c>
      <c r="AH1477">
        <v>31.488196512376199</v>
      </c>
      <c r="AI1477">
        <v>90.799482251448893</v>
      </c>
      <c r="AJ1477">
        <v>61.036435159638401</v>
      </c>
      <c r="AK1477">
        <v>35.992982736778202</v>
      </c>
      <c r="AL1477">
        <v>79.224731680955102</v>
      </c>
      <c r="AM1477">
        <v>78.6264373594327</v>
      </c>
      <c r="AN1477">
        <v>1.00000003436462</v>
      </c>
    </row>
    <row r="1478" spans="1:40" x14ac:dyDescent="0.25">
      <c r="A1478" t="str">
        <f>"20190303170526105"</f>
        <v>20190303170526105</v>
      </c>
      <c r="B1478" t="str">
        <f>"1551603926095911"</f>
        <v>1551603926095911</v>
      </c>
      <c r="C1478" t="s">
        <v>40</v>
      </c>
      <c r="D1478">
        <v>5.5360610000000001</v>
      </c>
      <c r="E1478">
        <v>0.63152600000000003</v>
      </c>
      <c r="F1478" t="s">
        <v>61</v>
      </c>
      <c r="G1478">
        <v>-259.774</v>
      </c>
      <c r="H1478">
        <v>0.40388439999999998</v>
      </c>
      <c r="I1478">
        <v>269.83580000000001</v>
      </c>
      <c r="J1478">
        <v>-200.2337</v>
      </c>
      <c r="K1478">
        <v>1.1112740000000001</v>
      </c>
      <c r="L1478">
        <v>288.09269999999998</v>
      </c>
      <c r="M1478">
        <v>-0.69411460000000003</v>
      </c>
      <c r="N1478">
        <v>-1.555429E-2</v>
      </c>
      <c r="O1478">
        <v>-0.71969659999999902</v>
      </c>
      <c r="P1478">
        <v>-0.80698239999999999</v>
      </c>
      <c r="Q1478">
        <v>0.1767175</v>
      </c>
      <c r="R1478">
        <v>-0.56351629999999997</v>
      </c>
      <c r="S1478">
        <v>-3.079361</v>
      </c>
      <c r="T1478">
        <v>-3.6470170000000003E-2</v>
      </c>
      <c r="U1478">
        <v>-0.95092770000000004</v>
      </c>
      <c r="V1478">
        <v>0.19433159999999999</v>
      </c>
      <c r="W1478">
        <v>0.1869826</v>
      </c>
      <c r="X1478">
        <v>0.96294999999999997</v>
      </c>
      <c r="Y1478">
        <v>0.48283300000000001</v>
      </c>
      <c r="Z1478">
        <v>1.7509579999999999E-3</v>
      </c>
      <c r="AA1478">
        <v>0.87571069999999995</v>
      </c>
      <c r="AB1478">
        <v>27</v>
      </c>
      <c r="AC1478">
        <v>-59.540300000000002</v>
      </c>
      <c r="AD1478">
        <v>-0.70738959999999895</v>
      </c>
      <c r="AE1478">
        <v>-18.256899999999899</v>
      </c>
      <c r="AF1478">
        <v>30.178325051443</v>
      </c>
      <c r="AG1478">
        <v>-0.70738959999999895</v>
      </c>
      <c r="AH1478">
        <v>54.466777143080002</v>
      </c>
      <c r="AI1478">
        <v>90.650870361751899</v>
      </c>
      <c r="AJ1478">
        <v>61.0105445652855</v>
      </c>
      <c r="AK1478">
        <v>62.272477992373801</v>
      </c>
      <c r="AL1478">
        <v>79.223255516058202</v>
      </c>
      <c r="AM1478">
        <v>78.590462212027603</v>
      </c>
      <c r="AN1478">
        <v>0.99999998298065895</v>
      </c>
    </row>
    <row r="1479" spans="1:40" x14ac:dyDescent="0.25">
      <c r="A1479" t="str">
        <f>"20190303170526128"</f>
        <v>20190303170526128</v>
      </c>
      <c r="B1479" t="str">
        <f>"1551603926116406"</f>
        <v>1551603926116406</v>
      </c>
      <c r="C1479" t="s">
        <v>40</v>
      </c>
      <c r="D1479">
        <v>5.5424629999999997</v>
      </c>
      <c r="E1479">
        <v>0.63124440000000004</v>
      </c>
      <c r="F1479" t="s">
        <v>61</v>
      </c>
      <c r="G1479">
        <v>-262.5949</v>
      </c>
      <c r="H1479">
        <v>0.43920989999999999</v>
      </c>
      <c r="I1479">
        <v>269.82240000000002</v>
      </c>
      <c r="J1479">
        <v>-200.43629999999999</v>
      </c>
      <c r="K1479">
        <v>1.1111200000000001</v>
      </c>
      <c r="L1479">
        <v>287.90480000000002</v>
      </c>
      <c r="M1479">
        <v>-0.70431180000000004</v>
      </c>
      <c r="N1479">
        <v>-1.560371E-2</v>
      </c>
      <c r="O1479">
        <v>-0.70971930000000005</v>
      </c>
      <c r="P1479">
        <v>-0.814640699999999</v>
      </c>
      <c r="Q1479">
        <v>0.17621800000000001</v>
      </c>
      <c r="R1479">
        <v>-0.55254720000000002</v>
      </c>
      <c r="S1479">
        <v>-3.092209</v>
      </c>
      <c r="T1479">
        <v>-3.3323529999999997E-2</v>
      </c>
      <c r="U1479">
        <v>-0.90594479999999999</v>
      </c>
      <c r="V1479">
        <v>0.19375510000000001</v>
      </c>
      <c r="W1479">
        <v>0.1864758</v>
      </c>
      <c r="X1479">
        <v>0.96316440000000003</v>
      </c>
      <c r="Y1479">
        <v>0.48305330000000002</v>
      </c>
      <c r="Z1479">
        <v>9.7206050000000002E-4</v>
      </c>
      <c r="AA1479">
        <v>0.87559039999999999</v>
      </c>
      <c r="AB1479">
        <v>27</v>
      </c>
      <c r="AC1479">
        <v>-62.1586</v>
      </c>
      <c r="AD1479">
        <v>-0.67191009999999995</v>
      </c>
      <c r="AE1479">
        <v>-18.0824</v>
      </c>
      <c r="AF1479">
        <v>31.379949445231301</v>
      </c>
      <c r="AG1479">
        <v>-0.67191009999999995</v>
      </c>
      <c r="AH1479">
        <v>56.613255833400999</v>
      </c>
      <c r="AI1479">
        <v>90.594735042862197</v>
      </c>
      <c r="AJ1479">
        <v>61.000999242713497</v>
      </c>
      <c r="AK1479">
        <v>64.731857894130201</v>
      </c>
      <c r="AL1479">
        <v>79.252812662968694</v>
      </c>
      <c r="AM1479">
        <v>78.625892006257502</v>
      </c>
      <c r="AN1479">
        <v>0.99999996209450404</v>
      </c>
    </row>
    <row r="1480" spans="1:40" x14ac:dyDescent="0.25">
      <c r="A1480" t="str">
        <f>"20190303170526148"</f>
        <v>20190303170526148</v>
      </c>
      <c r="B1480" t="str">
        <f>"1551603926135927"</f>
        <v>1551603926135927</v>
      </c>
      <c r="C1480" t="s">
        <v>40</v>
      </c>
      <c r="D1480">
        <v>5.5063149999999998</v>
      </c>
      <c r="E1480">
        <v>0.6308954</v>
      </c>
      <c r="F1480" t="s">
        <v>61</v>
      </c>
      <c r="G1480">
        <v>-265.42939999999999</v>
      </c>
      <c r="H1480">
        <v>0.45776509999999998</v>
      </c>
      <c r="I1480">
        <v>269.80880000000002</v>
      </c>
      <c r="J1480">
        <v>-200.62459999999999</v>
      </c>
      <c r="K1480">
        <v>1.1109770000000001</v>
      </c>
      <c r="L1480">
        <v>287.73500000000001</v>
      </c>
      <c r="M1480">
        <v>-0.7136922</v>
      </c>
      <c r="N1480">
        <v>-1.564805E-2</v>
      </c>
      <c r="O1480">
        <v>-0.70028459999999904</v>
      </c>
      <c r="P1480">
        <v>-0.8223587</v>
      </c>
      <c r="Q1480">
        <v>0.17483570000000001</v>
      </c>
      <c r="R1480">
        <v>-0.54144139999999996</v>
      </c>
      <c r="S1480">
        <v>-3.1032869999999999</v>
      </c>
      <c r="T1480">
        <v>-3.1195279999999999E-2</v>
      </c>
      <c r="U1480">
        <v>-0.86404419999999904</v>
      </c>
      <c r="V1480">
        <v>0.1942448</v>
      </c>
      <c r="W1480">
        <v>0.18506359999999999</v>
      </c>
      <c r="X1480">
        <v>0.96333809999999997</v>
      </c>
      <c r="Y1480">
        <v>0.48318109999999997</v>
      </c>
      <c r="Z1480">
        <v>4.8125419999999998E-4</v>
      </c>
      <c r="AA1480">
        <v>0.87552030000000003</v>
      </c>
      <c r="AB1480">
        <v>27</v>
      </c>
      <c r="AC1480">
        <v>-64.8048</v>
      </c>
      <c r="AD1480">
        <v>-0.65321189999999996</v>
      </c>
      <c r="AE1480">
        <v>-17.926199999999898</v>
      </c>
      <c r="AF1480">
        <v>32.588930144004301</v>
      </c>
      <c r="AG1480">
        <v>-0.65321189999999996</v>
      </c>
      <c r="AH1480">
        <v>58.8057746379653</v>
      </c>
      <c r="AI1480">
        <v>90.556655202000798</v>
      </c>
      <c r="AJ1480">
        <v>61.005696785260803</v>
      </c>
      <c r="AK1480">
        <v>67.235289725621499</v>
      </c>
      <c r="AL1480">
        <v>79.335158878646595</v>
      </c>
      <c r="AM1480">
        <v>78.599899046922502</v>
      </c>
      <c r="AN1480">
        <v>0.99999993664180298</v>
      </c>
    </row>
    <row r="1481" spans="1:40" x14ac:dyDescent="0.25">
      <c r="A1481" t="str">
        <f>"20190303170526170"</f>
        <v>20190303170526170</v>
      </c>
      <c r="B1481" t="str">
        <f>"1551603926156424"</f>
        <v>1551603926156424</v>
      </c>
      <c r="C1481" t="s">
        <v>40</v>
      </c>
      <c r="D1481">
        <v>5.5187759999999999</v>
      </c>
      <c r="E1481">
        <v>0.63039679999999998</v>
      </c>
      <c r="F1481" t="s">
        <v>61</v>
      </c>
      <c r="G1481">
        <v>-268.43119999999999</v>
      </c>
      <c r="H1481">
        <v>0.34643459999999998</v>
      </c>
      <c r="I1481">
        <v>269.79450000000003</v>
      </c>
      <c r="J1481">
        <v>-200.8158</v>
      </c>
      <c r="K1481">
        <v>1.1108359999999999</v>
      </c>
      <c r="L1481">
        <v>287.5675</v>
      </c>
      <c r="M1481">
        <v>-0.72312869999999996</v>
      </c>
      <c r="N1481">
        <v>-1.5692689999999999E-2</v>
      </c>
      <c r="O1481">
        <v>-0.69053509999999996</v>
      </c>
      <c r="P1481">
        <v>-0.83023480000000005</v>
      </c>
      <c r="Q1481">
        <v>0.17446789999999901</v>
      </c>
      <c r="R1481">
        <v>-0.52940640000000005</v>
      </c>
      <c r="S1481">
        <v>-3.1132049999999998</v>
      </c>
      <c r="T1481">
        <v>-3.510141E-2</v>
      </c>
      <c r="U1481">
        <v>-0.82369999999999999</v>
      </c>
      <c r="V1481">
        <v>0.19531190000000001</v>
      </c>
      <c r="W1481">
        <v>0.18464649999999999</v>
      </c>
      <c r="X1481">
        <v>0.96320240000000001</v>
      </c>
      <c r="Y1481">
        <v>0.48258649999999997</v>
      </c>
      <c r="Z1481">
        <v>1.6377309999999999E-3</v>
      </c>
      <c r="AA1481">
        <v>0.87584680000000004</v>
      </c>
      <c r="AB1481">
        <v>27</v>
      </c>
      <c r="AC1481">
        <v>-67.615399999999994</v>
      </c>
      <c r="AD1481">
        <v>-0.76440140000000001</v>
      </c>
      <c r="AE1481">
        <v>-17.7729999999999</v>
      </c>
      <c r="AF1481">
        <v>33.8387609241571</v>
      </c>
      <c r="AG1481">
        <v>-0.76440140000000001</v>
      </c>
      <c r="AH1481">
        <v>61.167734107125199</v>
      </c>
      <c r="AI1481">
        <v>90.626506340628595</v>
      </c>
      <c r="AJ1481">
        <v>61.048078879934401</v>
      </c>
      <c r="AK1481">
        <v>69.908066388525896</v>
      </c>
      <c r="AL1481">
        <v>79.359476350832097</v>
      </c>
      <c r="AM1481">
        <v>78.537352662701807</v>
      </c>
      <c r="AN1481">
        <v>0.99999996580480899</v>
      </c>
    </row>
    <row r="1482" spans="1:40" x14ac:dyDescent="0.25">
      <c r="A1482" t="str">
        <f>"20190303170526194"</f>
        <v>20190303170526194</v>
      </c>
      <c r="B1482" t="str">
        <f>"1551603926185704"</f>
        <v>1551603926185704</v>
      </c>
      <c r="C1482" t="s">
        <v>40</v>
      </c>
      <c r="D1482">
        <v>5.539479</v>
      </c>
      <c r="E1482">
        <v>0.62961659999999997</v>
      </c>
      <c r="F1482" t="s">
        <v>61</v>
      </c>
      <c r="G1482">
        <v>-271.8005</v>
      </c>
      <c r="H1482">
        <v>0.24639420000000001</v>
      </c>
      <c r="I1482">
        <v>269.77850000000001</v>
      </c>
      <c r="J1482">
        <v>-201.0444</v>
      </c>
      <c r="K1482">
        <v>1.110676</v>
      </c>
      <c r="L1482">
        <v>287.37349999999998</v>
      </c>
      <c r="M1482">
        <v>-0.73428700000000002</v>
      </c>
      <c r="N1482">
        <v>-1.5748459999999999E-2</v>
      </c>
      <c r="O1482">
        <v>-0.67865679999999995</v>
      </c>
      <c r="P1482">
        <v>-0.83811550000000001</v>
      </c>
      <c r="Q1482">
        <v>0.17510039999999999</v>
      </c>
      <c r="R1482">
        <v>-0.51662640000000004</v>
      </c>
      <c r="S1482">
        <v>-3.1224669999999999</v>
      </c>
      <c r="T1482">
        <v>-3.802407E-2</v>
      </c>
      <c r="U1482">
        <v>-0.78250120000000001</v>
      </c>
      <c r="V1482">
        <v>0.19436590000000001</v>
      </c>
      <c r="W1482">
        <v>0.18528430000000001</v>
      </c>
      <c r="X1482">
        <v>0.96327130000000005</v>
      </c>
      <c r="Y1482">
        <v>0.47978599999999999</v>
      </c>
      <c r="Z1482">
        <v>2.5007850000000002E-3</v>
      </c>
      <c r="AA1482">
        <v>0.877382</v>
      </c>
      <c r="AB1482">
        <v>27</v>
      </c>
      <c r="AC1482">
        <v>-70.756100000000004</v>
      </c>
      <c r="AD1482">
        <v>-0.86428179999999999</v>
      </c>
      <c r="AE1482">
        <v>-17.594999999999899</v>
      </c>
      <c r="AF1482">
        <v>35.098741932259003</v>
      </c>
      <c r="AG1482">
        <v>-0.86428179999999999</v>
      </c>
      <c r="AH1482">
        <v>63.895182727281401</v>
      </c>
      <c r="AI1482">
        <v>90.679243970555802</v>
      </c>
      <c r="AJ1482">
        <v>61.219237530414603</v>
      </c>
      <c r="AK1482">
        <v>72.905850547194106</v>
      </c>
      <c r="AL1482">
        <v>79.322291696760601</v>
      </c>
      <c r="AM1482">
        <v>78.592207731668097</v>
      </c>
      <c r="AN1482">
        <v>0.99999998615649499</v>
      </c>
    </row>
    <row r="1483" spans="1:40" x14ac:dyDescent="0.25">
      <c r="A1483" t="str">
        <f>"20190303170526216"</f>
        <v>20190303170526216</v>
      </c>
      <c r="B1483" t="str">
        <f>"1551603926206565"</f>
        <v>1551603926206565</v>
      </c>
      <c r="C1483" t="s">
        <v>40</v>
      </c>
      <c r="D1483">
        <v>5.5419179999999999</v>
      </c>
      <c r="E1483">
        <v>0.61638709999999997</v>
      </c>
      <c r="F1483" t="s">
        <v>62</v>
      </c>
      <c r="G1483">
        <v>-277.19880000000001</v>
      </c>
      <c r="H1483">
        <v>0.2281849</v>
      </c>
      <c r="I1483">
        <v>269.3777</v>
      </c>
      <c r="J1483">
        <v>-201.2534</v>
      </c>
      <c r="K1483">
        <v>1.1105339999999999</v>
      </c>
      <c r="L1483">
        <v>287.20190000000002</v>
      </c>
      <c r="M1483">
        <v>-0.74435850000000003</v>
      </c>
      <c r="N1483">
        <v>-1.580196E-2</v>
      </c>
      <c r="O1483">
        <v>-0.66759329999999995</v>
      </c>
      <c r="P1483">
        <v>-0.8443619</v>
      </c>
      <c r="Q1483">
        <v>0.17635139999999999</v>
      </c>
      <c r="R1483">
        <v>-0.50591869999999906</v>
      </c>
      <c r="S1483">
        <v>-3.1309659999999999</v>
      </c>
      <c r="T1483">
        <v>-3.6280510000000002E-2</v>
      </c>
      <c r="U1483">
        <v>-0.73986819999999998</v>
      </c>
      <c r="V1483">
        <v>0.1921331</v>
      </c>
      <c r="W1483">
        <v>0.18658169999999999</v>
      </c>
      <c r="X1483">
        <v>0.96346880000000001</v>
      </c>
      <c r="Y1483">
        <v>0.47850160000000003</v>
      </c>
      <c r="Z1483">
        <v>2.1149010000000002E-3</v>
      </c>
      <c r="AA1483">
        <v>0.87808419999999898</v>
      </c>
      <c r="AB1483">
        <v>27</v>
      </c>
      <c r="AC1483">
        <v>-75.945400000000006</v>
      </c>
      <c r="AD1483">
        <v>-0.882349099999999</v>
      </c>
      <c r="AE1483">
        <v>-17.824200000000001</v>
      </c>
      <c r="AF1483">
        <v>37.432929119010097</v>
      </c>
      <c r="AG1483">
        <v>-0.882349099999999</v>
      </c>
      <c r="AH1483">
        <v>68.429707899862706</v>
      </c>
      <c r="AI1483">
        <v>90.648119872948996</v>
      </c>
      <c r="AJ1483">
        <v>61.320129787980598</v>
      </c>
      <c r="AK1483">
        <v>78.004023265621598</v>
      </c>
      <c r="AL1483">
        <v>79.246636991795498</v>
      </c>
      <c r="AM1483">
        <v>78.722130202130799</v>
      </c>
      <c r="AN1483">
        <v>0.99999999373197002</v>
      </c>
    </row>
    <row r="1484" spans="1:40" x14ac:dyDescent="0.25">
      <c r="A1484" t="str">
        <f>"20190303170526243"</f>
        <v>20190303170526243</v>
      </c>
      <c r="B1484" t="str">
        <f>"1551603926226089"</f>
        <v>1551603926226089</v>
      </c>
      <c r="C1484" t="s">
        <v>40</v>
      </c>
      <c r="D1484">
        <v>5.5390249999999996</v>
      </c>
      <c r="E1484">
        <v>0.61500630000000001</v>
      </c>
      <c r="F1484" t="s">
        <v>61</v>
      </c>
      <c r="G1484">
        <v>-269.17970000000003</v>
      </c>
      <c r="H1484">
        <v>0.15282390000000001</v>
      </c>
      <c r="I1484">
        <v>269.791</v>
      </c>
      <c r="J1484">
        <v>-201.50540000000001</v>
      </c>
      <c r="K1484">
        <v>1.110355</v>
      </c>
      <c r="L1484">
        <v>287.00189999999998</v>
      </c>
      <c r="M1484">
        <v>-0.75633019999999995</v>
      </c>
      <c r="N1484">
        <v>-1.5867679999999999E-2</v>
      </c>
      <c r="O1484">
        <v>-0.65399779999999996</v>
      </c>
      <c r="P1484">
        <v>-0.85290679999999996</v>
      </c>
      <c r="Q1484">
        <v>0.1765176</v>
      </c>
      <c r="R1484">
        <v>-0.49131639999999999</v>
      </c>
      <c r="S1484">
        <v>-3.0878299999999999</v>
      </c>
      <c r="T1484">
        <v>-4.3535110000000002E-2</v>
      </c>
      <c r="U1484">
        <v>-0.79147339999999999</v>
      </c>
      <c r="V1484">
        <v>0.19131790000000001</v>
      </c>
      <c r="W1484">
        <v>0.18675310000000001</v>
      </c>
      <c r="X1484">
        <v>0.96359779999999995</v>
      </c>
      <c r="Y1484">
        <v>0.44569760000000003</v>
      </c>
      <c r="Z1484">
        <v>3.806177E-3</v>
      </c>
      <c r="AA1484">
        <v>0.89517549999999901</v>
      </c>
      <c r="AB1484">
        <v>27</v>
      </c>
      <c r="AC1484">
        <v>-67.674300000000002</v>
      </c>
      <c r="AD1484">
        <v>-0.95753109999999997</v>
      </c>
      <c r="AE1484">
        <v>-17.210899999999899</v>
      </c>
      <c r="AF1484">
        <v>31.239775175496099</v>
      </c>
      <c r="AG1484">
        <v>-0.95753109999999997</v>
      </c>
      <c r="AH1484">
        <v>62.436120889672097</v>
      </c>
      <c r="AI1484">
        <v>90.785772711571695</v>
      </c>
      <c r="AJ1484">
        <v>63.419009468447399</v>
      </c>
      <c r="AK1484">
        <v>69.821985152047603</v>
      </c>
      <c r="AL1484">
        <v>79.236640749619397</v>
      </c>
      <c r="AM1484">
        <v>78.770227467781694</v>
      </c>
      <c r="AN1484">
        <v>0.99999998969242998</v>
      </c>
    </row>
    <row r="1485" spans="1:40" x14ac:dyDescent="0.25">
      <c r="A1485" t="str">
        <f>"20190303170526263"</f>
        <v>20190303170526263</v>
      </c>
      <c r="B1485" t="str">
        <f>"1551603926256345"</f>
        <v>1551603926256345</v>
      </c>
      <c r="C1485" t="s">
        <v>40</v>
      </c>
      <c r="D1485">
        <v>5.5207369999999996</v>
      </c>
      <c r="E1485">
        <v>0.61310439999999999</v>
      </c>
      <c r="F1485" t="s">
        <v>63</v>
      </c>
      <c r="G1485">
        <v>-274.83089999999999</v>
      </c>
      <c r="H1485">
        <v>6.6739919999999897E-3</v>
      </c>
      <c r="I1485">
        <v>269.27600000000001</v>
      </c>
      <c r="J1485">
        <v>-201.70419999999999</v>
      </c>
      <c r="K1485">
        <v>1.1102099999999999</v>
      </c>
      <c r="L1485">
        <v>286.84989999999999</v>
      </c>
      <c r="M1485">
        <v>-0.76564009999999905</v>
      </c>
      <c r="N1485">
        <v>-1.5920420000000001E-2</v>
      </c>
      <c r="O1485">
        <v>-0.64307209999999904</v>
      </c>
      <c r="P1485">
        <v>-0.86025599999999902</v>
      </c>
      <c r="Q1485">
        <v>0.17551349999999999</v>
      </c>
      <c r="R1485">
        <v>-0.47870109999999899</v>
      </c>
      <c r="S1485">
        <v>-3.095901</v>
      </c>
      <c r="T1485">
        <v>-4.6596529999999997E-2</v>
      </c>
      <c r="U1485">
        <v>-0.74841309999999905</v>
      </c>
      <c r="V1485">
        <v>0.19184799999999999</v>
      </c>
      <c r="W1485">
        <v>0.18572279999999999</v>
      </c>
      <c r="X1485">
        <v>0.96369150000000003</v>
      </c>
      <c r="Y1485">
        <v>0.44512610000000002</v>
      </c>
      <c r="Z1485">
        <v>4.6629189999999997E-3</v>
      </c>
      <c r="AA1485">
        <v>0.89545569999999897</v>
      </c>
      <c r="AB1485">
        <v>27</v>
      </c>
      <c r="AC1485">
        <v>-73.1267</v>
      </c>
      <c r="AD1485">
        <v>-1.1035360080000001</v>
      </c>
      <c r="AE1485">
        <v>-17.573899999999899</v>
      </c>
      <c r="AF1485">
        <v>33.567487088287301</v>
      </c>
      <c r="AG1485">
        <v>-1.1035360080000001</v>
      </c>
      <c r="AH1485">
        <v>67.284063696893597</v>
      </c>
      <c r="AI1485">
        <v>90.840820088654496</v>
      </c>
      <c r="AJ1485">
        <v>63.485754228257299</v>
      </c>
      <c r="AK1485">
        <v>75.200659629493401</v>
      </c>
      <c r="AL1485">
        <v>79.296723449436996</v>
      </c>
      <c r="AM1485">
        <v>78.7409730237367</v>
      </c>
      <c r="AN1485">
        <v>0.99999996035804395</v>
      </c>
    </row>
    <row r="1486" spans="1:40" x14ac:dyDescent="0.25">
      <c r="A1486" t="str">
        <f>"20190303170526284"</f>
        <v>20190303170526284</v>
      </c>
      <c r="B1486" t="str">
        <f>"1551603926275865"</f>
        <v>1551603926275865</v>
      </c>
      <c r="C1486" t="s">
        <v>40</v>
      </c>
      <c r="D1486">
        <v>5.5372329999999996</v>
      </c>
      <c r="E1486">
        <v>0.61248199999999997</v>
      </c>
      <c r="F1486" t="s">
        <v>43</v>
      </c>
      <c r="G1486">
        <v>-268.0471</v>
      </c>
      <c r="H1486">
        <v>-0.05</v>
      </c>
      <c r="I1486">
        <v>271.4941</v>
      </c>
      <c r="J1486">
        <v>-201.90520000000001</v>
      </c>
      <c r="K1486">
        <v>1.11007099999999</v>
      </c>
      <c r="L1486">
        <v>286.70119999999997</v>
      </c>
      <c r="M1486">
        <v>-0.77492559999999999</v>
      </c>
      <c r="N1486">
        <v>-1.5974169999999999E-2</v>
      </c>
      <c r="O1486">
        <v>-0.63185069999999999</v>
      </c>
      <c r="P1486">
        <v>-0.86738479999999996</v>
      </c>
      <c r="Q1486">
        <v>0.17409669999999999</v>
      </c>
      <c r="R1486">
        <v>-0.46619110000000002</v>
      </c>
      <c r="S1486">
        <v>-3.0992130000000002</v>
      </c>
      <c r="T1486">
        <v>-5.4199219999999999E-2</v>
      </c>
      <c r="U1486">
        <v>-0.71734619999999905</v>
      </c>
      <c r="V1486">
        <v>0.19197339999999999</v>
      </c>
      <c r="W1486">
        <v>0.18429499999999999</v>
      </c>
      <c r="X1486">
        <v>0.96394060000000004</v>
      </c>
      <c r="Y1486">
        <v>0.44077620000000001</v>
      </c>
      <c r="Z1486">
        <v>6.6139809999999997E-3</v>
      </c>
      <c r="AA1486">
        <v>0.89759270000000002</v>
      </c>
      <c r="AB1486">
        <v>27</v>
      </c>
      <c r="AC1486">
        <v>-66.141899999999893</v>
      </c>
      <c r="AD1486">
        <v>-1.1600710000000001</v>
      </c>
      <c r="AE1486">
        <v>-15.207099999999899</v>
      </c>
      <c r="AF1486">
        <v>30.002495503434801</v>
      </c>
      <c r="AG1486">
        <v>-1.1600710000000001</v>
      </c>
      <c r="AH1486">
        <v>60.853650172175001</v>
      </c>
      <c r="AI1486">
        <v>90.979556452520697</v>
      </c>
      <c r="AJ1486">
        <v>63.755456018656901</v>
      </c>
      <c r="AK1486">
        <v>67.857661619275703</v>
      </c>
      <c r="AL1486">
        <v>79.379967390541196</v>
      </c>
      <c r="AM1486">
        <v>78.7366387762751</v>
      </c>
      <c r="AN1486">
        <v>0.99999995683045895</v>
      </c>
    </row>
    <row r="1487" spans="1:40" x14ac:dyDescent="0.25">
      <c r="A1487" t="str">
        <f>"20190303170526306"</f>
        <v>20190303170526306</v>
      </c>
      <c r="B1487" t="str">
        <f>"1551603926296360"</f>
        <v>1551603926296360</v>
      </c>
      <c r="C1487" t="s">
        <v>40</v>
      </c>
      <c r="D1487">
        <v>5.8011889999999999</v>
      </c>
      <c r="E1487">
        <v>0.63316149999999904</v>
      </c>
      <c r="F1487" t="s">
        <v>60</v>
      </c>
      <c r="G1487">
        <v>-255.91380000000001</v>
      </c>
      <c r="H1487">
        <v>8.000119E-2</v>
      </c>
      <c r="I1487">
        <v>274.94970000000001</v>
      </c>
      <c r="J1487">
        <v>-202.12610000000001</v>
      </c>
      <c r="K1487">
        <v>1.1099349999999999</v>
      </c>
      <c r="L1487">
        <v>286.54320000000001</v>
      </c>
      <c r="M1487">
        <v>-0.784972</v>
      </c>
      <c r="N1487">
        <v>-1.60327E-2</v>
      </c>
      <c r="O1487">
        <v>-0.61932369999999903</v>
      </c>
      <c r="P1487">
        <v>-0.87484089999999903</v>
      </c>
      <c r="Q1487">
        <v>0.17332239999999999</v>
      </c>
      <c r="R1487">
        <v>-0.45234160000000001</v>
      </c>
      <c r="S1487">
        <v>-3.107208</v>
      </c>
      <c r="T1487">
        <v>-5.9261679999999997E-2</v>
      </c>
      <c r="U1487">
        <v>-0.67608639999999998</v>
      </c>
      <c r="V1487">
        <v>0.19195690000000001</v>
      </c>
      <c r="W1487">
        <v>0.18351609999999999</v>
      </c>
      <c r="X1487">
        <v>0.96409250000000002</v>
      </c>
      <c r="Y1487">
        <v>0.43819809999999998</v>
      </c>
      <c r="Z1487">
        <v>7.8924249999999998E-3</v>
      </c>
      <c r="AA1487">
        <v>0.89884379999999997</v>
      </c>
      <c r="AB1487">
        <v>27</v>
      </c>
      <c r="AC1487">
        <v>-53.787700000000001</v>
      </c>
      <c r="AD1487">
        <v>-1.0299338099999999</v>
      </c>
      <c r="AE1487">
        <v>-11.593500000000001</v>
      </c>
      <c r="AF1487">
        <v>24.206056491762499</v>
      </c>
      <c r="AG1487">
        <v>-1.0299338099999999</v>
      </c>
      <c r="AH1487">
        <v>49.3910146668414</v>
      </c>
      <c r="AI1487">
        <v>91.072727469702997</v>
      </c>
      <c r="AJ1487">
        <v>63.890974707843299</v>
      </c>
      <c r="AK1487">
        <v>55.013328061075498</v>
      </c>
      <c r="AL1487">
        <v>79.4253697001445</v>
      </c>
      <c r="AM1487">
        <v>78.739311241971706</v>
      </c>
      <c r="AN1487">
        <v>0.99999997948653396</v>
      </c>
    </row>
    <row r="1488" spans="1:40" x14ac:dyDescent="0.25">
      <c r="A1488" t="str">
        <f>"20190303170526329"</f>
        <v>20190303170526329</v>
      </c>
      <c r="B1488" t="str">
        <f>"1551603926315881"</f>
        <v>1551603926315881</v>
      </c>
      <c r="C1488" t="s">
        <v>40</v>
      </c>
      <c r="D1488">
        <v>5.7305739999999998</v>
      </c>
      <c r="E1488">
        <v>0.64336130000000002</v>
      </c>
      <c r="F1488" t="s">
        <v>60</v>
      </c>
      <c r="G1488">
        <v>-245.0496</v>
      </c>
      <c r="H1488" s="1">
        <v>1.1503550000000001E-6</v>
      </c>
      <c r="I1488">
        <v>280.08609999999999</v>
      </c>
      <c r="J1488">
        <v>-202.35640000000001</v>
      </c>
      <c r="K1488">
        <v>1.1098140000000001</v>
      </c>
      <c r="L1488">
        <v>286.38459999999998</v>
      </c>
      <c r="M1488">
        <v>-0.79523219999999994</v>
      </c>
      <c r="N1488">
        <v>-1.6090420000000001E-2</v>
      </c>
      <c r="O1488">
        <v>-0.60609159999999995</v>
      </c>
      <c r="P1488">
        <v>-0.88216569999999905</v>
      </c>
      <c r="Q1488">
        <v>0.1757126</v>
      </c>
      <c r="R1488">
        <v>-0.43693090000000001</v>
      </c>
      <c r="S1488">
        <v>-3.1969150000000002</v>
      </c>
      <c r="T1488">
        <v>-8.2667229999999994E-2</v>
      </c>
      <c r="U1488">
        <v>-0.48092649999999998</v>
      </c>
      <c r="V1488">
        <v>0.1925588</v>
      </c>
      <c r="W1488">
        <v>0.1858803</v>
      </c>
      <c r="X1488">
        <v>0.96351940000000003</v>
      </c>
      <c r="Y1488">
        <v>0.48086040000000002</v>
      </c>
      <c r="Z1488">
        <v>1.423337E-2</v>
      </c>
      <c r="AA1488">
        <v>0.87668169999999901</v>
      </c>
      <c r="AB1488">
        <v>26</v>
      </c>
      <c r="AC1488">
        <v>-42.693199999999898</v>
      </c>
      <c r="AD1488">
        <v>-1.1098128496449999</v>
      </c>
      <c r="AE1488">
        <v>-6.29849999999999</v>
      </c>
      <c r="AF1488">
        <v>20.856126606928399</v>
      </c>
      <c r="AG1488">
        <v>-1.1098128496449999</v>
      </c>
      <c r="AH1488">
        <v>37.7483971036188</v>
      </c>
      <c r="AI1488">
        <v>91.474108559487505</v>
      </c>
      <c r="AJ1488">
        <v>61.079190105021603</v>
      </c>
      <c r="AK1488">
        <v>43.141061478572396</v>
      </c>
      <c r="AL1488">
        <v>79.287539937732006</v>
      </c>
      <c r="AM1488">
        <v>78.698363147878098</v>
      </c>
      <c r="AN1488">
        <v>1.0000000057809399</v>
      </c>
    </row>
    <row r="1489" spans="1:40" x14ac:dyDescent="0.25">
      <c r="A1489" t="str">
        <f>"20190303170526351"</f>
        <v>20190303170526351</v>
      </c>
      <c r="B1489" t="str">
        <f>"1551603926336378"</f>
        <v>1551603926336378</v>
      </c>
      <c r="C1489" t="s">
        <v>40</v>
      </c>
      <c r="D1489">
        <v>5.7358799999999999</v>
      </c>
      <c r="E1489">
        <v>0.64721410000000001</v>
      </c>
      <c r="F1489" t="s">
        <v>60</v>
      </c>
      <c r="G1489">
        <v>-258.68290000000002</v>
      </c>
      <c r="H1489" s="1">
        <v>3.0838009999999998E-6</v>
      </c>
      <c r="I1489">
        <v>280.2833</v>
      </c>
      <c r="J1489">
        <v>-202.5746</v>
      </c>
      <c r="K1489">
        <v>1.1097170000000001</v>
      </c>
      <c r="L1489">
        <v>286.23950000000002</v>
      </c>
      <c r="M1489">
        <v>-0.80475140000000001</v>
      </c>
      <c r="N1489">
        <v>-1.6140310000000001E-2</v>
      </c>
      <c r="O1489">
        <v>-0.59339280000000005</v>
      </c>
      <c r="P1489">
        <v>-0.88894869999999904</v>
      </c>
      <c r="Q1489">
        <v>0.17780770000000001</v>
      </c>
      <c r="R1489">
        <v>-0.42208420000000002</v>
      </c>
      <c r="S1489">
        <v>-3.239655</v>
      </c>
      <c r="T1489">
        <v>-6.3831449999999998E-2</v>
      </c>
      <c r="U1489">
        <v>-0.3509216</v>
      </c>
      <c r="V1489">
        <v>0.19327559999999999</v>
      </c>
      <c r="W1489">
        <v>0.18795029999999999</v>
      </c>
      <c r="X1489">
        <v>0.9629742</v>
      </c>
      <c r="Y1489">
        <v>0.50318260000000004</v>
      </c>
      <c r="Z1489">
        <v>9.8074219999999997E-3</v>
      </c>
      <c r="AA1489">
        <v>0.86412440000000001</v>
      </c>
      <c r="AB1489">
        <v>26</v>
      </c>
      <c r="AC1489">
        <v>-56.1083</v>
      </c>
      <c r="AD1489">
        <v>-1.109713916199</v>
      </c>
      <c r="AE1489">
        <v>-5.9562000000000204</v>
      </c>
      <c r="AF1489">
        <v>28.4936874838614</v>
      </c>
      <c r="AG1489">
        <v>-1.109713916199</v>
      </c>
      <c r="AH1489">
        <v>48.675105744662403</v>
      </c>
      <c r="AI1489">
        <v>91.127158889289603</v>
      </c>
      <c r="AJ1489">
        <v>59.655924693049201</v>
      </c>
      <c r="AK1489">
        <v>56.4126547031589</v>
      </c>
      <c r="AL1489">
        <v>79.166810298435905</v>
      </c>
      <c r="AM1489">
        <v>78.651126304834605</v>
      </c>
      <c r="AN1489">
        <v>1.0000000413455401</v>
      </c>
    </row>
    <row r="1490" spans="1:40" x14ac:dyDescent="0.25">
      <c r="A1490" t="str">
        <f>"20190303170526371"</f>
        <v>20190303170526371</v>
      </c>
      <c r="B1490" t="str">
        <f>"1551603926355897"</f>
        <v>1551603926355897</v>
      </c>
      <c r="C1490" t="s">
        <v>40</v>
      </c>
      <c r="D1490">
        <v>5.7264369999999998</v>
      </c>
      <c r="E1490">
        <v>0.64862629999999999</v>
      </c>
      <c r="F1490" t="s">
        <v>60</v>
      </c>
      <c r="G1490">
        <v>-263.02140000000003</v>
      </c>
      <c r="H1490" s="1">
        <v>7.1056210000000005E-8</v>
      </c>
      <c r="I1490">
        <v>281.19290000000001</v>
      </c>
      <c r="J1490">
        <v>-202.78229999999999</v>
      </c>
      <c r="K1490">
        <v>1.1096330000000001</v>
      </c>
      <c r="L1490">
        <v>286.10610000000003</v>
      </c>
      <c r="M1490">
        <v>-0.81362049999999997</v>
      </c>
      <c r="N1490">
        <v>-1.6183690000000001E-2</v>
      </c>
      <c r="O1490">
        <v>-0.58117089999999905</v>
      </c>
      <c r="P1490">
        <v>-0.89542529999999998</v>
      </c>
      <c r="Q1490">
        <v>0.1781597</v>
      </c>
      <c r="R1490">
        <v>-0.4080104</v>
      </c>
      <c r="S1490">
        <v>-3.2575989999999999</v>
      </c>
      <c r="T1490">
        <v>-5.9804799999999998E-2</v>
      </c>
      <c r="U1490">
        <v>-0.27197270000000001</v>
      </c>
      <c r="V1490">
        <v>0.1939295</v>
      </c>
      <c r="W1490">
        <v>0.18828610000000001</v>
      </c>
      <c r="X1490">
        <v>0.96277710000000005</v>
      </c>
      <c r="Y1490">
        <v>0.51138409999999901</v>
      </c>
      <c r="Z1490">
        <v>8.9427710000000004E-3</v>
      </c>
      <c r="AA1490">
        <v>0.85930569999999895</v>
      </c>
      <c r="AB1490">
        <v>26</v>
      </c>
      <c r="AC1490">
        <v>-60.239100000000001</v>
      </c>
      <c r="AD1490">
        <v>-1.1096329289437901</v>
      </c>
      <c r="AE1490">
        <v>-4.9132000000000096</v>
      </c>
      <c r="AF1490">
        <v>31.005345072843699</v>
      </c>
      <c r="AG1490">
        <v>-1.1096329289437901</v>
      </c>
      <c r="AH1490">
        <v>51.856493846234898</v>
      </c>
      <c r="AI1490">
        <v>91.052158796125994</v>
      </c>
      <c r="AJ1490">
        <v>59.124514105203197</v>
      </c>
      <c r="AK1490">
        <v>60.4289554960841</v>
      </c>
      <c r="AL1490">
        <v>79.1472204545544</v>
      </c>
      <c r="AM1490">
        <v>78.611461451954796</v>
      </c>
      <c r="AN1490">
        <v>1.0000000253539301</v>
      </c>
    </row>
    <row r="1491" spans="1:40" x14ac:dyDescent="0.25">
      <c r="A1491" t="str">
        <f>"20190303170526394"</f>
        <v>20190303170526394</v>
      </c>
      <c r="B1491" t="str">
        <f>"1551603926386153"</f>
        <v>1551603926386153</v>
      </c>
      <c r="C1491" t="s">
        <v>40</v>
      </c>
      <c r="D1491">
        <v>5.805097</v>
      </c>
      <c r="E1491">
        <v>0.64879219999999904</v>
      </c>
      <c r="F1491" t="s">
        <v>60</v>
      </c>
      <c r="G1491">
        <v>-263.83159999999998</v>
      </c>
      <c r="H1491" s="1">
        <v>5.0218439999999999E-7</v>
      </c>
      <c r="I1491">
        <v>282.16379999999998</v>
      </c>
      <c r="J1491">
        <v>-203.02670000000001</v>
      </c>
      <c r="K1491">
        <v>1.109553</v>
      </c>
      <c r="L1491">
        <v>285.95499999999998</v>
      </c>
      <c r="M1491">
        <v>-0.82380259999999905</v>
      </c>
      <c r="N1491">
        <v>-1.6230660000000001E-2</v>
      </c>
      <c r="O1491">
        <v>-0.5666445</v>
      </c>
      <c r="P1491">
        <v>-0.90266190000000002</v>
      </c>
      <c r="Q1491">
        <v>0.176344</v>
      </c>
      <c r="R1491">
        <v>-0.3925614</v>
      </c>
      <c r="S1491">
        <v>-3.2660830000000001</v>
      </c>
      <c r="T1491">
        <v>-5.9364319999999998E-2</v>
      </c>
      <c r="U1491">
        <v>-0.21090700000000001</v>
      </c>
      <c r="V1491">
        <v>0.19358</v>
      </c>
      <c r="W1491">
        <v>0.18649640000000001</v>
      </c>
      <c r="X1491">
        <v>0.96319569999999999</v>
      </c>
      <c r="Y1491">
        <v>0.51230229999999999</v>
      </c>
      <c r="Z1491">
        <v>8.8847609999999997E-3</v>
      </c>
      <c r="AA1491">
        <v>0.85875919999999895</v>
      </c>
      <c r="AB1491">
        <v>26</v>
      </c>
      <c r="AC1491">
        <v>-60.804899999999897</v>
      </c>
      <c r="AD1491">
        <v>-1.1095524978155999</v>
      </c>
      <c r="AE1491">
        <v>-3.7911999999999999</v>
      </c>
      <c r="AF1491">
        <v>31.325296835544201</v>
      </c>
      <c r="AG1491">
        <v>-1.1095524978155999</v>
      </c>
      <c r="AH1491">
        <v>52.229051787517399</v>
      </c>
      <c r="AI1491">
        <v>91.043723255423103</v>
      </c>
      <c r="AJ1491">
        <v>59.046032247897699</v>
      </c>
      <c r="AK1491">
        <v>60.9128818822713</v>
      </c>
      <c r="AL1491">
        <v>79.251612142913402</v>
      </c>
      <c r="AM1491">
        <v>78.636263092648207</v>
      </c>
      <c r="AN1491">
        <v>1.0000000400557201</v>
      </c>
    </row>
    <row r="1492" spans="1:40" x14ac:dyDescent="0.25">
      <c r="A1492" t="str">
        <f>"20190303170526416"</f>
        <v>20190303170526416</v>
      </c>
      <c r="B1492" t="str">
        <f>"1551603926405673"</f>
        <v>1551603926405673</v>
      </c>
      <c r="C1492" t="s">
        <v>40</v>
      </c>
      <c r="D1492">
        <v>5.8246859999999998</v>
      </c>
      <c r="E1492">
        <v>0.64847440000000001</v>
      </c>
      <c r="F1492" t="s">
        <v>60</v>
      </c>
      <c r="G1492">
        <v>-257.75549999999998</v>
      </c>
      <c r="H1492" s="1">
        <v>2.5902799999999999E-6</v>
      </c>
      <c r="I1492">
        <v>283.40910000000002</v>
      </c>
      <c r="J1492">
        <v>-203.24850000000001</v>
      </c>
      <c r="K1492">
        <v>1.1094900000000001</v>
      </c>
      <c r="L1492">
        <v>285.82299999999998</v>
      </c>
      <c r="M1492">
        <v>-0.83279969999999903</v>
      </c>
      <c r="N1492">
        <v>-1.6269889999999999E-2</v>
      </c>
      <c r="O1492">
        <v>-0.55333509999999997</v>
      </c>
      <c r="P1492">
        <v>-0.90855149999999996</v>
      </c>
      <c r="Q1492">
        <v>0.17655839999999901</v>
      </c>
      <c r="R1492">
        <v>-0.37863059999999998</v>
      </c>
      <c r="S1492">
        <v>-3.2703090000000001</v>
      </c>
      <c r="T1492">
        <v>-6.6300990000000004E-2</v>
      </c>
      <c r="U1492">
        <v>-0.15213009999999999</v>
      </c>
      <c r="V1492">
        <v>0.1929285</v>
      </c>
      <c r="W1492">
        <v>0.18674279999999999</v>
      </c>
      <c r="X1492">
        <v>0.96327870000000004</v>
      </c>
      <c r="Y1492">
        <v>0.51392990000000005</v>
      </c>
      <c r="Z1492">
        <v>1.0617440000000001E-2</v>
      </c>
      <c r="AA1492">
        <v>0.85776649999999999</v>
      </c>
      <c r="AB1492">
        <v>26</v>
      </c>
      <c r="AC1492">
        <v>-54.506999999999898</v>
      </c>
      <c r="AD1492">
        <v>-1.10948740971999</v>
      </c>
      <c r="AE1492">
        <v>-2.4138999999999502</v>
      </c>
      <c r="AF1492">
        <v>28.142433465846398</v>
      </c>
      <c r="AG1492">
        <v>-1.10948740971999</v>
      </c>
      <c r="AH1492">
        <v>46.715982301792103</v>
      </c>
      <c r="AI1492">
        <v>91.165431938021698</v>
      </c>
      <c r="AJ1492">
        <v>58.9345872353936</v>
      </c>
      <c r="AK1492">
        <v>54.549156969776099</v>
      </c>
      <c r="AL1492">
        <v>79.237242302369395</v>
      </c>
      <c r="AM1492">
        <v>78.674468612160794</v>
      </c>
      <c r="AN1492">
        <v>1.00000006666888</v>
      </c>
    </row>
    <row r="1493" spans="1:40" x14ac:dyDescent="0.25">
      <c r="A1493" t="str">
        <f>"20190303170526437"</f>
        <v>20190303170526437</v>
      </c>
      <c r="B1493" t="str">
        <f>"1551603926426169"</f>
        <v>1551603926426169</v>
      </c>
      <c r="C1493" t="s">
        <v>40</v>
      </c>
      <c r="D1493">
        <v>5.7929870000000001</v>
      </c>
      <c r="E1493">
        <v>0.64731629999999996</v>
      </c>
      <c r="F1493" t="s">
        <v>60</v>
      </c>
      <c r="G1493">
        <v>-257.53519999999997</v>
      </c>
      <c r="H1493" s="1">
        <v>2.4730930000000001E-6</v>
      </c>
      <c r="I1493">
        <v>284.10700000000003</v>
      </c>
      <c r="J1493">
        <v>-203.4718</v>
      </c>
      <c r="K1493">
        <v>1.1094489999999999</v>
      </c>
      <c r="L1493">
        <v>285.69499999999999</v>
      </c>
      <c r="M1493">
        <v>-0.84161719999999896</v>
      </c>
      <c r="N1493">
        <v>-1.6305679999999999E-2</v>
      </c>
      <c r="O1493">
        <v>-0.53982819999999898</v>
      </c>
      <c r="P1493">
        <v>-0.91443779999999997</v>
      </c>
      <c r="Q1493">
        <v>0.17854289999999901</v>
      </c>
      <c r="R1493">
        <v>-0.36321609999999999</v>
      </c>
      <c r="S1493">
        <v>-3.2718509999999998</v>
      </c>
      <c r="T1493">
        <v>-6.6868540000000004E-2</v>
      </c>
      <c r="U1493">
        <v>-0.1034241</v>
      </c>
      <c r="V1493">
        <v>0.19354840000000001</v>
      </c>
      <c r="W1493">
        <v>0.18871550000000001</v>
      </c>
      <c r="X1493">
        <v>0.96276969999999995</v>
      </c>
      <c r="Y1493">
        <v>0.51285619999999998</v>
      </c>
      <c r="Z1493">
        <v>1.0756669999999999E-2</v>
      </c>
      <c r="AA1493">
        <v>0.85840709999999998</v>
      </c>
      <c r="AB1493">
        <v>26</v>
      </c>
      <c r="AC1493">
        <v>-54.063399999999902</v>
      </c>
      <c r="AD1493">
        <v>-1.109446526907</v>
      </c>
      <c r="AE1493">
        <v>-1.5879999999999601</v>
      </c>
      <c r="AF1493">
        <v>27.840450353782</v>
      </c>
      <c r="AG1493">
        <v>-1.109446526907</v>
      </c>
      <c r="AH1493">
        <v>46.3446015981296</v>
      </c>
      <c r="AI1493">
        <v>91.175601492601501</v>
      </c>
      <c r="AJ1493">
        <v>59.005628170567</v>
      </c>
      <c r="AK1493">
        <v>54.0753515456611</v>
      </c>
      <c r="AL1493">
        <v>79.122168364242995</v>
      </c>
      <c r="AM1493">
        <v>78.6331733519159</v>
      </c>
      <c r="AN1493">
        <v>1.00000000916044</v>
      </c>
    </row>
    <row r="1494" spans="1:40" x14ac:dyDescent="0.25">
      <c r="A1494" t="str">
        <f>"20190303170526461"</f>
        <v>20190303170526461</v>
      </c>
      <c r="B1494" t="str">
        <f>"1551603926445688"</f>
        <v>1551603926445688</v>
      </c>
      <c r="C1494" t="s">
        <v>40</v>
      </c>
      <c r="D1494">
        <v>5.5736549999999996</v>
      </c>
      <c r="E1494">
        <v>0.64592169999999904</v>
      </c>
      <c r="F1494" t="s">
        <v>60</v>
      </c>
      <c r="G1494">
        <v>-256.91680000000002</v>
      </c>
      <c r="H1494" s="1">
        <v>2.1439739999999998E-6</v>
      </c>
      <c r="I1494">
        <v>284.71140000000003</v>
      </c>
      <c r="J1494">
        <v>-203.709</v>
      </c>
      <c r="K1494">
        <v>1.1094219999999999</v>
      </c>
      <c r="L1494">
        <v>285.56439999999998</v>
      </c>
      <c r="M1494">
        <v>-0.8507034</v>
      </c>
      <c r="N1494">
        <v>-1.6339159999999998E-2</v>
      </c>
      <c r="O1494">
        <v>-0.52539209999999903</v>
      </c>
      <c r="P1494">
        <v>-0.92044870000000001</v>
      </c>
      <c r="Q1494">
        <v>0.18040870000000001</v>
      </c>
      <c r="R1494">
        <v>-0.34673720000000002</v>
      </c>
      <c r="S1494">
        <v>-3.2700499999999999</v>
      </c>
      <c r="T1494">
        <v>-6.7881940000000002E-2</v>
      </c>
      <c r="U1494">
        <v>-6.0180659999999997E-2</v>
      </c>
      <c r="V1494">
        <v>0.19429569999999999</v>
      </c>
      <c r="W1494">
        <v>0.1905676</v>
      </c>
      <c r="X1494">
        <v>0.96225419999999995</v>
      </c>
      <c r="Y1494">
        <v>0.5095326</v>
      </c>
      <c r="Z1494">
        <v>1.096316E-2</v>
      </c>
      <c r="AA1494">
        <v>0.86038150000000002</v>
      </c>
      <c r="AB1494">
        <v>26</v>
      </c>
      <c r="AC1494">
        <v>-53.207799999999999</v>
      </c>
      <c r="AD1494">
        <v>-1.109419856026</v>
      </c>
      <c r="AE1494">
        <v>-0.85299999999995102</v>
      </c>
      <c r="AF1494">
        <v>27.2211104177963</v>
      </c>
      <c r="AG1494">
        <v>-1.109419856026</v>
      </c>
      <c r="AH1494">
        <v>45.698454203391897</v>
      </c>
      <c r="AI1494">
        <v>91.194849538848501</v>
      </c>
      <c r="AJ1494">
        <v>59.219092890726301</v>
      </c>
      <c r="AK1494">
        <v>53.203086201594601</v>
      </c>
      <c r="AL1494">
        <v>79.014089327979093</v>
      </c>
      <c r="AM1494">
        <v>78.584482505866703</v>
      </c>
      <c r="AN1494">
        <v>0.99999998731294404</v>
      </c>
    </row>
    <row r="1495" spans="1:40" x14ac:dyDescent="0.25">
      <c r="A1495" t="str">
        <f>"20190303170526482"</f>
        <v>20190303170526482</v>
      </c>
      <c r="B1495" t="str">
        <f>"1551603926475945"</f>
        <v>1551603926475945</v>
      </c>
      <c r="C1495" t="s">
        <v>40</v>
      </c>
      <c r="D1495">
        <v>5.5694939999999997</v>
      </c>
      <c r="E1495">
        <v>0.64398999999999995</v>
      </c>
      <c r="F1495" t="s">
        <v>60</v>
      </c>
      <c r="G1495">
        <v>-260.25700000000001</v>
      </c>
      <c r="H1495" s="1">
        <v>-1.4000060000000001E-6</v>
      </c>
      <c r="I1495">
        <v>285.3304</v>
      </c>
      <c r="J1495">
        <v>-203.94659999999999</v>
      </c>
      <c r="K1495">
        <v>1.1093999999999999</v>
      </c>
      <c r="L1495">
        <v>285.43880000000001</v>
      </c>
      <c r="M1495">
        <v>-0.85952099999999898</v>
      </c>
      <c r="N1495">
        <v>-1.636754E-2</v>
      </c>
      <c r="O1495">
        <v>-0.51083829999999997</v>
      </c>
      <c r="P1495">
        <v>-0.92620709999999995</v>
      </c>
      <c r="Q1495">
        <v>0.18032570000000001</v>
      </c>
      <c r="R1495">
        <v>-0.33109420000000001</v>
      </c>
      <c r="S1495">
        <v>-3.2667540000000002</v>
      </c>
      <c r="T1495">
        <v>-6.4090850000000005E-2</v>
      </c>
      <c r="U1495">
        <v>-1.351929E-2</v>
      </c>
      <c r="V1495">
        <v>0.19423869999999999</v>
      </c>
      <c r="W1495">
        <v>0.19050349999999999</v>
      </c>
      <c r="X1495">
        <v>0.96227839999999998</v>
      </c>
      <c r="Y1495">
        <v>0.50717659999999998</v>
      </c>
      <c r="Z1495">
        <v>1.008742E-2</v>
      </c>
      <c r="AA1495">
        <v>0.86178310000000002</v>
      </c>
      <c r="AB1495">
        <v>26</v>
      </c>
      <c r="AC1495">
        <v>-56.310400000000001</v>
      </c>
      <c r="AD1495">
        <v>-1.109401400006</v>
      </c>
      <c r="AE1495">
        <v>-0.108400000000017</v>
      </c>
      <c r="AF1495">
        <v>28.665051788365702</v>
      </c>
      <c r="AG1495">
        <v>-1.109401400006</v>
      </c>
      <c r="AH1495">
        <v>48.4430345270071</v>
      </c>
      <c r="AI1495">
        <v>91.129104761247206</v>
      </c>
      <c r="AJ1495">
        <v>59.386050906346902</v>
      </c>
      <c r="AK1495">
        <v>56.299587562262197</v>
      </c>
      <c r="AL1495">
        <v>79.017830528290204</v>
      </c>
      <c r="AM1495">
        <v>78.588023029598403</v>
      </c>
      <c r="AN1495">
        <v>0.99999998759824904</v>
      </c>
    </row>
    <row r="1496" spans="1:40" x14ac:dyDescent="0.25">
      <c r="A1496" t="str">
        <f>"20190303170526507"</f>
        <v>20190303170526507</v>
      </c>
      <c r="B1496" t="str">
        <f>"1551603926496442"</f>
        <v>1551603926496442</v>
      </c>
      <c r="C1496" t="s">
        <v>40</v>
      </c>
      <c r="D1496">
        <v>5.5711550000000001</v>
      </c>
      <c r="E1496">
        <v>0.64339399999999902</v>
      </c>
      <c r="F1496" t="s">
        <v>60</v>
      </c>
      <c r="G1496">
        <v>-265.73020000000002</v>
      </c>
      <c r="H1496" s="1">
        <v>1.5125229999999999E-6</v>
      </c>
      <c r="I1496">
        <v>285.9812</v>
      </c>
      <c r="J1496">
        <v>-204.1978</v>
      </c>
      <c r="K1496">
        <v>1.10938799999999</v>
      </c>
      <c r="L1496">
        <v>285.31209999999999</v>
      </c>
      <c r="M1496">
        <v>-0.86851239999999996</v>
      </c>
      <c r="N1496">
        <v>-1.6391449999999998E-2</v>
      </c>
      <c r="O1496">
        <v>-0.49539630000000001</v>
      </c>
      <c r="P1496">
        <v>-0.93239459999999996</v>
      </c>
      <c r="Q1496">
        <v>0.179234</v>
      </c>
      <c r="R1496">
        <v>-0.31387189999999998</v>
      </c>
      <c r="S1496">
        <v>-3.2606510000000002</v>
      </c>
      <c r="T1496">
        <v>-5.8548929999999999E-2</v>
      </c>
      <c r="U1496">
        <v>2.862549E-2</v>
      </c>
      <c r="V1496">
        <v>0.19495480000000001</v>
      </c>
      <c r="W1496">
        <v>0.18941079999999999</v>
      </c>
      <c r="X1496">
        <v>0.96234929999999996</v>
      </c>
      <c r="Y1496">
        <v>0.5029245</v>
      </c>
      <c r="Z1496">
        <v>8.8227759999999992E-3</v>
      </c>
      <c r="AA1496">
        <v>0.86428530000000003</v>
      </c>
      <c r="AB1496">
        <v>26</v>
      </c>
      <c r="AC1496">
        <v>-61.532400000000003</v>
      </c>
      <c r="AD1496">
        <v>-1.1093864874770001</v>
      </c>
      <c r="AE1496">
        <v>0.66910000000001402</v>
      </c>
      <c r="AF1496">
        <v>31.058125063910399</v>
      </c>
      <c r="AG1496">
        <v>-1.1093864874770001</v>
      </c>
      <c r="AH1496">
        <v>53.100061533314999</v>
      </c>
      <c r="AI1496">
        <v>91.033165820721095</v>
      </c>
      <c r="AJ1496">
        <v>59.676715925719002</v>
      </c>
      <c r="AK1496">
        <v>61.526046563272203</v>
      </c>
      <c r="AL1496">
        <v>79.081598836771505</v>
      </c>
      <c r="AM1496">
        <v>78.547881809734506</v>
      </c>
      <c r="AN1496">
        <v>1.00000000020508</v>
      </c>
    </row>
    <row r="1497" spans="1:40" x14ac:dyDescent="0.25">
      <c r="A1497" t="str">
        <f>"20190303170526529"</f>
        <v>20190303170526529</v>
      </c>
      <c r="B1497" t="str">
        <f>"1551603926515961"</f>
        <v>1551603926515961</v>
      </c>
      <c r="C1497" t="s">
        <v>40</v>
      </c>
      <c r="D1497">
        <v>5.5933970000000004</v>
      </c>
      <c r="E1497">
        <v>0.62724559999999996</v>
      </c>
      <c r="F1497" t="s">
        <v>60</v>
      </c>
      <c r="G1497">
        <v>-264.55880000000002</v>
      </c>
      <c r="H1497" s="1">
        <v>8.8918059999999897E-7</v>
      </c>
      <c r="I1497">
        <v>286.89870000000002</v>
      </c>
      <c r="J1497">
        <v>-204.44309999999999</v>
      </c>
      <c r="K1497">
        <v>1.10938799999999</v>
      </c>
      <c r="L1497">
        <v>285.19380000000001</v>
      </c>
      <c r="M1497">
        <v>-0.87697639999999999</v>
      </c>
      <c r="N1497">
        <v>-1.6409429999999999E-2</v>
      </c>
      <c r="O1497">
        <v>-0.4802534</v>
      </c>
      <c r="P1497">
        <v>-0.93801730000000005</v>
      </c>
      <c r="Q1497">
        <v>0.1790167</v>
      </c>
      <c r="R1497">
        <v>-0.29677690000000001</v>
      </c>
      <c r="S1497">
        <v>-3.2578580000000001</v>
      </c>
      <c r="T1497">
        <v>-5.9876800000000001E-2</v>
      </c>
      <c r="U1497">
        <v>8.5632319999999998E-2</v>
      </c>
      <c r="V1497">
        <v>0.19586290000000001</v>
      </c>
      <c r="W1497">
        <v>0.18918370000000001</v>
      </c>
      <c r="X1497">
        <v>0.9622096</v>
      </c>
      <c r="Y1497">
        <v>0.50304729999999998</v>
      </c>
      <c r="Z1497">
        <v>9.1746599999999994E-3</v>
      </c>
      <c r="AA1497">
        <v>0.86421019999999904</v>
      </c>
      <c r="AB1497">
        <v>26</v>
      </c>
      <c r="AC1497">
        <v>-60.115699999999997</v>
      </c>
      <c r="AD1497">
        <v>-1.10938711081939</v>
      </c>
      <c r="AE1497">
        <v>1.7049000000000001</v>
      </c>
      <c r="AF1497">
        <v>30.359681513702999</v>
      </c>
      <c r="AG1497">
        <v>-1.10938711081939</v>
      </c>
      <c r="AH1497">
        <v>51.8905924536977</v>
      </c>
      <c r="AI1497">
        <v>91.057162447342705</v>
      </c>
      <c r="AJ1497">
        <v>59.669334613260297</v>
      </c>
      <c r="AK1497">
        <v>60.129648149402001</v>
      </c>
      <c r="AL1497">
        <v>79.094850638443106</v>
      </c>
      <c r="AM1497">
        <v>78.494331115650894</v>
      </c>
      <c r="AN1497">
        <v>1.00000003113712</v>
      </c>
    </row>
    <row r="1498" spans="1:40" x14ac:dyDescent="0.25">
      <c r="A1498" t="str">
        <f>"20190303170526550"</f>
        <v>20190303170526550</v>
      </c>
      <c r="B1498" t="str">
        <f>"1551603926536457"</f>
        <v>1551603926536457</v>
      </c>
      <c r="C1498" t="s">
        <v>40</v>
      </c>
      <c r="D1498">
        <v>5.6112229999999998</v>
      </c>
      <c r="E1498">
        <v>0.62480159999999996</v>
      </c>
      <c r="F1498" t="s">
        <v>60</v>
      </c>
      <c r="G1498">
        <v>-267.4126</v>
      </c>
      <c r="H1498" s="1">
        <v>2.4078390000000001E-6</v>
      </c>
      <c r="I1498">
        <v>285.59769999999997</v>
      </c>
      <c r="J1498">
        <v>-204.6695</v>
      </c>
      <c r="K1498">
        <v>1.1094029999999999</v>
      </c>
      <c r="L1498">
        <v>285.08909999999997</v>
      </c>
      <c r="M1498">
        <v>-0.88450609999999996</v>
      </c>
      <c r="N1498">
        <v>-1.6422180000000001E-2</v>
      </c>
      <c r="O1498">
        <v>-0.46623969999999998</v>
      </c>
      <c r="P1498">
        <v>-0.94282049999999995</v>
      </c>
      <c r="Q1498">
        <v>0.1805417</v>
      </c>
      <c r="R1498">
        <v>-0.2801691</v>
      </c>
      <c r="S1498">
        <v>-3.215576</v>
      </c>
      <c r="T1498">
        <v>-5.6651470000000002E-2</v>
      </c>
      <c r="U1498">
        <v>2.062988E-2</v>
      </c>
      <c r="V1498">
        <v>0.19745080000000001</v>
      </c>
      <c r="W1498">
        <v>0.1906716</v>
      </c>
      <c r="X1498">
        <v>0.96159119999999998</v>
      </c>
      <c r="Y1498">
        <v>0.47183510000000001</v>
      </c>
      <c r="Z1498">
        <v>8.1076559999999995E-3</v>
      </c>
      <c r="AA1498">
        <v>0.88164949999999997</v>
      </c>
      <c r="AB1498">
        <v>26</v>
      </c>
      <c r="AC1498">
        <v>-62.743099999999998</v>
      </c>
      <c r="AD1498">
        <v>-1.109400592161</v>
      </c>
      <c r="AE1498">
        <v>0.50860000000000105</v>
      </c>
      <c r="AF1498">
        <v>29.697903105890202</v>
      </c>
      <c r="AG1498">
        <v>-1.109400592161</v>
      </c>
      <c r="AH1498">
        <v>55.249700787812998</v>
      </c>
      <c r="AI1498">
        <v>91.013260830920999</v>
      </c>
      <c r="AJ1498">
        <v>61.741013797901701</v>
      </c>
      <c r="AK1498">
        <v>62.735362083147301</v>
      </c>
      <c r="AL1498">
        <v>79.008020038159003</v>
      </c>
      <c r="AM1498">
        <v>78.396313730151306</v>
      </c>
      <c r="AN1498">
        <v>1.00000005669231</v>
      </c>
    </row>
    <row r="1499" spans="1:40" x14ac:dyDescent="0.25">
      <c r="A1499" t="str">
        <f>"20190303170526571"</f>
        <v>20190303170526571</v>
      </c>
      <c r="B1499" t="str">
        <f>"1551603926555977"</f>
        <v>1551603926555977</v>
      </c>
      <c r="C1499" t="s">
        <v>40</v>
      </c>
      <c r="D1499">
        <v>5.6608609999999997</v>
      </c>
      <c r="E1499">
        <v>0.6237876</v>
      </c>
      <c r="F1499" t="s">
        <v>60</v>
      </c>
      <c r="G1499">
        <v>-266.57420000000002</v>
      </c>
      <c r="H1499" s="1">
        <v>1.961699E-6</v>
      </c>
      <c r="I1499">
        <v>286.185</v>
      </c>
      <c r="J1499">
        <v>-204.90129999999999</v>
      </c>
      <c r="K1499">
        <v>1.109434</v>
      </c>
      <c r="L1499">
        <v>284.98649999999998</v>
      </c>
      <c r="M1499">
        <v>-0.89193929999999999</v>
      </c>
      <c r="N1499">
        <v>-1.6431939999999999E-2</v>
      </c>
      <c r="O1499">
        <v>-0.45185639999999999</v>
      </c>
      <c r="P1499">
        <v>-0.9469495</v>
      </c>
      <c r="Q1499">
        <v>0.18158949999999999</v>
      </c>
      <c r="R1499">
        <v>-0.2651636</v>
      </c>
      <c r="S1499">
        <v>-3.209854</v>
      </c>
      <c r="T1499">
        <v>-5.752409E-2</v>
      </c>
      <c r="U1499">
        <v>5.6823730000000003E-2</v>
      </c>
      <c r="V1499">
        <v>0.1970789</v>
      </c>
      <c r="W1499">
        <v>0.1917471</v>
      </c>
      <c r="X1499">
        <v>0.96145360000000002</v>
      </c>
      <c r="Y1499">
        <v>0.46750009999999997</v>
      </c>
      <c r="Z1499">
        <v>8.2750040000000007E-3</v>
      </c>
      <c r="AA1499">
        <v>0.88395429999999997</v>
      </c>
      <c r="AB1499">
        <v>26</v>
      </c>
      <c r="AC1499">
        <v>-61.672899999999998</v>
      </c>
      <c r="AD1499">
        <v>-1.1094320383009999</v>
      </c>
      <c r="AE1499">
        <v>1.1985000000000201</v>
      </c>
      <c r="AF1499">
        <v>28.930833581047299</v>
      </c>
      <c r="AG1499">
        <v>-1.1094320383009999</v>
      </c>
      <c r="AH1499">
        <v>54.456674338549497</v>
      </c>
      <c r="AI1499">
        <v>91.030719722995698</v>
      </c>
      <c r="AJ1499">
        <v>62.0199304358134</v>
      </c>
      <c r="AK1499">
        <v>61.674576213839501</v>
      </c>
      <c r="AL1499">
        <v>78.945239838878905</v>
      </c>
      <c r="AM1499">
        <v>78.415965412243494</v>
      </c>
      <c r="AN1499">
        <v>1.00000003406828</v>
      </c>
    </row>
    <row r="1500" spans="1:40" x14ac:dyDescent="0.25">
      <c r="A1500" t="str">
        <f>"20190303170526594"</f>
        <v>20190303170526594</v>
      </c>
      <c r="B1500" t="str">
        <f>"1551603926586233"</f>
        <v>1551603926586233</v>
      </c>
      <c r="C1500" t="s">
        <v>40</v>
      </c>
      <c r="D1500">
        <v>5.6235059999999999</v>
      </c>
      <c r="E1500">
        <v>0.61201939999999999</v>
      </c>
      <c r="F1500" t="s">
        <v>60</v>
      </c>
      <c r="G1500">
        <v>-263.19159999999999</v>
      </c>
      <c r="H1500" s="1">
        <v>1.6162979999999901E-7</v>
      </c>
      <c r="I1500">
        <v>286.79160000000002</v>
      </c>
      <c r="J1500">
        <v>-205.15860000000001</v>
      </c>
      <c r="K1500">
        <v>1.1094539999999999</v>
      </c>
      <c r="L1500">
        <v>284.8777</v>
      </c>
      <c r="M1500">
        <v>-0.8998678</v>
      </c>
      <c r="N1500">
        <v>-1.6439459999999999E-2</v>
      </c>
      <c r="O1500">
        <v>-0.43585289999999999</v>
      </c>
      <c r="P1500">
        <v>-0.95139620000000003</v>
      </c>
      <c r="Q1500">
        <v>0.1816229</v>
      </c>
      <c r="R1500">
        <v>-0.24871380000000001</v>
      </c>
      <c r="S1500">
        <v>-3.2075960000000001</v>
      </c>
      <c r="T1500">
        <v>-6.1049819999999998E-2</v>
      </c>
      <c r="U1500">
        <v>9.9334720000000001E-2</v>
      </c>
      <c r="V1500">
        <v>0.19655139999999999</v>
      </c>
      <c r="W1500">
        <v>0.19181690000000001</v>
      </c>
      <c r="X1500">
        <v>0.96154759999999995</v>
      </c>
      <c r="Y1500">
        <v>0.46341130000000003</v>
      </c>
      <c r="Z1500">
        <v>8.9676730000000007E-3</v>
      </c>
      <c r="AA1500">
        <v>0.88609789999999899</v>
      </c>
      <c r="AB1500">
        <v>26</v>
      </c>
      <c r="AC1500">
        <v>-58.032999999999902</v>
      </c>
      <c r="AD1500">
        <v>-1.1094538383702</v>
      </c>
      <c r="AE1500">
        <v>1.9139000000000099</v>
      </c>
      <c r="AF1500">
        <v>27.009897875562899</v>
      </c>
      <c r="AG1500">
        <v>-1.1094538383702</v>
      </c>
      <c r="AH1500">
        <v>51.376036153152597</v>
      </c>
      <c r="AI1500">
        <v>91.095031066419693</v>
      </c>
      <c r="AJ1500">
        <v>62.267770851376397</v>
      </c>
      <c r="AK1500">
        <v>58.053962499366598</v>
      </c>
      <c r="AL1500">
        <v>78.941164365272101</v>
      </c>
      <c r="AM1500">
        <v>78.447235480748205</v>
      </c>
      <c r="AN1500">
        <v>0.99999998151666403</v>
      </c>
    </row>
    <row r="1501" spans="1:40" x14ac:dyDescent="0.25">
      <c r="A1501" t="str">
        <f>"20190303170526616"</f>
        <v>20190303170526616</v>
      </c>
      <c r="B1501" t="str">
        <f>"1551603926605756"</f>
        <v>1551603926605756</v>
      </c>
      <c r="C1501" t="s">
        <v>40</v>
      </c>
      <c r="D1501">
        <v>5.6490080000000003</v>
      </c>
      <c r="E1501">
        <v>0.60993050000000004</v>
      </c>
      <c r="F1501" t="s">
        <v>60</v>
      </c>
      <c r="G1501">
        <v>-251.31200000000001</v>
      </c>
      <c r="H1501" s="1">
        <v>-8.3862240000000005E-7</v>
      </c>
      <c r="I1501">
        <v>285.80340000000001</v>
      </c>
      <c r="J1501">
        <v>-205.39879999999999</v>
      </c>
      <c r="K1501">
        <v>1.1094759999999999</v>
      </c>
      <c r="L1501">
        <v>284.78109999999998</v>
      </c>
      <c r="M1501">
        <v>-0.90696080000000001</v>
      </c>
      <c r="N1501">
        <v>-1.6443900000000001E-2</v>
      </c>
      <c r="O1501">
        <v>-0.4208942</v>
      </c>
      <c r="P1501">
        <v>-0.95562959999999997</v>
      </c>
      <c r="Q1501">
        <v>0.1804994</v>
      </c>
      <c r="R1501">
        <v>-0.23279250000000001</v>
      </c>
      <c r="S1501">
        <v>-3.1845699999999999</v>
      </c>
      <c r="T1501">
        <v>-7.6552149999999999E-2</v>
      </c>
      <c r="U1501">
        <v>6.3873289999999999E-2</v>
      </c>
      <c r="V1501">
        <v>0.19673199999999999</v>
      </c>
      <c r="W1501">
        <v>0.19070799999999999</v>
      </c>
      <c r="X1501">
        <v>0.96173129999999996</v>
      </c>
      <c r="Y1501">
        <v>0.43884069999999997</v>
      </c>
      <c r="Z1501">
        <v>1.1680360000000001E-2</v>
      </c>
      <c r="AA1501">
        <v>0.89848890000000003</v>
      </c>
      <c r="AB1501">
        <v>26</v>
      </c>
      <c r="AC1501">
        <v>-45.913200000000003</v>
      </c>
      <c r="AD1501">
        <v>-1.1094768386223901</v>
      </c>
      <c r="AE1501">
        <v>1.02230000000002</v>
      </c>
      <c r="AF1501">
        <v>20.242707491811899</v>
      </c>
      <c r="AG1501">
        <v>-1.1094768386223901</v>
      </c>
      <c r="AH1501">
        <v>41.192719026846603</v>
      </c>
      <c r="AI1501">
        <v>91.384728119972294</v>
      </c>
      <c r="AJ1501">
        <v>63.829819983058997</v>
      </c>
      <c r="AK1501">
        <v>45.9111995735162</v>
      </c>
      <c r="AL1501">
        <v>79.005895493268298</v>
      </c>
      <c r="AM1501">
        <v>78.439055257502204</v>
      </c>
      <c r="AN1501">
        <v>1.0000000572438399</v>
      </c>
    </row>
    <row r="1502" spans="1:40" x14ac:dyDescent="0.25">
      <c r="A1502" t="str">
        <f>"20190303170526637"</f>
        <v>20190303170526637</v>
      </c>
      <c r="B1502" t="str">
        <f>"1551603926626249"</f>
        <v>1551603926626249</v>
      </c>
      <c r="C1502" t="s">
        <v>40</v>
      </c>
      <c r="D1502">
        <v>5.680822</v>
      </c>
      <c r="E1502">
        <v>0.60840439999999996</v>
      </c>
      <c r="F1502" t="s">
        <v>60</v>
      </c>
      <c r="G1502">
        <v>-247.4948</v>
      </c>
      <c r="H1502" s="1">
        <v>2.4515499999999998E-6</v>
      </c>
      <c r="I1502">
        <v>286.1035</v>
      </c>
      <c r="J1502">
        <v>-205.63050000000001</v>
      </c>
      <c r="K1502">
        <v>1.109507</v>
      </c>
      <c r="L1502">
        <v>284.69220000000001</v>
      </c>
      <c r="M1502">
        <v>-0.91353079999999998</v>
      </c>
      <c r="N1502">
        <v>-1.6446160000000001E-2</v>
      </c>
      <c r="O1502">
        <v>-0.4064371</v>
      </c>
      <c r="P1502">
        <v>-0.95909880000000003</v>
      </c>
      <c r="Q1502">
        <v>0.18042710000000001</v>
      </c>
      <c r="R1502">
        <v>-0.2181189</v>
      </c>
      <c r="S1502">
        <v>-3.179459</v>
      </c>
      <c r="T1502">
        <v>-8.3797220000000006E-2</v>
      </c>
      <c r="U1502">
        <v>9.9884029999999999E-2</v>
      </c>
      <c r="V1502">
        <v>0.19618640000000001</v>
      </c>
      <c r="W1502">
        <v>0.1906697</v>
      </c>
      <c r="X1502">
        <v>0.96185030000000005</v>
      </c>
      <c r="Y1502">
        <v>0.43472559999999899</v>
      </c>
      <c r="Z1502">
        <v>1.296345E-2</v>
      </c>
      <c r="AA1502">
        <v>0.90046970000000004</v>
      </c>
      <c r="AB1502">
        <v>26</v>
      </c>
      <c r="AC1502">
        <v>-41.864299999999901</v>
      </c>
      <c r="AD1502">
        <v>-1.1095045484499999</v>
      </c>
      <c r="AE1502">
        <v>1.41129999999998</v>
      </c>
      <c r="AF1502">
        <v>18.294110831496798</v>
      </c>
      <c r="AG1502">
        <v>-1.1095045484499999</v>
      </c>
      <c r="AH1502">
        <v>37.649402105387402</v>
      </c>
      <c r="AI1502">
        <v>91.518322954978203</v>
      </c>
      <c r="AJ1502">
        <v>64.084555210030302</v>
      </c>
      <c r="AK1502">
        <v>41.873416033938199</v>
      </c>
      <c r="AL1502">
        <v>79.0081305132354</v>
      </c>
      <c r="AM1502">
        <v>78.471645960959094</v>
      </c>
      <c r="AN1502">
        <v>1.0000000188265601</v>
      </c>
    </row>
    <row r="1503" spans="1:40" x14ac:dyDescent="0.25">
      <c r="A1503" t="str">
        <f>"20190303170526660"</f>
        <v>20190303170526660</v>
      </c>
      <c r="B1503" t="str">
        <f>"1551603926645769"</f>
        <v>1551603926645769</v>
      </c>
      <c r="C1503" t="s">
        <v>40</v>
      </c>
      <c r="D1503">
        <v>5.6806320000000001</v>
      </c>
      <c r="E1503">
        <v>0.60607519999999904</v>
      </c>
      <c r="F1503" t="s">
        <v>60</v>
      </c>
      <c r="G1503">
        <v>-244.93559999999999</v>
      </c>
      <c r="H1503" s="1">
        <v>1.0896900000000001E-6</v>
      </c>
      <c r="I1503">
        <v>286.35809999999998</v>
      </c>
      <c r="J1503">
        <v>-205.88480000000001</v>
      </c>
      <c r="K1503">
        <v>1.109545</v>
      </c>
      <c r="L1503">
        <v>284.5994</v>
      </c>
      <c r="M1503">
        <v>-0.92043470000000005</v>
      </c>
      <c r="N1503">
        <v>-1.644667E-2</v>
      </c>
      <c r="O1503">
        <v>-0.39055050000000002</v>
      </c>
      <c r="P1503">
        <v>-0.96232189999999995</v>
      </c>
      <c r="Q1503">
        <v>0.18021499999999999</v>
      </c>
      <c r="R1503">
        <v>-0.20361580000000001</v>
      </c>
      <c r="S1503">
        <v>-3.1754150000000001</v>
      </c>
      <c r="T1503">
        <v>-8.9635729999999997E-2</v>
      </c>
      <c r="U1503">
        <v>0.13458249999999999</v>
      </c>
      <c r="V1503">
        <v>0.1940308</v>
      </c>
      <c r="W1503">
        <v>0.19054280000000001</v>
      </c>
      <c r="X1503">
        <v>0.96231259999999996</v>
      </c>
      <c r="Y1503">
        <v>0.42894650000000001</v>
      </c>
      <c r="Z1503">
        <v>1.3853000000000001E-2</v>
      </c>
      <c r="AA1503">
        <v>0.90322360000000002</v>
      </c>
      <c r="AB1503">
        <v>26</v>
      </c>
      <c r="AC1503">
        <v>-39.050799999999903</v>
      </c>
      <c r="AD1503">
        <v>-1.10954391031</v>
      </c>
      <c r="AE1503">
        <v>1.75869999999997</v>
      </c>
      <c r="AF1503">
        <v>16.858775814062099</v>
      </c>
      <c r="AG1503">
        <v>-1.10954391031</v>
      </c>
      <c r="AH1503">
        <v>35.233229788176203</v>
      </c>
      <c r="AI1503">
        <v>91.627159698831093</v>
      </c>
      <c r="AJ1503">
        <v>64.429314796628503</v>
      </c>
      <c r="AK1503">
        <v>39.074670708070499</v>
      </c>
      <c r="AL1503">
        <v>79.015537205521198</v>
      </c>
      <c r="AM1503">
        <v>78.600312189067907</v>
      </c>
      <c r="AN1503">
        <v>1.0000000250496099</v>
      </c>
    </row>
    <row r="1504" spans="1:40" x14ac:dyDescent="0.25">
      <c r="A1504" t="str">
        <f>"20190303170526683"</f>
        <v>20190303170526683</v>
      </c>
      <c r="B1504" t="str">
        <f>"1551603926676026"</f>
        <v>1551603926676026</v>
      </c>
      <c r="C1504" t="s">
        <v>40</v>
      </c>
      <c r="D1504">
        <v>5.6882129999999904</v>
      </c>
      <c r="E1504">
        <v>0.59537709999999999</v>
      </c>
      <c r="F1504" t="s">
        <v>60</v>
      </c>
      <c r="G1504">
        <v>-244.4555</v>
      </c>
      <c r="H1504" s="1">
        <v>8.3422339999999996E-7</v>
      </c>
      <c r="I1504">
        <v>286.60309999999998</v>
      </c>
      <c r="J1504">
        <v>-206.1472</v>
      </c>
      <c r="K1504">
        <v>1.109577</v>
      </c>
      <c r="L1504">
        <v>284.50880000000001</v>
      </c>
      <c r="M1504">
        <v>-0.92723129999999998</v>
      </c>
      <c r="N1504">
        <v>-1.6445370000000001E-2</v>
      </c>
      <c r="O1504">
        <v>-0.37412800000000002</v>
      </c>
      <c r="P1504">
        <v>-0.96548239999999996</v>
      </c>
      <c r="Q1504">
        <v>0.18035760000000001</v>
      </c>
      <c r="R1504">
        <v>-0.18792300000000001</v>
      </c>
      <c r="S1504">
        <v>-3.1693880000000001</v>
      </c>
      <c r="T1504">
        <v>-9.117198E-2</v>
      </c>
      <c r="U1504">
        <v>0.16464229999999899</v>
      </c>
      <c r="V1504">
        <v>0.19256429999999999</v>
      </c>
      <c r="W1504">
        <v>0.19074740000000001</v>
      </c>
      <c r="X1504">
        <v>0.96256660000000005</v>
      </c>
      <c r="Y1504">
        <v>0.4214908</v>
      </c>
      <c r="Z1504">
        <v>1.3853519999999999E-2</v>
      </c>
      <c r="AA1504">
        <v>0.90672680000000005</v>
      </c>
      <c r="AB1504">
        <v>26</v>
      </c>
      <c r="AC1504">
        <v>-38.308300000000003</v>
      </c>
      <c r="AD1504">
        <v>-1.1095761657765999</v>
      </c>
      <c r="AE1504">
        <v>2.0942999999999699</v>
      </c>
      <c r="AF1504">
        <v>16.2627058178685</v>
      </c>
      <c r="AG1504">
        <v>-1.1095761657765999</v>
      </c>
      <c r="AH1504">
        <v>34.712780185977103</v>
      </c>
      <c r="AI1504">
        <v>91.657985391906095</v>
      </c>
      <c r="AJ1504">
        <v>64.897223415400902</v>
      </c>
      <c r="AK1504">
        <v>38.349496320371102</v>
      </c>
      <c r="AL1504">
        <v>79.003595408180104</v>
      </c>
      <c r="AM1504">
        <v>78.687149736779403</v>
      </c>
      <c r="AN1504">
        <v>1.0000000198384</v>
      </c>
    </row>
    <row r="1505" spans="1:40" x14ac:dyDescent="0.25">
      <c r="A1505" t="str">
        <f>"20190303170526707"</f>
        <v>20190303170526707</v>
      </c>
      <c r="B1505" t="str">
        <f>"1551603926696521"</f>
        <v>1551603926696521</v>
      </c>
      <c r="C1505" t="s">
        <v>40</v>
      </c>
      <c r="D1505">
        <v>5.6943239999999999</v>
      </c>
      <c r="E1505">
        <v>0.59323389999999998</v>
      </c>
      <c r="F1505" t="s">
        <v>60</v>
      </c>
      <c r="G1505">
        <v>-240.47730000000001</v>
      </c>
      <c r="H1505" s="1">
        <v>-1.282769E-6</v>
      </c>
      <c r="I1505">
        <v>285.9556</v>
      </c>
      <c r="J1505">
        <v>-206.40440000000001</v>
      </c>
      <c r="K1505">
        <v>1.109612</v>
      </c>
      <c r="L1505">
        <v>284.4255</v>
      </c>
      <c r="M1505">
        <v>-0.93356950000000005</v>
      </c>
      <c r="N1505">
        <v>-1.6442479999999999E-2</v>
      </c>
      <c r="O1505">
        <v>-0.35801939999999999</v>
      </c>
      <c r="P1505">
        <v>-0.96864810000000001</v>
      </c>
      <c r="Q1505">
        <v>0.18035470000000001</v>
      </c>
      <c r="R1505">
        <v>-0.17086100000000001</v>
      </c>
      <c r="S1505">
        <v>-3.1521150000000002</v>
      </c>
      <c r="T1505">
        <v>-0.10187889999999999</v>
      </c>
      <c r="U1505">
        <v>0.13284299999999999</v>
      </c>
      <c r="V1505">
        <v>0.1928657</v>
      </c>
      <c r="W1505">
        <v>0.19074830000000001</v>
      </c>
      <c r="X1505">
        <v>0.96250610000000003</v>
      </c>
      <c r="Y1505">
        <v>0.39671699999999999</v>
      </c>
      <c r="Z1505">
        <v>1.508436E-2</v>
      </c>
      <c r="AA1505">
        <v>0.91781710000000005</v>
      </c>
      <c r="AB1505">
        <v>26</v>
      </c>
      <c r="AC1505">
        <v>-34.072899999999997</v>
      </c>
      <c r="AD1505">
        <v>-1.109613282769</v>
      </c>
      <c r="AE1505">
        <v>1.5301</v>
      </c>
      <c r="AF1505">
        <v>13.614644868389</v>
      </c>
      <c r="AG1505">
        <v>-1.109613282769</v>
      </c>
      <c r="AH1505">
        <v>31.232780634853601</v>
      </c>
      <c r="AI1505">
        <v>91.8653213545211</v>
      </c>
      <c r="AJ1505">
        <v>66.447187725956098</v>
      </c>
      <c r="AK1505">
        <v>34.089241451146101</v>
      </c>
      <c r="AL1505">
        <v>79.003543128247401</v>
      </c>
      <c r="AM1505">
        <v>78.6692068748347</v>
      </c>
      <c r="AN1505">
        <v>1.00000004236329</v>
      </c>
    </row>
    <row r="1506" spans="1:40" x14ac:dyDescent="0.25">
      <c r="A1506" t="str">
        <f>"20190303170526728"</f>
        <v>20190303170526728</v>
      </c>
      <c r="B1506" t="str">
        <f>"1551603926716041"</f>
        <v>1551603926716041</v>
      </c>
      <c r="C1506" t="s">
        <v>40</v>
      </c>
      <c r="D1506">
        <v>5.6959400000000002</v>
      </c>
      <c r="E1506">
        <v>0.58555690000000005</v>
      </c>
      <c r="F1506" t="s">
        <v>60</v>
      </c>
      <c r="G1506">
        <v>-239.0872</v>
      </c>
      <c r="H1506" s="1">
        <v>3.2301109999999999E-6</v>
      </c>
      <c r="I1506">
        <v>286.1918</v>
      </c>
      <c r="J1506">
        <v>-206.65270000000001</v>
      </c>
      <c r="K1506">
        <v>1.1096490000000001</v>
      </c>
      <c r="L1506">
        <v>284.34960000000001</v>
      </c>
      <c r="M1506">
        <v>-0.93939430000000002</v>
      </c>
      <c r="N1506">
        <v>-1.6438680000000001E-2</v>
      </c>
      <c r="O1506">
        <v>-0.34244439999999998</v>
      </c>
      <c r="P1506">
        <v>-0.97118669999999996</v>
      </c>
      <c r="Q1506">
        <v>0.18113499999999999</v>
      </c>
      <c r="R1506">
        <v>-0.15487590000000001</v>
      </c>
      <c r="S1506">
        <v>-3.1469879999999999</v>
      </c>
      <c r="T1506">
        <v>-0.1068429</v>
      </c>
      <c r="U1506">
        <v>0.17007449999999999</v>
      </c>
      <c r="V1506">
        <v>0.19267500000000001</v>
      </c>
      <c r="W1506">
        <v>0.19154489999999999</v>
      </c>
      <c r="X1506">
        <v>0.96238599999999996</v>
      </c>
      <c r="Y1506">
        <v>0.39231379999999999</v>
      </c>
      <c r="Z1506">
        <v>1.564219E-2</v>
      </c>
      <c r="AA1506">
        <v>0.91969840000000003</v>
      </c>
      <c r="AB1506">
        <v>26</v>
      </c>
      <c r="AC1506">
        <v>-32.4344999999999</v>
      </c>
      <c r="AD1506">
        <v>-1.1096457698890001</v>
      </c>
      <c r="AE1506">
        <v>1.8421999999999901</v>
      </c>
      <c r="AF1506">
        <v>12.8243376335591</v>
      </c>
      <c r="AG1506">
        <v>-1.1096457698890001</v>
      </c>
      <c r="AH1506">
        <v>29.807189248096801</v>
      </c>
      <c r="AI1506">
        <v>91.958563214206293</v>
      </c>
      <c r="AJ1506">
        <v>66.720540929356403</v>
      </c>
      <c r="AK1506">
        <v>32.467883829193603</v>
      </c>
      <c r="AL1506">
        <v>78.957042999655897</v>
      </c>
      <c r="AM1506">
        <v>78.678744849124996</v>
      </c>
      <c r="AN1506">
        <v>0.999999958668504</v>
      </c>
    </row>
    <row r="1507" spans="1:40" x14ac:dyDescent="0.25">
      <c r="A1507" t="str">
        <f>"20190303170526751"</f>
        <v>20190303170526751</v>
      </c>
      <c r="B1507" t="str">
        <f>"1551603926736538"</f>
        <v>1551603926736538</v>
      </c>
      <c r="C1507" t="s">
        <v>40</v>
      </c>
      <c r="D1507">
        <v>5.7206270000000004</v>
      </c>
      <c r="E1507">
        <v>0.58413780000000004</v>
      </c>
      <c r="F1507" t="s">
        <v>60</v>
      </c>
      <c r="G1507">
        <v>-236.38380000000001</v>
      </c>
      <c r="H1507" s="1">
        <v>1.8060270000000001E-6</v>
      </c>
      <c r="I1507">
        <v>285.85860000000002</v>
      </c>
      <c r="J1507">
        <v>-206.9041</v>
      </c>
      <c r="K1507">
        <v>1.1096889999999999</v>
      </c>
      <c r="L1507">
        <v>284.27730000000003</v>
      </c>
      <c r="M1507">
        <v>-0.94499889999999998</v>
      </c>
      <c r="N1507">
        <v>-1.6433759999999999E-2</v>
      </c>
      <c r="O1507">
        <v>-0.32666079999999997</v>
      </c>
      <c r="P1507">
        <v>-0.97334430000000005</v>
      </c>
      <c r="Q1507">
        <v>0.18107570000000001</v>
      </c>
      <c r="R1507">
        <v>-0.1407582</v>
      </c>
      <c r="S1507">
        <v>-3.136215</v>
      </c>
      <c r="T1507">
        <v>-0.11705260000000001</v>
      </c>
      <c r="U1507">
        <v>0.15917970000000001</v>
      </c>
      <c r="V1507">
        <v>0.19050549999999999</v>
      </c>
      <c r="W1507">
        <v>0.19156690000000001</v>
      </c>
      <c r="X1507">
        <v>0.96281349999999999</v>
      </c>
      <c r="Y1507">
        <v>0.37375639999999999</v>
      </c>
      <c r="Z1507">
        <v>1.6647329999999998E-2</v>
      </c>
      <c r="AA1507">
        <v>0.92737749999999997</v>
      </c>
      <c r="AB1507">
        <v>26</v>
      </c>
      <c r="AC1507">
        <v>-29.479700000000001</v>
      </c>
      <c r="AD1507">
        <v>-1.109687193973</v>
      </c>
      <c r="AE1507">
        <v>1.5812999999999899</v>
      </c>
      <c r="AF1507">
        <v>11.109992949682701</v>
      </c>
      <c r="AG1507">
        <v>-1.109687193973</v>
      </c>
      <c r="AH1507">
        <v>27.306843039694201</v>
      </c>
      <c r="AI1507">
        <v>92.155680718444998</v>
      </c>
      <c r="AJ1507">
        <v>67.860683271762497</v>
      </c>
      <c r="AK1507">
        <v>29.5013054932313</v>
      </c>
      <c r="AL1507">
        <v>78.955759498842994</v>
      </c>
      <c r="AM1507">
        <v>78.807828533404304</v>
      </c>
      <c r="AN1507">
        <v>1.0000000292440501</v>
      </c>
    </row>
    <row r="1508" spans="1:40" x14ac:dyDescent="0.25">
      <c r="A1508" t="str">
        <f>"20190303170526772"</f>
        <v>20190303170526772</v>
      </c>
      <c r="B1508" t="str">
        <f>"1551603926756057"</f>
        <v>1551603926756057</v>
      </c>
      <c r="C1508" t="s">
        <v>40</v>
      </c>
      <c r="D1508">
        <v>5.7082269999999999</v>
      </c>
      <c r="E1508">
        <v>0.58213870000000001</v>
      </c>
      <c r="F1508" t="s">
        <v>60</v>
      </c>
      <c r="G1508">
        <v>-234.97640000000001</v>
      </c>
      <c r="H1508" s="1">
        <v>1.0505689999999999E-6</v>
      </c>
      <c r="I1508">
        <v>286.00839999999999</v>
      </c>
      <c r="J1508">
        <v>-207.14619999999999</v>
      </c>
      <c r="K1508">
        <v>1.109721</v>
      </c>
      <c r="L1508">
        <v>284.21199999999999</v>
      </c>
      <c r="M1508">
        <v>-0.95012390000000002</v>
      </c>
      <c r="N1508">
        <v>-1.6427870000000001E-2</v>
      </c>
      <c r="O1508">
        <v>-0.31143949999999998</v>
      </c>
      <c r="P1508">
        <v>-0.97530079999999997</v>
      </c>
      <c r="Q1508">
        <v>0.17958060000000001</v>
      </c>
      <c r="R1508">
        <v>-0.1286042</v>
      </c>
      <c r="S1508">
        <v>-3.1331479999999998</v>
      </c>
      <c r="T1508">
        <v>-0.1238519</v>
      </c>
      <c r="U1508">
        <v>0.19320680000000001</v>
      </c>
      <c r="V1508">
        <v>0.18706610000000001</v>
      </c>
      <c r="W1508">
        <v>0.1901969</v>
      </c>
      <c r="X1508">
        <v>0.96375900000000003</v>
      </c>
      <c r="Y1508">
        <v>0.36889549999999999</v>
      </c>
      <c r="Z1508">
        <v>1.7319959999999999E-2</v>
      </c>
      <c r="AA1508">
        <v>0.92930950000000001</v>
      </c>
      <c r="AB1508">
        <v>26</v>
      </c>
      <c r="AC1508">
        <v>-27.830200000000001</v>
      </c>
      <c r="AD1508">
        <v>-1.1097199494309999</v>
      </c>
      <c r="AE1508">
        <v>1.7964</v>
      </c>
      <c r="AF1508">
        <v>10.359224304922099</v>
      </c>
      <c r="AG1508">
        <v>-1.1097199494309999</v>
      </c>
      <c r="AH1508">
        <v>25.845240132000299</v>
      </c>
      <c r="AI1508">
        <v>92.282307495190295</v>
      </c>
      <c r="AJ1508">
        <v>68.158223635580896</v>
      </c>
      <c r="AK1508">
        <v>27.866134357793701</v>
      </c>
      <c r="AL1508">
        <v>79.035724703900996</v>
      </c>
      <c r="AM1508">
        <v>79.015449218540297</v>
      </c>
      <c r="AN1508">
        <v>0.99999999830991004</v>
      </c>
    </row>
    <row r="1509" spans="1:40" x14ac:dyDescent="0.25">
      <c r="A1509" t="str">
        <f>"20190303170526795"</f>
        <v>20190303170526795</v>
      </c>
      <c r="B1509" t="str">
        <f>"1551603926786314"</f>
        <v>1551603926786314</v>
      </c>
      <c r="C1509" t="s">
        <v>40</v>
      </c>
      <c r="D1509">
        <v>5.70533</v>
      </c>
      <c r="E1509">
        <v>0.57227709999999998</v>
      </c>
      <c r="F1509" t="s">
        <v>60</v>
      </c>
      <c r="G1509">
        <v>-233.82050000000001</v>
      </c>
      <c r="H1509" s="1">
        <v>4.3266660000000002E-7</v>
      </c>
      <c r="I1509">
        <v>286.07150000000001</v>
      </c>
      <c r="J1509">
        <v>-207.40450000000001</v>
      </c>
      <c r="K1509">
        <v>1.1097600000000001</v>
      </c>
      <c r="L1509">
        <v>284.14679999999998</v>
      </c>
      <c r="M1509">
        <v>-0.95529649999999999</v>
      </c>
      <c r="N1509">
        <v>-1.6419980000000001E-2</v>
      </c>
      <c r="O1509">
        <v>-0.29519329999999999</v>
      </c>
      <c r="P1509">
        <v>-0.97724800000000001</v>
      </c>
      <c r="Q1509">
        <v>0.17902019999999999</v>
      </c>
      <c r="R1509">
        <v>-0.1137466</v>
      </c>
      <c r="S1509">
        <v>-3.128708</v>
      </c>
      <c r="T1509">
        <v>-0.13016259999999999</v>
      </c>
      <c r="U1509">
        <v>0.2181091</v>
      </c>
      <c r="V1509">
        <v>0.18528720000000001</v>
      </c>
      <c r="W1509">
        <v>0.18970670000000001</v>
      </c>
      <c r="X1509">
        <v>0.96419909999999998</v>
      </c>
      <c r="Y1509">
        <v>0.36044189999999998</v>
      </c>
      <c r="Z1509">
        <v>1.7719619999999998E-2</v>
      </c>
      <c r="AA1509">
        <v>0.93261340000000004</v>
      </c>
      <c r="AB1509">
        <v>26</v>
      </c>
      <c r="AC1509">
        <v>-26.416</v>
      </c>
      <c r="AD1509">
        <v>-1.1097595673334</v>
      </c>
      <c r="AE1509">
        <v>1.9247000000000201</v>
      </c>
      <c r="AF1509">
        <v>9.6208938378639992</v>
      </c>
      <c r="AG1509">
        <v>-1.1097595673334</v>
      </c>
      <c r="AH1509">
        <v>24.6270433974349</v>
      </c>
      <c r="AI1509">
        <v>92.403486423694503</v>
      </c>
      <c r="AJ1509">
        <v>68.661213010834899</v>
      </c>
      <c r="AK1509">
        <v>26.462887806055399</v>
      </c>
      <c r="AL1509">
        <v>79.064331306136097</v>
      </c>
      <c r="AM1509">
        <v>79.122249515207997</v>
      </c>
      <c r="AN1509">
        <v>0.99999994147476801</v>
      </c>
    </row>
    <row r="1510" spans="1:40" x14ac:dyDescent="0.25">
      <c r="A1510" t="str">
        <f>"20190303170526819"</f>
        <v>20190303170526819</v>
      </c>
      <c r="B1510" t="str">
        <f>"1551603926805837"</f>
        <v>1551603926805837</v>
      </c>
      <c r="C1510" t="s">
        <v>40</v>
      </c>
      <c r="D1510">
        <v>5.7291869999999996</v>
      </c>
      <c r="E1510">
        <v>0.5704399</v>
      </c>
      <c r="F1510" t="s">
        <v>60</v>
      </c>
      <c r="G1510">
        <v>-231.2458</v>
      </c>
      <c r="H1510" s="1">
        <v>-9.1613600000000004E-7</v>
      </c>
      <c r="I1510">
        <v>285.5838</v>
      </c>
      <c r="J1510">
        <v>-207.67850000000001</v>
      </c>
      <c r="K1510">
        <v>1.1098190000000001</v>
      </c>
      <c r="L1510">
        <v>284.08269999999999</v>
      </c>
      <c r="M1510">
        <v>-0.96045009999999997</v>
      </c>
      <c r="N1510">
        <v>-1.6409130000000001E-2</v>
      </c>
      <c r="O1510">
        <v>-0.27796880000000002</v>
      </c>
      <c r="P1510">
        <v>-0.97910649999999999</v>
      </c>
      <c r="Q1510">
        <v>0.17817239999999901</v>
      </c>
      <c r="R1510">
        <v>-9.800826E-2</v>
      </c>
      <c r="S1510">
        <v>-3.1183169999999998</v>
      </c>
      <c r="T1510">
        <v>-0.14515110000000001</v>
      </c>
      <c r="U1510">
        <v>0.18795780000000001</v>
      </c>
      <c r="V1510">
        <v>0.18345040000000001</v>
      </c>
      <c r="W1510">
        <v>0.18893370000000001</v>
      </c>
      <c r="X1510">
        <v>0.96470199999999995</v>
      </c>
      <c r="Y1510">
        <v>0.33468880000000001</v>
      </c>
      <c r="Z1510">
        <v>1.8754150000000001E-2</v>
      </c>
      <c r="AA1510">
        <v>0.94214209999999998</v>
      </c>
      <c r="AB1510">
        <v>25</v>
      </c>
      <c r="AC1510">
        <v>-23.5672999999999</v>
      </c>
      <c r="AD1510">
        <v>-1.1098199161360001</v>
      </c>
      <c r="AE1510">
        <v>1.5011000000000001</v>
      </c>
      <c r="AF1510">
        <v>7.9761642277862901</v>
      </c>
      <c r="AG1510">
        <v>-1.1098199161360001</v>
      </c>
      <c r="AH1510">
        <v>22.171974910638301</v>
      </c>
      <c r="AI1510">
        <v>92.696642964414707</v>
      </c>
      <c r="AJ1510">
        <v>70.214271381929805</v>
      </c>
      <c r="AK1510">
        <v>23.589136641107601</v>
      </c>
      <c r="AL1510">
        <v>79.109436980021201</v>
      </c>
      <c r="AM1510">
        <v>79.233032346318694</v>
      </c>
      <c r="AN1510">
        <v>0.99999997052992395</v>
      </c>
    </row>
    <row r="1511" spans="1:40" x14ac:dyDescent="0.25">
      <c r="A1511" t="str">
        <f>"20190303170526839"</f>
        <v>20190303170526839</v>
      </c>
      <c r="B1511" t="str">
        <f>"1551603926826330"</f>
        <v>1551603926826330</v>
      </c>
      <c r="C1511" t="s">
        <v>40</v>
      </c>
      <c r="D1511">
        <v>5.7282650000000004</v>
      </c>
      <c r="E1511">
        <v>0.5687276</v>
      </c>
      <c r="F1511" t="s">
        <v>60</v>
      </c>
      <c r="G1511">
        <v>-230.2731</v>
      </c>
      <c r="H1511" s="1">
        <v>-1.4379339999999999E-6</v>
      </c>
      <c r="I1511">
        <v>285.68009999999998</v>
      </c>
      <c r="J1511">
        <v>-207.89320000000001</v>
      </c>
      <c r="K1511">
        <v>1.1098779999999999</v>
      </c>
      <c r="L1511">
        <v>284.03609999999998</v>
      </c>
      <c r="M1511">
        <v>-0.96424670000000001</v>
      </c>
      <c r="N1511">
        <v>-1.6397510000000001E-2</v>
      </c>
      <c r="O1511">
        <v>-0.26449869999999998</v>
      </c>
      <c r="P1511">
        <v>-0.98003560000000001</v>
      </c>
      <c r="Q1511">
        <v>0.17944089999999999</v>
      </c>
      <c r="R1511">
        <v>-8.5623889999999994E-2</v>
      </c>
      <c r="S1511">
        <v>-3.1139070000000002</v>
      </c>
      <c r="T1511">
        <v>-0.15295110000000001</v>
      </c>
      <c r="U1511">
        <v>0.22015380000000001</v>
      </c>
      <c r="V1511">
        <v>0.18208630000000001</v>
      </c>
      <c r="W1511">
        <v>0.19025449999999999</v>
      </c>
      <c r="X1511">
        <v>0.96470089999999997</v>
      </c>
      <c r="Y1511">
        <v>0.3312213</v>
      </c>
      <c r="Z1511">
        <v>1.9362049999999999E-2</v>
      </c>
      <c r="AA1511">
        <v>0.94335440000000004</v>
      </c>
      <c r="AB1511">
        <v>25</v>
      </c>
      <c r="AC1511">
        <v>-22.3798999999999</v>
      </c>
      <c r="AD1511">
        <v>-1.109879437934</v>
      </c>
      <c r="AE1511">
        <v>1.6439999999999999</v>
      </c>
      <c r="AF1511">
        <v>7.4873687746473099</v>
      </c>
      <c r="AG1511">
        <v>-1.109879437934</v>
      </c>
      <c r="AH1511">
        <v>21.096144547428398</v>
      </c>
      <c r="AI1511">
        <v>92.8384240792615</v>
      </c>
      <c r="AJ1511">
        <v>70.4593889743348</v>
      </c>
      <c r="AK1511">
        <v>22.412939082153098</v>
      </c>
      <c r="AL1511">
        <v>79.032363225361806</v>
      </c>
      <c r="AM1511">
        <v>79.311230117791297</v>
      </c>
      <c r="AN1511">
        <v>1.0000000109393701</v>
      </c>
    </row>
    <row r="1512" spans="1:40" x14ac:dyDescent="0.25">
      <c r="A1512" t="str">
        <f>"20190303170526862"</f>
        <v>20190303170526862</v>
      </c>
      <c r="B1512" t="str">
        <f>"1551603926856585"</f>
        <v>1551603926856585</v>
      </c>
      <c r="C1512" t="s">
        <v>40</v>
      </c>
      <c r="D1512">
        <v>5.7363780000000002</v>
      </c>
      <c r="E1512">
        <v>0.55905439999999995</v>
      </c>
      <c r="F1512" t="s">
        <v>60</v>
      </c>
      <c r="G1512">
        <v>-230.79400000000001</v>
      </c>
      <c r="H1512" s="1">
        <v>-1.167597E-6</v>
      </c>
      <c r="I1512">
        <v>285.83629999999999</v>
      </c>
      <c r="J1512">
        <v>-208.1671</v>
      </c>
      <c r="K1512">
        <v>1.109972</v>
      </c>
      <c r="L1512">
        <v>283.98099999999999</v>
      </c>
      <c r="M1512">
        <v>-0.96878439999999999</v>
      </c>
      <c r="N1512">
        <v>-1.6377820000000001E-2</v>
      </c>
      <c r="O1512">
        <v>-0.24736340000000001</v>
      </c>
      <c r="P1512">
        <v>-0.98120879999999999</v>
      </c>
      <c r="Q1512">
        <v>0.17959749999999999</v>
      </c>
      <c r="R1512">
        <v>-7.0530179999999998E-2</v>
      </c>
      <c r="S1512">
        <v>-3.1100620000000001</v>
      </c>
      <c r="T1512">
        <v>-0.1507279</v>
      </c>
      <c r="U1512">
        <v>0.24447630000000001</v>
      </c>
      <c r="V1512">
        <v>0.17977789999999999</v>
      </c>
      <c r="W1512">
        <v>0.19050300000000001</v>
      </c>
      <c r="X1512">
        <v>0.96508470000000002</v>
      </c>
      <c r="Y1512">
        <v>0.32194040000000002</v>
      </c>
      <c r="Z1512">
        <v>1.8259129999999998E-2</v>
      </c>
      <c r="AA1512">
        <v>0.94658390000000003</v>
      </c>
      <c r="AB1512">
        <v>25</v>
      </c>
      <c r="AC1512">
        <v>-22.626899999999999</v>
      </c>
      <c r="AD1512">
        <v>-1.1099731675969999</v>
      </c>
      <c r="AE1512">
        <v>1.8552999999999999</v>
      </c>
      <c r="AF1512">
        <v>7.3778084898567799</v>
      </c>
      <c r="AG1512">
        <v>-1.1099731675969999</v>
      </c>
      <c r="AH1512">
        <v>21.413346532859698</v>
      </c>
      <c r="AI1512">
        <v>92.805721487599101</v>
      </c>
      <c r="AJ1512">
        <v>70.988992346699206</v>
      </c>
      <c r="AK1512">
        <v>22.6758794378988</v>
      </c>
      <c r="AL1512">
        <v>79.017859651207502</v>
      </c>
      <c r="AM1512">
        <v>79.447776193261703</v>
      </c>
      <c r="AN1512">
        <v>0.99999998225574904</v>
      </c>
    </row>
    <row r="1513" spans="1:40" x14ac:dyDescent="0.25">
      <c r="A1513" t="str">
        <f>"20190303170526884"</f>
        <v>20190303170526884</v>
      </c>
      <c r="B1513" t="str">
        <f>"1551603926876105"</f>
        <v>1551603926876105</v>
      </c>
      <c r="C1513" t="s">
        <v>40</v>
      </c>
      <c r="D1513">
        <v>5.7232690000000002</v>
      </c>
      <c r="E1513">
        <v>0.55752709999999905</v>
      </c>
      <c r="F1513" t="s">
        <v>60</v>
      </c>
      <c r="G1513">
        <v>-229.61279999999999</v>
      </c>
      <c r="H1513" s="1">
        <v>3.5786719999999998E-6</v>
      </c>
      <c r="I1513">
        <v>285.47269999999997</v>
      </c>
      <c r="J1513">
        <v>-208.4229</v>
      </c>
      <c r="K1513">
        <v>1.1100859999999999</v>
      </c>
      <c r="L1513">
        <v>283.93419999999998</v>
      </c>
      <c r="M1513">
        <v>-0.97270210000000001</v>
      </c>
      <c r="N1513">
        <v>-1.6350750000000001E-2</v>
      </c>
      <c r="O1513">
        <v>-0.2314802</v>
      </c>
      <c r="P1513">
        <v>-0.9821936</v>
      </c>
      <c r="Q1513">
        <v>0.178843</v>
      </c>
      <c r="R1513">
        <v>-5.7540139999999997E-2</v>
      </c>
      <c r="S1513">
        <v>-3.1023559999999999</v>
      </c>
      <c r="T1513">
        <v>-0.16056899999999999</v>
      </c>
      <c r="U1513">
        <v>0.2157898</v>
      </c>
      <c r="V1513">
        <v>0.17670369999999999</v>
      </c>
      <c r="W1513">
        <v>0.18987010000000001</v>
      </c>
      <c r="X1513">
        <v>0.965777</v>
      </c>
      <c r="Y1513">
        <v>0.29779369999999999</v>
      </c>
      <c r="Z1513">
        <v>1.8234609999999998E-2</v>
      </c>
      <c r="AA1513">
        <v>0.95445610000000003</v>
      </c>
      <c r="AB1513">
        <v>25</v>
      </c>
      <c r="AC1513">
        <v>-21.189899999999898</v>
      </c>
      <c r="AD1513">
        <v>-1.1100824213280001</v>
      </c>
      <c r="AE1513">
        <v>1.53849999999999</v>
      </c>
      <c r="AF1513">
        <v>6.3849697501606002</v>
      </c>
      <c r="AG1513">
        <v>-1.1100824213280001</v>
      </c>
      <c r="AH1513">
        <v>20.202883346786098</v>
      </c>
      <c r="AI1513">
        <v>92.999123717319904</v>
      </c>
      <c r="AJ1513">
        <v>72.461249890211306</v>
      </c>
      <c r="AK1513">
        <v>21.2168946176498</v>
      </c>
      <c r="AL1513">
        <v>79.054796883985603</v>
      </c>
      <c r="AM1513">
        <v>79.631543338108301</v>
      </c>
      <c r="AN1513">
        <v>1.0000000330983401</v>
      </c>
    </row>
    <row r="1514" spans="1:40" x14ac:dyDescent="0.25">
      <c r="A1514" t="str">
        <f>"20190303170526909"</f>
        <v>20190303170526909</v>
      </c>
      <c r="B1514" t="str">
        <f>"1551603926896601"</f>
        <v>1551603926896601</v>
      </c>
      <c r="C1514" t="s">
        <v>40</v>
      </c>
      <c r="D1514">
        <v>5.7855220000000003</v>
      </c>
      <c r="E1514">
        <v>0.55572299999999997</v>
      </c>
      <c r="F1514" t="s">
        <v>60</v>
      </c>
      <c r="G1514">
        <v>-229.77619999999999</v>
      </c>
      <c r="H1514" s="1">
        <v>3.665603E-6</v>
      </c>
      <c r="I1514">
        <v>285.64690000000002</v>
      </c>
      <c r="J1514">
        <v>-208.69739999999999</v>
      </c>
      <c r="K1514">
        <v>1.110247</v>
      </c>
      <c r="L1514">
        <v>283.88869999999997</v>
      </c>
      <c r="M1514">
        <v>-0.97655990000000004</v>
      </c>
      <c r="N1514">
        <v>-1.6310180000000001E-2</v>
      </c>
      <c r="O1514">
        <v>-0.21462729999999999</v>
      </c>
      <c r="P1514">
        <v>-0.98295520000000003</v>
      </c>
      <c r="Q1514">
        <v>0.17881659999999999</v>
      </c>
      <c r="R1514">
        <v>-4.270616E-2</v>
      </c>
      <c r="S1514">
        <v>-3.0982509999999999</v>
      </c>
      <c r="T1514">
        <v>-0.16106760000000001</v>
      </c>
      <c r="U1514">
        <v>0.24850459999999999</v>
      </c>
      <c r="V1514">
        <v>0.17449870000000001</v>
      </c>
      <c r="W1514">
        <v>0.18994130000000001</v>
      </c>
      <c r="X1514">
        <v>0.96616380000000002</v>
      </c>
      <c r="Y1514">
        <v>0.29140860000000002</v>
      </c>
      <c r="Z1514">
        <v>1.752395E-2</v>
      </c>
      <c r="AA1514">
        <v>0.95643820000000002</v>
      </c>
      <c r="AB1514">
        <v>25</v>
      </c>
      <c r="AC1514">
        <v>-21.078800000000001</v>
      </c>
      <c r="AD1514">
        <v>-1.110243334397</v>
      </c>
      <c r="AE1514">
        <v>1.75820000000004</v>
      </c>
      <c r="AF1514">
        <v>6.2247537467583003</v>
      </c>
      <c r="AG1514">
        <v>-1.110243334397</v>
      </c>
      <c r="AH1514">
        <v>20.1545128371598</v>
      </c>
      <c r="AI1514">
        <v>93.012892893769902</v>
      </c>
      <c r="AJ1514">
        <v>72.836612372016205</v>
      </c>
      <c r="AK1514">
        <v>21.123081857830201</v>
      </c>
      <c r="AL1514">
        <v>79.050641346356898</v>
      </c>
      <c r="AM1514">
        <v>79.762184577519207</v>
      </c>
      <c r="AN1514">
        <v>0.99999999108891002</v>
      </c>
    </row>
    <row r="1515" spans="1:40" x14ac:dyDescent="0.25">
      <c r="A1515" t="str">
        <f>"20190303170526931"</f>
        <v>20190303170526931</v>
      </c>
      <c r="B1515" t="str">
        <f>"1551603926925881"</f>
        <v>1551603926925881</v>
      </c>
      <c r="C1515" t="s">
        <v>40</v>
      </c>
      <c r="D1515">
        <v>5.7531600000000003</v>
      </c>
      <c r="E1515">
        <v>0.54685090000000003</v>
      </c>
      <c r="F1515" t="s">
        <v>60</v>
      </c>
      <c r="G1515">
        <v>-229.53469999999999</v>
      </c>
      <c r="H1515" s="1">
        <v>3.5371189999999999E-6</v>
      </c>
      <c r="I1515">
        <v>285.77760000000001</v>
      </c>
      <c r="J1515">
        <v>-208.9545</v>
      </c>
      <c r="K1515">
        <v>1.110425</v>
      </c>
      <c r="L1515">
        <v>283.8503</v>
      </c>
      <c r="M1515">
        <v>-0.97986359999999995</v>
      </c>
      <c r="N1515">
        <v>-1.6265020000000002E-2</v>
      </c>
      <c r="O1515">
        <v>-0.19900419999999999</v>
      </c>
      <c r="P1515">
        <v>-0.98330390000000001</v>
      </c>
      <c r="Q1515">
        <v>0.1797966</v>
      </c>
      <c r="R1515">
        <v>-2.805158E-2</v>
      </c>
      <c r="S1515">
        <v>-3.0941770000000002</v>
      </c>
      <c r="T1515">
        <v>-0.16486189999999901</v>
      </c>
      <c r="U1515">
        <v>0.28048709999999999</v>
      </c>
      <c r="V1515">
        <v>0.17337279999999999</v>
      </c>
      <c r="W1515">
        <v>0.19098100000000001</v>
      </c>
      <c r="X1515">
        <v>0.96616150000000001</v>
      </c>
      <c r="Y1515">
        <v>0.28603139999999999</v>
      </c>
      <c r="Z1515">
        <v>1.7238940000000001E-2</v>
      </c>
      <c r="AA1515">
        <v>0.95806519999999995</v>
      </c>
      <c r="AB1515">
        <v>25</v>
      </c>
      <c r="AC1515">
        <v>-20.580199999999898</v>
      </c>
      <c r="AD1515">
        <v>-1.1104214628810001</v>
      </c>
      <c r="AE1515">
        <v>1.9273</v>
      </c>
      <c r="AF1515">
        <v>5.9676073193583301</v>
      </c>
      <c r="AG1515">
        <v>-1.1104214628810001</v>
      </c>
      <c r="AH1515">
        <v>19.727933063591301</v>
      </c>
      <c r="AI1515">
        <v>93.083874370704294</v>
      </c>
      <c r="AJ1515">
        <v>73.169679962645901</v>
      </c>
      <c r="AK1515">
        <v>20.640656867086999</v>
      </c>
      <c r="AL1515">
        <v>78.989959756254294</v>
      </c>
      <c r="AM1515">
        <v>79.826833348588394</v>
      </c>
      <c r="AN1515">
        <v>0.99999995711154399</v>
      </c>
    </row>
    <row r="1516" spans="1:40" x14ac:dyDescent="0.25">
      <c r="A1516" t="str">
        <f>"20190303170526951"</f>
        <v>20190303170526951</v>
      </c>
      <c r="B1516" t="str">
        <f>"1551603926946378"</f>
        <v>1551603926946378</v>
      </c>
      <c r="C1516" t="s">
        <v>40</v>
      </c>
      <c r="D1516">
        <v>5.7877489999999998</v>
      </c>
      <c r="E1516">
        <v>0.54661959999999998</v>
      </c>
      <c r="F1516" t="s">
        <v>60</v>
      </c>
      <c r="G1516">
        <v>-226.99700000000001</v>
      </c>
      <c r="H1516" s="1">
        <v>2.1866470000000002E-6</v>
      </c>
      <c r="I1516">
        <v>285.32060000000001</v>
      </c>
      <c r="J1516">
        <v>-209.18680000000001</v>
      </c>
      <c r="K1516">
        <v>1.110609</v>
      </c>
      <c r="L1516">
        <v>283.81889999999999</v>
      </c>
      <c r="M1516">
        <v>-0.98259180000000002</v>
      </c>
      <c r="N1516">
        <v>-1.6219589999999999E-2</v>
      </c>
      <c r="O1516">
        <v>-0.1850686</v>
      </c>
      <c r="P1516">
        <v>-0.98361330000000002</v>
      </c>
      <c r="Q1516">
        <v>0.17954389999999901</v>
      </c>
      <c r="R1516">
        <v>-1.6406469999999999E-2</v>
      </c>
      <c r="S1516">
        <v>-3.0929570000000002</v>
      </c>
      <c r="T1516">
        <v>-0.19035569999999999</v>
      </c>
      <c r="U1516">
        <v>0.25204470000000001</v>
      </c>
      <c r="V1516">
        <v>0.1710015</v>
      </c>
      <c r="W1516">
        <v>0.19082789999999999</v>
      </c>
      <c r="X1516">
        <v>0.96661430000000004</v>
      </c>
      <c r="Y1516">
        <v>0.26348470000000002</v>
      </c>
      <c r="Z1516">
        <v>1.8560119999999999E-2</v>
      </c>
      <c r="AA1516">
        <v>0.96448500000000004</v>
      </c>
      <c r="AB1516">
        <v>25</v>
      </c>
      <c r="AC1516">
        <v>-17.810199999999998</v>
      </c>
      <c r="AD1516">
        <v>-1.110606813353</v>
      </c>
      <c r="AE1516">
        <v>1.50170000000002</v>
      </c>
      <c r="AF1516">
        <v>4.7539391667939901</v>
      </c>
      <c r="AG1516">
        <v>-1.110606813353</v>
      </c>
      <c r="AH1516">
        <v>17.158254817532001</v>
      </c>
      <c r="AI1516">
        <v>93.569333635562998</v>
      </c>
      <c r="AJ1516">
        <v>74.513849083439098</v>
      </c>
      <c r="AK1516">
        <v>17.839257088758099</v>
      </c>
      <c r="AL1516">
        <v>78.998896599703798</v>
      </c>
      <c r="AM1516">
        <v>79.967734464065302</v>
      </c>
      <c r="AN1516">
        <v>1.0000000026925699</v>
      </c>
    </row>
    <row r="1517" spans="1:40" x14ac:dyDescent="0.25">
      <c r="A1517" t="str">
        <f>"20190303170526973"</f>
        <v>20190303170526973</v>
      </c>
      <c r="B1517" t="str">
        <f>"1551603926965898"</f>
        <v>1551603926965898</v>
      </c>
      <c r="C1517" t="s">
        <v>40</v>
      </c>
      <c r="D1517">
        <v>5.8131930000000001</v>
      </c>
      <c r="E1517">
        <v>0.53979949999999999</v>
      </c>
      <c r="F1517" t="s">
        <v>60</v>
      </c>
      <c r="G1517">
        <v>-226.98679999999999</v>
      </c>
      <c r="H1517" s="1">
        <v>2.1812380000000002E-6</v>
      </c>
      <c r="I1517">
        <v>285.46809999999999</v>
      </c>
      <c r="J1517">
        <v>-209.44900000000001</v>
      </c>
      <c r="K1517">
        <v>1.11084</v>
      </c>
      <c r="L1517">
        <v>283.78719999999998</v>
      </c>
      <c r="M1517">
        <v>-0.98537399999999997</v>
      </c>
      <c r="N1517">
        <v>-1.6160089999999998E-2</v>
      </c>
      <c r="O1517">
        <v>-0.1696375</v>
      </c>
      <c r="P1517">
        <v>-0.98403019999999997</v>
      </c>
      <c r="Q1517">
        <v>0.17790300000000001</v>
      </c>
      <c r="R1517">
        <v>-5.9159249999999998E-3</v>
      </c>
      <c r="S1517">
        <v>-3.089966</v>
      </c>
      <c r="T1517">
        <v>-0.19279460000000001</v>
      </c>
      <c r="U1517">
        <v>0.28628540000000002</v>
      </c>
      <c r="V1517">
        <v>0.16603029999999999</v>
      </c>
      <c r="W1517">
        <v>0.1893724</v>
      </c>
      <c r="X1517">
        <v>0.96776649999999997</v>
      </c>
      <c r="Y1517">
        <v>0.25904450000000001</v>
      </c>
      <c r="Z1517">
        <v>1.795192E-2</v>
      </c>
      <c r="AA1517">
        <v>0.96569850000000002</v>
      </c>
      <c r="AB1517">
        <v>25</v>
      </c>
      <c r="AC1517">
        <v>-17.537799999999901</v>
      </c>
      <c r="AD1517">
        <v>-1.1108378187620001</v>
      </c>
      <c r="AE1517">
        <v>1.6809000000000001</v>
      </c>
      <c r="AF1517">
        <v>4.6136476269636004</v>
      </c>
      <c r="AG1517">
        <v>-1.1108378187620001</v>
      </c>
      <c r="AH1517">
        <v>16.931061003755602</v>
      </c>
      <c r="AI1517">
        <v>93.622067390496895</v>
      </c>
      <c r="AJ1517">
        <v>74.757211731124102</v>
      </c>
      <c r="AK1517">
        <v>17.583530129023401</v>
      </c>
      <c r="AL1517">
        <v>79.083839351836502</v>
      </c>
      <c r="AM1517">
        <v>80.265090226540295</v>
      </c>
      <c r="AN1517">
        <v>0.99999998246104904</v>
      </c>
    </row>
    <row r="1518" spans="1:40" x14ac:dyDescent="0.25">
      <c r="A1518" t="str">
        <f>"20190303170526996"</f>
        <v>20190303170526996</v>
      </c>
      <c r="B1518" t="str">
        <f>"1551603926986394"</f>
        <v>1551603926986394</v>
      </c>
      <c r="C1518" t="s">
        <v>40</v>
      </c>
      <c r="D1518">
        <v>5.7966439999999997</v>
      </c>
      <c r="E1518">
        <v>0.53404099999999999</v>
      </c>
      <c r="F1518" t="s">
        <v>60</v>
      </c>
      <c r="G1518">
        <v>-227.34180000000001</v>
      </c>
      <c r="H1518" s="1">
        <v>2.3701500000000001E-6</v>
      </c>
      <c r="I1518">
        <v>285.3347</v>
      </c>
      <c r="J1518">
        <v>-209.69820000000001</v>
      </c>
      <c r="K1518">
        <v>1.111103</v>
      </c>
      <c r="L1518">
        <v>283.76060000000001</v>
      </c>
      <c r="M1518">
        <v>-0.98773339999999998</v>
      </c>
      <c r="N1518">
        <v>-1.609149E-2</v>
      </c>
      <c r="O1518">
        <v>-0.15531819999999999</v>
      </c>
      <c r="P1518">
        <v>-0.98417290000000002</v>
      </c>
      <c r="Q1518">
        <v>0.17715149999999999</v>
      </c>
      <c r="R1518">
        <v>4.5897170000000001E-3</v>
      </c>
      <c r="S1518">
        <v>-3.0849150000000001</v>
      </c>
      <c r="T1518">
        <v>-0.19152060000000001</v>
      </c>
      <c r="U1518">
        <v>0.26681519999999997</v>
      </c>
      <c r="V1518">
        <v>0.1621785</v>
      </c>
      <c r="W1518">
        <v>0.18877070000000001</v>
      </c>
      <c r="X1518">
        <v>0.96853690000000003</v>
      </c>
      <c r="Y1518">
        <v>0.2391441</v>
      </c>
      <c r="Z1518">
        <v>1.6438319999999999E-2</v>
      </c>
      <c r="AA1518">
        <v>0.97084490000000001</v>
      </c>
      <c r="AB1518">
        <v>25</v>
      </c>
      <c r="AC1518">
        <v>-17.6435999999999</v>
      </c>
      <c r="AD1518">
        <v>-1.1111006298499999</v>
      </c>
      <c r="AE1518">
        <v>1.5740999999999801</v>
      </c>
      <c r="AF1518">
        <v>4.2788843833263703</v>
      </c>
      <c r="AG1518">
        <v>-1.1111006298499999</v>
      </c>
      <c r="AH1518">
        <v>17.1175631108046</v>
      </c>
      <c r="AI1518">
        <v>93.603292837271795</v>
      </c>
      <c r="AJ1518">
        <v>75.965351836798803</v>
      </c>
      <c r="AK1518">
        <v>17.679207081424899</v>
      </c>
      <c r="AL1518">
        <v>79.118947483816896</v>
      </c>
      <c r="AM1518">
        <v>80.494187527075397</v>
      </c>
      <c r="AN1518">
        <v>0.99999998485117403</v>
      </c>
    </row>
    <row r="1519" spans="1:40" x14ac:dyDescent="0.25">
      <c r="A1519" t="str">
        <f>"20190303170527017"</f>
        <v>20190303170527017</v>
      </c>
      <c r="B1519" t="str">
        <f>"1551603927005913"</f>
        <v>1551603927005913</v>
      </c>
      <c r="C1519" t="s">
        <v>40</v>
      </c>
      <c r="D1519">
        <v>5.8338710000000003</v>
      </c>
      <c r="E1519">
        <v>0.53311030000000004</v>
      </c>
      <c r="F1519" t="s">
        <v>60</v>
      </c>
      <c r="G1519">
        <v>-228.43559999999999</v>
      </c>
      <c r="H1519" s="1">
        <v>2.9522369999999998E-6</v>
      </c>
      <c r="I1519">
        <v>285.31439999999998</v>
      </c>
      <c r="J1519">
        <v>-209.94300000000001</v>
      </c>
      <c r="K1519">
        <v>1.1114170000000001</v>
      </c>
      <c r="L1519">
        <v>283.73759999999999</v>
      </c>
      <c r="M1519">
        <v>-0.98978969999999999</v>
      </c>
      <c r="N1519">
        <v>-1.6011959999999999E-2</v>
      </c>
      <c r="O1519">
        <v>-0.14163390000000001</v>
      </c>
      <c r="P1519">
        <v>-0.98403050000000003</v>
      </c>
      <c r="Q1519">
        <v>0.17722669999999999</v>
      </c>
      <c r="R1519">
        <v>1.658273E-2</v>
      </c>
      <c r="S1519">
        <v>-3.0799259999999999</v>
      </c>
      <c r="T1519">
        <v>-0.18263409999999999</v>
      </c>
      <c r="U1519">
        <v>0.25540160000000001</v>
      </c>
      <c r="V1519">
        <v>0.1604265</v>
      </c>
      <c r="W1519">
        <v>0.18893509999999999</v>
      </c>
      <c r="X1519">
        <v>0.96879660000000001</v>
      </c>
      <c r="Y1519">
        <v>0.2223502</v>
      </c>
      <c r="Z1519">
        <v>1.446363E-2</v>
      </c>
      <c r="AA1519">
        <v>0.97485960000000005</v>
      </c>
      <c r="AB1519">
        <v>25</v>
      </c>
      <c r="AC1519">
        <v>-18.492599999999999</v>
      </c>
      <c r="AD1519">
        <v>-1.1114140477629999</v>
      </c>
      <c r="AE1519">
        <v>1.57679999999999</v>
      </c>
      <c r="AF1519">
        <v>4.1654775946208096</v>
      </c>
      <c r="AG1519">
        <v>-1.1114140477629999</v>
      </c>
      <c r="AH1519">
        <v>18.018160075094301</v>
      </c>
      <c r="AI1519">
        <v>93.439220803778397</v>
      </c>
      <c r="AJ1519">
        <v>76.982921090243593</v>
      </c>
      <c r="AK1519">
        <v>18.526751935203698</v>
      </c>
      <c r="AL1519">
        <v>79.109355542929194</v>
      </c>
      <c r="AM1519">
        <v>80.597509650845197</v>
      </c>
      <c r="AN1519">
        <v>0.99999999304290998</v>
      </c>
    </row>
    <row r="1520" spans="1:40" x14ac:dyDescent="0.25">
      <c r="A1520" t="str">
        <f>"20190303170527031"</f>
        <v>20190303170527031</v>
      </c>
      <c r="B1520" t="str">
        <f>"1551603927026410"</f>
        <v>1551603927026410</v>
      </c>
      <c r="C1520" t="s">
        <v>40</v>
      </c>
      <c r="D1520">
        <v>5.8486630000000002</v>
      </c>
      <c r="E1520">
        <v>0.53159769999999995</v>
      </c>
      <c r="F1520" t="s">
        <v>60</v>
      </c>
      <c r="G1520">
        <v>-227.89320000000001</v>
      </c>
      <c r="H1520" s="1">
        <v>2.6636039999999999E-6</v>
      </c>
      <c r="I1520">
        <v>285.3954</v>
      </c>
      <c r="J1520">
        <v>-210.10509999999999</v>
      </c>
      <c r="K1520">
        <v>1.11165</v>
      </c>
      <c r="L1520">
        <v>283.72410000000002</v>
      </c>
      <c r="M1520">
        <v>-0.99101130000000004</v>
      </c>
      <c r="N1520">
        <v>-1.5953450000000001E-2</v>
      </c>
      <c r="O1520">
        <v>-0.13282430000000001</v>
      </c>
      <c r="P1520">
        <v>-0.98384260000000001</v>
      </c>
      <c r="Q1520">
        <v>0.1774105</v>
      </c>
      <c r="R1520">
        <v>2.4069480000000001E-2</v>
      </c>
      <c r="S1520">
        <v>-3.0782319999999999</v>
      </c>
      <c r="T1520">
        <v>-0.19059290000000001</v>
      </c>
      <c r="U1520">
        <v>0.28430179999999999</v>
      </c>
      <c r="V1520">
        <v>0.1590685</v>
      </c>
      <c r="W1520">
        <v>0.1891852</v>
      </c>
      <c r="X1520">
        <v>0.96897169999999999</v>
      </c>
      <c r="Y1520">
        <v>0.22275829999999999</v>
      </c>
      <c r="Z1520">
        <v>1.4736320000000001E-2</v>
      </c>
      <c r="AA1520">
        <v>0.97476229999999997</v>
      </c>
      <c r="AB1520">
        <v>25</v>
      </c>
      <c r="AC1520">
        <v>-17.7881</v>
      </c>
      <c r="AD1520">
        <v>-1.111647336396</v>
      </c>
      <c r="AE1520">
        <v>1.67129999999997</v>
      </c>
      <c r="AF1520">
        <v>4.0039795979464596</v>
      </c>
      <c r="AG1520">
        <v>-1.111647336396</v>
      </c>
      <c r="AH1520">
        <v>17.341299010755002</v>
      </c>
      <c r="AI1520">
        <v>93.574092689521393</v>
      </c>
      <c r="AJ1520">
        <v>76.998666034144506</v>
      </c>
      <c r="AK1520">
        <v>17.8322254304307</v>
      </c>
      <c r="AL1520">
        <v>79.094762676634701</v>
      </c>
      <c r="AM1520">
        <v>80.677352855293904</v>
      </c>
      <c r="AN1520">
        <v>0.99999999149608898</v>
      </c>
    </row>
    <row r="1521" spans="1:40" x14ac:dyDescent="0.25">
      <c r="A1521" t="str">
        <f>"20190303170527050"</f>
        <v>20190303170527050</v>
      </c>
      <c r="B1521" t="str">
        <f>"1551603927045929"</f>
        <v>1551603927045929</v>
      </c>
      <c r="C1521" t="s">
        <v>40</v>
      </c>
      <c r="D1521">
        <v>5.8465099999999897</v>
      </c>
      <c r="E1521">
        <v>0.53110919999999995</v>
      </c>
      <c r="F1521" t="s">
        <v>60</v>
      </c>
      <c r="G1521">
        <v>-227.54640000000001</v>
      </c>
      <c r="H1521" s="1">
        <v>2.4790229999999999E-6</v>
      </c>
      <c r="I1521">
        <v>285.39609999999999</v>
      </c>
      <c r="J1521">
        <v>-210.32730000000001</v>
      </c>
      <c r="K1521">
        <v>1.1119969999999999</v>
      </c>
      <c r="L1521">
        <v>283.70749999999998</v>
      </c>
      <c r="M1521">
        <v>-0.99251739999999999</v>
      </c>
      <c r="N1521">
        <v>-1.5868239999999999E-2</v>
      </c>
      <c r="O1521">
        <v>-0.1210677</v>
      </c>
      <c r="P1521">
        <v>-0.98362950000000005</v>
      </c>
      <c r="Q1521">
        <v>0.17735390000000001</v>
      </c>
      <c r="R1521">
        <v>3.1912790000000003E-2</v>
      </c>
      <c r="S1521">
        <v>-3.0774080000000001</v>
      </c>
      <c r="T1521">
        <v>-0.19614290000000001</v>
      </c>
      <c r="U1521">
        <v>0.29501339999999998</v>
      </c>
      <c r="V1521">
        <v>0.15513589999999999</v>
      </c>
      <c r="W1521">
        <v>0.18927459999999999</v>
      </c>
      <c r="X1521">
        <v>0.96959169999999995</v>
      </c>
      <c r="Y1521">
        <v>0.2145774</v>
      </c>
      <c r="Z1521">
        <v>1.4296100000000001E-2</v>
      </c>
      <c r="AA1521">
        <v>0.97660239999999998</v>
      </c>
      <c r="AB1521">
        <v>25</v>
      </c>
      <c r="AC1521">
        <v>-17.219099999999901</v>
      </c>
      <c r="AD1521">
        <v>-1.1119945209769999</v>
      </c>
      <c r="AE1521">
        <v>1.6886000000000001</v>
      </c>
      <c r="AF1521">
        <v>3.7456430359378001</v>
      </c>
      <c r="AG1521">
        <v>-1.1119945209769999</v>
      </c>
      <c r="AH1521">
        <v>16.818475222156199</v>
      </c>
      <c r="AI1521">
        <v>93.692537791986098</v>
      </c>
      <c r="AJ1521">
        <v>77.444561256354405</v>
      </c>
      <c r="AK1521">
        <v>17.2663685343975</v>
      </c>
      <c r="AL1521">
        <v>79.089546757523706</v>
      </c>
      <c r="AM1521">
        <v>80.909652324686505</v>
      </c>
      <c r="AN1521">
        <v>1.00000004319142</v>
      </c>
    </row>
    <row r="1522" spans="1:40" x14ac:dyDescent="0.25">
      <c r="A1522" t="str">
        <f>"20190303170527066"</f>
        <v>20190303170527066</v>
      </c>
      <c r="B1522" t="str">
        <f>"1551603927056666"</f>
        <v>1551603927056666</v>
      </c>
      <c r="C1522" t="s">
        <v>40</v>
      </c>
      <c r="D1522">
        <v>6.1783250000000001</v>
      </c>
      <c r="E1522">
        <v>0.52990680000000001</v>
      </c>
      <c r="F1522" t="s">
        <v>60</v>
      </c>
      <c r="G1522">
        <v>-227.63040000000001</v>
      </c>
      <c r="H1522" s="1">
        <v>2.5237489999999999E-6</v>
      </c>
      <c r="I1522">
        <v>285.49250000000001</v>
      </c>
      <c r="J1522">
        <v>-210.50640000000001</v>
      </c>
      <c r="K1522">
        <v>1.1122879999999999</v>
      </c>
      <c r="L1522">
        <v>283.69560000000001</v>
      </c>
      <c r="M1522">
        <v>-0.99359819999999999</v>
      </c>
      <c r="N1522">
        <v>-1.579703E-2</v>
      </c>
      <c r="O1522">
        <v>-0.1118633</v>
      </c>
      <c r="P1522">
        <v>-0.98346169999999999</v>
      </c>
      <c r="Q1522">
        <v>0.1768622</v>
      </c>
      <c r="R1522">
        <v>3.9026749999999999E-2</v>
      </c>
      <c r="S1522">
        <v>-3.075272</v>
      </c>
      <c r="T1522">
        <v>-0.1976339</v>
      </c>
      <c r="U1522">
        <v>0.31726070000000001</v>
      </c>
      <c r="V1522">
        <v>0.15302109999999999</v>
      </c>
      <c r="W1522">
        <v>0.18887329999999999</v>
      </c>
      <c r="X1522">
        <v>0.97000589999999998</v>
      </c>
      <c r="Y1522">
        <v>0.21259049999999999</v>
      </c>
      <c r="Z1522">
        <v>1.3892120000000001E-2</v>
      </c>
      <c r="AA1522">
        <v>0.97704259999999998</v>
      </c>
      <c r="AB1522">
        <v>25</v>
      </c>
      <c r="AC1522">
        <v>-17.123999999999899</v>
      </c>
      <c r="AD1522">
        <v>-1.1122854762509999</v>
      </c>
      <c r="AE1522">
        <v>1.7968999999999899</v>
      </c>
      <c r="AF1522">
        <v>3.6860226141271402</v>
      </c>
      <c r="AG1522">
        <v>-1.1122854762509999</v>
      </c>
      <c r="AH1522">
        <v>16.7455817479084</v>
      </c>
      <c r="AI1522">
        <v>93.711557746781395</v>
      </c>
      <c r="AJ1522">
        <v>77.586071985355801</v>
      </c>
      <c r="AK1522">
        <v>17.182504176295701</v>
      </c>
      <c r="AL1522">
        <v>79.112961565538299</v>
      </c>
      <c r="AM1522">
        <v>81.035310819729204</v>
      </c>
      <c r="AN1522">
        <v>1.0000000132664499</v>
      </c>
    </row>
    <row r="1523" spans="1:40" x14ac:dyDescent="0.25">
      <c r="A1523" t="str">
        <f>"20190303170527084"</f>
        <v>20190303170527084</v>
      </c>
      <c r="B1523" t="str">
        <f>"1551603927076185"</f>
        <v>1551603927076185</v>
      </c>
      <c r="C1523" t="s">
        <v>40</v>
      </c>
      <c r="D1523">
        <v>5.8338340000000004</v>
      </c>
      <c r="E1523">
        <v>0.52887419999999996</v>
      </c>
      <c r="F1523" t="s">
        <v>60</v>
      </c>
      <c r="G1523">
        <v>-227.02979999999999</v>
      </c>
      <c r="H1523" s="1">
        <v>2.204145E-6</v>
      </c>
      <c r="I1523">
        <v>285.47030000000001</v>
      </c>
      <c r="J1523">
        <v>-210.7201</v>
      </c>
      <c r="K1523">
        <v>1.112635</v>
      </c>
      <c r="L1523">
        <v>283.68340000000001</v>
      </c>
      <c r="M1523">
        <v>-0.99473829999999996</v>
      </c>
      <c r="N1523">
        <v>-1.5709810000000001E-2</v>
      </c>
      <c r="O1523">
        <v>-0.1012376</v>
      </c>
      <c r="P1523">
        <v>-0.98316749999999997</v>
      </c>
      <c r="Q1523">
        <v>0.17674519999999999</v>
      </c>
      <c r="R1523">
        <v>4.6294559999999998E-2</v>
      </c>
      <c r="S1523">
        <v>-3.07457</v>
      </c>
      <c r="T1523">
        <v>-0.20696700000000001</v>
      </c>
      <c r="U1523">
        <v>0.33023069999999999</v>
      </c>
      <c r="V1523">
        <v>0.1496526</v>
      </c>
      <c r="W1523">
        <v>0.18887609999999999</v>
      </c>
      <c r="X1523">
        <v>0.97053069999999997</v>
      </c>
      <c r="Y1523">
        <v>0.2062109</v>
      </c>
      <c r="Z1523">
        <v>1.3743409999999999E-2</v>
      </c>
      <c r="AA1523">
        <v>0.97841109999999998</v>
      </c>
      <c r="AB1523">
        <v>25</v>
      </c>
      <c r="AC1523">
        <v>-16.3096999999999</v>
      </c>
      <c r="AD1523">
        <v>-1.112632795855</v>
      </c>
      <c r="AE1523">
        <v>1.7868999999999999</v>
      </c>
      <c r="AF1523">
        <v>3.4133787796269099</v>
      </c>
      <c r="AG1523">
        <v>-1.112632795855</v>
      </c>
      <c r="AH1523">
        <v>15.9715134569783</v>
      </c>
      <c r="AI1523">
        <v>93.897261808254697</v>
      </c>
      <c r="AJ1523">
        <v>77.936418629517107</v>
      </c>
      <c r="AK1523">
        <v>16.3700442436194</v>
      </c>
      <c r="AL1523">
        <v>79.1127976180708</v>
      </c>
      <c r="AM1523">
        <v>81.234220143952697</v>
      </c>
      <c r="AN1523">
        <v>0.99999996074022901</v>
      </c>
    </row>
    <row r="1524" spans="1:40" x14ac:dyDescent="0.25">
      <c r="A1524" t="str">
        <f>"20190303170527098"</f>
        <v>20190303170527098</v>
      </c>
      <c r="B1524" t="str">
        <f>"1551603927085946"</f>
        <v>1551603927085946</v>
      </c>
      <c r="C1524" t="s">
        <v>40</v>
      </c>
      <c r="D1524">
        <v>5.8477839999999999</v>
      </c>
      <c r="E1524">
        <v>0.52819819999999995</v>
      </c>
      <c r="F1524" t="s">
        <v>60</v>
      </c>
      <c r="G1524">
        <v>-226.5137</v>
      </c>
      <c r="H1524" s="1">
        <v>1.9294519999999999E-6</v>
      </c>
      <c r="I1524">
        <v>285.45510000000002</v>
      </c>
      <c r="J1524">
        <v>-210.87389999999999</v>
      </c>
      <c r="K1524">
        <v>1.112886</v>
      </c>
      <c r="L1524">
        <v>283.67590000000001</v>
      </c>
      <c r="M1524">
        <v>-0.99546400000000002</v>
      </c>
      <c r="N1524">
        <v>-1.5646150000000001E-2</v>
      </c>
      <c r="O1524">
        <v>-9.3844280000000002E-2</v>
      </c>
      <c r="P1524">
        <v>-0.98287190000000002</v>
      </c>
      <c r="Q1524">
        <v>0.17660919999999999</v>
      </c>
      <c r="R1524">
        <v>5.264833E-2</v>
      </c>
      <c r="S1524">
        <v>-3.0740509999999999</v>
      </c>
      <c r="T1524">
        <v>-0.21656220000000001</v>
      </c>
      <c r="U1524">
        <v>0.34484860000000001</v>
      </c>
      <c r="V1524">
        <v>0.14859839999999999</v>
      </c>
      <c r="W1524">
        <v>0.1887895</v>
      </c>
      <c r="X1524">
        <v>0.97070959999999995</v>
      </c>
      <c r="Y1524">
        <v>0.20350969999999999</v>
      </c>
      <c r="Z1524">
        <v>1.3858519999999999E-2</v>
      </c>
      <c r="AA1524">
        <v>0.97897489999999998</v>
      </c>
      <c r="AB1524">
        <v>25</v>
      </c>
      <c r="AC1524">
        <v>-15.639799999999999</v>
      </c>
      <c r="AD1524">
        <v>-1.1128840705480001</v>
      </c>
      <c r="AE1524">
        <v>1.7791999999999999</v>
      </c>
      <c r="AF1524">
        <v>3.2231203611367301</v>
      </c>
      <c r="AG1524">
        <v>-1.1128840705480001</v>
      </c>
      <c r="AH1524">
        <v>15.3271595397129</v>
      </c>
      <c r="AI1524">
        <v>94.064296259215993</v>
      </c>
      <c r="AJ1524">
        <v>78.124408140375493</v>
      </c>
      <c r="AK1524">
        <v>15.701873626184399</v>
      </c>
      <c r="AL1524">
        <v>79.117851248311098</v>
      </c>
      <c r="AM1524">
        <v>81.296599674849503</v>
      </c>
      <c r="AN1524">
        <v>1.0000000436624801</v>
      </c>
    </row>
    <row r="1525" spans="1:40" x14ac:dyDescent="0.25">
      <c r="A1525" t="str">
        <f>"20190303170527119"</f>
        <v>20190303170527119</v>
      </c>
      <c r="B1525" t="str">
        <f>"1551603927106442"</f>
        <v>1551603927106442</v>
      </c>
      <c r="C1525" t="s">
        <v>40</v>
      </c>
      <c r="D1525">
        <v>5.9881349999999998</v>
      </c>
      <c r="E1525">
        <v>0.52655699999999905</v>
      </c>
      <c r="F1525" t="s">
        <v>60</v>
      </c>
      <c r="G1525">
        <v>-226.2251</v>
      </c>
      <c r="H1525" s="1">
        <v>1.7758950000000001E-6</v>
      </c>
      <c r="I1525">
        <v>285.46409999999997</v>
      </c>
      <c r="J1525">
        <v>-211.1026</v>
      </c>
      <c r="K1525">
        <v>1.113248</v>
      </c>
      <c r="L1525">
        <v>283.66640000000001</v>
      </c>
      <c r="M1525">
        <v>-0.99641230000000003</v>
      </c>
      <c r="N1525">
        <v>-1.5552389999999999E-2</v>
      </c>
      <c r="O1525">
        <v>-8.319066E-2</v>
      </c>
      <c r="P1525">
        <v>-0.98224820000000002</v>
      </c>
      <c r="Q1525">
        <v>0.17711470000000001</v>
      </c>
      <c r="R1525">
        <v>6.1798609999999997E-2</v>
      </c>
      <c r="S1525">
        <v>-3.0731199999999999</v>
      </c>
      <c r="T1525">
        <v>-0.2227857</v>
      </c>
      <c r="U1525">
        <v>0.35797119999999999</v>
      </c>
      <c r="V1525">
        <v>0.147089</v>
      </c>
      <c r="W1525">
        <v>0.18935930000000001</v>
      </c>
      <c r="X1525">
        <v>0.97082840000000004</v>
      </c>
      <c r="Y1525">
        <v>0.19718749999999999</v>
      </c>
      <c r="Z1525">
        <v>1.337231E-2</v>
      </c>
      <c r="AA1525">
        <v>0.9802746</v>
      </c>
      <c r="AB1525">
        <v>25</v>
      </c>
      <c r="AC1525">
        <v>-15.1225</v>
      </c>
      <c r="AD1525">
        <v>-1.1132462241050001</v>
      </c>
      <c r="AE1525">
        <v>1.7976999999999601</v>
      </c>
      <c r="AF1525">
        <v>3.0334600783917902</v>
      </c>
      <c r="AG1525">
        <v>-1.1132462241050001</v>
      </c>
      <c r="AH1525">
        <v>14.841190792376199</v>
      </c>
      <c r="AI1525">
        <v>94.203176741436906</v>
      </c>
      <c r="AJ1525">
        <v>78.448162626456295</v>
      </c>
      <c r="AK1525">
        <v>15.1888821622394</v>
      </c>
      <c r="AL1525">
        <v>79.084603402246898</v>
      </c>
      <c r="AM1525">
        <v>81.384710211858703</v>
      </c>
      <c r="AN1525">
        <v>0.99999995033202305</v>
      </c>
    </row>
    <row r="1526" spans="1:40" x14ac:dyDescent="0.25">
      <c r="A1526" t="str">
        <f>"20190303170527141"</f>
        <v>20190303170527141</v>
      </c>
      <c r="B1526" t="str">
        <f>"1551603927125961"</f>
        <v>1551603927125961</v>
      </c>
      <c r="C1526" t="s">
        <v>40</v>
      </c>
      <c r="D1526">
        <v>5.8382889999999996</v>
      </c>
      <c r="E1526">
        <v>0.52516379999999996</v>
      </c>
      <c r="F1526" t="s">
        <v>60</v>
      </c>
      <c r="G1526">
        <v>-225.7715</v>
      </c>
      <c r="H1526" s="1">
        <v>1.5345169999999999E-6</v>
      </c>
      <c r="I1526">
        <v>285.44159999999999</v>
      </c>
      <c r="J1526">
        <v>-211.3537</v>
      </c>
      <c r="K1526">
        <v>1.113658</v>
      </c>
      <c r="L1526">
        <v>283.65809999999999</v>
      </c>
      <c r="M1526">
        <v>-0.99728240000000001</v>
      </c>
      <c r="N1526">
        <v>-1.5447209999999999E-2</v>
      </c>
      <c r="O1526">
        <v>-7.2037089999999998E-2</v>
      </c>
      <c r="P1526">
        <v>-0.98163590000000001</v>
      </c>
      <c r="Q1526">
        <v>0.17714750000000001</v>
      </c>
      <c r="R1526">
        <v>7.077957E-2</v>
      </c>
      <c r="S1526">
        <v>-3.0728759999999999</v>
      </c>
      <c r="T1526">
        <v>-0.2332051</v>
      </c>
      <c r="U1526">
        <v>0.37188719999999997</v>
      </c>
      <c r="V1526">
        <v>0.14491419999999999</v>
      </c>
      <c r="W1526">
        <v>0.189475</v>
      </c>
      <c r="X1526">
        <v>0.97113289999999997</v>
      </c>
      <c r="Y1526">
        <v>0.1905751</v>
      </c>
      <c r="Z1526">
        <v>1.300958E-2</v>
      </c>
      <c r="AA1526">
        <v>0.98158639999999997</v>
      </c>
      <c r="AB1526">
        <v>25</v>
      </c>
      <c r="AC1526">
        <v>-14.4178</v>
      </c>
      <c r="AD1526">
        <v>-1.1136564654829999</v>
      </c>
      <c r="AE1526">
        <v>1.7835000000000001</v>
      </c>
      <c r="AF1526">
        <v>2.8011449286358601</v>
      </c>
      <c r="AG1526">
        <v>-1.1136564654829999</v>
      </c>
      <c r="AH1526">
        <v>14.1685796339116</v>
      </c>
      <c r="AI1526">
        <v>94.409236095787904</v>
      </c>
      <c r="AJ1526">
        <v>78.816770081123295</v>
      </c>
      <c r="AK1526">
        <v>14.485692681982</v>
      </c>
      <c r="AL1526">
        <v>79.077852665574</v>
      </c>
      <c r="AM1526">
        <v>81.512845755346106</v>
      </c>
      <c r="AN1526">
        <v>1.0000000052245199</v>
      </c>
    </row>
    <row r="1527" spans="1:40" x14ac:dyDescent="0.25">
      <c r="A1527" t="str">
        <f>"20190303170527164"</f>
        <v>20190303170527164</v>
      </c>
      <c r="B1527" t="str">
        <f>"1551603927156218"</f>
        <v>1551603927156218</v>
      </c>
      <c r="C1527" t="s">
        <v>40</v>
      </c>
      <c r="D1527">
        <v>5.928471</v>
      </c>
      <c r="E1527">
        <v>0.50689759999999995</v>
      </c>
      <c r="F1527" t="s">
        <v>60</v>
      </c>
      <c r="G1527">
        <v>-225.66820000000001</v>
      </c>
      <c r="H1527" s="1">
        <v>1.479554E-6</v>
      </c>
      <c r="I1527">
        <v>285.47269999999997</v>
      </c>
      <c r="J1527">
        <v>-211.6088</v>
      </c>
      <c r="K1527">
        <v>1.114093</v>
      </c>
      <c r="L1527">
        <v>283.65199999999999</v>
      </c>
      <c r="M1527">
        <v>-0.99799870000000002</v>
      </c>
      <c r="N1527">
        <v>-1.533502E-2</v>
      </c>
      <c r="O1527">
        <v>-6.1348800000000002E-2</v>
      </c>
      <c r="P1527">
        <v>-0.98124610000000001</v>
      </c>
      <c r="Q1527">
        <v>0.17618699999999901</v>
      </c>
      <c r="R1527">
        <v>7.8194529999999998E-2</v>
      </c>
      <c r="S1527">
        <v>-3.071167</v>
      </c>
      <c r="T1527">
        <v>-0.2389336</v>
      </c>
      <c r="U1527">
        <v>0.38931270000000001</v>
      </c>
      <c r="V1527">
        <v>0.14162739999999999</v>
      </c>
      <c r="W1527">
        <v>0.18862419999999999</v>
      </c>
      <c r="X1527">
        <v>0.97178319999999996</v>
      </c>
      <c r="Y1527">
        <v>0.1856081</v>
      </c>
      <c r="Z1527">
        <v>1.242563E-2</v>
      </c>
      <c r="AA1527">
        <v>0.98254529999999995</v>
      </c>
      <c r="AB1527">
        <v>25</v>
      </c>
      <c r="AC1527">
        <v>-14.0594</v>
      </c>
      <c r="AD1527">
        <v>-1.114091520446</v>
      </c>
      <c r="AE1527">
        <v>1.82069999999998</v>
      </c>
      <c r="AF1527">
        <v>2.6634497189073301</v>
      </c>
      <c r="AG1527">
        <v>-1.114091520446</v>
      </c>
      <c r="AH1527">
        <v>13.835755147343599</v>
      </c>
      <c r="AI1527">
        <v>94.521020033082493</v>
      </c>
      <c r="AJ1527">
        <v>79.103580903743804</v>
      </c>
      <c r="AK1527">
        <v>14.133764000376001</v>
      </c>
      <c r="AL1527">
        <v>79.127495017611906</v>
      </c>
      <c r="AM1527">
        <v>81.708107716190298</v>
      </c>
      <c r="AN1527">
        <v>0.99999999852931998</v>
      </c>
    </row>
    <row r="1528" spans="1:40" x14ac:dyDescent="0.25">
      <c r="A1528" t="str">
        <f>"20190303170527187"</f>
        <v>20190303170527187</v>
      </c>
      <c r="B1528" t="str">
        <f>"1551603927175737"</f>
        <v>1551603927175737</v>
      </c>
      <c r="C1528" t="s">
        <v>40</v>
      </c>
      <c r="D1528">
        <v>5.9780680000000004</v>
      </c>
      <c r="E1528">
        <v>0.50674390000000002</v>
      </c>
      <c r="F1528" t="s">
        <v>42</v>
      </c>
      <c r="G1528">
        <v>-212.5581</v>
      </c>
      <c r="H1528">
        <v>1.0218100000000001</v>
      </c>
      <c r="I1528">
        <v>283.73430000000002</v>
      </c>
      <c r="J1528">
        <v>-211.874</v>
      </c>
      <c r="K1528">
        <v>1.114573</v>
      </c>
      <c r="L1528">
        <v>283.64800000000002</v>
      </c>
      <c r="M1528">
        <v>-0.99858409999999997</v>
      </c>
      <c r="N1528">
        <v>-1.52143E-2</v>
      </c>
      <c r="O1528">
        <v>-5.0975079999999999E-2</v>
      </c>
      <c r="P1528">
        <v>-0.98060950000000002</v>
      </c>
      <c r="Q1528">
        <v>0.1759145</v>
      </c>
      <c r="R1528">
        <v>8.6367120000000006E-2</v>
      </c>
      <c r="S1528">
        <v>-3.0899510000000001</v>
      </c>
      <c r="T1528">
        <v>-0.30017640000000001</v>
      </c>
      <c r="U1528">
        <v>0.26715090000000002</v>
      </c>
      <c r="V1528">
        <v>0.139391299999999</v>
      </c>
      <c r="W1528">
        <v>0.18844150000000001</v>
      </c>
      <c r="X1528">
        <v>0.9721419</v>
      </c>
      <c r="Y1528">
        <v>0.13591039999999999</v>
      </c>
      <c r="Z1528">
        <v>1.177248E-2</v>
      </c>
      <c r="AA1528">
        <v>0.99065119999999895</v>
      </c>
      <c r="AB1528">
        <v>25</v>
      </c>
      <c r="AC1528">
        <v>-0.68409999999997195</v>
      </c>
      <c r="AD1528">
        <v>-9.2762999999999901E-2</v>
      </c>
      <c r="AE1528">
        <v>8.63000000000511E-2</v>
      </c>
      <c r="AF1528">
        <v>0.118911687343487</v>
      </c>
      <c r="AG1528">
        <v>-9.2762999999999901E-2</v>
      </c>
      <c r="AH1528">
        <v>0.66674339887723699</v>
      </c>
      <c r="AI1528">
        <v>97.799115576010294</v>
      </c>
      <c r="AJ1528">
        <v>79.887790072375793</v>
      </c>
      <c r="AK1528">
        <v>0.68358739273208202</v>
      </c>
      <c r="AL1528">
        <v>79.138154162854605</v>
      </c>
      <c r="AM1528">
        <v>81.840218362293101</v>
      </c>
      <c r="AN1528">
        <v>1.00000000358677</v>
      </c>
    </row>
    <row r="1529" spans="1:40" x14ac:dyDescent="0.25">
      <c r="A1529" t="str">
        <f>"20190303170527207"</f>
        <v>20190303170527207</v>
      </c>
      <c r="B1529" t="str">
        <f>"1551603927196234"</f>
        <v>1551603927196234</v>
      </c>
      <c r="C1529" t="s">
        <v>40</v>
      </c>
      <c r="D1529">
        <v>5.8590439999999999</v>
      </c>
      <c r="E1529">
        <v>0.50504470000000001</v>
      </c>
      <c r="F1529" t="s">
        <v>42</v>
      </c>
      <c r="G1529">
        <v>-212.7861</v>
      </c>
      <c r="H1529">
        <v>1.0288219999999999</v>
      </c>
      <c r="I1529">
        <v>283.73410000000001</v>
      </c>
      <c r="J1529">
        <v>-212.107</v>
      </c>
      <c r="K1529">
        <v>1.1149739999999999</v>
      </c>
      <c r="L1529">
        <v>283.64609999999999</v>
      </c>
      <c r="M1529">
        <v>-0.99899020000000005</v>
      </c>
      <c r="N1529">
        <v>-1.5113909999999999E-2</v>
      </c>
      <c r="O1529">
        <v>-4.2310090000000002E-2</v>
      </c>
      <c r="P1529">
        <v>-0.97987590000000002</v>
      </c>
      <c r="Q1529">
        <v>0.17626749999999999</v>
      </c>
      <c r="R1529">
        <v>9.3664639999999993E-2</v>
      </c>
      <c r="S1529">
        <v>-3.085693</v>
      </c>
      <c r="T1529">
        <v>-0.28998980000000002</v>
      </c>
      <c r="U1529">
        <v>0.29110720000000001</v>
      </c>
      <c r="V1529">
        <v>0.13800809999999999</v>
      </c>
      <c r="W1529">
        <v>0.1888532</v>
      </c>
      <c r="X1529">
        <v>0.97225930000000005</v>
      </c>
      <c r="Y1529">
        <v>0.13515060000000001</v>
      </c>
      <c r="Z1529">
        <v>1.067209E-2</v>
      </c>
      <c r="AA1529">
        <v>0.99076759999999997</v>
      </c>
      <c r="AB1529">
        <v>25</v>
      </c>
      <c r="AC1529">
        <v>-0.67910000000000503</v>
      </c>
      <c r="AD1529">
        <v>-8.6151999999999895E-2</v>
      </c>
      <c r="AE1529">
        <v>8.8000000000022199E-2</v>
      </c>
      <c r="AF1529">
        <v>0.114839542906905</v>
      </c>
      <c r="AG1529">
        <v>-8.6151999999999895E-2</v>
      </c>
      <c r="AH1529">
        <v>0.66425409297338001</v>
      </c>
      <c r="AI1529">
        <v>97.283004819435007</v>
      </c>
      <c r="AJ1529">
        <v>80.191378438740898</v>
      </c>
      <c r="AK1529">
        <v>0.67959089734262601</v>
      </c>
      <c r="AL1529">
        <v>79.114133692112105</v>
      </c>
      <c r="AM1529">
        <v>81.921077334216207</v>
      </c>
      <c r="AN1529">
        <v>0.99999995662616903</v>
      </c>
    </row>
    <row r="1530" spans="1:40" x14ac:dyDescent="0.25">
      <c r="A1530" t="str">
        <f>"20190303170527231"</f>
        <v>20190303170527231</v>
      </c>
      <c r="B1530" t="str">
        <f>"1551603927226490"</f>
        <v>1551603927226490</v>
      </c>
      <c r="C1530" t="s">
        <v>40</v>
      </c>
      <c r="D1530">
        <v>5.8794729999999999</v>
      </c>
      <c r="E1530">
        <v>0.50349969999999999</v>
      </c>
      <c r="F1530" t="s">
        <v>42</v>
      </c>
      <c r="G1530">
        <v>-213.011</v>
      </c>
      <c r="H1530">
        <v>1.030502</v>
      </c>
      <c r="I1530">
        <v>283.73259999999999</v>
      </c>
      <c r="J1530">
        <v>-212.36789999999999</v>
      </c>
      <c r="K1530">
        <v>1.115394</v>
      </c>
      <c r="L1530">
        <v>283.64580000000001</v>
      </c>
      <c r="M1530">
        <v>-0.99933760000000005</v>
      </c>
      <c r="N1530">
        <v>-1.500978E-2</v>
      </c>
      <c r="O1530">
        <v>-3.3158420000000001E-2</v>
      </c>
      <c r="P1530">
        <v>-0.97931319999999999</v>
      </c>
      <c r="Q1530">
        <v>0.1756144</v>
      </c>
      <c r="R1530">
        <v>0.1005268</v>
      </c>
      <c r="S1530">
        <v>-3.0852659999999998</v>
      </c>
      <c r="T1530">
        <v>-0.28805429999999999</v>
      </c>
      <c r="U1530">
        <v>0.29470829999999998</v>
      </c>
      <c r="V1530">
        <v>0.13570760000000001</v>
      </c>
      <c r="W1530">
        <v>0.18827669999999999</v>
      </c>
      <c r="X1530">
        <v>0.97269490000000003</v>
      </c>
      <c r="Y1530">
        <v>0.1273089</v>
      </c>
      <c r="Z1530">
        <v>9.4641959999999994E-3</v>
      </c>
      <c r="AA1530">
        <v>0.99181799999999998</v>
      </c>
      <c r="AB1530">
        <v>25</v>
      </c>
      <c r="AC1530">
        <v>-0.643100000000004</v>
      </c>
      <c r="AD1530">
        <v>-8.4891999999999898E-2</v>
      </c>
      <c r="AE1530">
        <v>8.6799999999982405E-2</v>
      </c>
      <c r="AF1530">
        <v>0.106260361576457</v>
      </c>
      <c r="AG1530">
        <v>-8.4891999999999898E-2</v>
      </c>
      <c r="AH1530">
        <v>0.62910174656829099</v>
      </c>
      <c r="AI1530">
        <v>97.579081087438496</v>
      </c>
      <c r="AJ1530">
        <v>80.412771353069999</v>
      </c>
      <c r="AK1530">
        <v>0.64363570724566999</v>
      </c>
      <c r="AL1530">
        <v>79.1477687671469</v>
      </c>
      <c r="AM1530">
        <v>82.057526025240605</v>
      </c>
      <c r="AN1530">
        <v>1.00000001847333</v>
      </c>
    </row>
    <row r="1531" spans="1:40" x14ac:dyDescent="0.25">
      <c r="A1531" t="str">
        <f>"20190303170527253"</f>
        <v>20190303170527253</v>
      </c>
      <c r="B1531" t="str">
        <f>"1551603927246010"</f>
        <v>1551603927246010</v>
      </c>
      <c r="C1531" t="s">
        <v>40</v>
      </c>
      <c r="D1531">
        <v>5.8788429999999998</v>
      </c>
      <c r="E1531">
        <v>0.47800490000000001</v>
      </c>
      <c r="F1531" t="s">
        <v>42</v>
      </c>
      <c r="G1531">
        <v>-213.2363</v>
      </c>
      <c r="H1531">
        <v>1.033968</v>
      </c>
      <c r="I1531">
        <v>283.73039999999997</v>
      </c>
      <c r="J1531">
        <v>-212.62289999999999</v>
      </c>
      <c r="K1531">
        <v>1.115802</v>
      </c>
      <c r="L1531">
        <v>283.64710000000002</v>
      </c>
      <c r="M1531">
        <v>-0.99958069999999999</v>
      </c>
      <c r="N1531">
        <v>-1.4911560000000001E-2</v>
      </c>
      <c r="O1531">
        <v>-2.481734E-2</v>
      </c>
      <c r="P1531">
        <v>-0.97945970000000004</v>
      </c>
      <c r="Q1531">
        <v>0.17234739999999901</v>
      </c>
      <c r="R1531">
        <v>0.1046665</v>
      </c>
      <c r="S1531">
        <v>-3.0843959999999999</v>
      </c>
      <c r="T1531">
        <v>-0.2891628</v>
      </c>
      <c r="U1531">
        <v>0.30035400000000001</v>
      </c>
      <c r="V1531">
        <v>0.13147490000000001</v>
      </c>
      <c r="W1531">
        <v>0.1851189</v>
      </c>
      <c r="X1531">
        <v>0.97388160000000001</v>
      </c>
      <c r="Y1531">
        <v>0.12090720000000001</v>
      </c>
      <c r="Z1531">
        <v>8.4959440000000001E-3</v>
      </c>
      <c r="AA1531">
        <v>0.99262740000000005</v>
      </c>
      <c r="AB1531">
        <v>25</v>
      </c>
      <c r="AC1531">
        <v>-0.61340000000001205</v>
      </c>
      <c r="AD1531">
        <v>-8.1833999999999907E-2</v>
      </c>
      <c r="AE1531">
        <v>8.3299999999951496E-2</v>
      </c>
      <c r="AF1531">
        <v>9.6807179263500007E-2</v>
      </c>
      <c r="AG1531">
        <v>-8.1833999999999907E-2</v>
      </c>
      <c r="AH1531">
        <v>0.60064657517245301</v>
      </c>
      <c r="AI1531">
        <v>97.660726092662998</v>
      </c>
      <c r="AJ1531">
        <v>80.844282005966605</v>
      </c>
      <c r="AK1531">
        <v>0.61387681319573595</v>
      </c>
      <c r="AL1531">
        <v>79.331935543635495</v>
      </c>
      <c r="AM1531">
        <v>82.311501153150303</v>
      </c>
      <c r="AN1531">
        <v>1.0000000136428899</v>
      </c>
    </row>
    <row r="1532" spans="1:40" x14ac:dyDescent="0.25">
      <c r="A1532" t="str">
        <f>"20190303170527275"</f>
        <v>20190303170527275</v>
      </c>
      <c r="B1532" t="str">
        <f>"1551603927266506"</f>
        <v>1551603927266506</v>
      </c>
      <c r="C1532" t="s">
        <v>40</v>
      </c>
      <c r="D1532">
        <v>5.8273289999999998</v>
      </c>
      <c r="E1532">
        <v>0.47298689999999999</v>
      </c>
      <c r="F1532" t="s">
        <v>60</v>
      </c>
      <c r="G1532">
        <v>-228.84180000000001</v>
      </c>
      <c r="H1532" s="1">
        <v>3.1683729999999999E-6</v>
      </c>
      <c r="I1532">
        <v>284.2473</v>
      </c>
      <c r="J1532">
        <v>-212.8623</v>
      </c>
      <c r="K1532">
        <v>1.1161840000000001</v>
      </c>
      <c r="L1532">
        <v>283.6497</v>
      </c>
      <c r="M1532">
        <v>-0.99973610000000002</v>
      </c>
      <c r="N1532">
        <v>-1.4818919999999999E-2</v>
      </c>
      <c r="O1532">
        <v>-1.754961E-2</v>
      </c>
      <c r="P1532">
        <v>-0.98004389999999997</v>
      </c>
      <c r="Q1532">
        <v>0.16814470000000001</v>
      </c>
      <c r="R1532">
        <v>0.10602350000000001</v>
      </c>
      <c r="S1532">
        <v>-3.0880890000000001</v>
      </c>
      <c r="T1532">
        <v>-0.21244869999999999</v>
      </c>
      <c r="U1532">
        <v>0.1142883</v>
      </c>
      <c r="V1532">
        <v>0.12550890000000001</v>
      </c>
      <c r="W1532">
        <v>0.18104609999999999</v>
      </c>
      <c r="X1532">
        <v>0.9754332</v>
      </c>
      <c r="Y1532">
        <v>5.4336410000000002E-2</v>
      </c>
      <c r="Z1532">
        <v>3.2153870000000001E-3</v>
      </c>
      <c r="AA1532">
        <v>0.99851749999999995</v>
      </c>
      <c r="AB1532">
        <v>25</v>
      </c>
      <c r="AC1532">
        <v>-15.9795</v>
      </c>
      <c r="AD1532">
        <v>-1.1161808316269901</v>
      </c>
      <c r="AE1532">
        <v>0.59759999999999902</v>
      </c>
      <c r="AF1532">
        <v>0.87371573292833304</v>
      </c>
      <c r="AG1532">
        <v>-1.1161808316269901</v>
      </c>
      <c r="AH1532">
        <v>15.889132783803101</v>
      </c>
      <c r="AI1532">
        <v>94.012274910578896</v>
      </c>
      <c r="AJ1532">
        <v>86.852574638870806</v>
      </c>
      <c r="AK1532">
        <v>15.9522343090924</v>
      </c>
      <c r="AL1532">
        <v>79.569302444090795</v>
      </c>
      <c r="AM1532">
        <v>82.668042715832399</v>
      </c>
      <c r="AN1532">
        <v>1.00000005098332</v>
      </c>
    </row>
    <row r="1533" spans="1:40" x14ac:dyDescent="0.25">
      <c r="A1533" t="str">
        <f>"20190303170527307"</f>
        <v>20190303170527307</v>
      </c>
      <c r="B1533" t="str">
        <f>"1551603927295795"</f>
        <v>1551603927295795</v>
      </c>
      <c r="C1533" t="s">
        <v>40</v>
      </c>
      <c r="D1533">
        <v>5.7916860000000003</v>
      </c>
      <c r="E1533">
        <v>0.4644278</v>
      </c>
      <c r="F1533" t="s">
        <v>60</v>
      </c>
      <c r="G1533">
        <v>-229.71520000000001</v>
      </c>
      <c r="H1533" s="1">
        <v>3.6331380000000002E-6</v>
      </c>
      <c r="I1533">
        <v>284.09300000000002</v>
      </c>
      <c r="J1533">
        <v>-213.2193</v>
      </c>
      <c r="K1533">
        <v>1.116792</v>
      </c>
      <c r="L1533">
        <v>283.65559999999999</v>
      </c>
      <c r="M1533">
        <v>-0.99986249999999999</v>
      </c>
      <c r="N1533">
        <v>-1.468389E-2</v>
      </c>
      <c r="O1533">
        <v>-7.7115169999999898E-3</v>
      </c>
      <c r="P1533">
        <v>-0.97967769999999998</v>
      </c>
      <c r="Q1533">
        <v>0.16638549999999999</v>
      </c>
      <c r="R1533">
        <v>0.112016</v>
      </c>
      <c r="S1533">
        <v>-3.0873870000000001</v>
      </c>
      <c r="T1533">
        <v>-0.20448060000000001</v>
      </c>
      <c r="U1533">
        <v>8.1207280000000007E-2</v>
      </c>
      <c r="V1533">
        <v>0.1215743</v>
      </c>
      <c r="W1533">
        <v>0.1793971</v>
      </c>
      <c r="X1533">
        <v>0.97623579999999999</v>
      </c>
      <c r="Y1533">
        <v>3.3901760000000003E-2</v>
      </c>
      <c r="Z1533">
        <v>1.7675259999999999E-3</v>
      </c>
      <c r="AA1533">
        <v>0.99942359999999997</v>
      </c>
      <c r="AB1533">
        <v>25</v>
      </c>
      <c r="AC1533">
        <v>-16.495899999999999</v>
      </c>
      <c r="AD1533">
        <v>-1.116788366862</v>
      </c>
      <c r="AE1533">
        <v>0.43740000000002499</v>
      </c>
      <c r="AF1533">
        <v>0.56203488204892005</v>
      </c>
      <c r="AG1533">
        <v>-1.116788366862</v>
      </c>
      <c r="AH1533">
        <v>16.416843584829198</v>
      </c>
      <c r="AI1533">
        <v>93.889391773279797</v>
      </c>
      <c r="AJ1533">
        <v>88.039229986597206</v>
      </c>
      <c r="AK1533">
        <v>16.464381335287001</v>
      </c>
      <c r="AL1533">
        <v>79.665355264347795</v>
      </c>
      <c r="AM1533">
        <v>82.901288621235594</v>
      </c>
      <c r="AN1533">
        <v>0.99999998355526898</v>
      </c>
    </row>
    <row r="1534" spans="1:40" x14ac:dyDescent="0.25">
      <c r="A1534" t="str">
        <f>"20190303170527331"</f>
        <v>20190303170527331</v>
      </c>
      <c r="B1534" t="str">
        <f>"1551603927316281"</f>
        <v>1551603927316281</v>
      </c>
      <c r="C1534" t="s">
        <v>40</v>
      </c>
      <c r="D1534">
        <v>5.7348840000000001</v>
      </c>
      <c r="E1534">
        <v>0.46132459999999997</v>
      </c>
      <c r="F1534" t="s">
        <v>60</v>
      </c>
      <c r="G1534">
        <v>-232.4522</v>
      </c>
      <c r="H1534" s="1">
        <v>-1.9802490000000001E-7</v>
      </c>
      <c r="I1534">
        <v>283.84219999999999</v>
      </c>
      <c r="J1534">
        <v>-213.48419999999999</v>
      </c>
      <c r="K1534">
        <v>1.117254</v>
      </c>
      <c r="L1534">
        <v>283.66149999999999</v>
      </c>
      <c r="M1534">
        <v>-0.99989289999999997</v>
      </c>
      <c r="N1534">
        <v>-1.459161E-2</v>
      </c>
      <c r="O1534">
        <v>-1.185602E-3</v>
      </c>
      <c r="P1534">
        <v>-0.97917829999999995</v>
      </c>
      <c r="Q1534">
        <v>0.16704369999999999</v>
      </c>
      <c r="R1534">
        <v>0.11535330000000001</v>
      </c>
      <c r="S1534">
        <v>-3.089264</v>
      </c>
      <c r="T1534">
        <v>-0.17938380000000001</v>
      </c>
      <c r="U1534">
        <v>2.996826E-2</v>
      </c>
      <c r="V1534">
        <v>0.11832529999999999</v>
      </c>
      <c r="W1534">
        <v>0.18013489999999999</v>
      </c>
      <c r="X1534">
        <v>0.97649909999999995</v>
      </c>
      <c r="Y1534">
        <v>1.086197E-2</v>
      </c>
      <c r="Z1534">
        <v>4.4591880000000001E-4</v>
      </c>
      <c r="AA1534">
        <v>0.99994090000000002</v>
      </c>
      <c r="AB1534">
        <v>25</v>
      </c>
      <c r="AC1534">
        <v>-18.968</v>
      </c>
      <c r="AD1534">
        <v>-1.1172541980249</v>
      </c>
      <c r="AE1534">
        <v>0.180700000000001</v>
      </c>
      <c r="AF1534">
        <v>0.20248830493101899</v>
      </c>
      <c r="AG1534">
        <v>-1.1172541980249</v>
      </c>
      <c r="AH1534">
        <v>18.9021980833862</v>
      </c>
      <c r="AI1534">
        <v>93.382458402647003</v>
      </c>
      <c r="AJ1534">
        <v>89.3862469611406</v>
      </c>
      <c r="AK1534">
        <v>18.936270774368602</v>
      </c>
      <c r="AL1534">
        <v>79.622382298522197</v>
      </c>
      <c r="AM1534">
        <v>83.090983387150601</v>
      </c>
      <c r="AN1534">
        <v>0.99999997555945397</v>
      </c>
    </row>
    <row r="1535" spans="1:40" x14ac:dyDescent="0.25">
      <c r="A1535" t="str">
        <f>"20190303170527353"</f>
        <v>20190303170527353</v>
      </c>
      <c r="B1535" t="str">
        <f>"1551603927346539"</f>
        <v>1551603927346539</v>
      </c>
      <c r="C1535" t="s">
        <v>40</v>
      </c>
      <c r="D1535">
        <v>5.9045719999999999</v>
      </c>
      <c r="E1535">
        <v>0.45841150000000003</v>
      </c>
      <c r="F1535" t="s">
        <v>60</v>
      </c>
      <c r="G1535">
        <v>-234.0977</v>
      </c>
      <c r="H1535" s="1">
        <v>6.8148399999999898E-7</v>
      </c>
      <c r="I1535">
        <v>283.75490000000002</v>
      </c>
      <c r="J1535">
        <v>-213.7388</v>
      </c>
      <c r="K1535">
        <v>1.1176360000000001</v>
      </c>
      <c r="L1535">
        <v>283.66809999999998</v>
      </c>
      <c r="M1535">
        <v>-0.9998842</v>
      </c>
      <c r="N1535">
        <v>-1.451125E-2</v>
      </c>
      <c r="O1535">
        <v>4.5852239999999997E-3</v>
      </c>
      <c r="P1535">
        <v>-0.97936460000000003</v>
      </c>
      <c r="Q1535">
        <v>0.1650054</v>
      </c>
      <c r="R1535">
        <v>0.1166982</v>
      </c>
      <c r="S1535">
        <v>-3.0907140000000002</v>
      </c>
      <c r="T1535">
        <v>-0.1675162</v>
      </c>
      <c r="U1535">
        <v>1.400757E-2</v>
      </c>
      <c r="V1535">
        <v>0.1138266</v>
      </c>
      <c r="W1535">
        <v>0.17818239999999999</v>
      </c>
      <c r="X1535">
        <v>0.97739169999999997</v>
      </c>
      <c r="Y1535" s="1">
        <v>-4.9905450000000002E-5</v>
      </c>
      <c r="Z1535">
        <v>-1.835424E-4</v>
      </c>
      <c r="AA1535">
        <v>1</v>
      </c>
      <c r="AB1535">
        <v>25</v>
      </c>
      <c r="AC1535">
        <v>-20.358899999999998</v>
      </c>
      <c r="AD1535">
        <v>-1.117635318516</v>
      </c>
      <c r="AE1535">
        <v>8.6800000000039207E-2</v>
      </c>
      <c r="AF1535">
        <v>-6.5411467903360504E-3</v>
      </c>
      <c r="AG1535">
        <v>-1.117635318516</v>
      </c>
      <c r="AH1535">
        <v>20.2979144480447</v>
      </c>
      <c r="AI1535">
        <v>93.151613777982902</v>
      </c>
      <c r="AJ1535">
        <v>90.018463970387103</v>
      </c>
      <c r="AK1535">
        <v>20.3286615996218</v>
      </c>
      <c r="AL1535">
        <v>79.736092375862597</v>
      </c>
      <c r="AM1535">
        <v>83.3572826495611</v>
      </c>
      <c r="AN1535">
        <v>0.99999999888310398</v>
      </c>
    </row>
    <row r="1536" spans="1:40" x14ac:dyDescent="0.25">
      <c r="A1536" t="str">
        <f>"20190303170527374"</f>
        <v>20190303170527374</v>
      </c>
      <c r="B1536" t="str">
        <f>"1551603927366057"</f>
        <v>1551603927366057</v>
      </c>
      <c r="C1536" t="s">
        <v>40</v>
      </c>
      <c r="D1536">
        <v>5.9459669999999996</v>
      </c>
      <c r="E1536">
        <v>0.45735740000000003</v>
      </c>
      <c r="F1536" t="s">
        <v>60</v>
      </c>
      <c r="G1536">
        <v>-233.8895</v>
      </c>
      <c r="H1536" s="1">
        <v>5.7532330000000005E-7</v>
      </c>
      <c r="I1536">
        <v>283.64839999999998</v>
      </c>
      <c r="J1536">
        <v>-213.98179999999999</v>
      </c>
      <c r="K1536">
        <v>1.117991</v>
      </c>
      <c r="L1536">
        <v>283.67520000000002</v>
      </c>
      <c r="M1536">
        <v>-0.99985009999999996</v>
      </c>
      <c r="N1536">
        <v>-1.443849E-2</v>
      </c>
      <c r="O1536">
        <v>9.5661849999999996E-3</v>
      </c>
      <c r="P1536">
        <v>-0.97997290000000004</v>
      </c>
      <c r="Q1536">
        <v>0.162248</v>
      </c>
      <c r="R1536">
        <v>0.1154509</v>
      </c>
      <c r="S1536">
        <v>-3.0924839999999998</v>
      </c>
      <c r="T1536">
        <v>-0.171520899999999</v>
      </c>
      <c r="U1536">
        <v>-3.0212400000000001E-3</v>
      </c>
      <c r="V1536">
        <v>0.1075161</v>
      </c>
      <c r="W1536">
        <v>0.17551849999999999</v>
      </c>
      <c r="X1536">
        <v>0.97858750000000005</v>
      </c>
      <c r="Y1536">
        <v>-1.0515679999999999E-2</v>
      </c>
      <c r="Z1536">
        <v>-7.5950140000000002E-4</v>
      </c>
      <c r="AA1536">
        <v>0.99994439999999996</v>
      </c>
      <c r="AB1536">
        <v>25</v>
      </c>
      <c r="AC1536">
        <v>-19.907699999999998</v>
      </c>
      <c r="AD1536">
        <v>-1.1179904246766901</v>
      </c>
      <c r="AE1536">
        <v>-2.6800000000036999E-2</v>
      </c>
      <c r="AF1536">
        <v>-0.21657631192128701</v>
      </c>
      <c r="AG1536">
        <v>-1.1179904246766901</v>
      </c>
      <c r="AH1536">
        <v>19.8439487834851</v>
      </c>
      <c r="AI1536">
        <v>93.224392801854904</v>
      </c>
      <c r="AJ1536">
        <v>90.625299737029096</v>
      </c>
      <c r="AK1536">
        <v>19.876597073194699</v>
      </c>
      <c r="AL1536">
        <v>79.891166741163104</v>
      </c>
      <c r="AM1536">
        <v>83.730136722349798</v>
      </c>
      <c r="AN1536">
        <v>0.99999997537885399</v>
      </c>
    </row>
    <row r="1537" spans="1:40" x14ac:dyDescent="0.25">
      <c r="A1537" t="str">
        <f>"20190303170527396"</f>
        <v>20190303170527396</v>
      </c>
      <c r="B1537" t="str">
        <f>"1551603927386555"</f>
        <v>1551603927386555</v>
      </c>
      <c r="C1537" t="s">
        <v>40</v>
      </c>
      <c r="D1537">
        <v>5.8268199999999997</v>
      </c>
      <c r="E1537">
        <v>0.4562425</v>
      </c>
      <c r="F1537" t="s">
        <v>60</v>
      </c>
      <c r="G1537">
        <v>-233.4872</v>
      </c>
      <c r="H1537" s="1">
        <v>3.6334329999999998E-7</v>
      </c>
      <c r="I1537">
        <v>283.59969999999998</v>
      </c>
      <c r="J1537">
        <v>-214.21549999999999</v>
      </c>
      <c r="K1537">
        <v>1.1183240000000001</v>
      </c>
      <c r="L1537">
        <v>283.68259999999998</v>
      </c>
      <c r="M1537">
        <v>-0.99980100000000005</v>
      </c>
      <c r="N1537">
        <v>-1.436606E-2</v>
      </c>
      <c r="O1537">
        <v>1.383673E-2</v>
      </c>
      <c r="P1537">
        <v>-0.98014489999999999</v>
      </c>
      <c r="Q1537">
        <v>0.1617912</v>
      </c>
      <c r="R1537">
        <v>0.11462799999999999</v>
      </c>
      <c r="S1537">
        <v>-3.0920719999999999</v>
      </c>
      <c r="T1537">
        <v>-0.17722829999999901</v>
      </c>
      <c r="U1537">
        <v>-1.196289E-2</v>
      </c>
      <c r="V1537">
        <v>0.1023502</v>
      </c>
      <c r="W1537">
        <v>0.17512559999999999</v>
      </c>
      <c r="X1537">
        <v>0.97921159999999996</v>
      </c>
      <c r="Y1537">
        <v>-1.7657539999999999E-2</v>
      </c>
      <c r="Z1537">
        <v>-1.2263370000000001E-3</v>
      </c>
      <c r="AA1537">
        <v>0.99984340000000005</v>
      </c>
      <c r="AB1537">
        <v>25</v>
      </c>
      <c r="AC1537">
        <v>-19.271699999999999</v>
      </c>
      <c r="AD1537">
        <v>-1.1183236366567</v>
      </c>
      <c r="AE1537">
        <v>-8.2899999999995005E-2</v>
      </c>
      <c r="AF1537">
        <v>-0.34840371541524601</v>
      </c>
      <c r="AG1537">
        <v>-1.1183236366567</v>
      </c>
      <c r="AH1537">
        <v>19.204040986709199</v>
      </c>
      <c r="AI1537">
        <v>93.332237986843694</v>
      </c>
      <c r="AJ1537">
        <v>91.039357956150099</v>
      </c>
      <c r="AK1537">
        <v>19.2397303287865</v>
      </c>
      <c r="AL1537">
        <v>79.914032141985601</v>
      </c>
      <c r="AM1537">
        <v>84.032936630271294</v>
      </c>
      <c r="AN1537">
        <v>0.99999994839497797</v>
      </c>
    </row>
    <row r="1538" spans="1:40" x14ac:dyDescent="0.25">
      <c r="A1538" t="str">
        <f>"20190303170527418"</f>
        <v>20190303170527418</v>
      </c>
      <c r="B1538" t="str">
        <f>"1551603927406074"</f>
        <v>1551603927406074</v>
      </c>
      <c r="C1538" t="s">
        <v>40</v>
      </c>
      <c r="D1538">
        <v>5.9115609999999998</v>
      </c>
      <c r="E1538">
        <v>0.45573940000000002</v>
      </c>
      <c r="F1538" t="s">
        <v>60</v>
      </c>
      <c r="G1538">
        <v>-234.0086</v>
      </c>
      <c r="H1538" s="1">
        <v>6.438261E-7</v>
      </c>
      <c r="I1538">
        <v>283.53160000000003</v>
      </c>
      <c r="J1538">
        <v>-214.45689999999999</v>
      </c>
      <c r="K1538">
        <v>1.1187039999999999</v>
      </c>
      <c r="L1538">
        <v>283.69069999999999</v>
      </c>
      <c r="M1538">
        <v>-0.99974079999999999</v>
      </c>
      <c r="N1538">
        <v>-1.428867E-2</v>
      </c>
      <c r="O1538">
        <v>1.7731960000000001E-2</v>
      </c>
      <c r="P1538">
        <v>-0.97955579999999998</v>
      </c>
      <c r="Q1538">
        <v>0.16392399999999999</v>
      </c>
      <c r="R1538">
        <v>0.1166155</v>
      </c>
      <c r="S1538">
        <v>-3.0923609999999999</v>
      </c>
      <c r="T1538">
        <v>-0.1747205</v>
      </c>
      <c r="U1538">
        <v>-2.3590090000000001E-2</v>
      </c>
      <c r="V1538">
        <v>0.1003791</v>
      </c>
      <c r="W1538">
        <v>0.17728329999999901</v>
      </c>
      <c r="X1538">
        <v>0.97902739999999999</v>
      </c>
      <c r="Y1538">
        <v>-2.5293989999999999E-2</v>
      </c>
      <c r="Z1538">
        <v>-1.6426870000000001E-3</v>
      </c>
      <c r="AA1538">
        <v>0.99967870000000003</v>
      </c>
      <c r="AB1538">
        <v>25</v>
      </c>
      <c r="AC1538">
        <v>-19.5517</v>
      </c>
      <c r="AD1538">
        <v>-1.1187033561738999</v>
      </c>
      <c r="AE1538">
        <v>-0.15909999999996599</v>
      </c>
      <c r="AF1538">
        <v>-0.50414988558613505</v>
      </c>
      <c r="AG1538">
        <v>-1.1187033561738999</v>
      </c>
      <c r="AH1538">
        <v>19.482026631022201</v>
      </c>
      <c r="AI1538">
        <v>93.285350718937195</v>
      </c>
      <c r="AJ1538">
        <v>91.482351708781493</v>
      </c>
      <c r="AK1538">
        <v>19.520630777669801</v>
      </c>
      <c r="AL1538">
        <v>79.788440378184603</v>
      </c>
      <c r="AM1538">
        <v>84.145953565085705</v>
      </c>
      <c r="AN1538">
        <v>0.99999999106322901</v>
      </c>
    </row>
    <row r="1539" spans="1:40" x14ac:dyDescent="0.25">
      <c r="A1539" t="str">
        <f>"20190303170527444"</f>
        <v>20190303170527444</v>
      </c>
      <c r="B1539" t="str">
        <f>"1551603927436329"</f>
        <v>1551603927436329</v>
      </c>
      <c r="C1539" t="s">
        <v>40</v>
      </c>
      <c r="D1539">
        <v>5.8512180000000003</v>
      </c>
      <c r="E1539">
        <v>0.45488139999999999</v>
      </c>
      <c r="F1539" t="s">
        <v>60</v>
      </c>
      <c r="G1539">
        <v>-236.14609999999999</v>
      </c>
      <c r="H1539" s="1">
        <v>1.7816339999999999E-6</v>
      </c>
      <c r="I1539">
        <v>283.52359999999999</v>
      </c>
      <c r="J1539">
        <v>-214.73509999999999</v>
      </c>
      <c r="K1539">
        <v>1.119156</v>
      </c>
      <c r="L1539">
        <v>283.70060000000001</v>
      </c>
      <c r="M1539">
        <v>-0.99966509999999997</v>
      </c>
      <c r="N1539">
        <v>-1.4199109999999999E-2</v>
      </c>
      <c r="O1539">
        <v>2.1632430000000001E-2</v>
      </c>
      <c r="P1539">
        <v>-0.97900799999999999</v>
      </c>
      <c r="Q1539">
        <v>0.16586870000000001</v>
      </c>
      <c r="R1539">
        <v>0.11845169999999999</v>
      </c>
      <c r="S1539">
        <v>-3.092133</v>
      </c>
      <c r="T1539">
        <v>-0.15948809999999999</v>
      </c>
      <c r="U1539">
        <v>-2.3834230000000001E-2</v>
      </c>
      <c r="V1539">
        <v>9.8218959999999994E-2</v>
      </c>
      <c r="W1539">
        <v>0.17925539999999901</v>
      </c>
      <c r="X1539">
        <v>0.97888739999999996</v>
      </c>
      <c r="Y1539">
        <v>-2.9275220000000001E-2</v>
      </c>
      <c r="Z1539">
        <v>-1.77044299999999E-3</v>
      </c>
      <c r="AA1539">
        <v>0.99956979999999995</v>
      </c>
      <c r="AB1539">
        <v>25</v>
      </c>
      <c r="AC1539">
        <v>-21.410999999999898</v>
      </c>
      <c r="AD1539">
        <v>-1.1191542183659999</v>
      </c>
      <c r="AE1539">
        <v>-0.17700000000002</v>
      </c>
      <c r="AF1539">
        <v>-0.63843307335823396</v>
      </c>
      <c r="AG1539">
        <v>-1.1191542183659999</v>
      </c>
      <c r="AH1539">
        <v>21.3438485061242</v>
      </c>
      <c r="AI1539">
        <v>93.000187902595698</v>
      </c>
      <c r="AJ1539">
        <v>91.713309435153107</v>
      </c>
      <c r="AK1539">
        <v>21.382702635682499</v>
      </c>
      <c r="AL1539">
        <v>79.673608048430694</v>
      </c>
      <c r="AM1539">
        <v>84.270270588892004</v>
      </c>
      <c r="AN1539">
        <v>1.0000000022057001</v>
      </c>
    </row>
    <row r="1540" spans="1:40" x14ac:dyDescent="0.25">
      <c r="A1540" t="str">
        <f>"20190303170527465"</f>
        <v>20190303170527465</v>
      </c>
      <c r="B1540" t="str">
        <f>"1551603927455851"</f>
        <v>1551603927455851</v>
      </c>
      <c r="C1540" t="s">
        <v>40</v>
      </c>
      <c r="D1540">
        <v>5.815239</v>
      </c>
      <c r="E1540">
        <v>0.4544607</v>
      </c>
      <c r="F1540" t="s">
        <v>60</v>
      </c>
      <c r="G1540">
        <v>-238.3349</v>
      </c>
      <c r="H1540" s="1">
        <v>2.9471230000000001E-6</v>
      </c>
      <c r="I1540">
        <v>283.50729999999999</v>
      </c>
      <c r="J1540">
        <v>-214.9727</v>
      </c>
      <c r="K1540">
        <v>1.1195200000000001</v>
      </c>
      <c r="L1540">
        <v>283.70929999999998</v>
      </c>
      <c r="M1540">
        <v>-0.9996022</v>
      </c>
      <c r="N1540">
        <v>-1.4119929999999999E-2</v>
      </c>
      <c r="O1540">
        <v>2.4416050000000002E-2</v>
      </c>
      <c r="P1540">
        <v>-0.9793191</v>
      </c>
      <c r="Q1540">
        <v>0.16519049999999999</v>
      </c>
      <c r="R1540">
        <v>0.1168169</v>
      </c>
      <c r="S1540">
        <v>-3.0922239999999999</v>
      </c>
      <c r="T1540">
        <v>-0.14663960000000001</v>
      </c>
      <c r="U1540">
        <v>-2.5329589999999999E-2</v>
      </c>
      <c r="V1540">
        <v>9.3682249999999995E-2</v>
      </c>
      <c r="W1540">
        <v>0.17861399999999999</v>
      </c>
      <c r="X1540">
        <v>0.97944920000000002</v>
      </c>
      <c r="Y1540">
        <v>-3.2545339999999999E-2</v>
      </c>
      <c r="Z1540">
        <v>-1.813676E-3</v>
      </c>
      <c r="AA1540">
        <v>0.99946860000000004</v>
      </c>
      <c r="AB1540">
        <v>25</v>
      </c>
      <c r="AC1540">
        <v>-23.362200000000001</v>
      </c>
      <c r="AD1540">
        <v>-1.119517052877</v>
      </c>
      <c r="AE1540">
        <v>-0.20199999999999799</v>
      </c>
      <c r="AF1540">
        <v>-0.77063975198245005</v>
      </c>
      <c r="AG1540">
        <v>-1.119517052877</v>
      </c>
      <c r="AH1540">
        <v>23.2968083101328</v>
      </c>
      <c r="AI1540">
        <v>92.749703344870795</v>
      </c>
      <c r="AJ1540">
        <v>91.894607631076994</v>
      </c>
      <c r="AK1540">
        <v>23.336419637512801</v>
      </c>
      <c r="AL1540">
        <v>79.710960684192003</v>
      </c>
      <c r="AM1540">
        <v>84.536400373521502</v>
      </c>
      <c r="AN1540">
        <v>1.00000003017085</v>
      </c>
    </row>
    <row r="1541" spans="1:40" x14ac:dyDescent="0.25">
      <c r="A1541" t="str">
        <f>"20190303170527486"</f>
        <v>20190303170527486</v>
      </c>
      <c r="B1541" t="str">
        <f>"1551603927476345"</f>
        <v>1551603927476345</v>
      </c>
      <c r="C1541" t="s">
        <v>40</v>
      </c>
      <c r="D1541">
        <v>6.4159079999999999</v>
      </c>
      <c r="E1541">
        <v>0.45396510000000001</v>
      </c>
      <c r="F1541" t="s">
        <v>60</v>
      </c>
      <c r="G1541">
        <v>-238.6285</v>
      </c>
      <c r="H1541" s="1">
        <v>3.1052369999999999E-6</v>
      </c>
      <c r="I1541">
        <v>283.46440000000001</v>
      </c>
      <c r="J1541">
        <v>-215.20320000000001</v>
      </c>
      <c r="K1541">
        <v>1.1197950000000001</v>
      </c>
      <c r="L1541">
        <v>283.71780000000001</v>
      </c>
      <c r="M1541">
        <v>-0.99954350000000003</v>
      </c>
      <c r="N1541">
        <v>-1.404304E-2</v>
      </c>
      <c r="O1541">
        <v>2.6749129999999999E-2</v>
      </c>
      <c r="P1541">
        <v>-0.9797323</v>
      </c>
      <c r="Q1541">
        <v>0.16495650000000001</v>
      </c>
      <c r="R1541">
        <v>0.11364059999999999</v>
      </c>
      <c r="S1541">
        <v>-3.0918730000000001</v>
      </c>
      <c r="T1541">
        <v>-0.1463236</v>
      </c>
      <c r="U1541">
        <v>-3.2012939999999997E-2</v>
      </c>
      <c r="V1541">
        <v>8.8072410000000004E-2</v>
      </c>
      <c r="W1541">
        <v>0.17840149999999999</v>
      </c>
      <c r="X1541">
        <v>0.9800082</v>
      </c>
      <c r="Y1541">
        <v>-3.7031420000000002E-2</v>
      </c>
      <c r="Z1541">
        <v>-2.0255479999999998E-3</v>
      </c>
      <c r="AA1541">
        <v>0.99931199999999998</v>
      </c>
      <c r="AB1541">
        <v>24</v>
      </c>
      <c r="AC1541">
        <v>-23.4253</v>
      </c>
      <c r="AD1541">
        <v>-1.1197918947629999</v>
      </c>
      <c r="AE1541">
        <v>-0.25339999999999901</v>
      </c>
      <c r="AF1541">
        <v>-0.87797150741207497</v>
      </c>
      <c r="AG1541">
        <v>-1.1197918947629999</v>
      </c>
      <c r="AH1541">
        <v>23.3567711567072</v>
      </c>
      <c r="AI1541">
        <v>92.742891274470495</v>
      </c>
      <c r="AJ1541">
        <v>92.152711468600401</v>
      </c>
      <c r="AK1541">
        <v>23.400075357190399</v>
      </c>
      <c r="AL1541">
        <v>79.723334037270902</v>
      </c>
      <c r="AM1541">
        <v>84.864677890109704</v>
      </c>
      <c r="AN1541">
        <v>0.99999995833634803</v>
      </c>
    </row>
    <row r="1542" spans="1:40" x14ac:dyDescent="0.25">
      <c r="A1542" t="str">
        <f>"20190303170527508"</f>
        <v>20190303170527508</v>
      </c>
      <c r="B1542" t="str">
        <f>"1551603927495869"</f>
        <v>1551603927495869</v>
      </c>
      <c r="C1542" t="s">
        <v>40</v>
      </c>
      <c r="D1542">
        <v>5.7981339999999904</v>
      </c>
      <c r="E1542">
        <v>0.45343929999999999</v>
      </c>
      <c r="F1542" t="s">
        <v>60</v>
      </c>
      <c r="G1542">
        <v>-238.98500000000001</v>
      </c>
      <c r="H1542" s="1">
        <v>3.2989650000000002E-6</v>
      </c>
      <c r="I1542">
        <v>283.3723</v>
      </c>
      <c r="J1542">
        <v>-215.44450000000001</v>
      </c>
      <c r="K1542">
        <v>1.1200509999999999</v>
      </c>
      <c r="L1542">
        <v>283.7269</v>
      </c>
      <c r="M1542">
        <v>-0.99948820000000005</v>
      </c>
      <c r="N1542">
        <v>-1.395559E-2</v>
      </c>
      <c r="O1542">
        <v>2.878696E-2</v>
      </c>
      <c r="P1542">
        <v>-0.98004029999999998</v>
      </c>
      <c r="Q1542">
        <v>0.1655356</v>
      </c>
      <c r="R1542">
        <v>0.11008809999999999</v>
      </c>
      <c r="S1542">
        <v>-3.0917819999999998</v>
      </c>
      <c r="T1542">
        <v>-0.14557979999999901</v>
      </c>
      <c r="U1542">
        <v>-4.4921879999999997E-2</v>
      </c>
      <c r="V1542">
        <v>8.2394250000000002E-2</v>
      </c>
      <c r="W1542">
        <v>0.1789753</v>
      </c>
      <c r="X1542">
        <v>0.98039739999999997</v>
      </c>
      <c r="Y1542">
        <v>-4.3230739999999997E-2</v>
      </c>
      <c r="Z1542">
        <v>-2.272039E-3</v>
      </c>
      <c r="AA1542">
        <v>0.99906249999999996</v>
      </c>
      <c r="AB1542">
        <v>24</v>
      </c>
      <c r="AC1542">
        <v>-23.540500000000002</v>
      </c>
      <c r="AD1542">
        <v>-1.1200477010349901</v>
      </c>
      <c r="AE1542">
        <v>-0.35460000000000402</v>
      </c>
      <c r="AF1542">
        <v>-1.02984754932455</v>
      </c>
      <c r="AG1542">
        <v>-1.1200477010349901</v>
      </c>
      <c r="AH1542">
        <v>23.467419416999899</v>
      </c>
      <c r="AI1542">
        <v>92.729903053226096</v>
      </c>
      <c r="AJ1542">
        <v>92.512763868973394</v>
      </c>
      <c r="AK1542">
        <v>23.516693367070701</v>
      </c>
      <c r="AL1542">
        <v>79.689920544012594</v>
      </c>
      <c r="AM1542">
        <v>85.196054987087606</v>
      </c>
      <c r="AN1542">
        <v>1.00000001618495</v>
      </c>
    </row>
    <row r="1543" spans="1:40" x14ac:dyDescent="0.25">
      <c r="A1543" t="str">
        <f>"20190303170527531"</f>
        <v>20190303170527531</v>
      </c>
      <c r="B1543" t="str">
        <f>"1551603927516362"</f>
        <v>1551603927516362</v>
      </c>
      <c r="C1543" t="s">
        <v>40</v>
      </c>
      <c r="D1543">
        <v>5.8846850000000002</v>
      </c>
      <c r="E1543">
        <v>0.45326539999999998</v>
      </c>
      <c r="F1543" t="s">
        <v>60</v>
      </c>
      <c r="G1543">
        <v>-239.7868</v>
      </c>
      <c r="H1543" s="1">
        <v>3.7317059999999999E-6</v>
      </c>
      <c r="I1543">
        <v>283.233</v>
      </c>
      <c r="J1543">
        <v>-215.70099999999999</v>
      </c>
      <c r="K1543">
        <v>1.1202989999999999</v>
      </c>
      <c r="L1543">
        <v>283.73660000000001</v>
      </c>
      <c r="M1543">
        <v>-0.99943859999999995</v>
      </c>
      <c r="N1543">
        <v>-1.385345E-2</v>
      </c>
      <c r="O1543">
        <v>3.0507570000000001E-2</v>
      </c>
      <c r="P1543">
        <v>-0.98017509999999997</v>
      </c>
      <c r="Q1543">
        <v>0.1668721</v>
      </c>
      <c r="R1543">
        <v>0.106819899999999</v>
      </c>
      <c r="S1543">
        <v>-3.0921940000000001</v>
      </c>
      <c r="T1543">
        <v>-0.1422794</v>
      </c>
      <c r="U1543">
        <v>-6.2744140000000004E-2</v>
      </c>
      <c r="V1543">
        <v>7.7320490000000006E-2</v>
      </c>
      <c r="W1543">
        <v>0.1802793</v>
      </c>
      <c r="X1543">
        <v>0.98057169999999905</v>
      </c>
      <c r="Y1543">
        <v>-5.0696190000000002E-2</v>
      </c>
      <c r="Z1543">
        <v>-2.4973590000000002E-3</v>
      </c>
      <c r="AA1543">
        <v>0.99871100000000002</v>
      </c>
      <c r="AB1543">
        <v>24</v>
      </c>
      <c r="AC1543">
        <v>-24.085799999999999</v>
      </c>
      <c r="AD1543">
        <v>-1.1202952682939999</v>
      </c>
      <c r="AE1543">
        <v>-0.50360000000000504</v>
      </c>
      <c r="AF1543">
        <v>-1.2355633574110301</v>
      </c>
      <c r="AG1543">
        <v>-1.1202952682939999</v>
      </c>
      <c r="AH1543">
        <v>24.007306253597498</v>
      </c>
      <c r="AI1543">
        <v>92.668229482290599</v>
      </c>
      <c r="AJ1543">
        <v>92.946193123370193</v>
      </c>
      <c r="AK1543">
        <v>24.065170513677199</v>
      </c>
      <c r="AL1543">
        <v>79.613971042659998</v>
      </c>
      <c r="AM1543">
        <v>85.491415795326901</v>
      </c>
      <c r="AN1543">
        <v>0.99999997151160902</v>
      </c>
    </row>
    <row r="1544" spans="1:40" x14ac:dyDescent="0.25">
      <c r="A1544" t="str">
        <f>"20190303170527554"</f>
        <v>20190303170527554</v>
      </c>
      <c r="B1544" t="str">
        <f>"1551603927546618"</f>
        <v>1551603927546618</v>
      </c>
      <c r="C1544" t="s">
        <v>40</v>
      </c>
      <c r="D1544">
        <v>5.6985739999999998</v>
      </c>
      <c r="E1544">
        <v>0.45267600000000002</v>
      </c>
      <c r="F1544" t="s">
        <v>60</v>
      </c>
      <c r="G1544">
        <v>-241.6626</v>
      </c>
      <c r="H1544" s="1">
        <v>-6.5206509999999905E-7</v>
      </c>
      <c r="I1544">
        <v>283.08870000000002</v>
      </c>
      <c r="J1544">
        <v>-215.95009999999999</v>
      </c>
      <c r="K1544">
        <v>1.1205350000000001</v>
      </c>
      <c r="L1544">
        <v>283.74599999999998</v>
      </c>
      <c r="M1544">
        <v>-0.99940059999999997</v>
      </c>
      <c r="N1544">
        <v>-1.3746649999999999E-2</v>
      </c>
      <c r="O1544">
        <v>3.1774339999999998E-2</v>
      </c>
      <c r="P1544">
        <v>-0.98070780000000002</v>
      </c>
      <c r="Q1544">
        <v>0.1650779</v>
      </c>
      <c r="R1544">
        <v>0.10469779999999999</v>
      </c>
      <c r="S1544">
        <v>-3.0917659999999998</v>
      </c>
      <c r="T1544">
        <v>-0.1334168</v>
      </c>
      <c r="U1544">
        <v>-7.7148439999999999E-2</v>
      </c>
      <c r="V1544">
        <v>7.3822730000000003E-2</v>
      </c>
      <c r="W1544">
        <v>0.1784414</v>
      </c>
      <c r="X1544">
        <v>0.98117730000000003</v>
      </c>
      <c r="Y1544">
        <v>-5.661679E-2</v>
      </c>
      <c r="Z1544">
        <v>-2.5439080000000001E-3</v>
      </c>
      <c r="AA1544">
        <v>0.99839279999999997</v>
      </c>
      <c r="AB1544">
        <v>24</v>
      </c>
      <c r="AC1544">
        <v>-25.712499999999999</v>
      </c>
      <c r="AD1544">
        <v>-1.1205356520651</v>
      </c>
      <c r="AE1544">
        <v>-0.65729999999996302</v>
      </c>
      <c r="AF1544">
        <v>-1.47125058826833</v>
      </c>
      <c r="AG1544">
        <v>-1.1205356520651</v>
      </c>
      <c r="AH1544">
        <v>25.629983457027201</v>
      </c>
      <c r="AI1544">
        <v>92.499252052782495</v>
      </c>
      <c r="AJ1544">
        <v>93.285372460700003</v>
      </c>
      <c r="AK1544">
        <v>25.696619047036499</v>
      </c>
      <c r="AL1544">
        <v>79.721011205970697</v>
      </c>
      <c r="AM1544">
        <v>85.697233818304298</v>
      </c>
      <c r="AN1544">
        <v>1.00000001136695</v>
      </c>
    </row>
    <row r="1545" spans="1:40" x14ac:dyDescent="0.25">
      <c r="A1545" t="str">
        <f>"20190303170527575"</f>
        <v>20190303170527575</v>
      </c>
      <c r="B1545" t="str">
        <f>"1551603927566151"</f>
        <v>1551603927566151</v>
      </c>
      <c r="C1545" t="s">
        <v>40</v>
      </c>
      <c r="D1545">
        <v>5.7334849999999999</v>
      </c>
      <c r="E1545">
        <v>0.45252399999999998</v>
      </c>
      <c r="F1545" t="s">
        <v>60</v>
      </c>
      <c r="G1545">
        <v>-241.25049999999999</v>
      </c>
      <c r="H1545" s="1">
        <v>-8.7133150000000005E-7</v>
      </c>
      <c r="I1545">
        <v>283.02569999999997</v>
      </c>
      <c r="J1545">
        <v>-216.184</v>
      </c>
      <c r="K1545">
        <v>1.120754</v>
      </c>
      <c r="L1545">
        <v>283.75470000000001</v>
      </c>
      <c r="M1545">
        <v>-0.9993744</v>
      </c>
      <c r="N1545">
        <v>-1.3635889999999999E-2</v>
      </c>
      <c r="O1545">
        <v>3.2632500000000002E-2</v>
      </c>
      <c r="P1545">
        <v>-0.98152609999999996</v>
      </c>
      <c r="Q1545">
        <v>0.16290929999999901</v>
      </c>
      <c r="R1545">
        <v>0.1003349</v>
      </c>
      <c r="S1545">
        <v>-3.0914609999999998</v>
      </c>
      <c r="T1545">
        <v>-0.1369184</v>
      </c>
      <c r="U1545">
        <v>-8.8012699999999999E-2</v>
      </c>
      <c r="V1545">
        <v>6.8483249999999996E-2</v>
      </c>
      <c r="W1545">
        <v>0.17622449999999901</v>
      </c>
      <c r="X1545">
        <v>0.98196479999999997</v>
      </c>
      <c r="Y1545">
        <v>-6.0971780000000003E-2</v>
      </c>
      <c r="Z1545">
        <v>-2.7648170000000001E-3</v>
      </c>
      <c r="AA1545">
        <v>0.99813569999999996</v>
      </c>
      <c r="AB1545">
        <v>24</v>
      </c>
      <c r="AC1545">
        <v>-25.066499999999898</v>
      </c>
      <c r="AD1545">
        <v>-1.1207548713314901</v>
      </c>
      <c r="AE1545">
        <v>-0.72900000000004095</v>
      </c>
      <c r="AF1545">
        <v>-1.5435871179554801</v>
      </c>
      <c r="AG1545">
        <v>-1.1207548713314901</v>
      </c>
      <c r="AH1545">
        <v>24.9794620814917</v>
      </c>
      <c r="AI1545">
        <v>92.564085620158593</v>
      </c>
      <c r="AJ1545">
        <v>93.536053440364398</v>
      </c>
      <c r="AK1545">
        <v>25.052191092856798</v>
      </c>
      <c r="AL1545">
        <v>79.850075165408597</v>
      </c>
      <c r="AM1545">
        <v>86.0105920827327</v>
      </c>
      <c r="AN1545">
        <v>0.99999994918492396</v>
      </c>
    </row>
    <row r="1546" spans="1:40" x14ac:dyDescent="0.25">
      <c r="A1546" t="str">
        <f>"20190303170527598"</f>
        <v>20190303170527598</v>
      </c>
      <c r="B1546" t="str">
        <f>"1551603927586633"</f>
        <v>1551603927586633</v>
      </c>
      <c r="C1546" t="s">
        <v>40</v>
      </c>
      <c r="D1546">
        <v>6.1325120000000002</v>
      </c>
      <c r="E1546">
        <v>0.45228940000000001</v>
      </c>
      <c r="F1546" t="s">
        <v>60</v>
      </c>
      <c r="G1546">
        <v>-240.42939999999999</v>
      </c>
      <c r="H1546" s="1">
        <v>-1.308299E-6</v>
      </c>
      <c r="I1546">
        <v>282.9615</v>
      </c>
      <c r="J1546">
        <v>-216.42019999999999</v>
      </c>
      <c r="K1546">
        <v>1.1209750000000001</v>
      </c>
      <c r="L1546">
        <v>283.76330000000002</v>
      </c>
      <c r="M1546">
        <v>-0.99935739999999995</v>
      </c>
      <c r="N1546">
        <v>-1.350759E-2</v>
      </c>
      <c r="O1546">
        <v>3.3205499999999999E-2</v>
      </c>
      <c r="P1546">
        <v>-0.98175129999999999</v>
      </c>
      <c r="Q1546">
        <v>0.16456670000000001</v>
      </c>
      <c r="R1546">
        <v>9.5302830000000005E-2</v>
      </c>
      <c r="S1546">
        <v>-3.0905</v>
      </c>
      <c r="T1546">
        <v>-0.14285970000000001</v>
      </c>
      <c r="U1546">
        <v>-0.10110470000000001</v>
      </c>
      <c r="V1546">
        <v>6.2782840000000006E-2</v>
      </c>
      <c r="W1546">
        <v>0.1778004</v>
      </c>
      <c r="X1546">
        <v>0.98206170000000004</v>
      </c>
      <c r="Y1546">
        <v>-6.5761490000000006E-2</v>
      </c>
      <c r="Z1546">
        <v>-3.048743E-3</v>
      </c>
      <c r="AA1546">
        <v>0.99783069999999896</v>
      </c>
      <c r="AB1546">
        <v>24</v>
      </c>
      <c r="AC1546">
        <v>-24.0092</v>
      </c>
      <c r="AD1546">
        <v>-1.1209763082989901</v>
      </c>
      <c r="AE1546">
        <v>-0.80180000000001395</v>
      </c>
      <c r="AF1546">
        <v>-1.5951943869434599</v>
      </c>
      <c r="AG1546">
        <v>-1.1209763082989901</v>
      </c>
      <c r="AH1546">
        <v>23.9172517606751</v>
      </c>
      <c r="AI1546">
        <v>92.677488888163197</v>
      </c>
      <c r="AJ1546">
        <v>93.815770402351404</v>
      </c>
      <c r="AK1546">
        <v>23.996586523908299</v>
      </c>
      <c r="AL1546">
        <v>79.758333759853898</v>
      </c>
      <c r="AM1546">
        <v>86.342079964149093</v>
      </c>
      <c r="AN1546">
        <v>0.99999992492275402</v>
      </c>
    </row>
    <row r="1547" spans="1:40" x14ac:dyDescent="0.25">
      <c r="A1547" t="str">
        <f>"20190303170527620"</f>
        <v>20190303170527620</v>
      </c>
      <c r="B1547" t="str">
        <f>"1551603927606154"</f>
        <v>1551603927606154</v>
      </c>
      <c r="C1547" t="s">
        <v>40</v>
      </c>
      <c r="D1547">
        <v>5.6605220000000003</v>
      </c>
      <c r="E1547">
        <v>0.45208429999999999</v>
      </c>
      <c r="F1547" t="s">
        <v>60</v>
      </c>
      <c r="G1547">
        <v>-241.45930000000001</v>
      </c>
      <c r="H1547" s="1">
        <v>-7.6020890000000004E-7</v>
      </c>
      <c r="I1547">
        <v>282.80810000000002</v>
      </c>
      <c r="J1547">
        <v>-216.66659999999999</v>
      </c>
      <c r="K1547">
        <v>1.1211869999999999</v>
      </c>
      <c r="L1547">
        <v>283.77210000000002</v>
      </c>
      <c r="M1547">
        <v>-0.99934860000000003</v>
      </c>
      <c r="N1547">
        <v>-1.335071E-2</v>
      </c>
      <c r="O1547">
        <v>3.3527540000000002E-2</v>
      </c>
      <c r="P1547">
        <v>-0.98154419999999998</v>
      </c>
      <c r="Q1547">
        <v>0.1684881</v>
      </c>
      <c r="R1547">
        <v>9.0460559999999995E-2</v>
      </c>
      <c r="S1547">
        <v>-3.0903930000000002</v>
      </c>
      <c r="T1547">
        <v>-0.13835349999999999</v>
      </c>
      <c r="U1547">
        <v>-0.11788940000000001</v>
      </c>
      <c r="V1547">
        <v>5.7541420000000003E-2</v>
      </c>
      <c r="W1547">
        <v>0.1815967</v>
      </c>
      <c r="X1547">
        <v>0.98168809999999995</v>
      </c>
      <c r="Y1547">
        <v>-7.1494639999999998E-2</v>
      </c>
      <c r="Z1547">
        <v>-3.1291579999999999E-3</v>
      </c>
      <c r="AA1547">
        <v>0.99743599999999999</v>
      </c>
      <c r="AB1547">
        <v>24</v>
      </c>
      <c r="AC1547">
        <v>-24.7927</v>
      </c>
      <c r="AD1547">
        <v>-1.1211877602089</v>
      </c>
      <c r="AE1547">
        <v>-0.96399999999999797</v>
      </c>
      <c r="AF1547">
        <v>-1.7911128550508399</v>
      </c>
      <c r="AG1547">
        <v>-1.1211877602089</v>
      </c>
      <c r="AH1547">
        <v>24.696006556581001</v>
      </c>
      <c r="AI1547">
        <v>92.592617672909796</v>
      </c>
      <c r="AJ1547">
        <v>94.148194457593505</v>
      </c>
      <c r="AK1547">
        <v>24.7862439085849</v>
      </c>
      <c r="AL1547">
        <v>79.537222590374199</v>
      </c>
      <c r="AM1547">
        <v>86.645459398124402</v>
      </c>
      <c r="AN1547">
        <v>0.99999995107405704</v>
      </c>
    </row>
    <row r="1548" spans="1:40" x14ac:dyDescent="0.25">
      <c r="A1548" t="str">
        <f>"20190303170527643"</f>
        <v>20190303170527643</v>
      </c>
      <c r="B1548" t="str">
        <f>"1551603927636409"</f>
        <v>1551603927636409</v>
      </c>
      <c r="C1548" t="s">
        <v>40</v>
      </c>
      <c r="D1548">
        <v>5.5717679999999996</v>
      </c>
      <c r="E1548">
        <v>0.45198349999999998</v>
      </c>
      <c r="F1548" t="s">
        <v>60</v>
      </c>
      <c r="G1548">
        <v>-244.4469</v>
      </c>
      <c r="H1548" s="1">
        <v>8.2965319999999898E-7</v>
      </c>
      <c r="I1548">
        <v>282.5532</v>
      </c>
      <c r="J1548">
        <v>-216.91659999999999</v>
      </c>
      <c r="K1548">
        <v>1.1213420000000001</v>
      </c>
      <c r="L1548">
        <v>283.7808</v>
      </c>
      <c r="M1548">
        <v>-0.99934809999999996</v>
      </c>
      <c r="N1548">
        <v>-1.316662E-2</v>
      </c>
      <c r="O1548">
        <v>3.3615640000000002E-2</v>
      </c>
      <c r="P1548">
        <v>-0.98146679999999997</v>
      </c>
      <c r="Q1548">
        <v>0.1718073</v>
      </c>
      <c r="R1548">
        <v>8.4883760000000003E-2</v>
      </c>
      <c r="S1548">
        <v>-3.0903320000000001</v>
      </c>
      <c r="T1548">
        <v>-0.1247225</v>
      </c>
      <c r="U1548">
        <v>-0.1355896</v>
      </c>
      <c r="V1548">
        <v>5.1811059999999999E-2</v>
      </c>
      <c r="W1548">
        <v>0.18475340000000001</v>
      </c>
      <c r="X1548">
        <v>0.98141829999999997</v>
      </c>
      <c r="Y1548">
        <v>-7.7298950000000005E-2</v>
      </c>
      <c r="Z1548">
        <v>-2.9811680000000002E-3</v>
      </c>
      <c r="AA1548">
        <v>0.99700350000000004</v>
      </c>
      <c r="AB1548">
        <v>24</v>
      </c>
      <c r="AC1548">
        <v>-27.5303</v>
      </c>
      <c r="AD1548">
        <v>-1.1213411703467999</v>
      </c>
      <c r="AE1548">
        <v>-1.22759999999999</v>
      </c>
      <c r="AF1548">
        <v>-2.1488769946002599</v>
      </c>
      <c r="AG1548">
        <v>-1.1213411703467999</v>
      </c>
      <c r="AH1548">
        <v>27.428054387925702</v>
      </c>
      <c r="AI1548">
        <v>92.333975481769102</v>
      </c>
      <c r="AJ1548">
        <v>94.479741584206593</v>
      </c>
      <c r="AK1548">
        <v>27.534945902711499</v>
      </c>
      <c r="AL1548">
        <v>79.353245029939401</v>
      </c>
      <c r="AM1548">
        <v>86.978045052901507</v>
      </c>
      <c r="AN1548">
        <v>1.00000004216238</v>
      </c>
    </row>
    <row r="1549" spans="1:40" x14ac:dyDescent="0.25">
      <c r="A1549" t="str">
        <f>"20190303170527666"</f>
        <v>20190303170527666</v>
      </c>
      <c r="B1549" t="str">
        <f>"1551603927655930"</f>
        <v>1551603927655930</v>
      </c>
      <c r="C1549" t="s">
        <v>40</v>
      </c>
      <c r="D1549">
        <v>5.7677620000000003</v>
      </c>
      <c r="E1549">
        <v>0.45206449999999998</v>
      </c>
      <c r="F1549" t="s">
        <v>60</v>
      </c>
      <c r="G1549">
        <v>-247.8835</v>
      </c>
      <c r="H1549" s="1">
        <v>2.658413E-6</v>
      </c>
      <c r="I1549">
        <v>282.2278</v>
      </c>
      <c r="J1549">
        <v>-217.1651</v>
      </c>
      <c r="K1549">
        <v>1.1214139999999999</v>
      </c>
      <c r="L1549">
        <v>283.78919999999999</v>
      </c>
      <c r="M1549">
        <v>-0.99935410000000002</v>
      </c>
      <c r="N1549">
        <v>-1.2951300000000001E-2</v>
      </c>
      <c r="O1549">
        <v>3.352492E-2</v>
      </c>
      <c r="P1549">
        <v>-0.98137770000000002</v>
      </c>
      <c r="Q1549">
        <v>0.17435590000000001</v>
      </c>
      <c r="R1549">
        <v>8.0609910000000007E-2</v>
      </c>
      <c r="S1549">
        <v>-3.0896300000000001</v>
      </c>
      <c r="T1549">
        <v>-0.1118783</v>
      </c>
      <c r="U1549">
        <v>-0.15493770000000001</v>
      </c>
      <c r="V1549">
        <v>4.7591290000000001E-2</v>
      </c>
      <c r="W1549">
        <v>0.18709690000000001</v>
      </c>
      <c r="X1549">
        <v>0.9811879</v>
      </c>
      <c r="Y1549">
        <v>-8.3459030000000003E-2</v>
      </c>
      <c r="Z1549">
        <v>-2.8297510000000001E-3</v>
      </c>
      <c r="AA1549">
        <v>0.99650720000000004</v>
      </c>
      <c r="AB1549">
        <v>24</v>
      </c>
      <c r="AC1549">
        <v>-30.718399999999999</v>
      </c>
      <c r="AD1549">
        <v>-1.121411341587</v>
      </c>
      <c r="AE1549">
        <v>-1.5613999999999899</v>
      </c>
      <c r="AF1549">
        <v>-2.5870014895341802</v>
      </c>
      <c r="AG1549">
        <v>-1.121411341587</v>
      </c>
      <c r="AH1549">
        <v>30.608093228044901</v>
      </c>
      <c r="AI1549">
        <v>92.090801281860493</v>
      </c>
      <c r="AJ1549">
        <v>94.831167246684899</v>
      </c>
      <c r="AK1549">
        <v>30.737688773890898</v>
      </c>
      <c r="AL1549">
        <v>79.216588468289103</v>
      </c>
      <c r="AM1549">
        <v>87.223116266769196</v>
      </c>
      <c r="AN1549">
        <v>0.99999993798994002</v>
      </c>
    </row>
    <row r="1550" spans="1:40" x14ac:dyDescent="0.25">
      <c r="A1550" t="str">
        <f>"20190303170527686"</f>
        <v>20190303170527686</v>
      </c>
      <c r="B1550" t="str">
        <f>"1551603927676427"</f>
        <v>1551603927676427</v>
      </c>
      <c r="C1550" t="s">
        <v>40</v>
      </c>
      <c r="D1550">
        <v>5.8131500000000003</v>
      </c>
      <c r="E1550">
        <v>0.45202799999999999</v>
      </c>
      <c r="F1550" t="s">
        <v>60</v>
      </c>
      <c r="G1550">
        <v>-250.80170000000001</v>
      </c>
      <c r="H1550" s="1">
        <v>-1.110193E-6</v>
      </c>
      <c r="I1550">
        <v>281.96940000000001</v>
      </c>
      <c r="J1550">
        <v>-217.39179999999999</v>
      </c>
      <c r="K1550">
        <v>1.1214309999999901</v>
      </c>
      <c r="L1550">
        <v>283.79660000000001</v>
      </c>
      <c r="M1550">
        <v>-0.99936210000000003</v>
      </c>
      <c r="N1550">
        <v>-1.272122E-2</v>
      </c>
      <c r="O1550">
        <v>3.3375479999999999E-2</v>
      </c>
      <c r="P1550">
        <v>-0.98110830000000004</v>
      </c>
      <c r="Q1550">
        <v>0.17789749999999999</v>
      </c>
      <c r="R1550">
        <v>7.6021549999999993E-2</v>
      </c>
      <c r="S1550">
        <v>-3.088943</v>
      </c>
      <c r="T1550">
        <v>-0.1029829</v>
      </c>
      <c r="U1550">
        <v>-0.16711429999999999</v>
      </c>
      <c r="V1550">
        <v>4.3145679999999999E-2</v>
      </c>
      <c r="W1550">
        <v>0.19040889999999999</v>
      </c>
      <c r="X1550">
        <v>0.98075630000000003</v>
      </c>
      <c r="Y1550">
        <v>-8.724722E-2</v>
      </c>
      <c r="Z1550">
        <v>-2.6960080000000002E-3</v>
      </c>
      <c r="AA1550">
        <v>0.99618300000000004</v>
      </c>
      <c r="AB1550">
        <v>24</v>
      </c>
      <c r="AC1550">
        <v>-33.4099</v>
      </c>
      <c r="AD1550">
        <v>-1.1214321101929901</v>
      </c>
      <c r="AE1550">
        <v>-1.8271999999999999</v>
      </c>
      <c r="AF1550">
        <v>-2.93804303282361</v>
      </c>
      <c r="AG1550">
        <v>-1.1214321101929901</v>
      </c>
      <c r="AH1550">
        <v>33.292897031355302</v>
      </c>
      <c r="AI1550">
        <v>91.921748667682095</v>
      </c>
      <c r="AJ1550">
        <v>95.043193000113902</v>
      </c>
      <c r="AK1550">
        <v>33.4410929782644</v>
      </c>
      <c r="AL1550">
        <v>79.023352014421405</v>
      </c>
      <c r="AM1550">
        <v>87.481053679749493</v>
      </c>
      <c r="AN1550">
        <v>1.0000000094457799</v>
      </c>
    </row>
    <row r="1551" spans="1:40" x14ac:dyDescent="0.25">
      <c r="A1551" t="str">
        <f>"20190303170527708"</f>
        <v>20190303170527708</v>
      </c>
      <c r="B1551" t="str">
        <f>"1551603927695946"</f>
        <v>1551603927695946</v>
      </c>
      <c r="C1551" t="s">
        <v>40</v>
      </c>
      <c r="D1551">
        <v>5.6382089999999998</v>
      </c>
      <c r="E1551">
        <v>0.45205220000000002</v>
      </c>
      <c r="F1551" t="s">
        <v>60</v>
      </c>
      <c r="G1551">
        <v>-254.88489999999999</v>
      </c>
      <c r="H1551" s="1">
        <v>1.06273E-6</v>
      </c>
      <c r="I1551">
        <v>281.60860000000002</v>
      </c>
      <c r="J1551">
        <v>-217.63480000000001</v>
      </c>
      <c r="K1551">
        <v>1.1213919999999999</v>
      </c>
      <c r="L1551">
        <v>283.80459999999999</v>
      </c>
      <c r="M1551">
        <v>-0.99937120000000002</v>
      </c>
      <c r="N1551">
        <v>-1.2457950000000001E-2</v>
      </c>
      <c r="O1551">
        <v>3.3198329999999998E-2</v>
      </c>
      <c r="P1551">
        <v>-0.98075599999999996</v>
      </c>
      <c r="Q1551">
        <v>0.1816509</v>
      </c>
      <c r="R1551">
        <v>7.1559349999999994E-2</v>
      </c>
      <c r="S1551">
        <v>-3.0885009999999999</v>
      </c>
      <c r="T1551">
        <v>-9.2377899999999999E-2</v>
      </c>
      <c r="U1551">
        <v>-0.1802368</v>
      </c>
      <c r="V1551">
        <v>3.8872539999999997E-2</v>
      </c>
      <c r="W1551">
        <v>0.19389519999999999</v>
      </c>
      <c r="X1551">
        <v>0.98025180000000001</v>
      </c>
      <c r="Y1551">
        <v>-9.1307920000000001E-2</v>
      </c>
      <c r="Z1551">
        <v>-2.5123559999999999E-3</v>
      </c>
      <c r="AA1551">
        <v>0.99581949999999997</v>
      </c>
      <c r="AB1551">
        <v>24</v>
      </c>
      <c r="AC1551">
        <v>-37.250099999999897</v>
      </c>
      <c r="AD1551">
        <v>-1.1213909372699999</v>
      </c>
      <c r="AE1551">
        <v>-2.1959999999999602</v>
      </c>
      <c r="AF1551">
        <v>-3.4284300171195001</v>
      </c>
      <c r="AG1551">
        <v>-1.1213909372699999</v>
      </c>
      <c r="AH1551">
        <v>37.123127580848902</v>
      </c>
      <c r="AI1551">
        <v>91.722899638462195</v>
      </c>
      <c r="AJ1551">
        <v>95.276466611037094</v>
      </c>
      <c r="AK1551">
        <v>37.297965780997501</v>
      </c>
      <c r="AL1551">
        <v>78.819808600254603</v>
      </c>
      <c r="AM1551">
        <v>87.729087478530502</v>
      </c>
      <c r="AN1551">
        <v>1.0000000071761601</v>
      </c>
    </row>
    <row r="1552" spans="1:40" x14ac:dyDescent="0.25">
      <c r="A1552" t="str">
        <f>"20190303170527733"</f>
        <v>20190303170527733</v>
      </c>
      <c r="B1552" t="str">
        <f>"1551603927725826"</f>
        <v>1551603927725826</v>
      </c>
      <c r="C1552" t="s">
        <v>40</v>
      </c>
      <c r="D1552">
        <v>5.7296389999999997</v>
      </c>
      <c r="E1552">
        <v>0.45218359999999902</v>
      </c>
      <c r="F1552" t="s">
        <v>60</v>
      </c>
      <c r="G1552">
        <v>-260.55599999999998</v>
      </c>
      <c r="H1552" s="1">
        <v>-1.2409339999999999E-6</v>
      </c>
      <c r="I1552">
        <v>281.09800000000001</v>
      </c>
      <c r="J1552">
        <v>-217.9084</v>
      </c>
      <c r="K1552">
        <v>1.1213299999999999</v>
      </c>
      <c r="L1552">
        <v>283.81349999999998</v>
      </c>
      <c r="M1552">
        <v>-0.99938090000000002</v>
      </c>
      <c r="N1552">
        <v>-1.213024E-2</v>
      </c>
      <c r="O1552">
        <v>3.3025690000000003E-2</v>
      </c>
      <c r="P1552">
        <v>-0.98053570000000001</v>
      </c>
      <c r="Q1552">
        <v>0.18437680000000001</v>
      </c>
      <c r="R1552">
        <v>6.7490439999999999E-2</v>
      </c>
      <c r="S1552">
        <v>-3.0880130000000001</v>
      </c>
      <c r="T1552">
        <v>-8.0680009999999996E-2</v>
      </c>
      <c r="U1552">
        <v>-0.19473270000000001</v>
      </c>
      <c r="V1552">
        <v>3.4995560000000002E-2</v>
      </c>
      <c r="W1552">
        <v>0.1962911</v>
      </c>
      <c r="X1552">
        <v>0.97992100000000004</v>
      </c>
      <c r="Y1552">
        <v>-9.5813170000000003E-2</v>
      </c>
      <c r="Z1552">
        <v>-2.293874E-3</v>
      </c>
      <c r="AA1552">
        <v>0.99539670000000002</v>
      </c>
      <c r="AB1552">
        <v>25</v>
      </c>
      <c r="AC1552">
        <v>-42.647599999999898</v>
      </c>
      <c r="AD1552">
        <v>-1.1213312409339999</v>
      </c>
      <c r="AE1552">
        <v>-2.7154999999999601</v>
      </c>
      <c r="AF1552">
        <v>-4.1197519569150201</v>
      </c>
      <c r="AG1552">
        <v>-1.1213312409339999</v>
      </c>
      <c r="AH1552">
        <v>42.505378449889797</v>
      </c>
      <c r="AI1552">
        <v>91.504120075600099</v>
      </c>
      <c r="AJ1552">
        <v>95.535991127500395</v>
      </c>
      <c r="AK1552">
        <v>42.719280624874301</v>
      </c>
      <c r="AL1552">
        <v>78.6798443609961</v>
      </c>
      <c r="AM1552">
        <v>87.9546860280998</v>
      </c>
      <c r="AN1552">
        <v>1.0000000256999599</v>
      </c>
    </row>
    <row r="1553" spans="1:40" x14ac:dyDescent="0.25">
      <c r="A1553" t="str">
        <f>"20190303170527758"</f>
        <v>20190303170527758</v>
      </c>
      <c r="B1553" t="str">
        <f>"1551603927746322"</f>
        <v>1551603927746322</v>
      </c>
      <c r="C1553" t="s">
        <v>40</v>
      </c>
      <c r="D1553">
        <v>5.7149989999999997</v>
      </c>
      <c r="E1553">
        <v>0.45248880000000002</v>
      </c>
      <c r="F1553" t="s">
        <v>60</v>
      </c>
      <c r="G1553">
        <v>-264.85640000000001</v>
      </c>
      <c r="H1553" s="1">
        <v>1.0475459999999999E-6</v>
      </c>
      <c r="I1553">
        <v>280.66649999999998</v>
      </c>
      <c r="J1553">
        <v>-218.1677</v>
      </c>
      <c r="K1553">
        <v>1.1212519999999999</v>
      </c>
      <c r="L1553">
        <v>283.822</v>
      </c>
      <c r="M1553">
        <v>-0.99938899999999997</v>
      </c>
      <c r="N1553">
        <v>-1.1774079999999999E-2</v>
      </c>
      <c r="O1553">
        <v>3.2909609999999999E-2</v>
      </c>
      <c r="P1553">
        <v>-0.98048690000000005</v>
      </c>
      <c r="Q1553">
        <v>0.18569469999999999</v>
      </c>
      <c r="R1553">
        <v>6.452128E-2</v>
      </c>
      <c r="S1553">
        <v>-3.0876619999999999</v>
      </c>
      <c r="T1553">
        <v>-7.3747160000000006E-2</v>
      </c>
      <c r="U1553">
        <v>-0.20697019999999999</v>
      </c>
      <c r="V1553">
        <v>3.2159920000000002E-2</v>
      </c>
      <c r="W1553">
        <v>0.19725419999999999</v>
      </c>
      <c r="X1553">
        <v>0.97982469999999999</v>
      </c>
      <c r="Y1553">
        <v>-9.9638560000000001E-2</v>
      </c>
      <c r="Z1553">
        <v>-2.1739509999999999E-3</v>
      </c>
      <c r="AA1553">
        <v>0.9950213</v>
      </c>
      <c r="AB1553">
        <v>25</v>
      </c>
      <c r="AC1553">
        <v>-46.688699999999997</v>
      </c>
      <c r="AD1553">
        <v>-1.121250952454</v>
      </c>
      <c r="AE1553">
        <v>-3.1555000000000102</v>
      </c>
      <c r="AF1553">
        <v>-4.6877126068447899</v>
      </c>
      <c r="AG1553">
        <v>-1.121250952454</v>
      </c>
      <c r="AH1553">
        <v>46.532837811168399</v>
      </c>
      <c r="AI1553">
        <v>91.373378089832499</v>
      </c>
      <c r="AJ1553">
        <v>95.752562467783093</v>
      </c>
      <c r="AK1553">
        <v>46.781800392281397</v>
      </c>
      <c r="AL1553">
        <v>78.6235616924981</v>
      </c>
      <c r="AM1553">
        <v>88.120106146961504</v>
      </c>
      <c r="AN1553">
        <v>0.99999996130106705</v>
      </c>
    </row>
    <row r="1554" spans="1:40" x14ac:dyDescent="0.25">
      <c r="A1554" t="str">
        <f>"20190303170527777"</f>
        <v>20190303170527777</v>
      </c>
      <c r="B1554" t="str">
        <f>"1551603927765842"</f>
        <v>1551603927765842</v>
      </c>
      <c r="C1554" t="s">
        <v>40</v>
      </c>
      <c r="D1554">
        <v>5.8065389999999999</v>
      </c>
      <c r="E1554">
        <v>0.45280989999999999</v>
      </c>
      <c r="F1554" t="s">
        <v>60</v>
      </c>
      <c r="G1554">
        <v>-267.6223</v>
      </c>
      <c r="H1554" s="1">
        <v>2.5193869999999998E-6</v>
      </c>
      <c r="I1554">
        <v>280.39389999999997</v>
      </c>
      <c r="J1554">
        <v>-218.38489999999999</v>
      </c>
      <c r="K1554">
        <v>1.12117</v>
      </c>
      <c r="L1554">
        <v>283.82900000000001</v>
      </c>
      <c r="M1554">
        <v>-0.99939480000000003</v>
      </c>
      <c r="N1554">
        <v>-1.144185E-2</v>
      </c>
      <c r="O1554">
        <v>3.285296E-2</v>
      </c>
      <c r="P1554">
        <v>-0.9807922</v>
      </c>
      <c r="Q1554">
        <v>0.18509909999999999</v>
      </c>
      <c r="R1554">
        <v>6.1524250000000003E-2</v>
      </c>
      <c r="S1554">
        <v>-3.0870510000000002</v>
      </c>
      <c r="T1554">
        <v>-6.9990629999999998E-2</v>
      </c>
      <c r="U1554">
        <v>-0.21398929999999999</v>
      </c>
      <c r="V1554">
        <v>2.9223209999999999E-2</v>
      </c>
      <c r="W1554">
        <v>0.1963327</v>
      </c>
      <c r="X1554">
        <v>0.98010180000000002</v>
      </c>
      <c r="Y1554">
        <v>-0.1018502</v>
      </c>
      <c r="Z1554">
        <v>-2.1051619999999998E-3</v>
      </c>
      <c r="AA1554">
        <v>0.9947975</v>
      </c>
      <c r="AB1554">
        <v>25</v>
      </c>
      <c r="AC1554">
        <v>-49.237400000000001</v>
      </c>
      <c r="AD1554">
        <v>-1.1211674806129901</v>
      </c>
      <c r="AE1554">
        <v>-3.43510000000003</v>
      </c>
      <c r="AF1554">
        <v>-5.0483406447190697</v>
      </c>
      <c r="AG1554">
        <v>-1.1211674806129901</v>
      </c>
      <c r="AH1554">
        <v>49.072636356274302</v>
      </c>
      <c r="AI1554">
        <v>91.301945880465993</v>
      </c>
      <c r="AJ1554">
        <v>95.873632827130194</v>
      </c>
      <c r="AK1554">
        <v>49.344365420378502</v>
      </c>
      <c r="AL1554">
        <v>78.677413625986105</v>
      </c>
      <c r="AM1554">
        <v>88.292146104289898</v>
      </c>
      <c r="AN1554">
        <v>1.0000000317276101</v>
      </c>
    </row>
    <row r="1555" spans="1:40" x14ac:dyDescent="0.25">
      <c r="A1555" t="str">
        <f>"20190303170527798"</f>
        <v>20190303170527798</v>
      </c>
      <c r="B1555" t="str">
        <f>"1551603927786338"</f>
        <v>1551603927786338</v>
      </c>
      <c r="C1555" t="s">
        <v>40</v>
      </c>
      <c r="D1555">
        <v>5.7255200000000004</v>
      </c>
      <c r="E1555">
        <v>0.45306960000000002</v>
      </c>
      <c r="F1555" t="s">
        <v>60</v>
      </c>
      <c r="G1555">
        <v>-265.15410000000003</v>
      </c>
      <c r="H1555" s="1">
        <v>1.2059420000000001E-6</v>
      </c>
      <c r="I1555">
        <v>280.50279999999998</v>
      </c>
      <c r="J1555">
        <v>-218.6217</v>
      </c>
      <c r="K1555">
        <v>1.121076</v>
      </c>
      <c r="L1555">
        <v>283.83679999999998</v>
      </c>
      <c r="M1555">
        <v>-0.99940010000000001</v>
      </c>
      <c r="N1555">
        <v>-1.1052350000000001E-2</v>
      </c>
      <c r="O1555">
        <v>3.2825269999999997E-2</v>
      </c>
      <c r="P1555">
        <v>-0.98105180000000003</v>
      </c>
      <c r="Q1555">
        <v>0.18436440000000001</v>
      </c>
      <c r="R1555">
        <v>5.9558130000000001E-2</v>
      </c>
      <c r="S1555">
        <v>-3.0865019999999999</v>
      </c>
      <c r="T1555">
        <v>-7.3990819999999999E-2</v>
      </c>
      <c r="U1555">
        <v>-0.21951290000000001</v>
      </c>
      <c r="V1555">
        <v>2.7289020000000001E-2</v>
      </c>
      <c r="W1555">
        <v>0.1952161</v>
      </c>
      <c r="X1555">
        <v>0.98038049999999999</v>
      </c>
      <c r="Y1555">
        <v>-0.1036014</v>
      </c>
      <c r="Z1555">
        <v>-2.2370739999999999E-3</v>
      </c>
      <c r="AA1555">
        <v>0.99461639999999996</v>
      </c>
      <c r="AB1555">
        <v>25</v>
      </c>
      <c r="AC1555">
        <v>-46.532400000000003</v>
      </c>
      <c r="AD1555">
        <v>-1.1210747940579999</v>
      </c>
      <c r="AE1555">
        <v>-3.3340000000000001</v>
      </c>
      <c r="AF1555">
        <v>-4.8569300744159003</v>
      </c>
      <c r="AG1555">
        <v>-1.1210747940579999</v>
      </c>
      <c r="AH1555">
        <v>46.371096539574502</v>
      </c>
      <c r="AI1555">
        <v>91.377389999268999</v>
      </c>
      <c r="AJ1555">
        <v>95.979384278943499</v>
      </c>
      <c r="AK1555">
        <v>46.638237238602599</v>
      </c>
      <c r="AL1555">
        <v>78.742651838107307</v>
      </c>
      <c r="AM1555">
        <v>88.405576149481405</v>
      </c>
      <c r="AN1555">
        <v>0.99999997054600898</v>
      </c>
    </row>
    <row r="1556" spans="1:40" x14ac:dyDescent="0.25">
      <c r="A1556" t="str">
        <f>"20190303170527821"</f>
        <v>20190303170527821</v>
      </c>
      <c r="B1556" t="str">
        <f>"1551603927815618"</f>
        <v>1551603927815618</v>
      </c>
      <c r="C1556" t="s">
        <v>40</v>
      </c>
      <c r="D1556">
        <v>5.7515499999999999</v>
      </c>
      <c r="E1556">
        <v>0.4536443</v>
      </c>
      <c r="F1556" t="s">
        <v>60</v>
      </c>
      <c r="G1556">
        <v>-262.36869999999999</v>
      </c>
      <c r="H1556" s="1">
        <v>-2.7628659999999899E-7</v>
      </c>
      <c r="I1556">
        <v>280.68329999999997</v>
      </c>
      <c r="J1556">
        <v>-218.8828</v>
      </c>
      <c r="K1556">
        <v>1.120987</v>
      </c>
      <c r="L1556">
        <v>283.84530000000001</v>
      </c>
      <c r="M1556">
        <v>-0.99940499999999999</v>
      </c>
      <c r="N1556">
        <v>-1.06017E-2</v>
      </c>
      <c r="O1556">
        <v>3.2822820000000003E-2</v>
      </c>
      <c r="P1556">
        <v>-0.98122710000000002</v>
      </c>
      <c r="Q1556">
        <v>0.1845234</v>
      </c>
      <c r="R1556">
        <v>5.60779E-2</v>
      </c>
      <c r="S1556">
        <v>-3.086319</v>
      </c>
      <c r="T1556">
        <v>-7.9091190000000006E-2</v>
      </c>
      <c r="U1556">
        <v>-0.22247310000000001</v>
      </c>
      <c r="V1556">
        <v>2.3818499999999999E-2</v>
      </c>
      <c r="W1556">
        <v>0.1949322</v>
      </c>
      <c r="X1556">
        <v>0.9805275</v>
      </c>
      <c r="Y1556">
        <v>-0.104546</v>
      </c>
      <c r="Z1556">
        <v>-2.3852489999999999E-3</v>
      </c>
      <c r="AA1556">
        <v>0.99451719999999999</v>
      </c>
      <c r="AB1556">
        <v>25</v>
      </c>
      <c r="AC1556">
        <v>-43.485900000000001</v>
      </c>
      <c r="AD1556">
        <v>-1.1209872762866</v>
      </c>
      <c r="AE1556">
        <v>-3.1620000000000301</v>
      </c>
      <c r="AF1556">
        <v>-4.5846755445680403</v>
      </c>
      <c r="AG1556">
        <v>-1.1209872762866</v>
      </c>
      <c r="AH1556">
        <v>43.330032976625702</v>
      </c>
      <c r="AI1556">
        <v>91.473740316081603</v>
      </c>
      <c r="AJ1556">
        <v>96.039894178175999</v>
      </c>
      <c r="AK1556">
        <v>43.586323773381402</v>
      </c>
      <c r="AL1556">
        <v>78.759237418433301</v>
      </c>
      <c r="AM1556">
        <v>88.608472283499694</v>
      </c>
      <c r="AN1556">
        <v>1.00000003089766</v>
      </c>
    </row>
    <row r="1557" spans="1:40" x14ac:dyDescent="0.25">
      <c r="A1557" t="str">
        <f>"20190303170527845"</f>
        <v>20190303170527845</v>
      </c>
      <c r="B1557" t="str">
        <f>"1551603927836486"</f>
        <v>1551603927836486</v>
      </c>
      <c r="C1557" t="s">
        <v>40</v>
      </c>
      <c r="D1557">
        <v>5.7519640000000001</v>
      </c>
      <c r="E1557">
        <v>0.46676620000000002</v>
      </c>
      <c r="F1557" t="s">
        <v>60</v>
      </c>
      <c r="G1557">
        <v>-261.58080000000001</v>
      </c>
      <c r="H1557" s="1">
        <v>-6.9554080000000004E-7</v>
      </c>
      <c r="I1557">
        <v>280.67610000000002</v>
      </c>
      <c r="J1557">
        <v>-219.13339999999999</v>
      </c>
      <c r="K1557">
        <v>1.1209100000000001</v>
      </c>
      <c r="L1557">
        <v>283.85340000000002</v>
      </c>
      <c r="M1557">
        <v>-0.99940929999999994</v>
      </c>
      <c r="N1557">
        <v>-1.0156989999999999E-2</v>
      </c>
      <c r="O1557">
        <v>3.2835580000000003E-2</v>
      </c>
      <c r="P1557">
        <v>-0.98127189999999997</v>
      </c>
      <c r="Q1557">
        <v>0.1848716</v>
      </c>
      <c r="R1557">
        <v>5.4113399999999999E-2</v>
      </c>
      <c r="S1557">
        <v>-3.085709</v>
      </c>
      <c r="T1557">
        <v>-8.1011650000000004E-2</v>
      </c>
      <c r="U1557">
        <v>-0.2290344</v>
      </c>
      <c r="V1557">
        <v>2.1849299999999999E-2</v>
      </c>
      <c r="W1557">
        <v>0.19484280000000001</v>
      </c>
      <c r="X1557">
        <v>0.98059110000000005</v>
      </c>
      <c r="Y1557">
        <v>-0.1066729</v>
      </c>
      <c r="Z1557">
        <v>-2.4686510000000001E-3</v>
      </c>
      <c r="AA1557">
        <v>0.99429109999999998</v>
      </c>
      <c r="AB1557">
        <v>25</v>
      </c>
      <c r="AC1557">
        <v>-42.447400000000002</v>
      </c>
      <c r="AD1557">
        <v>-1.1209106955407999</v>
      </c>
      <c r="AE1557">
        <v>-3.1772999999999998</v>
      </c>
      <c r="AF1557">
        <v>-4.5662767446962196</v>
      </c>
      <c r="AG1557">
        <v>-1.1209106955407999</v>
      </c>
      <c r="AH1557">
        <v>42.290848283960599</v>
      </c>
      <c r="AI1557">
        <v>91.509488641253</v>
      </c>
      <c r="AJ1557">
        <v>96.162532639858796</v>
      </c>
      <c r="AK1557">
        <v>42.551417986637098</v>
      </c>
      <c r="AL1557">
        <v>78.7644595250446</v>
      </c>
      <c r="AM1557">
        <v>88.723560144830003</v>
      </c>
      <c r="AN1557">
        <v>1.00000000701077</v>
      </c>
    </row>
    <row r="1558" spans="1:40" x14ac:dyDescent="0.25">
      <c r="A1558" t="str">
        <f>"20190303170527888"</f>
        <v>20190303170527888</v>
      </c>
      <c r="B1558" t="str">
        <f>"1551603927876503"</f>
        <v>1551603927876503</v>
      </c>
      <c r="C1558" t="s">
        <v>40</v>
      </c>
      <c r="D1558">
        <v>5.7426550000000001</v>
      </c>
      <c r="E1558">
        <v>0.46659250000000002</v>
      </c>
      <c r="F1558" t="s">
        <v>60</v>
      </c>
      <c r="G1558">
        <v>-249.9984</v>
      </c>
      <c r="H1558" s="1">
        <v>-1.5376539999999999E-6</v>
      </c>
      <c r="I1558">
        <v>282.5292</v>
      </c>
      <c r="J1558">
        <v>-219.62459999999999</v>
      </c>
      <c r="K1558">
        <v>1.1207579999999999</v>
      </c>
      <c r="L1558">
        <v>283.86950000000002</v>
      </c>
      <c r="M1558">
        <v>-0.99941659999999999</v>
      </c>
      <c r="N1558">
        <v>-9.2785379999999994E-3</v>
      </c>
      <c r="O1558">
        <v>3.2866810000000003E-2</v>
      </c>
      <c r="P1558">
        <v>-0.98162819999999995</v>
      </c>
      <c r="Q1558">
        <v>0.18304339999999999</v>
      </c>
      <c r="R1558">
        <v>5.3863429999999997E-2</v>
      </c>
      <c r="S1558">
        <v>-3.0856319999999999</v>
      </c>
      <c r="T1558">
        <v>-0.1120596</v>
      </c>
      <c r="U1558">
        <v>-0.13238529999999901</v>
      </c>
      <c r="V1558">
        <v>2.1568879999999999E-2</v>
      </c>
      <c r="W1558">
        <v>0.1921552</v>
      </c>
      <c r="X1558">
        <v>0.98112750000000004</v>
      </c>
      <c r="Y1558">
        <v>-7.5604710000000006E-2</v>
      </c>
      <c r="Z1558">
        <v>-2.6108160000000002E-3</v>
      </c>
      <c r="AA1558">
        <v>0.99713439999999998</v>
      </c>
      <c r="AB1558">
        <v>25</v>
      </c>
      <c r="AC1558">
        <v>-30.373799999999999</v>
      </c>
      <c r="AD1558">
        <v>-1.1207595376539901</v>
      </c>
      <c r="AE1558">
        <v>-1.34030000000001</v>
      </c>
      <c r="AF1558">
        <v>-2.3347361551792001</v>
      </c>
      <c r="AG1558">
        <v>-1.1207595376539901</v>
      </c>
      <c r="AH1558">
        <v>30.272199212391101</v>
      </c>
      <c r="AI1558">
        <v>92.114005685443502</v>
      </c>
      <c r="AJ1558">
        <v>94.410192898562798</v>
      </c>
      <c r="AK1558">
        <v>30.382777029268301</v>
      </c>
      <c r="AL1558">
        <v>78.921414051984797</v>
      </c>
      <c r="AM1558">
        <v>88.740625690390502</v>
      </c>
      <c r="AN1558">
        <v>1.0000000043638699</v>
      </c>
    </row>
    <row r="1559" spans="1:40" x14ac:dyDescent="0.25">
      <c r="A1559" t="str">
        <f>"20190303170527911"</f>
        <v>20190303170527911</v>
      </c>
      <c r="B1559" t="str">
        <f>"1551603927905782"</f>
        <v>1551603927905782</v>
      </c>
      <c r="C1559" t="s">
        <v>40</v>
      </c>
      <c r="D1559">
        <v>5.7228079999999997</v>
      </c>
      <c r="E1559">
        <v>0.46785919999999998</v>
      </c>
      <c r="F1559" t="s">
        <v>60</v>
      </c>
      <c r="G1559">
        <v>-247.85169999999999</v>
      </c>
      <c r="H1559" s="1">
        <v>2.6414950000000001E-6</v>
      </c>
      <c r="I1559">
        <v>282.65010000000001</v>
      </c>
      <c r="J1559">
        <v>-219.88570000000001</v>
      </c>
      <c r="K1559">
        <v>1.1206989999999999</v>
      </c>
      <c r="L1559">
        <v>283.87810000000002</v>
      </c>
      <c r="M1559">
        <v>-0.99942030000000004</v>
      </c>
      <c r="N1559">
        <v>-8.8347949999999995E-3</v>
      </c>
      <c r="O1559">
        <v>3.2878280000000003E-2</v>
      </c>
      <c r="P1559">
        <v>-0.9814889</v>
      </c>
      <c r="Q1559">
        <v>0.18371409999999999</v>
      </c>
      <c r="R1559">
        <v>5.4118600000000003E-2</v>
      </c>
      <c r="S1559">
        <v>-3.086319</v>
      </c>
      <c r="T1559">
        <v>-0.12254230000000001</v>
      </c>
      <c r="U1559">
        <v>-0.13333130000000001</v>
      </c>
      <c r="V1559">
        <v>2.182152E-2</v>
      </c>
      <c r="W1559">
        <v>0.1923887</v>
      </c>
      <c r="X1559">
        <v>0.98107619999999895</v>
      </c>
      <c r="Y1559">
        <v>-7.5897439999999997E-2</v>
      </c>
      <c r="Z1559">
        <v>-2.8551750000000002E-3</v>
      </c>
      <c r="AA1559">
        <v>0.99711159999999999</v>
      </c>
      <c r="AB1559">
        <v>25</v>
      </c>
      <c r="AC1559">
        <v>-27.965999999999902</v>
      </c>
      <c r="AD1559">
        <v>-1.1206963585049901</v>
      </c>
      <c r="AE1559">
        <v>-1.228</v>
      </c>
      <c r="AF1559">
        <v>-2.1434104713689099</v>
      </c>
      <c r="AG1559">
        <v>-1.1206963585049901</v>
      </c>
      <c r="AH1559">
        <v>27.865839968770398</v>
      </c>
      <c r="AI1559">
        <v>92.296280157099204</v>
      </c>
      <c r="AJ1559">
        <v>94.398468900826202</v>
      </c>
      <c r="AK1559">
        <v>27.970613256449401</v>
      </c>
      <c r="AL1559">
        <v>78.907781637198596</v>
      </c>
      <c r="AM1559">
        <v>88.7258126558649</v>
      </c>
      <c r="AN1559">
        <v>1.00000005041461</v>
      </c>
    </row>
    <row r="1560" spans="1:40" x14ac:dyDescent="0.25">
      <c r="A1560" t="str">
        <f>"20190303170527936"</f>
        <v>20190303170527936</v>
      </c>
      <c r="B1560" t="str">
        <f>"1551603927926277"</f>
        <v>1551603927926277</v>
      </c>
      <c r="C1560" t="s">
        <v>40</v>
      </c>
      <c r="D1560">
        <v>5.825577</v>
      </c>
      <c r="E1560">
        <v>0.46764899999999998</v>
      </c>
      <c r="F1560" t="s">
        <v>60</v>
      </c>
      <c r="G1560">
        <v>-247.4778</v>
      </c>
      <c r="H1560" s="1">
        <v>2.4425049999999998E-6</v>
      </c>
      <c r="I1560">
        <v>282.79730000000001</v>
      </c>
      <c r="J1560">
        <v>-220.1652</v>
      </c>
      <c r="K1560">
        <v>1.12064599999999</v>
      </c>
      <c r="L1560">
        <v>283.88729999999998</v>
      </c>
      <c r="M1560">
        <v>-0.99942419999999998</v>
      </c>
      <c r="N1560">
        <v>-8.3751380000000007E-3</v>
      </c>
      <c r="O1560">
        <v>3.2885869999999998E-2</v>
      </c>
      <c r="P1560">
        <v>-0.98112889999999997</v>
      </c>
      <c r="Q1560">
        <v>0.18557309999999999</v>
      </c>
      <c r="R1560">
        <v>5.4302820000000002E-2</v>
      </c>
      <c r="S1560">
        <v>-3.086716</v>
      </c>
      <c r="T1560">
        <v>-0.12537209999999999</v>
      </c>
      <c r="U1560">
        <v>-0.12091059999999999</v>
      </c>
      <c r="V1560">
        <v>2.2013129999999999E-2</v>
      </c>
      <c r="W1560">
        <v>0.19379370000000001</v>
      </c>
      <c r="X1560">
        <v>0.98079530000000004</v>
      </c>
      <c r="Y1560">
        <v>-7.1893449999999998E-2</v>
      </c>
      <c r="Z1560">
        <v>-2.8196649999999998E-3</v>
      </c>
      <c r="AA1560">
        <v>0.99740830000000003</v>
      </c>
      <c r="AB1560">
        <v>25</v>
      </c>
      <c r="AC1560">
        <v>-27.3126</v>
      </c>
      <c r="AD1560">
        <v>-1.12064355749499</v>
      </c>
      <c r="AE1560">
        <v>-1.0899999999999701</v>
      </c>
      <c r="AF1560">
        <v>-1.9843051155793801</v>
      </c>
      <c r="AG1560">
        <v>-1.12064355749499</v>
      </c>
      <c r="AH1560">
        <v>27.216233874718899</v>
      </c>
      <c r="AI1560">
        <v>92.351618712199695</v>
      </c>
      <c r="AJ1560">
        <v>94.169992711571496</v>
      </c>
      <c r="AK1560">
        <v>27.311475520338799</v>
      </c>
      <c r="AL1560">
        <v>78.825736461043604</v>
      </c>
      <c r="AM1560">
        <v>88.714260025120197</v>
      </c>
      <c r="AN1560">
        <v>0.99999999827708796</v>
      </c>
    </row>
    <row r="1561" spans="1:40" x14ac:dyDescent="0.25">
      <c r="A1561" t="str">
        <f>"20190303170527958"</f>
        <v>20190303170527958</v>
      </c>
      <c r="B1561" t="str">
        <f>"1551603927945798"</f>
        <v>1551603927945798</v>
      </c>
      <c r="C1561" t="s">
        <v>40</v>
      </c>
      <c r="D1561">
        <v>5.7737809999999996</v>
      </c>
      <c r="E1561">
        <v>0.46785379999999899</v>
      </c>
      <c r="F1561" t="s">
        <v>60</v>
      </c>
      <c r="G1561">
        <v>-248.08009999999999</v>
      </c>
      <c r="H1561" s="1">
        <v>2.7630570000000001E-6</v>
      </c>
      <c r="I1561">
        <v>282.78899999999999</v>
      </c>
      <c r="J1561">
        <v>-220.4205</v>
      </c>
      <c r="K1561">
        <v>1.1205959999999999</v>
      </c>
      <c r="L1561">
        <v>283.89569999999998</v>
      </c>
      <c r="M1561">
        <v>-0.99942730000000002</v>
      </c>
      <c r="N1561">
        <v>-7.9713419999999993E-3</v>
      </c>
      <c r="O1561">
        <v>3.288957E-2</v>
      </c>
      <c r="P1561">
        <v>-0.9808962</v>
      </c>
      <c r="Q1561">
        <v>0.1869353</v>
      </c>
      <c r="R1561">
        <v>5.3834779999999999E-2</v>
      </c>
      <c r="S1561">
        <v>-3.0878749999999999</v>
      </c>
      <c r="T1561">
        <v>-0.1239625</v>
      </c>
      <c r="U1561">
        <v>-0.1214905</v>
      </c>
      <c r="V1561">
        <v>2.1551170000000001E-2</v>
      </c>
      <c r="W1561">
        <v>0.19475770000000001</v>
      </c>
      <c r="X1561">
        <v>0.9806146</v>
      </c>
      <c r="Y1561">
        <v>-7.2071360000000001E-2</v>
      </c>
      <c r="Z1561">
        <v>-2.7903730000000001E-3</v>
      </c>
      <c r="AA1561">
        <v>0.99739560000000005</v>
      </c>
      <c r="AB1561">
        <v>25</v>
      </c>
      <c r="AC1561">
        <v>-27.659599999999902</v>
      </c>
      <c r="AD1561">
        <v>-1.1205932369429901</v>
      </c>
      <c r="AE1561">
        <v>-1.10669999999998</v>
      </c>
      <c r="AF1561">
        <v>-2.0125443616160501</v>
      </c>
      <c r="AG1561">
        <v>-1.1205932369429901</v>
      </c>
      <c r="AH1561">
        <v>27.563066299105799</v>
      </c>
      <c r="AI1561">
        <v>92.321938165499802</v>
      </c>
      <c r="AJ1561">
        <v>94.176096757132001</v>
      </c>
      <c r="AK1561">
        <v>27.659151972160199</v>
      </c>
      <c r="AL1561">
        <v>78.769430595440099</v>
      </c>
      <c r="AM1561">
        <v>88.7410014680854</v>
      </c>
      <c r="AN1561">
        <v>1.0000000041854</v>
      </c>
    </row>
    <row r="1562" spans="1:40" x14ac:dyDescent="0.25">
      <c r="A1562" t="str">
        <f>"20190303170527979"</f>
        <v>20190303170527979</v>
      </c>
      <c r="B1562" t="str">
        <f>"1551603927966294"</f>
        <v>1551603927966294</v>
      </c>
      <c r="C1562" t="s">
        <v>40</v>
      </c>
      <c r="D1562">
        <v>5.8739400000000002</v>
      </c>
      <c r="E1562">
        <v>0.46745599999999998</v>
      </c>
      <c r="F1562" t="s">
        <v>60</v>
      </c>
      <c r="G1562">
        <v>-248.93610000000001</v>
      </c>
      <c r="H1562" s="1">
        <v>3.2185760000000002E-6</v>
      </c>
      <c r="I1562">
        <v>282.77359999999999</v>
      </c>
      <c r="J1562">
        <v>-220.67250000000001</v>
      </c>
      <c r="K1562">
        <v>1.120547</v>
      </c>
      <c r="L1562">
        <v>283.904</v>
      </c>
      <c r="M1562">
        <v>-0.99943020000000005</v>
      </c>
      <c r="N1562">
        <v>-7.5909580000000001E-3</v>
      </c>
      <c r="O1562">
        <v>3.2890629999999997E-2</v>
      </c>
      <c r="P1562">
        <v>-0.9810373</v>
      </c>
      <c r="Q1562">
        <v>0.18644430000000001</v>
      </c>
      <c r="R1562">
        <v>5.2959819999999998E-2</v>
      </c>
      <c r="S1562">
        <v>-3.088257</v>
      </c>
      <c r="T1562">
        <v>-0.1213608</v>
      </c>
      <c r="U1562">
        <v>-0.121521</v>
      </c>
      <c r="V1562">
        <v>2.0671849999999999E-2</v>
      </c>
      <c r="W1562">
        <v>0.19389419999999999</v>
      </c>
      <c r="X1562">
        <v>0.98080460000000003</v>
      </c>
      <c r="Y1562">
        <v>-7.2080999999999895E-2</v>
      </c>
      <c r="Z1562">
        <v>-2.7310870000000001E-3</v>
      </c>
      <c r="AA1562">
        <v>0.99739500000000003</v>
      </c>
      <c r="AB1562">
        <v>26</v>
      </c>
      <c r="AC1562">
        <v>-28.2636</v>
      </c>
      <c r="AD1562">
        <v>-1.120543781424</v>
      </c>
      <c r="AE1562">
        <v>-1.1304000000000001</v>
      </c>
      <c r="AF1562">
        <v>-2.0561958911949101</v>
      </c>
      <c r="AG1562">
        <v>-1.120543781424</v>
      </c>
      <c r="AH1562">
        <v>28.1669240397495</v>
      </c>
      <c r="AI1562">
        <v>92.272114344818505</v>
      </c>
      <c r="AJ1562">
        <v>94.175207009101996</v>
      </c>
      <c r="AK1562">
        <v>28.264096832732399</v>
      </c>
      <c r="AL1562">
        <v>78.819866637530197</v>
      </c>
      <c r="AM1562">
        <v>88.792588830910802</v>
      </c>
      <c r="AN1562">
        <v>0.99999997477861102</v>
      </c>
    </row>
    <row r="1563" spans="1:40" x14ac:dyDescent="0.25">
      <c r="A1563" t="str">
        <f>"20190303170528000"</f>
        <v>20190303170528000</v>
      </c>
      <c r="B1563" t="str">
        <f>"1551603927985815"</f>
        <v>1551603927985815</v>
      </c>
      <c r="C1563" t="s">
        <v>40</v>
      </c>
      <c r="D1563">
        <v>5.9235730000000002</v>
      </c>
      <c r="E1563">
        <v>0.46712740000000003</v>
      </c>
      <c r="F1563" t="s">
        <v>60</v>
      </c>
      <c r="G1563">
        <v>-248.26400000000001</v>
      </c>
      <c r="H1563" s="1">
        <v>2.8608939999999998E-6</v>
      </c>
      <c r="I1563">
        <v>282.76119999999997</v>
      </c>
      <c r="J1563">
        <v>-220.9091</v>
      </c>
      <c r="K1563">
        <v>1.1205099999999999</v>
      </c>
      <c r="L1563">
        <v>283.9117</v>
      </c>
      <c r="M1563">
        <v>-0.99943280000000001</v>
      </c>
      <c r="N1563">
        <v>-7.2480929999999997E-3</v>
      </c>
      <c r="O1563">
        <v>3.2890570000000001E-2</v>
      </c>
      <c r="P1563">
        <v>-0.98127030000000004</v>
      </c>
      <c r="Q1563">
        <v>0.1854392</v>
      </c>
      <c r="R1563">
        <v>5.2165669999999997E-2</v>
      </c>
      <c r="S1563">
        <v>-3.0887449999999999</v>
      </c>
      <c r="T1563">
        <v>-0.1254401</v>
      </c>
      <c r="U1563">
        <v>-0.12792970000000001</v>
      </c>
      <c r="V1563">
        <v>1.9870860000000001E-2</v>
      </c>
      <c r="W1563">
        <v>0.19255430000000001</v>
      </c>
      <c r="X1563">
        <v>0.98108510000000004</v>
      </c>
      <c r="Y1563">
        <v>-7.4133210000000005E-2</v>
      </c>
      <c r="Z1563">
        <v>-2.8694670000000001E-3</v>
      </c>
      <c r="AA1563">
        <v>0.99724420000000003</v>
      </c>
      <c r="AB1563">
        <v>26</v>
      </c>
      <c r="AC1563">
        <v>-27.354900000000001</v>
      </c>
      <c r="AD1563">
        <v>-1.120507139106</v>
      </c>
      <c r="AE1563">
        <v>-1.1505000000000201</v>
      </c>
      <c r="AF1563">
        <v>-2.0461920889675902</v>
      </c>
      <c r="AG1563">
        <v>-1.120507139106</v>
      </c>
      <c r="AH1563">
        <v>27.256605151200201</v>
      </c>
      <c r="AI1563">
        <v>92.347480797147995</v>
      </c>
      <c r="AJ1563">
        <v>94.293222557614797</v>
      </c>
      <c r="AK1563">
        <v>27.3562600273168</v>
      </c>
      <c r="AL1563">
        <v>78.898112009174596</v>
      </c>
      <c r="AM1563">
        <v>88.839692122789401</v>
      </c>
      <c r="AN1563">
        <v>0.99999999148381902</v>
      </c>
    </row>
    <row r="1564" spans="1:40" x14ac:dyDescent="0.25">
      <c r="A1564" t="str">
        <f>"20190303170528024"</f>
        <v>20190303170528024</v>
      </c>
      <c r="B1564" t="str">
        <f>"1551603928016071"</f>
        <v>1551603928016071</v>
      </c>
      <c r="C1564" t="s">
        <v>40</v>
      </c>
      <c r="D1564">
        <v>5.8543010000000004</v>
      </c>
      <c r="E1564">
        <v>0.44937880000000002</v>
      </c>
      <c r="F1564" t="s">
        <v>60</v>
      </c>
      <c r="G1564">
        <v>-247.45439999999999</v>
      </c>
      <c r="H1564" s="1">
        <v>2.4300469999999998E-6</v>
      </c>
      <c r="I1564">
        <v>282.77280000000002</v>
      </c>
      <c r="J1564">
        <v>-221.1893</v>
      </c>
      <c r="K1564">
        <v>1.120471</v>
      </c>
      <c r="L1564">
        <v>283.92099999999999</v>
      </c>
      <c r="M1564">
        <v>-0.99943559999999998</v>
      </c>
      <c r="N1564">
        <v>-6.8527650000000002E-3</v>
      </c>
      <c r="O1564">
        <v>3.2889549999999997E-2</v>
      </c>
      <c r="P1564">
        <v>-0.98128349999999998</v>
      </c>
      <c r="Q1564">
        <v>0.18563959999999999</v>
      </c>
      <c r="R1564">
        <v>5.1192809999999998E-2</v>
      </c>
      <c r="S1564">
        <v>-3.088943</v>
      </c>
      <c r="T1564">
        <v>-0.130388</v>
      </c>
      <c r="U1564">
        <v>-0.13253779999999901</v>
      </c>
      <c r="V1564">
        <v>1.889888E-2</v>
      </c>
      <c r="W1564">
        <v>0.1923667</v>
      </c>
      <c r="X1564">
        <v>0.98114109999999999</v>
      </c>
      <c r="Y1564">
        <v>-7.5605939999999996E-2</v>
      </c>
      <c r="Z1564">
        <v>-3.0154959999999999E-3</v>
      </c>
      <c r="AA1564">
        <v>0.99713320000000005</v>
      </c>
      <c r="AB1564">
        <v>26</v>
      </c>
      <c r="AC1564">
        <v>-26.265099999999901</v>
      </c>
      <c r="AD1564">
        <v>-1.1204685699529999</v>
      </c>
      <c r="AE1564">
        <v>-1.1481999999999699</v>
      </c>
      <c r="AF1564">
        <v>-2.0077993312354301</v>
      </c>
      <c r="AG1564">
        <v>-1.1204685699529999</v>
      </c>
      <c r="AH1564">
        <v>26.165597798218599</v>
      </c>
      <c r="AI1564">
        <v>92.444854980356695</v>
      </c>
      <c r="AJ1564">
        <v>94.387953791870601</v>
      </c>
      <c r="AK1564">
        <v>26.266427547515999</v>
      </c>
      <c r="AL1564">
        <v>78.9090654199006</v>
      </c>
      <c r="AM1564">
        <v>88.896496975859193</v>
      </c>
      <c r="AN1564">
        <v>0.99999998652167699</v>
      </c>
    </row>
    <row r="1565" spans="1:40" x14ac:dyDescent="0.25">
      <c r="A1565" t="str">
        <f>"20190303170528045"</f>
        <v>20190303170528045</v>
      </c>
      <c r="B1565" t="str">
        <f>"1551603928036567"</f>
        <v>1551603928036567</v>
      </c>
      <c r="C1565" t="s">
        <v>40</v>
      </c>
      <c r="D1565">
        <v>5.832579</v>
      </c>
      <c r="E1565">
        <v>0.44405359999999999</v>
      </c>
      <c r="F1565" t="s">
        <v>60</v>
      </c>
      <c r="G1565">
        <v>-267.59620000000001</v>
      </c>
      <c r="H1565" s="1">
        <v>2.5055450000000002E-6</v>
      </c>
      <c r="I1565">
        <v>279.79660000000001</v>
      </c>
      <c r="J1565">
        <v>-221.43960000000001</v>
      </c>
      <c r="K1565">
        <v>1.120436</v>
      </c>
      <c r="L1565">
        <v>283.92919999999998</v>
      </c>
      <c r="M1565">
        <v>-0.99943789999999999</v>
      </c>
      <c r="N1565">
        <v>-6.5124149999999997E-3</v>
      </c>
      <c r="O1565">
        <v>3.2888390000000003E-2</v>
      </c>
      <c r="P1565">
        <v>-0.98098209999999997</v>
      </c>
      <c r="Q1565">
        <v>0.18712690000000001</v>
      </c>
      <c r="R1565">
        <v>5.1553719999999997E-2</v>
      </c>
      <c r="S1565">
        <v>-3.0856319999999999</v>
      </c>
      <c r="T1565">
        <v>-7.4500800000000006E-2</v>
      </c>
      <c r="U1565">
        <v>-0.274231</v>
      </c>
      <c r="V1565">
        <v>1.9270570000000001E-2</v>
      </c>
      <c r="W1565">
        <v>0.1935181</v>
      </c>
      <c r="X1565">
        <v>0.98090739999999998</v>
      </c>
      <c r="Y1565">
        <v>-0.121187</v>
      </c>
      <c r="Z1565">
        <v>-2.4342529999999999E-3</v>
      </c>
      <c r="AA1565">
        <v>0.99262669999999997</v>
      </c>
      <c r="AB1565">
        <v>26</v>
      </c>
      <c r="AC1565">
        <v>-46.156599999999997</v>
      </c>
      <c r="AD1565">
        <v>-1.1204334944550001</v>
      </c>
      <c r="AE1565">
        <v>-4.1325999999999601</v>
      </c>
      <c r="AF1565">
        <v>-5.6451126503247702</v>
      </c>
      <c r="AG1565">
        <v>-1.1204334944550001</v>
      </c>
      <c r="AH1565">
        <v>45.968840173520299</v>
      </c>
      <c r="AI1565">
        <v>91.385830790605795</v>
      </c>
      <c r="AJ1565">
        <v>97.001042226335599</v>
      </c>
      <c r="AK1565">
        <v>46.327712386313799</v>
      </c>
      <c r="AL1565">
        <v>78.841831536910206</v>
      </c>
      <c r="AM1565">
        <v>88.874531564665105</v>
      </c>
      <c r="AN1565">
        <v>0.99999996863524698</v>
      </c>
    </row>
    <row r="1566" spans="1:40" x14ac:dyDescent="0.25">
      <c r="A1566" t="str">
        <f>"20190303170528067"</f>
        <v>20190303170528067</v>
      </c>
      <c r="B1566" t="str">
        <f>"1551603928056086"</f>
        <v>1551603928056086</v>
      </c>
      <c r="C1566" t="s">
        <v>40</v>
      </c>
      <c r="D1566">
        <v>5.882498</v>
      </c>
      <c r="E1566">
        <v>0.44218220000000003</v>
      </c>
      <c r="F1566" t="s">
        <v>60</v>
      </c>
      <c r="G1566">
        <v>-269.2364</v>
      </c>
      <c r="H1566">
        <v>8.0000210000000002E-2</v>
      </c>
      <c r="I1566">
        <v>279.0453</v>
      </c>
      <c r="J1566">
        <v>-221.69399999999999</v>
      </c>
      <c r="K1566">
        <v>1.1204019999999999</v>
      </c>
      <c r="L1566">
        <v>283.93759999999997</v>
      </c>
      <c r="M1566">
        <v>-0.99943990000000005</v>
      </c>
      <c r="N1566">
        <v>-6.1869969999999996E-3</v>
      </c>
      <c r="O1566">
        <v>3.2887119999999999E-2</v>
      </c>
      <c r="P1566">
        <v>-0.98075270000000003</v>
      </c>
      <c r="Q1566">
        <v>0.18804370000000001</v>
      </c>
      <c r="R1566">
        <v>5.2573370000000001E-2</v>
      </c>
      <c r="S1566">
        <v>-3.0875699999999999</v>
      </c>
      <c r="T1566">
        <v>-6.7209840000000007E-2</v>
      </c>
      <c r="U1566">
        <v>-0.31549070000000001</v>
      </c>
      <c r="V1566">
        <v>2.0298150000000001E-2</v>
      </c>
      <c r="W1566">
        <v>0.1941146</v>
      </c>
      <c r="X1566">
        <v>0.98076890000000005</v>
      </c>
      <c r="Y1566">
        <v>-0.13426959999999999</v>
      </c>
      <c r="Z1566">
        <v>-2.3851950000000001E-3</v>
      </c>
      <c r="AA1566">
        <v>0.99094199999999999</v>
      </c>
      <c r="AB1566">
        <v>26</v>
      </c>
      <c r="AC1566">
        <v>-47.542400000000001</v>
      </c>
      <c r="AD1566">
        <v>-1.04040179</v>
      </c>
      <c r="AE1566">
        <v>-4.8922999999999703</v>
      </c>
      <c r="AF1566">
        <v>-6.4501595131293898</v>
      </c>
      <c r="AG1566">
        <v>-1.04040179</v>
      </c>
      <c r="AH1566">
        <v>47.333355103853599</v>
      </c>
      <c r="AI1566">
        <v>91.247648912999793</v>
      </c>
      <c r="AJ1566">
        <v>97.759950279283402</v>
      </c>
      <c r="AK1566">
        <v>47.782146237030297</v>
      </c>
      <c r="AL1566">
        <v>78.806995088948597</v>
      </c>
      <c r="AM1566">
        <v>88.814366646251699</v>
      </c>
      <c r="AN1566">
        <v>1.00000006401689</v>
      </c>
    </row>
    <row r="1567" spans="1:40" x14ac:dyDescent="0.25">
      <c r="A1567" t="str">
        <f>"20190303170528090"</f>
        <v>20190303170528090</v>
      </c>
      <c r="B1567" t="str">
        <f>"1551603928076582"</f>
        <v>1551603928076582</v>
      </c>
      <c r="C1567" t="s">
        <v>40</v>
      </c>
      <c r="D1567">
        <v>5.8669779999999996</v>
      </c>
      <c r="E1567">
        <v>0.44168809999999897</v>
      </c>
      <c r="F1567" t="s">
        <v>64</v>
      </c>
      <c r="G1567">
        <v>-281.45370000000003</v>
      </c>
      <c r="H1567">
        <v>8.0001699999999995E-2</v>
      </c>
      <c r="I1567">
        <v>277.60039999999998</v>
      </c>
      <c r="J1567">
        <v>-221.96100000000001</v>
      </c>
      <c r="K1567">
        <v>1.1203689999999999</v>
      </c>
      <c r="L1567">
        <v>283.94639999999998</v>
      </c>
      <c r="M1567">
        <v>-0.99944200000000005</v>
      </c>
      <c r="N1567">
        <v>-5.8632869999999896E-3</v>
      </c>
      <c r="O1567">
        <v>3.288597E-2</v>
      </c>
      <c r="P1567">
        <v>-0.98078659999999995</v>
      </c>
      <c r="Q1567">
        <v>0.18774759999999999</v>
      </c>
      <c r="R1567">
        <v>5.2999150000000002E-2</v>
      </c>
      <c r="S1567">
        <v>-3.0867309999999999</v>
      </c>
      <c r="T1567">
        <v>-5.373907E-2</v>
      </c>
      <c r="U1567">
        <v>-0.3273315</v>
      </c>
      <c r="V1567">
        <v>2.0723510000000001E-2</v>
      </c>
      <c r="W1567">
        <v>0.19350129999999999</v>
      </c>
      <c r="X1567">
        <v>0.98088120000000001</v>
      </c>
      <c r="Y1567">
        <v>-0.13806969999999999</v>
      </c>
      <c r="Z1567">
        <v>-1.9832199999999999E-3</v>
      </c>
      <c r="AA1567">
        <v>0.99042050000000004</v>
      </c>
      <c r="AB1567">
        <v>26</v>
      </c>
      <c r="AC1567">
        <v>-59.492699999999999</v>
      </c>
      <c r="AD1567">
        <v>-1.0403673</v>
      </c>
      <c r="AE1567">
        <v>-6.3460000000000001</v>
      </c>
      <c r="AF1567">
        <v>-8.2965674045488598</v>
      </c>
      <c r="AG1567">
        <v>-1.0403673</v>
      </c>
      <c r="AH1567">
        <v>59.233911670321703</v>
      </c>
      <c r="AI1567">
        <v>90.996497836167407</v>
      </c>
      <c r="AJ1567">
        <v>97.973234124390501</v>
      </c>
      <c r="AK1567">
        <v>59.821164202852202</v>
      </c>
      <c r="AL1567">
        <v>78.842813827129106</v>
      </c>
      <c r="AM1567">
        <v>88.789666843701298</v>
      </c>
      <c r="AN1567">
        <v>1.00000007274092</v>
      </c>
    </row>
    <row r="1568" spans="1:40" x14ac:dyDescent="0.25">
      <c r="A1568" t="str">
        <f>"20190303170528103"</f>
        <v>20190303170528103</v>
      </c>
      <c r="B1568" t="str">
        <f>"1551603928096102"</f>
        <v>1551603928096102</v>
      </c>
      <c r="C1568" t="s">
        <v>40</v>
      </c>
      <c r="D1568">
        <v>5.844373</v>
      </c>
      <c r="E1568">
        <v>0.44119399999999998</v>
      </c>
      <c r="F1568" t="s">
        <v>64</v>
      </c>
      <c r="G1568">
        <v>-287.09440000000001</v>
      </c>
      <c r="H1568">
        <v>8.0001399999999903E-2</v>
      </c>
      <c r="I1568">
        <v>276.99009999999998</v>
      </c>
      <c r="J1568">
        <v>-222.12899999999999</v>
      </c>
      <c r="K1568">
        <v>1.1203430000000001</v>
      </c>
      <c r="L1568">
        <v>283.95190000000002</v>
      </c>
      <c r="M1568">
        <v>-0.99944310000000003</v>
      </c>
      <c r="N1568">
        <v>-5.6655430000000003E-3</v>
      </c>
      <c r="O1568">
        <v>3.2885360000000002E-2</v>
      </c>
      <c r="P1568">
        <v>-0.98081680000000004</v>
      </c>
      <c r="Q1568">
        <v>0.1876562</v>
      </c>
      <c r="R1568">
        <v>5.2761009999999997E-2</v>
      </c>
      <c r="S1568">
        <v>-3.086014</v>
      </c>
      <c r="T1568">
        <v>-4.9292559999999999E-2</v>
      </c>
      <c r="U1568">
        <v>-0.32958979999999999</v>
      </c>
      <c r="V1568">
        <v>2.0484949999999998E-2</v>
      </c>
      <c r="W1568">
        <v>0.19321640000000001</v>
      </c>
      <c r="X1568">
        <v>0.98094230000000004</v>
      </c>
      <c r="Y1568">
        <v>-0.1388142</v>
      </c>
      <c r="Z1568">
        <v>-1.8379869999999999E-3</v>
      </c>
      <c r="AA1568">
        <v>0.99031670000000005</v>
      </c>
      <c r="AB1568">
        <v>26</v>
      </c>
      <c r="AC1568">
        <v>-64.965399999999903</v>
      </c>
      <c r="AD1568">
        <v>-1.0403415999999901</v>
      </c>
      <c r="AE1568">
        <v>-6.9618000000000304</v>
      </c>
      <c r="AF1568">
        <v>-9.09217411213886</v>
      </c>
      <c r="AG1568">
        <v>-1.0403415999999901</v>
      </c>
      <c r="AH1568">
        <v>64.684916541189594</v>
      </c>
      <c r="AI1568">
        <v>90.912452843751495</v>
      </c>
      <c r="AJ1568">
        <v>98.001130883472797</v>
      </c>
      <c r="AK1568">
        <v>65.329077512779804</v>
      </c>
      <c r="AL1568">
        <v>78.859450590634097</v>
      </c>
      <c r="AM1568">
        <v>88.803670096199397</v>
      </c>
      <c r="AN1568">
        <v>1.0000000031673699</v>
      </c>
    </row>
    <row r="1569" spans="1:40" x14ac:dyDescent="0.25">
      <c r="A1569" t="str">
        <f>"20190303170528123"</f>
        <v>20190303170528123</v>
      </c>
      <c r="B1569" t="str">
        <f>"1551603928116599"</f>
        <v>1551603928116599</v>
      </c>
      <c r="C1569" t="s">
        <v>40</v>
      </c>
      <c r="D1569">
        <v>5.9071889999999998</v>
      </c>
      <c r="E1569">
        <v>0.44093110000000002</v>
      </c>
      <c r="F1569" t="s">
        <v>64</v>
      </c>
      <c r="G1569">
        <v>-295.94889999999998</v>
      </c>
      <c r="H1569" s="1">
        <v>4.9298249999999998E-6</v>
      </c>
      <c r="I1569">
        <v>275.96820000000002</v>
      </c>
      <c r="J1569">
        <v>-222.3604</v>
      </c>
      <c r="K1569">
        <v>1.1203069999999999</v>
      </c>
      <c r="L1569">
        <v>283.95949999999999</v>
      </c>
      <c r="M1569">
        <v>-0.99944460000000002</v>
      </c>
      <c r="N1569">
        <v>-5.4016450000000001E-3</v>
      </c>
      <c r="O1569">
        <v>3.2884610000000002E-2</v>
      </c>
      <c r="P1569">
        <v>-0.98080129999999999</v>
      </c>
      <c r="Q1569">
        <v>0.18776809999999999</v>
      </c>
      <c r="R1569">
        <v>5.2650160000000001E-2</v>
      </c>
      <c r="S1569">
        <v>-3.0855869999999999</v>
      </c>
      <c r="T1569">
        <v>-4.6828870000000002E-2</v>
      </c>
      <c r="U1569">
        <v>-0.3337097</v>
      </c>
      <c r="V1569">
        <v>2.037514E-2</v>
      </c>
      <c r="W1569">
        <v>0.19306950000000001</v>
      </c>
      <c r="X1569">
        <v>0.98097350000000005</v>
      </c>
      <c r="Y1569">
        <v>-0.14013719999999999</v>
      </c>
      <c r="Z1569">
        <v>-1.7605710000000001E-3</v>
      </c>
      <c r="AA1569">
        <v>0.99013050000000002</v>
      </c>
      <c r="AB1569">
        <v>27</v>
      </c>
      <c r="AC1569">
        <v>-73.588499999999897</v>
      </c>
      <c r="AD1569">
        <v>-1.1203020701749999</v>
      </c>
      <c r="AE1569">
        <v>-7.9912999999999599</v>
      </c>
      <c r="AF1569">
        <v>-10.404558824929</v>
      </c>
      <c r="AG1569">
        <v>-1.1203020701749999</v>
      </c>
      <c r="AH1569">
        <v>73.269120865211505</v>
      </c>
      <c r="AI1569">
        <v>90.867297984929095</v>
      </c>
      <c r="AJ1569">
        <v>98.082231563212105</v>
      </c>
      <c r="AK1569">
        <v>74.012661034655494</v>
      </c>
      <c r="AL1569">
        <v>78.868028748726204</v>
      </c>
      <c r="AM1569">
        <v>88.810119033367002</v>
      </c>
      <c r="AN1569">
        <v>0.99999999293125896</v>
      </c>
    </row>
    <row r="1570" spans="1:40" x14ac:dyDescent="0.25">
      <c r="A1570" t="str">
        <f>"20190303170528146"</f>
        <v>20190303170528146</v>
      </c>
      <c r="B1570" t="str">
        <f>"1551603928136118"</f>
        <v>1551603928136118</v>
      </c>
      <c r="C1570" t="s">
        <v>40</v>
      </c>
      <c r="D1570">
        <v>5.8793350000000002</v>
      </c>
      <c r="E1570">
        <v>0.44071060000000001</v>
      </c>
      <c r="F1570" t="s">
        <v>64</v>
      </c>
      <c r="G1570">
        <v>-304.43</v>
      </c>
      <c r="H1570" s="1">
        <v>5.039646E-6</v>
      </c>
      <c r="I1570">
        <v>275.02769999999998</v>
      </c>
      <c r="J1570">
        <v>-222.64</v>
      </c>
      <c r="K1570">
        <v>1.1202650000000001</v>
      </c>
      <c r="L1570">
        <v>283.96870000000001</v>
      </c>
      <c r="M1570">
        <v>-0.99944619999999995</v>
      </c>
      <c r="N1570">
        <v>-5.100434E-3</v>
      </c>
      <c r="O1570">
        <v>3.2884110000000001E-2</v>
      </c>
      <c r="P1570">
        <v>-0.98073500000000002</v>
      </c>
      <c r="Q1570">
        <v>0.18820410000000001</v>
      </c>
      <c r="R1570">
        <v>5.2328810000000003E-2</v>
      </c>
      <c r="S1570">
        <v>-3.0848080000000002</v>
      </c>
      <c r="T1570">
        <v>-4.2109609999999999E-2</v>
      </c>
      <c r="U1570">
        <v>-0.33572390000000002</v>
      </c>
      <c r="V1570">
        <v>2.0056520000000001E-2</v>
      </c>
      <c r="W1570">
        <v>0.1932094</v>
      </c>
      <c r="X1570">
        <v>0.98095259999999995</v>
      </c>
      <c r="Y1570">
        <v>-0.1408065</v>
      </c>
      <c r="Z1570">
        <v>-1.5988580000000001E-3</v>
      </c>
      <c r="AA1570">
        <v>0.99003580000000002</v>
      </c>
      <c r="AB1570">
        <v>27</v>
      </c>
      <c r="AC1570">
        <v>-81.790000000000006</v>
      </c>
      <c r="AD1570">
        <v>-1.120259960354</v>
      </c>
      <c r="AE1570">
        <v>-8.9410000000000291</v>
      </c>
      <c r="AF1570">
        <v>-11.6236356872346</v>
      </c>
      <c r="AG1570">
        <v>-1.120259960354</v>
      </c>
      <c r="AH1570">
        <v>81.436646587705198</v>
      </c>
      <c r="AI1570">
        <v>90.780216889995799</v>
      </c>
      <c r="AJ1570">
        <v>98.1230894369411</v>
      </c>
      <c r="AK1570">
        <v>82.269625600333896</v>
      </c>
      <c r="AL1570">
        <v>78.859860115958398</v>
      </c>
      <c r="AM1570">
        <v>88.828695843098203</v>
      </c>
      <c r="AN1570">
        <v>1.0000000698448099</v>
      </c>
    </row>
    <row r="1571" spans="1:40" x14ac:dyDescent="0.25">
      <c r="A1571" t="str">
        <f>"20190303170528169"</f>
        <v>20190303170528169</v>
      </c>
      <c r="B1571" t="str">
        <f>"1551603928156614"</f>
        <v>1551603928156614</v>
      </c>
      <c r="C1571" t="s">
        <v>40</v>
      </c>
      <c r="D1571">
        <v>5.8671639999999998</v>
      </c>
      <c r="E1571">
        <v>0.44047140000000001</v>
      </c>
      <c r="F1571" t="s">
        <v>64</v>
      </c>
      <c r="G1571">
        <v>-309.96710000000002</v>
      </c>
      <c r="H1571">
        <v>5.9400979999999999E-2</v>
      </c>
      <c r="I1571">
        <v>274.36869999999999</v>
      </c>
      <c r="J1571">
        <v>-222.91120000000001</v>
      </c>
      <c r="K1571">
        <v>1.1202350000000001</v>
      </c>
      <c r="L1571">
        <v>283.9776</v>
      </c>
      <c r="M1571">
        <v>-0.99944750000000004</v>
      </c>
      <c r="N1571">
        <v>-4.8326799999999998E-3</v>
      </c>
      <c r="O1571">
        <v>3.288348E-2</v>
      </c>
      <c r="P1571">
        <v>-0.98064770000000001</v>
      </c>
      <c r="Q1571">
        <v>0.1886285</v>
      </c>
      <c r="R1571">
        <v>5.243105E-2</v>
      </c>
      <c r="S1571">
        <v>-3.0841980000000002</v>
      </c>
      <c r="T1571">
        <v>-3.7467359999999998E-2</v>
      </c>
      <c r="U1571">
        <v>-0.33905030000000003</v>
      </c>
      <c r="V1571">
        <v>2.016194E-2</v>
      </c>
      <c r="W1571">
        <v>0.19337029999999999</v>
      </c>
      <c r="X1571">
        <v>0.98091859999999997</v>
      </c>
      <c r="Y1571">
        <v>-0.1418856</v>
      </c>
      <c r="Z1571">
        <v>-1.443099E-3</v>
      </c>
      <c r="AA1571">
        <v>0.98988200000000004</v>
      </c>
      <c r="AB1571">
        <v>27</v>
      </c>
      <c r="AC1571">
        <v>-87.055899999999994</v>
      </c>
      <c r="AD1571">
        <v>-1.0608340199999999</v>
      </c>
      <c r="AE1571">
        <v>-9.6089000000000002</v>
      </c>
      <c r="AF1571">
        <v>-12.464609112221099</v>
      </c>
      <c r="AG1571">
        <v>-1.0608340199999999</v>
      </c>
      <c r="AH1571">
        <v>86.680124372615893</v>
      </c>
      <c r="AI1571">
        <v>90.694040521282901</v>
      </c>
      <c r="AJ1571">
        <v>98.183041332604404</v>
      </c>
      <c r="AK1571">
        <v>87.578169713637095</v>
      </c>
      <c r="AL1571">
        <v>78.850462545888902</v>
      </c>
      <c r="AM1571">
        <v>88.822500225111796</v>
      </c>
      <c r="AN1571">
        <v>0.99999993828630496</v>
      </c>
    </row>
    <row r="1572" spans="1:40" x14ac:dyDescent="0.25">
      <c r="A1572" t="str">
        <f>"20190303170528191"</f>
        <v>20190303170528191</v>
      </c>
      <c r="B1572" t="str">
        <f>"1551603928185894"</f>
        <v>1551603928185894</v>
      </c>
      <c r="C1572" t="s">
        <v>40</v>
      </c>
      <c r="D1572">
        <v>5.8825379999999896</v>
      </c>
      <c r="E1572">
        <v>0.44013289999999999</v>
      </c>
      <c r="F1572" t="s">
        <v>43</v>
      </c>
      <c r="G1572">
        <v>-328.96039999999999</v>
      </c>
      <c r="H1572">
        <v>-0.05</v>
      </c>
      <c r="I1572">
        <v>272.24419999999998</v>
      </c>
      <c r="J1572">
        <v>-223.1816</v>
      </c>
      <c r="K1572">
        <v>1.120204</v>
      </c>
      <c r="L1572">
        <v>283.98649999999998</v>
      </c>
      <c r="M1572">
        <v>-0.99944869999999997</v>
      </c>
      <c r="N1572">
        <v>-4.5932079999999997E-3</v>
      </c>
      <c r="O1572">
        <v>3.288257E-2</v>
      </c>
      <c r="P1572">
        <v>-0.98058160000000005</v>
      </c>
      <c r="Q1572">
        <v>0.1888214</v>
      </c>
      <c r="R1572">
        <v>5.2975139999999997E-2</v>
      </c>
      <c r="S1572">
        <v>-3.0840000000000001</v>
      </c>
      <c r="T1572">
        <v>-3.4031390000000002E-2</v>
      </c>
      <c r="U1572">
        <v>-0.34121699999999999</v>
      </c>
      <c r="V1572">
        <v>2.0709080000000001E-2</v>
      </c>
      <c r="W1572">
        <v>0.19332869999999999</v>
      </c>
      <c r="X1572">
        <v>0.98091550000000005</v>
      </c>
      <c r="Y1572">
        <v>-0.14258119999999999</v>
      </c>
      <c r="Z1572">
        <v>-1.3240540000000001E-3</v>
      </c>
      <c r="AA1572">
        <v>0.98978219999999995</v>
      </c>
      <c r="AB1572">
        <v>27</v>
      </c>
      <c r="AC1572">
        <v>-105.7788</v>
      </c>
      <c r="AD1572">
        <v>-1.170204</v>
      </c>
      <c r="AE1572">
        <v>-11.7423</v>
      </c>
      <c r="AF1572">
        <v>-15.212426164550299</v>
      </c>
      <c r="AG1572">
        <v>-1.170204</v>
      </c>
      <c r="AH1572">
        <v>105.32274194439501</v>
      </c>
      <c r="AI1572">
        <v>90.630029759277093</v>
      </c>
      <c r="AJ1572">
        <v>98.2187516168527</v>
      </c>
      <c r="AK1572">
        <v>106.422118273878</v>
      </c>
      <c r="AL1572">
        <v>78.852892986394295</v>
      </c>
      <c r="AM1572">
        <v>88.790551641195506</v>
      </c>
      <c r="AN1572">
        <v>1.00000003518919</v>
      </c>
    </row>
    <row r="1573" spans="1:40" x14ac:dyDescent="0.25">
      <c r="A1573" t="str">
        <f>"20190303170528214"</f>
        <v>20190303170528214</v>
      </c>
      <c r="B1573" t="str">
        <f>"1551603928206390"</f>
        <v>1551603928206390</v>
      </c>
      <c r="C1573" t="s">
        <v>40</v>
      </c>
      <c r="D1573">
        <v>5.9011849999999999</v>
      </c>
      <c r="E1573">
        <v>0.4399749</v>
      </c>
      <c r="F1573" t="s">
        <v>43</v>
      </c>
      <c r="G1573">
        <v>-335.48820000000001</v>
      </c>
      <c r="H1573">
        <v>-0.05</v>
      </c>
      <c r="I1573">
        <v>271.52449999999999</v>
      </c>
      <c r="J1573">
        <v>-223.46190000000001</v>
      </c>
      <c r="K1573">
        <v>1.1201760000000001</v>
      </c>
      <c r="L1573">
        <v>283.99579999999997</v>
      </c>
      <c r="M1573">
        <v>-0.99944980000000005</v>
      </c>
      <c r="N1573">
        <v>-4.3739149999999999E-3</v>
      </c>
      <c r="O1573">
        <v>3.288141E-2</v>
      </c>
      <c r="P1573">
        <v>-0.98062669999999996</v>
      </c>
      <c r="Q1573">
        <v>0.18839049999999999</v>
      </c>
      <c r="R1573">
        <v>5.3671620000000003E-2</v>
      </c>
      <c r="S1573">
        <v>-3.0840909999999999</v>
      </c>
      <c r="T1573">
        <v>-3.2135370000000003E-2</v>
      </c>
      <c r="U1573">
        <v>-0.34222409999999998</v>
      </c>
      <c r="V1573">
        <v>2.1405E-2</v>
      </c>
      <c r="W1573">
        <v>0.19268250000000001</v>
      </c>
      <c r="X1573">
        <v>0.98102769999999995</v>
      </c>
      <c r="Y1573">
        <v>-0.14289739999999901</v>
      </c>
      <c r="Z1573">
        <v>-1.253992E-3</v>
      </c>
      <c r="AA1573">
        <v>0.98973670000000002</v>
      </c>
      <c r="AB1573">
        <v>27</v>
      </c>
      <c r="AC1573">
        <v>-112.02630000000001</v>
      </c>
      <c r="AD1573">
        <v>-1.1701760000000001</v>
      </c>
      <c r="AE1573">
        <v>-12.4712999999999</v>
      </c>
      <c r="AF1573">
        <v>-16.146433512401501</v>
      </c>
      <c r="AG1573">
        <v>-1.1701760000000001</v>
      </c>
      <c r="AH1573">
        <v>111.54362249421401</v>
      </c>
      <c r="AI1573">
        <v>90.594854039936493</v>
      </c>
      <c r="AJ1573">
        <v>98.236606365849397</v>
      </c>
      <c r="AK1573">
        <v>112.712272384923</v>
      </c>
      <c r="AL1573">
        <v>78.890626993183503</v>
      </c>
      <c r="AM1573">
        <v>88.750064246540106</v>
      </c>
      <c r="AN1573">
        <v>1.0000000339992601</v>
      </c>
    </row>
    <row r="1574" spans="1:40" x14ac:dyDescent="0.25">
      <c r="A1574" t="str">
        <f>"20190303170528235"</f>
        <v>20190303170528235</v>
      </c>
      <c r="B1574" t="str">
        <f>"1551603928225910"</f>
        <v>1551603928225910</v>
      </c>
      <c r="C1574" t="s">
        <v>40</v>
      </c>
      <c r="D1574">
        <v>5.9181429999999997</v>
      </c>
      <c r="E1574">
        <v>0.43974150000000001</v>
      </c>
      <c r="F1574" t="s">
        <v>43</v>
      </c>
      <c r="G1574">
        <v>-329.60509999999999</v>
      </c>
      <c r="H1574">
        <v>-0.05</v>
      </c>
      <c r="I1574">
        <v>272.25700000000001</v>
      </c>
      <c r="J1574">
        <v>-223.73070000000001</v>
      </c>
      <c r="K1574">
        <v>1.1201540000000001</v>
      </c>
      <c r="L1574">
        <v>284.00459999999998</v>
      </c>
      <c r="M1574">
        <v>-0.99945059999999997</v>
      </c>
      <c r="N1574">
        <v>-4.1894380000000002E-3</v>
      </c>
      <c r="O1574">
        <v>3.28805E-2</v>
      </c>
      <c r="P1574">
        <v>-0.98064399999999996</v>
      </c>
      <c r="Q1574">
        <v>0.1881275</v>
      </c>
      <c r="R1574">
        <v>5.4273090000000003E-2</v>
      </c>
      <c r="S1574">
        <v>-3.0844879999999999</v>
      </c>
      <c r="T1574">
        <v>-3.4004930000000003E-2</v>
      </c>
      <c r="U1574">
        <v>-0.34112550000000003</v>
      </c>
      <c r="V1574">
        <v>2.2006479999999998E-2</v>
      </c>
      <c r="W1574">
        <v>0.19223889999999999</v>
      </c>
      <c r="X1574">
        <v>0.98110140000000001</v>
      </c>
      <c r="Y1574">
        <v>-0.1425332</v>
      </c>
      <c r="Z1574">
        <v>-1.3069620000000001E-3</v>
      </c>
      <c r="AA1574">
        <v>0.98978909999999998</v>
      </c>
      <c r="AB1574">
        <v>27</v>
      </c>
      <c r="AC1574">
        <v>-105.874399999999</v>
      </c>
      <c r="AD1574">
        <v>-1.1701539999999999</v>
      </c>
      <c r="AE1574">
        <v>-11.747599999999901</v>
      </c>
      <c r="AF1574">
        <v>-15.220644656967799</v>
      </c>
      <c r="AG1574">
        <v>-1.1701539999999999</v>
      </c>
      <c r="AH1574">
        <v>105.41816082712801</v>
      </c>
      <c r="AI1574">
        <v>90.629437341512201</v>
      </c>
      <c r="AJ1574">
        <v>98.215789595334499</v>
      </c>
      <c r="AK1574">
        <v>106.51772583157999</v>
      </c>
      <c r="AL1574">
        <v>78.916527446362593</v>
      </c>
      <c r="AM1574">
        <v>88.715049197605595</v>
      </c>
      <c r="AN1574">
        <v>1.00000001845858</v>
      </c>
    </row>
    <row r="1575" spans="1:40" x14ac:dyDescent="0.25">
      <c r="A1575" t="str">
        <f>"20190303170528258"</f>
        <v>20190303170528258</v>
      </c>
      <c r="B1575" t="str">
        <f>"1551603928246406"</f>
        <v>1551603928246406</v>
      </c>
      <c r="C1575" t="s">
        <v>40</v>
      </c>
      <c r="D1575">
        <v>5.9247129999999997</v>
      </c>
      <c r="E1575">
        <v>0.43959619999999999</v>
      </c>
      <c r="F1575" t="s">
        <v>64</v>
      </c>
      <c r="G1575">
        <v>-314.40410000000003</v>
      </c>
      <c r="H1575">
        <v>8.0001420000000004E-2</v>
      </c>
      <c r="I1575">
        <v>273.97800000000001</v>
      </c>
      <c r="J1575">
        <v>-224.0061</v>
      </c>
      <c r="K1575">
        <v>1.1201369999999999</v>
      </c>
      <c r="L1575">
        <v>284.01369999999997</v>
      </c>
      <c r="M1575">
        <v>-0.99945119999999998</v>
      </c>
      <c r="N1575">
        <v>-4.0223170000000001E-3</v>
      </c>
      <c r="O1575">
        <v>3.2879659999999998E-2</v>
      </c>
      <c r="P1575">
        <v>-0.98050530000000002</v>
      </c>
      <c r="Q1575">
        <v>0.1888765</v>
      </c>
      <c r="R1575">
        <v>5.4176580000000002E-2</v>
      </c>
      <c r="S1575">
        <v>-3.0848849999999999</v>
      </c>
      <c r="T1575">
        <v>-3.5387990000000001E-2</v>
      </c>
      <c r="U1575">
        <v>-0.34112550000000003</v>
      </c>
      <c r="V1575">
        <v>2.191537E-2</v>
      </c>
      <c r="W1575">
        <v>0.19282340000000001</v>
      </c>
      <c r="X1575">
        <v>0.98098870000000005</v>
      </c>
      <c r="Y1575">
        <v>-0.14251759999999999</v>
      </c>
      <c r="Z1575">
        <v>-1.3467710000000001E-3</v>
      </c>
      <c r="AA1575">
        <v>0.98979130000000004</v>
      </c>
      <c r="AB1575">
        <v>28</v>
      </c>
      <c r="AC1575">
        <v>-90.397999999999996</v>
      </c>
      <c r="AD1575">
        <v>-1.0401355800000001</v>
      </c>
      <c r="AE1575">
        <v>-10.035699999999901</v>
      </c>
      <c r="AF1575">
        <v>-13.0008531519178</v>
      </c>
      <c r="AG1575">
        <v>-1.0401355800000001</v>
      </c>
      <c r="AH1575">
        <v>90.007378342863305</v>
      </c>
      <c r="AI1575">
        <v>90.655287215731093</v>
      </c>
      <c r="AJ1575">
        <v>98.219076675081894</v>
      </c>
      <c r="AK1575">
        <v>90.947414591388196</v>
      </c>
      <c r="AL1575">
        <v>78.882399220196106</v>
      </c>
      <c r="AM1575">
        <v>88.720220346097904</v>
      </c>
      <c r="AN1575">
        <v>0.99999998827874303</v>
      </c>
    </row>
    <row r="1576" spans="1:40" x14ac:dyDescent="0.25">
      <c r="A1576" t="str">
        <f>"20190303170528279"</f>
        <v>20190303170528279</v>
      </c>
      <c r="B1576" t="str">
        <f>"1551603928265926"</f>
        <v>1551603928265926</v>
      </c>
      <c r="C1576" t="s">
        <v>40</v>
      </c>
      <c r="D1576">
        <v>5.8813769999999996</v>
      </c>
      <c r="E1576">
        <v>0.4394999</v>
      </c>
      <c r="F1576" t="s">
        <v>43</v>
      </c>
      <c r="G1576">
        <v>-334.35939999999999</v>
      </c>
      <c r="H1576">
        <v>-0.05</v>
      </c>
      <c r="I1576">
        <v>271.75420000000003</v>
      </c>
      <c r="J1576">
        <v>-224.2704</v>
      </c>
      <c r="K1576">
        <v>1.1201179999999999</v>
      </c>
      <c r="L1576">
        <v>284.0224</v>
      </c>
      <c r="M1576">
        <v>-0.9994518</v>
      </c>
      <c r="N1576">
        <v>-3.8796439999999998E-3</v>
      </c>
      <c r="O1576">
        <v>3.2878940000000002E-2</v>
      </c>
      <c r="P1576">
        <v>-0.9803113</v>
      </c>
      <c r="Q1576">
        <v>0.1898697</v>
      </c>
      <c r="R1576">
        <v>5.4216640000000003E-2</v>
      </c>
      <c r="S1576">
        <v>-3.0849000000000002</v>
      </c>
      <c r="T1576">
        <v>-3.2710910000000003E-2</v>
      </c>
      <c r="U1576">
        <v>-0.34271239999999997</v>
      </c>
      <c r="V1576">
        <v>2.196263E-2</v>
      </c>
      <c r="W1576">
        <v>0.19367529999999999</v>
      </c>
      <c r="X1576">
        <v>0.98081980000000002</v>
      </c>
      <c r="Y1576">
        <v>-0.14302110000000001</v>
      </c>
      <c r="Z1576">
        <v>-1.254759E-3</v>
      </c>
      <c r="AA1576">
        <v>0.98971889999999996</v>
      </c>
      <c r="AB1576">
        <v>28</v>
      </c>
      <c r="AC1576">
        <v>-110.089</v>
      </c>
      <c r="AD1576">
        <v>-1.170118</v>
      </c>
      <c r="AE1576">
        <v>-12.268199999999901</v>
      </c>
      <c r="AF1576">
        <v>-15.879431972774601</v>
      </c>
      <c r="AG1576">
        <v>-1.170118</v>
      </c>
      <c r="AH1576">
        <v>109.61387867633501</v>
      </c>
      <c r="AI1576">
        <v>90.605285963480895</v>
      </c>
      <c r="AJ1576">
        <v>98.242922751593795</v>
      </c>
      <c r="AK1576">
        <v>110.76428997823299</v>
      </c>
      <c r="AL1576">
        <v>78.832651077443899</v>
      </c>
      <c r="AM1576">
        <v>88.717240667970202</v>
      </c>
      <c r="AN1576">
        <v>0.99999997950932296</v>
      </c>
    </row>
    <row r="1577" spans="1:40" x14ac:dyDescent="0.25">
      <c r="A1577" t="str">
        <f>"20190303170528302"</f>
        <v>20190303170528302</v>
      </c>
      <c r="B1577" t="str">
        <f>"1551603928296182"</f>
        <v>1551603928296182</v>
      </c>
      <c r="C1577" t="s">
        <v>40</v>
      </c>
      <c r="D1577">
        <v>5.8955409999999997</v>
      </c>
      <c r="E1577">
        <v>0.43931490000000001</v>
      </c>
      <c r="F1577" t="s">
        <v>43</v>
      </c>
      <c r="G1577">
        <v>-348.92579999999998</v>
      </c>
      <c r="H1577">
        <v>-0.05</v>
      </c>
      <c r="I1577">
        <v>270.12700000000001</v>
      </c>
      <c r="J1577">
        <v>-224.55119999999999</v>
      </c>
      <c r="K1577">
        <v>1.1201019999999999</v>
      </c>
      <c r="L1577">
        <v>284.03160000000003</v>
      </c>
      <c r="M1577">
        <v>-0.99945240000000002</v>
      </c>
      <c r="N1577">
        <v>-3.7459329999999999E-3</v>
      </c>
      <c r="O1577">
        <v>3.2878240000000003E-2</v>
      </c>
      <c r="P1577">
        <v>-0.98024389999999995</v>
      </c>
      <c r="Q1577">
        <v>0.19023809999999999</v>
      </c>
      <c r="R1577">
        <v>5.4145609999999997E-2</v>
      </c>
      <c r="S1577">
        <v>-3.0848689999999999</v>
      </c>
      <c r="T1577">
        <v>-2.8957130000000001E-2</v>
      </c>
      <c r="U1577">
        <v>-0.34387210000000001</v>
      </c>
      <c r="V1577">
        <v>2.1894819999999999E-2</v>
      </c>
      <c r="W1577">
        <v>0.193913</v>
      </c>
      <c r="X1577">
        <v>0.98077440000000005</v>
      </c>
      <c r="Y1577">
        <v>-0.143391299999999</v>
      </c>
      <c r="Z1577">
        <v>-1.125331E-3</v>
      </c>
      <c r="AA1577">
        <v>0.98966540000000003</v>
      </c>
      <c r="AB1577">
        <v>28</v>
      </c>
      <c r="AC1577">
        <v>-124.3746</v>
      </c>
      <c r="AD1577">
        <v>-1.170102</v>
      </c>
      <c r="AE1577">
        <v>-13.9046</v>
      </c>
      <c r="AF1577">
        <v>-17.984756837137599</v>
      </c>
      <c r="AG1577">
        <v>-1.170102</v>
      </c>
      <c r="AH1577">
        <v>123.83937027237801</v>
      </c>
      <c r="AI1577">
        <v>90.5357260877756</v>
      </c>
      <c r="AJ1577">
        <v>98.263096414754699</v>
      </c>
      <c r="AK1577">
        <v>125.143958090834</v>
      </c>
      <c r="AL1577">
        <v>78.818769253834105</v>
      </c>
      <c r="AM1577">
        <v>88.721140716457398</v>
      </c>
      <c r="AN1577">
        <v>1.00000002920359</v>
      </c>
    </row>
    <row r="1578" spans="1:40" x14ac:dyDescent="0.25">
      <c r="A1578" t="str">
        <f>"20190303170528325"</f>
        <v>20190303170528325</v>
      </c>
      <c r="B1578" t="str">
        <f>"1551603928315702"</f>
        <v>1551603928315702</v>
      </c>
      <c r="C1578" t="s">
        <v>40</v>
      </c>
      <c r="D1578">
        <v>5.945627</v>
      </c>
      <c r="E1578">
        <v>0.44021660000000001</v>
      </c>
      <c r="F1578" t="s">
        <v>43</v>
      </c>
      <c r="G1578">
        <v>-355.1893</v>
      </c>
      <c r="H1578">
        <v>-0.05</v>
      </c>
      <c r="I1578">
        <v>269.39069999999998</v>
      </c>
      <c r="J1578">
        <v>-224.845</v>
      </c>
      <c r="K1578">
        <v>1.12009</v>
      </c>
      <c r="L1578">
        <v>284.04129999999998</v>
      </c>
      <c r="M1578">
        <v>-0.99945289999999998</v>
      </c>
      <c r="N1578">
        <v>-3.6260649999999999E-3</v>
      </c>
      <c r="O1578">
        <v>3.2877629999999998E-2</v>
      </c>
      <c r="P1578">
        <v>-0.98032019999999997</v>
      </c>
      <c r="Q1578">
        <v>0.18973229999999999</v>
      </c>
      <c r="R1578">
        <v>5.4536330000000001E-2</v>
      </c>
      <c r="S1578">
        <v>-3.0849299999999999</v>
      </c>
      <c r="T1578">
        <v>-2.7631159999999998E-2</v>
      </c>
      <c r="U1578">
        <v>-0.34573359999999997</v>
      </c>
      <c r="V1578">
        <v>2.2283089999999998E-2</v>
      </c>
      <c r="W1578">
        <v>0.1932894</v>
      </c>
      <c r="X1578">
        <v>0.98088869999999895</v>
      </c>
      <c r="Y1578">
        <v>-0.1439791</v>
      </c>
      <c r="Z1578">
        <v>-1.0794789999999999E-3</v>
      </c>
      <c r="AA1578">
        <v>0.98958020000000002</v>
      </c>
      <c r="AB1578">
        <v>28</v>
      </c>
      <c r="AC1578">
        <v>-130.3443</v>
      </c>
      <c r="AD1578">
        <v>-1.1700900000000001</v>
      </c>
      <c r="AE1578">
        <v>-14.650599999999899</v>
      </c>
      <c r="AF1578">
        <v>-18.926612825939301</v>
      </c>
      <c r="AG1578">
        <v>-1.1700900000000001</v>
      </c>
      <c r="AH1578">
        <v>129.78182482688399</v>
      </c>
      <c r="AI1578">
        <v>90.511148075016095</v>
      </c>
      <c r="AJ1578">
        <v>98.297186774022506</v>
      </c>
      <c r="AK1578">
        <v>131.15985605003999</v>
      </c>
      <c r="AL1578">
        <v>78.855187432883298</v>
      </c>
      <c r="AM1578">
        <v>88.698621514078496</v>
      </c>
      <c r="AN1578">
        <v>0.99999998501999798</v>
      </c>
    </row>
    <row r="1579" spans="1:40" x14ac:dyDescent="0.25">
      <c r="A1579" t="str">
        <f>"20190303170528359"</f>
        <v>20190303170528359</v>
      </c>
      <c r="B1579" t="str">
        <f>"1551603928345958"</f>
        <v>1551603928345958</v>
      </c>
      <c r="C1579" t="s">
        <v>40</v>
      </c>
      <c r="D1579">
        <v>5.6848979999999996</v>
      </c>
      <c r="E1579">
        <v>0.47011809999999998</v>
      </c>
      <c r="F1579" t="s">
        <v>43</v>
      </c>
      <c r="G1579">
        <v>-335.8073</v>
      </c>
      <c r="H1579">
        <v>-0.05</v>
      </c>
      <c r="I1579">
        <v>271.9144</v>
      </c>
      <c r="J1579">
        <v>-225.27850000000001</v>
      </c>
      <c r="K1579">
        <v>1.120069</v>
      </c>
      <c r="L1579">
        <v>284.05560000000003</v>
      </c>
      <c r="M1579">
        <v>-0.99945340000000005</v>
      </c>
      <c r="N1579">
        <v>-3.482986E-3</v>
      </c>
      <c r="O1579">
        <v>3.2876700000000002E-2</v>
      </c>
      <c r="P1579">
        <v>-0.98065170000000002</v>
      </c>
      <c r="Q1579">
        <v>0.18793319999999999</v>
      </c>
      <c r="R1579">
        <v>5.4807250000000002E-2</v>
      </c>
      <c r="S1579">
        <v>-3.0852970000000002</v>
      </c>
      <c r="T1579">
        <v>-3.2534239999999999E-2</v>
      </c>
      <c r="U1579">
        <v>-0.33718870000000001</v>
      </c>
      <c r="V1579">
        <v>2.254401E-2</v>
      </c>
      <c r="W1579">
        <v>0.1913512</v>
      </c>
      <c r="X1579">
        <v>0.98126270000000004</v>
      </c>
      <c r="Y1579">
        <v>-0.14125450000000001</v>
      </c>
      <c r="Z1579">
        <v>-1.2208830000000001E-3</v>
      </c>
      <c r="AA1579">
        <v>0.98997259999999998</v>
      </c>
      <c r="AB1579">
        <v>28</v>
      </c>
      <c r="AC1579">
        <v>-110.5288</v>
      </c>
      <c r="AD1579">
        <v>-1.170069</v>
      </c>
      <c r="AE1579">
        <v>-12.1412</v>
      </c>
      <c r="AF1579">
        <v>-15.7667347763803</v>
      </c>
      <c r="AG1579">
        <v>-1.170069</v>
      </c>
      <c r="AH1579">
        <v>110.057697473465</v>
      </c>
      <c r="AI1579">
        <v>90.602956850138099</v>
      </c>
      <c r="AJ1579">
        <v>98.152654642759501</v>
      </c>
      <c r="AK1579">
        <v>111.18748023106799</v>
      </c>
      <c r="AL1579">
        <v>78.968350812194899</v>
      </c>
      <c r="AM1579">
        <v>88.683890218627099</v>
      </c>
      <c r="AN1579">
        <v>1.0000000002698</v>
      </c>
    </row>
    <row r="1580" spans="1:40" x14ac:dyDescent="0.25">
      <c r="A1580" t="str">
        <f>"20190303170528381"</f>
        <v>20190303170528381</v>
      </c>
      <c r="B1580" t="str">
        <f>"1551603928366454"</f>
        <v>1551603928366454</v>
      </c>
      <c r="C1580" t="s">
        <v>40</v>
      </c>
      <c r="D1580">
        <v>5.8644040000000004</v>
      </c>
      <c r="E1580">
        <v>0.47317589999999998</v>
      </c>
      <c r="F1580" t="s">
        <v>60</v>
      </c>
      <c r="G1580">
        <v>-247.31370000000001</v>
      </c>
      <c r="H1580" s="1">
        <v>2.3551769999999999E-6</v>
      </c>
      <c r="I1580">
        <v>283.3295</v>
      </c>
      <c r="J1580">
        <v>-225.56030000000001</v>
      </c>
      <c r="K1580">
        <v>1.1200490000000001</v>
      </c>
      <c r="L1580">
        <v>284.06490000000002</v>
      </c>
      <c r="M1580">
        <v>-0.9994537</v>
      </c>
      <c r="N1580">
        <v>-3.407045E-3</v>
      </c>
      <c r="O1580">
        <v>3.2876000000000002E-2</v>
      </c>
      <c r="P1580">
        <v>-0.98041199999999995</v>
      </c>
      <c r="Q1580">
        <v>0.1891728</v>
      </c>
      <c r="R1580">
        <v>5.482836E-2</v>
      </c>
      <c r="S1580">
        <v>-3.0950470000000001</v>
      </c>
      <c r="T1580">
        <v>-0.1573243</v>
      </c>
      <c r="U1580">
        <v>-0.1019897</v>
      </c>
      <c r="V1580">
        <v>2.257369E-2</v>
      </c>
      <c r="W1580">
        <v>0.19251599999999999</v>
      </c>
      <c r="X1580">
        <v>0.98103419999999997</v>
      </c>
      <c r="Y1580">
        <v>-6.564797E-2</v>
      </c>
      <c r="Z1580">
        <v>-3.336566E-3</v>
      </c>
      <c r="AA1580">
        <v>0.99783719999999998</v>
      </c>
      <c r="AB1580">
        <v>28</v>
      </c>
      <c r="AC1580">
        <v>-21.753399999999999</v>
      </c>
      <c r="AD1580">
        <v>-1.120046644823</v>
      </c>
      <c r="AE1580">
        <v>-0.73540000000002603</v>
      </c>
      <c r="AF1580">
        <v>-1.44634139991434</v>
      </c>
      <c r="AG1580">
        <v>-1.120046644823</v>
      </c>
      <c r="AH1580">
        <v>21.660107181274601</v>
      </c>
      <c r="AI1580">
        <v>92.953569137802006</v>
      </c>
      <c r="AJ1580">
        <v>93.820222088966503</v>
      </c>
      <c r="AK1580">
        <v>21.737218107108099</v>
      </c>
      <c r="AL1580">
        <v>78.900348841897497</v>
      </c>
      <c r="AM1580">
        <v>88.681851283293994</v>
      </c>
      <c r="AN1580">
        <v>1.00000004165292</v>
      </c>
    </row>
    <row r="1581" spans="1:40" x14ac:dyDescent="0.25">
      <c r="A1581" t="str">
        <f>"20190303170528402"</f>
        <v>20190303170528402</v>
      </c>
      <c r="B1581" t="str">
        <f>"1551603928395735"</f>
        <v>1551603928395735</v>
      </c>
      <c r="C1581" t="s">
        <v>40</v>
      </c>
      <c r="D1581">
        <v>5.7438820000000002</v>
      </c>
      <c r="E1581">
        <v>0.47351559999999998</v>
      </c>
      <c r="F1581" t="s">
        <v>60</v>
      </c>
      <c r="G1581">
        <v>-249.64680000000001</v>
      </c>
      <c r="H1581" s="1">
        <v>3.5967720000000001E-6</v>
      </c>
      <c r="I1581">
        <v>283.4579</v>
      </c>
      <c r="J1581">
        <v>-225.8383</v>
      </c>
      <c r="K1581">
        <v>1.120036</v>
      </c>
      <c r="L1581">
        <v>284.07400000000001</v>
      </c>
      <c r="M1581">
        <v>-0.99945390000000001</v>
      </c>
      <c r="N1581">
        <v>-3.3440119999999999E-3</v>
      </c>
      <c r="O1581">
        <v>3.2875450000000001E-2</v>
      </c>
      <c r="P1581">
        <v>-0.98006249999999995</v>
      </c>
      <c r="Q1581">
        <v>0.1909121</v>
      </c>
      <c r="R1581">
        <v>5.5048029999999998E-2</v>
      </c>
      <c r="S1581">
        <v>-3.0920260000000002</v>
      </c>
      <c r="T1581">
        <v>-0.143782299999999</v>
      </c>
      <c r="U1581">
        <v>-7.7911380000000002E-2</v>
      </c>
      <c r="V1581">
        <v>2.2805229999999999E-2</v>
      </c>
      <c r="W1581">
        <v>0.1941918</v>
      </c>
      <c r="X1581">
        <v>0.98069850000000003</v>
      </c>
      <c r="Y1581">
        <v>-5.7943439999999999E-2</v>
      </c>
      <c r="Z1581">
        <v>-2.860984E-3</v>
      </c>
      <c r="AA1581">
        <v>0.99831579999999998</v>
      </c>
      <c r="AB1581">
        <v>29</v>
      </c>
      <c r="AC1581">
        <v>-23.808499999999999</v>
      </c>
      <c r="AD1581">
        <v>-1.120032403228</v>
      </c>
      <c r="AE1581">
        <v>-0.61610000000001697</v>
      </c>
      <c r="AF1581">
        <v>-1.39540039920491</v>
      </c>
      <c r="AG1581">
        <v>-1.120032403228</v>
      </c>
      <c r="AH1581">
        <v>23.722910081028601</v>
      </c>
      <c r="AI1581">
        <v>92.698447535438603</v>
      </c>
      <c r="AJ1581">
        <v>93.366304457637597</v>
      </c>
      <c r="AK1581">
        <v>23.7902937680675</v>
      </c>
      <c r="AL1581">
        <v>78.802485790317803</v>
      </c>
      <c r="AM1581">
        <v>88.6678801048498</v>
      </c>
      <c r="AN1581">
        <v>1.0000000408024201</v>
      </c>
    </row>
    <row r="1582" spans="1:40" x14ac:dyDescent="0.25">
      <c r="A1582" t="str">
        <f>"20190303170528426"</f>
        <v>20190303170528426</v>
      </c>
      <c r="B1582" t="str">
        <f>"1551603928416230"</f>
        <v>1551603928416230</v>
      </c>
      <c r="C1582" t="s">
        <v>40</v>
      </c>
      <c r="D1582">
        <v>5.7441339999999999</v>
      </c>
      <c r="E1582">
        <v>0.47352880000000003</v>
      </c>
      <c r="F1582" t="s">
        <v>60</v>
      </c>
      <c r="G1582">
        <v>-251.31290000000001</v>
      </c>
      <c r="H1582" s="1">
        <v>-8.3814409999999996E-7</v>
      </c>
      <c r="I1582">
        <v>283.45139999999998</v>
      </c>
      <c r="J1582">
        <v>-226.14869999999999</v>
      </c>
      <c r="K1582">
        <v>1.120025</v>
      </c>
      <c r="L1582">
        <v>284.08429999999998</v>
      </c>
      <c r="M1582">
        <v>-0.99945410000000001</v>
      </c>
      <c r="N1582">
        <v>-3.2858549999999999E-3</v>
      </c>
      <c r="O1582">
        <v>3.2874899999999999E-2</v>
      </c>
      <c r="P1582">
        <v>-0.98011499999999996</v>
      </c>
      <c r="Q1582">
        <v>0.19068389999999999</v>
      </c>
      <c r="R1582">
        <v>5.4900959999999999E-2</v>
      </c>
      <c r="S1582">
        <v>-3.0917509999999999</v>
      </c>
      <c r="T1582">
        <v>-0.13593479999999999</v>
      </c>
      <c r="U1582">
        <v>-7.5561519999999993E-2</v>
      </c>
      <c r="V1582">
        <v>2.2656869999999999E-2</v>
      </c>
      <c r="W1582">
        <v>0.19390689999999999</v>
      </c>
      <c r="X1582">
        <v>0.98075820000000002</v>
      </c>
      <c r="Y1582">
        <v>-5.7197940000000003E-2</v>
      </c>
      <c r="Z1582">
        <v>-2.687133E-3</v>
      </c>
      <c r="AA1582">
        <v>0.99835929999999995</v>
      </c>
      <c r="AB1582">
        <v>29</v>
      </c>
      <c r="AC1582">
        <v>-25.164200000000001</v>
      </c>
      <c r="AD1582">
        <v>-1.1200258381441</v>
      </c>
      <c r="AE1582">
        <v>-0.63290000000000601</v>
      </c>
      <c r="AF1582">
        <v>-1.45694847403306</v>
      </c>
      <c r="AG1582">
        <v>-1.1200258381441</v>
      </c>
      <c r="AH1582">
        <v>25.080138365667199</v>
      </c>
      <c r="AI1582">
        <v>92.552711261031703</v>
      </c>
      <c r="AJ1582">
        <v>93.324674096656395</v>
      </c>
      <c r="AK1582">
        <v>25.1473755524331</v>
      </c>
      <c r="AL1582">
        <v>78.819124433539301</v>
      </c>
      <c r="AM1582">
        <v>88.676623684043804</v>
      </c>
      <c r="AN1582">
        <v>0.99999993324652103</v>
      </c>
    </row>
    <row r="1583" spans="1:40" x14ac:dyDescent="0.25">
      <c r="A1583" t="str">
        <f>"20190303170528457"</f>
        <v>20190303170528457</v>
      </c>
      <c r="B1583" t="str">
        <f>"1551603928446487"</f>
        <v>1551603928446487</v>
      </c>
      <c r="C1583" t="s">
        <v>40</v>
      </c>
      <c r="D1583">
        <v>5.7323089999999999</v>
      </c>
      <c r="E1583">
        <v>0.47393619999999997</v>
      </c>
      <c r="F1583" t="s">
        <v>60</v>
      </c>
      <c r="G1583">
        <v>-251.83590000000001</v>
      </c>
      <c r="H1583" s="1">
        <v>-5.5980590000000004E-7</v>
      </c>
      <c r="I1583">
        <v>283.44779999999997</v>
      </c>
      <c r="J1583">
        <v>-226.5591</v>
      </c>
      <c r="K1583">
        <v>1.1200000000000001</v>
      </c>
      <c r="L1583">
        <v>284.09780000000001</v>
      </c>
      <c r="M1583">
        <v>-0.99945439999999997</v>
      </c>
      <c r="N1583">
        <v>-3.212819E-3</v>
      </c>
      <c r="O1583">
        <v>3.2873880000000001E-2</v>
      </c>
      <c r="P1583">
        <v>-0.98084550000000004</v>
      </c>
      <c r="Q1583">
        <v>0.18696450000000001</v>
      </c>
      <c r="R1583">
        <v>5.4651320000000003E-2</v>
      </c>
      <c r="S1583">
        <v>-3.0913849999999998</v>
      </c>
      <c r="T1583">
        <v>-0.13479189999999999</v>
      </c>
      <c r="U1583">
        <v>-7.6599120000000007E-2</v>
      </c>
      <c r="V1583">
        <v>2.238449E-2</v>
      </c>
      <c r="W1583">
        <v>0.19011819999999999</v>
      </c>
      <c r="X1583">
        <v>0.98150599999999999</v>
      </c>
      <c r="Y1583">
        <v>-5.7535780000000002E-2</v>
      </c>
      <c r="Z1583">
        <v>-2.6729229999999998E-3</v>
      </c>
      <c r="AA1583">
        <v>0.99833989999999995</v>
      </c>
      <c r="AB1583">
        <v>29</v>
      </c>
      <c r="AC1583">
        <v>-25.276800000000001</v>
      </c>
      <c r="AD1583">
        <v>-1.1200005598059</v>
      </c>
      <c r="AE1583">
        <v>-0.650000000000034</v>
      </c>
      <c r="AF1583">
        <v>-1.47770011969467</v>
      </c>
      <c r="AG1583">
        <v>-1.1200005598059</v>
      </c>
      <c r="AH1583">
        <v>25.192341739727301</v>
      </c>
      <c r="AI1583">
        <v>92.541216059146507</v>
      </c>
      <c r="AJ1583">
        <v>93.356936015930003</v>
      </c>
      <c r="AK1583">
        <v>25.2604845802474</v>
      </c>
      <c r="AL1583">
        <v>79.040317835793701</v>
      </c>
      <c r="AM1583">
        <v>88.693523511102299</v>
      </c>
      <c r="AN1583">
        <v>1.0000000116998999</v>
      </c>
    </row>
    <row r="1584" spans="1:40" x14ac:dyDescent="0.25">
      <c r="A1584" t="str">
        <f>"20190303170528479"</f>
        <v>20190303170528479</v>
      </c>
      <c r="B1584" t="str">
        <f>"1551603928466006"</f>
        <v>1551603928466006</v>
      </c>
      <c r="C1584" t="s">
        <v>40</v>
      </c>
      <c r="D1584">
        <v>5.7697250000000002</v>
      </c>
      <c r="E1584">
        <v>0.47422809999999999</v>
      </c>
      <c r="F1584" t="s">
        <v>60</v>
      </c>
      <c r="G1584">
        <v>-250.1756</v>
      </c>
      <c r="H1584" s="1">
        <v>-1.443322E-6</v>
      </c>
      <c r="I1584">
        <v>283.53109999999998</v>
      </c>
      <c r="J1584">
        <v>-226.8546</v>
      </c>
      <c r="K1584">
        <v>1.119972</v>
      </c>
      <c r="L1584">
        <v>284.10750000000002</v>
      </c>
      <c r="M1584">
        <v>-0.99945470000000003</v>
      </c>
      <c r="N1584">
        <v>-3.1586919999999998E-3</v>
      </c>
      <c r="O1584">
        <v>3.2873140000000002E-2</v>
      </c>
      <c r="P1584">
        <v>-0.98104919999999995</v>
      </c>
      <c r="Q1584">
        <v>0.1856988</v>
      </c>
      <c r="R1584">
        <v>5.5307340000000003E-2</v>
      </c>
      <c r="S1584">
        <v>-3.090668</v>
      </c>
      <c r="T1584">
        <v>-0.14657310000000001</v>
      </c>
      <c r="U1584">
        <v>-7.4157710000000002E-2</v>
      </c>
      <c r="V1584">
        <v>2.3034079999999998E-2</v>
      </c>
      <c r="W1584">
        <v>0.18879979999999999</v>
      </c>
      <c r="X1584">
        <v>0.98174539999999999</v>
      </c>
      <c r="Y1584">
        <v>-5.6737900000000001E-2</v>
      </c>
      <c r="Z1584">
        <v>-2.8881689999999999E-3</v>
      </c>
      <c r="AA1584">
        <v>0.99838499999999997</v>
      </c>
      <c r="AB1584">
        <v>29</v>
      </c>
      <c r="AC1584">
        <v>-23.321000000000002</v>
      </c>
      <c r="AD1584">
        <v>-1.1199734433220001</v>
      </c>
      <c r="AE1584">
        <v>-0.576400000000035</v>
      </c>
      <c r="AF1584">
        <v>-1.33963891116975</v>
      </c>
      <c r="AG1584">
        <v>-1.1199734433220001</v>
      </c>
      <c r="AH1584">
        <v>23.235890587743299</v>
      </c>
      <c r="AI1584">
        <v>92.754961699002394</v>
      </c>
      <c r="AJ1584">
        <v>93.299670402055497</v>
      </c>
      <c r="AK1584">
        <v>23.301407346588402</v>
      </c>
      <c r="AL1584">
        <v>79.117249613948204</v>
      </c>
      <c r="AM1584">
        <v>88.655951450133699</v>
      </c>
      <c r="AN1584">
        <v>0.999999981871323</v>
      </c>
    </row>
    <row r="1585" spans="1:40" x14ac:dyDescent="0.25">
      <c r="A1585" t="str">
        <f>"20190303170528504"</f>
        <v>20190303170528504</v>
      </c>
      <c r="B1585" t="str">
        <f>"1551603928496262"</f>
        <v>1551603928496262</v>
      </c>
      <c r="C1585" t="s">
        <v>40</v>
      </c>
      <c r="D1585">
        <v>5.8709639999999998</v>
      </c>
      <c r="E1585">
        <v>0.47435490000000002</v>
      </c>
      <c r="F1585" t="s">
        <v>60</v>
      </c>
      <c r="G1585">
        <v>-249.86</v>
      </c>
      <c r="H1585" s="1">
        <v>3.710237E-6</v>
      </c>
      <c r="I1585">
        <v>283.59070000000003</v>
      </c>
      <c r="J1585">
        <v>-227.17259999999999</v>
      </c>
      <c r="K1585">
        <v>1.119956</v>
      </c>
      <c r="L1585">
        <v>284.11799999999999</v>
      </c>
      <c r="M1585">
        <v>-0.99945490000000003</v>
      </c>
      <c r="N1585">
        <v>-3.0891180000000001E-3</v>
      </c>
      <c r="O1585">
        <v>3.2872239999999997E-2</v>
      </c>
      <c r="P1585">
        <v>-0.98071839999999999</v>
      </c>
      <c r="Q1585">
        <v>0.18720229999999999</v>
      </c>
      <c r="R1585">
        <v>5.609604E-2</v>
      </c>
      <c r="S1585">
        <v>-3.090347</v>
      </c>
      <c r="T1585">
        <v>-0.15044640000000001</v>
      </c>
      <c r="U1585">
        <v>-6.9427489999999994E-2</v>
      </c>
      <c r="V1585">
        <v>2.3834040000000001E-2</v>
      </c>
      <c r="W1585">
        <v>0.1902343</v>
      </c>
      <c r="X1585">
        <v>0.98144940000000003</v>
      </c>
      <c r="Y1585">
        <v>-5.5208569999999998E-2</v>
      </c>
      <c r="Z1585">
        <v>-2.925834E-3</v>
      </c>
      <c r="AA1585">
        <v>0.99847050000000004</v>
      </c>
      <c r="AB1585">
        <v>29</v>
      </c>
      <c r="AC1585">
        <v>-22.6874</v>
      </c>
      <c r="AD1585">
        <v>-1.1199522897630001</v>
      </c>
      <c r="AE1585">
        <v>-0.52729999999996802</v>
      </c>
      <c r="AF1585">
        <v>-1.26971172485113</v>
      </c>
      <c r="AG1585">
        <v>-1.1199522897630001</v>
      </c>
      <c r="AH1585">
        <v>22.6027552499915</v>
      </c>
      <c r="AI1585">
        <v>92.832191973673602</v>
      </c>
      <c r="AJ1585">
        <v>93.215216173236996</v>
      </c>
      <c r="AK1585">
        <v>22.666076102550001</v>
      </c>
      <c r="AL1585">
        <v>79.033542426274494</v>
      </c>
      <c r="AM1585">
        <v>88.608872195854005</v>
      </c>
      <c r="AN1585">
        <v>1.00000003755978</v>
      </c>
    </row>
    <row r="1586" spans="1:40" x14ac:dyDescent="0.25">
      <c r="A1586" t="str">
        <f>"20190303170528526"</f>
        <v>20190303170528526</v>
      </c>
      <c r="B1586" t="str">
        <f>"1551603928515782"</f>
        <v>1551603928515782</v>
      </c>
      <c r="C1586" t="s">
        <v>40</v>
      </c>
      <c r="D1586">
        <v>5.8174460000000003</v>
      </c>
      <c r="E1586">
        <v>0.47436109999999998</v>
      </c>
      <c r="F1586" t="s">
        <v>60</v>
      </c>
      <c r="G1586">
        <v>-250.84559999999999</v>
      </c>
      <c r="H1586" s="1">
        <v>-1.0867919999999999E-6</v>
      </c>
      <c r="I1586">
        <v>283.6044</v>
      </c>
      <c r="J1586">
        <v>-227.4641</v>
      </c>
      <c r="K1586">
        <v>1.1199429999999999</v>
      </c>
      <c r="L1586">
        <v>284.12759999999997</v>
      </c>
      <c r="M1586">
        <v>-0.99945519999999999</v>
      </c>
      <c r="N1586">
        <v>-3.0104649999999999E-3</v>
      </c>
      <c r="O1586">
        <v>3.2871339999999999E-2</v>
      </c>
      <c r="P1586">
        <v>-0.98033269999999995</v>
      </c>
      <c r="Q1586">
        <v>0.18906419999999999</v>
      </c>
      <c r="R1586">
        <v>5.6592389999999999E-2</v>
      </c>
      <c r="S1586">
        <v>-3.0906980000000002</v>
      </c>
      <c r="T1586">
        <v>-0.1462194</v>
      </c>
      <c r="U1586">
        <v>-6.7047120000000002E-2</v>
      </c>
      <c r="V1586">
        <v>2.4343739999999999E-2</v>
      </c>
      <c r="W1586">
        <v>0.19201760000000001</v>
      </c>
      <c r="X1586">
        <v>0.98108949999999995</v>
      </c>
      <c r="Y1586">
        <v>-5.4443150000000003E-2</v>
      </c>
      <c r="Z1586">
        <v>-2.8240800000000001E-3</v>
      </c>
      <c r="AA1586">
        <v>0.99851290000000004</v>
      </c>
      <c r="AB1586">
        <v>30</v>
      </c>
      <c r="AC1586">
        <v>-23.3814999999999</v>
      </c>
      <c r="AD1586">
        <v>-1.1199440867919901</v>
      </c>
      <c r="AE1586">
        <v>-0.52319999999997402</v>
      </c>
      <c r="AF1586">
        <v>-1.2885470468186999</v>
      </c>
      <c r="AG1586">
        <v>-1.1199440867919901</v>
      </c>
      <c r="AH1586">
        <v>23.298239844639902</v>
      </c>
      <c r="AI1586">
        <v>92.747891006549693</v>
      </c>
      <c r="AJ1586">
        <v>93.165611218889794</v>
      </c>
      <c r="AK1586">
        <v>23.3607064984724</v>
      </c>
      <c r="AL1586">
        <v>78.9294474089034</v>
      </c>
      <c r="AM1586">
        <v>88.578613454825501</v>
      </c>
      <c r="AN1586">
        <v>0.99999999169859799</v>
      </c>
    </row>
    <row r="1587" spans="1:40" x14ac:dyDescent="0.25">
      <c r="A1587" t="str">
        <f>"20190303170528547"</f>
        <v>20190303170528547</v>
      </c>
      <c r="B1587" t="str">
        <f>"1551603928536279"</f>
        <v>1551603928536279</v>
      </c>
      <c r="C1587" t="s">
        <v>40</v>
      </c>
      <c r="D1587">
        <v>5.6593499999999999</v>
      </c>
      <c r="E1587">
        <v>0.47424860000000002</v>
      </c>
      <c r="F1587" t="s">
        <v>60</v>
      </c>
      <c r="G1587">
        <v>-252.22919999999999</v>
      </c>
      <c r="H1587" s="1">
        <v>-3.5053089999999999E-7</v>
      </c>
      <c r="I1587">
        <v>283.59410000000003</v>
      </c>
      <c r="J1587">
        <v>-227.75720000000001</v>
      </c>
      <c r="K1587">
        <v>1.119912</v>
      </c>
      <c r="L1587">
        <v>284.13720000000001</v>
      </c>
      <c r="M1587">
        <v>-0.99945539999999999</v>
      </c>
      <c r="N1587">
        <v>-2.9254279999999999E-3</v>
      </c>
      <c r="O1587">
        <v>3.2870700000000003E-2</v>
      </c>
      <c r="P1587">
        <v>-0.98038879999999995</v>
      </c>
      <c r="Q1587">
        <v>0.1890838</v>
      </c>
      <c r="R1587">
        <v>5.554485E-2</v>
      </c>
      <c r="S1587">
        <v>-3.090973</v>
      </c>
      <c r="T1587">
        <v>-0.13978209999999999</v>
      </c>
      <c r="U1587">
        <v>-6.658936E-2</v>
      </c>
      <c r="V1587">
        <v>2.3295659999999999E-2</v>
      </c>
      <c r="W1587">
        <v>0.19195390000000001</v>
      </c>
      <c r="X1587">
        <v>0.98112739999999998</v>
      </c>
      <c r="Y1587">
        <v>-5.4301299999999997E-2</v>
      </c>
      <c r="Z1587">
        <v>-2.6959269999999999E-3</v>
      </c>
      <c r="AA1587">
        <v>0.99852099999999999</v>
      </c>
      <c r="AB1587">
        <v>30</v>
      </c>
      <c r="AC1587">
        <v>-24.471999999999898</v>
      </c>
      <c r="AD1587">
        <v>-1.1199123505308901</v>
      </c>
      <c r="AE1587">
        <v>-0.54309999999998104</v>
      </c>
      <c r="AF1587">
        <v>-1.34440752684075</v>
      </c>
      <c r="AG1587">
        <v>-1.1199123505308901</v>
      </c>
      <c r="AH1587">
        <v>24.389869961155799</v>
      </c>
      <c r="AI1587">
        <v>92.625030700252196</v>
      </c>
      <c r="AJ1587">
        <v>93.155039563221095</v>
      </c>
      <c r="AK1587">
        <v>24.452553895108501</v>
      </c>
      <c r="AL1587">
        <v>78.933166213616701</v>
      </c>
      <c r="AM1587">
        <v>88.639837949681905</v>
      </c>
      <c r="AN1587">
        <v>0.99999998126540202</v>
      </c>
    </row>
    <row r="1588" spans="1:40" x14ac:dyDescent="0.25">
      <c r="A1588" t="str">
        <f>"20190303170528570"</f>
        <v>20190303170528570</v>
      </c>
      <c r="B1588" t="str">
        <f>"1551603928555798"</f>
        <v>1551603928555798</v>
      </c>
      <c r="C1588" t="s">
        <v>40</v>
      </c>
      <c r="D1588">
        <v>5.7801900000000002</v>
      </c>
      <c r="E1588">
        <v>0.47406559999999998</v>
      </c>
      <c r="F1588" t="s">
        <v>60</v>
      </c>
      <c r="G1588">
        <v>-252.50559999999999</v>
      </c>
      <c r="H1588" s="1">
        <v>-2.0343920000000001E-7</v>
      </c>
      <c r="I1588">
        <v>283.5677</v>
      </c>
      <c r="J1588">
        <v>-228.0658</v>
      </c>
      <c r="K1588">
        <v>1.119885</v>
      </c>
      <c r="L1588">
        <v>284.1474</v>
      </c>
      <c r="M1588">
        <v>-0.9994556</v>
      </c>
      <c r="N1588">
        <v>-2.8287189999999999E-3</v>
      </c>
      <c r="O1588">
        <v>3.2869830000000003E-2</v>
      </c>
      <c r="P1588">
        <v>-0.98070230000000003</v>
      </c>
      <c r="Q1588">
        <v>0.18764220000000001</v>
      </c>
      <c r="R1588">
        <v>5.4895939999999997E-2</v>
      </c>
      <c r="S1588">
        <v>-3.0910190000000002</v>
      </c>
      <c r="T1588">
        <v>-0.13987430000000001</v>
      </c>
      <c r="U1588">
        <v>-7.1136469999999993E-2</v>
      </c>
      <c r="V1588">
        <v>2.2637580000000001E-2</v>
      </c>
      <c r="W1588">
        <v>0.19041830000000001</v>
      </c>
      <c r="X1588">
        <v>0.98144200000000004</v>
      </c>
      <c r="Y1588">
        <v>-5.5766499999999997E-2</v>
      </c>
      <c r="Z1588">
        <v>-2.7333610000000001E-3</v>
      </c>
      <c r="AA1588">
        <v>0.99844010000000005</v>
      </c>
      <c r="AB1588">
        <v>30</v>
      </c>
      <c r="AC1588">
        <v>-24.439799999999899</v>
      </c>
      <c r="AD1588">
        <v>-1.1198852034391999</v>
      </c>
      <c r="AE1588">
        <v>-0.57970000000000199</v>
      </c>
      <c r="AF1588">
        <v>-1.3798265115635999</v>
      </c>
      <c r="AG1588">
        <v>-1.1198852034391999</v>
      </c>
      <c r="AH1588">
        <v>24.356427130951499</v>
      </c>
      <c r="AI1588">
        <v>92.628342624855904</v>
      </c>
      <c r="AJ1588">
        <v>93.242422278739099</v>
      </c>
      <c r="AK1588">
        <v>24.421171279368401</v>
      </c>
      <c r="AL1588">
        <v>79.022803226947104</v>
      </c>
      <c r="AM1588">
        <v>88.678670927427504</v>
      </c>
      <c r="AN1588">
        <v>0.99999999418357299</v>
      </c>
    </row>
    <row r="1589" spans="1:40" x14ac:dyDescent="0.25">
      <c r="A1589" t="str">
        <f>"20190303170528592"</f>
        <v>20190303170528592</v>
      </c>
      <c r="B1589" t="str">
        <f>"1551603928586054"</f>
        <v>1551603928586054</v>
      </c>
      <c r="C1589" t="s">
        <v>40</v>
      </c>
      <c r="D1589">
        <v>5.7367319999999999</v>
      </c>
      <c r="E1589">
        <v>0.47421819999999998</v>
      </c>
      <c r="F1589" t="s">
        <v>60</v>
      </c>
      <c r="G1589">
        <v>-252.05619999999999</v>
      </c>
      <c r="H1589" s="1">
        <v>-4.4255709999999998E-7</v>
      </c>
      <c r="I1589">
        <v>283.56400000000002</v>
      </c>
      <c r="J1589">
        <v>-228.37469999999999</v>
      </c>
      <c r="K1589">
        <v>1.1198520000000001</v>
      </c>
      <c r="L1589">
        <v>284.15750000000003</v>
      </c>
      <c r="M1589">
        <v>-0.99945600000000001</v>
      </c>
      <c r="N1589">
        <v>-2.7209930000000001E-3</v>
      </c>
      <c r="O1589">
        <v>3.2868969999999997E-2</v>
      </c>
      <c r="P1589">
        <v>-0.98080829999999997</v>
      </c>
      <c r="Q1589">
        <v>0.18680269999999999</v>
      </c>
      <c r="R1589">
        <v>5.5856990000000002E-2</v>
      </c>
      <c r="S1589">
        <v>-3.0908199999999999</v>
      </c>
      <c r="T1589">
        <v>-0.14428070000000001</v>
      </c>
      <c r="U1589">
        <v>-7.5164789999999995E-2</v>
      </c>
      <c r="V1589">
        <v>2.3595330000000001E-2</v>
      </c>
      <c r="W1589">
        <v>0.18947359999999999</v>
      </c>
      <c r="X1589">
        <v>0.98160230000000004</v>
      </c>
      <c r="Y1589">
        <v>-5.7060319999999998E-2</v>
      </c>
      <c r="Z1589">
        <v>-2.8524039999999998E-3</v>
      </c>
      <c r="AA1589">
        <v>0.99836670000000005</v>
      </c>
      <c r="AB1589">
        <v>30</v>
      </c>
      <c r="AC1589">
        <v>-23.6815</v>
      </c>
      <c r="AD1589">
        <v>-1.1198524425570999</v>
      </c>
      <c r="AE1589">
        <v>-0.59350000000000502</v>
      </c>
      <c r="AF1589">
        <v>-1.36851038968885</v>
      </c>
      <c r="AG1589">
        <v>-1.1198524425570999</v>
      </c>
      <c r="AH1589">
        <v>23.5964638764016</v>
      </c>
      <c r="AI1589">
        <v>92.712580872292094</v>
      </c>
      <c r="AJ1589">
        <v>93.319231822769893</v>
      </c>
      <c r="AK1589">
        <v>23.6626287138625</v>
      </c>
      <c r="AL1589">
        <v>79.077934633752093</v>
      </c>
      <c r="AM1589">
        <v>88.623014091370294</v>
      </c>
      <c r="AN1589">
        <v>1.00000003003002</v>
      </c>
    </row>
    <row r="1590" spans="1:40" x14ac:dyDescent="0.25">
      <c r="A1590" t="str">
        <f>"20190303170528615"</f>
        <v>20190303170528615</v>
      </c>
      <c r="B1590" t="str">
        <f>"1551603928606551"</f>
        <v>1551603928606551</v>
      </c>
      <c r="C1590" t="s">
        <v>40</v>
      </c>
      <c r="D1590">
        <v>5.7219239999999996</v>
      </c>
      <c r="E1590">
        <v>0.47442810000000002</v>
      </c>
      <c r="F1590" t="s">
        <v>60</v>
      </c>
      <c r="G1590">
        <v>-252.09800000000001</v>
      </c>
      <c r="H1590" s="1">
        <v>-4.2034800000000003E-7</v>
      </c>
      <c r="I1590">
        <v>283.60329999999999</v>
      </c>
      <c r="J1590">
        <v>-228.68020000000001</v>
      </c>
      <c r="K1590">
        <v>1.1198269999999999</v>
      </c>
      <c r="L1590">
        <v>284.16759999999999</v>
      </c>
      <c r="M1590">
        <v>-0.99945649999999997</v>
      </c>
      <c r="N1590">
        <v>-2.6061639999999998E-3</v>
      </c>
      <c r="O1590">
        <v>3.2867149999999998E-2</v>
      </c>
      <c r="P1590">
        <v>-0.98054439999999998</v>
      </c>
      <c r="Q1590">
        <v>0.18779509999999999</v>
      </c>
      <c r="R1590">
        <v>5.7149810000000002E-2</v>
      </c>
      <c r="S1590">
        <v>-3.0905909999999999</v>
      </c>
      <c r="T1590">
        <v>-0.14589099999999999</v>
      </c>
      <c r="U1590">
        <v>-7.2204589999999999E-2</v>
      </c>
      <c r="V1590">
        <v>2.4897820000000001E-2</v>
      </c>
      <c r="W1590">
        <v>0.19035279999999999</v>
      </c>
      <c r="X1590">
        <v>0.98140000000000005</v>
      </c>
      <c r="Y1590">
        <v>-5.6103460000000001E-2</v>
      </c>
      <c r="Z1590">
        <v>-2.8611719999999999E-3</v>
      </c>
      <c r="AA1590">
        <v>0.9984208</v>
      </c>
      <c r="AB1590">
        <v>30</v>
      </c>
      <c r="AC1590">
        <v>-23.4177999999999</v>
      </c>
      <c r="AD1590">
        <v>-1.1198274203479901</v>
      </c>
      <c r="AE1590">
        <v>-0.56430000000000202</v>
      </c>
      <c r="AF1590">
        <v>-1.3306329544005</v>
      </c>
      <c r="AG1590">
        <v>-1.1198274203479901</v>
      </c>
      <c r="AH1590">
        <v>23.333275636426599</v>
      </c>
      <c r="AI1590">
        <v>92.743221979426906</v>
      </c>
      <c r="AJ1590">
        <v>93.263886643560397</v>
      </c>
      <c r="AK1590">
        <v>23.397998834006302</v>
      </c>
      <c r="AL1590">
        <v>79.026626363595099</v>
      </c>
      <c r="AM1590">
        <v>88.546735202152107</v>
      </c>
      <c r="AN1590">
        <v>1.00000002495429</v>
      </c>
    </row>
    <row r="1591" spans="1:40" x14ac:dyDescent="0.25">
      <c r="A1591" t="str">
        <f>"20190303170528636"</f>
        <v>20190303170528636</v>
      </c>
      <c r="B1591" t="str">
        <f>"1551603928626070"</f>
        <v>1551603928626070</v>
      </c>
      <c r="C1591" t="s">
        <v>40</v>
      </c>
      <c r="D1591">
        <v>5.7713159999999997</v>
      </c>
      <c r="E1591">
        <v>0.47432960000000002</v>
      </c>
      <c r="F1591" t="s">
        <v>60</v>
      </c>
      <c r="G1591">
        <v>-253.07939999999999</v>
      </c>
      <c r="H1591" s="1">
        <v>1.019063E-7</v>
      </c>
      <c r="I1591">
        <v>283.63810000000001</v>
      </c>
      <c r="J1591">
        <v>-228.97059999999999</v>
      </c>
      <c r="K1591">
        <v>1.119801</v>
      </c>
      <c r="L1591">
        <v>284.17720000000003</v>
      </c>
      <c r="M1591">
        <v>-0.99945680000000003</v>
      </c>
      <c r="N1591">
        <v>-2.4918520000000001E-3</v>
      </c>
      <c r="O1591">
        <v>3.286348E-2</v>
      </c>
      <c r="P1591">
        <v>-0.98024169999999999</v>
      </c>
      <c r="Q1591">
        <v>0.18921879999999999</v>
      </c>
      <c r="R1591">
        <v>5.763919E-2</v>
      </c>
      <c r="S1591">
        <v>-3.0906220000000002</v>
      </c>
      <c r="T1591">
        <v>-0.14184739999999901</v>
      </c>
      <c r="U1591">
        <v>-6.7077639999999994E-2</v>
      </c>
      <c r="V1591">
        <v>2.539986E-2</v>
      </c>
      <c r="W1591">
        <v>0.19166330000000001</v>
      </c>
      <c r="X1591">
        <v>0.981132</v>
      </c>
      <c r="Y1591">
        <v>-5.4451289999999999E-2</v>
      </c>
      <c r="Z1591">
        <v>-2.7420529999999999E-3</v>
      </c>
      <c r="AA1591">
        <v>0.99851270000000003</v>
      </c>
      <c r="AB1591">
        <v>31</v>
      </c>
      <c r="AC1591">
        <v>-24.108799999999999</v>
      </c>
      <c r="AD1591">
        <v>-1.1198008980937</v>
      </c>
      <c r="AE1591">
        <v>-0.53910000000001901</v>
      </c>
      <c r="AF1591">
        <v>-1.3282461605798901</v>
      </c>
      <c r="AG1591">
        <v>-1.1198008980937</v>
      </c>
      <c r="AH1591">
        <v>24.0262524919223</v>
      </c>
      <c r="AI1591">
        <v>92.664413070813794</v>
      </c>
      <c r="AJ1591">
        <v>93.164268413951405</v>
      </c>
      <c r="AK1591">
        <v>24.088980898329201</v>
      </c>
      <c r="AL1591">
        <v>78.9501314396841</v>
      </c>
      <c r="AM1591">
        <v>88.517039714014601</v>
      </c>
      <c r="AN1591">
        <v>0.99999998743945395</v>
      </c>
    </row>
    <row r="1592" spans="1:40" x14ac:dyDescent="0.25">
      <c r="A1592" t="str">
        <f>"20190303170528657"</f>
        <v>20190303170528657</v>
      </c>
      <c r="B1592" t="str">
        <f>"1551603928646566"</f>
        <v>1551603928646566</v>
      </c>
      <c r="C1592" t="s">
        <v>40</v>
      </c>
      <c r="D1592">
        <v>5.7813790000000003</v>
      </c>
      <c r="E1592">
        <v>0.47432200000000002</v>
      </c>
      <c r="F1592" t="s">
        <v>60</v>
      </c>
      <c r="G1592">
        <v>-254.22069999999999</v>
      </c>
      <c r="H1592" s="1">
        <v>7.0927020000000004E-7</v>
      </c>
      <c r="I1592">
        <v>283.63420000000002</v>
      </c>
      <c r="J1592">
        <v>-229.25960000000001</v>
      </c>
      <c r="K1592">
        <v>1.1197779999999999</v>
      </c>
      <c r="L1592">
        <v>284.1866</v>
      </c>
      <c r="M1592">
        <v>-0.99945720000000005</v>
      </c>
      <c r="N1592">
        <v>-2.3782730000000002E-3</v>
      </c>
      <c r="O1592">
        <v>3.2856639999999999E-2</v>
      </c>
      <c r="P1592">
        <v>-0.98030969999999995</v>
      </c>
      <c r="Q1592">
        <v>0.18869179999999999</v>
      </c>
      <c r="R1592">
        <v>5.8206859999999999E-2</v>
      </c>
      <c r="S1592">
        <v>-3.0908359999999999</v>
      </c>
      <c r="T1592">
        <v>-0.13707329999999901</v>
      </c>
      <c r="U1592">
        <v>-6.6467289999999998E-2</v>
      </c>
      <c r="V1592">
        <v>2.5970590000000002E-2</v>
      </c>
      <c r="W1592">
        <v>0.19102540000000001</v>
      </c>
      <c r="X1592">
        <v>0.98124149999999999</v>
      </c>
      <c r="Y1592">
        <v>-5.4252109999999999E-2</v>
      </c>
      <c r="Z1592">
        <v>-2.6449020000000002E-3</v>
      </c>
      <c r="AA1592">
        <v>0.99852379999999996</v>
      </c>
      <c r="AB1592">
        <v>31</v>
      </c>
      <c r="AC1592">
        <v>-24.961099999999899</v>
      </c>
      <c r="AD1592">
        <v>-1.1197772907298</v>
      </c>
      <c r="AE1592">
        <v>-0.55239999999997702</v>
      </c>
      <c r="AF1592">
        <v>-1.3694872330465999</v>
      </c>
      <c r="AG1592">
        <v>-1.1197772907298</v>
      </c>
      <c r="AH1592">
        <v>24.879427401085302</v>
      </c>
      <c r="AI1592">
        <v>92.573148456760407</v>
      </c>
      <c r="AJ1592">
        <v>93.150664679872904</v>
      </c>
      <c r="AK1592">
        <v>24.942239359532</v>
      </c>
      <c r="AL1592">
        <v>78.987368901967997</v>
      </c>
      <c r="AM1592">
        <v>88.483902390725007</v>
      </c>
      <c r="AN1592">
        <v>1.0000000281561701</v>
      </c>
    </row>
    <row r="1593" spans="1:40" x14ac:dyDescent="0.25">
      <c r="A1593" t="str">
        <f>"20190303170528681"</f>
        <v>20190303170528681</v>
      </c>
      <c r="B1593" t="str">
        <f>"1551603928675847"</f>
        <v>1551603928675847</v>
      </c>
      <c r="C1593" t="s">
        <v>40</v>
      </c>
      <c r="D1593">
        <v>5.8667089999999904</v>
      </c>
      <c r="E1593">
        <v>0.47410469999999999</v>
      </c>
      <c r="F1593" t="s">
        <v>60</v>
      </c>
      <c r="G1593">
        <v>-254.22149999999999</v>
      </c>
      <c r="H1593" s="1">
        <v>7.0969599999999995E-7</v>
      </c>
      <c r="I1593">
        <v>283.66219999999998</v>
      </c>
      <c r="J1593">
        <v>-229.59620000000001</v>
      </c>
      <c r="K1593">
        <v>1.1197490000000001</v>
      </c>
      <c r="L1593">
        <v>284.1977</v>
      </c>
      <c r="M1593">
        <v>-0.99945799999999996</v>
      </c>
      <c r="N1593">
        <v>-2.2528399999999999E-3</v>
      </c>
      <c r="O1593">
        <v>3.2842540000000003E-2</v>
      </c>
      <c r="P1593">
        <v>-0.9804351</v>
      </c>
      <c r="Q1593">
        <v>0.18808739999999999</v>
      </c>
      <c r="R1593">
        <v>5.8051749999999999E-2</v>
      </c>
      <c r="S1593">
        <v>-3.090805</v>
      </c>
      <c r="T1593">
        <v>-0.138652</v>
      </c>
      <c r="U1593">
        <v>-6.4941410000000005E-2</v>
      </c>
      <c r="V1593">
        <v>2.5823490000000001E-2</v>
      </c>
      <c r="W1593">
        <v>0.19029799999999999</v>
      </c>
      <c r="X1593">
        <v>0.98138669999999995</v>
      </c>
      <c r="Y1593">
        <v>-5.374404E-2</v>
      </c>
      <c r="Z1593">
        <v>-2.6636799999999999E-3</v>
      </c>
      <c r="AA1593">
        <v>0.99855119999999997</v>
      </c>
      <c r="AB1593">
        <v>31</v>
      </c>
      <c r="AC1593">
        <v>-24.6252999999999</v>
      </c>
      <c r="AD1593">
        <v>-1.1197482903039999</v>
      </c>
      <c r="AE1593">
        <v>-0.53550000000001297</v>
      </c>
      <c r="AF1593">
        <v>-1.34119874529334</v>
      </c>
      <c r="AG1593">
        <v>-1.1197482903039999</v>
      </c>
      <c r="AH1593">
        <v>24.543704411776702</v>
      </c>
      <c r="AI1593">
        <v>92.608286650781693</v>
      </c>
      <c r="AJ1593">
        <v>93.127835708005605</v>
      </c>
      <c r="AK1593">
        <v>24.605813877225899</v>
      </c>
      <c r="AL1593">
        <v>79.029824558061506</v>
      </c>
      <c r="AM1593">
        <v>88.492708683909498</v>
      </c>
      <c r="AN1593">
        <v>1.00000001818833</v>
      </c>
    </row>
    <row r="1594" spans="1:40" x14ac:dyDescent="0.25">
      <c r="A1594" t="str">
        <f>"20190303170528705"</f>
        <v>20190303170528705</v>
      </c>
      <c r="B1594" t="str">
        <f>"1551603928696343"</f>
        <v>1551603928696343</v>
      </c>
      <c r="C1594" t="s">
        <v>40</v>
      </c>
      <c r="D1594">
        <v>5.7811349999999999</v>
      </c>
      <c r="E1594">
        <v>0.47409580000000001</v>
      </c>
      <c r="F1594" t="s">
        <v>60</v>
      </c>
      <c r="G1594">
        <v>-254.1113</v>
      </c>
      <c r="H1594" s="1">
        <v>6.5106639999999998E-7</v>
      </c>
      <c r="I1594">
        <v>283.6705</v>
      </c>
      <c r="J1594">
        <v>-229.922</v>
      </c>
      <c r="K1594">
        <v>1.119734</v>
      </c>
      <c r="L1594">
        <v>284.20839999999998</v>
      </c>
      <c r="M1594">
        <v>-0.99945910000000004</v>
      </c>
      <c r="N1594">
        <v>-2.1433429999999998E-3</v>
      </c>
      <c r="O1594">
        <v>3.2818739999999999E-2</v>
      </c>
      <c r="P1594">
        <v>-0.98049790000000003</v>
      </c>
      <c r="Q1594">
        <v>0.18761800000000001</v>
      </c>
      <c r="R1594">
        <v>5.851021E-2</v>
      </c>
      <c r="S1594">
        <v>-3.090881</v>
      </c>
      <c r="T1594">
        <v>-0.14117850000000001</v>
      </c>
      <c r="U1594">
        <v>-6.6467289999999998E-2</v>
      </c>
      <c r="V1594">
        <v>2.6299929999999999E-2</v>
      </c>
      <c r="W1594">
        <v>0.18972269999999999</v>
      </c>
      <c r="X1594">
        <v>0.98148539999999995</v>
      </c>
      <c r="Y1594">
        <v>-5.4208770000000003E-2</v>
      </c>
      <c r="Z1594">
        <v>-2.7230549999999998E-3</v>
      </c>
      <c r="AA1594">
        <v>0.99852589999999997</v>
      </c>
      <c r="AB1594">
        <v>31</v>
      </c>
      <c r="AC1594">
        <v>-24.189299999999999</v>
      </c>
      <c r="AD1594">
        <v>-1.1197333489336001</v>
      </c>
      <c r="AE1594">
        <v>-0.53789999999997895</v>
      </c>
      <c r="AF1594">
        <v>-1.3286287666588801</v>
      </c>
      <c r="AG1594">
        <v>-1.1197333489336001</v>
      </c>
      <c r="AH1594">
        <v>24.106985377514999</v>
      </c>
      <c r="AI1594">
        <v>92.655367643121707</v>
      </c>
      <c r="AJ1594">
        <v>93.154599488242397</v>
      </c>
      <c r="AK1594">
        <v>24.1695221542344</v>
      </c>
      <c r="AL1594">
        <v>79.063398152299001</v>
      </c>
      <c r="AM1594">
        <v>88.465066840309703</v>
      </c>
      <c r="AN1594">
        <v>0.99999998981322702</v>
      </c>
    </row>
    <row r="1595" spans="1:40" x14ac:dyDescent="0.25">
      <c r="A1595" t="str">
        <f>"20190303170528726"</f>
        <v>20190303170528726</v>
      </c>
      <c r="B1595" t="str">
        <f>"1551603928715865"</f>
        <v>1551603928715865</v>
      </c>
      <c r="C1595" t="s">
        <v>40</v>
      </c>
      <c r="D1595">
        <v>5.7628409999999999</v>
      </c>
      <c r="E1595">
        <v>0.47424090000000002</v>
      </c>
      <c r="F1595" t="s">
        <v>60</v>
      </c>
      <c r="G1595">
        <v>-254.23249999999999</v>
      </c>
      <c r="H1595" s="1">
        <v>7.1552880000000004E-7</v>
      </c>
      <c r="I1595">
        <v>283.70100000000002</v>
      </c>
      <c r="J1595">
        <v>-230.22790000000001</v>
      </c>
      <c r="K1595">
        <v>1.1197280000000001</v>
      </c>
      <c r="L1595">
        <v>284.21839999999997</v>
      </c>
      <c r="M1595">
        <v>-0.99946040000000003</v>
      </c>
      <c r="N1595">
        <v>-2.0529350000000001E-3</v>
      </c>
      <c r="O1595">
        <v>3.278317E-2</v>
      </c>
      <c r="P1595">
        <v>-0.980325</v>
      </c>
      <c r="Q1595">
        <v>0.1883214</v>
      </c>
      <c r="R1595">
        <v>5.9146020000000001E-2</v>
      </c>
      <c r="S1595">
        <v>-3.0907439999999999</v>
      </c>
      <c r="T1595">
        <v>-0.1423585</v>
      </c>
      <c r="U1595">
        <v>-6.4514160000000001E-2</v>
      </c>
      <c r="V1595">
        <v>2.6972079999999999E-2</v>
      </c>
      <c r="W1595">
        <v>0.1903369</v>
      </c>
      <c r="X1595">
        <v>0.98134829999999995</v>
      </c>
      <c r="Y1595">
        <v>-5.3542699999999999E-2</v>
      </c>
      <c r="Z1595">
        <v>-2.7289670000000001E-3</v>
      </c>
      <c r="AA1595">
        <v>0.9985619</v>
      </c>
      <c r="AB1595">
        <v>31</v>
      </c>
      <c r="AC1595">
        <v>-24.0045999999999</v>
      </c>
      <c r="AD1595">
        <v>-1.1197272844712001</v>
      </c>
      <c r="AE1595">
        <v>-0.51740000000000896</v>
      </c>
      <c r="AF1595">
        <v>-1.3012403819537299</v>
      </c>
      <c r="AG1595">
        <v>-1.1197272844712001</v>
      </c>
      <c r="AH1595">
        <v>23.922706281760298</v>
      </c>
      <c r="AI1595">
        <v>92.675883197648702</v>
      </c>
      <c r="AJ1595">
        <v>93.113451433526507</v>
      </c>
      <c r="AK1595">
        <v>23.9842217210938</v>
      </c>
      <c r="AL1595">
        <v>79.027554691084404</v>
      </c>
      <c r="AM1595">
        <v>88.425638082103205</v>
      </c>
      <c r="AN1595">
        <v>1.00000005725701</v>
      </c>
    </row>
    <row r="1596" spans="1:40" x14ac:dyDescent="0.25">
      <c r="A1596" t="str">
        <f>"20190303170528748"</f>
        <v>20190303170528748</v>
      </c>
      <c r="B1596" t="str">
        <f>"1551603928736360"</f>
        <v>1551603928736360</v>
      </c>
      <c r="C1596" t="s">
        <v>40</v>
      </c>
      <c r="D1596">
        <v>5.8161399999999999</v>
      </c>
      <c r="E1596">
        <v>0.4743327</v>
      </c>
      <c r="F1596" t="s">
        <v>60</v>
      </c>
      <c r="G1596">
        <v>-255.04650000000001</v>
      </c>
      <c r="H1596" s="1">
        <v>1.148725E-6</v>
      </c>
      <c r="I1596">
        <v>283.72089999999997</v>
      </c>
      <c r="J1596">
        <v>-230.53620000000001</v>
      </c>
      <c r="K1596">
        <v>1.1197269999999999</v>
      </c>
      <c r="L1596">
        <v>284.2285</v>
      </c>
      <c r="M1596">
        <v>-0.99946219999999997</v>
      </c>
      <c r="N1596">
        <v>-1.9734190000000001E-3</v>
      </c>
      <c r="O1596">
        <v>3.2734359999999997E-2</v>
      </c>
      <c r="P1596">
        <v>-0.98025859999999998</v>
      </c>
      <c r="Q1596">
        <v>0.18851560000000001</v>
      </c>
      <c r="R1596">
        <v>5.9624879999999998E-2</v>
      </c>
      <c r="S1596">
        <v>-3.0907439999999999</v>
      </c>
      <c r="T1596">
        <v>-0.13944289999999901</v>
      </c>
      <c r="U1596">
        <v>-6.1950680000000001E-2</v>
      </c>
      <c r="V1596">
        <v>2.7496059999999999E-2</v>
      </c>
      <c r="W1596">
        <v>0.19045390000000001</v>
      </c>
      <c r="X1596">
        <v>0.98131100000000004</v>
      </c>
      <c r="Y1596">
        <v>-5.2670670000000003E-2</v>
      </c>
      <c r="Z1596">
        <v>-2.6507459999999998E-3</v>
      </c>
      <c r="AA1596">
        <v>0.99860839999999995</v>
      </c>
      <c r="AB1596">
        <v>32</v>
      </c>
      <c r="AC1596">
        <v>-24.510300000000001</v>
      </c>
      <c r="AD1596">
        <v>-1.1197258512749999</v>
      </c>
      <c r="AE1596">
        <v>-0.50760000000002403</v>
      </c>
      <c r="AF1596">
        <v>-1.30693204581254</v>
      </c>
      <c r="AG1596">
        <v>-1.1197258512749999</v>
      </c>
      <c r="AH1596">
        <v>24.4295854529012</v>
      </c>
      <c r="AI1596">
        <v>92.620563347723603</v>
      </c>
      <c r="AJ1596">
        <v>93.062285894369893</v>
      </c>
      <c r="AK1596">
        <v>24.490130721476099</v>
      </c>
      <c r="AL1596">
        <v>79.020725538446897</v>
      </c>
      <c r="AM1596">
        <v>88.3950082099051</v>
      </c>
      <c r="AN1596">
        <v>1.00000000003086</v>
      </c>
    </row>
    <row r="1597" spans="1:40" x14ac:dyDescent="0.25">
      <c r="A1597" t="str">
        <f>"20190303170528772"</f>
        <v>20190303170528772</v>
      </c>
      <c r="B1597" t="str">
        <f>"1551603928755882"</f>
        <v>1551603928755882</v>
      </c>
      <c r="C1597" t="s">
        <v>40</v>
      </c>
      <c r="D1597">
        <v>5.7652869999999998</v>
      </c>
      <c r="E1597">
        <v>0.47447339999999999</v>
      </c>
      <c r="F1597" t="s">
        <v>60</v>
      </c>
      <c r="G1597">
        <v>-255.51070000000001</v>
      </c>
      <c r="H1597" s="1">
        <v>1.3957039999999999E-6</v>
      </c>
      <c r="I1597">
        <v>283.74979999999999</v>
      </c>
      <c r="J1597">
        <v>-230.88390000000001</v>
      </c>
      <c r="K1597">
        <v>1.1197280000000001</v>
      </c>
      <c r="L1597">
        <v>284.23989999999998</v>
      </c>
      <c r="M1597">
        <v>-0.99946500000000005</v>
      </c>
      <c r="N1597">
        <v>-1.8976799999999999E-3</v>
      </c>
      <c r="O1597">
        <v>3.2655780000000002E-2</v>
      </c>
      <c r="P1597">
        <v>-0.98045579999999999</v>
      </c>
      <c r="Q1597">
        <v>0.1877028</v>
      </c>
      <c r="R1597">
        <v>5.8948760000000003E-2</v>
      </c>
      <c r="S1597">
        <v>-3.090652</v>
      </c>
      <c r="T1597">
        <v>-0.13856879999999999</v>
      </c>
      <c r="U1597">
        <v>-5.9234620000000002E-2</v>
      </c>
      <c r="V1597">
        <v>2.6884040000000001E-2</v>
      </c>
      <c r="W1597">
        <v>0.18956809999999999</v>
      </c>
      <c r="X1597">
        <v>0.98149940000000002</v>
      </c>
      <c r="Y1597">
        <v>-5.1717609999999997E-2</v>
      </c>
      <c r="Z1597">
        <v>-2.6090150000000001E-3</v>
      </c>
      <c r="AA1597">
        <v>0.99865839999999995</v>
      </c>
      <c r="AB1597">
        <v>32</v>
      </c>
      <c r="AC1597">
        <v>-24.626799999999999</v>
      </c>
      <c r="AD1597">
        <v>-1.1197266042959999</v>
      </c>
      <c r="AE1597">
        <v>-0.49009999999998399</v>
      </c>
      <c r="AF1597">
        <v>-1.2913786655236299</v>
      </c>
      <c r="AG1597">
        <v>-1.1197266042959999</v>
      </c>
      <c r="AH1597">
        <v>24.546934504374502</v>
      </c>
      <c r="AI1597">
        <v>92.6081771223309</v>
      </c>
      <c r="AJ1597">
        <v>93.011471765871406</v>
      </c>
      <c r="AK1597">
        <v>24.606369908789599</v>
      </c>
      <c r="AL1597">
        <v>79.072419294031803</v>
      </c>
      <c r="AM1597">
        <v>88.431015867092697</v>
      </c>
      <c r="AN1597">
        <v>0.99999994417234395</v>
      </c>
    </row>
    <row r="1598" spans="1:40" x14ac:dyDescent="0.25">
      <c r="A1598" t="str">
        <f>"20190303170528794"</f>
        <v>20190303170528794</v>
      </c>
      <c r="B1598" t="str">
        <f>"1551603928786135"</f>
        <v>1551603928786135</v>
      </c>
      <c r="C1598" t="s">
        <v>40</v>
      </c>
      <c r="D1598">
        <v>5.8005760000000004</v>
      </c>
      <c r="E1598">
        <v>0.4745395</v>
      </c>
      <c r="F1598" t="s">
        <v>60</v>
      </c>
      <c r="G1598">
        <v>-255.42359999999999</v>
      </c>
      <c r="H1598" s="1">
        <v>1.349393E-6</v>
      </c>
      <c r="I1598">
        <v>283.76319999999998</v>
      </c>
      <c r="J1598">
        <v>-231.21010000000001</v>
      </c>
      <c r="K1598">
        <v>1.1197330000000001</v>
      </c>
      <c r="L1598">
        <v>284.25040000000001</v>
      </c>
      <c r="M1598">
        <v>-0.99946840000000003</v>
      </c>
      <c r="N1598">
        <v>-1.8388549999999999E-3</v>
      </c>
      <c r="O1598">
        <v>3.2549149999999999E-2</v>
      </c>
      <c r="P1598">
        <v>-0.98066869999999995</v>
      </c>
      <c r="Q1598">
        <v>0.18687480000000001</v>
      </c>
      <c r="R1598">
        <v>5.8023619999999998E-2</v>
      </c>
      <c r="S1598">
        <v>-3.090408</v>
      </c>
      <c r="T1598">
        <v>-0.1410129</v>
      </c>
      <c r="U1598">
        <v>-6.0028079999999998E-2</v>
      </c>
      <c r="V1598">
        <v>2.6047379999999998E-2</v>
      </c>
      <c r="W1598">
        <v>0.18868360000000001</v>
      </c>
      <c r="X1598">
        <v>0.98169240000000002</v>
      </c>
      <c r="Y1598">
        <v>-5.1865799999999997E-2</v>
      </c>
      <c r="Z1598">
        <v>-2.6546690000000001E-3</v>
      </c>
      <c r="AA1598">
        <v>0.99865060000000005</v>
      </c>
      <c r="AB1598">
        <v>32</v>
      </c>
      <c r="AC1598">
        <v>-24.2134999999999</v>
      </c>
      <c r="AD1598">
        <v>-1.1197316506070001</v>
      </c>
      <c r="AE1598">
        <v>-0.487200000000029</v>
      </c>
      <c r="AF1598">
        <v>-1.2723522143264301</v>
      </c>
      <c r="AG1598">
        <v>-1.1197316506070001</v>
      </c>
      <c r="AH1598">
        <v>24.1332236904837</v>
      </c>
      <c r="AI1598">
        <v>92.652821375226296</v>
      </c>
      <c r="AJ1598">
        <v>93.0179548478866</v>
      </c>
      <c r="AK1598">
        <v>24.192667583827902</v>
      </c>
      <c r="AL1598">
        <v>79.124029077891507</v>
      </c>
      <c r="AM1598">
        <v>88.480119772902398</v>
      </c>
      <c r="AN1598">
        <v>0.99999996756579101</v>
      </c>
    </row>
    <row r="1599" spans="1:40" x14ac:dyDescent="0.25">
      <c r="A1599" t="str">
        <f>"20190303170528817"</f>
        <v>20190303170528817</v>
      </c>
      <c r="B1599" t="str">
        <f>"1551603928806631"</f>
        <v>1551603928806631</v>
      </c>
      <c r="C1599" t="s">
        <v>40</v>
      </c>
      <c r="D1599">
        <v>5.7786720000000003</v>
      </c>
      <c r="E1599">
        <v>0.47457270000000001</v>
      </c>
      <c r="F1599" t="s">
        <v>60</v>
      </c>
      <c r="G1599">
        <v>-255.41470000000001</v>
      </c>
      <c r="H1599" s="1">
        <v>1.34467E-6</v>
      </c>
      <c r="I1599">
        <v>283.76319999999998</v>
      </c>
      <c r="J1599">
        <v>-231.53559999999999</v>
      </c>
      <c r="K1599">
        <v>1.1197549999999901</v>
      </c>
      <c r="L1599">
        <v>284.26089999999999</v>
      </c>
      <c r="M1599">
        <v>-0.99947350000000001</v>
      </c>
      <c r="N1599">
        <v>-1.7892209999999999E-3</v>
      </c>
      <c r="O1599">
        <v>3.2398570000000002E-2</v>
      </c>
      <c r="P1599">
        <v>-0.98058849999999997</v>
      </c>
      <c r="Q1599">
        <v>0.1874971</v>
      </c>
      <c r="R1599">
        <v>5.7366849999999997E-2</v>
      </c>
      <c r="S1599">
        <v>-3.0900569999999998</v>
      </c>
      <c r="T1599">
        <v>-0.14294949999999901</v>
      </c>
      <c r="U1599">
        <v>-6.2194819999999998E-2</v>
      </c>
      <c r="V1599">
        <v>2.552774E-2</v>
      </c>
      <c r="W1599">
        <v>0.18925910000000001</v>
      </c>
      <c r="X1599">
        <v>0.98159529999999995</v>
      </c>
      <c r="Y1599">
        <v>-5.241461E-2</v>
      </c>
      <c r="Z1599">
        <v>-2.6983609999999998E-3</v>
      </c>
      <c r="AA1599">
        <v>0.9986218</v>
      </c>
      <c r="AB1599">
        <v>32</v>
      </c>
      <c r="AC1599">
        <v>-23.879100000000001</v>
      </c>
      <c r="AD1599">
        <v>-1.11975365532999</v>
      </c>
      <c r="AE1599">
        <v>-0.49770000000000802</v>
      </c>
      <c r="AF1599">
        <v>-1.2683009167742401</v>
      </c>
      <c r="AG1599">
        <v>-1.11975365532999</v>
      </c>
      <c r="AH1599">
        <v>23.798131900668199</v>
      </c>
      <c r="AI1599">
        <v>92.690091732343703</v>
      </c>
      <c r="AJ1599">
        <v>93.050643131352899</v>
      </c>
      <c r="AK1599">
        <v>23.858196022032299</v>
      </c>
      <c r="AL1599">
        <v>79.090450742017097</v>
      </c>
      <c r="AM1599">
        <v>88.510279995428505</v>
      </c>
      <c r="AN1599">
        <v>1.0000000027122</v>
      </c>
    </row>
    <row r="1600" spans="1:40" x14ac:dyDescent="0.25">
      <c r="A1600" t="str">
        <f>"20190303170528837"</f>
        <v>20190303170528837</v>
      </c>
      <c r="B1600" t="str">
        <f>"1551603928826151"</f>
        <v>1551603928826151</v>
      </c>
      <c r="C1600" t="s">
        <v>40</v>
      </c>
      <c r="D1600">
        <v>5.7574639999999997</v>
      </c>
      <c r="E1600">
        <v>0.47459010000000001</v>
      </c>
      <c r="F1600" t="s">
        <v>60</v>
      </c>
      <c r="G1600">
        <v>-256.12520000000001</v>
      </c>
      <c r="H1600" s="1">
        <v>1.7227250000000001E-6</v>
      </c>
      <c r="I1600">
        <v>283.7475</v>
      </c>
      <c r="J1600">
        <v>-231.82650000000001</v>
      </c>
      <c r="K1600">
        <v>1.119796</v>
      </c>
      <c r="L1600">
        <v>284.27019999999999</v>
      </c>
      <c r="M1600">
        <v>-0.99947940000000002</v>
      </c>
      <c r="N1600">
        <v>-1.7507009999999999E-3</v>
      </c>
      <c r="O1600">
        <v>3.2217089999999997E-2</v>
      </c>
      <c r="P1600">
        <v>-0.98037680000000005</v>
      </c>
      <c r="Q1600">
        <v>0.1887807</v>
      </c>
      <c r="R1600">
        <v>5.6772070000000001E-2</v>
      </c>
      <c r="S1600">
        <v>-3.0900729999999998</v>
      </c>
      <c r="T1600">
        <v>-0.1407146</v>
      </c>
      <c r="U1600">
        <v>-6.4514160000000001E-2</v>
      </c>
      <c r="V1600">
        <v>2.510217E-2</v>
      </c>
      <c r="W1600">
        <v>0.19050629999999999</v>
      </c>
      <c r="X1600">
        <v>0.98136500000000004</v>
      </c>
      <c r="Y1600">
        <v>-5.2984759999999999E-2</v>
      </c>
      <c r="Z1600">
        <v>-2.6617889999999999E-3</v>
      </c>
      <c r="AA1600">
        <v>0.99859180000000003</v>
      </c>
      <c r="AB1600">
        <v>32</v>
      </c>
      <c r="AC1600">
        <v>-24.2987</v>
      </c>
      <c r="AD1600">
        <v>-1.119794277275</v>
      </c>
      <c r="AE1600">
        <v>-0.52269999999998595</v>
      </c>
      <c r="AF1600">
        <v>-1.3024982912993499</v>
      </c>
      <c r="AG1600">
        <v>-1.119794277275</v>
      </c>
      <c r="AH1600">
        <v>24.217836810619499</v>
      </c>
      <c r="AI1600">
        <v>92.643564996301905</v>
      </c>
      <c r="AJ1600">
        <v>93.078550116761306</v>
      </c>
      <c r="AK1600">
        <v>24.278675021673902</v>
      </c>
      <c r="AL1600">
        <v>79.017667425845701</v>
      </c>
      <c r="AM1600">
        <v>88.534760410315201</v>
      </c>
      <c r="AN1600">
        <v>1.00000001625169</v>
      </c>
    </row>
    <row r="1601" spans="1:40" x14ac:dyDescent="0.25">
      <c r="A1601" t="str">
        <f>"20190303170528859"</f>
        <v>20190303170528859</v>
      </c>
      <c r="B1601" t="str">
        <f>"1551603928846647"</f>
        <v>1551603928846647</v>
      </c>
      <c r="C1601" t="s">
        <v>40</v>
      </c>
      <c r="D1601">
        <v>5.7965540000000004</v>
      </c>
      <c r="E1601">
        <v>0.4744198</v>
      </c>
      <c r="F1601" t="s">
        <v>60</v>
      </c>
      <c r="G1601">
        <v>-257.25139999999999</v>
      </c>
      <c r="H1601" s="1">
        <v>2.322062E-6</v>
      </c>
      <c r="I1601">
        <v>283.72750000000002</v>
      </c>
      <c r="J1601">
        <v>-232.1422</v>
      </c>
      <c r="K1601">
        <v>1.119839</v>
      </c>
      <c r="L1601">
        <v>284.28019999999998</v>
      </c>
      <c r="M1601">
        <v>-0.99948760000000003</v>
      </c>
      <c r="N1601">
        <v>-1.715175E-3</v>
      </c>
      <c r="O1601">
        <v>3.1964230000000003E-2</v>
      </c>
      <c r="P1601">
        <v>-0.98015059999999998</v>
      </c>
      <c r="Q1601">
        <v>0.19032740000000001</v>
      </c>
      <c r="R1601">
        <v>5.5501519999999999E-2</v>
      </c>
      <c r="S1601">
        <v>-3.0900880000000002</v>
      </c>
      <c r="T1601">
        <v>-0.1360971</v>
      </c>
      <c r="U1601">
        <v>-6.5948489999999999E-2</v>
      </c>
      <c r="V1601">
        <v>2.4066150000000001E-2</v>
      </c>
      <c r="W1601">
        <v>0.19202040000000001</v>
      </c>
      <c r="X1601">
        <v>0.98109579999999996</v>
      </c>
      <c r="Y1601">
        <v>-5.320101E-2</v>
      </c>
      <c r="Z1601">
        <v>-2.5686279999999999E-3</v>
      </c>
      <c r="AA1601">
        <v>0.99858049999999998</v>
      </c>
      <c r="AB1601">
        <v>32</v>
      </c>
      <c r="AC1601">
        <v>-25.109199999999898</v>
      </c>
      <c r="AD1601">
        <v>-1.119836677938</v>
      </c>
      <c r="AE1601">
        <v>-0.552699999999958</v>
      </c>
      <c r="AF1601">
        <v>-1.35232642533499</v>
      </c>
      <c r="AG1601">
        <v>-1.119836677938</v>
      </c>
      <c r="AH1601">
        <v>25.02894337307</v>
      </c>
      <c r="AI1601">
        <v>92.558074046662696</v>
      </c>
      <c r="AJ1601">
        <v>93.092712670199703</v>
      </c>
      <c r="AK1601">
        <v>25.090452911780201</v>
      </c>
      <c r="AL1601">
        <v>78.929283932977299</v>
      </c>
      <c r="AM1601">
        <v>88.594823912017603</v>
      </c>
      <c r="AN1601">
        <v>0.99999999118481098</v>
      </c>
    </row>
    <row r="1602" spans="1:40" x14ac:dyDescent="0.25">
      <c r="A1602" t="str">
        <f>"20190303170528882"</f>
        <v>20190303170528882</v>
      </c>
      <c r="B1602" t="str">
        <f>"1551603928875927"</f>
        <v>1551603928875927</v>
      </c>
      <c r="C1602" t="s">
        <v>40</v>
      </c>
      <c r="D1602">
        <v>5.8307310000000001</v>
      </c>
      <c r="E1602">
        <v>0.47432760000000002</v>
      </c>
      <c r="F1602" t="s">
        <v>60</v>
      </c>
      <c r="G1602">
        <v>-258.36520000000002</v>
      </c>
      <c r="H1602" s="1">
        <v>2.9147549999999998E-6</v>
      </c>
      <c r="I1602">
        <v>283.67759999999998</v>
      </c>
      <c r="J1602">
        <v>-232.49080000000001</v>
      </c>
      <c r="K1602">
        <v>1.1198859999999999</v>
      </c>
      <c r="L1602">
        <v>284.291</v>
      </c>
      <c r="M1602">
        <v>-0.99949900000000003</v>
      </c>
      <c r="N1602">
        <v>-1.683646E-3</v>
      </c>
      <c r="O1602">
        <v>3.1612809999999998E-2</v>
      </c>
      <c r="P1602">
        <v>-0.98016760000000003</v>
      </c>
      <c r="Q1602">
        <v>0.19051290000000001</v>
      </c>
      <c r="R1602">
        <v>5.4559910000000003E-2</v>
      </c>
      <c r="S1602">
        <v>-3.090408</v>
      </c>
      <c r="T1602">
        <v>-0.13197400000000001</v>
      </c>
      <c r="U1602">
        <v>-7.1014399999999894E-2</v>
      </c>
      <c r="V1602">
        <v>2.3442729999999998E-2</v>
      </c>
      <c r="W1602">
        <v>0.1921776</v>
      </c>
      <c r="X1602">
        <v>0.98108010000000001</v>
      </c>
      <c r="Y1602">
        <v>-5.4487750000000001E-2</v>
      </c>
      <c r="Z1602">
        <v>-2.5046170000000002E-3</v>
      </c>
      <c r="AA1602">
        <v>0.99851129999999999</v>
      </c>
      <c r="AB1602">
        <v>33</v>
      </c>
      <c r="AC1602">
        <v>-25.874400000000001</v>
      </c>
      <c r="AD1602">
        <v>-1.1198830852449999</v>
      </c>
      <c r="AE1602">
        <v>-0.61340000000001205</v>
      </c>
      <c r="AF1602">
        <v>-1.4283826095552301</v>
      </c>
      <c r="AG1602">
        <v>-1.1198830852449999</v>
      </c>
      <c r="AH1602">
        <v>25.793784297363601</v>
      </c>
      <c r="AI1602">
        <v>92.482238673165298</v>
      </c>
      <c r="AJ1602">
        <v>93.169631497254002</v>
      </c>
      <c r="AK1602">
        <v>25.8575660761569</v>
      </c>
      <c r="AL1602">
        <v>78.920105946026396</v>
      </c>
      <c r="AM1602">
        <v>88.631188275296296</v>
      </c>
      <c r="AN1602">
        <v>0.99999997707381105</v>
      </c>
    </row>
    <row r="1603" spans="1:40" x14ac:dyDescent="0.25">
      <c r="A1603" t="str">
        <f>"20190303170528906"</f>
        <v>20190303170528906</v>
      </c>
      <c r="B1603" t="str">
        <f>"1551603928896423"</f>
        <v>1551603928896423</v>
      </c>
      <c r="C1603" t="s">
        <v>40</v>
      </c>
      <c r="D1603">
        <v>5.8110359999999996</v>
      </c>
      <c r="E1603">
        <v>0.4744177</v>
      </c>
      <c r="F1603" t="s">
        <v>60</v>
      </c>
      <c r="G1603">
        <v>-258.76229999999998</v>
      </c>
      <c r="H1603" s="1">
        <v>3.1260580000000001E-6</v>
      </c>
      <c r="I1603">
        <v>283.65699999999998</v>
      </c>
      <c r="J1603">
        <v>-232.83340000000001</v>
      </c>
      <c r="K1603">
        <v>1.1199349999999999</v>
      </c>
      <c r="L1603">
        <v>284.30149999999998</v>
      </c>
      <c r="M1603">
        <v>-0.99951239999999997</v>
      </c>
      <c r="N1603">
        <v>-1.661081E-3</v>
      </c>
      <c r="O1603">
        <v>3.1181420000000001E-2</v>
      </c>
      <c r="P1603">
        <v>-0.98028519999999997</v>
      </c>
      <c r="Q1603">
        <v>0.1901996</v>
      </c>
      <c r="R1603">
        <v>5.3529849999999997E-2</v>
      </c>
      <c r="S1603">
        <v>-3.0904690000000001</v>
      </c>
      <c r="T1603">
        <v>-0.13173840000000001</v>
      </c>
      <c r="U1603">
        <v>-7.4584960000000006E-2</v>
      </c>
      <c r="V1603">
        <v>2.2804809999999998E-2</v>
      </c>
      <c r="W1603">
        <v>0.1918454</v>
      </c>
      <c r="X1603">
        <v>0.98116020000000004</v>
      </c>
      <c r="Y1603">
        <v>-5.5209290000000001E-2</v>
      </c>
      <c r="Z1603">
        <v>-2.49847E-3</v>
      </c>
      <c r="AA1603">
        <v>0.99847169999999996</v>
      </c>
      <c r="AB1603">
        <v>33</v>
      </c>
      <c r="AC1603">
        <v>-25.928899999999899</v>
      </c>
      <c r="AD1603">
        <v>-1.1199318739419999</v>
      </c>
      <c r="AE1603">
        <v>-0.64449999999999297</v>
      </c>
      <c r="AF1603">
        <v>-1.4499842119608399</v>
      </c>
      <c r="AG1603">
        <v>-1.1199318739419999</v>
      </c>
      <c r="AH1603">
        <v>25.848003490061199</v>
      </c>
      <c r="AI1603">
        <v>92.477047246222199</v>
      </c>
      <c r="AJ1603">
        <v>93.210731380669799</v>
      </c>
      <c r="AK1603">
        <v>25.912853683826899</v>
      </c>
      <c r="AL1603">
        <v>78.939501049360103</v>
      </c>
      <c r="AM1603">
        <v>88.668531241664496</v>
      </c>
      <c r="AN1603">
        <v>1.0000000274621601</v>
      </c>
    </row>
    <row r="1604" spans="1:40" x14ac:dyDescent="0.25">
      <c r="A1604" t="str">
        <f>"20190303170528926"</f>
        <v>20190303170528926</v>
      </c>
      <c r="B1604" t="str">
        <f>"1551603928915961"</f>
        <v>1551603928915961</v>
      </c>
      <c r="C1604" t="s">
        <v>40</v>
      </c>
      <c r="D1604">
        <v>5.8040699999999896</v>
      </c>
      <c r="E1604">
        <v>0.47445349999999997</v>
      </c>
      <c r="F1604" t="s">
        <v>60</v>
      </c>
      <c r="G1604">
        <v>-258.97989999999999</v>
      </c>
      <c r="H1604" s="1">
        <v>3.241851E-6</v>
      </c>
      <c r="I1604">
        <v>283.6474</v>
      </c>
      <c r="J1604">
        <v>-233.15100000000001</v>
      </c>
      <c r="K1604">
        <v>1.119988</v>
      </c>
      <c r="L1604">
        <v>284.31099999999998</v>
      </c>
      <c r="M1604">
        <v>-0.99952700000000005</v>
      </c>
      <c r="N1604">
        <v>-1.646488E-3</v>
      </c>
      <c r="O1604">
        <v>3.071231E-2</v>
      </c>
      <c r="P1604">
        <v>-0.98048809999999997</v>
      </c>
      <c r="Q1604">
        <v>0.1894459</v>
      </c>
      <c r="R1604">
        <v>5.2474439999999997E-2</v>
      </c>
      <c r="S1604">
        <v>-3.0902250000000002</v>
      </c>
      <c r="T1604">
        <v>-0.1323638</v>
      </c>
      <c r="U1604">
        <v>-7.7301030000000007E-2</v>
      </c>
      <c r="V1604">
        <v>2.2177720000000001E-2</v>
      </c>
      <c r="W1604">
        <v>0.19108020000000001</v>
      </c>
      <c r="X1604">
        <v>0.98132379999999997</v>
      </c>
      <c r="Y1604">
        <v>-5.5618849999999997E-2</v>
      </c>
      <c r="Z1604">
        <v>-2.5003740000000001E-3</v>
      </c>
      <c r="AA1604">
        <v>0.99844900000000003</v>
      </c>
      <c r="AB1604">
        <v>33</v>
      </c>
      <c r="AC1604">
        <v>-25.828900000000001</v>
      </c>
      <c r="AD1604">
        <v>-1.1199847581489999</v>
      </c>
      <c r="AE1604">
        <v>-0.66359999999997399</v>
      </c>
      <c r="AF1604">
        <v>-1.4538214192642001</v>
      </c>
      <c r="AG1604">
        <v>-1.1199847581489999</v>
      </c>
      <c r="AH1604">
        <v>25.7479545771203</v>
      </c>
      <c r="AI1604">
        <v>92.486726395866398</v>
      </c>
      <c r="AJ1604">
        <v>93.231692778501696</v>
      </c>
      <c r="AK1604">
        <v>25.813274249561001</v>
      </c>
      <c r="AL1604">
        <v>78.984169269815496</v>
      </c>
      <c r="AM1604">
        <v>88.705347321456102</v>
      </c>
      <c r="AN1604">
        <v>0.99999994727143704</v>
      </c>
    </row>
    <row r="1605" spans="1:40" x14ac:dyDescent="0.25">
      <c r="A1605" t="str">
        <f>"20190303170528949"</f>
        <v>20190303170528949</v>
      </c>
      <c r="B1605" t="str">
        <f>"1551603928936438"</f>
        <v>1551603928936438</v>
      </c>
      <c r="C1605" t="s">
        <v>40</v>
      </c>
      <c r="D1605">
        <v>5.8065280000000001</v>
      </c>
      <c r="E1605">
        <v>0.47441100000000003</v>
      </c>
      <c r="F1605" t="s">
        <v>60</v>
      </c>
      <c r="G1605">
        <v>-258.77670000000001</v>
      </c>
      <c r="H1605" s="1">
        <v>3.1337390000000002E-6</v>
      </c>
      <c r="I1605">
        <v>283.6429</v>
      </c>
      <c r="J1605">
        <v>-233.48050000000001</v>
      </c>
      <c r="K1605">
        <v>1.120039</v>
      </c>
      <c r="L1605">
        <v>284.32060000000001</v>
      </c>
      <c r="M1605">
        <v>-0.99954370000000003</v>
      </c>
      <c r="N1605">
        <v>-1.637051E-3</v>
      </c>
      <c r="O1605">
        <v>3.0165810000000001E-2</v>
      </c>
      <c r="P1605">
        <v>-0.9805218</v>
      </c>
      <c r="Q1605">
        <v>0.1893968</v>
      </c>
      <c r="R1605">
        <v>5.2019719999999998E-2</v>
      </c>
      <c r="S1605">
        <v>-3.090103</v>
      </c>
      <c r="T1605">
        <v>-0.13505449999999999</v>
      </c>
      <c r="U1605">
        <v>-8.0566410000000005E-2</v>
      </c>
      <c r="V1605">
        <v>2.2233010000000001E-2</v>
      </c>
      <c r="W1605">
        <v>0.191025</v>
      </c>
      <c r="X1605">
        <v>0.98133340000000002</v>
      </c>
      <c r="Y1605">
        <v>-5.6125059999999997E-2</v>
      </c>
      <c r="Z1605">
        <v>-2.5398489999999998E-3</v>
      </c>
      <c r="AA1605">
        <v>0.99842050000000004</v>
      </c>
      <c r="AB1605">
        <v>33</v>
      </c>
      <c r="AC1605">
        <v>-25.296199999999999</v>
      </c>
      <c r="AD1605">
        <v>-1.1200358662609999</v>
      </c>
      <c r="AE1605">
        <v>-0.67770000000001496</v>
      </c>
      <c r="AF1605">
        <v>-1.4376564522489399</v>
      </c>
      <c r="AG1605">
        <v>-1.1200358662609999</v>
      </c>
      <c r="AH1605">
        <v>25.214847777950801</v>
      </c>
      <c r="AI1605">
        <v>92.539270537593495</v>
      </c>
      <c r="AJ1605">
        <v>93.263258303714494</v>
      </c>
      <c r="AK1605">
        <v>25.280622715463998</v>
      </c>
      <c r="AL1605">
        <v>78.987392489975207</v>
      </c>
      <c r="AM1605">
        <v>88.702133492151106</v>
      </c>
      <c r="AN1605">
        <v>1.0000000496571</v>
      </c>
    </row>
    <row r="1606" spans="1:40" x14ac:dyDescent="0.25">
      <c r="A1606" t="str">
        <f>"20190303170528972"</f>
        <v>20190303170528972</v>
      </c>
      <c r="B1606" t="str">
        <f>"1551603928955962"</f>
        <v>1551603928955962</v>
      </c>
      <c r="C1606" t="s">
        <v>40</v>
      </c>
      <c r="D1606">
        <v>5.8320689999999997</v>
      </c>
      <c r="E1606">
        <v>0.46869889999999997</v>
      </c>
      <c r="F1606" t="s">
        <v>60</v>
      </c>
      <c r="G1606">
        <v>-259.05009999999999</v>
      </c>
      <c r="H1606" s="1">
        <v>3.2792260000000002E-6</v>
      </c>
      <c r="I1606">
        <v>283.63749999999999</v>
      </c>
      <c r="J1606">
        <v>-233.8347</v>
      </c>
      <c r="K1606">
        <v>1.1200889999999999</v>
      </c>
      <c r="L1606">
        <v>284.33080000000001</v>
      </c>
      <c r="M1606">
        <v>-0.99956299999999998</v>
      </c>
      <c r="N1606">
        <v>-1.6327780000000001E-3</v>
      </c>
      <c r="O1606">
        <v>2.951523E-2</v>
      </c>
      <c r="P1606">
        <v>-0.98065539999999995</v>
      </c>
      <c r="Q1606">
        <v>0.18874389999999999</v>
      </c>
      <c r="R1606">
        <v>5.1871420000000001E-2</v>
      </c>
      <c r="S1606">
        <v>-3.0901489999999998</v>
      </c>
      <c r="T1606">
        <v>-0.1353589</v>
      </c>
      <c r="U1606">
        <v>-8.255005E-2</v>
      </c>
      <c r="V1606">
        <v>2.2694019999999999E-2</v>
      </c>
      <c r="W1606">
        <v>0.19037200000000001</v>
      </c>
      <c r="X1606">
        <v>0.98144969999999998</v>
      </c>
      <c r="Y1606">
        <v>-5.611551E-2</v>
      </c>
      <c r="Z1606">
        <v>-2.5179009999999999E-3</v>
      </c>
      <c r="AA1606">
        <v>0.99842109999999995</v>
      </c>
      <c r="AB1606">
        <v>34</v>
      </c>
      <c r="AC1606">
        <v>-25.215399999999899</v>
      </c>
      <c r="AD1606">
        <v>-1.12008572077399</v>
      </c>
      <c r="AE1606">
        <v>-0.69330000000002101</v>
      </c>
      <c r="AF1606">
        <v>-1.43440903433304</v>
      </c>
      <c r="AG1606">
        <v>-1.12008572077399</v>
      </c>
      <c r="AH1606">
        <v>25.134393772962198</v>
      </c>
      <c r="AI1606">
        <v>92.547493460470804</v>
      </c>
      <c r="AJ1606">
        <v>93.266302504421404</v>
      </c>
      <c r="AK1606">
        <v>25.200195864992398</v>
      </c>
      <c r="AL1606">
        <v>79.025505686290998</v>
      </c>
      <c r="AM1606">
        <v>88.675388151571596</v>
      </c>
      <c r="AN1606">
        <v>1.0000000152789199</v>
      </c>
    </row>
    <row r="1607" spans="1:40" x14ac:dyDescent="0.25">
      <c r="A1607" t="str">
        <f>"20190303170528997"</f>
        <v>20190303170528997</v>
      </c>
      <c r="B1607" t="str">
        <f>"1551603928986215"</f>
        <v>1551603928986215</v>
      </c>
      <c r="C1607" t="s">
        <v>40</v>
      </c>
      <c r="D1607">
        <v>5.7531650000000001</v>
      </c>
      <c r="E1607">
        <v>0.46974890000000002</v>
      </c>
      <c r="F1607" t="s">
        <v>60</v>
      </c>
      <c r="G1607">
        <v>-253.20259999999999</v>
      </c>
      <c r="H1607" s="1">
        <v>1.6748099999999999E-7</v>
      </c>
      <c r="I1607">
        <v>283.51889999999997</v>
      </c>
      <c r="J1607">
        <v>-234.21369999999999</v>
      </c>
      <c r="K1607">
        <v>1.1201319999999999</v>
      </c>
      <c r="L1607">
        <v>284.34129999999999</v>
      </c>
      <c r="M1607">
        <v>-0.99958519999999895</v>
      </c>
      <c r="N1607">
        <v>-1.634115E-3</v>
      </c>
      <c r="O1607">
        <v>2.875788E-2</v>
      </c>
      <c r="P1607">
        <v>-0.98084590000000005</v>
      </c>
      <c r="Q1607">
        <v>0.18784149999999999</v>
      </c>
      <c r="R1607">
        <v>5.1549409999999997E-2</v>
      </c>
      <c r="S1607">
        <v>-3.100571</v>
      </c>
      <c r="T1607">
        <v>-0.17931329999999901</v>
      </c>
      <c r="U1607">
        <v>-0.12997439999999999</v>
      </c>
      <c r="V1607">
        <v>2.3085640000000001E-2</v>
      </c>
      <c r="W1607">
        <v>0.18947449999999999</v>
      </c>
      <c r="X1607">
        <v>0.98161419999999999</v>
      </c>
      <c r="Y1607">
        <v>-7.0431930000000004E-2</v>
      </c>
      <c r="Z1607">
        <v>-3.705818E-3</v>
      </c>
      <c r="AA1607">
        <v>0.99750970000000005</v>
      </c>
      <c r="AB1607">
        <v>34</v>
      </c>
      <c r="AC1607">
        <v>-18.988900000000001</v>
      </c>
      <c r="AD1607">
        <v>-1.1201318325189999</v>
      </c>
      <c r="AE1607">
        <v>-0.82240000000001501</v>
      </c>
      <c r="AF1607">
        <v>-1.3634056997772901</v>
      </c>
      <c r="AG1607">
        <v>-1.1201318325189999</v>
      </c>
      <c r="AH1607">
        <v>18.891781605182</v>
      </c>
      <c r="AI1607">
        <v>93.384427976664398</v>
      </c>
      <c r="AJ1607">
        <v>94.127836856361597</v>
      </c>
      <c r="AK1607">
        <v>18.974008080590199</v>
      </c>
      <c r="AL1607">
        <v>79.077881621496502</v>
      </c>
      <c r="AM1607">
        <v>88.652764031426202</v>
      </c>
      <c r="AN1607">
        <v>0.99999998528304901</v>
      </c>
    </row>
    <row r="1608" spans="1:40" x14ac:dyDescent="0.25">
      <c r="A1608" t="str">
        <f>"20190303170529017"</f>
        <v>20190303170529017</v>
      </c>
      <c r="B1608" t="str">
        <f>"1551603929006711"</f>
        <v>1551603929006711</v>
      </c>
      <c r="C1608" t="s">
        <v>40</v>
      </c>
      <c r="D1608">
        <v>5.7760720000000001</v>
      </c>
      <c r="E1608">
        <v>0.46986719999999998</v>
      </c>
      <c r="F1608" t="s">
        <v>60</v>
      </c>
      <c r="G1608">
        <v>-254.9913</v>
      </c>
      <c r="H1608" s="1">
        <v>1.119307E-6</v>
      </c>
      <c r="I1608">
        <v>283.53219999999999</v>
      </c>
      <c r="J1608">
        <v>-234.52359999999999</v>
      </c>
      <c r="K1608">
        <v>1.1201639999999999</v>
      </c>
      <c r="L1608">
        <v>284.34969999999998</v>
      </c>
      <c r="M1608">
        <v>-0.99960369999999998</v>
      </c>
      <c r="N1608">
        <v>-1.6393250000000001E-3</v>
      </c>
      <c r="O1608">
        <v>2.8099809999999999E-2</v>
      </c>
      <c r="P1608">
        <v>-0.98092990000000002</v>
      </c>
      <c r="Q1608">
        <v>0.18756120000000001</v>
      </c>
      <c r="R1608">
        <v>5.0964250000000003E-2</v>
      </c>
      <c r="S1608">
        <v>-3.0969090000000001</v>
      </c>
      <c r="T1608">
        <v>-0.16695670000000001</v>
      </c>
      <c r="U1608">
        <v>-0.1206055</v>
      </c>
      <c r="V1608">
        <v>2.312577E-2</v>
      </c>
      <c r="W1608">
        <v>0.18920200000000001</v>
      </c>
      <c r="X1608">
        <v>0.98166580000000003</v>
      </c>
      <c r="Y1608">
        <v>-6.6839330000000002E-2</v>
      </c>
      <c r="Z1608">
        <v>-3.321793E-3</v>
      </c>
      <c r="AA1608">
        <v>0.99775820000000004</v>
      </c>
      <c r="AB1608">
        <v>34</v>
      </c>
      <c r="AC1608">
        <v>-20.467700000000001</v>
      </c>
      <c r="AD1608">
        <v>-1.120162880693</v>
      </c>
      <c r="AE1608">
        <v>-0.81749999999999501</v>
      </c>
      <c r="AF1608">
        <v>-1.38816529006964</v>
      </c>
      <c r="AG1608">
        <v>-1.120162880693</v>
      </c>
      <c r="AH1608">
        <v>20.375714196308301</v>
      </c>
      <c r="AI1608">
        <v>93.139427674340993</v>
      </c>
      <c r="AJ1608">
        <v>93.897448609254496</v>
      </c>
      <c r="AK1608">
        <v>20.453642628184301</v>
      </c>
      <c r="AL1608">
        <v>79.093782171437795</v>
      </c>
      <c r="AM1608">
        <v>88.650493895525599</v>
      </c>
      <c r="AN1608">
        <v>0.99999997046586597</v>
      </c>
    </row>
    <row r="1609" spans="1:40" x14ac:dyDescent="0.25">
      <c r="A1609" t="str">
        <f>"20190303170529037"</f>
        <v>20190303170529037</v>
      </c>
      <c r="B1609" t="str">
        <f>"1551603929026231"</f>
        <v>1551603929026231</v>
      </c>
      <c r="C1609" t="s">
        <v>40</v>
      </c>
      <c r="D1609">
        <v>5.8709030000000002</v>
      </c>
      <c r="E1609">
        <v>0.46994140000000001</v>
      </c>
      <c r="F1609" t="s">
        <v>60</v>
      </c>
      <c r="G1609">
        <v>-255.1635</v>
      </c>
      <c r="H1609" s="1">
        <v>1.2109820000000001E-6</v>
      </c>
      <c r="I1609">
        <v>283.54689999999999</v>
      </c>
      <c r="J1609">
        <v>-234.83410000000001</v>
      </c>
      <c r="K1609">
        <v>1.1202000000000001</v>
      </c>
      <c r="L1609">
        <v>284.35789999999997</v>
      </c>
      <c r="M1609">
        <v>-0.99962289999999998</v>
      </c>
      <c r="N1609">
        <v>-1.647698E-3</v>
      </c>
      <c r="O1609">
        <v>2.7415999999999999E-2</v>
      </c>
      <c r="P1609">
        <v>-0.98099919999999996</v>
      </c>
      <c r="Q1609">
        <v>0.1875281</v>
      </c>
      <c r="R1609">
        <v>4.9740310000000003E-2</v>
      </c>
      <c r="S1609">
        <v>-3.096695</v>
      </c>
      <c r="T1609">
        <v>-0.16806260000000001</v>
      </c>
      <c r="U1609">
        <v>-0.1204529</v>
      </c>
      <c r="V1609">
        <v>2.255538E-2</v>
      </c>
      <c r="W1609">
        <v>0.1891786</v>
      </c>
      <c r="X1609">
        <v>0.98168359999999999</v>
      </c>
      <c r="Y1609">
        <v>-6.6110550000000004E-2</v>
      </c>
      <c r="Z1609">
        <v>-3.2876849999999998E-3</v>
      </c>
      <c r="AA1609">
        <v>0.99780690000000005</v>
      </c>
      <c r="AB1609">
        <v>34</v>
      </c>
      <c r="AC1609">
        <v>-20.3294</v>
      </c>
      <c r="AD1609">
        <v>-1.1201987890180001</v>
      </c>
      <c r="AE1609">
        <v>-0.81099999999997796</v>
      </c>
      <c r="AF1609">
        <v>-1.3639120264776099</v>
      </c>
      <c r="AG1609">
        <v>-1.1201987890180001</v>
      </c>
      <c r="AH1609">
        <v>20.238172959580801</v>
      </c>
      <c r="AI1609">
        <v>93.160978101689196</v>
      </c>
      <c r="AJ1609">
        <v>93.8555068801641</v>
      </c>
      <c r="AK1609">
        <v>20.3149882127653</v>
      </c>
      <c r="AL1609">
        <v>79.095147757521204</v>
      </c>
      <c r="AM1609">
        <v>88.683791048622993</v>
      </c>
      <c r="AN1609">
        <v>0.999999989186932</v>
      </c>
    </row>
    <row r="1610" spans="1:40" x14ac:dyDescent="0.25">
      <c r="A1610" t="str">
        <f>"20190303170529061"</f>
        <v>20190303170529061</v>
      </c>
      <c r="B1610" t="str">
        <f>"1551603929046727"</f>
        <v>1551603929046727</v>
      </c>
      <c r="C1610" t="s">
        <v>40</v>
      </c>
      <c r="D1610">
        <v>5.7867610000000003</v>
      </c>
      <c r="E1610">
        <v>0.46969379999999999</v>
      </c>
      <c r="F1610" t="s">
        <v>60</v>
      </c>
      <c r="G1610">
        <v>-255.55760000000001</v>
      </c>
      <c r="H1610" s="1">
        <v>1.420701E-6</v>
      </c>
      <c r="I1610">
        <v>283.53030000000001</v>
      </c>
      <c r="J1610">
        <v>-235.191</v>
      </c>
      <c r="K1610">
        <v>1.120234</v>
      </c>
      <c r="L1610">
        <v>284.36700000000002</v>
      </c>
      <c r="M1610">
        <v>-0.99964459999999999</v>
      </c>
      <c r="N1610">
        <v>-1.660697E-3</v>
      </c>
      <c r="O1610">
        <v>2.6610470000000001E-2</v>
      </c>
      <c r="P1610">
        <v>-0.98107180000000005</v>
      </c>
      <c r="Q1610">
        <v>0.18743660000000001</v>
      </c>
      <c r="R1610">
        <v>4.8641120000000003E-2</v>
      </c>
      <c r="S1610">
        <v>-3.09639</v>
      </c>
      <c r="T1610">
        <v>-0.16737349999999901</v>
      </c>
      <c r="U1610">
        <v>-0.12365719999999999</v>
      </c>
      <c r="V1610">
        <v>2.222988E-2</v>
      </c>
      <c r="W1610">
        <v>0.1891013</v>
      </c>
      <c r="X1610">
        <v>0.98170590000000002</v>
      </c>
      <c r="Y1610">
        <v>-6.6343170000000007E-2</v>
      </c>
      <c r="Z1610">
        <v>-3.2389160000000001E-3</v>
      </c>
      <c r="AA1610">
        <v>0.9977916</v>
      </c>
      <c r="AB1610">
        <v>34</v>
      </c>
      <c r="AC1610">
        <v>-20.366599999999998</v>
      </c>
      <c r="AD1610">
        <v>-1.120232579299</v>
      </c>
      <c r="AE1610">
        <v>-0.83670000000000699</v>
      </c>
      <c r="AF1610">
        <v>-1.3742186740973601</v>
      </c>
      <c r="AG1610">
        <v>-1.120232579299</v>
      </c>
      <c r="AH1610">
        <v>20.275883912600602</v>
      </c>
      <c r="AI1610">
        <v>93.155124762562096</v>
      </c>
      <c r="AJ1610">
        <v>93.877350058027005</v>
      </c>
      <c r="AK1610">
        <v>20.353251986678099</v>
      </c>
      <c r="AL1610">
        <v>79.099657939588496</v>
      </c>
      <c r="AM1610">
        <v>88.702808372351797</v>
      </c>
      <c r="AN1610">
        <v>0.99999997166065602</v>
      </c>
    </row>
    <row r="1611" spans="1:40" x14ac:dyDescent="0.25">
      <c r="A1611" t="str">
        <f>"20190303170529084"</f>
        <v>20190303170529084</v>
      </c>
      <c r="B1611" t="str">
        <f>"1551603929076007"</f>
        <v>1551603929076007</v>
      </c>
      <c r="C1611" t="s">
        <v>40</v>
      </c>
      <c r="D1611">
        <v>5.7797419999999997</v>
      </c>
      <c r="E1611">
        <v>0.46916760000000002</v>
      </c>
      <c r="F1611" t="s">
        <v>60</v>
      </c>
      <c r="G1611">
        <v>-255.3494</v>
      </c>
      <c r="H1611" s="1">
        <v>1.309896E-6</v>
      </c>
      <c r="I1611">
        <v>283.52429999999998</v>
      </c>
      <c r="J1611">
        <v>-235.55439999999999</v>
      </c>
      <c r="K1611">
        <v>1.120252</v>
      </c>
      <c r="L1611">
        <v>284.37599999999998</v>
      </c>
      <c r="M1611">
        <v>-0.99966650000000001</v>
      </c>
      <c r="N1611">
        <v>-1.6773420000000001E-3</v>
      </c>
      <c r="O1611">
        <v>2.57767E-2</v>
      </c>
      <c r="P1611">
        <v>-0.98113550000000005</v>
      </c>
      <c r="Q1611">
        <v>0.18724560000000001</v>
      </c>
      <c r="R1611">
        <v>4.8089949999999999E-2</v>
      </c>
      <c r="S1611">
        <v>-3.0971829999999998</v>
      </c>
      <c r="T1611">
        <v>-0.17211499999999999</v>
      </c>
      <c r="U1611">
        <v>-0.12948609999999999</v>
      </c>
      <c r="V1611">
        <v>2.248354E-2</v>
      </c>
      <c r="W1611">
        <v>0.1889286</v>
      </c>
      <c r="X1611">
        <v>0.98173339999999998</v>
      </c>
      <c r="Y1611">
        <v>-6.7367280000000002E-2</v>
      </c>
      <c r="Z1611">
        <v>-3.3137710000000001E-3</v>
      </c>
      <c r="AA1611">
        <v>0.99772269999999996</v>
      </c>
      <c r="AB1611">
        <v>34</v>
      </c>
      <c r="AC1611">
        <v>-19.795000000000002</v>
      </c>
      <c r="AD1611">
        <v>-1.1202506901039999</v>
      </c>
      <c r="AE1611">
        <v>-0.85169999999999302</v>
      </c>
      <c r="AF1611">
        <v>-1.35732828865442</v>
      </c>
      <c r="AG1611">
        <v>-1.1202506901039999</v>
      </c>
      <c r="AH1611">
        <v>19.703480380299801</v>
      </c>
      <c r="AI1611">
        <v>93.2463980347637</v>
      </c>
      <c r="AJ1611">
        <v>93.940751152172993</v>
      </c>
      <c r="AK1611">
        <v>19.781922070130602</v>
      </c>
      <c r="AL1611">
        <v>79.109734840182298</v>
      </c>
      <c r="AM1611">
        <v>88.688048302465802</v>
      </c>
      <c r="AN1611">
        <v>0.99999999707222498</v>
      </c>
    </row>
    <row r="1612" spans="1:40" x14ac:dyDescent="0.25">
      <c r="A1612" t="str">
        <f>"20190303170529105"</f>
        <v>20190303170529105</v>
      </c>
      <c r="B1612" t="str">
        <f>"1551603929096504"</f>
        <v>1551603929096504</v>
      </c>
      <c r="C1612" t="s">
        <v>40</v>
      </c>
      <c r="D1612">
        <v>5.7931030000000003</v>
      </c>
      <c r="E1612">
        <v>0.46902769999999999</v>
      </c>
      <c r="F1612" t="s">
        <v>60</v>
      </c>
      <c r="G1612">
        <v>-255.5093</v>
      </c>
      <c r="H1612" s="1">
        <v>1.3949829999999999E-6</v>
      </c>
      <c r="I1612">
        <v>283.50040000000001</v>
      </c>
      <c r="J1612">
        <v>-235.88130000000001</v>
      </c>
      <c r="K1612">
        <v>1.120258</v>
      </c>
      <c r="L1612">
        <v>284.38380000000001</v>
      </c>
      <c r="M1612">
        <v>-0.99968559999999995</v>
      </c>
      <c r="N1612">
        <v>-1.6948289999999999E-3</v>
      </c>
      <c r="O1612">
        <v>2.5019969999999999E-2</v>
      </c>
      <c r="P1612">
        <v>-0.98145910000000003</v>
      </c>
      <c r="Q1612">
        <v>0.18536369999999999</v>
      </c>
      <c r="R1612">
        <v>4.8771149999999999E-2</v>
      </c>
      <c r="S1612">
        <v>-3.0975489999999999</v>
      </c>
      <c r="T1612">
        <v>-0.1738942</v>
      </c>
      <c r="U1612">
        <v>-0.1359253</v>
      </c>
      <c r="V1612">
        <v>2.3893279999999999E-2</v>
      </c>
      <c r="W1612">
        <v>0.18706790000000001</v>
      </c>
      <c r="X1612">
        <v>0.98205640000000005</v>
      </c>
      <c r="Y1612">
        <v>-6.8673380000000006E-2</v>
      </c>
      <c r="Z1612">
        <v>-3.3440229999999998E-3</v>
      </c>
      <c r="AA1612">
        <v>0.99763360000000001</v>
      </c>
      <c r="AB1612">
        <v>35</v>
      </c>
      <c r="AC1612">
        <v>-19.627999999999901</v>
      </c>
      <c r="AD1612">
        <v>-1.120256605017</v>
      </c>
      <c r="AE1612">
        <v>-0.88339999999999397</v>
      </c>
      <c r="AF1612">
        <v>-1.3697631190764501</v>
      </c>
      <c r="AG1612">
        <v>-1.120256605017</v>
      </c>
      <c r="AH1612">
        <v>19.536242356321399</v>
      </c>
      <c r="AI1612">
        <v>93.2738684685431</v>
      </c>
      <c r="AJ1612">
        <v>94.010669905803098</v>
      </c>
      <c r="AK1612">
        <v>19.616217557633099</v>
      </c>
      <c r="AL1612">
        <v>79.218280918092205</v>
      </c>
      <c r="AM1612">
        <v>88.606277522162202</v>
      </c>
      <c r="AN1612">
        <v>1.0000000304102601</v>
      </c>
    </row>
    <row r="1613" spans="1:40" x14ac:dyDescent="0.25">
      <c r="A1613" t="str">
        <f>"20190303170529127"</f>
        <v>20190303170529127</v>
      </c>
      <c r="B1613" t="str">
        <f>"1551603929116023"</f>
        <v>1551603929116023</v>
      </c>
      <c r="C1613" t="s">
        <v>40</v>
      </c>
      <c r="D1613">
        <v>5.8604479999999999</v>
      </c>
      <c r="E1613">
        <v>0.46930870000000002</v>
      </c>
      <c r="F1613" t="s">
        <v>60</v>
      </c>
      <c r="G1613">
        <v>-255.04390000000001</v>
      </c>
      <c r="H1613" s="1">
        <v>1.1473499999999999E-6</v>
      </c>
      <c r="I1613">
        <v>283.55160000000001</v>
      </c>
      <c r="J1613">
        <v>-236.22919999999999</v>
      </c>
      <c r="K1613">
        <v>1.120266</v>
      </c>
      <c r="L1613">
        <v>284.39190000000002</v>
      </c>
      <c r="M1613">
        <v>-0.99970539999999997</v>
      </c>
      <c r="N1613">
        <v>-1.715779E-3</v>
      </c>
      <c r="O1613">
        <v>2.4211969999999999E-2</v>
      </c>
      <c r="P1613">
        <v>-0.98163639999999996</v>
      </c>
      <c r="Q1613">
        <v>0.1841797</v>
      </c>
      <c r="R1613">
        <v>4.9679920000000002E-2</v>
      </c>
      <c r="S1613">
        <v>-3.0975649999999999</v>
      </c>
      <c r="T1613">
        <v>-0.18108460000000001</v>
      </c>
      <c r="U1613">
        <v>-0.13452149999999999</v>
      </c>
      <c r="V1613">
        <v>2.5585119999999999E-2</v>
      </c>
      <c r="W1613">
        <v>0.18590889999999999</v>
      </c>
      <c r="X1613">
        <v>0.98223380000000005</v>
      </c>
      <c r="Y1613">
        <v>-6.7406579999999994E-2</v>
      </c>
      <c r="Z1613">
        <v>-3.3977690000000001E-3</v>
      </c>
      <c r="AA1613">
        <v>0.99771980000000005</v>
      </c>
      <c r="AB1613">
        <v>35</v>
      </c>
      <c r="AC1613">
        <v>-18.814699999999998</v>
      </c>
      <c r="AD1613">
        <v>-1.1202648526500001</v>
      </c>
      <c r="AE1613">
        <v>-0.84030000000001304</v>
      </c>
      <c r="AF1613">
        <v>-1.2910273712855</v>
      </c>
      <c r="AG1613">
        <v>-1.1202648526500001</v>
      </c>
      <c r="AH1613">
        <v>18.722594918485001</v>
      </c>
      <c r="AI1613">
        <v>93.416112776268406</v>
      </c>
      <c r="AJ1613">
        <v>93.944619499658899</v>
      </c>
      <c r="AK1613">
        <v>18.800460246897401</v>
      </c>
      <c r="AL1613">
        <v>79.285871904613202</v>
      </c>
      <c r="AM1613">
        <v>88.507903117657193</v>
      </c>
      <c r="AN1613">
        <v>0.99999997766353199</v>
      </c>
    </row>
    <row r="1614" spans="1:40" x14ac:dyDescent="0.25">
      <c r="A1614" t="str">
        <f>"20190303170529141"</f>
        <v>20190303170529141</v>
      </c>
      <c r="B1614" t="str">
        <f>"1551603929136520"</f>
        <v>1551603929136520</v>
      </c>
      <c r="C1614" t="s">
        <v>40</v>
      </c>
      <c r="D1614">
        <v>5.7993420000000002</v>
      </c>
      <c r="E1614">
        <v>0.46964060000000002</v>
      </c>
      <c r="F1614" t="s">
        <v>60</v>
      </c>
      <c r="G1614">
        <v>-255.09790000000001</v>
      </c>
      <c r="H1614" s="1">
        <v>1.176059E-6</v>
      </c>
      <c r="I1614">
        <v>283.60509999999999</v>
      </c>
      <c r="J1614">
        <v>-236.45179999999999</v>
      </c>
      <c r="K1614">
        <v>1.1202719999999999</v>
      </c>
      <c r="L1614">
        <v>284.39690000000002</v>
      </c>
      <c r="M1614">
        <v>-0.99971779999999999</v>
      </c>
      <c r="N1614">
        <v>-1.7302439999999999E-3</v>
      </c>
      <c r="O1614">
        <v>2.369394E-2</v>
      </c>
      <c r="P1614">
        <v>-0.98169280000000003</v>
      </c>
      <c r="Q1614">
        <v>0.18376139999999999</v>
      </c>
      <c r="R1614">
        <v>5.0111969999999999E-2</v>
      </c>
      <c r="S1614">
        <v>-3.0971679999999999</v>
      </c>
      <c r="T1614">
        <v>-0.18388389999999999</v>
      </c>
      <c r="U1614">
        <v>-0.1291504</v>
      </c>
      <c r="V1614">
        <v>2.6520990000000001E-2</v>
      </c>
      <c r="W1614">
        <v>0.1855069</v>
      </c>
      <c r="X1614">
        <v>0.98228499999999996</v>
      </c>
      <c r="Y1614">
        <v>-6.5167829999999996E-2</v>
      </c>
      <c r="Z1614">
        <v>-3.35251E-3</v>
      </c>
      <c r="AA1614">
        <v>0.99786870000000005</v>
      </c>
      <c r="AB1614">
        <v>35</v>
      </c>
      <c r="AC1614">
        <v>-18.646100000000001</v>
      </c>
      <c r="AD1614">
        <v>-1.120270823941</v>
      </c>
      <c r="AE1614">
        <v>-0.79180000000002304</v>
      </c>
      <c r="AF1614">
        <v>-1.2289497839038299</v>
      </c>
      <c r="AG1614">
        <v>-1.120270823941</v>
      </c>
      <c r="AH1614">
        <v>18.5552462299617</v>
      </c>
      <c r="AI1614">
        <v>93.447497097202302</v>
      </c>
      <c r="AJ1614">
        <v>93.789275803501297</v>
      </c>
      <c r="AK1614">
        <v>18.629613172174</v>
      </c>
      <c r="AL1614">
        <v>79.309312768595007</v>
      </c>
      <c r="AM1614">
        <v>88.453430798460801</v>
      </c>
      <c r="AN1614">
        <v>0.99999999704159503</v>
      </c>
    </row>
    <row r="1615" spans="1:40" x14ac:dyDescent="0.25">
      <c r="A1615" t="str">
        <f>"20190303170529161"</f>
        <v>20190303170529161</v>
      </c>
      <c r="B1615" t="str">
        <f>"1551603929146279"</f>
        <v>1551603929146279</v>
      </c>
      <c r="C1615" t="s">
        <v>40</v>
      </c>
      <c r="D1615">
        <v>5.862978</v>
      </c>
      <c r="E1615">
        <v>0.46946759999999899</v>
      </c>
      <c r="F1615" t="s">
        <v>60</v>
      </c>
      <c r="G1615">
        <v>-255.3355</v>
      </c>
      <c r="H1615" s="1">
        <v>1.3024809999999999E-6</v>
      </c>
      <c r="I1615">
        <v>283.63510000000002</v>
      </c>
      <c r="J1615">
        <v>-236.76439999999999</v>
      </c>
      <c r="K1615">
        <v>1.120282</v>
      </c>
      <c r="L1615">
        <v>284.40370000000001</v>
      </c>
      <c r="M1615">
        <v>-0.99973469999999998</v>
      </c>
      <c r="N1615">
        <v>-1.752069E-3</v>
      </c>
      <c r="O1615">
        <v>2.2966739999999999E-2</v>
      </c>
      <c r="P1615">
        <v>-0.98177020000000004</v>
      </c>
      <c r="Q1615">
        <v>0.1831449</v>
      </c>
      <c r="R1615">
        <v>5.0846580000000002E-2</v>
      </c>
      <c r="S1615">
        <v>-3.0967410000000002</v>
      </c>
      <c r="T1615">
        <v>-0.18371380000000001</v>
      </c>
      <c r="U1615">
        <v>-0.12493899999999999</v>
      </c>
      <c r="V1615">
        <v>2.7963539999999999E-2</v>
      </c>
      <c r="W1615">
        <v>0.18491550000000001</v>
      </c>
      <c r="X1615">
        <v>0.98235649999999997</v>
      </c>
      <c r="Y1615">
        <v>-6.3097940000000005E-2</v>
      </c>
      <c r="Z1615">
        <v>-3.245216E-3</v>
      </c>
      <c r="AA1615">
        <v>0.9980021</v>
      </c>
      <c r="AB1615">
        <v>35</v>
      </c>
      <c r="AC1615">
        <v>-18.571100000000001</v>
      </c>
      <c r="AD1615">
        <v>-1.1202806975190001</v>
      </c>
      <c r="AE1615">
        <v>-0.76859999999999196</v>
      </c>
      <c r="AF1615">
        <v>-1.19059042872689</v>
      </c>
      <c r="AG1615">
        <v>-1.1202806975190001</v>
      </c>
      <c r="AH1615">
        <v>18.4814109195272</v>
      </c>
      <c r="AI1615">
        <v>93.461674021121695</v>
      </c>
      <c r="AJ1615">
        <v>93.685956374047606</v>
      </c>
      <c r="AK1615">
        <v>18.553573348189001</v>
      </c>
      <c r="AL1615">
        <v>79.343794067023396</v>
      </c>
      <c r="AM1615">
        <v>88.369471490212405</v>
      </c>
      <c r="AN1615">
        <v>0.99999999740091505</v>
      </c>
    </row>
    <row r="1616" spans="1:40" x14ac:dyDescent="0.25">
      <c r="A1616" t="str">
        <f>"20190303170529187"</f>
        <v>20190303170529187</v>
      </c>
      <c r="B1616" t="str">
        <f>"1551603929176535"</f>
        <v>1551603929176535</v>
      </c>
      <c r="C1616" t="s">
        <v>40</v>
      </c>
      <c r="D1616">
        <v>5.9723369999999996</v>
      </c>
      <c r="E1616">
        <v>0.50217670000000003</v>
      </c>
      <c r="F1616" t="s">
        <v>60</v>
      </c>
      <c r="G1616">
        <v>-255.5042</v>
      </c>
      <c r="H1616" s="1">
        <v>1.3922439999999999E-6</v>
      </c>
      <c r="I1616">
        <v>283.65449999999998</v>
      </c>
      <c r="J1616">
        <v>-237.16050000000001</v>
      </c>
      <c r="K1616">
        <v>1.120296</v>
      </c>
      <c r="L1616">
        <v>284.41210000000001</v>
      </c>
      <c r="M1616">
        <v>-0.99975530000000001</v>
      </c>
      <c r="N1616">
        <v>-1.781623E-3</v>
      </c>
      <c r="O1616">
        <v>2.2047400000000002E-2</v>
      </c>
      <c r="P1616">
        <v>-0.98172060000000005</v>
      </c>
      <c r="Q1616">
        <v>0.1829818</v>
      </c>
      <c r="R1616">
        <v>5.2369110000000003E-2</v>
      </c>
      <c r="S1616">
        <v>-3.0966640000000001</v>
      </c>
      <c r="T1616">
        <v>-0.1851217</v>
      </c>
      <c r="U1616">
        <v>-0.1238098</v>
      </c>
      <c r="V1616">
        <v>3.0384089999999999E-2</v>
      </c>
      <c r="W1616">
        <v>0.1847866</v>
      </c>
      <c r="X1616">
        <v>0.98230890000000004</v>
      </c>
      <c r="Y1616">
        <v>-6.1819369999999998E-2</v>
      </c>
      <c r="Z1616">
        <v>-3.177722E-3</v>
      </c>
      <c r="AA1616">
        <v>0.99808229999999998</v>
      </c>
      <c r="AB1616">
        <v>35</v>
      </c>
      <c r="AC1616">
        <v>-18.343699999999899</v>
      </c>
      <c r="AD1616">
        <v>-1.1202946077560001</v>
      </c>
      <c r="AE1616">
        <v>-0.75760000000002403</v>
      </c>
      <c r="AF1616">
        <v>-1.15753731468732</v>
      </c>
      <c r="AG1616">
        <v>-1.1202946077560001</v>
      </c>
      <c r="AH1616">
        <v>18.254567240490498</v>
      </c>
      <c r="AI1616">
        <v>93.504852784214606</v>
      </c>
      <c r="AJ1616">
        <v>93.628315237785401</v>
      </c>
      <c r="AK1616">
        <v>18.325506208032799</v>
      </c>
      <c r="AL1616">
        <v>79.351309328146101</v>
      </c>
      <c r="AM1616">
        <v>88.228331997284897</v>
      </c>
      <c r="AN1616">
        <v>1.0000000277419401</v>
      </c>
    </row>
    <row r="1617" spans="1:40" x14ac:dyDescent="0.25">
      <c r="A1617" t="str">
        <f>"20190303170529209"</f>
        <v>20190303170529209</v>
      </c>
      <c r="B1617" t="str">
        <f>"1551603929196055"</f>
        <v>1551603929196055</v>
      </c>
      <c r="C1617" t="s">
        <v>40</v>
      </c>
      <c r="D1617">
        <v>5.7448069999999998</v>
      </c>
      <c r="E1617">
        <v>0.51961789999999997</v>
      </c>
      <c r="F1617" t="s">
        <v>42</v>
      </c>
      <c r="G1617">
        <v>-238.14109999999999</v>
      </c>
      <c r="H1617">
        <v>1.0114000000000001</v>
      </c>
      <c r="I1617">
        <v>284.45409999999998</v>
      </c>
      <c r="J1617">
        <v>-237.5206</v>
      </c>
      <c r="K1617">
        <v>1.120306</v>
      </c>
      <c r="L1617">
        <v>284.4194</v>
      </c>
      <c r="M1617">
        <v>-0.99977329999999998</v>
      </c>
      <c r="N1617">
        <v>-1.8100869999999999E-3</v>
      </c>
      <c r="O1617">
        <v>2.121791E-2</v>
      </c>
      <c r="P1617">
        <v>-0.98166869999999995</v>
      </c>
      <c r="Q1617">
        <v>0.18289649999999999</v>
      </c>
      <c r="R1617">
        <v>5.3628040000000002E-2</v>
      </c>
      <c r="S1617">
        <v>-3.1132049999999998</v>
      </c>
      <c r="T1617">
        <v>-0.34572900000000001</v>
      </c>
      <c r="U1617">
        <v>0.13327030000000001</v>
      </c>
      <c r="V1617">
        <v>3.2454950000000003E-2</v>
      </c>
      <c r="W1617">
        <v>0.18473319999999999</v>
      </c>
      <c r="X1617">
        <v>0.98225269999999998</v>
      </c>
      <c r="Y1617">
        <v>2.1552290000000002E-2</v>
      </c>
      <c r="Z1617">
        <v>-1.0972519999999999E-3</v>
      </c>
      <c r="AA1617">
        <v>0.99976710000000002</v>
      </c>
      <c r="AB1617">
        <v>36</v>
      </c>
      <c r="AC1617">
        <v>-0.62049999999999195</v>
      </c>
      <c r="AD1617">
        <v>-0.108905999999999</v>
      </c>
      <c r="AE1617">
        <v>3.4699999999986603E-2</v>
      </c>
      <c r="AF1617">
        <v>2.08850963342565E-2</v>
      </c>
      <c r="AG1617">
        <v>-0.108905999999999</v>
      </c>
      <c r="AH1617">
        <v>0.60259165723852004</v>
      </c>
      <c r="AI1617">
        <v>100.23842855063801</v>
      </c>
      <c r="AJ1617">
        <v>88.014992303731901</v>
      </c>
      <c r="AK1617">
        <v>0.61270989012611599</v>
      </c>
      <c r="AL1617">
        <v>79.354422467248895</v>
      </c>
      <c r="AM1617">
        <v>88.107558879930195</v>
      </c>
      <c r="AN1617">
        <v>1.0000000228095101</v>
      </c>
    </row>
    <row r="1618" spans="1:40" x14ac:dyDescent="0.25">
      <c r="A1618" t="str">
        <f>"20190303170529231"</f>
        <v>20190303170529231</v>
      </c>
      <c r="B1618" t="str">
        <f>"1551603929226312"</f>
        <v>1551603929226312</v>
      </c>
      <c r="C1618" t="s">
        <v>40</v>
      </c>
      <c r="D1618">
        <v>5.7935860000000003</v>
      </c>
      <c r="E1618">
        <v>0.53042389999999995</v>
      </c>
      <c r="F1618" t="s">
        <v>42</v>
      </c>
      <c r="G1618">
        <v>-238.45079999999999</v>
      </c>
      <c r="H1618">
        <v>0.99013839999999997</v>
      </c>
      <c r="I1618">
        <v>284.5009</v>
      </c>
      <c r="J1618">
        <v>-237.87020000000001</v>
      </c>
      <c r="K1618">
        <v>1.1203080000000001</v>
      </c>
      <c r="L1618">
        <v>284.42610000000002</v>
      </c>
      <c r="M1618">
        <v>-0.99978990000000001</v>
      </c>
      <c r="N1618">
        <v>-1.8389179999999999E-3</v>
      </c>
      <c r="O1618">
        <v>2.0423239999999999E-2</v>
      </c>
      <c r="P1618">
        <v>-0.98173160000000004</v>
      </c>
      <c r="Q1618">
        <v>0.18259400000000001</v>
      </c>
      <c r="R1618">
        <v>5.350734E-2</v>
      </c>
      <c r="S1618">
        <v>-3.1225589999999999</v>
      </c>
      <c r="T1618">
        <v>-0.43715670000000001</v>
      </c>
      <c r="U1618">
        <v>0.2727966</v>
      </c>
      <c r="V1618">
        <v>3.3112280000000001E-2</v>
      </c>
      <c r="W1618">
        <v>0.18446090000000001</v>
      </c>
      <c r="X1618">
        <v>0.98228190000000004</v>
      </c>
      <c r="Y1618">
        <v>6.6211060000000002E-2</v>
      </c>
      <c r="Z1618">
        <v>1.8629740000000001E-3</v>
      </c>
      <c r="AA1618">
        <v>0.99780389999999997</v>
      </c>
      <c r="AB1618">
        <v>36</v>
      </c>
      <c r="AC1618">
        <v>-0.58059999999997502</v>
      </c>
      <c r="AD1618">
        <v>-0.1301696</v>
      </c>
      <c r="AE1618">
        <v>7.4799999999981895E-2</v>
      </c>
      <c r="AF1618">
        <v>5.9961876283290597E-2</v>
      </c>
      <c r="AG1618">
        <v>-0.1301696</v>
      </c>
      <c r="AH1618">
        <v>0.55458548855719203</v>
      </c>
      <c r="AI1618">
        <v>103.13520649187301</v>
      </c>
      <c r="AJ1618">
        <v>83.829141898191196</v>
      </c>
      <c r="AK1618">
        <v>0.57280416853388205</v>
      </c>
      <c r="AL1618">
        <v>79.370296556727993</v>
      </c>
      <c r="AM1618">
        <v>88.069316182566297</v>
      </c>
      <c r="AN1618">
        <v>0.99999998889160902</v>
      </c>
    </row>
    <row r="1619" spans="1:40" x14ac:dyDescent="0.25">
      <c r="A1619" t="str">
        <f>"20190303170529251"</f>
        <v>20190303170529251</v>
      </c>
      <c r="B1619" t="str">
        <f>"1551603929246807"</f>
        <v>1551603929246807</v>
      </c>
      <c r="C1619" t="s">
        <v>40</v>
      </c>
      <c r="D1619">
        <v>5.7826719999999998</v>
      </c>
      <c r="E1619">
        <v>0.53368689999999996</v>
      </c>
      <c r="F1619" t="s">
        <v>42</v>
      </c>
      <c r="G1619">
        <v>-238.7611</v>
      </c>
      <c r="H1619">
        <v>0.96489349999999996</v>
      </c>
      <c r="I1619">
        <v>284.52659999999997</v>
      </c>
      <c r="J1619">
        <v>-238.21420000000001</v>
      </c>
      <c r="K1619">
        <v>1.120301</v>
      </c>
      <c r="L1619">
        <v>284.4325</v>
      </c>
      <c r="M1619">
        <v>-0.99980500000000005</v>
      </c>
      <c r="N1619">
        <v>-1.8682390000000001E-3</v>
      </c>
      <c r="O1619">
        <v>1.9664850000000001E-2</v>
      </c>
      <c r="P1619">
        <v>-0.98193940000000002</v>
      </c>
      <c r="Q1619">
        <v>0.1817009</v>
      </c>
      <c r="R1619">
        <v>5.2723569999999997E-2</v>
      </c>
      <c r="S1619">
        <v>-3.138382</v>
      </c>
      <c r="T1619">
        <v>-0.5475196</v>
      </c>
      <c r="U1619">
        <v>0.35388180000000002</v>
      </c>
      <c r="V1619">
        <v>3.3072839999999999E-2</v>
      </c>
      <c r="W1619">
        <v>0.1835966</v>
      </c>
      <c r="X1619">
        <v>0.98244509999999996</v>
      </c>
      <c r="Y1619">
        <v>9.1395970000000007E-2</v>
      </c>
      <c r="Z1619">
        <v>4.6174980000000003E-3</v>
      </c>
      <c r="AA1619">
        <v>0.99580400000000002</v>
      </c>
      <c r="AB1619">
        <v>36</v>
      </c>
      <c r="AC1619">
        <v>-0.54689999999999295</v>
      </c>
      <c r="AD1619">
        <v>-0.1554075</v>
      </c>
      <c r="AE1619">
        <v>9.4099999999969E-2</v>
      </c>
      <c r="AF1619">
        <v>7.7267346463658695E-2</v>
      </c>
      <c r="AG1619">
        <v>-0.1554075</v>
      </c>
      <c r="AH1619">
        <v>0.50874602897481103</v>
      </c>
      <c r="AI1619">
        <v>106.80475335271601</v>
      </c>
      <c r="AJ1619">
        <v>81.364027897328199</v>
      </c>
      <c r="AK1619">
        <v>0.53753535314751599</v>
      </c>
      <c r="AL1619">
        <v>79.4206773463616</v>
      </c>
      <c r="AM1619">
        <v>88.0719341748906</v>
      </c>
      <c r="AN1619">
        <v>0.99999994939561598</v>
      </c>
    </row>
    <row r="1620" spans="1:40" x14ac:dyDescent="0.25">
      <c r="A1620" t="str">
        <f>"20190303170529274"</f>
        <v>20190303170529274</v>
      </c>
      <c r="B1620" t="str">
        <f>"1551603929266327"</f>
        <v>1551603929266327</v>
      </c>
      <c r="C1620" t="s">
        <v>40</v>
      </c>
      <c r="D1620">
        <v>5.739738</v>
      </c>
      <c r="E1620">
        <v>0.53584219999999905</v>
      </c>
      <c r="F1620" t="s">
        <v>42</v>
      </c>
      <c r="G1620">
        <v>-239.0821</v>
      </c>
      <c r="H1620">
        <v>0.95832530000000005</v>
      </c>
      <c r="I1620">
        <v>284.53640000000001</v>
      </c>
      <c r="J1620">
        <v>-238.5823</v>
      </c>
      <c r="K1620">
        <v>1.120277</v>
      </c>
      <c r="L1620">
        <v>284.4391</v>
      </c>
      <c r="M1620">
        <v>-0.99981960000000003</v>
      </c>
      <c r="N1620">
        <v>-1.9004619999999999E-3</v>
      </c>
      <c r="O1620">
        <v>1.889675E-2</v>
      </c>
      <c r="P1620">
        <v>-0.98219529999999999</v>
      </c>
      <c r="Q1620">
        <v>0.1807164</v>
      </c>
      <c r="R1620">
        <v>5.1324139999999997E-2</v>
      </c>
      <c r="S1620">
        <v>-3.14357</v>
      </c>
      <c r="T1620">
        <v>-0.58673369999999903</v>
      </c>
      <c r="U1620">
        <v>0.3754883</v>
      </c>
      <c r="V1620">
        <v>3.2433249999999997E-2</v>
      </c>
      <c r="W1620">
        <v>0.18264130000000001</v>
      </c>
      <c r="X1620">
        <v>0.98264450000000003</v>
      </c>
      <c r="Y1620">
        <v>9.8440959999999994E-2</v>
      </c>
      <c r="Z1620">
        <v>5.7232639999999996E-3</v>
      </c>
      <c r="AA1620">
        <v>0.99512639999999997</v>
      </c>
      <c r="AB1620">
        <v>36</v>
      </c>
      <c r="AC1620">
        <v>-0.49979999999999303</v>
      </c>
      <c r="AD1620">
        <v>-0.161951699999999</v>
      </c>
      <c r="AE1620">
        <v>9.7300000000018302E-2</v>
      </c>
      <c r="AF1620">
        <v>7.9768376425109797E-2</v>
      </c>
      <c r="AG1620">
        <v>-0.161951699999999</v>
      </c>
      <c r="AH1620">
        <v>0.45547230587798598</v>
      </c>
      <c r="AI1620">
        <v>109.302197665536</v>
      </c>
      <c r="AJ1620">
        <v>80.066343052800207</v>
      </c>
      <c r="AK1620">
        <v>0.48994527085399903</v>
      </c>
      <c r="AL1620">
        <v>79.476353848015194</v>
      </c>
      <c r="AM1620">
        <v>88.1095767858221</v>
      </c>
      <c r="AN1620">
        <v>0.99999998677575097</v>
      </c>
    </row>
    <row r="1621" spans="1:40" x14ac:dyDescent="0.25">
      <c r="A1621" t="str">
        <f>"20190303170529297"</f>
        <v>20190303170529297</v>
      </c>
      <c r="B1621" t="str">
        <f>"1551603929285847"</f>
        <v>1551603929285847</v>
      </c>
      <c r="C1621" t="s">
        <v>40</v>
      </c>
      <c r="D1621">
        <v>5.708888</v>
      </c>
      <c r="E1621">
        <v>0.53718359999999998</v>
      </c>
      <c r="F1621" t="s">
        <v>42</v>
      </c>
      <c r="G1621">
        <v>-239.4084</v>
      </c>
      <c r="H1621">
        <v>0.95917949999999996</v>
      </c>
      <c r="I1621">
        <v>284.54070000000002</v>
      </c>
      <c r="J1621">
        <v>-238.95359999999999</v>
      </c>
      <c r="K1621">
        <v>1.1202430000000001</v>
      </c>
      <c r="L1621">
        <v>284.44560000000001</v>
      </c>
      <c r="M1621">
        <v>-0.99983299999999997</v>
      </c>
      <c r="N1621">
        <v>-1.933613E-3</v>
      </c>
      <c r="O1621">
        <v>1.8183479999999998E-2</v>
      </c>
      <c r="P1621">
        <v>-0.98227370000000003</v>
      </c>
      <c r="Q1621">
        <v>0.18072389999999999</v>
      </c>
      <c r="R1621">
        <v>4.9777130000000003E-2</v>
      </c>
      <c r="S1621">
        <v>-3.1470639999999999</v>
      </c>
      <c r="T1621">
        <v>-0.61370499999999995</v>
      </c>
      <c r="U1621">
        <v>0.38708500000000001</v>
      </c>
      <c r="V1621">
        <v>3.1600860000000001E-2</v>
      </c>
      <c r="W1621">
        <v>0.18267739999999999</v>
      </c>
      <c r="X1621">
        <v>0.98266489999999995</v>
      </c>
      <c r="Y1621">
        <v>0.1024225</v>
      </c>
      <c r="Z1621">
        <v>6.4934600000000004E-3</v>
      </c>
      <c r="AA1621">
        <v>0.99471980000000004</v>
      </c>
      <c r="AB1621">
        <v>36</v>
      </c>
      <c r="AC1621">
        <v>-0.45480000000000498</v>
      </c>
      <c r="AD1621">
        <v>-0.1610635</v>
      </c>
      <c r="AE1621">
        <v>9.51000000000021E-2</v>
      </c>
      <c r="AF1621">
        <v>7.7501651575659899E-2</v>
      </c>
      <c r="AG1621">
        <v>-0.1610635</v>
      </c>
      <c r="AH1621">
        <v>0.40748927291875497</v>
      </c>
      <c r="AI1621">
        <v>111.22107276425299</v>
      </c>
      <c r="AJ1621">
        <v>79.231354481732097</v>
      </c>
      <c r="AK1621">
        <v>0.444966812889524</v>
      </c>
      <c r="AL1621">
        <v>79.474249965082294</v>
      </c>
      <c r="AM1621">
        <v>88.158098303363801</v>
      </c>
      <c r="AN1621">
        <v>0.99999997625775405</v>
      </c>
    </row>
    <row r="1622" spans="1:40" x14ac:dyDescent="0.25">
      <c r="A1622" t="str">
        <f>"20190303170529317"</f>
        <v>20190303170529317</v>
      </c>
      <c r="B1622" t="str">
        <f>"1551603929306342"</f>
        <v>1551603929306342</v>
      </c>
      <c r="C1622" t="s">
        <v>40</v>
      </c>
      <c r="D1622">
        <v>5.721768</v>
      </c>
      <c r="E1622">
        <v>0.53818379999999999</v>
      </c>
      <c r="F1622" t="s">
        <v>42</v>
      </c>
      <c r="G1622">
        <v>-239.73759999999999</v>
      </c>
      <c r="H1622">
        <v>0.9632269</v>
      </c>
      <c r="I1622">
        <v>284.54379999999998</v>
      </c>
      <c r="J1622">
        <v>-239.2825</v>
      </c>
      <c r="K1622">
        <v>1.120198</v>
      </c>
      <c r="L1622">
        <v>284.4511</v>
      </c>
      <c r="M1622">
        <v>-0.99984289999999998</v>
      </c>
      <c r="N1622">
        <v>-1.965311E-3</v>
      </c>
      <c r="O1622">
        <v>1.7617049999999999E-2</v>
      </c>
      <c r="P1622">
        <v>-0.98220660000000004</v>
      </c>
      <c r="Q1622">
        <v>0.18151980000000001</v>
      </c>
      <c r="R1622">
        <v>4.8175780000000001E-2</v>
      </c>
      <c r="S1622">
        <v>-3.1503139999999998</v>
      </c>
      <c r="T1622">
        <v>-0.63115169999999998</v>
      </c>
      <c r="U1622">
        <v>0.39340209999999998</v>
      </c>
      <c r="V1622">
        <v>3.057431E-2</v>
      </c>
      <c r="W1622">
        <v>0.18349960000000001</v>
      </c>
      <c r="X1622">
        <v>0.98254419999999998</v>
      </c>
      <c r="Y1622">
        <v>0.1046837</v>
      </c>
      <c r="Z1622">
        <v>7.002164E-3</v>
      </c>
      <c r="AA1622">
        <v>0.9944809</v>
      </c>
      <c r="AB1622">
        <v>36</v>
      </c>
      <c r="AC1622">
        <v>-0.45509999999998701</v>
      </c>
      <c r="AD1622">
        <v>-0.1569711</v>
      </c>
      <c r="AE1622">
        <v>9.2699999999979299E-2</v>
      </c>
      <c r="AF1622">
        <v>7.5988145717472894E-2</v>
      </c>
      <c r="AG1622">
        <v>-0.1569711</v>
      </c>
      <c r="AH1622">
        <v>0.40984672363367503</v>
      </c>
      <c r="AI1622">
        <v>110.635451959459</v>
      </c>
      <c r="AJ1622">
        <v>79.496277136446295</v>
      </c>
      <c r="AK1622">
        <v>0.44540819637501899</v>
      </c>
      <c r="AL1622">
        <v>79.426331613224306</v>
      </c>
      <c r="AM1622">
        <v>88.217674240016095</v>
      </c>
      <c r="AN1622">
        <v>0.99999999829288799</v>
      </c>
    </row>
    <row r="1623" spans="1:40" x14ac:dyDescent="0.25">
      <c r="A1623" t="str">
        <f>"20190303170529339"</f>
        <v>20190303170529339</v>
      </c>
      <c r="B1623" t="str">
        <f>"1551603929336599"</f>
        <v>1551603929336599</v>
      </c>
      <c r="C1623" t="s">
        <v>40</v>
      </c>
      <c r="D1623">
        <v>5.7711189999999997</v>
      </c>
      <c r="E1623">
        <v>0.539450599999999</v>
      </c>
      <c r="F1623" t="s">
        <v>42</v>
      </c>
      <c r="G1623">
        <v>-240.06530000000001</v>
      </c>
      <c r="H1623">
        <v>0.96099000000000001</v>
      </c>
      <c r="I1623">
        <v>284.54939999999999</v>
      </c>
      <c r="J1623">
        <v>-239.64879999999999</v>
      </c>
      <c r="K1623">
        <v>1.1201380000000001</v>
      </c>
      <c r="L1623">
        <v>284.45710000000003</v>
      </c>
      <c r="M1623">
        <v>-0.99985239999999997</v>
      </c>
      <c r="N1623">
        <v>-2.0060799999999999E-3</v>
      </c>
      <c r="O1623">
        <v>1.7062709999999998E-2</v>
      </c>
      <c r="P1623">
        <v>-0.98227129999999996</v>
      </c>
      <c r="Q1623">
        <v>0.18141679999999999</v>
      </c>
      <c r="R1623">
        <v>4.7236140000000003E-2</v>
      </c>
      <c r="S1623">
        <v>-3.153473</v>
      </c>
      <c r="T1623">
        <v>-0.64143539999999999</v>
      </c>
      <c r="U1623">
        <v>0.3957214</v>
      </c>
      <c r="V1623">
        <v>3.0203239999999999E-2</v>
      </c>
      <c r="W1623">
        <v>0.18343209999999999</v>
      </c>
      <c r="X1623">
        <v>0.98256829999999995</v>
      </c>
      <c r="Y1623">
        <v>0.1057472</v>
      </c>
      <c r="Z1623">
        <v>7.3253499999999996E-3</v>
      </c>
      <c r="AA1623">
        <v>0.99436599999999997</v>
      </c>
      <c r="AB1623">
        <v>37</v>
      </c>
      <c r="AC1623">
        <v>-0.41650000000001303</v>
      </c>
      <c r="AD1623">
        <v>-0.15914799999999901</v>
      </c>
      <c r="AE1623">
        <v>9.2299999999966006E-2</v>
      </c>
      <c r="AF1623">
        <v>7.4773560693461902E-2</v>
      </c>
      <c r="AG1623">
        <v>-0.15914799999999901</v>
      </c>
      <c r="AH1623">
        <v>0.36694576379566601</v>
      </c>
      <c r="AI1623">
        <v>113.024346144746</v>
      </c>
      <c r="AJ1623">
        <v>78.482368428146998</v>
      </c>
      <c r="AK1623">
        <v>0.40690092756144403</v>
      </c>
      <c r="AL1623">
        <v>79.430266064207999</v>
      </c>
      <c r="AM1623">
        <v>88.2393351808239</v>
      </c>
      <c r="AN1623">
        <v>1.0000000175908901</v>
      </c>
    </row>
    <row r="1624" spans="1:40" x14ac:dyDescent="0.25">
      <c r="A1624" t="str">
        <f>"20190303170529362"</f>
        <v>20190303170529362</v>
      </c>
      <c r="B1624" t="str">
        <f>"1551603929356119"</f>
        <v>1551603929356119</v>
      </c>
      <c r="C1624" t="s">
        <v>40</v>
      </c>
      <c r="D1624">
        <v>5.7244140000000003</v>
      </c>
      <c r="E1624">
        <v>0.54002779999999995</v>
      </c>
      <c r="F1624" t="s">
        <v>42</v>
      </c>
      <c r="G1624">
        <v>-240.3974</v>
      </c>
      <c r="H1624">
        <v>0.96486850000000002</v>
      </c>
      <c r="I1624">
        <v>284.55290000000002</v>
      </c>
      <c r="J1624">
        <v>-240.0309</v>
      </c>
      <c r="K1624">
        <v>1.1200760000000001</v>
      </c>
      <c r="L1624">
        <v>284.46319999999997</v>
      </c>
      <c r="M1624">
        <v>-0.99986059999999999</v>
      </c>
      <c r="N1624">
        <v>-2.0548820000000001E-3</v>
      </c>
      <c r="O1624">
        <v>1.6577290000000001E-2</v>
      </c>
      <c r="P1624">
        <v>-0.98243190000000002</v>
      </c>
      <c r="Q1624">
        <v>0.1806459</v>
      </c>
      <c r="R1624">
        <v>4.685023E-2</v>
      </c>
      <c r="S1624">
        <v>-3.1556700000000002</v>
      </c>
      <c r="T1624">
        <v>-0.65463629999999995</v>
      </c>
      <c r="U1624">
        <v>0.40286250000000001</v>
      </c>
      <c r="V1624">
        <v>3.03217E-2</v>
      </c>
      <c r="W1624">
        <v>0.18270459999999999</v>
      </c>
      <c r="X1624">
        <v>0.98270020000000002</v>
      </c>
      <c r="Y1624">
        <v>0.10822469999999999</v>
      </c>
      <c r="Z1624">
        <v>7.8217619999999995E-3</v>
      </c>
      <c r="AA1624">
        <v>0.99409570000000003</v>
      </c>
      <c r="AB1624">
        <v>37</v>
      </c>
      <c r="AC1624">
        <v>-0.36650000000000199</v>
      </c>
      <c r="AD1624">
        <v>-0.1552075</v>
      </c>
      <c r="AE1624">
        <v>8.9700000000050295E-2</v>
      </c>
      <c r="AF1624">
        <v>7.1511940835188401E-2</v>
      </c>
      <c r="AG1624">
        <v>-0.1552075</v>
      </c>
      <c r="AH1624">
        <v>0.31468970096184101</v>
      </c>
      <c r="AI1624">
        <v>115.685050261835</v>
      </c>
      <c r="AJ1624">
        <v>77.197196139734302</v>
      </c>
      <c r="AK1624">
        <v>0.35809626307700898</v>
      </c>
      <c r="AL1624">
        <v>79.472665412031006</v>
      </c>
      <c r="AM1624">
        <v>88.232671152552598</v>
      </c>
      <c r="AN1624">
        <v>1.0000000297160401</v>
      </c>
    </row>
    <row r="1625" spans="1:40" x14ac:dyDescent="0.25">
      <c r="A1625" t="str">
        <f>"20190303170529388"</f>
        <v>20190303170529388</v>
      </c>
      <c r="B1625" t="str">
        <f>"1551603929376615"</f>
        <v>1551603929376615</v>
      </c>
      <c r="C1625" t="s">
        <v>40</v>
      </c>
      <c r="D1625">
        <v>5.72506</v>
      </c>
      <c r="E1625">
        <v>0.54048909999999994</v>
      </c>
      <c r="F1625" t="s">
        <v>42</v>
      </c>
      <c r="G1625">
        <v>-240.73269999999999</v>
      </c>
      <c r="H1625">
        <v>0.97236389999999995</v>
      </c>
      <c r="I1625">
        <v>284.55360000000002</v>
      </c>
      <c r="J1625">
        <v>-240.44409999999999</v>
      </c>
      <c r="K1625">
        <v>1.1200049999999999</v>
      </c>
      <c r="L1625">
        <v>284.46980000000002</v>
      </c>
      <c r="M1625">
        <v>-0.99986699999999995</v>
      </c>
      <c r="N1625">
        <v>-2.1120269999999998E-3</v>
      </c>
      <c r="O1625">
        <v>1.6172189999999999E-2</v>
      </c>
      <c r="P1625">
        <v>-0.98254419999999998</v>
      </c>
      <c r="Q1625">
        <v>0.17994540000000001</v>
      </c>
      <c r="R1625">
        <v>4.7188750000000002E-2</v>
      </c>
      <c r="S1625">
        <v>-3.1564179999999999</v>
      </c>
      <c r="T1625">
        <v>-0.66426830000000003</v>
      </c>
      <c r="U1625">
        <v>0.40634160000000002</v>
      </c>
      <c r="V1625">
        <v>3.109114E-2</v>
      </c>
      <c r="W1625">
        <v>0.1820562</v>
      </c>
      <c r="X1625">
        <v>0.98279649999999996</v>
      </c>
      <c r="Y1625">
        <v>0.10958130000000001</v>
      </c>
      <c r="Z1625">
        <v>8.1592980000000006E-3</v>
      </c>
      <c r="AA1625">
        <v>0.9939443</v>
      </c>
      <c r="AB1625">
        <v>37</v>
      </c>
      <c r="AC1625">
        <v>-0.28860000000000202</v>
      </c>
      <c r="AD1625">
        <v>-0.147641099999999</v>
      </c>
      <c r="AE1625">
        <v>8.3799999999996502E-2</v>
      </c>
      <c r="AF1625">
        <v>6.3737892552629197E-2</v>
      </c>
      <c r="AG1625">
        <v>-0.147641099999999</v>
      </c>
      <c r="AH1625">
        <v>0.23354808259137899</v>
      </c>
      <c r="AI1625">
        <v>121.37743495681001</v>
      </c>
      <c r="AJ1625">
        <v>74.735071911398194</v>
      </c>
      <c r="AK1625">
        <v>0.28355796627562802</v>
      </c>
      <c r="AL1625">
        <v>79.510449817302998</v>
      </c>
      <c r="AM1625">
        <v>88.188030595936198</v>
      </c>
      <c r="AN1625">
        <v>1.00000003967859</v>
      </c>
    </row>
    <row r="1626" spans="1:40" x14ac:dyDescent="0.25">
      <c r="A1626" t="str">
        <f>"20190303170529417"</f>
        <v>20190303170529417</v>
      </c>
      <c r="B1626" t="str">
        <f>"1551603929405895"</f>
        <v>1551603929405895</v>
      </c>
      <c r="C1626" t="s">
        <v>40</v>
      </c>
      <c r="D1626">
        <v>5.7579409999999998</v>
      </c>
      <c r="E1626">
        <v>0.541077699999999</v>
      </c>
      <c r="F1626" t="s">
        <v>42</v>
      </c>
      <c r="G1626">
        <v>-241.37710000000001</v>
      </c>
      <c r="H1626">
        <v>0.92156369999999999</v>
      </c>
      <c r="I1626">
        <v>284.59179999999998</v>
      </c>
      <c r="J1626">
        <v>-240.94970000000001</v>
      </c>
      <c r="K1626">
        <v>1.1199129999999999</v>
      </c>
      <c r="L1626">
        <v>284.4776</v>
      </c>
      <c r="M1626">
        <v>-0.99987269999999995</v>
      </c>
      <c r="N1626">
        <v>-2.1833099999999999E-3</v>
      </c>
      <c r="O1626">
        <v>1.581486E-2</v>
      </c>
      <c r="P1626">
        <v>-0.98235850000000002</v>
      </c>
      <c r="Q1626">
        <v>0.1809635</v>
      </c>
      <c r="R1626">
        <v>4.7163080000000003E-2</v>
      </c>
      <c r="S1626">
        <v>-3.1564480000000001</v>
      </c>
      <c r="T1626">
        <v>-0.67142380000000002</v>
      </c>
      <c r="U1626">
        <v>0.41241460000000002</v>
      </c>
      <c r="V1626">
        <v>3.1459290000000001E-2</v>
      </c>
      <c r="W1626">
        <v>0.1831373</v>
      </c>
      <c r="X1626">
        <v>0.98258389999999995</v>
      </c>
      <c r="Y1626">
        <v>0.1117167</v>
      </c>
      <c r="Z1626">
        <v>8.5479019999999996E-3</v>
      </c>
      <c r="AA1626">
        <v>0.99370340000000001</v>
      </c>
      <c r="AB1626">
        <v>37</v>
      </c>
      <c r="AC1626">
        <v>-0.427400000000005</v>
      </c>
      <c r="AD1626">
        <v>-0.19834930000000001</v>
      </c>
      <c r="AE1626">
        <v>0.114199999999982</v>
      </c>
      <c r="AF1626">
        <v>8.9445868461513395E-2</v>
      </c>
      <c r="AG1626">
        <v>-0.19834930000000001</v>
      </c>
      <c r="AH1626">
        <v>0.357322935176003</v>
      </c>
      <c r="AI1626">
        <v>118.301729291916</v>
      </c>
      <c r="AJ1626">
        <v>75.946382285772899</v>
      </c>
      <c r="AK1626">
        <v>0.41835712997165198</v>
      </c>
      <c r="AL1626">
        <v>79.447448151730697</v>
      </c>
      <c r="AM1626">
        <v>88.166193213686896</v>
      </c>
      <c r="AN1626">
        <v>1.0000000390588999</v>
      </c>
    </row>
    <row r="1627" spans="1:40" x14ac:dyDescent="0.25">
      <c r="A1627" t="str">
        <f>"20190303170529440"</f>
        <v>20190303170529440</v>
      </c>
      <c r="B1627" t="str">
        <f>"1551603929436697"</f>
        <v>1551603929436697</v>
      </c>
      <c r="C1627" t="s">
        <v>40</v>
      </c>
      <c r="D1627">
        <v>5.7406829999999998</v>
      </c>
      <c r="E1627">
        <v>0.54152460000000002</v>
      </c>
      <c r="F1627" t="s">
        <v>42</v>
      </c>
      <c r="G1627">
        <v>-241.7278</v>
      </c>
      <c r="H1627">
        <v>0.95375080000000001</v>
      </c>
      <c r="I1627">
        <v>284.58049999999997</v>
      </c>
      <c r="J1627">
        <v>-241.33510000000001</v>
      </c>
      <c r="K1627">
        <v>1.119858</v>
      </c>
      <c r="L1627">
        <v>284.48360000000002</v>
      </c>
      <c r="M1627">
        <v>-0.99987539999999997</v>
      </c>
      <c r="N1627">
        <v>-2.2376420000000002E-3</v>
      </c>
      <c r="O1627">
        <v>1.5624030000000001E-2</v>
      </c>
      <c r="P1627">
        <v>-0.98227889999999995</v>
      </c>
      <c r="Q1627">
        <v>0.1814944</v>
      </c>
      <c r="R1627">
        <v>4.6779500000000002E-2</v>
      </c>
      <c r="S1627">
        <v>-3.1581419999999998</v>
      </c>
      <c r="T1627">
        <v>-0.67446390000000001</v>
      </c>
      <c r="U1627">
        <v>0.41653440000000003</v>
      </c>
      <c r="V1627">
        <v>3.1291909999999999E-2</v>
      </c>
      <c r="W1627">
        <v>0.18371660000000001</v>
      </c>
      <c r="X1627">
        <v>0.9824811</v>
      </c>
      <c r="Y1627">
        <v>0.11306049999999999</v>
      </c>
      <c r="Z1627">
        <v>8.7664660000000005E-3</v>
      </c>
      <c r="AA1627">
        <v>0.99354940000000003</v>
      </c>
      <c r="AB1627">
        <v>37</v>
      </c>
      <c r="AC1627">
        <v>-0.39269999999999</v>
      </c>
      <c r="AD1627">
        <v>-0.16610720000000001</v>
      </c>
      <c r="AE1627">
        <v>9.6899999999948194E-2</v>
      </c>
      <c r="AF1627">
        <v>7.7655938761344301E-2</v>
      </c>
      <c r="AG1627">
        <v>-0.16610720000000001</v>
      </c>
      <c r="AH1627">
        <v>0.33728327059482299</v>
      </c>
      <c r="AI1627">
        <v>115.637718385401</v>
      </c>
      <c r="AJ1627">
        <v>77.034202111322202</v>
      </c>
      <c r="AK1627">
        <v>0.38390370060717899</v>
      </c>
      <c r="AL1627">
        <v>79.413683874713001</v>
      </c>
      <c r="AM1627">
        <v>88.1757526956916</v>
      </c>
      <c r="AN1627">
        <v>1.0000000423021</v>
      </c>
    </row>
    <row r="1628" spans="1:40" x14ac:dyDescent="0.25">
      <c r="A1628" t="str">
        <f>"20190303170529464"</f>
        <v>20190303170529464</v>
      </c>
      <c r="B1628" t="str">
        <f>"1551603929456217"</f>
        <v>1551603929456217</v>
      </c>
      <c r="C1628" t="s">
        <v>40</v>
      </c>
      <c r="D1628">
        <v>5.7157869999999997</v>
      </c>
      <c r="E1628">
        <v>0.5417111</v>
      </c>
      <c r="F1628" t="s">
        <v>42</v>
      </c>
      <c r="G1628">
        <v>-242.0694</v>
      </c>
      <c r="H1628">
        <v>0.9623237</v>
      </c>
      <c r="I1628">
        <v>284.58080000000001</v>
      </c>
      <c r="J1628">
        <v>-241.7338</v>
      </c>
      <c r="K1628">
        <v>1.1198079999999999</v>
      </c>
      <c r="L1628">
        <v>284.48970000000003</v>
      </c>
      <c r="M1628">
        <v>-0.99987749999999997</v>
      </c>
      <c r="N1628">
        <v>-2.2927490000000002E-3</v>
      </c>
      <c r="O1628">
        <v>1.5488780000000001E-2</v>
      </c>
      <c r="P1628">
        <v>-0.98213660000000003</v>
      </c>
      <c r="Q1628">
        <v>0.18235299999999999</v>
      </c>
      <c r="R1628">
        <v>4.642578E-2</v>
      </c>
      <c r="S1628">
        <v>-3.159424</v>
      </c>
      <c r="T1628">
        <v>-0.6778438</v>
      </c>
      <c r="U1628">
        <v>0.41839599999999999</v>
      </c>
      <c r="V1628">
        <v>3.1098210000000001E-2</v>
      </c>
      <c r="W1628">
        <v>0.18462400000000001</v>
      </c>
      <c r="X1628">
        <v>0.98231710000000005</v>
      </c>
      <c r="Y1628">
        <v>0.1136805</v>
      </c>
      <c r="Z1628">
        <v>8.9033879999999999E-3</v>
      </c>
      <c r="AA1628">
        <v>0.99347750000000001</v>
      </c>
      <c r="AB1628">
        <v>38</v>
      </c>
      <c r="AC1628">
        <v>-0.33559999999999901</v>
      </c>
      <c r="AD1628">
        <v>-0.15748429999999999</v>
      </c>
      <c r="AE1628">
        <v>9.1099999999983E-2</v>
      </c>
      <c r="AF1628">
        <v>7.1273302650210396E-2</v>
      </c>
      <c r="AG1628">
        <v>-0.15748429999999999</v>
      </c>
      <c r="AH1628">
        <v>0.279622000021293</v>
      </c>
      <c r="AI1628">
        <v>118.623701608486</v>
      </c>
      <c r="AJ1628">
        <v>75.700279257556801</v>
      </c>
      <c r="AK1628">
        <v>0.32873948852102702</v>
      </c>
      <c r="AL1628">
        <v>79.360788452870395</v>
      </c>
      <c r="AM1628">
        <v>88.186734930494694</v>
      </c>
      <c r="AN1628">
        <v>1.0000000024968001</v>
      </c>
    </row>
    <row r="1629" spans="1:40" x14ac:dyDescent="0.25">
      <c r="A1629" t="str">
        <f>"20190303170529486"</f>
        <v>20190303170529486</v>
      </c>
      <c r="B1629" t="str">
        <f>"1551603929476713"</f>
        <v>1551603929476713</v>
      </c>
      <c r="C1629" t="s">
        <v>40</v>
      </c>
      <c r="D1629">
        <v>5.6614409999999999</v>
      </c>
      <c r="E1629">
        <v>0.54189690000000001</v>
      </c>
      <c r="F1629" t="s">
        <v>42</v>
      </c>
      <c r="G1629">
        <v>-242.7244</v>
      </c>
      <c r="H1629">
        <v>0.90733560000000002</v>
      </c>
      <c r="I1629">
        <v>284.62079999999997</v>
      </c>
      <c r="J1629">
        <v>-242.12</v>
      </c>
      <c r="K1629">
        <v>1.1197649999999999</v>
      </c>
      <c r="L1629">
        <v>284.49560000000002</v>
      </c>
      <c r="M1629">
        <v>-0.99987859999999995</v>
      </c>
      <c r="N1629">
        <v>-2.3449920000000002E-3</v>
      </c>
      <c r="O1629">
        <v>1.54056E-2</v>
      </c>
      <c r="P1629">
        <v>-0.98202259999999997</v>
      </c>
      <c r="Q1629">
        <v>0.18310699999999999</v>
      </c>
      <c r="R1629">
        <v>4.5862029999999998E-2</v>
      </c>
      <c r="S1629">
        <v>-3.1606749999999999</v>
      </c>
      <c r="T1629">
        <v>-0.67798349999999996</v>
      </c>
      <c r="U1629">
        <v>0.41796879999999997</v>
      </c>
      <c r="V1629">
        <v>3.0638430000000001E-2</v>
      </c>
      <c r="W1629">
        <v>0.1854258</v>
      </c>
      <c r="X1629">
        <v>0.98218050000000001</v>
      </c>
      <c r="Y1629">
        <v>0.113580399999999</v>
      </c>
      <c r="Z1629">
        <v>8.9123529999999996E-3</v>
      </c>
      <c r="AA1629">
        <v>0.99348879999999995</v>
      </c>
      <c r="AB1629">
        <v>38</v>
      </c>
      <c r="AC1629">
        <v>-0.60439999999999805</v>
      </c>
      <c r="AD1629">
        <v>-0.21242939999999899</v>
      </c>
      <c r="AE1629">
        <v>0.12519999999994899</v>
      </c>
      <c r="AF1629">
        <v>0.103602322499473</v>
      </c>
      <c r="AG1629">
        <v>-0.21242939999999899</v>
      </c>
      <c r="AH1629">
        <v>0.54205131963370501</v>
      </c>
      <c r="AI1629">
        <v>111.053273090506</v>
      </c>
      <c r="AJ1629">
        <v>79.179551998792206</v>
      </c>
      <c r="AK1629">
        <v>0.59133689579484705</v>
      </c>
      <c r="AL1629">
        <v>79.314041395198799</v>
      </c>
      <c r="AM1629">
        <v>88.213277843487205</v>
      </c>
      <c r="AN1629">
        <v>0.99999998763937703</v>
      </c>
    </row>
    <row r="1630" spans="1:40" x14ac:dyDescent="0.25">
      <c r="A1630" t="str">
        <f>"20190303170529506"</f>
        <v>20190303170529506</v>
      </c>
      <c r="B1630" t="str">
        <f>"1551603929496232"</f>
        <v>1551603929496232</v>
      </c>
      <c r="C1630" t="s">
        <v>40</v>
      </c>
      <c r="D1630">
        <v>5.674855</v>
      </c>
      <c r="E1630">
        <v>0.54198179999999996</v>
      </c>
      <c r="F1630" t="s">
        <v>42</v>
      </c>
      <c r="G1630">
        <v>-243.06960000000001</v>
      </c>
      <c r="H1630">
        <v>0.91599850000000005</v>
      </c>
      <c r="I1630">
        <v>284.62079999999997</v>
      </c>
      <c r="J1630">
        <v>-242.46629999999999</v>
      </c>
      <c r="K1630">
        <v>1.1197319999999999</v>
      </c>
      <c r="L1630">
        <v>284.5009</v>
      </c>
      <c r="M1630">
        <v>-0.99987930000000003</v>
      </c>
      <c r="N1630">
        <v>-2.3914470000000001E-3</v>
      </c>
      <c r="O1630">
        <v>1.535428E-2</v>
      </c>
      <c r="P1630">
        <v>-0.9819852</v>
      </c>
      <c r="Q1630">
        <v>0.18352099999999999</v>
      </c>
      <c r="R1630">
        <v>4.5000569999999997E-2</v>
      </c>
      <c r="S1630">
        <v>-3.1620029999999999</v>
      </c>
      <c r="T1630">
        <v>-0.67852849999999998</v>
      </c>
      <c r="U1630">
        <v>0.41647339999999999</v>
      </c>
      <c r="V1630">
        <v>2.9843709999999999E-2</v>
      </c>
      <c r="W1630">
        <v>0.1858822</v>
      </c>
      <c r="X1630">
        <v>0.98211870000000001</v>
      </c>
      <c r="Y1630">
        <v>0.113122</v>
      </c>
      <c r="Z1630">
        <v>8.8810360000000001E-3</v>
      </c>
      <c r="AA1630">
        <v>0.99354140000000002</v>
      </c>
      <c r="AB1630">
        <v>38</v>
      </c>
      <c r="AC1630">
        <v>-0.60330000000001804</v>
      </c>
      <c r="AD1630">
        <v>-0.20373349999999901</v>
      </c>
      <c r="AE1630">
        <v>0.119899999999972</v>
      </c>
      <c r="AF1630">
        <v>9.9686307319200404E-2</v>
      </c>
      <c r="AG1630">
        <v>-0.20373349999999901</v>
      </c>
      <c r="AH1630">
        <v>0.54525186576118601</v>
      </c>
      <c r="AI1630">
        <v>110.181300882239</v>
      </c>
      <c r="AJ1630">
        <v>79.639258410873396</v>
      </c>
      <c r="AK1630">
        <v>0.59054576114408097</v>
      </c>
      <c r="AL1630">
        <v>79.287428974871801</v>
      </c>
      <c r="AM1630">
        <v>88.2594847025685</v>
      </c>
      <c r="AN1630">
        <v>0.99999999009654605</v>
      </c>
    </row>
    <row r="1631" spans="1:40" x14ac:dyDescent="0.25">
      <c r="A1631" t="str">
        <f>"20190303170529530"</f>
        <v>20190303170529530</v>
      </c>
      <c r="B1631" t="str">
        <f>"1551603929516729"</f>
        <v>1551603929516729</v>
      </c>
      <c r="C1631" t="s">
        <v>40</v>
      </c>
      <c r="D1631">
        <v>5.6763199999999996</v>
      </c>
      <c r="E1631">
        <v>0.52023710000000001</v>
      </c>
      <c r="F1631" t="s">
        <v>42</v>
      </c>
      <c r="G1631">
        <v>-243.4128</v>
      </c>
      <c r="H1631">
        <v>0.91619349999999999</v>
      </c>
      <c r="I1631">
        <v>284.62439999999998</v>
      </c>
      <c r="J1631">
        <v>-242.85599999999999</v>
      </c>
      <c r="K1631">
        <v>1.119705</v>
      </c>
      <c r="L1631">
        <v>284.5068</v>
      </c>
      <c r="M1631">
        <v>-0.99987969999999904</v>
      </c>
      <c r="N1631">
        <v>-2.4464170000000002E-3</v>
      </c>
      <c r="O1631">
        <v>1.5314670000000001E-2</v>
      </c>
      <c r="P1631">
        <v>-0.98175630000000003</v>
      </c>
      <c r="Q1631">
        <v>0.18498290000000001</v>
      </c>
      <c r="R1631">
        <v>4.3997069999999999E-2</v>
      </c>
      <c r="S1631">
        <v>-3.1632229999999999</v>
      </c>
      <c r="T1631">
        <v>-0.68021299999999996</v>
      </c>
      <c r="U1631">
        <v>0.41305540000000002</v>
      </c>
      <c r="V1631">
        <v>2.8896970000000001E-2</v>
      </c>
      <c r="W1631">
        <v>0.1873948</v>
      </c>
      <c r="X1631">
        <v>0.98185960000000005</v>
      </c>
      <c r="Y1631">
        <v>0.1120689</v>
      </c>
      <c r="Z1631">
        <v>8.7989639999999994E-3</v>
      </c>
      <c r="AA1631">
        <v>0.99366149999999998</v>
      </c>
      <c r="AB1631">
        <v>38</v>
      </c>
      <c r="AC1631">
        <v>-0.55680000000000895</v>
      </c>
      <c r="AD1631">
        <v>-0.20351150000000001</v>
      </c>
      <c r="AE1631">
        <v>0.117599999999981</v>
      </c>
      <c r="AF1631">
        <v>9.6693185225532496E-2</v>
      </c>
      <c r="AG1631">
        <v>-0.20351150000000001</v>
      </c>
      <c r="AH1631">
        <v>0.49520543670925998</v>
      </c>
      <c r="AI1631">
        <v>111.966522431333</v>
      </c>
      <c r="AJ1631">
        <v>78.951510529936797</v>
      </c>
      <c r="AK1631">
        <v>0.54405415837737903</v>
      </c>
      <c r="AL1631">
        <v>79.199214065107</v>
      </c>
      <c r="AM1631">
        <v>88.314222690091896</v>
      </c>
      <c r="AN1631">
        <v>1.0000000600271799</v>
      </c>
    </row>
    <row r="1632" spans="1:40" x14ac:dyDescent="0.25">
      <c r="A1632" t="str">
        <f>"20190303170529553"</f>
        <v>20190303170529553</v>
      </c>
      <c r="B1632" t="str">
        <f>"1551603929546602"</f>
        <v>1551603929546602</v>
      </c>
      <c r="C1632" t="s">
        <v>40</v>
      </c>
      <c r="D1632">
        <v>5.6640930000000003</v>
      </c>
      <c r="E1632">
        <v>0.47889880000000001</v>
      </c>
      <c r="F1632" t="s">
        <v>42</v>
      </c>
      <c r="G1632">
        <v>-243.76900000000001</v>
      </c>
      <c r="H1632">
        <v>0.94163989999999997</v>
      </c>
      <c r="I1632">
        <v>284.57589999999999</v>
      </c>
      <c r="J1632">
        <v>-243.26599999999999</v>
      </c>
      <c r="K1632">
        <v>1.1196919999999999</v>
      </c>
      <c r="L1632">
        <v>284.51310000000001</v>
      </c>
      <c r="M1632">
        <v>-0.99988010000000005</v>
      </c>
      <c r="N1632">
        <v>-2.509158E-3</v>
      </c>
      <c r="O1632">
        <v>1.5284219999999999E-2</v>
      </c>
      <c r="P1632">
        <v>-0.98161419999999999</v>
      </c>
      <c r="Q1632">
        <v>0.18613679999999999</v>
      </c>
      <c r="R1632">
        <v>4.2270050000000003E-2</v>
      </c>
      <c r="S1632">
        <v>-3.1612399999999998</v>
      </c>
      <c r="T1632">
        <v>-0.61661709999999903</v>
      </c>
      <c r="U1632">
        <v>0.23886109999999999</v>
      </c>
      <c r="V1632">
        <v>2.721434E-2</v>
      </c>
      <c r="W1632">
        <v>0.18860730000000001</v>
      </c>
      <c r="X1632">
        <v>0.98167539999999998</v>
      </c>
      <c r="Y1632">
        <v>5.9249320000000001E-2</v>
      </c>
      <c r="Z1632">
        <v>2.8808309999999999E-3</v>
      </c>
      <c r="AA1632">
        <v>0.99823899999999999</v>
      </c>
      <c r="AB1632">
        <v>38</v>
      </c>
      <c r="AC1632">
        <v>-0.50300000000001399</v>
      </c>
      <c r="AD1632">
        <v>-0.17805209999999899</v>
      </c>
      <c r="AE1632">
        <v>6.2799999999981496E-2</v>
      </c>
      <c r="AF1632">
        <v>4.9052621030944397E-2</v>
      </c>
      <c r="AG1632">
        <v>-0.17805209999999899</v>
      </c>
      <c r="AH1632">
        <v>0.44855846113709102</v>
      </c>
      <c r="AI1632">
        <v>111.533721754347</v>
      </c>
      <c r="AJ1632">
        <v>83.759153585350205</v>
      </c>
      <c r="AK1632">
        <v>0.48509112855430597</v>
      </c>
      <c r="AL1632">
        <v>79.128480616847199</v>
      </c>
      <c r="AM1632">
        <v>88.412033589215596</v>
      </c>
      <c r="AN1632">
        <v>0.99999996244004197</v>
      </c>
    </row>
    <row r="1633" spans="1:40" x14ac:dyDescent="0.25">
      <c r="A1633" t="str">
        <f>"20190303170529576"</f>
        <v>20190303170529576</v>
      </c>
      <c r="B1633" t="str">
        <f>"1551603929566121"</f>
        <v>1551603929566121</v>
      </c>
      <c r="C1633" t="s">
        <v>40</v>
      </c>
      <c r="D1633">
        <v>5.697057</v>
      </c>
      <c r="E1633">
        <v>0.4745432</v>
      </c>
      <c r="F1633" t="s">
        <v>60</v>
      </c>
      <c r="G1633">
        <v>-261.66140000000001</v>
      </c>
      <c r="H1633" s="1">
        <v>-6.5265079999999995E-7</v>
      </c>
      <c r="I1633">
        <v>284.05759999999998</v>
      </c>
      <c r="J1633">
        <v>-243.66229999999999</v>
      </c>
      <c r="K1633">
        <v>1.1196820000000001</v>
      </c>
      <c r="L1633">
        <v>284.51900000000001</v>
      </c>
      <c r="M1633">
        <v>-0.99988030000000006</v>
      </c>
      <c r="N1633">
        <v>-2.5772960000000002E-3</v>
      </c>
      <c r="O1633">
        <v>1.526131E-2</v>
      </c>
      <c r="P1633">
        <v>-0.98150740000000003</v>
      </c>
      <c r="Q1633">
        <v>0.1870435</v>
      </c>
      <c r="R1633">
        <v>4.0721569999999999E-2</v>
      </c>
      <c r="S1633">
        <v>-3.095215</v>
      </c>
      <c r="T1633">
        <v>-0.1883996</v>
      </c>
      <c r="U1633">
        <v>-7.6629639999999999E-2</v>
      </c>
      <c r="V1633">
        <v>2.569981E-2</v>
      </c>
      <c r="W1633">
        <v>0.18957940000000001</v>
      </c>
      <c r="X1633">
        <v>0.98152899999999998</v>
      </c>
      <c r="Y1633">
        <v>-3.9900850000000002E-2</v>
      </c>
      <c r="Z1633">
        <v>-2.1531599999999999E-3</v>
      </c>
      <c r="AA1633">
        <v>0.99920129999999996</v>
      </c>
      <c r="AB1633">
        <v>39</v>
      </c>
      <c r="AC1633">
        <v>-17.999099999999999</v>
      </c>
      <c r="AD1633">
        <v>-1.1196826526507999</v>
      </c>
      <c r="AE1633">
        <v>-0.46140000000002601</v>
      </c>
      <c r="AF1633">
        <v>-0.73320152065514099</v>
      </c>
      <c r="AG1633">
        <v>-1.1196826526507999</v>
      </c>
      <c r="AH1633">
        <v>17.920658419594002</v>
      </c>
      <c r="AI1633">
        <v>93.572211816706201</v>
      </c>
      <c r="AJ1633">
        <v>92.342879088374502</v>
      </c>
      <c r="AK1633">
        <v>17.9705668220093</v>
      </c>
      <c r="AL1633">
        <v>79.071760550664393</v>
      </c>
      <c r="AM1633">
        <v>88.500141834004495</v>
      </c>
      <c r="AN1633">
        <v>1.0000000034896901</v>
      </c>
    </row>
    <row r="1634" spans="1:40" x14ac:dyDescent="0.25">
      <c r="A1634" t="str">
        <f>"20190303170529599"</f>
        <v>20190303170529599</v>
      </c>
      <c r="B1634" t="str">
        <f>"1551603929586617"</f>
        <v>1551603929586617</v>
      </c>
      <c r="C1634" t="s">
        <v>40</v>
      </c>
      <c r="D1634">
        <v>5.6703159999999997</v>
      </c>
      <c r="E1634">
        <v>0.47358329999999998</v>
      </c>
      <c r="F1634" t="s">
        <v>60</v>
      </c>
      <c r="G1634">
        <v>-263.22980000000001</v>
      </c>
      <c r="H1634" s="1">
        <v>1.8193680000000001E-7</v>
      </c>
      <c r="I1634">
        <v>283.78590000000003</v>
      </c>
      <c r="J1634">
        <v>-244.0522</v>
      </c>
      <c r="K1634">
        <v>1.1196729999999999</v>
      </c>
      <c r="L1634">
        <v>284.52499999999998</v>
      </c>
      <c r="M1634">
        <v>-0.99988030000000006</v>
      </c>
      <c r="N1634">
        <v>-2.6577200000000001E-3</v>
      </c>
      <c r="O1634">
        <v>1.524182E-2</v>
      </c>
      <c r="P1634">
        <v>-0.98147640000000003</v>
      </c>
      <c r="Q1634">
        <v>0.18741579999999999</v>
      </c>
      <c r="R1634">
        <v>3.9743800000000003E-2</v>
      </c>
      <c r="S1634">
        <v>-3.095078</v>
      </c>
      <c r="T1634">
        <v>-0.1771054</v>
      </c>
      <c r="U1634">
        <v>-0.11596679999999999</v>
      </c>
      <c r="V1634">
        <v>2.474964E-2</v>
      </c>
      <c r="W1634">
        <v>0.1900288</v>
      </c>
      <c r="X1634">
        <v>0.98146650000000002</v>
      </c>
      <c r="Y1634">
        <v>-5.2556199999999997E-2</v>
      </c>
      <c r="Z1634">
        <v>-2.4025660000000001E-3</v>
      </c>
      <c r="AA1634">
        <v>0.99861509999999998</v>
      </c>
      <c r="AB1634">
        <v>39</v>
      </c>
      <c r="AC1634">
        <v>-19.177600000000002</v>
      </c>
      <c r="AD1634">
        <v>-1.1196728180631901</v>
      </c>
      <c r="AE1634">
        <v>-0.73909999999995002</v>
      </c>
      <c r="AF1634">
        <v>-1.0278183356660899</v>
      </c>
      <c r="AG1634">
        <v>-1.1196728180631901</v>
      </c>
      <c r="AH1634">
        <v>19.099099691089702</v>
      </c>
      <c r="AI1634">
        <v>93.350252591578794</v>
      </c>
      <c r="AJ1634">
        <v>93.080401852958104</v>
      </c>
      <c r="AK1634">
        <v>19.159480336398101</v>
      </c>
      <c r="AL1634">
        <v>79.045534951610605</v>
      </c>
      <c r="AM1634">
        <v>88.555478507745406</v>
      </c>
      <c r="AN1634">
        <v>0.99999999006590901</v>
      </c>
    </row>
    <row r="1635" spans="1:40" x14ac:dyDescent="0.25">
      <c r="A1635" t="str">
        <f>"20190303170529643"</f>
        <v>20190303170529643</v>
      </c>
      <c r="B1635" t="str">
        <f>"1551603929636266"</f>
        <v>1551603929636266</v>
      </c>
      <c r="C1635" t="s">
        <v>40</v>
      </c>
      <c r="D1635">
        <v>5.5983309999999999</v>
      </c>
      <c r="E1635">
        <v>0.47246690000000002</v>
      </c>
      <c r="F1635" t="s">
        <v>60</v>
      </c>
      <c r="G1635">
        <v>-264.74849999999998</v>
      </c>
      <c r="H1635" s="1">
        <v>9.9011239999999993E-7</v>
      </c>
      <c r="I1635">
        <v>283.67770000000002</v>
      </c>
      <c r="J1635">
        <v>-244.8252</v>
      </c>
      <c r="K1635">
        <v>1.1196680000000001</v>
      </c>
      <c r="L1635">
        <v>284.5367</v>
      </c>
      <c r="M1635">
        <v>-0.99988030000000006</v>
      </c>
      <c r="N1635">
        <v>-2.878401E-3</v>
      </c>
      <c r="O1635">
        <v>1.520695E-2</v>
      </c>
      <c r="P1635">
        <v>-0.98155309999999996</v>
      </c>
      <c r="Q1635">
        <v>0.1869181</v>
      </c>
      <c r="R1635">
        <v>4.0190339999999998E-2</v>
      </c>
      <c r="S1635">
        <v>-3.0937039999999998</v>
      </c>
      <c r="T1635">
        <v>-0.1673695</v>
      </c>
      <c r="U1635">
        <v>-0.12664790000000001</v>
      </c>
      <c r="V1635">
        <v>2.5240740000000001E-2</v>
      </c>
      <c r="W1635">
        <v>0.18974650000000001</v>
      </c>
      <c r="X1635">
        <v>0.98150859999999995</v>
      </c>
      <c r="Y1635">
        <v>-5.5986609999999999E-2</v>
      </c>
      <c r="Z1635">
        <v>-2.371443E-3</v>
      </c>
      <c r="AA1635">
        <v>0.99842869999999995</v>
      </c>
      <c r="AB1635">
        <v>39</v>
      </c>
      <c r="AC1635">
        <v>-19.923299999999902</v>
      </c>
      <c r="AD1635">
        <v>-1.1196670098876</v>
      </c>
      <c r="AE1635">
        <v>-0.85899999999998</v>
      </c>
      <c r="AF1635">
        <v>-1.1582232855474199</v>
      </c>
      <c r="AG1635">
        <v>-1.1196670098876</v>
      </c>
      <c r="AH1635">
        <v>19.845371775399599</v>
      </c>
      <c r="AI1635">
        <v>93.223704875745895</v>
      </c>
      <c r="AJ1635">
        <v>93.340129599518207</v>
      </c>
      <c r="AK1635">
        <v>19.9106483143077</v>
      </c>
      <c r="AL1635">
        <v>79.062009181910298</v>
      </c>
      <c r="AM1635">
        <v>88.526890951927001</v>
      </c>
      <c r="AN1635">
        <v>0.99999998054597805</v>
      </c>
    </row>
    <row r="1636" spans="1:40" x14ac:dyDescent="0.25">
      <c r="A1636" t="str">
        <f>"20190303170529665"</f>
        <v>20190303170529665</v>
      </c>
      <c r="B1636" t="str">
        <f>"1551603929656761"</f>
        <v>1551603929656761</v>
      </c>
      <c r="C1636" t="s">
        <v>40</v>
      </c>
      <c r="D1636">
        <v>5.6380919999999897</v>
      </c>
      <c r="E1636">
        <v>0.47227190000000002</v>
      </c>
      <c r="F1636" t="s">
        <v>60</v>
      </c>
      <c r="G1636">
        <v>-265.01799999999997</v>
      </c>
      <c r="H1636" s="1">
        <v>1.133552E-6</v>
      </c>
      <c r="I1636">
        <v>283.66759999999999</v>
      </c>
      <c r="J1636">
        <v>-245.22120000000001</v>
      </c>
      <c r="K1636">
        <v>1.119685</v>
      </c>
      <c r="L1636">
        <v>284.54270000000002</v>
      </c>
      <c r="M1636">
        <v>-0.99987999999999999</v>
      </c>
      <c r="N1636">
        <v>-3.033801E-3</v>
      </c>
      <c r="O1636">
        <v>1.5190179999999999E-2</v>
      </c>
      <c r="P1636">
        <v>-0.98155300000000001</v>
      </c>
      <c r="Q1636">
        <v>0.1868235</v>
      </c>
      <c r="R1636">
        <v>4.063191E-2</v>
      </c>
      <c r="S1636">
        <v>-3.0945130000000001</v>
      </c>
      <c r="T1636">
        <v>-0.17158660000000001</v>
      </c>
      <c r="U1636">
        <v>-0.13317870000000001</v>
      </c>
      <c r="V1636">
        <v>2.5703190000000001E-2</v>
      </c>
      <c r="W1636">
        <v>0.1898041</v>
      </c>
      <c r="X1636">
        <v>0.98148550000000001</v>
      </c>
      <c r="Y1636">
        <v>-5.8053769999999998E-2</v>
      </c>
      <c r="Z1636">
        <v>-2.4909559999999999E-3</v>
      </c>
      <c r="AA1636">
        <v>0.99831029999999998</v>
      </c>
      <c r="AB1636">
        <v>39</v>
      </c>
      <c r="AC1636">
        <v>-19.796799999999902</v>
      </c>
      <c r="AD1636">
        <v>-1.119683866448</v>
      </c>
      <c r="AE1636">
        <v>-0.87510000000003096</v>
      </c>
      <c r="AF1636">
        <v>-1.1719756544359901</v>
      </c>
      <c r="AG1636">
        <v>-1.119683866448</v>
      </c>
      <c r="AH1636">
        <v>19.718269100721098</v>
      </c>
      <c r="AI1636">
        <v>93.244285138665205</v>
      </c>
      <c r="AJ1636">
        <v>93.401432149029404</v>
      </c>
      <c r="AK1636">
        <v>19.784775844669799</v>
      </c>
      <c r="AL1636">
        <v>79.058648282253301</v>
      </c>
      <c r="AM1636">
        <v>88.499878212122098</v>
      </c>
      <c r="AN1636">
        <v>1.00000001853161</v>
      </c>
    </row>
    <row r="1637" spans="1:40" x14ac:dyDescent="0.25">
      <c r="A1637" t="str">
        <f>"20190303170529685"</f>
        <v>20190303170529685</v>
      </c>
      <c r="B1637" t="str">
        <f>"1551603929676282"</f>
        <v>1551603929676282</v>
      </c>
      <c r="C1637" t="s">
        <v>40</v>
      </c>
      <c r="D1637">
        <v>5.6452359999999997</v>
      </c>
      <c r="E1637">
        <v>0.47291299999999997</v>
      </c>
      <c r="F1637" t="s">
        <v>60</v>
      </c>
      <c r="G1637">
        <v>-265.1395</v>
      </c>
      <c r="H1637" s="1">
        <v>1.1982020000000001E-6</v>
      </c>
      <c r="I1637">
        <v>283.68939999999998</v>
      </c>
      <c r="J1637">
        <v>-245.58260000000001</v>
      </c>
      <c r="K1637">
        <v>1.119707</v>
      </c>
      <c r="L1637">
        <v>284.54820000000001</v>
      </c>
      <c r="M1637">
        <v>-0.99987969999999904</v>
      </c>
      <c r="N1637">
        <v>-3.2025700000000001E-3</v>
      </c>
      <c r="O1637">
        <v>1.5175859999999999E-2</v>
      </c>
      <c r="P1637">
        <v>-0.98151949999999999</v>
      </c>
      <c r="Q1637">
        <v>0.18693090000000001</v>
      </c>
      <c r="R1637">
        <v>4.0944370000000001E-2</v>
      </c>
      <c r="S1637">
        <v>-3.0950009999999999</v>
      </c>
      <c r="T1637">
        <v>-0.17398169999999999</v>
      </c>
      <c r="U1637">
        <v>-0.13259889999999999</v>
      </c>
      <c r="V1637">
        <v>2.6032980000000001E-2</v>
      </c>
      <c r="W1637">
        <v>0.19007650000000001</v>
      </c>
      <c r="X1637">
        <v>0.98142399999999996</v>
      </c>
      <c r="Y1637">
        <v>-5.7843110000000003E-2</v>
      </c>
      <c r="Z1637">
        <v>-2.5200399999999999E-3</v>
      </c>
      <c r="AA1637">
        <v>0.9983225</v>
      </c>
      <c r="AB1637">
        <v>39</v>
      </c>
      <c r="AC1637">
        <v>-19.556899999999899</v>
      </c>
      <c r="AD1637">
        <v>-1.1197058017979999</v>
      </c>
      <c r="AE1637">
        <v>-0.85880000000002998</v>
      </c>
      <c r="AF1637">
        <v>-1.15172731513944</v>
      </c>
      <c r="AG1637">
        <v>-1.1197058017979999</v>
      </c>
      <c r="AH1637">
        <v>19.477889237389999</v>
      </c>
      <c r="AI1637">
        <v>93.284359737690806</v>
      </c>
      <c r="AJ1637">
        <v>93.383958462377706</v>
      </c>
      <c r="AK1637">
        <v>19.544011513377999</v>
      </c>
      <c r="AL1637">
        <v>79.0427505379769</v>
      </c>
      <c r="AM1637">
        <v>88.480544395041207</v>
      </c>
      <c r="AN1637">
        <v>0.99999992983796204</v>
      </c>
    </row>
    <row r="1638" spans="1:40" x14ac:dyDescent="0.25">
      <c r="A1638" t="str">
        <f>"20190303170529708"</f>
        <v>20190303170529708</v>
      </c>
      <c r="B1638" t="str">
        <f>"1551603929696778"</f>
        <v>1551603929696778</v>
      </c>
      <c r="C1638" t="s">
        <v>40</v>
      </c>
      <c r="D1638">
        <v>5.6132910000000003</v>
      </c>
      <c r="E1638">
        <v>0.4730277</v>
      </c>
      <c r="F1638" t="s">
        <v>60</v>
      </c>
      <c r="G1638">
        <v>-265.6026</v>
      </c>
      <c r="H1638" s="1">
        <v>1.4446530000000001E-6</v>
      </c>
      <c r="I1638">
        <v>283.73070000000001</v>
      </c>
      <c r="J1638">
        <v>-245.98480000000001</v>
      </c>
      <c r="K1638">
        <v>1.1197280000000001</v>
      </c>
      <c r="L1638">
        <v>284.55430000000001</v>
      </c>
      <c r="M1638">
        <v>-0.99987939999999997</v>
      </c>
      <c r="N1638">
        <v>-3.4106929999999998E-3</v>
      </c>
      <c r="O1638">
        <v>1.515998E-2</v>
      </c>
      <c r="P1638">
        <v>-0.98153900000000005</v>
      </c>
      <c r="Q1638">
        <v>0.18666940000000001</v>
      </c>
      <c r="R1638">
        <v>4.166723E-2</v>
      </c>
      <c r="S1638">
        <v>-3.0947110000000002</v>
      </c>
      <c r="T1638">
        <v>-0.17308519999999999</v>
      </c>
      <c r="U1638">
        <v>-0.12637329999999999</v>
      </c>
      <c r="V1638">
        <v>2.6773950000000001E-2</v>
      </c>
      <c r="W1638">
        <v>0.19001899999999999</v>
      </c>
      <c r="X1638">
        <v>0.98141529999999999</v>
      </c>
      <c r="Y1638">
        <v>-5.5830680000000001E-2</v>
      </c>
      <c r="Z1638">
        <v>-2.4500189999999999E-3</v>
      </c>
      <c r="AA1638">
        <v>0.99843720000000002</v>
      </c>
      <c r="AB1638">
        <v>40</v>
      </c>
      <c r="AC1638">
        <v>-19.6177999999999</v>
      </c>
      <c r="AD1638">
        <v>-1.1197265553469999</v>
      </c>
      <c r="AE1638">
        <v>-0.823599999999999</v>
      </c>
      <c r="AF1638">
        <v>-1.1172790378619</v>
      </c>
      <c r="AG1638">
        <v>-1.1197265553469999</v>
      </c>
      <c r="AH1638">
        <v>19.5395160018601</v>
      </c>
      <c r="AI1638">
        <v>93.274453293720498</v>
      </c>
      <c r="AJ1638">
        <v>93.272636924998693</v>
      </c>
      <c r="AK1638">
        <v>19.603438106468499</v>
      </c>
      <c r="AL1638">
        <v>79.046107290673305</v>
      </c>
      <c r="AM1638">
        <v>88.437303823323901</v>
      </c>
      <c r="AN1638">
        <v>1.00000002791684</v>
      </c>
    </row>
    <row r="1639" spans="1:40" x14ac:dyDescent="0.25">
      <c r="A1639" t="str">
        <f>"20190303170529731"</f>
        <v>20190303170529731</v>
      </c>
      <c r="B1639" t="str">
        <f>"1551603929726719"</f>
        <v>1551603929726719</v>
      </c>
      <c r="C1639" t="s">
        <v>40</v>
      </c>
      <c r="D1639">
        <v>5.6516489999999999</v>
      </c>
      <c r="E1639">
        <v>0.4730529</v>
      </c>
      <c r="F1639" t="s">
        <v>60</v>
      </c>
      <c r="G1639">
        <v>-265.93950000000001</v>
      </c>
      <c r="H1639" s="1">
        <v>1.6239419999999999E-6</v>
      </c>
      <c r="I1639">
        <v>283.75729999999999</v>
      </c>
      <c r="J1639">
        <v>-246.39599999999999</v>
      </c>
      <c r="K1639">
        <v>1.119756</v>
      </c>
      <c r="L1639">
        <v>284.56049999999999</v>
      </c>
      <c r="M1639">
        <v>-0.99987859999999995</v>
      </c>
      <c r="N1639">
        <v>-3.6434530000000001E-3</v>
      </c>
      <c r="O1639">
        <v>1.514503E-2</v>
      </c>
      <c r="P1639">
        <v>-0.98156520000000003</v>
      </c>
      <c r="Q1639">
        <v>0.18650249999999999</v>
      </c>
      <c r="R1639">
        <v>4.1795150000000003E-2</v>
      </c>
      <c r="S1639">
        <v>-3.0947110000000002</v>
      </c>
      <c r="T1639">
        <v>-0.17365410000000001</v>
      </c>
      <c r="U1639">
        <v>-0.1235962</v>
      </c>
      <c r="V1639">
        <v>2.6918310000000001E-2</v>
      </c>
      <c r="W1639">
        <v>0.19008030000000001</v>
      </c>
      <c r="X1639">
        <v>0.98139949999999998</v>
      </c>
      <c r="Y1639">
        <v>-5.4921860000000003E-2</v>
      </c>
      <c r="Z1639">
        <v>-2.4330279999999998E-3</v>
      </c>
      <c r="AA1639">
        <v>0.99848769999999998</v>
      </c>
      <c r="AB1639">
        <v>40</v>
      </c>
      <c r="AC1639">
        <v>-19.543500000000002</v>
      </c>
      <c r="AD1639">
        <v>-1.119754376058</v>
      </c>
      <c r="AE1639">
        <v>-0.80320000000000302</v>
      </c>
      <c r="AF1639">
        <v>-1.0955065215013899</v>
      </c>
      <c r="AG1639">
        <v>-1.119754376058</v>
      </c>
      <c r="AH1639">
        <v>19.465301489330301</v>
      </c>
      <c r="AI1639">
        <v>93.287158846573703</v>
      </c>
      <c r="AJ1639">
        <v>93.221206449466905</v>
      </c>
      <c r="AK1639">
        <v>19.528234596908</v>
      </c>
      <c r="AL1639">
        <v>79.0425300731888</v>
      </c>
      <c r="AM1639">
        <v>88.428856995702105</v>
      </c>
      <c r="AN1639">
        <v>1.0000000472307899</v>
      </c>
    </row>
    <row r="1640" spans="1:40" x14ac:dyDescent="0.25">
      <c r="A1640" t="str">
        <f>"20190303170529754"</f>
        <v>20190303170529754</v>
      </c>
      <c r="B1640" t="str">
        <f>"1551603929746223"</f>
        <v>1551603929746223</v>
      </c>
      <c r="C1640" t="s">
        <v>40</v>
      </c>
      <c r="D1640">
        <v>5.6276900000000003</v>
      </c>
      <c r="E1640">
        <v>0.47303469999999997</v>
      </c>
      <c r="F1640" t="s">
        <v>60</v>
      </c>
      <c r="G1640">
        <v>-266.10230000000001</v>
      </c>
      <c r="H1640" s="1">
        <v>1.710563E-6</v>
      </c>
      <c r="I1640">
        <v>283.77159999999998</v>
      </c>
      <c r="J1640">
        <v>-246.79519999999999</v>
      </c>
      <c r="K1640">
        <v>1.119783</v>
      </c>
      <c r="L1640">
        <v>284.56650000000002</v>
      </c>
      <c r="M1640">
        <v>-0.99987800000000004</v>
      </c>
      <c r="N1640">
        <v>-3.8936750000000001E-3</v>
      </c>
      <c r="O1640">
        <v>1.5130859999999999E-2</v>
      </c>
      <c r="P1640">
        <v>-0.98157779999999994</v>
      </c>
      <c r="Q1640">
        <v>0.18637010000000001</v>
      </c>
      <c r="R1640">
        <v>4.2092230000000001E-2</v>
      </c>
      <c r="S1640">
        <v>-3.0950160000000002</v>
      </c>
      <c r="T1640">
        <v>-0.17586479999999999</v>
      </c>
      <c r="U1640">
        <v>-0.12390139999999999</v>
      </c>
      <c r="V1640">
        <v>2.7230600000000001E-2</v>
      </c>
      <c r="W1640">
        <v>0.19019359999999999</v>
      </c>
      <c r="X1640">
        <v>0.98136889999999999</v>
      </c>
      <c r="Y1640">
        <v>-5.4998949999999998E-2</v>
      </c>
      <c r="Z1640">
        <v>-2.467824E-3</v>
      </c>
      <c r="AA1640">
        <v>0.99848340000000002</v>
      </c>
      <c r="AB1640">
        <v>40</v>
      </c>
      <c r="AC1640">
        <v>-19.307099999999998</v>
      </c>
      <c r="AD1640">
        <v>-1.1197812894370001</v>
      </c>
      <c r="AE1640">
        <v>-0.79490000000004002</v>
      </c>
      <c r="AF1640">
        <v>-1.08330634688132</v>
      </c>
      <c r="AG1640">
        <v>-1.1197812894370001</v>
      </c>
      <c r="AH1640">
        <v>19.228291123763299</v>
      </c>
      <c r="AI1640">
        <v>93.327655050074398</v>
      </c>
      <c r="AJ1640">
        <v>93.2245889635673</v>
      </c>
      <c r="AK1640">
        <v>19.291310020772599</v>
      </c>
      <c r="AL1640">
        <v>79.035917474886304</v>
      </c>
      <c r="AM1640">
        <v>88.410589305161295</v>
      </c>
      <c r="AN1640">
        <v>1.0000000144722601</v>
      </c>
    </row>
    <row r="1641" spans="1:40" x14ac:dyDescent="0.25">
      <c r="A1641" t="str">
        <f>"20190303170529777"</f>
        <v>20190303170529777</v>
      </c>
      <c r="B1641" t="str">
        <f>"1551603929766719"</f>
        <v>1551603929766719</v>
      </c>
      <c r="C1641" t="s">
        <v>40</v>
      </c>
      <c r="D1641">
        <v>5.6511809999999896</v>
      </c>
      <c r="E1641">
        <v>0.47297939999999999</v>
      </c>
      <c r="F1641" t="s">
        <v>60</v>
      </c>
      <c r="G1641">
        <v>-266.30020000000002</v>
      </c>
      <c r="H1641" s="1">
        <v>1.8158540000000001E-6</v>
      </c>
      <c r="I1641">
        <v>283.78769999999997</v>
      </c>
      <c r="J1641">
        <v>-247.20679999999999</v>
      </c>
      <c r="K1641">
        <v>1.119821</v>
      </c>
      <c r="L1641">
        <v>284.57279999999997</v>
      </c>
      <c r="M1641">
        <v>-0.99987700000000002</v>
      </c>
      <c r="N1641">
        <v>-4.1823600000000004E-3</v>
      </c>
      <c r="O1641">
        <v>1.511704E-2</v>
      </c>
      <c r="P1641">
        <v>-0.98159050000000003</v>
      </c>
      <c r="Q1641">
        <v>0.18616099999999999</v>
      </c>
      <c r="R1641">
        <v>4.2712170000000001E-2</v>
      </c>
      <c r="S1641">
        <v>-3.0953520000000001</v>
      </c>
      <c r="T1641">
        <v>-0.17770429999999901</v>
      </c>
      <c r="U1641">
        <v>-0.1235962</v>
      </c>
      <c r="V1641">
        <v>2.7864949999999999E-2</v>
      </c>
      <c r="W1641">
        <v>0.19026760000000001</v>
      </c>
      <c r="X1641">
        <v>0.98133680000000001</v>
      </c>
      <c r="Y1641">
        <v>-5.4880190000000002E-2</v>
      </c>
      <c r="Z1641">
        <v>-2.492031E-3</v>
      </c>
      <c r="AA1641">
        <v>0.99848990000000004</v>
      </c>
      <c r="AB1641">
        <v>40</v>
      </c>
      <c r="AC1641">
        <v>-19.093399999999999</v>
      </c>
      <c r="AD1641">
        <v>-1.1198191841459999</v>
      </c>
      <c r="AE1641">
        <v>-0.78509999999999902</v>
      </c>
      <c r="AF1641">
        <v>-1.0699742453866701</v>
      </c>
      <c r="AG1641">
        <v>-1.1198191841459999</v>
      </c>
      <c r="AH1641">
        <v>19.014056124209901</v>
      </c>
      <c r="AI1641">
        <v>93.365188819496893</v>
      </c>
      <c r="AJ1641">
        <v>93.220797322664794</v>
      </c>
      <c r="AK1641">
        <v>19.0770325309146</v>
      </c>
      <c r="AL1641">
        <v>79.031599285980306</v>
      </c>
      <c r="AM1641">
        <v>88.373529702464893</v>
      </c>
      <c r="AN1641">
        <v>1.0000000650412399</v>
      </c>
    </row>
    <row r="1642" spans="1:40" x14ac:dyDescent="0.25">
      <c r="A1642" t="str">
        <f>"20190303170529798"</f>
        <v>20190303170529798</v>
      </c>
      <c r="B1642" t="str">
        <f>"1551603929786238"</f>
        <v>1551603929786238</v>
      </c>
      <c r="C1642" t="s">
        <v>40</v>
      </c>
      <c r="D1642">
        <v>5.5646509999999996</v>
      </c>
      <c r="E1642">
        <v>0.47279979999999999</v>
      </c>
      <c r="F1642" t="s">
        <v>60</v>
      </c>
      <c r="G1642">
        <v>-266.33620000000002</v>
      </c>
      <c r="H1642" s="1">
        <v>1.8349950000000001E-6</v>
      </c>
      <c r="I1642">
        <v>283.82080000000002</v>
      </c>
      <c r="J1642">
        <v>-247.5941</v>
      </c>
      <c r="K1642">
        <v>1.1198629999999901</v>
      </c>
      <c r="L1642">
        <v>284.57859999999999</v>
      </c>
      <c r="M1642">
        <v>-0.99987599999999999</v>
      </c>
      <c r="N1642">
        <v>-4.487179E-3</v>
      </c>
      <c r="O1642">
        <v>1.510416E-2</v>
      </c>
      <c r="P1642">
        <v>-0.98157669999999997</v>
      </c>
      <c r="Q1642">
        <v>0.18611849999999999</v>
      </c>
      <c r="R1642">
        <v>4.3211939999999997E-2</v>
      </c>
      <c r="S1642">
        <v>-3.0959319999999999</v>
      </c>
      <c r="T1642">
        <v>-0.18123339999999999</v>
      </c>
      <c r="U1642">
        <v>-0.1217041</v>
      </c>
      <c r="V1642">
        <v>2.8378359999999998E-2</v>
      </c>
      <c r="W1642">
        <v>0.1905241</v>
      </c>
      <c r="X1642">
        <v>0.98127229999999999</v>
      </c>
      <c r="Y1642">
        <v>-5.4246929999999999E-2</v>
      </c>
      <c r="Z1642">
        <v>-2.5231210000000001E-3</v>
      </c>
      <c r="AA1642">
        <v>0.99852439999999998</v>
      </c>
      <c r="AB1642">
        <v>40</v>
      </c>
      <c r="AC1642">
        <v>-18.742100000000001</v>
      </c>
      <c r="AD1642">
        <v>-1.1198611650050001</v>
      </c>
      <c r="AE1642">
        <v>-0.75779999999997405</v>
      </c>
      <c r="AF1642">
        <v>-1.03710342188575</v>
      </c>
      <c r="AG1642">
        <v>-1.1198611650050001</v>
      </c>
      <c r="AH1642">
        <v>18.6619977048984</v>
      </c>
      <c r="AI1642">
        <v>93.428784704349397</v>
      </c>
      <c r="AJ1642">
        <v>93.180827220444499</v>
      </c>
      <c r="AK1642">
        <v>18.724311225628799</v>
      </c>
      <c r="AL1642">
        <v>79.016628856696798</v>
      </c>
      <c r="AM1642">
        <v>88.343469813173101</v>
      </c>
      <c r="AN1642">
        <v>1.00000004537219</v>
      </c>
    </row>
    <row r="1643" spans="1:40" x14ac:dyDescent="0.25">
      <c r="A1643" t="str">
        <f>"20190303170529822"</f>
        <v>20190303170529822</v>
      </c>
      <c r="B1643" t="str">
        <f>"1551603929816495"</f>
        <v>1551603929816495</v>
      </c>
      <c r="C1643" t="s">
        <v>40</v>
      </c>
      <c r="D1643">
        <v>5.6467010000000002</v>
      </c>
      <c r="E1643">
        <v>0.4729138</v>
      </c>
      <c r="F1643" t="s">
        <v>60</v>
      </c>
      <c r="G1643">
        <v>-266.56310000000002</v>
      </c>
      <c r="H1643" s="1">
        <v>1.9557639999999998E-6</v>
      </c>
      <c r="I1643">
        <v>283.8263</v>
      </c>
      <c r="J1643">
        <v>-248.0138</v>
      </c>
      <c r="K1643">
        <v>1.119918</v>
      </c>
      <c r="L1643">
        <v>284.58499999999998</v>
      </c>
      <c r="M1643">
        <v>-0.99987440000000005</v>
      </c>
      <c r="N1643">
        <v>-4.8589710000000001E-3</v>
      </c>
      <c r="O1643">
        <v>1.509077E-2</v>
      </c>
      <c r="P1643">
        <v>-0.981742</v>
      </c>
      <c r="Q1643">
        <v>0.1850319</v>
      </c>
      <c r="R1643">
        <v>4.41164E-2</v>
      </c>
      <c r="S1643">
        <v>-3.0963590000000001</v>
      </c>
      <c r="T1643">
        <v>-0.18279780000000001</v>
      </c>
      <c r="U1643">
        <v>-0.1228027</v>
      </c>
      <c r="V1643">
        <v>2.929412E-2</v>
      </c>
      <c r="W1643">
        <v>0.18980320000000001</v>
      </c>
      <c r="X1643">
        <v>0.98138510000000001</v>
      </c>
      <c r="Y1643">
        <v>-5.4578969999999997E-2</v>
      </c>
      <c r="Z1643">
        <v>-2.5584029999999999E-3</v>
      </c>
      <c r="AA1643">
        <v>0.99850620000000001</v>
      </c>
      <c r="AB1643">
        <v>40</v>
      </c>
      <c r="AC1643">
        <v>-18.549299999999999</v>
      </c>
      <c r="AD1643">
        <v>-1.1199160442360001</v>
      </c>
      <c r="AE1643">
        <v>-0.75869999999997595</v>
      </c>
      <c r="AF1643">
        <v>-1.03477449300999</v>
      </c>
      <c r="AG1643">
        <v>-1.1199160442360001</v>
      </c>
      <c r="AH1643">
        <v>18.468530000525199</v>
      </c>
      <c r="AI1643">
        <v>93.464697699516606</v>
      </c>
      <c r="AJ1643">
        <v>93.206876101889407</v>
      </c>
      <c r="AK1643">
        <v>18.531367207462601</v>
      </c>
      <c r="AL1643">
        <v>79.0587012331317</v>
      </c>
      <c r="AM1643">
        <v>88.290241813928205</v>
      </c>
      <c r="AN1643">
        <v>1.0000000573494101</v>
      </c>
    </row>
    <row r="1644" spans="1:40" x14ac:dyDescent="0.25">
      <c r="A1644" t="str">
        <f>"20190303170529843"</f>
        <v>20190303170529843</v>
      </c>
      <c r="B1644" t="str">
        <f>"1551603929836016"</f>
        <v>1551603929836016</v>
      </c>
      <c r="C1644" t="s">
        <v>40</v>
      </c>
      <c r="D1644">
        <v>5.6829169999999998</v>
      </c>
      <c r="E1644">
        <v>0.47274179999999999</v>
      </c>
      <c r="F1644" t="s">
        <v>60</v>
      </c>
      <c r="G1644">
        <v>-266.54239999999999</v>
      </c>
      <c r="H1644" s="1">
        <v>1.944777E-6</v>
      </c>
      <c r="I1644">
        <v>283.87240000000003</v>
      </c>
      <c r="J1644">
        <v>-248.40270000000001</v>
      </c>
      <c r="K1644">
        <v>1.1199709999999901</v>
      </c>
      <c r="L1644">
        <v>284.5908</v>
      </c>
      <c r="M1644">
        <v>-0.9998726</v>
      </c>
      <c r="N1644">
        <v>-5.2485279999999997E-3</v>
      </c>
      <c r="O1644">
        <v>1.5078390000000001E-2</v>
      </c>
      <c r="P1644">
        <v>-0.9819428</v>
      </c>
      <c r="Q1644">
        <v>0.18397440000000001</v>
      </c>
      <c r="R1644">
        <v>4.406566E-2</v>
      </c>
      <c r="S1644">
        <v>-3.0964200000000002</v>
      </c>
      <c r="T1644">
        <v>-0.1871554</v>
      </c>
      <c r="U1644">
        <v>-0.11907959999999999</v>
      </c>
      <c r="V1644">
        <v>2.9252940000000002E-2</v>
      </c>
      <c r="W1644">
        <v>0.18912899999999999</v>
      </c>
      <c r="X1644">
        <v>0.98151639999999996</v>
      </c>
      <c r="Y1644">
        <v>-5.3363229999999998E-2</v>
      </c>
      <c r="Z1644">
        <v>-2.5820779999999998E-3</v>
      </c>
      <c r="AA1644">
        <v>0.99857180000000001</v>
      </c>
      <c r="AB1644">
        <v>40</v>
      </c>
      <c r="AC1644">
        <v>-18.139699999999898</v>
      </c>
      <c r="AD1644">
        <v>-1.11996905522299</v>
      </c>
      <c r="AE1644">
        <v>-0.71839999999997395</v>
      </c>
      <c r="AF1644">
        <v>-0.98807889879833599</v>
      </c>
      <c r="AG1644">
        <v>-1.11996905522299</v>
      </c>
      <c r="AH1644">
        <v>18.058075840531799</v>
      </c>
      <c r="AI1644">
        <v>93.543674088963101</v>
      </c>
      <c r="AJ1644">
        <v>93.131914743860506</v>
      </c>
      <c r="AK1644">
        <v>18.1197332667263</v>
      </c>
      <c r="AL1644">
        <v>79.098041754244093</v>
      </c>
      <c r="AM1644">
        <v>88.292872133023707</v>
      </c>
      <c r="AN1644">
        <v>0.99999997830430098</v>
      </c>
    </row>
    <row r="1645" spans="1:40" x14ac:dyDescent="0.25">
      <c r="A1645" t="str">
        <f>"20190303170529866"</f>
        <v>20190303170529866</v>
      </c>
      <c r="B1645" t="str">
        <f>"1551603929856512"</f>
        <v>1551603929856512</v>
      </c>
      <c r="C1645" t="s">
        <v>40</v>
      </c>
      <c r="D1645">
        <v>5.7642030000000002</v>
      </c>
      <c r="E1645">
        <v>0.47263280000000002</v>
      </c>
      <c r="F1645" t="s">
        <v>60</v>
      </c>
      <c r="G1645">
        <v>-266.52080000000001</v>
      </c>
      <c r="H1645" s="1">
        <v>1.9332660000000001E-6</v>
      </c>
      <c r="I1645">
        <v>283.87950000000001</v>
      </c>
      <c r="J1645">
        <v>-248.809</v>
      </c>
      <c r="K1645">
        <v>1.120034</v>
      </c>
      <c r="L1645">
        <v>284.59690000000001</v>
      </c>
      <c r="M1645">
        <v>-0.99987029999999999</v>
      </c>
      <c r="N1645">
        <v>-5.7048389999999997E-3</v>
      </c>
      <c r="O1645">
        <v>1.5066100000000001E-2</v>
      </c>
      <c r="P1645">
        <v>-0.98199930000000002</v>
      </c>
      <c r="Q1645">
        <v>0.18354290000000001</v>
      </c>
      <c r="R1645">
        <v>4.460712E-2</v>
      </c>
      <c r="S1645">
        <v>-3.0964809999999998</v>
      </c>
      <c r="T1645">
        <v>-0.1914083</v>
      </c>
      <c r="U1645">
        <v>-0.12155150000000001</v>
      </c>
      <c r="V1645">
        <v>2.9806079999999999E-2</v>
      </c>
      <c r="W1645">
        <v>0.1891458</v>
      </c>
      <c r="X1645">
        <v>0.98149649999999999</v>
      </c>
      <c r="Y1645">
        <v>-5.4138409999999998E-2</v>
      </c>
      <c r="Z1645">
        <v>-2.6699520000000002E-3</v>
      </c>
      <c r="AA1645">
        <v>0.99852989999999997</v>
      </c>
      <c r="AB1645">
        <v>40</v>
      </c>
      <c r="AC1645">
        <v>-17.711799999999901</v>
      </c>
      <c r="AD1645">
        <v>-1.120032066734</v>
      </c>
      <c r="AE1645">
        <v>-0.71739999999999704</v>
      </c>
      <c r="AF1645">
        <v>-0.98025716025216403</v>
      </c>
      <c r="AG1645">
        <v>-1.120032066734</v>
      </c>
      <c r="AH1645">
        <v>17.628602308666402</v>
      </c>
      <c r="AI1645">
        <v>93.629804730509093</v>
      </c>
      <c r="AJ1645">
        <v>93.182715037541101</v>
      </c>
      <c r="AK1645">
        <v>17.691325424847498</v>
      </c>
      <c r="AL1645">
        <v>79.097061265579001</v>
      </c>
      <c r="AM1645">
        <v>88.260576677223597</v>
      </c>
      <c r="AN1645">
        <v>0.99999995778742701</v>
      </c>
    </row>
    <row r="1646" spans="1:40" x14ac:dyDescent="0.25">
      <c r="A1646" t="str">
        <f>"20190303170529886"</f>
        <v>20190303170529886</v>
      </c>
      <c r="B1646" t="str">
        <f>"1551603929876032"</f>
        <v>1551603929876032</v>
      </c>
      <c r="C1646" t="s">
        <v>40</v>
      </c>
      <c r="D1646">
        <v>5.6427170000000002</v>
      </c>
      <c r="E1646">
        <v>0.47267300000000001</v>
      </c>
      <c r="F1646" t="s">
        <v>60</v>
      </c>
      <c r="G1646">
        <v>-266.73630000000003</v>
      </c>
      <c r="H1646" s="1">
        <v>2.0479130000000001E-6</v>
      </c>
      <c r="I1646">
        <v>283.89429999999999</v>
      </c>
      <c r="J1646">
        <v>-249.1797</v>
      </c>
      <c r="K1646">
        <v>1.120093</v>
      </c>
      <c r="L1646">
        <v>284.60250000000002</v>
      </c>
      <c r="M1646">
        <v>-0.99986799999999998</v>
      </c>
      <c r="N1646">
        <v>-6.1354010000000004E-3</v>
      </c>
      <c r="O1646">
        <v>1.505426E-2</v>
      </c>
      <c r="P1646">
        <v>-0.98186370000000001</v>
      </c>
      <c r="Q1646">
        <v>0.1839865</v>
      </c>
      <c r="R1646">
        <v>4.5752800000000003E-2</v>
      </c>
      <c r="S1646">
        <v>-3.0966640000000001</v>
      </c>
      <c r="T1646">
        <v>-0.19346859999999999</v>
      </c>
      <c r="U1646">
        <v>-0.1213684</v>
      </c>
      <c r="V1646">
        <v>3.096575E-2</v>
      </c>
      <c r="W1646">
        <v>0.1900106</v>
      </c>
      <c r="X1646">
        <v>0.98129359999999999</v>
      </c>
      <c r="Y1646">
        <v>-5.4062289999999999E-2</v>
      </c>
      <c r="Z1646">
        <v>-2.6996680000000001E-3</v>
      </c>
      <c r="AA1646">
        <v>0.99853389999999997</v>
      </c>
      <c r="AB1646">
        <v>40</v>
      </c>
      <c r="AC1646">
        <v>-17.5566</v>
      </c>
      <c r="AD1646">
        <v>-1.1200909520869999</v>
      </c>
      <c r="AE1646">
        <v>-0.70820000000003303</v>
      </c>
      <c r="AF1646">
        <v>-0.96849066230646796</v>
      </c>
      <c r="AG1646">
        <v>-1.1200909520869999</v>
      </c>
      <c r="AH1646">
        <v>17.4729442748562</v>
      </c>
      <c r="AI1646">
        <v>93.662281302084295</v>
      </c>
      <c r="AJ1646">
        <v>93.172545164547998</v>
      </c>
      <c r="AK1646">
        <v>17.535574114814501</v>
      </c>
      <c r="AL1646">
        <v>79.046597391858498</v>
      </c>
      <c r="AM1646">
        <v>88.192571288575095</v>
      </c>
      <c r="AN1646">
        <v>1.00000001759319</v>
      </c>
    </row>
    <row r="1647" spans="1:40" x14ac:dyDescent="0.25">
      <c r="A1647" t="str">
        <f>"20190303170529910"</f>
        <v>20190303170529910</v>
      </c>
      <c r="B1647" t="str">
        <f>"1551603929896527"</f>
        <v>1551603929896527</v>
      </c>
      <c r="C1647" t="s">
        <v>40</v>
      </c>
      <c r="D1647">
        <v>5.6830930000000004</v>
      </c>
      <c r="E1647">
        <v>0.47273340000000003</v>
      </c>
      <c r="F1647" t="s">
        <v>60</v>
      </c>
      <c r="G1647">
        <v>-267.17360000000002</v>
      </c>
      <c r="H1647" s="1">
        <v>2.2806199999999999E-6</v>
      </c>
      <c r="I1647">
        <v>283.92410000000001</v>
      </c>
      <c r="J1647">
        <v>-249.60419999999999</v>
      </c>
      <c r="K1647">
        <v>1.1201559999999999</v>
      </c>
      <c r="L1647">
        <v>284.60879999999997</v>
      </c>
      <c r="M1647">
        <v>-0.99986489999999995</v>
      </c>
      <c r="N1647">
        <v>-6.6343460000000002E-3</v>
      </c>
      <c r="O1647">
        <v>1.504079E-2</v>
      </c>
      <c r="P1647">
        <v>-0.98186309999999999</v>
      </c>
      <c r="Q1647">
        <v>0.1838824</v>
      </c>
      <c r="R1647">
        <v>4.6176719999999997E-2</v>
      </c>
      <c r="S1647">
        <v>-3.097</v>
      </c>
      <c r="T1647">
        <v>-0.19278380000000001</v>
      </c>
      <c r="U1647">
        <v>-0.1167603</v>
      </c>
      <c r="V1647">
        <v>3.140312E-2</v>
      </c>
      <c r="W1647">
        <v>0.19039629999999999</v>
      </c>
      <c r="X1647">
        <v>0.98120490000000005</v>
      </c>
      <c r="Y1647">
        <v>-5.2564819999999998E-2</v>
      </c>
      <c r="Z1647">
        <v>-2.6439089999999998E-3</v>
      </c>
      <c r="AA1647">
        <v>0.998614</v>
      </c>
      <c r="AB1647">
        <v>40</v>
      </c>
      <c r="AC1647">
        <v>-17.569400000000002</v>
      </c>
      <c r="AD1647">
        <v>-1.12015371938</v>
      </c>
      <c r="AE1647">
        <v>-0.684699999999963</v>
      </c>
      <c r="AF1647">
        <v>-0.94505037297780803</v>
      </c>
      <c r="AG1647">
        <v>-1.12015371938</v>
      </c>
      <c r="AH1647">
        <v>17.4861435714983</v>
      </c>
      <c r="AI1647">
        <v>93.6600042298506</v>
      </c>
      <c r="AJ1647">
        <v>93.093579178549007</v>
      </c>
      <c r="AK1647">
        <v>17.547452281330099</v>
      </c>
      <c r="AL1647">
        <v>79.024087082465101</v>
      </c>
      <c r="AM1647">
        <v>88.166894306425604</v>
      </c>
      <c r="AN1647">
        <v>0.99999998139171697</v>
      </c>
    </row>
    <row r="1648" spans="1:40" x14ac:dyDescent="0.25">
      <c r="A1648" t="str">
        <f>"20190303170529932"</f>
        <v>20190303170529932</v>
      </c>
      <c r="B1648" t="str">
        <f>"1551603929926784"</f>
        <v>1551603929926784</v>
      </c>
      <c r="C1648" t="s">
        <v>40</v>
      </c>
      <c r="D1648">
        <v>5.6960490000000004</v>
      </c>
      <c r="E1648">
        <v>0.47260410000000003</v>
      </c>
      <c r="F1648" t="s">
        <v>60</v>
      </c>
      <c r="G1648">
        <v>-267.56299999999999</v>
      </c>
      <c r="H1648" s="1">
        <v>2.4878440000000001E-6</v>
      </c>
      <c r="I1648">
        <v>283.94470000000001</v>
      </c>
      <c r="J1648">
        <v>-250.00640000000001</v>
      </c>
      <c r="K1648">
        <v>1.1202110000000001</v>
      </c>
      <c r="L1648">
        <v>284.61489999999998</v>
      </c>
      <c r="M1648">
        <v>-0.99986180000000002</v>
      </c>
      <c r="N1648">
        <v>-7.1077750000000002E-3</v>
      </c>
      <c r="O1648">
        <v>1.5028059999999999E-2</v>
      </c>
      <c r="P1648">
        <v>-0.98201760000000005</v>
      </c>
      <c r="Q1648">
        <v>0.18297559999999999</v>
      </c>
      <c r="R1648">
        <v>4.649006E-2</v>
      </c>
      <c r="S1648">
        <v>-3.0969850000000001</v>
      </c>
      <c r="T1648">
        <v>-0.1931707</v>
      </c>
      <c r="U1648">
        <v>-0.1145325</v>
      </c>
      <c r="V1648">
        <v>3.1726789999999998E-2</v>
      </c>
      <c r="W1648">
        <v>0.18995529999999999</v>
      </c>
      <c r="X1648">
        <v>0.98128000000000004</v>
      </c>
      <c r="Y1648">
        <v>-5.1835649999999997E-2</v>
      </c>
      <c r="Z1648">
        <v>-2.6284379999999999E-3</v>
      </c>
      <c r="AA1648">
        <v>0.99865219999999999</v>
      </c>
      <c r="AB1648">
        <v>40</v>
      </c>
      <c r="AC1648">
        <v>-17.5565999999999</v>
      </c>
      <c r="AD1648">
        <v>-1.1202085121559999</v>
      </c>
      <c r="AE1648">
        <v>-0.67019999999996505</v>
      </c>
      <c r="AF1648">
        <v>-0.93019118185647198</v>
      </c>
      <c r="AG1648">
        <v>-1.1202085121559999</v>
      </c>
      <c r="AH1648">
        <v>17.473511471930902</v>
      </c>
      <c r="AI1648">
        <v>93.662980138482496</v>
      </c>
      <c r="AJ1648">
        <v>93.047227755305897</v>
      </c>
      <c r="AK1648">
        <v>17.534073283330699</v>
      </c>
      <c r="AL1648">
        <v>79.049824671387299</v>
      </c>
      <c r="AM1648">
        <v>88.148155329352406</v>
      </c>
      <c r="AN1648">
        <v>1.00000002180089</v>
      </c>
    </row>
    <row r="1649" spans="1:40" x14ac:dyDescent="0.25">
      <c r="A1649" t="str">
        <f>"20190303170529945"</f>
        <v>20190303170529945</v>
      </c>
      <c r="B1649" t="str">
        <f>"1551603929936544"</f>
        <v>1551603929936544</v>
      </c>
      <c r="C1649" t="s">
        <v>40</v>
      </c>
      <c r="D1649">
        <v>5.7694640000000001</v>
      </c>
      <c r="E1649">
        <v>0.47253250000000002</v>
      </c>
      <c r="F1649" t="s">
        <v>60</v>
      </c>
      <c r="G1649">
        <v>-267.55939999999998</v>
      </c>
      <c r="H1649" s="1">
        <v>2.485945E-6</v>
      </c>
      <c r="I1649">
        <v>283.96559999999999</v>
      </c>
      <c r="J1649">
        <v>-250.24789999999999</v>
      </c>
      <c r="K1649">
        <v>1.1202490000000001</v>
      </c>
      <c r="L1649">
        <v>284.61849999999998</v>
      </c>
      <c r="M1649">
        <v>-0.99985999999999997</v>
      </c>
      <c r="N1649">
        <v>-7.389166E-3</v>
      </c>
      <c r="O1649">
        <v>1.5020169999999999E-2</v>
      </c>
      <c r="P1649">
        <v>-0.98212489999999997</v>
      </c>
      <c r="Q1649">
        <v>0.18240590000000001</v>
      </c>
      <c r="R1649">
        <v>4.646252E-2</v>
      </c>
      <c r="S1649">
        <v>-3.0971829999999998</v>
      </c>
      <c r="T1649">
        <v>-0.19765820000000001</v>
      </c>
      <c r="U1649">
        <v>-0.114563</v>
      </c>
      <c r="V1649">
        <v>3.1705480000000001E-2</v>
      </c>
      <c r="W1649">
        <v>0.1896622</v>
      </c>
      <c r="X1649">
        <v>0.98133740000000003</v>
      </c>
      <c r="Y1649">
        <v>-5.1828890000000002E-2</v>
      </c>
      <c r="Z1649">
        <v>-2.689814E-3</v>
      </c>
      <c r="AA1649">
        <v>0.99865230000000005</v>
      </c>
      <c r="AB1649">
        <v>40</v>
      </c>
      <c r="AC1649">
        <v>-17.311499999999899</v>
      </c>
      <c r="AD1649">
        <v>-1.120246514055</v>
      </c>
      <c r="AE1649">
        <v>-0.65289999999998805</v>
      </c>
      <c r="AF1649">
        <v>-0.90905380352092502</v>
      </c>
      <c r="AG1649">
        <v>-1.120246514055</v>
      </c>
      <c r="AH1649">
        <v>17.227701038523101</v>
      </c>
      <c r="AI1649">
        <v>93.715316580447904</v>
      </c>
      <c r="AJ1649">
        <v>93.020524084448596</v>
      </c>
      <c r="AK1649">
        <v>17.288002028651999</v>
      </c>
      <c r="AL1649">
        <v>79.066929204851505</v>
      </c>
      <c r="AM1649">
        <v>88.149506465995003</v>
      </c>
      <c r="AN1649">
        <v>1.0000000401048099</v>
      </c>
    </row>
    <row r="1650" spans="1:40" x14ac:dyDescent="0.25">
      <c r="A1650" t="str">
        <f>"20190303170529966"</f>
        <v>20190303170529966</v>
      </c>
      <c r="B1650" t="str">
        <f>"1551603929956063"</f>
        <v>1551603929956063</v>
      </c>
      <c r="C1650" t="s">
        <v>40</v>
      </c>
      <c r="D1650">
        <v>5.7173930000000004</v>
      </c>
      <c r="E1650">
        <v>0.47239710000000001</v>
      </c>
      <c r="F1650" t="s">
        <v>60</v>
      </c>
      <c r="G1650">
        <v>-267.61450000000002</v>
      </c>
      <c r="H1650" s="1">
        <v>2.5152640000000001E-6</v>
      </c>
      <c r="I1650">
        <v>283.97160000000002</v>
      </c>
      <c r="J1650">
        <v>-250.626</v>
      </c>
      <c r="K1650">
        <v>1.1202939999999999</v>
      </c>
      <c r="L1650">
        <v>284.6241</v>
      </c>
      <c r="M1650">
        <v>-0.99985690000000005</v>
      </c>
      <c r="N1650">
        <v>-7.8160390000000003E-3</v>
      </c>
      <c r="O1650">
        <v>1.5008509999999999E-2</v>
      </c>
      <c r="P1650">
        <v>-0.98217940000000004</v>
      </c>
      <c r="Q1650">
        <v>0.1821189</v>
      </c>
      <c r="R1650">
        <v>4.643982E-2</v>
      </c>
      <c r="S1650">
        <v>-3.097153</v>
      </c>
      <c r="T1650">
        <v>-0.19978480000000001</v>
      </c>
      <c r="U1650">
        <v>-0.115356399999999</v>
      </c>
      <c r="V1650">
        <v>3.169363E-2</v>
      </c>
      <c r="W1650">
        <v>0.18979480000000001</v>
      </c>
      <c r="X1650">
        <v>0.98131210000000002</v>
      </c>
      <c r="Y1650">
        <v>-5.2069259999999999E-2</v>
      </c>
      <c r="Z1650">
        <v>-2.7305459999999999E-3</v>
      </c>
      <c r="AA1650">
        <v>0.99863979999999997</v>
      </c>
      <c r="AB1650">
        <v>40</v>
      </c>
      <c r="AC1650">
        <v>-16.988499999999998</v>
      </c>
      <c r="AD1650">
        <v>-1.1202914847359999</v>
      </c>
      <c r="AE1650">
        <v>-0.65249999999997499</v>
      </c>
      <c r="AF1650">
        <v>-0.90348321858083303</v>
      </c>
      <c r="AG1650">
        <v>-1.1202914847359999</v>
      </c>
      <c r="AH1650">
        <v>16.903394793824098</v>
      </c>
      <c r="AI1650">
        <v>93.786407759829203</v>
      </c>
      <c r="AJ1650">
        <v>93.059537093366501</v>
      </c>
      <c r="AK1650">
        <v>16.964553943234399</v>
      </c>
      <c r="AL1650">
        <v>79.059190736795202</v>
      </c>
      <c r="AM1650">
        <v>88.150149953731599</v>
      </c>
      <c r="AN1650">
        <v>0.99999999494801295</v>
      </c>
    </row>
    <row r="1651" spans="1:40" x14ac:dyDescent="0.25">
      <c r="A1651" t="str">
        <f>"20190303170529989"</f>
        <v>20190303170529989</v>
      </c>
      <c r="B1651" t="str">
        <f>"1551603929976560"</f>
        <v>1551603929976560</v>
      </c>
      <c r="C1651" t="s">
        <v>40</v>
      </c>
      <c r="D1651">
        <v>5.7138980000000004</v>
      </c>
      <c r="E1651">
        <v>0.47223989999999999</v>
      </c>
      <c r="F1651" t="s">
        <v>60</v>
      </c>
      <c r="G1651">
        <v>-267.8725</v>
      </c>
      <c r="H1651" s="1">
        <v>2.6525769999999998E-6</v>
      </c>
      <c r="I1651">
        <v>283.97179999999997</v>
      </c>
      <c r="J1651">
        <v>-251.02500000000001</v>
      </c>
      <c r="K1651">
        <v>1.1203399999999999</v>
      </c>
      <c r="L1651">
        <v>284.63010000000003</v>
      </c>
      <c r="M1651">
        <v>-0.99985369999999996</v>
      </c>
      <c r="N1651">
        <v>-8.2389879999999992E-3</v>
      </c>
      <c r="O1651">
        <v>1.499576E-2</v>
      </c>
      <c r="P1651">
        <v>-0.9822092</v>
      </c>
      <c r="Q1651">
        <v>0.1821363</v>
      </c>
      <c r="R1651">
        <v>4.573588E-2</v>
      </c>
      <c r="S1651">
        <v>-3.0972749999999998</v>
      </c>
      <c r="T1651">
        <v>-0.20119090000000001</v>
      </c>
      <c r="U1651">
        <v>-0.117157</v>
      </c>
      <c r="V1651">
        <v>3.1001379999999999E-2</v>
      </c>
      <c r="W1651">
        <v>0.19022729999999999</v>
      </c>
      <c r="X1651">
        <v>0.98125050000000003</v>
      </c>
      <c r="Y1651">
        <v>-5.2631160000000003E-2</v>
      </c>
      <c r="Z1651">
        <v>-2.7735020000000002E-3</v>
      </c>
      <c r="AA1651">
        <v>0.99861009999999995</v>
      </c>
      <c r="AB1651">
        <v>40</v>
      </c>
      <c r="AC1651">
        <v>-16.847499999999901</v>
      </c>
      <c r="AD1651">
        <v>-1.1203373474229901</v>
      </c>
      <c r="AE1651">
        <v>-0.65830000000005295</v>
      </c>
      <c r="AF1651">
        <v>-0.90687144801834696</v>
      </c>
      <c r="AG1651">
        <v>-1.1203373474229901</v>
      </c>
      <c r="AH1651">
        <v>16.761724739701901</v>
      </c>
      <c r="AI1651">
        <v>93.818338557439105</v>
      </c>
      <c r="AJ1651">
        <v>93.096894680673699</v>
      </c>
      <c r="AK1651">
        <v>16.823584274606802</v>
      </c>
      <c r="AL1651">
        <v>79.033950844919801</v>
      </c>
      <c r="AM1651">
        <v>88.190413568610396</v>
      </c>
      <c r="AN1651">
        <v>1.00000002748872</v>
      </c>
    </row>
    <row r="1652" spans="1:40" x14ac:dyDescent="0.25">
      <c r="A1652" t="str">
        <f>"20190303170530011"</f>
        <v>20190303170530011</v>
      </c>
      <c r="B1652" t="str">
        <f>"1551603929996079"</f>
        <v>1551603929996079</v>
      </c>
      <c r="C1652" t="s">
        <v>40</v>
      </c>
      <c r="D1652">
        <v>5.7102459999999997</v>
      </c>
      <c r="E1652">
        <v>0.47217530000000002</v>
      </c>
      <c r="F1652" t="s">
        <v>60</v>
      </c>
      <c r="G1652">
        <v>-268.29199999999997</v>
      </c>
      <c r="H1652" s="1">
        <v>2.8757939999999999E-6</v>
      </c>
      <c r="I1652">
        <v>283.95749999999998</v>
      </c>
      <c r="J1652">
        <v>-251.42140000000001</v>
      </c>
      <c r="K1652">
        <v>1.1203809999999901</v>
      </c>
      <c r="L1652">
        <v>284.63600000000002</v>
      </c>
      <c r="M1652">
        <v>-0.99985060000000003</v>
      </c>
      <c r="N1652">
        <v>-8.6264519999999997E-3</v>
      </c>
      <c r="O1652">
        <v>1.497881E-2</v>
      </c>
      <c r="P1652">
        <v>-0.98212359999999999</v>
      </c>
      <c r="Q1652">
        <v>0.1826702</v>
      </c>
      <c r="R1652">
        <v>4.5439939999999998E-2</v>
      </c>
      <c r="S1652">
        <v>-3.0972439999999999</v>
      </c>
      <c r="T1652">
        <v>-0.20095930000000001</v>
      </c>
      <c r="U1652">
        <v>-0.12063599999999999</v>
      </c>
      <c r="V1652">
        <v>3.0722099999999999E-2</v>
      </c>
      <c r="W1652">
        <v>0.19114100000000001</v>
      </c>
      <c r="X1652">
        <v>0.98108169999999995</v>
      </c>
      <c r="Y1652">
        <v>-5.3732080000000002E-2</v>
      </c>
      <c r="Z1652">
        <v>-2.8142800000000002E-3</v>
      </c>
      <c r="AA1652">
        <v>0.99855139999999998</v>
      </c>
      <c r="AB1652">
        <v>40</v>
      </c>
      <c r="AC1652">
        <v>-16.8706</v>
      </c>
      <c r="AD1652">
        <v>-1.12037812420599</v>
      </c>
      <c r="AE1652">
        <v>-0.678499999999985</v>
      </c>
      <c r="AF1652">
        <v>-0.927052809985354</v>
      </c>
      <c r="AG1652">
        <v>-1.12037812420599</v>
      </c>
      <c r="AH1652">
        <v>16.7846379118774</v>
      </c>
      <c r="AI1652">
        <v>93.813045949025195</v>
      </c>
      <c r="AJ1652">
        <v>93.161361016532695</v>
      </c>
      <c r="AK1652">
        <v>16.847514472067701</v>
      </c>
      <c r="AL1652">
        <v>78.980621036316293</v>
      </c>
      <c r="AM1652">
        <v>88.206396428872097</v>
      </c>
      <c r="AN1652">
        <v>1.00000001569214</v>
      </c>
    </row>
    <row r="1653" spans="1:40" x14ac:dyDescent="0.25">
      <c r="A1653" t="str">
        <f>"20190303170530034"</f>
        <v>20190303170530034</v>
      </c>
      <c r="B1653" t="str">
        <f>"1551603930026336"</f>
        <v>1551603930026336</v>
      </c>
      <c r="C1653" t="s">
        <v>40</v>
      </c>
      <c r="D1653">
        <v>5.5808410000000004</v>
      </c>
      <c r="E1653">
        <v>0.47205079999999999</v>
      </c>
      <c r="F1653" t="s">
        <v>60</v>
      </c>
      <c r="G1653">
        <v>-268.89980000000003</v>
      </c>
      <c r="H1653" s="1">
        <v>3.1992549999999998E-6</v>
      </c>
      <c r="I1653">
        <v>283.95209999999997</v>
      </c>
      <c r="J1653">
        <v>-251.82929999999999</v>
      </c>
      <c r="K1653">
        <v>1.120417</v>
      </c>
      <c r="L1653">
        <v>284.6422</v>
      </c>
      <c r="M1653">
        <v>-0.99984790000000001</v>
      </c>
      <c r="N1653">
        <v>-8.988401E-3</v>
      </c>
      <c r="O1653">
        <v>1.4953889999999999E-2</v>
      </c>
      <c r="P1653">
        <v>-0.98213510000000004</v>
      </c>
      <c r="Q1653">
        <v>0.18267459999999999</v>
      </c>
      <c r="R1653">
        <v>4.5178419999999997E-2</v>
      </c>
      <c r="S1653">
        <v>-3.097137</v>
      </c>
      <c r="T1653">
        <v>-0.19852810000000001</v>
      </c>
      <c r="U1653">
        <v>-0.1211853</v>
      </c>
      <c r="V1653">
        <v>3.0482769999999999E-2</v>
      </c>
      <c r="W1653">
        <v>0.1915009</v>
      </c>
      <c r="X1653">
        <v>0.98101899999999997</v>
      </c>
      <c r="Y1653">
        <v>-5.3888320000000003E-2</v>
      </c>
      <c r="Z1653">
        <v>-2.79028E-3</v>
      </c>
      <c r="AA1653">
        <v>0.99854310000000002</v>
      </c>
      <c r="AB1653">
        <v>40</v>
      </c>
      <c r="AC1653">
        <v>-17.070499999999999</v>
      </c>
      <c r="AD1653">
        <v>-1.120413800745</v>
      </c>
      <c r="AE1653">
        <v>-0.69010000000002902</v>
      </c>
      <c r="AF1653">
        <v>-0.94125528522229496</v>
      </c>
      <c r="AG1653">
        <v>-1.120413800745</v>
      </c>
      <c r="AH1653">
        <v>16.985219961753199</v>
      </c>
      <c r="AI1653">
        <v>93.768228913827699</v>
      </c>
      <c r="AJ1653">
        <v>93.171866572108499</v>
      </c>
      <c r="AK1653">
        <v>17.048137310157902</v>
      </c>
      <c r="AL1653">
        <v>78.959612429266897</v>
      </c>
      <c r="AM1653">
        <v>88.220246193876307</v>
      </c>
      <c r="AN1653">
        <v>1.00000003616434</v>
      </c>
    </row>
    <row r="1654" spans="1:40" x14ac:dyDescent="0.25">
      <c r="A1654" t="str">
        <f>"20190303170530055"</f>
        <v>20190303170530055</v>
      </c>
      <c r="B1654" t="str">
        <f>"1551603930045855"</f>
        <v>1551603930045855</v>
      </c>
      <c r="C1654" t="s">
        <v>40</v>
      </c>
      <c r="D1654">
        <v>5.7630470000000003</v>
      </c>
      <c r="E1654">
        <v>0.47192790000000001</v>
      </c>
      <c r="F1654" t="s">
        <v>60</v>
      </c>
      <c r="G1654">
        <v>-269.30689999999998</v>
      </c>
      <c r="H1654" s="1">
        <v>3.415869E-6</v>
      </c>
      <c r="I1654">
        <v>283.94810000000001</v>
      </c>
      <c r="J1654">
        <v>-252.23269999999999</v>
      </c>
      <c r="K1654">
        <v>1.1204510000000001</v>
      </c>
      <c r="L1654">
        <v>284.64819999999997</v>
      </c>
      <c r="M1654">
        <v>-0.9998454</v>
      </c>
      <c r="N1654">
        <v>-9.3093510000000004E-3</v>
      </c>
      <c r="O1654">
        <v>1.4917679999999999E-2</v>
      </c>
      <c r="P1654">
        <v>-0.98212129999999997</v>
      </c>
      <c r="Q1654">
        <v>0.1828003</v>
      </c>
      <c r="R1654">
        <v>4.4965520000000002E-2</v>
      </c>
      <c r="S1654">
        <v>-3.097153</v>
      </c>
      <c r="T1654">
        <v>-0.19854550000000001</v>
      </c>
      <c r="U1654">
        <v>-0.12298580000000001</v>
      </c>
      <c r="V1654">
        <v>3.0301809999999998E-2</v>
      </c>
      <c r="W1654">
        <v>0.1919418</v>
      </c>
      <c r="X1654">
        <v>0.98093839999999999</v>
      </c>
      <c r="Y1654">
        <v>-5.4430060000000002E-2</v>
      </c>
      <c r="Z1654">
        <v>-2.812228E-3</v>
      </c>
      <c r="AA1654">
        <v>0.9985136</v>
      </c>
      <c r="AB1654">
        <v>40</v>
      </c>
      <c r="AC1654">
        <v>-17.074199999999902</v>
      </c>
      <c r="AD1654">
        <v>-1.120447584131</v>
      </c>
      <c r="AE1654">
        <v>-0.70009999999996297</v>
      </c>
      <c r="AF1654">
        <v>-0.95065366560059805</v>
      </c>
      <c r="AG1654">
        <v>-1.120447584131</v>
      </c>
      <c r="AH1654">
        <v>16.988819749986799</v>
      </c>
      <c r="AI1654">
        <v>93.767433105831202</v>
      </c>
      <c r="AJ1654">
        <v>93.202794466479304</v>
      </c>
      <c r="AK1654">
        <v>17.052247408428201</v>
      </c>
      <c r="AL1654">
        <v>78.933872831863994</v>
      </c>
      <c r="AM1654">
        <v>88.230659635750797</v>
      </c>
      <c r="AN1654">
        <v>0.99999999943553797</v>
      </c>
    </row>
    <row r="1655" spans="1:40" x14ac:dyDescent="0.25">
      <c r="A1655" t="str">
        <f>"20190303170530078"</f>
        <v>20190303170530078</v>
      </c>
      <c r="B1655" t="str">
        <f>"1551603930066352"</f>
        <v>1551603930066352</v>
      </c>
      <c r="C1655" t="s">
        <v>40</v>
      </c>
      <c r="D1655">
        <v>5.6650299999999998</v>
      </c>
      <c r="E1655">
        <v>0.47185490000000002</v>
      </c>
      <c r="F1655" t="s">
        <v>60</v>
      </c>
      <c r="G1655">
        <v>-269.74209999999999</v>
      </c>
      <c r="H1655" s="1">
        <v>3.6474640000000001E-6</v>
      </c>
      <c r="I1655">
        <v>283.9436</v>
      </c>
      <c r="J1655">
        <v>-252.62780000000001</v>
      </c>
      <c r="K1655">
        <v>1.1204889999999901</v>
      </c>
      <c r="L1655">
        <v>284.654</v>
      </c>
      <c r="M1655">
        <v>-0.99984360000000005</v>
      </c>
      <c r="N1655">
        <v>-9.5893230000000003E-3</v>
      </c>
      <c r="O1655">
        <v>1.486445E-2</v>
      </c>
      <c r="P1655">
        <v>-0.98205750000000003</v>
      </c>
      <c r="Q1655">
        <v>0.18335689999999999</v>
      </c>
      <c r="R1655">
        <v>4.4085069999999997E-2</v>
      </c>
      <c r="S1655">
        <v>-3.0971980000000001</v>
      </c>
      <c r="T1655">
        <v>-0.19819339999999999</v>
      </c>
      <c r="U1655">
        <v>-0.1246338</v>
      </c>
      <c r="V1655">
        <v>2.94687E-2</v>
      </c>
      <c r="W1655">
        <v>0.19277279999999999</v>
      </c>
      <c r="X1655">
        <v>0.98080080000000003</v>
      </c>
      <c r="Y1655">
        <v>-5.4906009999999998E-2</v>
      </c>
      <c r="Z1655">
        <v>-2.8254550000000002E-3</v>
      </c>
      <c r="AA1655">
        <v>0.99848749999999997</v>
      </c>
      <c r="AB1655">
        <v>40</v>
      </c>
      <c r="AC1655">
        <v>-17.114299999999901</v>
      </c>
      <c r="AD1655">
        <v>-1.1204853525359999</v>
      </c>
      <c r="AE1655">
        <v>-0.71039999999999204</v>
      </c>
      <c r="AF1655">
        <v>-0.96061732271106703</v>
      </c>
      <c r="AG1655">
        <v>-1.1204853525359999</v>
      </c>
      <c r="AH1655">
        <v>17.028981106964899</v>
      </c>
      <c r="AI1655">
        <v>93.758604660194493</v>
      </c>
      <c r="AJ1655">
        <v>93.228675144012897</v>
      </c>
      <c r="AK1655">
        <v>17.092819270304901</v>
      </c>
      <c r="AL1655">
        <v>78.885353760013004</v>
      </c>
      <c r="AM1655">
        <v>88.279034495320403</v>
      </c>
      <c r="AN1655">
        <v>0.99999998299008397</v>
      </c>
    </row>
    <row r="1656" spans="1:40" x14ac:dyDescent="0.25">
      <c r="A1656" t="str">
        <f>"20190303170530099"</f>
        <v>20190303170530099</v>
      </c>
      <c r="B1656" t="str">
        <f>"1551603930085872"</f>
        <v>1551603930085872</v>
      </c>
      <c r="C1656" t="s">
        <v>40</v>
      </c>
      <c r="D1656">
        <v>5.6632949999999997</v>
      </c>
      <c r="E1656">
        <v>0.47180539999999999</v>
      </c>
      <c r="F1656" t="s">
        <v>60</v>
      </c>
      <c r="G1656">
        <v>-270.22140000000002</v>
      </c>
      <c r="H1656" s="1">
        <v>-1.388901E-6</v>
      </c>
      <c r="I1656">
        <v>283.9282</v>
      </c>
      <c r="J1656">
        <v>-253.0198</v>
      </c>
      <c r="K1656">
        <v>1.120525</v>
      </c>
      <c r="L1656">
        <v>284.65969999999999</v>
      </c>
      <c r="M1656">
        <v>-0.99984229999999996</v>
      </c>
      <c r="N1656">
        <v>-9.8354840000000002E-3</v>
      </c>
      <c r="O1656">
        <v>1.4785700000000001E-2</v>
      </c>
      <c r="P1656">
        <v>-0.98203410000000002</v>
      </c>
      <c r="Q1656">
        <v>0.1837124</v>
      </c>
      <c r="R1656">
        <v>4.3116509999999997E-2</v>
      </c>
      <c r="S1656">
        <v>-3.0973820000000001</v>
      </c>
      <c r="T1656">
        <v>-0.19726440000000001</v>
      </c>
      <c r="U1656">
        <v>-0.1277771</v>
      </c>
      <c r="V1656">
        <v>2.8569359999999999E-2</v>
      </c>
      <c r="W1656">
        <v>0.19337080000000001</v>
      </c>
      <c r="X1656">
        <v>0.98070970000000002</v>
      </c>
      <c r="Y1656">
        <v>-5.583573E-2</v>
      </c>
      <c r="Z1656">
        <v>-2.8456190000000002E-3</v>
      </c>
      <c r="AA1656">
        <v>0.99843590000000004</v>
      </c>
      <c r="AB1656">
        <v>40</v>
      </c>
      <c r="AC1656">
        <v>-17.201599999999999</v>
      </c>
      <c r="AD1656">
        <v>-1.120526388901</v>
      </c>
      <c r="AE1656">
        <v>-0.73149999999998205</v>
      </c>
      <c r="AF1656">
        <v>-0.98161224862506402</v>
      </c>
      <c r="AG1656">
        <v>-1.120526388901</v>
      </c>
      <c r="AH1656">
        <v>17.1164037825103</v>
      </c>
      <c r="AI1656">
        <v>93.739400210242806</v>
      </c>
      <c r="AJ1656">
        <v>93.282272497335995</v>
      </c>
      <c r="AK1656">
        <v>17.181106496405</v>
      </c>
      <c r="AL1656">
        <v>78.850433989007001</v>
      </c>
      <c r="AM1656">
        <v>88.331370696823697</v>
      </c>
      <c r="AN1656">
        <v>0.99999999514876903</v>
      </c>
    </row>
    <row r="1657" spans="1:40" x14ac:dyDescent="0.25">
      <c r="A1657" t="str">
        <f>"20190303170530121"</f>
        <v>20190303170530121</v>
      </c>
      <c r="B1657" t="str">
        <f>"1551603930116128"</f>
        <v>1551603930116128</v>
      </c>
      <c r="C1657" t="s">
        <v>40</v>
      </c>
      <c r="D1657">
        <v>5.8204260000000003</v>
      </c>
      <c r="E1657">
        <v>0.4717691</v>
      </c>
      <c r="F1657" t="s">
        <v>60</v>
      </c>
      <c r="G1657">
        <v>-270.738</v>
      </c>
      <c r="H1657" s="1">
        <v>-1.113217E-6</v>
      </c>
      <c r="I1657">
        <v>283.91079999999999</v>
      </c>
      <c r="J1657">
        <v>-253.42189999999999</v>
      </c>
      <c r="K1657">
        <v>1.120557</v>
      </c>
      <c r="L1657">
        <v>284.66559999999998</v>
      </c>
      <c r="M1657">
        <v>-0.9998418</v>
      </c>
      <c r="N1657">
        <v>-1.0058360000000001E-2</v>
      </c>
      <c r="O1657">
        <v>1.4672019999999999E-2</v>
      </c>
      <c r="P1657">
        <v>-0.98194800000000004</v>
      </c>
      <c r="Q1657">
        <v>0.18429889999999999</v>
      </c>
      <c r="R1657">
        <v>4.2575799999999997E-2</v>
      </c>
      <c r="S1657">
        <v>-3.0972900000000001</v>
      </c>
      <c r="T1657">
        <v>-0.19587769999999999</v>
      </c>
      <c r="U1657">
        <v>-0.13092039999999999</v>
      </c>
      <c r="V1657">
        <v>2.812982E-2</v>
      </c>
      <c r="W1657">
        <v>0.19417680000000001</v>
      </c>
      <c r="X1657">
        <v>0.98056319999999997</v>
      </c>
      <c r="Y1657">
        <v>-5.6734850000000003E-2</v>
      </c>
      <c r="Z1657">
        <v>-2.8564160000000001E-3</v>
      </c>
      <c r="AA1657">
        <v>0.99838519999999997</v>
      </c>
      <c r="AB1657">
        <v>40</v>
      </c>
      <c r="AC1657">
        <v>-17.316099999999999</v>
      </c>
      <c r="AD1657">
        <v>-1.1205581132169999</v>
      </c>
      <c r="AE1657">
        <v>-0.75479999999998804</v>
      </c>
      <c r="AF1657">
        <v>-1.0045948590565601</v>
      </c>
      <c r="AG1657">
        <v>-1.1205581132169999</v>
      </c>
      <c r="AH1657">
        <v>17.2311400625502</v>
      </c>
      <c r="AI1657">
        <v>93.714472421772001</v>
      </c>
      <c r="AJ1657">
        <v>93.336631424713602</v>
      </c>
      <c r="AK1657">
        <v>17.296735217119998</v>
      </c>
      <c r="AL1657">
        <v>78.803362039951395</v>
      </c>
      <c r="AM1657">
        <v>88.356783069608696</v>
      </c>
      <c r="AN1657">
        <v>1.0000000528128501</v>
      </c>
    </row>
    <row r="1658" spans="1:40" x14ac:dyDescent="0.25">
      <c r="A1658" t="str">
        <f>"20190303170530145"</f>
        <v>20190303170530145</v>
      </c>
      <c r="B1658" t="str">
        <f>"1551603930136624"</f>
        <v>1551603930136624</v>
      </c>
      <c r="C1658" t="s">
        <v>40</v>
      </c>
      <c r="D1658">
        <v>5.6464639999999999</v>
      </c>
      <c r="E1658">
        <v>0.47170820000000002</v>
      </c>
      <c r="F1658" t="s">
        <v>60</v>
      </c>
      <c r="G1658">
        <v>-271.30950000000001</v>
      </c>
      <c r="H1658" s="1">
        <v>-8.0853819999999899E-7</v>
      </c>
      <c r="I1658">
        <v>283.89819999999997</v>
      </c>
      <c r="J1658">
        <v>-253.85140000000001</v>
      </c>
      <c r="K1658">
        <v>1.1206039999999999</v>
      </c>
      <c r="L1658">
        <v>284.67169999999999</v>
      </c>
      <c r="M1658">
        <v>-0.99984200000000001</v>
      </c>
      <c r="N1658">
        <v>-1.02652E-2</v>
      </c>
      <c r="O1658">
        <v>1.450881E-2</v>
      </c>
      <c r="P1658">
        <v>-0.98184289999999996</v>
      </c>
      <c r="Q1658">
        <v>0.18482399999999999</v>
      </c>
      <c r="R1658">
        <v>4.2718819999999998E-2</v>
      </c>
      <c r="S1658">
        <v>-3.097321</v>
      </c>
      <c r="T1658">
        <v>-0.1940296</v>
      </c>
      <c r="U1658">
        <v>-0.13287349999999901</v>
      </c>
      <c r="V1658">
        <v>2.841902E-2</v>
      </c>
      <c r="W1658">
        <v>0.19490550000000001</v>
      </c>
      <c r="X1658">
        <v>0.98041020000000001</v>
      </c>
      <c r="Y1658">
        <v>-5.7201639999999998E-2</v>
      </c>
      <c r="Z1658">
        <v>-2.8420680000000001E-3</v>
      </c>
      <c r="AA1658">
        <v>0.99835859999999998</v>
      </c>
      <c r="AB1658">
        <v>40</v>
      </c>
      <c r="AC1658">
        <v>-17.458100000000002</v>
      </c>
      <c r="AD1658">
        <v>-1.1206048085381899</v>
      </c>
      <c r="AE1658">
        <v>-0.77350000000001196</v>
      </c>
      <c r="AF1658">
        <v>-1.02252351175411</v>
      </c>
      <c r="AG1658">
        <v>-1.1206048085381899</v>
      </c>
      <c r="AH1658">
        <v>17.373597784306799</v>
      </c>
      <c r="AI1658">
        <v>93.684133506790999</v>
      </c>
      <c r="AJ1658">
        <v>93.368258935427505</v>
      </c>
      <c r="AK1658">
        <v>17.4397021029569</v>
      </c>
      <c r="AL1658">
        <v>78.760796523401595</v>
      </c>
      <c r="AM1658">
        <v>88.339639792530207</v>
      </c>
      <c r="AN1658">
        <v>0.99999997744602498</v>
      </c>
    </row>
    <row r="1659" spans="1:40" x14ac:dyDescent="0.25">
      <c r="A1659" t="str">
        <f>"20190303170530157"</f>
        <v>20190303170530157</v>
      </c>
      <c r="B1659" t="str">
        <f>"1551603930146384"</f>
        <v>1551603930146384</v>
      </c>
      <c r="C1659" t="s">
        <v>40</v>
      </c>
      <c r="D1659">
        <v>5.6790269999999996</v>
      </c>
      <c r="E1659">
        <v>0.47167480000000001</v>
      </c>
      <c r="F1659" t="s">
        <v>60</v>
      </c>
      <c r="G1659">
        <v>-271.86860000000001</v>
      </c>
      <c r="H1659" s="1">
        <v>-5.109379E-7</v>
      </c>
      <c r="I1659">
        <v>283.89640000000003</v>
      </c>
      <c r="J1659">
        <v>-254.08</v>
      </c>
      <c r="K1659">
        <v>1.120633</v>
      </c>
      <c r="L1659">
        <v>284.67500000000001</v>
      </c>
      <c r="M1659">
        <v>-0.99984260000000003</v>
      </c>
      <c r="N1659">
        <v>-1.036275E-2</v>
      </c>
      <c r="O1659">
        <v>1.44023E-2</v>
      </c>
      <c r="P1659">
        <v>-0.98178520000000002</v>
      </c>
      <c r="Q1659">
        <v>0.18517320000000001</v>
      </c>
      <c r="R1659">
        <v>4.2531890000000003E-2</v>
      </c>
      <c r="S1659">
        <v>-3.097534</v>
      </c>
      <c r="T1659">
        <v>-0.1926554</v>
      </c>
      <c r="U1659">
        <v>-0.133300799999999</v>
      </c>
      <c r="V1659">
        <v>2.8328079999999999E-2</v>
      </c>
      <c r="W1659">
        <v>0.1953512</v>
      </c>
      <c r="X1659">
        <v>0.98032410000000003</v>
      </c>
      <c r="Y1659">
        <v>-5.7231839999999999E-2</v>
      </c>
      <c r="Z1659">
        <v>-2.8197719999999999E-3</v>
      </c>
      <c r="AA1659">
        <v>0.99835689999999999</v>
      </c>
      <c r="AB1659">
        <v>40</v>
      </c>
      <c r="AC1659">
        <v>-17.788599999999999</v>
      </c>
      <c r="AD1659">
        <v>-1.1206335109379</v>
      </c>
      <c r="AE1659">
        <v>-0.77859999999998297</v>
      </c>
      <c r="AF1659">
        <v>-1.0306472767945201</v>
      </c>
      <c r="AG1659">
        <v>-1.1206335109379</v>
      </c>
      <c r="AH1659">
        <v>17.705408210947301</v>
      </c>
      <c r="AI1659">
        <v>93.615503238604404</v>
      </c>
      <c r="AJ1659">
        <v>93.331477854091702</v>
      </c>
      <c r="AK1659">
        <v>17.770749370560601</v>
      </c>
      <c r="AL1659">
        <v>78.734759056773498</v>
      </c>
      <c r="AM1659">
        <v>88.344804655908803</v>
      </c>
      <c r="AN1659">
        <v>0.99999995624936699</v>
      </c>
    </row>
    <row r="1660" spans="1:40" x14ac:dyDescent="0.25">
      <c r="A1660" t="str">
        <f>"20190303170530177"</f>
        <v>20190303170530177</v>
      </c>
      <c r="B1660" t="str">
        <f>"1551603930165907"</f>
        <v>1551603930165907</v>
      </c>
      <c r="C1660" t="s">
        <v>40</v>
      </c>
      <c r="D1660">
        <v>5.643656</v>
      </c>
      <c r="E1660">
        <v>0.4716534</v>
      </c>
      <c r="F1660" t="s">
        <v>60</v>
      </c>
      <c r="G1660">
        <v>-272.1712</v>
      </c>
      <c r="H1660" s="1">
        <v>-3.498152E-7</v>
      </c>
      <c r="I1660">
        <v>283.89359999999999</v>
      </c>
      <c r="J1660">
        <v>-254.43860000000001</v>
      </c>
      <c r="K1660">
        <v>1.1206750000000001</v>
      </c>
      <c r="L1660">
        <v>284.68</v>
      </c>
      <c r="M1660">
        <v>-0.99984390000000001</v>
      </c>
      <c r="N1660">
        <v>-1.050302E-2</v>
      </c>
      <c r="O1660">
        <v>1.421584E-2</v>
      </c>
      <c r="P1660">
        <v>-0.9817186</v>
      </c>
      <c r="Q1660">
        <v>0.18568309999999999</v>
      </c>
      <c r="R1660">
        <v>4.1840280000000001E-2</v>
      </c>
      <c r="S1660">
        <v>-3.0976409999999999</v>
      </c>
      <c r="T1660">
        <v>-0.19187960000000001</v>
      </c>
      <c r="U1660">
        <v>-0.13378909999999999</v>
      </c>
      <c r="V1660">
        <v>2.7806029999999999E-2</v>
      </c>
      <c r="W1660">
        <v>0.19599929999999999</v>
      </c>
      <c r="X1660">
        <v>0.98020969999999996</v>
      </c>
      <c r="Y1660">
        <v>-5.7202599999999902E-2</v>
      </c>
      <c r="Z1660">
        <v>-2.8002970000000002E-3</v>
      </c>
      <c r="AA1660">
        <v>0.99835870000000004</v>
      </c>
      <c r="AB1660">
        <v>40</v>
      </c>
      <c r="AC1660">
        <v>-17.732599999999898</v>
      </c>
      <c r="AD1660">
        <v>-1.1206753498152</v>
      </c>
      <c r="AE1660">
        <v>-0.78640000000001398</v>
      </c>
      <c r="AF1660">
        <v>-1.0342952754993999</v>
      </c>
      <c r="AG1660">
        <v>-1.1206753498152</v>
      </c>
      <c r="AH1660">
        <v>17.6492740400769</v>
      </c>
      <c r="AI1660">
        <v>93.627024379938405</v>
      </c>
      <c r="AJ1660">
        <v>93.3538520663963</v>
      </c>
      <c r="AK1660">
        <v>17.715037513319999</v>
      </c>
      <c r="AL1660">
        <v>78.696893928562105</v>
      </c>
      <c r="AM1660">
        <v>88.375101752678304</v>
      </c>
      <c r="AN1660">
        <v>0.99999997843946997</v>
      </c>
    </row>
    <row r="1661" spans="1:40" x14ac:dyDescent="0.25">
      <c r="A1661" t="str">
        <f>"20190303170530202"</f>
        <v>20190303170530202</v>
      </c>
      <c r="B1661" t="str">
        <f>"1551603930196159"</f>
        <v>1551603930196159</v>
      </c>
      <c r="C1661" t="s">
        <v>40</v>
      </c>
      <c r="D1661">
        <v>5.6942599999999999</v>
      </c>
      <c r="E1661">
        <v>0.47164600000000001</v>
      </c>
      <c r="F1661" t="s">
        <v>60</v>
      </c>
      <c r="G1661">
        <v>-272.63560000000001</v>
      </c>
      <c r="H1661" s="1">
        <v>-1.0227E-7</v>
      </c>
      <c r="I1661">
        <v>283.88459999999998</v>
      </c>
      <c r="J1661">
        <v>-254.87569999999999</v>
      </c>
      <c r="K1661">
        <v>1.1207240000000001</v>
      </c>
      <c r="L1661">
        <v>284.68599999999998</v>
      </c>
      <c r="M1661">
        <v>-0.99984600000000001</v>
      </c>
      <c r="N1661">
        <v>-1.0653289999999999E-2</v>
      </c>
      <c r="O1661">
        <v>1.395305E-2</v>
      </c>
      <c r="P1661">
        <v>-0.98177449999999999</v>
      </c>
      <c r="Q1661">
        <v>0.18571009999999999</v>
      </c>
      <c r="R1661">
        <v>4.0383479999999999E-2</v>
      </c>
      <c r="S1661">
        <v>-3.0977169999999998</v>
      </c>
      <c r="T1661">
        <v>-0.19077549999999999</v>
      </c>
      <c r="U1661">
        <v>-0.13540650000000001</v>
      </c>
      <c r="V1661">
        <v>2.6589599999999901E-2</v>
      </c>
      <c r="W1661">
        <v>0.1961755</v>
      </c>
      <c r="X1661">
        <v>0.98020819999999997</v>
      </c>
      <c r="Y1661">
        <v>-5.7460700000000003E-2</v>
      </c>
      <c r="Z1661">
        <v>-2.783111E-3</v>
      </c>
      <c r="AA1661">
        <v>0.99834389999999995</v>
      </c>
      <c r="AB1661">
        <v>40</v>
      </c>
      <c r="AC1661">
        <v>-17.759899999999998</v>
      </c>
      <c r="AD1661">
        <v>-1.1207241022700001</v>
      </c>
      <c r="AE1661">
        <v>-0.801400000000001</v>
      </c>
      <c r="AF1661">
        <v>-1.0449879555399799</v>
      </c>
      <c r="AG1661">
        <v>-1.1207241022700001</v>
      </c>
      <c r="AH1661">
        <v>17.6767401021681</v>
      </c>
      <c r="AI1661">
        <v>93.621451989113794</v>
      </c>
      <c r="AJ1661">
        <v>93.383191537439799</v>
      </c>
      <c r="AK1661">
        <v>17.743031392077</v>
      </c>
      <c r="AL1661">
        <v>78.6865984963801</v>
      </c>
      <c r="AM1661">
        <v>88.446148130976496</v>
      </c>
      <c r="AN1661">
        <v>0.99999997448782396</v>
      </c>
    </row>
    <row r="1662" spans="1:40" x14ac:dyDescent="0.25">
      <c r="A1662" t="str">
        <f>"20190303170530227"</f>
        <v>20190303170530227</v>
      </c>
      <c r="B1662" t="str">
        <f>"1551603930216656"</f>
        <v>1551603930216656</v>
      </c>
      <c r="C1662" t="s">
        <v>40</v>
      </c>
      <c r="D1662">
        <v>6.1008620000000002</v>
      </c>
      <c r="E1662">
        <v>0.4716188</v>
      </c>
      <c r="F1662" t="s">
        <v>60</v>
      </c>
      <c r="G1662">
        <v>-273.0222</v>
      </c>
      <c r="H1662" s="1">
        <v>1.042436E-7</v>
      </c>
      <c r="I1662">
        <v>283.86700000000002</v>
      </c>
      <c r="J1662">
        <v>-255.31960000000001</v>
      </c>
      <c r="K1662">
        <v>1.120776</v>
      </c>
      <c r="L1662">
        <v>284.69189999999998</v>
      </c>
      <c r="M1662">
        <v>-0.99984879999999998</v>
      </c>
      <c r="N1662">
        <v>-1.078345E-2</v>
      </c>
      <c r="O1662">
        <v>1.364434E-2</v>
      </c>
      <c r="P1662">
        <v>-0.98176779999999997</v>
      </c>
      <c r="Q1662">
        <v>0.1860154</v>
      </c>
      <c r="R1662">
        <v>3.9121499999999997E-2</v>
      </c>
      <c r="S1662">
        <v>-3.0976560000000002</v>
      </c>
      <c r="T1662">
        <v>-0.19131029999999999</v>
      </c>
      <c r="U1662">
        <v>-0.13980100000000001</v>
      </c>
      <c r="V1662">
        <v>2.5614430000000001E-2</v>
      </c>
      <c r="W1662">
        <v>0.19661039999999999</v>
      </c>
      <c r="X1662">
        <v>0.98014710000000005</v>
      </c>
      <c r="Y1662">
        <v>-5.8563839999999999E-2</v>
      </c>
      <c r="Z1662">
        <v>-2.8166340000000002E-3</v>
      </c>
      <c r="AA1662">
        <v>0.99827969999999999</v>
      </c>
      <c r="AB1662">
        <v>41</v>
      </c>
      <c r="AC1662">
        <v>-17.702599999999901</v>
      </c>
      <c r="AD1662">
        <v>-1.1207758957564</v>
      </c>
      <c r="AE1662">
        <v>-0.824899999999956</v>
      </c>
      <c r="AF1662">
        <v>-1.0621293908474301</v>
      </c>
      <c r="AG1662">
        <v>-1.1207758957564</v>
      </c>
      <c r="AH1662">
        <v>17.619225381888999</v>
      </c>
      <c r="AI1662">
        <v>93.633158089974302</v>
      </c>
      <c r="AJ1662">
        <v>93.449753021497898</v>
      </c>
      <c r="AK1662">
        <v>17.686756641883601</v>
      </c>
      <c r="AL1662">
        <v>78.661186440206393</v>
      </c>
      <c r="AM1662">
        <v>88.503015748163094</v>
      </c>
      <c r="AN1662">
        <v>1.0000000430253899</v>
      </c>
    </row>
    <row r="1663" spans="1:40" x14ac:dyDescent="0.25">
      <c r="A1663" t="str">
        <f>"20190303170530246"</f>
        <v>20190303170530246</v>
      </c>
      <c r="B1663" t="str">
        <f>"1551603930236176"</f>
        <v>1551603930236176</v>
      </c>
      <c r="C1663" t="s">
        <v>40</v>
      </c>
      <c r="D1663">
        <v>5.7560190000000002</v>
      </c>
      <c r="E1663">
        <v>0.495197</v>
      </c>
      <c r="F1663" t="s">
        <v>60</v>
      </c>
      <c r="G1663">
        <v>-273.55650000000003</v>
      </c>
      <c r="H1663" s="1">
        <v>3.8968929999999999E-7</v>
      </c>
      <c r="I1663">
        <v>283.84059999999999</v>
      </c>
      <c r="J1663">
        <v>-255.6832</v>
      </c>
      <c r="K1663">
        <v>1.1208149999999999</v>
      </c>
      <c r="L1663">
        <v>284.69670000000002</v>
      </c>
      <c r="M1663">
        <v>-0.9998515</v>
      </c>
      <c r="N1663">
        <v>-1.087978E-2</v>
      </c>
      <c r="O1663">
        <v>1.336849E-2</v>
      </c>
      <c r="P1663">
        <v>-0.98172579999999998</v>
      </c>
      <c r="Q1663">
        <v>0.18620590000000001</v>
      </c>
      <c r="R1663">
        <v>3.9271760000000003E-2</v>
      </c>
      <c r="S1663">
        <v>-3.0975489999999999</v>
      </c>
      <c r="T1663">
        <v>-0.19036459999999999</v>
      </c>
      <c r="U1663">
        <v>-0.14459229999999901</v>
      </c>
      <c r="V1663">
        <v>2.6024180000000001E-2</v>
      </c>
      <c r="W1663">
        <v>0.1968965</v>
      </c>
      <c r="X1663">
        <v>0.98007880000000003</v>
      </c>
      <c r="Y1663">
        <v>-5.9829670000000001E-2</v>
      </c>
      <c r="Z1663">
        <v>-2.836903E-3</v>
      </c>
      <c r="AA1663">
        <v>0.9982046</v>
      </c>
      <c r="AB1663">
        <v>41</v>
      </c>
      <c r="AC1663">
        <v>-17.8733</v>
      </c>
      <c r="AD1663">
        <v>-1.1208146103107</v>
      </c>
      <c r="AE1663">
        <v>-0.85610000000002595</v>
      </c>
      <c r="AF1663">
        <v>-1.0906974054333201</v>
      </c>
      <c r="AG1663">
        <v>-1.1208146103107</v>
      </c>
      <c r="AH1663">
        <v>17.790458047783599</v>
      </c>
      <c r="AI1663">
        <v>93.598182387288801</v>
      </c>
      <c r="AJ1663">
        <v>93.508298545287403</v>
      </c>
      <c r="AK1663">
        <v>17.8590661505817</v>
      </c>
      <c r="AL1663">
        <v>78.644466491433505</v>
      </c>
      <c r="AM1663">
        <v>88.478973945785896</v>
      </c>
      <c r="AN1663">
        <v>0.99999997193318002</v>
      </c>
    </row>
    <row r="1664" spans="1:40" x14ac:dyDescent="0.25">
      <c r="A1664" t="str">
        <f>"20190303170530267"</f>
        <v>20190303170530267</v>
      </c>
      <c r="B1664" t="str">
        <f>"1551603930256672"</f>
        <v>1551603930256672</v>
      </c>
      <c r="C1664" t="s">
        <v>40</v>
      </c>
      <c r="D1664">
        <v>5.6599539999999999</v>
      </c>
      <c r="E1664">
        <v>0.5430604</v>
      </c>
      <c r="F1664" t="s">
        <v>42</v>
      </c>
      <c r="G1664">
        <v>-256.70760000000001</v>
      </c>
      <c r="H1664">
        <v>1.0197780000000001</v>
      </c>
      <c r="I1664">
        <v>284.70940000000002</v>
      </c>
      <c r="J1664">
        <v>-256.06470000000002</v>
      </c>
      <c r="K1664">
        <v>1.1208499999999999</v>
      </c>
      <c r="L1664">
        <v>284.70150000000001</v>
      </c>
      <c r="M1664">
        <v>-0.99985449999999998</v>
      </c>
      <c r="N1664">
        <v>-1.097268E-2</v>
      </c>
      <c r="O1664">
        <v>1.306419E-2</v>
      </c>
      <c r="P1664">
        <v>-0.9817072</v>
      </c>
      <c r="Q1664">
        <v>0.1862847</v>
      </c>
      <c r="R1664">
        <v>3.9359440000000002E-2</v>
      </c>
      <c r="S1664">
        <v>-3.1126100000000001</v>
      </c>
      <c r="T1664">
        <v>-0.30724980000000002</v>
      </c>
      <c r="U1664">
        <v>3.7689210000000001E-2</v>
      </c>
      <c r="V1664">
        <v>2.6399889999999999E-2</v>
      </c>
      <c r="W1664">
        <v>0.19706760000000001</v>
      </c>
      <c r="X1664">
        <v>0.98003439999999997</v>
      </c>
      <c r="Y1664">
        <v>-9.0236190000000005E-4</v>
      </c>
      <c r="Z1664">
        <v>-1.1927039999999999E-3</v>
      </c>
      <c r="AA1664">
        <v>0.99999890000000002</v>
      </c>
      <c r="AB1664">
        <v>41</v>
      </c>
      <c r="AC1664">
        <v>-0.64289999999999703</v>
      </c>
      <c r="AD1664">
        <v>-0.101071999999999</v>
      </c>
      <c r="AE1664">
        <v>7.9000000000064505E-3</v>
      </c>
      <c r="AF1664">
        <v>-4.8808567510913702E-4</v>
      </c>
      <c r="AG1664">
        <v>-0.101071999999999</v>
      </c>
      <c r="AH1664">
        <v>0.62744292203116003</v>
      </c>
      <c r="AI1664">
        <v>99.150909882352806</v>
      </c>
      <c r="AJ1664">
        <v>90.044570179376905</v>
      </c>
      <c r="AK1664">
        <v>0.63553159466593501</v>
      </c>
      <c r="AL1664">
        <v>78.634467698338199</v>
      </c>
      <c r="AM1664">
        <v>88.456955625984193</v>
      </c>
      <c r="AN1664">
        <v>1.00000000917256</v>
      </c>
    </row>
    <row r="1665" spans="1:40" x14ac:dyDescent="0.25">
      <c r="A1665" t="str">
        <f>"20190303170530289"</f>
        <v>20190303170530289</v>
      </c>
      <c r="B1665" t="str">
        <f>"1551603930285952"</f>
        <v>1551603930285952</v>
      </c>
      <c r="C1665" t="s">
        <v>40</v>
      </c>
      <c r="D1665">
        <v>5.660272</v>
      </c>
      <c r="E1665">
        <v>0.54668090000000003</v>
      </c>
      <c r="F1665" t="s">
        <v>42</v>
      </c>
      <c r="G1665">
        <v>-257.03530000000001</v>
      </c>
      <c r="H1665">
        <v>0.95144629999999997</v>
      </c>
      <c r="I1665">
        <v>284.8279</v>
      </c>
      <c r="J1665">
        <v>-256.47199999999998</v>
      </c>
      <c r="K1665">
        <v>1.120884</v>
      </c>
      <c r="L1665">
        <v>284.70650000000001</v>
      </c>
      <c r="M1665">
        <v>-0.99985780000000002</v>
      </c>
      <c r="N1665">
        <v>-1.106536E-2</v>
      </c>
      <c r="O1665">
        <v>1.2726370000000001E-2</v>
      </c>
      <c r="P1665">
        <v>-0.98172939999999997</v>
      </c>
      <c r="Q1665">
        <v>0.18615870000000001</v>
      </c>
      <c r="R1665">
        <v>3.9400039999999997E-2</v>
      </c>
      <c r="S1665">
        <v>-3.1436160000000002</v>
      </c>
      <c r="T1665">
        <v>-0.54871669999999995</v>
      </c>
      <c r="U1665">
        <v>0.4088135</v>
      </c>
      <c r="V1665">
        <v>2.6762500000000002E-2</v>
      </c>
      <c r="W1665">
        <v>0.1970344</v>
      </c>
      <c r="X1665">
        <v>0.98003130000000005</v>
      </c>
      <c r="Y1665">
        <v>0.11467860000000001</v>
      </c>
      <c r="Z1665">
        <v>8.4789919999999994E-3</v>
      </c>
      <c r="AA1665">
        <v>0.99336650000000004</v>
      </c>
      <c r="AB1665">
        <v>41</v>
      </c>
      <c r="AC1665">
        <v>-0.563300000000026</v>
      </c>
      <c r="AD1665">
        <v>-0.1694377</v>
      </c>
      <c r="AE1665">
        <v>0.121399999999994</v>
      </c>
      <c r="AF1665">
        <v>0.105131154840451</v>
      </c>
      <c r="AG1665">
        <v>-0.1694377</v>
      </c>
      <c r="AH1665">
        <v>0.51985219190569598</v>
      </c>
      <c r="AI1665">
        <v>107.71696755664701</v>
      </c>
      <c r="AJ1665">
        <v>78.567111886729904</v>
      </c>
      <c r="AK1665">
        <v>0.556783616253687</v>
      </c>
      <c r="AL1665">
        <v>78.636408633068697</v>
      </c>
      <c r="AM1665">
        <v>88.435766985450698</v>
      </c>
      <c r="AN1665">
        <v>1.0000000675846401</v>
      </c>
    </row>
    <row r="1666" spans="1:40" x14ac:dyDescent="0.25">
      <c r="A1666" t="str">
        <f>"20190303170530303"</f>
        <v>20190303170530303</v>
      </c>
      <c r="B1666" t="str">
        <f>"1551603930296687"</f>
        <v>1551603930296687</v>
      </c>
      <c r="C1666" t="s">
        <v>40</v>
      </c>
      <c r="D1666">
        <v>5.6481969999999997</v>
      </c>
      <c r="E1666">
        <v>0.54693080000000005</v>
      </c>
      <c r="F1666" t="s">
        <v>42</v>
      </c>
      <c r="G1666">
        <v>-257.39359999999999</v>
      </c>
      <c r="H1666">
        <v>0.94190079999999998</v>
      </c>
      <c r="I1666">
        <v>284.834</v>
      </c>
      <c r="J1666">
        <v>-256.72039999999998</v>
      </c>
      <c r="K1666">
        <v>1.1209039999999999</v>
      </c>
      <c r="L1666">
        <v>284.70949999999999</v>
      </c>
      <c r="M1666">
        <v>-0.99985990000000002</v>
      </c>
      <c r="N1666">
        <v>-1.111908E-2</v>
      </c>
      <c r="O1666">
        <v>1.251699E-2</v>
      </c>
      <c r="P1666">
        <v>-0.98172060000000005</v>
      </c>
      <c r="Q1666">
        <v>0.1862183</v>
      </c>
      <c r="R1666">
        <v>3.933536E-2</v>
      </c>
      <c r="S1666">
        <v>-3.154541</v>
      </c>
      <c r="T1666">
        <v>-0.61279510000000004</v>
      </c>
      <c r="U1666">
        <v>0.43548579999999998</v>
      </c>
      <c r="V1666">
        <v>2.6898419999999999E-2</v>
      </c>
      <c r="W1666">
        <v>0.19714709999999999</v>
      </c>
      <c r="X1666">
        <v>0.98000480000000001</v>
      </c>
      <c r="Y1666">
        <v>0.1221735</v>
      </c>
      <c r="Z1666">
        <v>1.01317E-2</v>
      </c>
      <c r="AA1666">
        <v>0.99245700000000003</v>
      </c>
      <c r="AB1666">
        <v>41</v>
      </c>
      <c r="AC1666">
        <v>-0.67320000000000801</v>
      </c>
      <c r="AD1666">
        <v>-0.1790032</v>
      </c>
      <c r="AE1666">
        <v>0.124500000000011</v>
      </c>
      <c r="AF1666">
        <v>0.10863645496916501</v>
      </c>
      <c r="AG1666">
        <v>-0.1790032</v>
      </c>
      <c r="AH1666">
        <v>0.63153163102982002</v>
      </c>
      <c r="AI1666">
        <v>105.607180251394</v>
      </c>
      <c r="AJ1666">
        <v>80.239471927629197</v>
      </c>
      <c r="AK1666">
        <v>0.66533918113221902</v>
      </c>
      <c r="AL1666">
        <v>78.629820922767493</v>
      </c>
      <c r="AM1666">
        <v>88.427784125495506</v>
      </c>
      <c r="AN1666">
        <v>0.99999995602997205</v>
      </c>
    </row>
    <row r="1667" spans="1:40" x14ac:dyDescent="0.25">
      <c r="A1667" t="str">
        <f>"20190303170530322"</f>
        <v>20190303170530322</v>
      </c>
      <c r="B1667" t="str">
        <f>"1551603930316208"</f>
        <v>1551603930316208</v>
      </c>
      <c r="C1667" t="s">
        <v>40</v>
      </c>
      <c r="D1667">
        <v>5.6620589999999904</v>
      </c>
      <c r="E1667">
        <v>0.54729090000000002</v>
      </c>
      <c r="F1667" t="s">
        <v>42</v>
      </c>
      <c r="G1667">
        <v>-257.74619999999999</v>
      </c>
      <c r="H1667">
        <v>0.91865730000000001</v>
      </c>
      <c r="I1667">
        <v>284.85160000000002</v>
      </c>
      <c r="J1667">
        <v>-257.06599999999997</v>
      </c>
      <c r="K1667">
        <v>1.120922</v>
      </c>
      <c r="L1667">
        <v>284.71359999999999</v>
      </c>
      <c r="M1667">
        <v>-0.99986269999999999</v>
      </c>
      <c r="N1667">
        <v>-1.11875E-2</v>
      </c>
      <c r="O1667">
        <v>1.222238E-2</v>
      </c>
      <c r="P1667">
        <v>-0.98173929999999998</v>
      </c>
      <c r="Q1667">
        <v>0.1861478</v>
      </c>
      <c r="R1667">
        <v>3.9206619999999998E-2</v>
      </c>
      <c r="S1667">
        <v>-3.1564030000000001</v>
      </c>
      <c r="T1667">
        <v>-0.62231829999999999</v>
      </c>
      <c r="U1667">
        <v>0.43673709999999999</v>
      </c>
      <c r="V1667">
        <v>2.7053130000000002E-2</v>
      </c>
      <c r="W1667">
        <v>0.19714470000000001</v>
      </c>
      <c r="X1667">
        <v>0.98000100000000001</v>
      </c>
      <c r="Y1667">
        <v>0.122693899999999</v>
      </c>
      <c r="Z1667">
        <v>1.0380739999999999E-2</v>
      </c>
      <c r="AA1667">
        <v>0.99239029999999995</v>
      </c>
      <c r="AB1667">
        <v>41</v>
      </c>
      <c r="AC1667">
        <v>-0.68020000000001302</v>
      </c>
      <c r="AD1667">
        <v>-0.20226469999999999</v>
      </c>
      <c r="AE1667">
        <v>0.13800000000003301</v>
      </c>
      <c r="AF1667">
        <v>0.119524567286415</v>
      </c>
      <c r="AG1667">
        <v>-0.20226469999999999</v>
      </c>
      <c r="AH1667">
        <v>0.62846216750217099</v>
      </c>
      <c r="AI1667">
        <v>107.545568310964</v>
      </c>
      <c r="AJ1667">
        <v>79.231759747574898</v>
      </c>
      <c r="AK1667">
        <v>0.67094100115630295</v>
      </c>
      <c r="AL1667">
        <v>78.629960911903396</v>
      </c>
      <c r="AM1667">
        <v>88.418739757022493</v>
      </c>
      <c r="AN1667">
        <v>0.99999993229094097</v>
      </c>
    </row>
    <row r="1668" spans="1:40" x14ac:dyDescent="0.25">
      <c r="A1668" t="str">
        <f>"20190303170530334"</f>
        <v>20190303170530334</v>
      </c>
      <c r="B1668" t="str">
        <f>"1551603930325969"</f>
        <v>1551603930325969</v>
      </c>
      <c r="C1668" t="s">
        <v>40</v>
      </c>
      <c r="D1668">
        <v>5.6506129999999999</v>
      </c>
      <c r="E1668">
        <v>0.54740880000000003</v>
      </c>
      <c r="F1668" t="s">
        <v>42</v>
      </c>
      <c r="G1668">
        <v>-257.77409999999998</v>
      </c>
      <c r="H1668">
        <v>0.97907940000000004</v>
      </c>
      <c r="I1668">
        <v>284.81209999999999</v>
      </c>
      <c r="J1668">
        <v>-257.29629999999997</v>
      </c>
      <c r="K1668">
        <v>1.120935</v>
      </c>
      <c r="L1668">
        <v>284.71629999999999</v>
      </c>
      <c r="M1668">
        <v>-0.99986459999999999</v>
      </c>
      <c r="N1668">
        <v>-1.123064E-2</v>
      </c>
      <c r="O1668">
        <v>1.2024139999999999E-2</v>
      </c>
      <c r="P1668">
        <v>-0.98170610000000003</v>
      </c>
      <c r="Q1668">
        <v>0.18633479999999999</v>
      </c>
      <c r="R1668">
        <v>3.9146970000000003E-2</v>
      </c>
      <c r="S1668">
        <v>-3.1582340000000002</v>
      </c>
      <c r="T1668">
        <v>-0.63262739999999995</v>
      </c>
      <c r="U1668">
        <v>0.43899539999999998</v>
      </c>
      <c r="V1668">
        <v>2.7185270000000001E-2</v>
      </c>
      <c r="W1668">
        <v>0.1973743</v>
      </c>
      <c r="X1668">
        <v>0.97995120000000002</v>
      </c>
      <c r="Y1668">
        <v>0.12342069999999999</v>
      </c>
      <c r="Z1668">
        <v>1.064619E-2</v>
      </c>
      <c r="AA1668">
        <v>0.9922974</v>
      </c>
      <c r="AB1668">
        <v>41</v>
      </c>
      <c r="AC1668">
        <v>-0.477800000000002</v>
      </c>
      <c r="AD1668">
        <v>-0.1418556</v>
      </c>
      <c r="AE1668">
        <v>9.5799999999996999E-2</v>
      </c>
      <c r="AF1668">
        <v>8.30131273613159E-2</v>
      </c>
      <c r="AG1668">
        <v>-0.1418556</v>
      </c>
      <c r="AH1668">
        <v>0.44150476666760702</v>
      </c>
      <c r="AI1668">
        <v>107.52440445768799</v>
      </c>
      <c r="AJ1668">
        <v>79.351389874909898</v>
      </c>
      <c r="AK1668">
        <v>0.47110577321434299</v>
      </c>
      <c r="AL1668">
        <v>78.616542963468703</v>
      </c>
      <c r="AM1668">
        <v>88.410939391867998</v>
      </c>
      <c r="AN1668">
        <v>1.00000000379345</v>
      </c>
    </row>
    <row r="1669" spans="1:40" x14ac:dyDescent="0.25">
      <c r="A1669" t="str">
        <f>"20190303170530347"</f>
        <v>20190303170530347</v>
      </c>
      <c r="B1669" t="str">
        <f>"1551603930336704"</f>
        <v>1551603930336704</v>
      </c>
      <c r="C1669" t="s">
        <v>40</v>
      </c>
      <c r="D1669">
        <v>5.6520669999999997</v>
      </c>
      <c r="E1669">
        <v>0.547317099999999</v>
      </c>
      <c r="F1669" t="s">
        <v>42</v>
      </c>
      <c r="G1669">
        <v>-258.125</v>
      </c>
      <c r="H1669">
        <v>0.95400229999999997</v>
      </c>
      <c r="I1669">
        <v>284.83170000000001</v>
      </c>
      <c r="J1669">
        <v>-257.5249</v>
      </c>
      <c r="K1669">
        <v>1.120946</v>
      </c>
      <c r="L1669">
        <v>284.71890000000002</v>
      </c>
      <c r="M1669">
        <v>-0.99986660000000005</v>
      </c>
      <c r="N1669">
        <v>-1.127325E-2</v>
      </c>
      <c r="O1669">
        <v>1.18271E-2</v>
      </c>
      <c r="P1669">
        <v>-0.9816511</v>
      </c>
      <c r="Q1669">
        <v>0.1865607</v>
      </c>
      <c r="R1669">
        <v>3.9451769999999997E-2</v>
      </c>
      <c r="S1669">
        <v>-3.1592099999999999</v>
      </c>
      <c r="T1669">
        <v>-0.63650830000000003</v>
      </c>
      <c r="U1669">
        <v>0.43905640000000001</v>
      </c>
      <c r="V1669">
        <v>2.7681049999999999E-2</v>
      </c>
      <c r="W1669">
        <v>0.1976417</v>
      </c>
      <c r="X1669">
        <v>0.97988339999999996</v>
      </c>
      <c r="Y1669">
        <v>0.12356010000000001</v>
      </c>
      <c r="Z1669">
        <v>1.0757009999999999E-2</v>
      </c>
      <c r="AA1669">
        <v>0.99227880000000002</v>
      </c>
      <c r="AB1669">
        <v>41</v>
      </c>
      <c r="AC1669">
        <v>-0.60009999999999697</v>
      </c>
      <c r="AD1669">
        <v>-0.166943699999999</v>
      </c>
      <c r="AE1669">
        <v>0.112799999999992</v>
      </c>
      <c r="AF1669">
        <v>9.8343042026663302E-2</v>
      </c>
      <c r="AG1669">
        <v>-0.166943699999999</v>
      </c>
      <c r="AH1669">
        <v>0.55956457016975503</v>
      </c>
      <c r="AI1669">
        <v>106.375012426448</v>
      </c>
      <c r="AJ1669">
        <v>80.032107709650404</v>
      </c>
      <c r="AK1669">
        <v>0.59216050279802601</v>
      </c>
      <c r="AL1669">
        <v>78.600913928856798</v>
      </c>
      <c r="AM1669">
        <v>88.381862935541307</v>
      </c>
      <c r="AN1669">
        <v>0.99999997985177602</v>
      </c>
    </row>
    <row r="1670" spans="1:40" x14ac:dyDescent="0.25">
      <c r="A1670" t="str">
        <f>"20190303170530366"</f>
        <v>20190303170530366</v>
      </c>
      <c r="B1670" t="str">
        <f>"1551603930356224"</f>
        <v>1551603930356224</v>
      </c>
      <c r="C1670" t="s">
        <v>40</v>
      </c>
      <c r="D1670">
        <v>5.6679940000000002</v>
      </c>
      <c r="E1670">
        <v>0.54708469999999998</v>
      </c>
      <c r="F1670" t="s">
        <v>42</v>
      </c>
      <c r="G1670">
        <v>-258.47629999999998</v>
      </c>
      <c r="H1670">
        <v>0.92838620000000005</v>
      </c>
      <c r="I1670">
        <v>284.851</v>
      </c>
      <c r="J1670">
        <v>-257.86989999999997</v>
      </c>
      <c r="K1670">
        <v>1.120973</v>
      </c>
      <c r="L1670">
        <v>284.72269999999997</v>
      </c>
      <c r="M1670">
        <v>-0.99986920000000001</v>
      </c>
      <c r="N1670">
        <v>-1.1337099999999999E-2</v>
      </c>
      <c r="O1670">
        <v>1.1529289999999999E-2</v>
      </c>
      <c r="P1670">
        <v>-0.98149050000000004</v>
      </c>
      <c r="Q1670">
        <v>0.18729899999999999</v>
      </c>
      <c r="R1670">
        <v>3.994611E-2</v>
      </c>
      <c r="S1670">
        <v>-3.1600039999999998</v>
      </c>
      <c r="T1670">
        <v>-0.63956899999999905</v>
      </c>
      <c r="U1670">
        <v>0.43850709999999998</v>
      </c>
      <c r="V1670">
        <v>2.8465089999999998E-2</v>
      </c>
      <c r="W1670">
        <v>0.1984419</v>
      </c>
      <c r="X1670">
        <v>0.97969919999999999</v>
      </c>
      <c r="Y1670">
        <v>0.123624</v>
      </c>
      <c r="Z1670">
        <v>1.086904E-2</v>
      </c>
      <c r="AA1670">
        <v>0.99226959999999997</v>
      </c>
      <c r="AB1670">
        <v>41</v>
      </c>
      <c r="AC1670">
        <v>-0.60640000000000704</v>
      </c>
      <c r="AD1670">
        <v>-0.1925868</v>
      </c>
      <c r="AE1670">
        <v>0.12830000000002401</v>
      </c>
      <c r="AF1670">
        <v>0.110620170269233</v>
      </c>
      <c r="AG1670">
        <v>-0.1925868</v>
      </c>
      <c r="AH1670">
        <v>0.55432350633136096</v>
      </c>
      <c r="AI1670">
        <v>108.81442866312</v>
      </c>
      <c r="AJ1670">
        <v>78.714372588051305</v>
      </c>
      <c r="AK1670">
        <v>0.59716082195345799</v>
      </c>
      <c r="AL1670">
        <v>78.554139476129293</v>
      </c>
      <c r="AM1670">
        <v>88.335743445265393</v>
      </c>
      <c r="AN1670">
        <v>0.99999998575247895</v>
      </c>
    </row>
    <row r="1671" spans="1:40" x14ac:dyDescent="0.25">
      <c r="A1671" t="str">
        <f>"20190303170530380"</f>
        <v>20190303170530380</v>
      </c>
      <c r="B1671" t="str">
        <f>"1551603930376720"</f>
        <v>1551603930376720</v>
      </c>
      <c r="C1671" t="s">
        <v>40</v>
      </c>
      <c r="D1671">
        <v>5.658741</v>
      </c>
      <c r="E1671">
        <v>0.54695150000000003</v>
      </c>
      <c r="F1671" t="s">
        <v>42</v>
      </c>
      <c r="G1671">
        <v>-258.83730000000003</v>
      </c>
      <c r="H1671">
        <v>0.92385879999999998</v>
      </c>
      <c r="I1671">
        <v>284.85599999999999</v>
      </c>
      <c r="J1671">
        <v>-258.13319999999999</v>
      </c>
      <c r="K1671">
        <v>1.1209899999999999</v>
      </c>
      <c r="L1671">
        <v>284.72559999999999</v>
      </c>
      <c r="M1671">
        <v>-0.99987139999999997</v>
      </c>
      <c r="N1671">
        <v>-1.138486E-2</v>
      </c>
      <c r="O1671">
        <v>1.1301759999999999E-2</v>
      </c>
      <c r="P1671">
        <v>-0.98145499999999997</v>
      </c>
      <c r="Q1671">
        <v>0.1873533</v>
      </c>
      <c r="R1671">
        <v>4.0560480000000003E-2</v>
      </c>
      <c r="S1671">
        <v>-3.1618040000000001</v>
      </c>
      <c r="T1671">
        <v>-0.64432290000000003</v>
      </c>
      <c r="U1671">
        <v>0.4347839</v>
      </c>
      <c r="V1671">
        <v>2.9300099999999999E-2</v>
      </c>
      <c r="W1671">
        <v>0.19854369999999999</v>
      </c>
      <c r="X1671">
        <v>0.97965400000000002</v>
      </c>
      <c r="Y1671">
        <v>0.12261089999999999</v>
      </c>
      <c r="Z1671">
        <v>1.087641E-2</v>
      </c>
      <c r="AA1671">
        <v>0.99239520000000003</v>
      </c>
      <c r="AB1671">
        <v>41</v>
      </c>
      <c r="AC1671">
        <v>-0.70410000000003903</v>
      </c>
      <c r="AD1671">
        <v>-0.19713119999999901</v>
      </c>
      <c r="AE1671">
        <v>0.13040000000000801</v>
      </c>
      <c r="AF1671">
        <v>0.11380837042275201</v>
      </c>
      <c r="AG1671">
        <v>-0.19713119999999901</v>
      </c>
      <c r="AH1671">
        <v>0.65582568823058895</v>
      </c>
      <c r="AI1671">
        <v>106.497104939408</v>
      </c>
      <c r="AJ1671">
        <v>80.155247663057196</v>
      </c>
      <c r="AK1671">
        <v>0.69420486063902498</v>
      </c>
      <c r="AL1671">
        <v>78.548188844877501</v>
      </c>
      <c r="AM1671">
        <v>88.286872947381497</v>
      </c>
      <c r="AN1671">
        <v>1.0000000281928401</v>
      </c>
    </row>
    <row r="1672" spans="1:40" x14ac:dyDescent="0.25">
      <c r="A1672" t="str">
        <f>"20190303170530413"</f>
        <v>20190303170530413</v>
      </c>
      <c r="B1672" t="str">
        <f>"1551603930406000"</f>
        <v>1551603930406000</v>
      </c>
      <c r="C1672" t="s">
        <v>40</v>
      </c>
      <c r="D1672">
        <v>5.7211309999999997</v>
      </c>
      <c r="E1672">
        <v>0.5468016</v>
      </c>
      <c r="F1672" t="s">
        <v>42</v>
      </c>
      <c r="G1672">
        <v>-258.85969999999998</v>
      </c>
      <c r="H1672">
        <v>0.97188560000000002</v>
      </c>
      <c r="I1672">
        <v>284.82560000000001</v>
      </c>
      <c r="J1672">
        <v>-258.72559999999999</v>
      </c>
      <c r="K1672">
        <v>1.121014</v>
      </c>
      <c r="L1672">
        <v>284.73180000000002</v>
      </c>
      <c r="M1672">
        <v>-0.99987590000000004</v>
      </c>
      <c r="N1672">
        <v>-1.148279E-2</v>
      </c>
      <c r="O1672">
        <v>1.079104E-2</v>
      </c>
      <c r="P1672">
        <v>-0.98159909999999995</v>
      </c>
      <c r="Q1672">
        <v>0.18646260000000001</v>
      </c>
      <c r="R1672">
        <v>4.1169509999999999E-2</v>
      </c>
      <c r="S1672">
        <v>-3.1626889999999999</v>
      </c>
      <c r="T1672">
        <v>-0.64925029999999995</v>
      </c>
      <c r="U1672">
        <v>0.4343262</v>
      </c>
      <c r="V1672">
        <v>3.040489E-2</v>
      </c>
      <c r="W1672">
        <v>0.1977525</v>
      </c>
      <c r="X1672">
        <v>0.97978030000000005</v>
      </c>
      <c r="Y1672">
        <v>0.1228882</v>
      </c>
      <c r="Z1672">
        <v>1.10834E-2</v>
      </c>
      <c r="AA1672">
        <v>0.99235859999999998</v>
      </c>
      <c r="AB1672">
        <v>41</v>
      </c>
      <c r="AC1672">
        <v>-0.13409999999998901</v>
      </c>
      <c r="AD1672">
        <v>-0.149128399999999</v>
      </c>
      <c r="AE1672">
        <v>9.3799999999987393E-2</v>
      </c>
      <c r="AF1672">
        <v>5.0451879194302801E-2</v>
      </c>
      <c r="AG1672">
        <v>-0.149128399999999</v>
      </c>
      <c r="AH1672">
        <v>7.3811243339091406E-2</v>
      </c>
      <c r="AI1672">
        <v>149.05622358447999</v>
      </c>
      <c r="AJ1672">
        <v>55.646391197191399</v>
      </c>
      <c r="AK1672">
        <v>0.17387573563916001</v>
      </c>
      <c r="AL1672">
        <v>78.594437650977994</v>
      </c>
      <c r="AM1672">
        <v>88.222547455501001</v>
      </c>
      <c r="AN1672">
        <v>0.99999997243012495</v>
      </c>
    </row>
    <row r="1673" spans="1:40" x14ac:dyDescent="0.25">
      <c r="A1673" t="str">
        <f>"20190303170530434"</f>
        <v>20190303170530434</v>
      </c>
      <c r="B1673" t="str">
        <f>"1551603930426497"</f>
        <v>1551603930426497</v>
      </c>
      <c r="C1673" t="s">
        <v>40</v>
      </c>
      <c r="D1673">
        <v>5.7101930000000003</v>
      </c>
      <c r="E1673">
        <v>0.54653409999999902</v>
      </c>
      <c r="F1673" t="s">
        <v>42</v>
      </c>
      <c r="G1673">
        <v>-259.57330000000002</v>
      </c>
      <c r="H1673">
        <v>0.94504999999999995</v>
      </c>
      <c r="I1673">
        <v>284.84859999999998</v>
      </c>
      <c r="J1673">
        <v>-259.09980000000002</v>
      </c>
      <c r="K1673">
        <v>1.1210249999999999</v>
      </c>
      <c r="L1673">
        <v>284.7355</v>
      </c>
      <c r="M1673">
        <v>-0.99987859999999995</v>
      </c>
      <c r="N1673">
        <v>-1.153735E-2</v>
      </c>
      <c r="O1673">
        <v>1.0468649999999999E-2</v>
      </c>
      <c r="P1673">
        <v>-0.98172269999999995</v>
      </c>
      <c r="Q1673">
        <v>0.18575559999999999</v>
      </c>
      <c r="R1673">
        <v>4.1420220000000001E-2</v>
      </c>
      <c r="S1673">
        <v>-3.1627200000000002</v>
      </c>
      <c r="T1673">
        <v>-0.65656329999999996</v>
      </c>
      <c r="U1673">
        <v>0.43515009999999998</v>
      </c>
      <c r="V1673">
        <v>3.096927E-2</v>
      </c>
      <c r="W1673">
        <v>0.19710130000000001</v>
      </c>
      <c r="X1673">
        <v>0.97989389999999998</v>
      </c>
      <c r="Y1673">
        <v>0.12338929999999999</v>
      </c>
      <c r="Z1673">
        <v>1.1316690000000001E-2</v>
      </c>
      <c r="AA1673">
        <v>0.9922938</v>
      </c>
      <c r="AB1673">
        <v>41</v>
      </c>
      <c r="AC1673">
        <v>-0.47350000000000098</v>
      </c>
      <c r="AD1673">
        <v>-0.17597499999999999</v>
      </c>
      <c r="AE1673">
        <v>0.113099999999974</v>
      </c>
      <c r="AF1673">
        <v>9.5639650156688003E-2</v>
      </c>
      <c r="AG1673">
        <v>-0.17597499999999999</v>
      </c>
      <c r="AH1673">
        <v>0.41980376867383201</v>
      </c>
      <c r="AI1673">
        <v>112.23040664808499</v>
      </c>
      <c r="AJ1673">
        <v>77.165926908719399</v>
      </c>
      <c r="AK1673">
        <v>0.465133687771426</v>
      </c>
      <c r="AL1673">
        <v>78.6324985190071</v>
      </c>
      <c r="AM1673">
        <v>88.189785623437004</v>
      </c>
      <c r="AN1673">
        <v>1.00000003670161</v>
      </c>
    </row>
    <row r="1674" spans="1:40" x14ac:dyDescent="0.25">
      <c r="A1674" t="str">
        <f>"20190303170530455"</f>
        <v>20190303170530455</v>
      </c>
      <c r="B1674" t="str">
        <f>"1551603930446016"</f>
        <v>1551603930446016</v>
      </c>
      <c r="C1674" t="s">
        <v>40</v>
      </c>
      <c r="D1674">
        <v>5.6932280000000004</v>
      </c>
      <c r="E1674">
        <v>0.54638229999999999</v>
      </c>
      <c r="F1674" t="s">
        <v>42</v>
      </c>
      <c r="G1674">
        <v>-259.93700000000001</v>
      </c>
      <c r="H1674">
        <v>0.94576119999999997</v>
      </c>
      <c r="I1674">
        <v>284.85070000000002</v>
      </c>
      <c r="J1674">
        <v>-259.49270000000001</v>
      </c>
      <c r="K1674">
        <v>1.12104</v>
      </c>
      <c r="L1674">
        <v>284.73930000000001</v>
      </c>
      <c r="M1674">
        <v>-0.99988160000000004</v>
      </c>
      <c r="N1674">
        <v>-1.158874E-2</v>
      </c>
      <c r="O1674">
        <v>1.012968E-2</v>
      </c>
      <c r="P1674">
        <v>-0.98163829999999996</v>
      </c>
      <c r="Q1674">
        <v>0.18621280000000001</v>
      </c>
      <c r="R1674">
        <v>4.136534E-2</v>
      </c>
      <c r="S1674">
        <v>-3.162811</v>
      </c>
      <c r="T1674">
        <v>-0.66220179999999995</v>
      </c>
      <c r="U1674">
        <v>0.43435669999999998</v>
      </c>
      <c r="V1674">
        <v>3.1245990000000001E-2</v>
      </c>
      <c r="W1674">
        <v>0.19760800000000001</v>
      </c>
      <c r="X1674">
        <v>0.97978299999999996</v>
      </c>
      <c r="Y1674">
        <v>0.1234276</v>
      </c>
      <c r="Z1674">
        <v>1.147866E-2</v>
      </c>
      <c r="AA1674">
        <v>0.99228720000000004</v>
      </c>
      <c r="AB1674">
        <v>41</v>
      </c>
      <c r="AC1674">
        <v>-0.44429999999999797</v>
      </c>
      <c r="AD1674">
        <v>-0.17527880000000001</v>
      </c>
      <c r="AE1674">
        <v>0.111400000000003</v>
      </c>
      <c r="AF1674">
        <v>9.3240271614182399E-2</v>
      </c>
      <c r="AG1674">
        <v>-0.17527880000000001</v>
      </c>
      <c r="AH1674">
        <v>0.38851570141751302</v>
      </c>
      <c r="AI1674">
        <v>113.68673848388499</v>
      </c>
      <c r="AJ1674">
        <v>76.504754309560596</v>
      </c>
      <c r="AK1674">
        <v>0.43630362848373</v>
      </c>
      <c r="AL1674">
        <v>78.602883649360194</v>
      </c>
      <c r="AM1674">
        <v>88.173415119910501</v>
      </c>
      <c r="AN1674">
        <v>0.99999998032203896</v>
      </c>
    </row>
    <row r="1675" spans="1:40" x14ac:dyDescent="0.25">
      <c r="A1675" t="str">
        <f>"20190303170530478"</f>
        <v>20190303170530478</v>
      </c>
      <c r="B1675" t="str">
        <f>"1551603930466513"</f>
        <v>1551603930466513</v>
      </c>
      <c r="C1675" t="s">
        <v>40</v>
      </c>
      <c r="D1675">
        <v>5.7230499999999997</v>
      </c>
      <c r="E1675">
        <v>0.54629019999999995</v>
      </c>
      <c r="F1675" t="s">
        <v>42</v>
      </c>
      <c r="G1675">
        <v>-260.30279999999999</v>
      </c>
      <c r="H1675">
        <v>0.95111840000000003</v>
      </c>
      <c r="I1675">
        <v>284.8503</v>
      </c>
      <c r="J1675">
        <v>-259.88889999999998</v>
      </c>
      <c r="K1675">
        <v>1.121049</v>
      </c>
      <c r="L1675">
        <v>284.74310000000003</v>
      </c>
      <c r="M1675">
        <v>-0.99988440000000001</v>
      </c>
      <c r="N1675">
        <v>-1.163524E-2</v>
      </c>
      <c r="O1675">
        <v>9.7873439999999999E-3</v>
      </c>
      <c r="P1675">
        <v>-0.98153970000000001</v>
      </c>
      <c r="Q1675">
        <v>0.18682550000000001</v>
      </c>
      <c r="R1675">
        <v>4.0939730000000001E-2</v>
      </c>
      <c r="S1675">
        <v>-3.163818</v>
      </c>
      <c r="T1675">
        <v>-0.66378119999999996</v>
      </c>
      <c r="U1675">
        <v>0.43246459999999998</v>
      </c>
      <c r="V1675">
        <v>3.1155800000000001E-2</v>
      </c>
      <c r="W1675">
        <v>0.1982652</v>
      </c>
      <c r="X1675">
        <v>0.97965310000000005</v>
      </c>
      <c r="Y1675">
        <v>0.12313109999999999</v>
      </c>
      <c r="Z1675">
        <v>1.1538390000000001E-2</v>
      </c>
      <c r="AA1675">
        <v>0.99232330000000002</v>
      </c>
      <c r="AB1675">
        <v>41</v>
      </c>
      <c r="AC1675">
        <v>-0.41390000000001198</v>
      </c>
      <c r="AD1675">
        <v>-0.16993059999999899</v>
      </c>
      <c r="AE1675">
        <v>0.10719999999997699</v>
      </c>
      <c r="AF1675">
        <v>8.9073330582451593E-2</v>
      </c>
      <c r="AG1675">
        <v>-0.16993059999999899</v>
      </c>
      <c r="AH1675">
        <v>0.35832707656720503</v>
      </c>
      <c r="AI1675">
        <v>114.713165664142</v>
      </c>
      <c r="AJ1675">
        <v>76.040298091844406</v>
      </c>
      <c r="AK1675">
        <v>0.40645880583228899</v>
      </c>
      <c r="AL1675">
        <v>78.564468870046696</v>
      </c>
      <c r="AM1675">
        <v>88.178442570312001</v>
      </c>
      <c r="AN1675">
        <v>0.99999998487214403</v>
      </c>
    </row>
    <row r="1676" spans="1:40" x14ac:dyDescent="0.25">
      <c r="A1676" t="str">
        <f>"20190303170530501"</f>
        <v>20190303170530501</v>
      </c>
      <c r="B1676" t="str">
        <f>"1551603930496769"</f>
        <v>1551603930496769</v>
      </c>
      <c r="C1676" t="s">
        <v>40</v>
      </c>
      <c r="D1676">
        <v>5.73095</v>
      </c>
      <c r="E1676">
        <v>0.54626759999999996</v>
      </c>
      <c r="F1676" t="s">
        <v>42</v>
      </c>
      <c r="G1676">
        <v>-260.66919999999999</v>
      </c>
      <c r="H1676">
        <v>0.95744169999999995</v>
      </c>
      <c r="I1676">
        <v>284.8492</v>
      </c>
      <c r="J1676">
        <v>-260.31049999999999</v>
      </c>
      <c r="K1676">
        <v>1.1210560000000001</v>
      </c>
      <c r="L1676">
        <v>284.74680000000001</v>
      </c>
      <c r="M1676">
        <v>-0.99988739999999998</v>
      </c>
      <c r="N1676">
        <v>-1.1679169999999999E-2</v>
      </c>
      <c r="O1676">
        <v>9.4223310000000008E-3</v>
      </c>
      <c r="P1676">
        <v>-0.98158350000000005</v>
      </c>
      <c r="Q1676">
        <v>0.1867655</v>
      </c>
      <c r="R1676">
        <v>4.0160229999999998E-2</v>
      </c>
      <c r="S1676">
        <v>-3.1647949999999998</v>
      </c>
      <c r="T1676">
        <v>-0.66353609999999996</v>
      </c>
      <c r="U1676">
        <v>0.43005369999999998</v>
      </c>
      <c r="V1676">
        <v>3.0733679999999999E-2</v>
      </c>
      <c r="W1676">
        <v>0.19824839999999999</v>
      </c>
      <c r="X1676">
        <v>0.97966989999999998</v>
      </c>
      <c r="Y1676">
        <v>0.1227148</v>
      </c>
      <c r="Z1676">
        <v>1.156067E-2</v>
      </c>
      <c r="AA1676">
        <v>0.99237470000000005</v>
      </c>
      <c r="AB1676">
        <v>41</v>
      </c>
      <c r="AC1676">
        <v>-0.35869999999999802</v>
      </c>
      <c r="AD1676">
        <v>-0.16361429999999999</v>
      </c>
      <c r="AE1676">
        <v>0.102399999999988</v>
      </c>
      <c r="AF1676">
        <v>8.3040324482035494E-2</v>
      </c>
      <c r="AG1676">
        <v>-0.16361429999999999</v>
      </c>
      <c r="AH1676">
        <v>0.30162336997773798</v>
      </c>
      <c r="AI1676">
        <v>117.609001307125</v>
      </c>
      <c r="AJ1676">
        <v>74.607167499497095</v>
      </c>
      <c r="AK1676">
        <v>0.35304672774478302</v>
      </c>
      <c r="AL1676">
        <v>78.565451688649901</v>
      </c>
      <c r="AM1676">
        <v>88.203136774780504</v>
      </c>
      <c r="AN1676">
        <v>1.00000005007745</v>
      </c>
    </row>
    <row r="1677" spans="1:40" x14ac:dyDescent="0.25">
      <c r="A1677" t="str">
        <f>"20190303170530525"</f>
        <v>20190303170530525</v>
      </c>
      <c r="B1677" t="str">
        <f>"1551603930516288"</f>
        <v>1551603930516288</v>
      </c>
      <c r="C1677" t="s">
        <v>40</v>
      </c>
      <c r="D1677">
        <v>5.7058450000000001</v>
      </c>
      <c r="E1677">
        <v>0.54626799999999998</v>
      </c>
      <c r="F1677" t="s">
        <v>42</v>
      </c>
      <c r="G1677">
        <v>-261.0378</v>
      </c>
      <c r="H1677">
        <v>0.96805949999999996</v>
      </c>
      <c r="I1677">
        <v>284.84550000000002</v>
      </c>
      <c r="J1677">
        <v>-260.73480000000001</v>
      </c>
      <c r="K1677">
        <v>1.1210629999999999</v>
      </c>
      <c r="L1677">
        <v>284.75049999999999</v>
      </c>
      <c r="M1677">
        <v>-0.99989039999999996</v>
      </c>
      <c r="N1677">
        <v>-1.1717480000000001E-2</v>
      </c>
      <c r="O1677">
        <v>9.0542639999999994E-3</v>
      </c>
      <c r="P1677">
        <v>-0.98164499999999999</v>
      </c>
      <c r="Q1677">
        <v>0.18665899999999999</v>
      </c>
      <c r="R1677">
        <v>3.9134670000000003E-2</v>
      </c>
      <c r="S1677">
        <v>-3.1654969999999998</v>
      </c>
      <c r="T1677">
        <v>-0.66599489999999995</v>
      </c>
      <c r="U1677">
        <v>0.42800899999999997</v>
      </c>
      <c r="V1677">
        <v>3.0068460000000002E-2</v>
      </c>
      <c r="W1677">
        <v>0.1981792</v>
      </c>
      <c r="X1677">
        <v>0.97970449999999998</v>
      </c>
      <c r="Y1677">
        <v>0.122403</v>
      </c>
      <c r="Z1677">
        <v>1.1638310000000001E-2</v>
      </c>
      <c r="AA1677">
        <v>0.99241219999999997</v>
      </c>
      <c r="AB1677">
        <v>41</v>
      </c>
      <c r="AC1677">
        <v>-0.30299999999999699</v>
      </c>
      <c r="AD1677">
        <v>-0.15300349999999899</v>
      </c>
      <c r="AE1677">
        <v>9.5000000000027202E-2</v>
      </c>
      <c r="AF1677">
        <v>7.4870261423393106E-2</v>
      </c>
      <c r="AG1677">
        <v>-0.15300349999999899</v>
      </c>
      <c r="AH1677">
        <v>0.24659678349570399</v>
      </c>
      <c r="AI1677">
        <v>120.69757525327699</v>
      </c>
      <c r="AJ1677">
        <v>73.110970108971301</v>
      </c>
      <c r="AK1677">
        <v>0.29970919353313902</v>
      </c>
      <c r="AL1677">
        <v>78.569496322836201</v>
      </c>
      <c r="AM1677">
        <v>88.242066638036505</v>
      </c>
      <c r="AN1677">
        <v>1.0000000074598301</v>
      </c>
    </row>
    <row r="1678" spans="1:40" x14ac:dyDescent="0.25">
      <c r="A1678" t="str">
        <f>"20190303170530545"</f>
        <v>20190303170530545</v>
      </c>
      <c r="B1678" t="str">
        <f>"1551603930535811"</f>
        <v>1551603930535811</v>
      </c>
      <c r="C1678" t="s">
        <v>40</v>
      </c>
      <c r="D1678">
        <v>5.7343279999999996</v>
      </c>
      <c r="E1678">
        <v>0.54622729999999997</v>
      </c>
      <c r="F1678" t="s">
        <v>42</v>
      </c>
      <c r="G1678">
        <v>-261.73840000000001</v>
      </c>
      <c r="H1678">
        <v>0.9094738</v>
      </c>
      <c r="I1678">
        <v>284.88569999999999</v>
      </c>
      <c r="J1678">
        <v>-261.1189</v>
      </c>
      <c r="K1678">
        <v>1.1210690000000001</v>
      </c>
      <c r="L1678">
        <v>284.75369999999998</v>
      </c>
      <c r="M1678">
        <v>-0.99989309999999998</v>
      </c>
      <c r="N1678">
        <v>-1.1744299999999999E-2</v>
      </c>
      <c r="O1678">
        <v>8.7217340000000001E-3</v>
      </c>
      <c r="P1678">
        <v>-0.98166790000000004</v>
      </c>
      <c r="Q1678">
        <v>0.18671840000000001</v>
      </c>
      <c r="R1678">
        <v>3.8270129999999999E-2</v>
      </c>
      <c r="S1678">
        <v>-3.166077</v>
      </c>
      <c r="T1678">
        <v>-0.667606699999999</v>
      </c>
      <c r="U1678">
        <v>0.42544559999999998</v>
      </c>
      <c r="V1678">
        <v>2.9529739999999999E-2</v>
      </c>
      <c r="W1678">
        <v>0.1982643</v>
      </c>
      <c r="X1678">
        <v>0.97970369999999996</v>
      </c>
      <c r="Y1678">
        <v>0.12191249999999999</v>
      </c>
      <c r="Z1678">
        <v>1.167577E-2</v>
      </c>
      <c r="AA1678">
        <v>0.99247220000000003</v>
      </c>
      <c r="AB1678">
        <v>41</v>
      </c>
      <c r="AC1678">
        <v>-0.61950000000001604</v>
      </c>
      <c r="AD1678">
        <v>-0.21159520000000001</v>
      </c>
      <c r="AE1678">
        <v>0.132000000000005</v>
      </c>
      <c r="AF1678">
        <v>0.113882711351165</v>
      </c>
      <c r="AG1678">
        <v>-0.21159520000000001</v>
      </c>
      <c r="AH1678">
        <v>0.55832167907878605</v>
      </c>
      <c r="AI1678">
        <v>110.37189105288</v>
      </c>
      <c r="AJ1678">
        <v>78.471338689043705</v>
      </c>
      <c r="AK1678">
        <v>0.60783624269789005</v>
      </c>
      <c r="AL1678">
        <v>78.564522107935602</v>
      </c>
      <c r="AM1678">
        <v>88.273541915875398</v>
      </c>
      <c r="AN1678">
        <v>1.00000003899632</v>
      </c>
    </row>
    <row r="1679" spans="1:40" x14ac:dyDescent="0.25">
      <c r="A1679" t="str">
        <f>"20190303170530568"</f>
        <v>20190303170530568</v>
      </c>
      <c r="B1679" t="str">
        <f>"1551603930556305"</f>
        <v>1551603930556305</v>
      </c>
      <c r="C1679" t="s">
        <v>40</v>
      </c>
      <c r="D1679">
        <v>5.6873849999999999</v>
      </c>
      <c r="E1679">
        <v>0.54614240000000003</v>
      </c>
      <c r="F1679" t="s">
        <v>42</v>
      </c>
      <c r="G1679">
        <v>-262.10359999999997</v>
      </c>
      <c r="H1679">
        <v>0.91316649999999999</v>
      </c>
      <c r="I1679">
        <v>284.88560000000001</v>
      </c>
      <c r="J1679">
        <v>-261.51940000000002</v>
      </c>
      <c r="K1679">
        <v>1.121073</v>
      </c>
      <c r="L1679">
        <v>284.75689999999997</v>
      </c>
      <c r="M1679">
        <v>-0.9998958</v>
      </c>
      <c r="N1679">
        <v>-1.1764409999999999E-2</v>
      </c>
      <c r="O1679">
        <v>8.375838E-3</v>
      </c>
      <c r="P1679">
        <v>-0.98173820000000001</v>
      </c>
      <c r="Q1679">
        <v>0.1866111</v>
      </c>
      <c r="R1679">
        <v>3.6968510000000003E-2</v>
      </c>
      <c r="S1679">
        <v>-3.166687</v>
      </c>
      <c r="T1679">
        <v>-0.6686356</v>
      </c>
      <c r="U1679">
        <v>0.42373660000000002</v>
      </c>
      <c r="V1679">
        <v>2.856703E-2</v>
      </c>
      <c r="W1679">
        <v>0.19817689999999999</v>
      </c>
      <c r="X1679">
        <v>0.97974989999999995</v>
      </c>
      <c r="Y1679">
        <v>0.12169530000000001</v>
      </c>
      <c r="Z1679">
        <v>1.17359E-2</v>
      </c>
      <c r="AA1679">
        <v>0.99249810000000005</v>
      </c>
      <c r="AB1679">
        <v>41</v>
      </c>
      <c r="AC1679">
        <v>-0.58419999999995298</v>
      </c>
      <c r="AD1679">
        <v>-0.20790649999999899</v>
      </c>
      <c r="AE1679">
        <v>0.12870000000003701</v>
      </c>
      <c r="AF1679">
        <v>0.110459568042064</v>
      </c>
      <c r="AG1679">
        <v>-0.20790649999999899</v>
      </c>
      <c r="AH1679">
        <v>0.52218304619545197</v>
      </c>
      <c r="AI1679">
        <v>111.282356169995</v>
      </c>
      <c r="AJ1679">
        <v>78.056057035152307</v>
      </c>
      <c r="AK1679">
        <v>0.57280150370634597</v>
      </c>
      <c r="AL1679">
        <v>78.569630830717699</v>
      </c>
      <c r="AM1679">
        <v>88.329873112698394</v>
      </c>
      <c r="AN1679">
        <v>1.00000001272332</v>
      </c>
    </row>
    <row r="1680" spans="1:40" x14ac:dyDescent="0.25">
      <c r="A1680" t="str">
        <f>"20190303170530591"</f>
        <v>20190303170530591</v>
      </c>
      <c r="B1680" t="str">
        <f>"1551603930586561"</f>
        <v>1551603930586561</v>
      </c>
      <c r="C1680" t="s">
        <v>40</v>
      </c>
      <c r="D1680">
        <v>5.6780790000000003</v>
      </c>
      <c r="E1680">
        <v>0.54600609999999905</v>
      </c>
      <c r="F1680" t="s">
        <v>42</v>
      </c>
      <c r="G1680">
        <v>-262.4701</v>
      </c>
      <c r="H1680">
        <v>0.91998100000000005</v>
      </c>
      <c r="I1680">
        <v>284.88299999999998</v>
      </c>
      <c r="J1680">
        <v>-261.94670000000002</v>
      </c>
      <c r="K1680">
        <v>1.121076</v>
      </c>
      <c r="L1680">
        <v>284.76010000000002</v>
      </c>
      <c r="M1680">
        <v>-0.99989859999999997</v>
      </c>
      <c r="N1680">
        <v>-1.1776089999999999E-2</v>
      </c>
      <c r="O1680">
        <v>8.0064030000000005E-3</v>
      </c>
      <c r="P1680">
        <v>-0.981765</v>
      </c>
      <c r="Q1680">
        <v>0.18669040000000001</v>
      </c>
      <c r="R1680">
        <v>3.5836060000000003E-2</v>
      </c>
      <c r="S1680">
        <v>-3.1674190000000002</v>
      </c>
      <c r="T1680">
        <v>-0.67014980000000002</v>
      </c>
      <c r="U1680">
        <v>0.41912840000000001</v>
      </c>
      <c r="V1680">
        <v>2.7796939999999999E-2</v>
      </c>
      <c r="W1680">
        <v>0.19826659999999999</v>
      </c>
      <c r="X1680">
        <v>0.97975389999999996</v>
      </c>
      <c r="Y1680">
        <v>0.1206194</v>
      </c>
      <c r="Z1680">
        <v>1.171357E-2</v>
      </c>
      <c r="AA1680">
        <v>0.99262969999999895</v>
      </c>
      <c r="AB1680">
        <v>41</v>
      </c>
      <c r="AC1680">
        <v>-0.52339999999998099</v>
      </c>
      <c r="AD1680">
        <v>-0.201095</v>
      </c>
      <c r="AE1680">
        <v>0.122899999999958</v>
      </c>
      <c r="AF1680">
        <v>0.10413625746987</v>
      </c>
      <c r="AG1680">
        <v>-0.201095</v>
      </c>
      <c r="AH1680">
        <v>0.460010490888007</v>
      </c>
      <c r="AI1680">
        <v>113.091684136225</v>
      </c>
      <c r="AJ1680">
        <v>77.244489260179193</v>
      </c>
      <c r="AK1680">
        <v>0.51273112922062403</v>
      </c>
      <c r="AL1680">
        <v>78.564387317410095</v>
      </c>
      <c r="AM1680">
        <v>88.374877378290705</v>
      </c>
      <c r="AN1680">
        <v>1.00000000955706</v>
      </c>
    </row>
    <row r="1681" spans="1:40" x14ac:dyDescent="0.25">
      <c r="A1681" t="str">
        <f>"20190303170530614"</f>
        <v>20190303170530614</v>
      </c>
      <c r="B1681" t="str">
        <f>"1551603930606080"</f>
        <v>1551603930606080</v>
      </c>
      <c r="C1681" t="s">
        <v>40</v>
      </c>
      <c r="D1681">
        <v>5.7299680000000004</v>
      </c>
      <c r="E1681">
        <v>0.52174709999999902</v>
      </c>
      <c r="F1681" t="s">
        <v>42</v>
      </c>
      <c r="G1681">
        <v>-262.83920000000001</v>
      </c>
      <c r="H1681">
        <v>0.93182589999999998</v>
      </c>
      <c r="I1681">
        <v>284.87650000000002</v>
      </c>
      <c r="J1681">
        <v>-262.3759</v>
      </c>
      <c r="K1681">
        <v>1.121081</v>
      </c>
      <c r="L1681">
        <v>284.76319999999998</v>
      </c>
      <c r="M1681">
        <v>-0.9999015</v>
      </c>
      <c r="N1681">
        <v>-1.1781460000000001E-2</v>
      </c>
      <c r="O1681">
        <v>7.6349269999999997E-3</v>
      </c>
      <c r="P1681">
        <v>-0.98162199999999999</v>
      </c>
      <c r="Q1681">
        <v>0.18762319999999999</v>
      </c>
      <c r="R1681">
        <v>3.4868660000000003E-2</v>
      </c>
      <c r="S1681">
        <v>-3.168396</v>
      </c>
      <c r="T1681">
        <v>-0.67184750000000004</v>
      </c>
      <c r="U1681">
        <v>0.41302489999999997</v>
      </c>
      <c r="V1681">
        <v>2.719471E-2</v>
      </c>
      <c r="W1681">
        <v>0.19920270000000001</v>
      </c>
      <c r="X1681">
        <v>0.97958089999999998</v>
      </c>
      <c r="Y1681">
        <v>0.1190845</v>
      </c>
      <c r="Z1681">
        <v>1.164275E-2</v>
      </c>
      <c r="AA1681">
        <v>0.99281589999999997</v>
      </c>
      <c r="AB1681">
        <v>41</v>
      </c>
      <c r="AC1681">
        <v>-0.46330000000000299</v>
      </c>
      <c r="AD1681">
        <v>-0.18925510000000001</v>
      </c>
      <c r="AE1681">
        <v>0.113300000000037</v>
      </c>
      <c r="AF1681">
        <v>9.4828388832794902E-2</v>
      </c>
      <c r="AG1681">
        <v>-0.18925510000000001</v>
      </c>
      <c r="AH1681">
        <v>0.40101195653000099</v>
      </c>
      <c r="AI1681">
        <v>114.66824059808501</v>
      </c>
      <c r="AJ1681">
        <v>76.695510384593504</v>
      </c>
      <c r="AK1681">
        <v>0.45345397284030198</v>
      </c>
      <c r="AL1681">
        <v>78.509661064394805</v>
      </c>
      <c r="AM1681">
        <v>88.409787283812605</v>
      </c>
      <c r="AN1681">
        <v>1.00000000379204</v>
      </c>
    </row>
    <row r="1682" spans="1:40" x14ac:dyDescent="0.25">
      <c r="A1682" t="str">
        <f>"20190303170530635"</f>
        <v>20190303170530635</v>
      </c>
      <c r="B1682" t="str">
        <f>"1551603930626577"</f>
        <v>1551603930626577</v>
      </c>
      <c r="C1682" t="s">
        <v>40</v>
      </c>
      <c r="D1682">
        <v>5.8967400000000003</v>
      </c>
      <c r="E1682">
        <v>0.51004419999999995</v>
      </c>
      <c r="F1682" t="s">
        <v>42</v>
      </c>
      <c r="G1682">
        <v>-263.22320000000002</v>
      </c>
      <c r="H1682">
        <v>0.97356010000000004</v>
      </c>
      <c r="I1682">
        <v>284.82279999999997</v>
      </c>
      <c r="J1682">
        <v>-262.7518</v>
      </c>
      <c r="K1682">
        <v>1.1210880000000001</v>
      </c>
      <c r="L1682">
        <v>284.76580000000001</v>
      </c>
      <c r="M1682">
        <v>-0.99990389999999996</v>
      </c>
      <c r="N1682">
        <v>-1.178353E-2</v>
      </c>
      <c r="O1682">
        <v>7.3093019999999898E-3</v>
      </c>
      <c r="P1682">
        <v>-0.98152079999999997</v>
      </c>
      <c r="Q1682">
        <v>0.18828590000000001</v>
      </c>
      <c r="R1682">
        <v>3.4140490000000003E-2</v>
      </c>
      <c r="S1682">
        <v>-3.1532290000000001</v>
      </c>
      <c r="T1682">
        <v>-0.54910190000000003</v>
      </c>
      <c r="U1682">
        <v>0.2210693</v>
      </c>
      <c r="V1682">
        <v>2.6786520000000001E-2</v>
      </c>
      <c r="W1682">
        <v>0.19986519999999999</v>
      </c>
      <c r="X1682">
        <v>0.97945720000000003</v>
      </c>
      <c r="Y1682">
        <v>6.175013E-2</v>
      </c>
      <c r="Z1682">
        <v>4.5208929999999998E-3</v>
      </c>
      <c r="AA1682">
        <v>0.99808140000000001</v>
      </c>
      <c r="AB1682">
        <v>41</v>
      </c>
      <c r="AC1682">
        <v>-0.47140000000001597</v>
      </c>
      <c r="AD1682">
        <v>-0.14752789999999899</v>
      </c>
      <c r="AE1682">
        <v>5.69999999999595E-2</v>
      </c>
      <c r="AF1682">
        <v>4.8838243702682999E-2</v>
      </c>
      <c r="AG1682">
        <v>-0.14752789999999899</v>
      </c>
      <c r="AH1682">
        <v>0.43026982182759499</v>
      </c>
      <c r="AI1682">
        <v>108.813226117295</v>
      </c>
      <c r="AJ1682">
        <v>83.524295573540698</v>
      </c>
      <c r="AK1682">
        <v>0.457473250476924</v>
      </c>
      <c r="AL1682">
        <v>78.470923722414</v>
      </c>
      <c r="AM1682">
        <v>88.433446519993097</v>
      </c>
      <c r="AN1682">
        <v>1.0000000112282901</v>
      </c>
    </row>
    <row r="1683" spans="1:40" x14ac:dyDescent="0.25">
      <c r="A1683" t="str">
        <f>"20190303170530656"</f>
        <v>20190303170530656</v>
      </c>
      <c r="B1683" t="str">
        <f>"1551603930646096"</f>
        <v>1551603930646096</v>
      </c>
      <c r="C1683" t="s">
        <v>40</v>
      </c>
      <c r="D1683">
        <v>5.6651280000000002</v>
      </c>
      <c r="E1683">
        <v>0.47759889999999999</v>
      </c>
      <c r="F1683" t="s">
        <v>42</v>
      </c>
      <c r="G1683">
        <v>-263.60289999999998</v>
      </c>
      <c r="H1683">
        <v>1.004454</v>
      </c>
      <c r="I1683">
        <v>284.80180000000001</v>
      </c>
      <c r="J1683">
        <v>-263.14269999999999</v>
      </c>
      <c r="K1683">
        <v>1.121086</v>
      </c>
      <c r="L1683">
        <v>284.76839999999999</v>
      </c>
      <c r="M1683">
        <v>-0.99990619999999997</v>
      </c>
      <c r="N1683">
        <v>-1.1784330000000001E-2</v>
      </c>
      <c r="O1683">
        <v>6.9694369999999898E-3</v>
      </c>
      <c r="P1683">
        <v>-0.98158239999999997</v>
      </c>
      <c r="Q1683">
        <v>0.18799850000000001</v>
      </c>
      <c r="R1683">
        <v>3.3950559999999998E-2</v>
      </c>
      <c r="S1683">
        <v>-3.1343079999999999</v>
      </c>
      <c r="T1683">
        <v>-0.42964209999999903</v>
      </c>
      <c r="U1683">
        <v>0.13211059999999999</v>
      </c>
      <c r="V1683">
        <v>2.69298E-2</v>
      </c>
      <c r="W1683">
        <v>0.19957929999999999</v>
      </c>
      <c r="X1683">
        <v>0.97951160000000004</v>
      </c>
      <c r="Y1683">
        <v>3.4848480000000001E-2</v>
      </c>
      <c r="Z1683">
        <v>1.7140809999999999E-3</v>
      </c>
      <c r="AA1683">
        <v>0.99939109999999998</v>
      </c>
      <c r="AB1683">
        <v>41</v>
      </c>
      <c r="AC1683">
        <v>-0.46019999999998601</v>
      </c>
      <c r="AD1683">
        <v>-0.116631999999999</v>
      </c>
      <c r="AE1683">
        <v>3.3400000000028698E-2</v>
      </c>
      <c r="AF1683">
        <v>2.83784180137409E-2</v>
      </c>
      <c r="AG1683">
        <v>-0.116631999999999</v>
      </c>
      <c r="AH1683">
        <v>0.43277016669812202</v>
      </c>
      <c r="AI1683">
        <v>105.05206942826401</v>
      </c>
      <c r="AJ1683">
        <v>86.248264809179602</v>
      </c>
      <c r="AK1683">
        <v>0.44910842256284</v>
      </c>
      <c r="AL1683">
        <v>78.487641773017998</v>
      </c>
      <c r="AM1683">
        <v>88.425158722644497</v>
      </c>
      <c r="AN1683">
        <v>1.00000004282554</v>
      </c>
    </row>
    <row r="1684" spans="1:40" x14ac:dyDescent="0.25">
      <c r="A1684" t="str">
        <f>"20190303170530680"</f>
        <v>20190303170530680</v>
      </c>
      <c r="B1684" t="str">
        <f>"1551603930676354"</f>
        <v>1551603930676354</v>
      </c>
      <c r="C1684" t="s">
        <v>40</v>
      </c>
      <c r="D1684">
        <v>5.5438199999999904</v>
      </c>
      <c r="E1684">
        <v>0.4761726</v>
      </c>
      <c r="F1684" t="s">
        <v>64</v>
      </c>
      <c r="G1684">
        <v>-289.10789999999997</v>
      </c>
      <c r="H1684" s="1">
        <v>4.5268990000000004E-6</v>
      </c>
      <c r="I1684">
        <v>283.82440000000003</v>
      </c>
      <c r="J1684">
        <v>-263.5573</v>
      </c>
      <c r="K1684">
        <v>1.1210850000000001</v>
      </c>
      <c r="L1684">
        <v>284.77089999999998</v>
      </c>
      <c r="M1684">
        <v>-0.99990869999999998</v>
      </c>
      <c r="N1684">
        <v>-1.1784269999999999E-2</v>
      </c>
      <c r="O1684">
        <v>6.6090599999999999E-3</v>
      </c>
      <c r="P1684">
        <v>-0.98187650000000004</v>
      </c>
      <c r="Q1684">
        <v>0.18642890000000001</v>
      </c>
      <c r="R1684">
        <v>3.4101369999999999E-2</v>
      </c>
      <c r="S1684">
        <v>-3.085693</v>
      </c>
      <c r="T1684">
        <v>-0.13322870000000001</v>
      </c>
      <c r="U1684">
        <v>-0.11218259999999999</v>
      </c>
      <c r="V1684">
        <v>2.7433200000000001E-2</v>
      </c>
      <c r="W1684">
        <v>0.19801369999999999</v>
      </c>
      <c r="X1684">
        <v>0.97981529999999994</v>
      </c>
      <c r="Y1684">
        <v>-4.288202E-2</v>
      </c>
      <c r="Z1684">
        <v>-1.385217E-3</v>
      </c>
      <c r="AA1684">
        <v>0.99907919999999995</v>
      </c>
      <c r="AB1684">
        <v>41</v>
      </c>
      <c r="AC1684">
        <v>-25.5505999999999</v>
      </c>
      <c r="AD1684">
        <v>-1.121080473101</v>
      </c>
      <c r="AE1684">
        <v>-0.94649999999995704</v>
      </c>
      <c r="AF1684">
        <v>-1.1132162989110199</v>
      </c>
      <c r="AG1684">
        <v>-1.121080473101</v>
      </c>
      <c r="AH1684">
        <v>25.494771220112298</v>
      </c>
      <c r="AI1684">
        <v>92.515449083568896</v>
      </c>
      <c r="AJ1684">
        <v>92.500203106671606</v>
      </c>
      <c r="AK1684">
        <v>25.5436769381621</v>
      </c>
      <c r="AL1684">
        <v>78.579170567307699</v>
      </c>
      <c r="AM1684">
        <v>88.396232376738197</v>
      </c>
      <c r="AN1684">
        <v>1.000000013982</v>
      </c>
    </row>
    <row r="1685" spans="1:40" x14ac:dyDescent="0.25">
      <c r="A1685" t="str">
        <f>"20190303170530702"</f>
        <v>20190303170530702</v>
      </c>
      <c r="B1685" t="str">
        <f>"1551603930695872"</f>
        <v>1551603930695872</v>
      </c>
      <c r="C1685" t="s">
        <v>40</v>
      </c>
      <c r="D1685">
        <v>5.6549500000000004</v>
      </c>
      <c r="E1685">
        <v>0.47585230000000001</v>
      </c>
      <c r="F1685" t="s">
        <v>64</v>
      </c>
      <c r="G1685">
        <v>-289.27760000000001</v>
      </c>
      <c r="H1685" s="1">
        <v>4.4680049999999998E-6</v>
      </c>
      <c r="I1685">
        <v>283.74540000000002</v>
      </c>
      <c r="J1685">
        <v>-263.97039999999998</v>
      </c>
      <c r="K1685">
        <v>1.1210869999999999</v>
      </c>
      <c r="L1685">
        <v>284.77339999999998</v>
      </c>
      <c r="M1685">
        <v>-0.99991110000000005</v>
      </c>
      <c r="N1685">
        <v>-1.178674E-2</v>
      </c>
      <c r="O1685">
        <v>6.2494350000000002E-3</v>
      </c>
      <c r="P1685">
        <v>-0.98188609999999998</v>
      </c>
      <c r="Q1685">
        <v>0.1863996</v>
      </c>
      <c r="R1685">
        <v>3.3987049999999998E-2</v>
      </c>
      <c r="S1685">
        <v>-3.0851440000000001</v>
      </c>
      <c r="T1685">
        <v>-0.13447379999999901</v>
      </c>
      <c r="U1685">
        <v>-0.1230164</v>
      </c>
      <c r="V1685">
        <v>2.767141E-2</v>
      </c>
      <c r="W1685">
        <v>0.1979871</v>
      </c>
      <c r="X1685">
        <v>0.97981399999999996</v>
      </c>
      <c r="Y1685">
        <v>-4.602763E-2</v>
      </c>
      <c r="Z1685">
        <v>-1.4723410000000001E-3</v>
      </c>
      <c r="AA1685">
        <v>0.99893909999999997</v>
      </c>
      <c r="AB1685">
        <v>41</v>
      </c>
      <c r="AC1685">
        <v>-25.307200000000002</v>
      </c>
      <c r="AD1685">
        <v>-1.121082531995</v>
      </c>
      <c r="AE1685">
        <v>-1.0279999999999601</v>
      </c>
      <c r="AF1685">
        <v>-1.18382728340962</v>
      </c>
      <c r="AG1685">
        <v>-1.121082531995</v>
      </c>
      <c r="AH1685">
        <v>25.250810372234</v>
      </c>
      <c r="AI1685">
        <v>92.539356323031498</v>
      </c>
      <c r="AJ1685">
        <v>92.684217896213795</v>
      </c>
      <c r="AK1685">
        <v>25.303393004397901</v>
      </c>
      <c r="AL1685">
        <v>78.580725680349005</v>
      </c>
      <c r="AM1685">
        <v>88.382311645174397</v>
      </c>
      <c r="AN1685">
        <v>1.00000003664689</v>
      </c>
    </row>
    <row r="1686" spans="1:40" x14ac:dyDescent="0.25">
      <c r="A1686" t="str">
        <f>"20190303170530725"</f>
        <v>20190303170530725</v>
      </c>
      <c r="B1686" t="str">
        <f>"1551603930716368"</f>
        <v>1551603930716368</v>
      </c>
      <c r="C1686" t="s">
        <v>40</v>
      </c>
      <c r="D1686">
        <v>5.6058430000000001</v>
      </c>
      <c r="E1686">
        <v>0.47537299999999899</v>
      </c>
      <c r="F1686" t="s">
        <v>64</v>
      </c>
      <c r="G1686">
        <v>-289.93439999999998</v>
      </c>
      <c r="H1686" s="1">
        <v>4.184212E-6</v>
      </c>
      <c r="I1686">
        <v>283.709</v>
      </c>
      <c r="J1686">
        <v>-264.38580000000002</v>
      </c>
      <c r="K1686">
        <v>1.1210960000000001</v>
      </c>
      <c r="L1686">
        <v>284.7756</v>
      </c>
      <c r="M1686">
        <v>-0.99991319999999995</v>
      </c>
      <c r="N1686">
        <v>-1.1796940000000001E-2</v>
      </c>
      <c r="O1686">
        <v>5.884434E-3</v>
      </c>
      <c r="P1686">
        <v>-0.98178750000000004</v>
      </c>
      <c r="Q1686">
        <v>0.18695809999999999</v>
      </c>
      <c r="R1686">
        <v>3.3764280000000001E-2</v>
      </c>
      <c r="S1686">
        <v>-3.084991</v>
      </c>
      <c r="T1686">
        <v>-0.1332043</v>
      </c>
      <c r="U1686">
        <v>-0.12646479999999999</v>
      </c>
      <c r="V1686">
        <v>2.7805610000000001E-2</v>
      </c>
      <c r="W1686">
        <v>0.19855500000000001</v>
      </c>
      <c r="X1686">
        <v>0.97969530000000005</v>
      </c>
      <c r="Y1686">
        <v>-4.6780059999999998E-2</v>
      </c>
      <c r="Z1686">
        <v>-1.4697600000000001E-3</v>
      </c>
      <c r="AA1686">
        <v>0.99890409999999996</v>
      </c>
      <c r="AB1686">
        <v>41</v>
      </c>
      <c r="AC1686">
        <v>-25.548599999999901</v>
      </c>
      <c r="AD1686">
        <v>-1.1210918157880001</v>
      </c>
      <c r="AE1686">
        <v>-1.06659999999999</v>
      </c>
      <c r="AF1686">
        <v>-1.21459636733197</v>
      </c>
      <c r="AG1686">
        <v>-1.1210918157880001</v>
      </c>
      <c r="AH1686">
        <v>25.4928791735401</v>
      </c>
      <c r="AI1686">
        <v>92.515205423568005</v>
      </c>
      <c r="AJ1686">
        <v>92.727767992581093</v>
      </c>
      <c r="AK1686">
        <v>25.546408353263299</v>
      </c>
      <c r="AL1686">
        <v>78.547528624675806</v>
      </c>
      <c r="AM1686">
        <v>88.374273582583598</v>
      </c>
      <c r="AN1686">
        <v>1.0000000604072701</v>
      </c>
    </row>
    <row r="1687" spans="1:40" x14ac:dyDescent="0.25">
      <c r="A1687" t="str">
        <f>"20190303170530746"</f>
        <v>20190303170530746</v>
      </c>
      <c r="B1687" t="str">
        <f>"1551603930736796"</f>
        <v>1551603930736796</v>
      </c>
      <c r="C1687" t="s">
        <v>40</v>
      </c>
      <c r="D1687">
        <v>5.6679300000000001</v>
      </c>
      <c r="E1687">
        <v>0.474995</v>
      </c>
      <c r="F1687" t="s">
        <v>64</v>
      </c>
      <c r="G1687">
        <v>-289.4255</v>
      </c>
      <c r="H1687" s="1">
        <v>4.4091949999999997E-6</v>
      </c>
      <c r="I1687">
        <v>283.71249999999998</v>
      </c>
      <c r="J1687">
        <v>-264.7758</v>
      </c>
      <c r="K1687">
        <v>1.1211059999999999</v>
      </c>
      <c r="L1687">
        <v>284.77760000000001</v>
      </c>
      <c r="M1687">
        <v>-0.99991490000000005</v>
      </c>
      <c r="N1687">
        <v>-1.181141E-2</v>
      </c>
      <c r="O1687">
        <v>5.5361259999999997E-3</v>
      </c>
      <c r="P1687">
        <v>-0.98178430000000005</v>
      </c>
      <c r="Q1687">
        <v>0.18705169999999999</v>
      </c>
      <c r="R1687">
        <v>3.3334219999999998E-2</v>
      </c>
      <c r="S1687">
        <v>-3.086487</v>
      </c>
      <c r="T1687">
        <v>-0.1381898</v>
      </c>
      <c r="U1687">
        <v>-0.13104250000000001</v>
      </c>
      <c r="V1687">
        <v>2.7715119999999999E-2</v>
      </c>
      <c r="W1687">
        <v>0.1986629</v>
      </c>
      <c r="X1687">
        <v>0.97967590000000004</v>
      </c>
      <c r="Y1687">
        <v>-4.7885949999999997E-2</v>
      </c>
      <c r="Z1687">
        <v>-1.536386E-3</v>
      </c>
      <c r="AA1687">
        <v>0.99885170000000001</v>
      </c>
      <c r="AB1687">
        <v>41</v>
      </c>
      <c r="AC1687">
        <v>-24.649699999999999</v>
      </c>
      <c r="AD1687">
        <v>-1.1211015908049999</v>
      </c>
      <c r="AE1687">
        <v>-1.0651000000000199</v>
      </c>
      <c r="AF1687">
        <v>-1.1990813021290001</v>
      </c>
      <c r="AG1687">
        <v>-1.1211015908049999</v>
      </c>
      <c r="AH1687">
        <v>24.592648868393201</v>
      </c>
      <c r="AI1687">
        <v>92.607034723636204</v>
      </c>
      <c r="AJ1687">
        <v>92.791400530831396</v>
      </c>
      <c r="AK1687">
        <v>24.647373959716401</v>
      </c>
      <c r="AL1687">
        <v>78.541219727732098</v>
      </c>
      <c r="AM1687">
        <v>88.379529415901203</v>
      </c>
      <c r="AN1687">
        <v>0.99999997237691596</v>
      </c>
    </row>
    <row r="1688" spans="1:40" x14ac:dyDescent="0.25">
      <c r="A1688" t="str">
        <f>"20190303170530769"</f>
        <v>20190303170530769</v>
      </c>
      <c r="B1688" t="str">
        <f>"1551603930756317"</f>
        <v>1551603930756317</v>
      </c>
      <c r="C1688" t="s">
        <v>40</v>
      </c>
      <c r="D1688">
        <v>5.6210639999999996</v>
      </c>
      <c r="E1688">
        <v>0.475049</v>
      </c>
      <c r="F1688" t="s">
        <v>64</v>
      </c>
      <c r="G1688">
        <v>-289.06599999999997</v>
      </c>
      <c r="H1688" s="1">
        <v>4.5692290000000004E-6</v>
      </c>
      <c r="I1688">
        <v>283.70940000000002</v>
      </c>
      <c r="J1688">
        <v>-265.178</v>
      </c>
      <c r="K1688">
        <v>1.1211059999999999</v>
      </c>
      <c r="L1688">
        <v>284.77949999999998</v>
      </c>
      <c r="M1688">
        <v>-0.99991669999999999</v>
      </c>
      <c r="N1688">
        <v>-1.182854E-2</v>
      </c>
      <c r="O1688">
        <v>5.1724609999999997E-3</v>
      </c>
      <c r="P1688">
        <v>-0.98192959999999996</v>
      </c>
      <c r="Q1688">
        <v>0.18634229999999999</v>
      </c>
      <c r="R1688">
        <v>3.302969E-2</v>
      </c>
      <c r="S1688">
        <v>-3.0874329999999999</v>
      </c>
      <c r="T1688">
        <v>-0.14249829999999999</v>
      </c>
      <c r="U1688">
        <v>-0.1357727</v>
      </c>
      <c r="V1688">
        <v>2.7764609999999999E-2</v>
      </c>
      <c r="W1688">
        <v>0.19797210000000001</v>
      </c>
      <c r="X1688">
        <v>0.97981439999999997</v>
      </c>
      <c r="Y1688">
        <v>-4.9032180000000002E-2</v>
      </c>
      <c r="Z1688">
        <v>-1.5980739999999999E-3</v>
      </c>
      <c r="AA1688">
        <v>0.99879589999999996</v>
      </c>
      <c r="AB1688">
        <v>41</v>
      </c>
      <c r="AC1688">
        <v>-23.887999999999899</v>
      </c>
      <c r="AD1688">
        <v>-1.1211014307710001</v>
      </c>
      <c r="AE1688">
        <v>-1.0700999999999601</v>
      </c>
      <c r="AF1688">
        <v>-1.1910359820554599</v>
      </c>
      <c r="AG1688">
        <v>-1.1211014307710001</v>
      </c>
      <c r="AH1688">
        <v>23.8297632937633</v>
      </c>
      <c r="AI1688">
        <v>92.690213325063098</v>
      </c>
      <c r="AJ1688">
        <v>92.861320717982494</v>
      </c>
      <c r="AK1688">
        <v>23.8858337464995</v>
      </c>
      <c r="AL1688">
        <v>78.581602536328703</v>
      </c>
      <c r="AM1688">
        <v>88.376866685478106</v>
      </c>
      <c r="AN1688">
        <v>1.00000004219711</v>
      </c>
    </row>
    <row r="1689" spans="1:40" x14ac:dyDescent="0.25">
      <c r="A1689" t="str">
        <f>"20190303170530793"</f>
        <v>20190303170530793</v>
      </c>
      <c r="B1689" t="str">
        <f>"1551603930786573"</f>
        <v>1551603930786573</v>
      </c>
      <c r="C1689" t="s">
        <v>40</v>
      </c>
      <c r="D1689">
        <v>5.7084409999999997</v>
      </c>
      <c r="E1689">
        <v>0.47500399999999998</v>
      </c>
      <c r="F1689" t="s">
        <v>64</v>
      </c>
      <c r="G1689">
        <v>-288.7407</v>
      </c>
      <c r="H1689" s="1">
        <v>4.70815E-6</v>
      </c>
      <c r="I1689">
        <v>283.7355</v>
      </c>
      <c r="J1689">
        <v>-265.61709999999999</v>
      </c>
      <c r="K1689">
        <v>1.1211150000000001</v>
      </c>
      <c r="L1689">
        <v>284.78140000000002</v>
      </c>
      <c r="M1689">
        <v>-0.99991850000000004</v>
      </c>
      <c r="N1689">
        <v>-1.1854180000000001E-2</v>
      </c>
      <c r="O1689">
        <v>4.7692819999999997E-3</v>
      </c>
      <c r="P1689">
        <v>-0.98211309999999996</v>
      </c>
      <c r="Q1689">
        <v>0.1853629</v>
      </c>
      <c r="R1689">
        <v>3.3087079999999998E-2</v>
      </c>
      <c r="S1689">
        <v>-3.0876769999999998</v>
      </c>
      <c r="T1689">
        <v>-0.14691070000000001</v>
      </c>
      <c r="U1689">
        <v>-0.1368103</v>
      </c>
      <c r="V1689">
        <v>2.8214699999999999E-2</v>
      </c>
      <c r="W1689">
        <v>0.1970209</v>
      </c>
      <c r="X1689">
        <v>0.97999320000000001</v>
      </c>
      <c r="Y1689">
        <v>-4.895737E-2</v>
      </c>
      <c r="Z1689">
        <v>-1.624194E-3</v>
      </c>
      <c r="AA1689">
        <v>0.99879960000000001</v>
      </c>
      <c r="AB1689">
        <v>41</v>
      </c>
      <c r="AC1689">
        <v>-23.1236</v>
      </c>
      <c r="AD1689">
        <v>-1.12111029184999</v>
      </c>
      <c r="AE1689">
        <v>-1.04590000000001</v>
      </c>
      <c r="AF1689">
        <v>-1.15347294493896</v>
      </c>
      <c r="AG1689">
        <v>-1.12111029184999</v>
      </c>
      <c r="AH1689">
        <v>23.064243433274999</v>
      </c>
      <c r="AI1689">
        <v>92.779383538035006</v>
      </c>
      <c r="AJ1689">
        <v>92.863051418554406</v>
      </c>
      <c r="AK1689">
        <v>23.1202662889199</v>
      </c>
      <c r="AL1689">
        <v>78.637196677082798</v>
      </c>
      <c r="AM1689">
        <v>88.350869386020904</v>
      </c>
      <c r="AN1689">
        <v>0.99999998818957003</v>
      </c>
    </row>
    <row r="1690" spans="1:40" x14ac:dyDescent="0.25">
      <c r="A1690" t="str">
        <f>"20190303170530816"</f>
        <v>20190303170530816</v>
      </c>
      <c r="B1690" t="str">
        <f>"1551603930806092"</f>
        <v>1551603930806092</v>
      </c>
      <c r="C1690" t="s">
        <v>40</v>
      </c>
      <c r="D1690">
        <v>5.6582889999999999</v>
      </c>
      <c r="E1690">
        <v>0.47504809999999997</v>
      </c>
      <c r="F1690" t="s">
        <v>64</v>
      </c>
      <c r="G1690">
        <v>-287.84739999999999</v>
      </c>
      <c r="H1690" s="1">
        <v>5.092907E-6</v>
      </c>
      <c r="I1690">
        <v>283.79039999999998</v>
      </c>
      <c r="J1690">
        <v>-266.04700000000003</v>
      </c>
      <c r="K1690">
        <v>1.121129</v>
      </c>
      <c r="L1690">
        <v>284.78309999999999</v>
      </c>
      <c r="M1690">
        <v>-0.99991989999999997</v>
      </c>
      <c r="N1690">
        <v>-1.1894450000000001E-2</v>
      </c>
      <c r="O1690">
        <v>4.36893E-3</v>
      </c>
      <c r="P1690">
        <v>-0.98207630000000001</v>
      </c>
      <c r="Q1690">
        <v>0.18558830000000001</v>
      </c>
      <c r="R1690">
        <v>3.291446E-2</v>
      </c>
      <c r="S1690">
        <v>-3.0886840000000002</v>
      </c>
      <c r="T1690">
        <v>-0.15576679999999901</v>
      </c>
      <c r="U1690">
        <v>-0.13769529999999999</v>
      </c>
      <c r="V1690">
        <v>2.8432349999999999E-2</v>
      </c>
      <c r="W1690">
        <v>0.1972855</v>
      </c>
      <c r="X1690">
        <v>0.97993370000000002</v>
      </c>
      <c r="Y1690">
        <v>-4.8821009999999998E-2</v>
      </c>
      <c r="Z1690">
        <v>-1.688569E-3</v>
      </c>
      <c r="AA1690">
        <v>0.99880610000000003</v>
      </c>
      <c r="AB1690">
        <v>41</v>
      </c>
      <c r="AC1690">
        <v>-21.8003999999999</v>
      </c>
      <c r="AD1690">
        <v>-1.1211239070929999</v>
      </c>
      <c r="AE1690">
        <v>-0.99270000000001302</v>
      </c>
      <c r="AF1690">
        <v>-1.0850778867069599</v>
      </c>
      <c r="AG1690">
        <v>-1.1211239070929999</v>
      </c>
      <c r="AH1690">
        <v>21.738481520602999</v>
      </c>
      <c r="AI1690">
        <v>92.948648750500496</v>
      </c>
      <c r="AJ1690">
        <v>92.857551367514603</v>
      </c>
      <c r="AK1690">
        <v>21.794400465644198</v>
      </c>
      <c r="AL1690">
        <v>78.621732968563606</v>
      </c>
      <c r="AM1690">
        <v>88.338054145375295</v>
      </c>
      <c r="AN1690">
        <v>1.00000001171623</v>
      </c>
    </row>
    <row r="1691" spans="1:40" x14ac:dyDescent="0.25">
      <c r="A1691" t="str">
        <f>"20190303170530837"</f>
        <v>20190303170530837</v>
      </c>
      <c r="B1691" t="str">
        <f>"1551603930826587"</f>
        <v>1551603930826587</v>
      </c>
      <c r="C1691" t="s">
        <v>40</v>
      </c>
      <c r="D1691">
        <v>5.6885640000000004</v>
      </c>
      <c r="E1691">
        <v>0.47526879999999999</v>
      </c>
      <c r="F1691" t="s">
        <v>64</v>
      </c>
      <c r="G1691">
        <v>-287.76679999999999</v>
      </c>
      <c r="H1691" s="1">
        <v>5.1246290000000002E-6</v>
      </c>
      <c r="I1691">
        <v>283.81</v>
      </c>
      <c r="J1691">
        <v>-266.42140000000001</v>
      </c>
      <c r="K1691">
        <v>1.121156</v>
      </c>
      <c r="L1691">
        <v>284.78440000000001</v>
      </c>
      <c r="M1691">
        <v>-0.99992049999999999</v>
      </c>
      <c r="N1691">
        <v>-1.194567E-2</v>
      </c>
      <c r="O1691">
        <v>4.0150630000000001E-3</v>
      </c>
      <c r="P1691">
        <v>-0.98195960000000004</v>
      </c>
      <c r="Q1691">
        <v>0.1861517</v>
      </c>
      <c r="R1691">
        <v>3.3208380000000003E-2</v>
      </c>
      <c r="S1691">
        <v>-3.089569</v>
      </c>
      <c r="T1691">
        <v>-0.15947629999999999</v>
      </c>
      <c r="U1691">
        <v>-0.13842769999999999</v>
      </c>
      <c r="V1691">
        <v>2.9070760000000001E-2</v>
      </c>
      <c r="W1691">
        <v>0.1978983</v>
      </c>
      <c r="X1691">
        <v>0.97979139999999998</v>
      </c>
      <c r="Y1691">
        <v>-4.868807E-2</v>
      </c>
      <c r="Z1691">
        <v>-1.70541299999999E-3</v>
      </c>
      <c r="AA1691">
        <v>0.99881260000000005</v>
      </c>
      <c r="AB1691">
        <v>41</v>
      </c>
      <c r="AC1691">
        <v>-21.345399999999898</v>
      </c>
      <c r="AD1691">
        <v>-1.121150875371</v>
      </c>
      <c r="AE1691">
        <v>-0.97440000000000204</v>
      </c>
      <c r="AF1691">
        <v>-1.0571908850603999</v>
      </c>
      <c r="AG1691">
        <v>-1.121150875371</v>
      </c>
      <c r="AH1691">
        <v>21.282722782045401</v>
      </c>
      <c r="AI1691">
        <v>93.011785901154198</v>
      </c>
      <c r="AJ1691">
        <v>92.843754048744998</v>
      </c>
      <c r="AK1691">
        <v>21.338437638922699</v>
      </c>
      <c r="AL1691">
        <v>78.585916019316699</v>
      </c>
      <c r="AM1691">
        <v>88.300512390032694</v>
      </c>
      <c r="AN1691">
        <v>1.0000000168719101</v>
      </c>
    </row>
    <row r="1692" spans="1:40" x14ac:dyDescent="0.25">
      <c r="A1692" t="str">
        <f>"20190303170530857"</f>
        <v>20190303170530857</v>
      </c>
      <c r="B1692" t="str">
        <f>"1551603930846108"</f>
        <v>1551603930846108</v>
      </c>
      <c r="C1692" t="s">
        <v>40</v>
      </c>
      <c r="D1692">
        <v>5.6218130000000004</v>
      </c>
      <c r="E1692">
        <v>0.47547529999999999</v>
      </c>
      <c r="F1692" t="s">
        <v>64</v>
      </c>
      <c r="G1692">
        <v>-288.39109999999999</v>
      </c>
      <c r="H1692" s="1">
        <v>4.846082E-6</v>
      </c>
      <c r="I1692">
        <v>283.81810000000002</v>
      </c>
      <c r="J1692">
        <v>-266.80689999999998</v>
      </c>
      <c r="K1692">
        <v>1.121178</v>
      </c>
      <c r="L1692">
        <v>284.78570000000002</v>
      </c>
      <c r="M1692">
        <v>-0.99992119999999995</v>
      </c>
      <c r="N1692">
        <v>-1.201671E-2</v>
      </c>
      <c r="O1692">
        <v>3.6500959999999998E-3</v>
      </c>
      <c r="P1692">
        <v>-0.98189979999999999</v>
      </c>
      <c r="Q1692">
        <v>0.18639030000000001</v>
      </c>
      <c r="R1692">
        <v>3.3638809999999998E-2</v>
      </c>
      <c r="S1692">
        <v>-3.0895999999999999</v>
      </c>
      <c r="T1692">
        <v>-0.1576678</v>
      </c>
      <c r="U1692">
        <v>-0.13589479999999901</v>
      </c>
      <c r="V1692">
        <v>2.9856609999999999E-2</v>
      </c>
      <c r="W1692">
        <v>0.19820769999999999</v>
      </c>
      <c r="X1692">
        <v>0.97970520000000005</v>
      </c>
      <c r="Y1692">
        <v>-4.7509599999999999E-2</v>
      </c>
      <c r="Z1692">
        <v>-1.6389519999999999E-3</v>
      </c>
      <c r="AA1692">
        <v>0.99886940000000002</v>
      </c>
      <c r="AB1692">
        <v>41</v>
      </c>
      <c r="AC1692">
        <v>-21.584199999999999</v>
      </c>
      <c r="AD1692">
        <v>-1.1211731539180001</v>
      </c>
      <c r="AE1692">
        <v>-0.96760000000000401</v>
      </c>
      <c r="AF1692">
        <v>-1.04357352073899</v>
      </c>
      <c r="AG1692">
        <v>-1.1211731539180001</v>
      </c>
      <c r="AH1692">
        <v>21.522568471570899</v>
      </c>
      <c r="AI1692">
        <v>92.978515336301399</v>
      </c>
      <c r="AJ1692">
        <v>92.775949653457999</v>
      </c>
      <c r="AK1692">
        <v>21.577002306801301</v>
      </c>
      <c r="AL1692">
        <v>78.567830191410593</v>
      </c>
      <c r="AM1692">
        <v>88.254445870132798</v>
      </c>
      <c r="AN1692">
        <v>0.99999999420351104</v>
      </c>
    </row>
    <row r="1693" spans="1:40" x14ac:dyDescent="0.25">
      <c r="A1693" t="str">
        <f>"20190303170530881"</f>
        <v>20190303170530881</v>
      </c>
      <c r="B1693" t="str">
        <f>"1551603930866605"</f>
        <v>1551603930866605</v>
      </c>
      <c r="C1693" t="s">
        <v>40</v>
      </c>
      <c r="D1693">
        <v>5.6165510000000003</v>
      </c>
      <c r="E1693">
        <v>0.47551709999999903</v>
      </c>
      <c r="F1693" t="s">
        <v>64</v>
      </c>
      <c r="G1693">
        <v>-288.94159999999999</v>
      </c>
      <c r="H1693" s="1">
        <v>4.5994969999999999E-6</v>
      </c>
      <c r="I1693">
        <v>283.83</v>
      </c>
      <c r="J1693">
        <v>-267.22269999999997</v>
      </c>
      <c r="K1693">
        <v>1.121205</v>
      </c>
      <c r="L1693">
        <v>284.78680000000003</v>
      </c>
      <c r="M1693">
        <v>-0.99992130000000001</v>
      </c>
      <c r="N1693">
        <v>-1.2114079999999999E-2</v>
      </c>
      <c r="O1693">
        <v>3.2623180000000002E-3</v>
      </c>
      <c r="P1693">
        <v>-0.98202370000000005</v>
      </c>
      <c r="Q1693">
        <v>0.18567690000000001</v>
      </c>
      <c r="R1693">
        <v>3.3966660000000003E-2</v>
      </c>
      <c r="S1693">
        <v>-3.089569</v>
      </c>
      <c r="T1693">
        <v>-0.15649379999999999</v>
      </c>
      <c r="U1693">
        <v>-0.13339229999999899</v>
      </c>
      <c r="V1693">
        <v>3.0563179999999999E-2</v>
      </c>
      <c r="W1693">
        <v>0.19759209999999999</v>
      </c>
      <c r="X1693">
        <v>0.97980769999999995</v>
      </c>
      <c r="Y1693">
        <v>-4.6318270000000002E-2</v>
      </c>
      <c r="Z1693">
        <v>-1.5782630000000001E-3</v>
      </c>
      <c r="AA1693">
        <v>0.99892550000000002</v>
      </c>
      <c r="AB1693">
        <v>41</v>
      </c>
      <c r="AC1693">
        <v>-21.718900000000001</v>
      </c>
      <c r="AD1693">
        <v>-1.1212004005030001</v>
      </c>
      <c r="AE1693">
        <v>-0.95680000000004295</v>
      </c>
      <c r="AF1693">
        <v>-1.02492796342045</v>
      </c>
      <c r="AG1693">
        <v>-1.1212004005030001</v>
      </c>
      <c r="AH1693">
        <v>21.658056718245302</v>
      </c>
      <c r="AI1693">
        <v>92.960151833107901</v>
      </c>
      <c r="AJ1693">
        <v>92.709396739500505</v>
      </c>
      <c r="AK1693">
        <v>21.7112640921485</v>
      </c>
      <c r="AL1693">
        <v>78.603812481132195</v>
      </c>
      <c r="AM1693">
        <v>88.213349826655204</v>
      </c>
      <c r="AN1693">
        <v>0.99999993746670401</v>
      </c>
    </row>
    <row r="1694" spans="1:40" x14ac:dyDescent="0.25">
      <c r="A1694" t="str">
        <f>"20190303170530904"</f>
        <v>20190303170530904</v>
      </c>
      <c r="B1694" t="str">
        <f>"1551603930895887"</f>
        <v>1551603930895887</v>
      </c>
      <c r="C1694" t="s">
        <v>40</v>
      </c>
      <c r="D1694">
        <v>5.650728</v>
      </c>
      <c r="E1694">
        <v>0.47566150000000001</v>
      </c>
      <c r="F1694" t="s">
        <v>64</v>
      </c>
      <c r="G1694">
        <v>-288.73779999999999</v>
      </c>
      <c r="H1694" s="1">
        <v>4.6823169999999999E-6</v>
      </c>
      <c r="I1694">
        <v>283.86669999999998</v>
      </c>
      <c r="J1694">
        <v>-267.64449999999999</v>
      </c>
      <c r="K1694">
        <v>1.1212249999999999</v>
      </c>
      <c r="L1694">
        <v>284.7878</v>
      </c>
      <c r="M1694">
        <v>-0.99992110000000001</v>
      </c>
      <c r="N1694">
        <v>-1.223252E-2</v>
      </c>
      <c r="O1694">
        <v>2.8728619999999999E-3</v>
      </c>
      <c r="P1694">
        <v>-0.98201570000000005</v>
      </c>
      <c r="Q1694">
        <v>0.18568889999999999</v>
      </c>
      <c r="R1694">
        <v>3.413124E-2</v>
      </c>
      <c r="S1694">
        <v>-3.0899049999999999</v>
      </c>
      <c r="T1694">
        <v>-0.1610219</v>
      </c>
      <c r="U1694">
        <v>-0.13214110000000001</v>
      </c>
      <c r="V1694">
        <v>3.1110059999999998E-2</v>
      </c>
      <c r="W1694">
        <v>0.1977207</v>
      </c>
      <c r="X1694">
        <v>0.97976459999999999</v>
      </c>
      <c r="Y1694">
        <v>-4.5518210000000003E-2</v>
      </c>
      <c r="Z1694">
        <v>-1.57789E-3</v>
      </c>
      <c r="AA1694">
        <v>0.99896229999999997</v>
      </c>
      <c r="AB1694">
        <v>41</v>
      </c>
      <c r="AC1694">
        <v>-21.093299999999999</v>
      </c>
      <c r="AD1694">
        <v>-1.121220317683</v>
      </c>
      <c r="AE1694">
        <v>-0.92110000000002401</v>
      </c>
      <c r="AF1694">
        <v>-0.97893816002356004</v>
      </c>
      <c r="AG1694">
        <v>-1.121220317683</v>
      </c>
      <c r="AH1694">
        <v>21.031256170026499</v>
      </c>
      <c r="AI1694">
        <v>93.048374780162504</v>
      </c>
      <c r="AJ1694">
        <v>92.665012944438502</v>
      </c>
      <c r="AK1694">
        <v>21.0838609132961</v>
      </c>
      <c r="AL1694">
        <v>78.596296573843802</v>
      </c>
      <c r="AM1694">
        <v>88.181321866334699</v>
      </c>
      <c r="AN1694">
        <v>0.999999991227426</v>
      </c>
    </row>
    <row r="1695" spans="1:40" x14ac:dyDescent="0.25">
      <c r="A1695" t="str">
        <f>"20190303170530925"</f>
        <v>20190303170530925</v>
      </c>
      <c r="B1695" t="str">
        <f>"1551603930916380"</f>
        <v>1551603930916380</v>
      </c>
      <c r="C1695" t="s">
        <v>40</v>
      </c>
      <c r="D1695">
        <v>5.710661</v>
      </c>
      <c r="E1695">
        <v>0.47572759999999997</v>
      </c>
      <c r="F1695" t="s">
        <v>64</v>
      </c>
      <c r="G1695">
        <v>-288.7362</v>
      </c>
      <c r="H1695" s="1">
        <v>4.6751770000000001E-6</v>
      </c>
      <c r="I1695">
        <v>283.90449999999998</v>
      </c>
      <c r="J1695">
        <v>-268.03070000000002</v>
      </c>
      <c r="K1695">
        <v>1.121245</v>
      </c>
      <c r="L1695">
        <v>284.7885</v>
      </c>
      <c r="M1695">
        <v>-0.99992060000000005</v>
      </c>
      <c r="N1695">
        <v>-1.235847E-2</v>
      </c>
      <c r="O1695">
        <v>2.514896E-3</v>
      </c>
      <c r="P1695">
        <v>-0.98206599999999999</v>
      </c>
      <c r="Q1695">
        <v>0.18554870000000001</v>
      </c>
      <c r="R1695">
        <v>3.3443130000000001E-2</v>
      </c>
      <c r="S1695">
        <v>-3.0905149999999999</v>
      </c>
      <c r="T1695">
        <v>-0.1642894</v>
      </c>
      <c r="U1695">
        <v>-0.12942500000000001</v>
      </c>
      <c r="V1695">
        <v>3.077558E-2</v>
      </c>
      <c r="W1695">
        <v>0.1977034</v>
      </c>
      <c r="X1695">
        <v>0.97977860000000006</v>
      </c>
      <c r="Y1695">
        <v>-4.4275189999999999E-2</v>
      </c>
      <c r="Z1695">
        <v>-1.551916E-3</v>
      </c>
      <c r="AA1695">
        <v>0.99901819999999997</v>
      </c>
      <c r="AB1695">
        <v>41</v>
      </c>
      <c r="AC1695">
        <v>-20.705499999999901</v>
      </c>
      <c r="AD1695">
        <v>-1.1212403248230001</v>
      </c>
      <c r="AE1695">
        <v>-0.884000000000014</v>
      </c>
      <c r="AF1695">
        <v>-0.93334138541095002</v>
      </c>
      <c r="AG1695">
        <v>-1.1212403248230001</v>
      </c>
      <c r="AH1695">
        <v>20.6427880156368</v>
      </c>
      <c r="AI1695">
        <v>93.105874101611903</v>
      </c>
      <c r="AJ1695">
        <v>92.588803710039997</v>
      </c>
      <c r="AK1695">
        <v>20.6942746446027</v>
      </c>
      <c r="AL1695">
        <v>78.597307134607703</v>
      </c>
      <c r="AM1695">
        <v>88.200888165663002</v>
      </c>
      <c r="AN1695">
        <v>0.99999993785692598</v>
      </c>
    </row>
    <row r="1696" spans="1:40" x14ac:dyDescent="0.25">
      <c r="A1696" t="str">
        <f>"20190303170530947"</f>
        <v>20190303170530947</v>
      </c>
      <c r="B1696" t="str">
        <f>"1551603930935900"</f>
        <v>1551603930935900</v>
      </c>
      <c r="C1696" t="s">
        <v>40</v>
      </c>
      <c r="D1696">
        <v>5.6880540000000002</v>
      </c>
      <c r="E1696">
        <v>0.47577190000000003</v>
      </c>
      <c r="F1696" t="s">
        <v>64</v>
      </c>
      <c r="G1696">
        <v>-288.7681</v>
      </c>
      <c r="H1696" s="1">
        <v>4.65962E-6</v>
      </c>
      <c r="I1696">
        <v>283.91129999999998</v>
      </c>
      <c r="J1696">
        <v>-268.4366</v>
      </c>
      <c r="K1696">
        <v>1.1212569999999999</v>
      </c>
      <c r="L1696">
        <v>284.78919999999999</v>
      </c>
      <c r="M1696">
        <v>-0.99991969999999997</v>
      </c>
      <c r="N1696">
        <v>-1.249975E-2</v>
      </c>
      <c r="O1696">
        <v>2.1331449999999999E-3</v>
      </c>
      <c r="P1696">
        <v>-0.98211820000000005</v>
      </c>
      <c r="Q1696">
        <v>0.18544740000000001</v>
      </c>
      <c r="R1696">
        <v>3.245572E-2</v>
      </c>
      <c r="S1696">
        <v>-3.0908199999999999</v>
      </c>
      <c r="T1696">
        <v>-0.1671154</v>
      </c>
      <c r="U1696">
        <v>-0.1307373</v>
      </c>
      <c r="V1696">
        <v>3.0166269999999999E-2</v>
      </c>
      <c r="W1696">
        <v>0.1977399</v>
      </c>
      <c r="X1696">
        <v>0.9797903</v>
      </c>
      <c r="Y1696">
        <v>-4.4310670000000003E-2</v>
      </c>
      <c r="Z1696">
        <v>-1.5623760000000001E-3</v>
      </c>
      <c r="AA1696">
        <v>0.99901660000000003</v>
      </c>
      <c r="AB1696">
        <v>41</v>
      </c>
      <c r="AC1696">
        <v>-20.331499999999998</v>
      </c>
      <c r="AD1696">
        <v>-1.1212523403800001</v>
      </c>
      <c r="AE1696">
        <v>-0.877900000000011</v>
      </c>
      <c r="AF1696">
        <v>-0.918483184270242</v>
      </c>
      <c r="AG1696">
        <v>-1.1212523403800001</v>
      </c>
      <c r="AH1696">
        <v>20.268053163060301</v>
      </c>
      <c r="AI1696">
        <v>93.1632020288273</v>
      </c>
      <c r="AJ1696">
        <v>92.594685833637399</v>
      </c>
      <c r="AK1696">
        <v>20.319812922151499</v>
      </c>
      <c r="AL1696">
        <v>78.595175039619704</v>
      </c>
      <c r="AM1696">
        <v>88.236506188988699</v>
      </c>
      <c r="AN1696">
        <v>1.0000000519359</v>
      </c>
    </row>
    <row r="1697" spans="1:40" x14ac:dyDescent="0.25">
      <c r="A1697" t="str">
        <f>"20190303170530959"</f>
        <v>20190303170530959</v>
      </c>
      <c r="B1697" t="str">
        <f>"1551603930946637"</f>
        <v>1551603930946637</v>
      </c>
      <c r="C1697" t="s">
        <v>40</v>
      </c>
      <c r="D1697">
        <v>5.6602069999999998</v>
      </c>
      <c r="E1697">
        <v>0.47573530000000003</v>
      </c>
      <c r="F1697" t="s">
        <v>64</v>
      </c>
      <c r="G1697">
        <v>-288.90620000000001</v>
      </c>
      <c r="H1697" s="1">
        <v>4.5996760000000004E-6</v>
      </c>
      <c r="I1697">
        <v>283.90519999999998</v>
      </c>
      <c r="J1697">
        <v>-268.66460000000001</v>
      </c>
      <c r="K1697">
        <v>1.121267</v>
      </c>
      <c r="L1697">
        <v>284.78949999999998</v>
      </c>
      <c r="M1697">
        <v>-0.99991920000000001</v>
      </c>
      <c r="N1697">
        <v>-1.258284E-2</v>
      </c>
      <c r="O1697">
        <v>1.917778E-3</v>
      </c>
      <c r="P1697">
        <v>-0.98207770000000005</v>
      </c>
      <c r="Q1697">
        <v>0.18577479999999999</v>
      </c>
      <c r="R1697">
        <v>3.1801129999999997E-2</v>
      </c>
      <c r="S1697">
        <v>-3.0910030000000002</v>
      </c>
      <c r="T1697">
        <v>-0.16931399999999999</v>
      </c>
      <c r="U1697">
        <v>-0.13348389999999999</v>
      </c>
      <c r="V1697">
        <v>2.9724730000000001E-2</v>
      </c>
      <c r="W1697">
        <v>0.19814689999999999</v>
      </c>
      <c r="X1697">
        <v>0.97972150000000002</v>
      </c>
      <c r="Y1697">
        <v>-4.4976000000000002E-2</v>
      </c>
      <c r="Z1697">
        <v>-1.5944990000000001E-3</v>
      </c>
      <c r="AA1697">
        <v>0.99898679999999995</v>
      </c>
      <c r="AB1697">
        <v>41</v>
      </c>
      <c r="AC1697">
        <v>-20.241599999999998</v>
      </c>
      <c r="AD1697">
        <v>-1.1212624003239999</v>
      </c>
      <c r="AE1697">
        <v>-0.88429999999999598</v>
      </c>
      <c r="AF1697">
        <v>-0.920301775951198</v>
      </c>
      <c r="AG1697">
        <v>-1.1212624003239999</v>
      </c>
      <c r="AH1697">
        <v>20.178068473076799</v>
      </c>
      <c r="AI1697">
        <v>93.177265994692704</v>
      </c>
      <c r="AJ1697">
        <v>92.611394198683698</v>
      </c>
      <c r="AK1697">
        <v>20.230141671114801</v>
      </c>
      <c r="AL1697">
        <v>78.571384165523099</v>
      </c>
      <c r="AM1697">
        <v>88.2621803358157</v>
      </c>
      <c r="AN1697">
        <v>0.99999998555771596</v>
      </c>
    </row>
    <row r="1698" spans="1:40" x14ac:dyDescent="0.25">
      <c r="A1698" t="str">
        <f>"20190303170530981"</f>
        <v>20190303170530981</v>
      </c>
      <c r="B1698" t="str">
        <f>"1551603930975916"</f>
        <v>1551603930975916</v>
      </c>
      <c r="C1698" t="s">
        <v>40</v>
      </c>
      <c r="D1698">
        <v>5.6779539999999997</v>
      </c>
      <c r="E1698">
        <v>0.47585559999999899</v>
      </c>
      <c r="F1698" t="s">
        <v>64</v>
      </c>
      <c r="G1698">
        <v>-289.19</v>
      </c>
      <c r="H1698" s="1">
        <v>4.4777109999999996E-6</v>
      </c>
      <c r="I1698">
        <v>283.88630000000001</v>
      </c>
      <c r="J1698">
        <v>-269.05869999999999</v>
      </c>
      <c r="K1698">
        <v>1.121291</v>
      </c>
      <c r="L1698">
        <v>284.78989999999999</v>
      </c>
      <c r="M1698">
        <v>-0.99991770000000002</v>
      </c>
      <c r="N1698">
        <v>-1.273432E-2</v>
      </c>
      <c r="O1698">
        <v>1.5457419999999999E-3</v>
      </c>
      <c r="P1698">
        <v>-0.98207809999999995</v>
      </c>
      <c r="Q1698">
        <v>0.18595249999999999</v>
      </c>
      <c r="R1698">
        <v>3.073006E-2</v>
      </c>
      <c r="S1698">
        <v>-3.0910950000000001</v>
      </c>
      <c r="T1698">
        <v>-0.16886019999999999</v>
      </c>
      <c r="U1698">
        <v>-0.13601679999999999</v>
      </c>
      <c r="V1698">
        <v>2.9021169999999999E-2</v>
      </c>
      <c r="W1698">
        <v>0.19847219999999999</v>
      </c>
      <c r="X1698">
        <v>0.97967680000000001</v>
      </c>
      <c r="Y1698">
        <v>-4.5419830000000001E-2</v>
      </c>
      <c r="Z1698">
        <v>-1.59336E-3</v>
      </c>
      <c r="AA1698">
        <v>0.99896669999999999</v>
      </c>
      <c r="AB1698">
        <v>41</v>
      </c>
      <c r="AC1698">
        <v>-20.1313</v>
      </c>
      <c r="AD1698">
        <v>-1.1212865222890001</v>
      </c>
      <c r="AE1698">
        <v>-0.90359999999998297</v>
      </c>
      <c r="AF1698">
        <v>-0.93183418517790495</v>
      </c>
      <c r="AG1698">
        <v>-1.1212865222890001</v>
      </c>
      <c r="AH1698">
        <v>20.067747277355199</v>
      </c>
      <c r="AI1698">
        <v>93.1946444732732</v>
      </c>
      <c r="AJ1698">
        <v>92.658586554303398</v>
      </c>
      <c r="AK1698">
        <v>20.1206381410116</v>
      </c>
      <c r="AL1698">
        <v>78.552368782258398</v>
      </c>
      <c r="AM1698">
        <v>88.303211397762198</v>
      </c>
      <c r="AN1698">
        <v>1.0000000374696201</v>
      </c>
    </row>
    <row r="1699" spans="1:40" x14ac:dyDescent="0.25">
      <c r="A1699" t="str">
        <f>"20190303170530995"</f>
        <v>20190303170530995</v>
      </c>
      <c r="B1699" t="str">
        <f>"1551603930986653"</f>
        <v>1551603930986653</v>
      </c>
      <c r="C1699" t="s">
        <v>40</v>
      </c>
      <c r="D1699">
        <v>5.7663419999999999</v>
      </c>
      <c r="E1699">
        <v>0.4758174</v>
      </c>
      <c r="F1699" t="s">
        <v>64</v>
      </c>
      <c r="G1699">
        <v>-289.68459999999999</v>
      </c>
      <c r="H1699" s="1">
        <v>4.2631690000000003E-6</v>
      </c>
      <c r="I1699">
        <v>283.86309999999997</v>
      </c>
      <c r="J1699">
        <v>-269.30259999999998</v>
      </c>
      <c r="K1699">
        <v>1.121305</v>
      </c>
      <c r="L1699">
        <v>284.79000000000002</v>
      </c>
      <c r="M1699">
        <v>-0.9999169</v>
      </c>
      <c r="N1699">
        <v>-1.283596E-2</v>
      </c>
      <c r="O1699">
        <v>1.3166779999999999E-3</v>
      </c>
      <c r="P1699">
        <v>-0.98214020000000002</v>
      </c>
      <c r="Q1699">
        <v>0.18570210000000001</v>
      </c>
      <c r="R1699">
        <v>3.0261329999999999E-2</v>
      </c>
      <c r="S1699">
        <v>-3.0909119999999999</v>
      </c>
      <c r="T1699">
        <v>-0.1680315</v>
      </c>
      <c r="U1699">
        <v>-0.1388855</v>
      </c>
      <c r="V1699">
        <v>2.8778419999999999E-2</v>
      </c>
      <c r="W1699">
        <v>0.19832179999999999</v>
      </c>
      <c r="X1699">
        <v>0.97971439999999999</v>
      </c>
      <c r="Y1699">
        <v>-4.6118430000000002E-2</v>
      </c>
      <c r="Z1699">
        <v>-1.60304E-3</v>
      </c>
      <c r="AA1699">
        <v>0.99893469999999995</v>
      </c>
      <c r="AB1699">
        <v>41</v>
      </c>
      <c r="AC1699">
        <v>-20.382000000000001</v>
      </c>
      <c r="AD1699">
        <v>-1.121300736831</v>
      </c>
      <c r="AE1699">
        <v>-0.92690000000004502</v>
      </c>
      <c r="AF1699">
        <v>-0.95086601200439202</v>
      </c>
      <c r="AG1699">
        <v>-1.121300736831</v>
      </c>
      <c r="AH1699">
        <v>20.319390678399301</v>
      </c>
      <c r="AI1699">
        <v>93.155148123092104</v>
      </c>
      <c r="AJ1699">
        <v>92.679258153682895</v>
      </c>
      <c r="AK1699">
        <v>20.372508413462999</v>
      </c>
      <c r="AL1699">
        <v>78.5611606317932</v>
      </c>
      <c r="AM1699">
        <v>88.317460673326906</v>
      </c>
      <c r="AN1699">
        <v>1.00000001969014</v>
      </c>
    </row>
    <row r="1700" spans="1:40" x14ac:dyDescent="0.25">
      <c r="A1700" t="str">
        <f>"20190303170531016"</f>
        <v>20190303170531016</v>
      </c>
      <c r="B1700" t="str">
        <f>"1551603931006173"</f>
        <v>1551603931006173</v>
      </c>
      <c r="C1700" t="s">
        <v>40</v>
      </c>
      <c r="D1700">
        <v>5.706931</v>
      </c>
      <c r="E1700">
        <v>0.4758058</v>
      </c>
      <c r="F1700" t="s">
        <v>64</v>
      </c>
      <c r="G1700">
        <v>-289.74939999999998</v>
      </c>
      <c r="H1700" s="1">
        <v>4.235679E-6</v>
      </c>
      <c r="I1700">
        <v>283.85719999999998</v>
      </c>
      <c r="J1700">
        <v>-269.6927</v>
      </c>
      <c r="K1700">
        <v>1.121324</v>
      </c>
      <c r="L1700">
        <v>284.79020000000003</v>
      </c>
      <c r="M1700">
        <v>-0.999915</v>
      </c>
      <c r="N1700">
        <v>-1.300684E-2</v>
      </c>
      <c r="O1700">
        <v>9.5224440000000001E-4</v>
      </c>
      <c r="P1700">
        <v>-0.98219060000000002</v>
      </c>
      <c r="Q1700">
        <v>0.1856266</v>
      </c>
      <c r="R1700">
        <v>2.9064349999999999E-2</v>
      </c>
      <c r="S1700">
        <v>-3.0909420000000001</v>
      </c>
      <c r="T1700">
        <v>-0.16950760000000001</v>
      </c>
      <c r="U1700">
        <v>-0.1410217</v>
      </c>
      <c r="V1700">
        <v>2.7940159999999999E-2</v>
      </c>
      <c r="W1700">
        <v>0.19841339999999999</v>
      </c>
      <c r="X1700">
        <v>0.97972009999999998</v>
      </c>
      <c r="Y1700">
        <v>-4.6441049999999998E-2</v>
      </c>
      <c r="Z1700">
        <v>-1.6140579999999901E-3</v>
      </c>
      <c r="AA1700">
        <v>0.99891969999999997</v>
      </c>
      <c r="AB1700">
        <v>41</v>
      </c>
      <c r="AC1700">
        <v>-20.0566999999999</v>
      </c>
      <c r="AD1700">
        <v>-1.121319764321</v>
      </c>
      <c r="AE1700">
        <v>-0.93300000000004901</v>
      </c>
      <c r="AF1700">
        <v>-0.949139801454566</v>
      </c>
      <c r="AG1700">
        <v>-1.121319764321</v>
      </c>
      <c r="AH1700">
        <v>19.993444862788099</v>
      </c>
      <c r="AI1700">
        <v>93.206431360571202</v>
      </c>
      <c r="AJ1700">
        <v>92.717936203588593</v>
      </c>
      <c r="AK1700">
        <v>20.047345506523001</v>
      </c>
      <c r="AL1700">
        <v>78.555805724067099</v>
      </c>
      <c r="AM1700">
        <v>88.366452352771802</v>
      </c>
      <c r="AN1700">
        <v>1.00000000209219</v>
      </c>
    </row>
    <row r="1701" spans="1:40" x14ac:dyDescent="0.25">
      <c r="A1701" t="str">
        <f>"20190303170531038"</f>
        <v>20190303170531038</v>
      </c>
      <c r="B1701" t="str">
        <f>"1551603931026669"</f>
        <v>1551603931026669</v>
      </c>
      <c r="C1701" t="s">
        <v>40</v>
      </c>
      <c r="D1701">
        <v>5.6621300000000003</v>
      </c>
      <c r="E1701">
        <v>0.4758289</v>
      </c>
      <c r="F1701" t="s">
        <v>64</v>
      </c>
      <c r="G1701">
        <v>-289.92919999999998</v>
      </c>
      <c r="H1701" s="1">
        <v>4.159027E-6</v>
      </c>
      <c r="I1701">
        <v>283.84219999999999</v>
      </c>
      <c r="J1701">
        <v>-270.06959999999998</v>
      </c>
      <c r="K1701">
        <v>1.1213500000000001</v>
      </c>
      <c r="L1701">
        <v>284.7903</v>
      </c>
      <c r="M1701">
        <v>-0.99991300000000005</v>
      </c>
      <c r="N1701">
        <v>-1.317639E-2</v>
      </c>
      <c r="O1701">
        <v>6.0209269999999995E-4</v>
      </c>
      <c r="P1701">
        <v>-0.98214920000000006</v>
      </c>
      <c r="Q1701">
        <v>0.18594289999999999</v>
      </c>
      <c r="R1701">
        <v>2.8431020000000001E-2</v>
      </c>
      <c r="S1701">
        <v>-3.0910340000000001</v>
      </c>
      <c r="T1701">
        <v>-0.17127699999999901</v>
      </c>
      <c r="U1701">
        <v>-0.14480589999999999</v>
      </c>
      <c r="V1701">
        <v>2.7650589999999999E-2</v>
      </c>
      <c r="W1701">
        <v>0.19889470000000001</v>
      </c>
      <c r="X1701">
        <v>0.97963069999999997</v>
      </c>
      <c r="Y1701">
        <v>-4.7307009999999997E-2</v>
      </c>
      <c r="Z1701">
        <v>-1.6464839999999999E-3</v>
      </c>
      <c r="AA1701">
        <v>0.99887899999999996</v>
      </c>
      <c r="AB1701">
        <v>41</v>
      </c>
      <c r="AC1701">
        <v>-19.8596</v>
      </c>
      <c r="AD1701">
        <v>-1.1213458409729999</v>
      </c>
      <c r="AE1701">
        <v>-0.94810000000001005</v>
      </c>
      <c r="AF1701">
        <v>-0.95701402438929395</v>
      </c>
      <c r="AG1701">
        <v>-1.1213458409729999</v>
      </c>
      <c r="AH1701">
        <v>19.7960563088048</v>
      </c>
      <c r="AI1701">
        <v>93.238275910466001</v>
      </c>
      <c r="AJ1701">
        <v>92.767733464553004</v>
      </c>
      <c r="AK1701">
        <v>19.8508724674588</v>
      </c>
      <c r="AL1701">
        <v>78.527668254069994</v>
      </c>
      <c r="AM1701">
        <v>88.383225850027401</v>
      </c>
      <c r="AN1701">
        <v>0.99999998259896306</v>
      </c>
    </row>
    <row r="1702" spans="1:40" x14ac:dyDescent="0.25">
      <c r="A1702" t="str">
        <f>"20190303170531058"</f>
        <v>20190303170531058</v>
      </c>
      <c r="B1702" t="str">
        <f>"1551603931046188"</f>
        <v>1551603931046188</v>
      </c>
      <c r="C1702" t="s">
        <v>40</v>
      </c>
      <c r="D1702">
        <v>5.7345579999999998</v>
      </c>
      <c r="E1702">
        <v>0.47601359999999898</v>
      </c>
      <c r="F1702" t="s">
        <v>64</v>
      </c>
      <c r="G1702">
        <v>-290.32319999999999</v>
      </c>
      <c r="H1702" s="1">
        <v>2.3313430000000002E-6</v>
      </c>
      <c r="I1702">
        <v>283.83550000000002</v>
      </c>
      <c r="J1702">
        <v>-270.45710000000003</v>
      </c>
      <c r="K1702">
        <v>1.121378</v>
      </c>
      <c r="L1702">
        <v>284.79020000000003</v>
      </c>
      <c r="M1702">
        <v>-0.99991099999999999</v>
      </c>
      <c r="N1702">
        <v>-1.3347090000000001E-2</v>
      </c>
      <c r="O1702">
        <v>2.4308239999999999E-4</v>
      </c>
      <c r="P1702">
        <v>-0.98205819999999999</v>
      </c>
      <c r="Q1702">
        <v>0.1865368</v>
      </c>
      <c r="R1702">
        <v>2.7671479999999998E-2</v>
      </c>
      <c r="S1702">
        <v>-3.0911870000000001</v>
      </c>
      <c r="T1702">
        <v>-0.17114470000000001</v>
      </c>
      <c r="U1702">
        <v>-0.1457214</v>
      </c>
      <c r="V1702">
        <v>2.7242809999999999E-2</v>
      </c>
      <c r="W1702">
        <v>0.199654</v>
      </c>
      <c r="X1702">
        <v>0.97948769999999996</v>
      </c>
      <c r="Y1702">
        <v>-4.7241619999999998E-2</v>
      </c>
      <c r="Z1702">
        <v>-1.6320079999999999E-3</v>
      </c>
      <c r="AA1702">
        <v>0.99888220000000005</v>
      </c>
      <c r="AB1702">
        <v>41</v>
      </c>
      <c r="AC1702">
        <v>-19.8660999999999</v>
      </c>
      <c r="AD1702">
        <v>-1.121375668657</v>
      </c>
      <c r="AE1702">
        <v>-0.95470000000000199</v>
      </c>
      <c r="AF1702">
        <v>-0.95648892976462796</v>
      </c>
      <c r="AG1702">
        <v>-1.121375668657</v>
      </c>
      <c r="AH1702">
        <v>19.802916073512399</v>
      </c>
      <c r="AI1702">
        <v>93.237249214415996</v>
      </c>
      <c r="AJ1702">
        <v>92.765260488518507</v>
      </c>
      <c r="AK1702">
        <v>19.857689681269399</v>
      </c>
      <c r="AL1702">
        <v>78.483273632293304</v>
      </c>
      <c r="AM1702">
        <v>88.406824579757</v>
      </c>
      <c r="AN1702">
        <v>1.00000002243199</v>
      </c>
    </row>
    <row r="1703" spans="1:40" x14ac:dyDescent="0.25">
      <c r="A1703" t="str">
        <f>"20190303170531073"</f>
        <v>20190303170531073</v>
      </c>
      <c r="B1703" t="str">
        <f>"1551603931066684"</f>
        <v>1551603931066684</v>
      </c>
      <c r="C1703" t="s">
        <v>40</v>
      </c>
      <c r="D1703">
        <v>5.8830390000000001</v>
      </c>
      <c r="E1703">
        <v>0.4761243</v>
      </c>
      <c r="F1703" t="s">
        <v>64</v>
      </c>
      <c r="G1703">
        <v>-290.88959999999997</v>
      </c>
      <c r="H1703" s="1">
        <v>2.4326530000000002E-6</v>
      </c>
      <c r="I1703">
        <v>283.82589999999999</v>
      </c>
      <c r="J1703">
        <v>-270.71409999999997</v>
      </c>
      <c r="K1703">
        <v>1.1213930000000001</v>
      </c>
      <c r="L1703">
        <v>284.79000000000002</v>
      </c>
      <c r="M1703">
        <v>-0.99990950000000001</v>
      </c>
      <c r="N1703">
        <v>-1.345682E-2</v>
      </c>
      <c r="O1703" s="1">
        <v>5.4281410000000002E-6</v>
      </c>
      <c r="P1703">
        <v>-0.98197959999999995</v>
      </c>
      <c r="Q1703">
        <v>0.18700829999999999</v>
      </c>
      <c r="R1703">
        <v>2.727895E-2</v>
      </c>
      <c r="S1703">
        <v>-3.0911559999999998</v>
      </c>
      <c r="T1703">
        <v>-0.1696484</v>
      </c>
      <c r="U1703">
        <v>-0.145874</v>
      </c>
      <c r="V1703">
        <v>2.708292E-2</v>
      </c>
      <c r="W1703">
        <v>0.20023199999999999</v>
      </c>
      <c r="X1703">
        <v>0.97937410000000003</v>
      </c>
      <c r="Y1703">
        <v>-4.7055680000000003E-2</v>
      </c>
      <c r="Z1703">
        <v>-1.6068860000000001E-3</v>
      </c>
      <c r="AA1703">
        <v>0.99889099999999997</v>
      </c>
      <c r="AB1703">
        <v>41</v>
      </c>
      <c r="AC1703">
        <v>-20.1755</v>
      </c>
      <c r="AD1703">
        <v>-1.1213905673469999</v>
      </c>
      <c r="AE1703">
        <v>-0.96410000000003004</v>
      </c>
      <c r="AF1703">
        <v>-0.96124667670516295</v>
      </c>
      <c r="AG1703">
        <v>-1.1213905673469999</v>
      </c>
      <c r="AH1703">
        <v>20.113498969518101</v>
      </c>
      <c r="AI1703">
        <v>93.187484969779206</v>
      </c>
      <c r="AJ1703">
        <v>92.736147725270797</v>
      </c>
      <c r="AK1703">
        <v>20.167656105130799</v>
      </c>
      <c r="AL1703">
        <v>78.449473716539202</v>
      </c>
      <c r="AM1703">
        <v>88.415986644845503</v>
      </c>
      <c r="AN1703">
        <v>0.99999998306526805</v>
      </c>
    </row>
    <row r="1704" spans="1:40" x14ac:dyDescent="0.25">
      <c r="A1704" t="str">
        <f>"20190303170531086"</f>
        <v>20190303170531086</v>
      </c>
      <c r="B1704" t="str">
        <f>"1551603931076445"</f>
        <v>1551603931076445</v>
      </c>
      <c r="C1704" t="s">
        <v>40</v>
      </c>
      <c r="D1704">
        <v>5.9576019999999996</v>
      </c>
      <c r="E1704">
        <v>0.4761243</v>
      </c>
      <c r="F1704" t="s">
        <v>64</v>
      </c>
      <c r="G1704">
        <v>-291.25900000000001</v>
      </c>
      <c r="H1704" s="1">
        <v>2.4986889999999998E-6</v>
      </c>
      <c r="I1704">
        <v>283.82010000000002</v>
      </c>
      <c r="J1704">
        <v>-270.9513</v>
      </c>
      <c r="K1704">
        <v>1.121405</v>
      </c>
      <c r="L1704">
        <v>284.78989999999999</v>
      </c>
      <c r="M1704">
        <v>-0.99990820000000002</v>
      </c>
      <c r="N1704">
        <v>-1.3556250000000001E-2</v>
      </c>
      <c r="O1704">
        <v>-2.1380020000000001E-4</v>
      </c>
      <c r="P1704">
        <v>-0.98193490000000005</v>
      </c>
      <c r="Q1704">
        <v>0.187274</v>
      </c>
      <c r="R1704">
        <v>2.70636E-2</v>
      </c>
      <c r="S1704">
        <v>-3.0912480000000002</v>
      </c>
      <c r="T1704">
        <v>-0.16872789999999999</v>
      </c>
      <c r="U1704">
        <v>-0.14593510000000001</v>
      </c>
      <c r="V1704">
        <v>2.7082149999999999E-2</v>
      </c>
      <c r="W1704">
        <v>0.20059399999999999</v>
      </c>
      <c r="X1704">
        <v>0.97930010000000001</v>
      </c>
      <c r="Y1704">
        <v>-4.6856250000000002E-2</v>
      </c>
      <c r="Z1704">
        <v>-1.586428E-3</v>
      </c>
      <c r="AA1704">
        <v>0.99890040000000002</v>
      </c>
      <c r="AB1704">
        <v>40</v>
      </c>
      <c r="AC1704">
        <v>-20.307700000000001</v>
      </c>
      <c r="AD1704">
        <v>-1.1214025013110001</v>
      </c>
      <c r="AE1704">
        <v>-0.96979999999996302</v>
      </c>
      <c r="AF1704">
        <v>-0.96252941687179205</v>
      </c>
      <c r="AG1704">
        <v>-1.1214025013110001</v>
      </c>
      <c r="AH1704">
        <v>20.246310100192201</v>
      </c>
      <c r="AI1704">
        <v>93.166689721020902</v>
      </c>
      <c r="AJ1704">
        <v>92.721848133211395</v>
      </c>
      <c r="AK1704">
        <v>20.3001743618481</v>
      </c>
      <c r="AL1704">
        <v>78.428303801362702</v>
      </c>
      <c r="AM1704">
        <v>88.415912027035603</v>
      </c>
      <c r="AN1704">
        <v>1.00000004077231</v>
      </c>
    </row>
    <row r="1705" spans="1:40" x14ac:dyDescent="0.25">
      <c r="A1705" t="str">
        <f>"20190303170531104"</f>
        <v>20190303170531104</v>
      </c>
      <c r="B1705" t="str">
        <f>"1551603931095964"</f>
        <v>1551603931095964</v>
      </c>
      <c r="C1705" t="s">
        <v>40</v>
      </c>
      <c r="D1705">
        <v>5.7626229999999996</v>
      </c>
      <c r="E1705">
        <v>0.4509862</v>
      </c>
      <c r="F1705" t="s">
        <v>64</v>
      </c>
      <c r="G1705">
        <v>-291.60129999999998</v>
      </c>
      <c r="H1705" s="1">
        <v>2.5603779999999999E-6</v>
      </c>
      <c r="I1705">
        <v>283.8091</v>
      </c>
      <c r="J1705">
        <v>-271.28960000000001</v>
      </c>
      <c r="K1705">
        <v>1.121418</v>
      </c>
      <c r="L1705">
        <v>284.78949999999998</v>
      </c>
      <c r="M1705">
        <v>-0.99990610000000002</v>
      </c>
      <c r="N1705">
        <v>-1.369386E-2</v>
      </c>
      <c r="O1705">
        <v>-5.2605719999999998E-4</v>
      </c>
      <c r="P1705">
        <v>-0.98193070000000005</v>
      </c>
      <c r="Q1705">
        <v>0.18740879999999999</v>
      </c>
      <c r="R1705">
        <v>2.627061E-2</v>
      </c>
      <c r="S1705">
        <v>-3.0912480000000002</v>
      </c>
      <c r="T1705">
        <v>-0.1678703</v>
      </c>
      <c r="U1705">
        <v>-0.14682010000000001</v>
      </c>
      <c r="V1705">
        <v>2.6595219999999999E-2</v>
      </c>
      <c r="W1705">
        <v>0.20086309999999999</v>
      </c>
      <c r="X1705">
        <v>0.97925819999999997</v>
      </c>
      <c r="Y1705">
        <v>-4.6830579999999997E-2</v>
      </c>
      <c r="Z1705">
        <v>-1.5697199999999999E-3</v>
      </c>
      <c r="AA1705">
        <v>0.99890159999999995</v>
      </c>
      <c r="AB1705">
        <v>40</v>
      </c>
      <c r="AC1705">
        <v>-20.311699999999899</v>
      </c>
      <c r="AD1705">
        <v>-1.121415439622</v>
      </c>
      <c r="AE1705">
        <v>-0.98039999999997396</v>
      </c>
      <c r="AF1705">
        <v>-0.96677369638842703</v>
      </c>
      <c r="AG1705">
        <v>-1.121415439622</v>
      </c>
      <c r="AH1705">
        <v>20.250628912177401</v>
      </c>
      <c r="AI1705">
        <v>93.166022241222294</v>
      </c>
      <c r="AJ1705">
        <v>92.733249816745399</v>
      </c>
      <c r="AK1705">
        <v>20.304684073064699</v>
      </c>
      <c r="AL1705">
        <v>78.412564187511407</v>
      </c>
      <c r="AM1705">
        <v>88.444312864715499</v>
      </c>
      <c r="AN1705">
        <v>0.99999995646784801</v>
      </c>
    </row>
    <row r="1706" spans="1:40" x14ac:dyDescent="0.25">
      <c r="A1706" t="str">
        <f>"20190303170531118"</f>
        <v>20190303170531118</v>
      </c>
      <c r="B1706" t="str">
        <f>"1551603931106701"</f>
        <v>1551603931106701</v>
      </c>
      <c r="C1706" t="s">
        <v>40</v>
      </c>
      <c r="D1706">
        <v>5.7595980000000004</v>
      </c>
      <c r="E1706">
        <v>0.44672089999999998</v>
      </c>
      <c r="F1706" t="s">
        <v>64</v>
      </c>
      <c r="G1706">
        <v>-302.83339999999998</v>
      </c>
      <c r="H1706" s="1">
        <v>3.7565170000000002E-6</v>
      </c>
      <c r="I1706">
        <v>281.24740000000003</v>
      </c>
      <c r="J1706">
        <v>-271.53579999999999</v>
      </c>
      <c r="K1706">
        <v>1.1214280000000001</v>
      </c>
      <c r="L1706">
        <v>284.78919999999999</v>
      </c>
      <c r="M1706">
        <v>-0.99990460000000003</v>
      </c>
      <c r="N1706">
        <v>-1.378914E-2</v>
      </c>
      <c r="O1706">
        <v>-7.5420089999999999E-4</v>
      </c>
      <c r="P1706">
        <v>-0.98207250000000001</v>
      </c>
      <c r="Q1706">
        <v>0.18670249999999999</v>
      </c>
      <c r="R1706">
        <v>2.5993160000000001E-2</v>
      </c>
      <c r="S1706">
        <v>-3.0854189999999999</v>
      </c>
      <c r="T1706">
        <v>-0.1096896</v>
      </c>
      <c r="U1706">
        <v>-0.346466099999999</v>
      </c>
      <c r="V1706">
        <v>2.654246E-2</v>
      </c>
      <c r="W1706">
        <v>0.20025200000000001</v>
      </c>
      <c r="X1706">
        <v>0.97938480000000006</v>
      </c>
      <c r="Y1706">
        <v>-0.1107445</v>
      </c>
      <c r="Z1706">
        <v>-2.7116969999999999E-3</v>
      </c>
      <c r="AA1706">
        <v>0.99384519999999998</v>
      </c>
      <c r="AB1706">
        <v>40</v>
      </c>
      <c r="AC1706">
        <v>-31.2975999999999</v>
      </c>
      <c r="AD1706">
        <v>-1.121424243483</v>
      </c>
      <c r="AE1706">
        <v>-3.5417999999999599</v>
      </c>
      <c r="AF1706">
        <v>-3.5137379608733901</v>
      </c>
      <c r="AG1706">
        <v>-1.121424243483</v>
      </c>
      <c r="AH1706">
        <v>31.260635762522799</v>
      </c>
      <c r="AI1706">
        <v>92.041665678659996</v>
      </c>
      <c r="AJ1706">
        <v>96.413205624131194</v>
      </c>
      <c r="AK1706">
        <v>31.477472818964898</v>
      </c>
      <c r="AL1706">
        <v>78.448304030496502</v>
      </c>
      <c r="AM1706">
        <v>88.447598146984305</v>
      </c>
      <c r="AN1706">
        <v>0.99999997607894497</v>
      </c>
    </row>
    <row r="1707" spans="1:40" x14ac:dyDescent="0.25">
      <c r="A1707" t="str">
        <f>"20190303170531138"</f>
        <v>20190303170531138</v>
      </c>
      <c r="B1707" t="str">
        <f>"1551603931126220"</f>
        <v>1551603931126220</v>
      </c>
      <c r="C1707" t="s">
        <v>40</v>
      </c>
      <c r="D1707">
        <v>5.7770020000000004</v>
      </c>
      <c r="E1707">
        <v>0.44248949999999998</v>
      </c>
      <c r="F1707" t="s">
        <v>64</v>
      </c>
      <c r="G1707">
        <v>-306.09910000000002</v>
      </c>
      <c r="H1707" s="1">
        <v>3.2411390000000002E-6</v>
      </c>
      <c r="I1707">
        <v>280.51639999999998</v>
      </c>
      <c r="J1707">
        <v>-271.88490000000002</v>
      </c>
      <c r="K1707">
        <v>1.1214379999999999</v>
      </c>
      <c r="L1707">
        <v>284.78859999999997</v>
      </c>
      <c r="M1707">
        <v>-0.99990270000000003</v>
      </c>
      <c r="N1707">
        <v>-1.3918959999999999E-2</v>
      </c>
      <c r="O1707">
        <v>-1.077965E-3</v>
      </c>
      <c r="P1707">
        <v>-0.98217549999999998</v>
      </c>
      <c r="Q1707">
        <v>0.18622369999999999</v>
      </c>
      <c r="R1707">
        <v>2.554329E-2</v>
      </c>
      <c r="S1707">
        <v>-3.0838619999999999</v>
      </c>
      <c r="T1707">
        <v>-0.1000574</v>
      </c>
      <c r="U1707">
        <v>-0.3812256</v>
      </c>
      <c r="V1707">
        <v>2.6411029999999999E-2</v>
      </c>
      <c r="W1707">
        <v>0.1999012</v>
      </c>
      <c r="X1707">
        <v>0.97946009999999994</v>
      </c>
      <c r="Y1707">
        <v>-0.12152540000000001</v>
      </c>
      <c r="Z1707">
        <v>-2.792919E-3</v>
      </c>
      <c r="AA1707">
        <v>0.99258440000000003</v>
      </c>
      <c r="AB1707">
        <v>40</v>
      </c>
      <c r="AC1707">
        <v>-34.214199999999998</v>
      </c>
      <c r="AD1707">
        <v>-1.1214347588610001</v>
      </c>
      <c r="AE1707">
        <v>-4.27219999999999</v>
      </c>
      <c r="AF1707">
        <v>-4.2308367309265904</v>
      </c>
      <c r="AG1707">
        <v>-1.1214347588610001</v>
      </c>
      <c r="AH1707">
        <v>34.182626414771399</v>
      </c>
      <c r="AI1707">
        <v>91.864818138363404</v>
      </c>
      <c r="AJ1707">
        <v>97.055703875177301</v>
      </c>
      <c r="AK1707">
        <v>34.4617112746011</v>
      </c>
      <c r="AL1707">
        <v>78.468819160989995</v>
      </c>
      <c r="AM1707">
        <v>88.455400123104596</v>
      </c>
      <c r="AN1707">
        <v>1.00000005987955</v>
      </c>
    </row>
    <row r="1708" spans="1:40" x14ac:dyDescent="0.25">
      <c r="A1708" t="str">
        <f>"20190303170531160"</f>
        <v>20190303170531160</v>
      </c>
      <c r="B1708" t="str">
        <f>"1551603931156077"</f>
        <v>1551603931156077</v>
      </c>
      <c r="C1708" t="s">
        <v>40</v>
      </c>
      <c r="D1708">
        <v>5.7498519999999997</v>
      </c>
      <c r="E1708">
        <v>0.43995089999999998</v>
      </c>
      <c r="F1708" t="s">
        <v>64</v>
      </c>
      <c r="G1708">
        <v>-312.10180000000003</v>
      </c>
      <c r="H1708">
        <v>9.1682870000000007E-3</v>
      </c>
      <c r="I1708">
        <v>279.36689999999999</v>
      </c>
      <c r="J1708">
        <v>-272.2996</v>
      </c>
      <c r="K1708">
        <v>1.1214500000000001</v>
      </c>
      <c r="L1708">
        <v>284.7878</v>
      </c>
      <c r="M1708">
        <v>-0.99990009999999996</v>
      </c>
      <c r="N1708">
        <v>-1.4064399999999999E-2</v>
      </c>
      <c r="O1708">
        <v>-1.4633529999999999E-3</v>
      </c>
      <c r="P1708">
        <v>-0.98213209999999995</v>
      </c>
      <c r="Q1708">
        <v>0.1865146</v>
      </c>
      <c r="R1708">
        <v>2.5078070000000001E-2</v>
      </c>
      <c r="S1708">
        <v>-3.0814210000000002</v>
      </c>
      <c r="T1708">
        <v>-8.5222129999999993E-2</v>
      </c>
      <c r="U1708">
        <v>-0.41540529999999998</v>
      </c>
      <c r="V1708">
        <v>2.632398E-2</v>
      </c>
      <c r="W1708">
        <v>0.20033380000000001</v>
      </c>
      <c r="X1708">
        <v>0.97937399999999997</v>
      </c>
      <c r="Y1708">
        <v>-0.13207550000000001</v>
      </c>
      <c r="Z1708">
        <v>-2.7313049999999998E-3</v>
      </c>
      <c r="AA1708">
        <v>0.99123589999999995</v>
      </c>
      <c r="AB1708">
        <v>40</v>
      </c>
      <c r="AC1708">
        <v>-39.802199999999999</v>
      </c>
      <c r="AD1708">
        <v>-1.112281713</v>
      </c>
      <c r="AE1708">
        <v>-5.4209000000000103</v>
      </c>
      <c r="AF1708">
        <v>-5.3585353053081297</v>
      </c>
      <c r="AG1708">
        <v>-1.112281713</v>
      </c>
      <c r="AH1708">
        <v>39.779591282153802</v>
      </c>
      <c r="AI1708">
        <v>91.587307396352898</v>
      </c>
      <c r="AJ1708">
        <v>97.671883415725304</v>
      </c>
      <c r="AK1708">
        <v>40.154289357458602</v>
      </c>
      <c r="AL1708">
        <v>78.443520667789997</v>
      </c>
      <c r="AM1708">
        <v>88.460353347720996</v>
      </c>
      <c r="AN1708">
        <v>1.00000000761074</v>
      </c>
    </row>
    <row r="1709" spans="1:40" x14ac:dyDescent="0.25">
      <c r="A1709" t="str">
        <f>"20190303170531182"</f>
        <v>20190303170531182</v>
      </c>
      <c r="B1709" t="str">
        <f>"1551603931176574"</f>
        <v>1551603931176574</v>
      </c>
      <c r="C1709" t="s">
        <v>40</v>
      </c>
      <c r="D1709">
        <v>5.7778799999999997</v>
      </c>
      <c r="E1709">
        <v>0.4388611</v>
      </c>
      <c r="F1709" t="s">
        <v>64</v>
      </c>
      <c r="G1709">
        <v>-313.8535</v>
      </c>
      <c r="H1709">
        <v>8.0001349999999999E-2</v>
      </c>
      <c r="I1709">
        <v>278.90039999999999</v>
      </c>
      <c r="J1709">
        <v>-272.69170000000003</v>
      </c>
      <c r="K1709">
        <v>1.1214710000000001</v>
      </c>
      <c r="L1709">
        <v>284.7869</v>
      </c>
      <c r="M1709">
        <v>-0.9998977</v>
      </c>
      <c r="N1709">
        <v>-1.4190990000000001E-2</v>
      </c>
      <c r="O1709">
        <v>-1.8261830000000001E-3</v>
      </c>
      <c r="P1709">
        <v>-0.98200889999999996</v>
      </c>
      <c r="Q1709">
        <v>0.18725130000000001</v>
      </c>
      <c r="R1709">
        <v>2.440991E-2</v>
      </c>
      <c r="S1709">
        <v>-3.0803829999999999</v>
      </c>
      <c r="T1709">
        <v>-7.7202320000000005E-2</v>
      </c>
      <c r="U1709">
        <v>-0.43643189999999998</v>
      </c>
      <c r="V1709">
        <v>2.60121E-2</v>
      </c>
      <c r="W1709">
        <v>0.20119239999999999</v>
      </c>
      <c r="X1709">
        <v>0.97920629999999997</v>
      </c>
      <c r="Y1709">
        <v>-0.13840450000000001</v>
      </c>
      <c r="Z1709">
        <v>-2.6929710000000002E-3</v>
      </c>
      <c r="AA1709">
        <v>0.99037209999999998</v>
      </c>
      <c r="AB1709">
        <v>40</v>
      </c>
      <c r="AC1709">
        <v>-41.1617999999999</v>
      </c>
      <c r="AD1709">
        <v>-1.04146964999999</v>
      </c>
      <c r="AE1709">
        <v>-5.8865000000000096</v>
      </c>
      <c r="AF1709">
        <v>-5.8076701771472301</v>
      </c>
      <c r="AG1709">
        <v>-1.04146964999999</v>
      </c>
      <c r="AH1709">
        <v>41.146668762204399</v>
      </c>
      <c r="AI1709">
        <v>91.435688319579398</v>
      </c>
      <c r="AJ1709">
        <v>98.033975047161107</v>
      </c>
      <c r="AK1709">
        <v>41.567559973433198</v>
      </c>
      <c r="AL1709">
        <v>78.3933039380465</v>
      </c>
      <c r="AM1709">
        <v>88.478325638817594</v>
      </c>
      <c r="AN1709">
        <v>0.99999999456192901</v>
      </c>
    </row>
    <row r="1710" spans="1:40" x14ac:dyDescent="0.25">
      <c r="A1710" t="str">
        <f>"20190303170531198"</f>
        <v>20190303170531198</v>
      </c>
      <c r="B1710" t="str">
        <f>"1551603931186334"</f>
        <v>1551603931186334</v>
      </c>
      <c r="C1710" t="s">
        <v>40</v>
      </c>
      <c r="D1710">
        <v>5.7735019999999997</v>
      </c>
      <c r="E1710">
        <v>0.43846629999999998</v>
      </c>
      <c r="F1710" t="s">
        <v>64</v>
      </c>
      <c r="G1710">
        <v>-316.43049999999999</v>
      </c>
      <c r="H1710">
        <v>8.0001059999999999E-2</v>
      </c>
      <c r="I1710">
        <v>278.44189999999998</v>
      </c>
      <c r="J1710">
        <v>-272.9393</v>
      </c>
      <c r="K1710">
        <v>1.1214770000000001</v>
      </c>
      <c r="L1710">
        <v>284.78620000000001</v>
      </c>
      <c r="M1710">
        <v>-0.99989620000000001</v>
      </c>
      <c r="N1710">
        <v>-1.4263110000000001E-2</v>
      </c>
      <c r="O1710">
        <v>-2.051013E-3</v>
      </c>
      <c r="P1710">
        <v>-0.98185679999999997</v>
      </c>
      <c r="Q1710">
        <v>0.1881063</v>
      </c>
      <c r="R1710">
        <v>2.3950599999999999E-2</v>
      </c>
      <c r="S1710">
        <v>-3.0800480000000001</v>
      </c>
      <c r="T1710">
        <v>-7.3339459999999995E-2</v>
      </c>
      <c r="U1710">
        <v>-0.44680789999999998</v>
      </c>
      <c r="V1710">
        <v>2.5773870000000001E-2</v>
      </c>
      <c r="W1710">
        <v>0.2021153</v>
      </c>
      <c r="X1710">
        <v>0.97902259999999997</v>
      </c>
      <c r="Y1710">
        <v>-0.14146909999999999</v>
      </c>
      <c r="Z1710">
        <v>-2.6702219999999999E-3</v>
      </c>
      <c r="AA1710">
        <v>0.98993909999999996</v>
      </c>
      <c r="AB1710">
        <v>40</v>
      </c>
      <c r="AC1710">
        <v>-43.4911999999999</v>
      </c>
      <c r="AD1710">
        <v>-1.04147594</v>
      </c>
      <c r="AE1710">
        <v>-6.3443000000000298</v>
      </c>
      <c r="AF1710">
        <v>-6.2515662995438097</v>
      </c>
      <c r="AG1710">
        <v>-1.04147594</v>
      </c>
      <c r="AH1710">
        <v>43.479708143382801</v>
      </c>
      <c r="AI1710">
        <v>91.358190141116495</v>
      </c>
      <c r="AJ1710">
        <v>98.181983489410399</v>
      </c>
      <c r="AK1710">
        <v>43.939182668376297</v>
      </c>
      <c r="AL1710">
        <v>78.339317471802005</v>
      </c>
      <c r="AM1710">
        <v>88.491972547847894</v>
      </c>
      <c r="AN1710">
        <v>1.0000000690898101</v>
      </c>
    </row>
    <row r="1711" spans="1:40" x14ac:dyDescent="0.25">
      <c r="A1711" t="str">
        <f>"20190303170531218"</f>
        <v>20190303170531218</v>
      </c>
      <c r="B1711" t="str">
        <f>"1551603931206828"</f>
        <v>1551603931206828</v>
      </c>
      <c r="C1711" t="s">
        <v>40</v>
      </c>
      <c r="D1711">
        <v>5.7597009999999997</v>
      </c>
      <c r="E1711">
        <v>0.4378686</v>
      </c>
      <c r="F1711" t="s">
        <v>64</v>
      </c>
      <c r="G1711">
        <v>-319.45710000000003</v>
      </c>
      <c r="H1711">
        <v>8.0000479999999999E-2</v>
      </c>
      <c r="I1711">
        <v>277.96710000000002</v>
      </c>
      <c r="J1711">
        <v>-273.3236</v>
      </c>
      <c r="K1711">
        <v>1.121481</v>
      </c>
      <c r="L1711">
        <v>284.7851</v>
      </c>
      <c r="M1711">
        <v>-0.99989399999999995</v>
      </c>
      <c r="N1711">
        <v>-1.436669E-2</v>
      </c>
      <c r="O1711">
        <v>-2.3888730000000001E-3</v>
      </c>
      <c r="P1711">
        <v>-0.98170820000000003</v>
      </c>
      <c r="Q1711">
        <v>0.18897600000000001</v>
      </c>
      <c r="R1711">
        <v>2.3174110000000001E-2</v>
      </c>
      <c r="S1711">
        <v>-3.0796199999999998</v>
      </c>
      <c r="T1711">
        <v>-6.8948980000000007E-2</v>
      </c>
      <c r="U1711">
        <v>-0.45144649999999997</v>
      </c>
      <c r="V1711">
        <v>2.533181E-2</v>
      </c>
      <c r="W1711">
        <v>0.20308319999999999</v>
      </c>
      <c r="X1711">
        <v>0.97883370000000003</v>
      </c>
      <c r="Y1711">
        <v>-0.14261940000000001</v>
      </c>
      <c r="Z1711">
        <v>-2.5989960000000001E-3</v>
      </c>
      <c r="AA1711">
        <v>0.98977420000000005</v>
      </c>
      <c r="AB1711">
        <v>40</v>
      </c>
      <c r="AC1711">
        <v>-46.133499999999998</v>
      </c>
      <c r="AD1711">
        <v>-1.0414805199999999</v>
      </c>
      <c r="AE1711">
        <v>-6.8179999999999801</v>
      </c>
      <c r="AF1711">
        <v>-6.70441824831265</v>
      </c>
      <c r="AG1711">
        <v>-1.0414805199999999</v>
      </c>
      <c r="AH1711">
        <v>46.126651523196998</v>
      </c>
      <c r="AI1711">
        <v>91.279999848089105</v>
      </c>
      <c r="AJ1711">
        <v>98.269916682105602</v>
      </c>
      <c r="AK1711">
        <v>46.622975950321901</v>
      </c>
      <c r="AL1711">
        <v>78.282685037981594</v>
      </c>
      <c r="AM1711">
        <v>88.517539902010796</v>
      </c>
      <c r="AN1711">
        <v>0.99999994948790105</v>
      </c>
    </row>
    <row r="1712" spans="1:40" x14ac:dyDescent="0.25">
      <c r="A1712" t="str">
        <f>"20190303170531239"</f>
        <v>20190303170531239</v>
      </c>
      <c r="B1712" t="str">
        <f>"1551603931226350"</f>
        <v>1551603931226350</v>
      </c>
      <c r="C1712" t="s">
        <v>40</v>
      </c>
      <c r="D1712">
        <v>5.7276040000000004</v>
      </c>
      <c r="E1712">
        <v>0.4374808</v>
      </c>
      <c r="F1712" t="s">
        <v>60</v>
      </c>
      <c r="G1712">
        <v>-322.08260000000001</v>
      </c>
      <c r="H1712">
        <v>8.0001160000000002E-2</v>
      </c>
      <c r="I1712">
        <v>277.52199999999999</v>
      </c>
      <c r="J1712">
        <v>-273.69760000000002</v>
      </c>
      <c r="K1712">
        <v>1.121469</v>
      </c>
      <c r="L1712">
        <v>284.78390000000002</v>
      </c>
      <c r="M1712">
        <v>-0.99989189999999994</v>
      </c>
      <c r="N1712">
        <v>-1.4456170000000001E-2</v>
      </c>
      <c r="O1712">
        <v>-2.6983850000000002E-3</v>
      </c>
      <c r="P1712">
        <v>-0.98171450000000005</v>
      </c>
      <c r="Q1712">
        <v>0.18900400000000001</v>
      </c>
      <c r="R1712">
        <v>2.2674759999999999E-2</v>
      </c>
      <c r="S1712">
        <v>-3.0794069999999998</v>
      </c>
      <c r="T1712">
        <v>-6.5775390000000003E-2</v>
      </c>
      <c r="U1712">
        <v>-0.4587097</v>
      </c>
      <c r="V1712">
        <v>2.5143180000000001E-2</v>
      </c>
      <c r="W1712">
        <v>0.20319760000000001</v>
      </c>
      <c r="X1712">
        <v>0.97881490000000004</v>
      </c>
      <c r="Y1712">
        <v>-0.1446105</v>
      </c>
      <c r="Z1712">
        <v>-2.5685080000000002E-3</v>
      </c>
      <c r="AA1712">
        <v>0.98948530000000001</v>
      </c>
      <c r="AB1712">
        <v>40</v>
      </c>
      <c r="AC1712">
        <v>-48.384999999999899</v>
      </c>
      <c r="AD1712">
        <v>-1.0414678399999999</v>
      </c>
      <c r="AE1712">
        <v>-7.2619000000000202</v>
      </c>
      <c r="AF1712">
        <v>-7.1280688162008303</v>
      </c>
      <c r="AG1712">
        <v>-1.0414678399999999</v>
      </c>
      <c r="AH1712">
        <v>48.382499052097401</v>
      </c>
      <c r="AI1712">
        <v>91.219977220974798</v>
      </c>
      <c r="AJ1712">
        <v>98.380949280866304</v>
      </c>
      <c r="AK1712">
        <v>48.915848503695102</v>
      </c>
      <c r="AL1712">
        <v>78.275991736917106</v>
      </c>
      <c r="AM1712">
        <v>88.5285457263506</v>
      </c>
      <c r="AN1712">
        <v>1.00000002630414</v>
      </c>
    </row>
    <row r="1713" spans="1:40" x14ac:dyDescent="0.25">
      <c r="A1713" t="str">
        <f>"20190303170531263"</f>
        <v>20190303170531263</v>
      </c>
      <c r="B1713" t="str">
        <f>"1551603931256522"</f>
        <v>1551603931256522</v>
      </c>
      <c r="C1713" t="s">
        <v>40</v>
      </c>
      <c r="D1713">
        <v>5.7399870000000002</v>
      </c>
      <c r="E1713">
        <v>0.43705460000000002</v>
      </c>
      <c r="F1713" t="s">
        <v>60</v>
      </c>
      <c r="G1713">
        <v>-323.46050000000002</v>
      </c>
      <c r="H1713">
        <v>8.0000769999999999E-2</v>
      </c>
      <c r="I1713">
        <v>277.30160000000001</v>
      </c>
      <c r="J1713">
        <v>-274.12709999999998</v>
      </c>
      <c r="K1713">
        <v>1.1214500000000001</v>
      </c>
      <c r="L1713">
        <v>284.7824</v>
      </c>
      <c r="M1713">
        <v>-0.99988969999999999</v>
      </c>
      <c r="N1713">
        <v>-1.4546760000000001E-2</v>
      </c>
      <c r="O1713">
        <v>-3.022491E-3</v>
      </c>
      <c r="P1713">
        <v>-0.98190460000000002</v>
      </c>
      <c r="Q1713">
        <v>0.18807219999999999</v>
      </c>
      <c r="R1713">
        <v>2.2193729999999998E-2</v>
      </c>
      <c r="S1713">
        <v>-3.0789789999999999</v>
      </c>
      <c r="T1713">
        <v>-6.4438819999999994E-2</v>
      </c>
      <c r="U1713">
        <v>-0.46295170000000002</v>
      </c>
      <c r="V1713">
        <v>2.4994120000000002E-2</v>
      </c>
      <c r="W1713">
        <v>0.2023558</v>
      </c>
      <c r="X1713">
        <v>0.97899309999999995</v>
      </c>
      <c r="Y1713">
        <v>-0.1456443</v>
      </c>
      <c r="Z1713">
        <v>-2.5617169999999998E-3</v>
      </c>
      <c r="AA1713">
        <v>0.98933369999999998</v>
      </c>
      <c r="AB1713">
        <v>40</v>
      </c>
      <c r="AC1713">
        <v>-49.333399999999997</v>
      </c>
      <c r="AD1713">
        <v>-1.04144923</v>
      </c>
      <c r="AE1713">
        <v>-7.4807999999999799</v>
      </c>
      <c r="AF1713">
        <v>-7.32844778199728</v>
      </c>
      <c r="AG1713">
        <v>-1.04144923</v>
      </c>
      <c r="AH1713">
        <v>49.334295991443902</v>
      </c>
      <c r="AI1713">
        <v>91.196214866011502</v>
      </c>
      <c r="AJ1713">
        <v>98.449313685499604</v>
      </c>
      <c r="AK1713">
        <v>49.886506435744003</v>
      </c>
      <c r="AL1713">
        <v>78.325246671237295</v>
      </c>
      <c r="AM1713">
        <v>88.537531500072106</v>
      </c>
      <c r="AN1713">
        <v>1.0000000328379099</v>
      </c>
    </row>
    <row r="1714" spans="1:40" x14ac:dyDescent="0.25">
      <c r="A1714" t="str">
        <f>"20190303170531285"</f>
        <v>20190303170531285</v>
      </c>
      <c r="B1714" t="str">
        <f>"1551603931276042"</f>
        <v>1551603931276042</v>
      </c>
      <c r="C1714" t="s">
        <v>40</v>
      </c>
      <c r="D1714">
        <v>5.7379759999999997</v>
      </c>
      <c r="E1714">
        <v>0.43681639999999999</v>
      </c>
      <c r="F1714" t="s">
        <v>60</v>
      </c>
      <c r="G1714">
        <v>-321.71480000000003</v>
      </c>
      <c r="H1714">
        <v>8.0001260000000005E-2</v>
      </c>
      <c r="I1714">
        <v>277.56029999999998</v>
      </c>
      <c r="J1714">
        <v>-274.51229999999998</v>
      </c>
      <c r="K1714">
        <v>1.121427</v>
      </c>
      <c r="L1714">
        <v>284.78100000000001</v>
      </c>
      <c r="M1714">
        <v>-0.99988779999999999</v>
      </c>
      <c r="N1714">
        <v>-1.4616219999999999E-2</v>
      </c>
      <c r="O1714">
        <v>-3.268946E-3</v>
      </c>
      <c r="P1714">
        <v>-0.98177300000000001</v>
      </c>
      <c r="Q1714">
        <v>0.18876770000000001</v>
      </c>
      <c r="R1714">
        <v>2.210908E-2</v>
      </c>
      <c r="S1714">
        <v>-3.0787960000000001</v>
      </c>
      <c r="T1714">
        <v>-6.7378999999999994E-2</v>
      </c>
      <c r="U1714">
        <v>-0.46725460000000002</v>
      </c>
      <c r="V1714">
        <v>2.516587E-2</v>
      </c>
      <c r="W1714">
        <v>0.20311499999999999</v>
      </c>
      <c r="X1714">
        <v>0.97883140000000002</v>
      </c>
      <c r="Y1714">
        <v>-0.14675639999999901</v>
      </c>
      <c r="Z1714">
        <v>-2.6518190000000001E-3</v>
      </c>
      <c r="AA1714">
        <v>0.98916910000000002</v>
      </c>
      <c r="AB1714">
        <v>40</v>
      </c>
      <c r="AC1714">
        <v>-47.202500000000001</v>
      </c>
      <c r="AD1714">
        <v>-1.04142574</v>
      </c>
      <c r="AE1714">
        <v>-7.2207000000000203</v>
      </c>
      <c r="AF1714">
        <v>-7.0629830409992103</v>
      </c>
      <c r="AG1714">
        <v>-1.04142574</v>
      </c>
      <c r="AH1714">
        <v>47.203402385612101</v>
      </c>
      <c r="AI1714">
        <v>91.249973193292305</v>
      </c>
      <c r="AJ1714">
        <v>98.509957861536805</v>
      </c>
      <c r="AK1714">
        <v>47.740250248478802</v>
      </c>
      <c r="AL1714">
        <v>78.280824457228903</v>
      </c>
      <c r="AM1714">
        <v>88.527243239613696</v>
      </c>
      <c r="AN1714">
        <v>0.99999996693190696</v>
      </c>
    </row>
    <row r="1715" spans="1:40" x14ac:dyDescent="0.25">
      <c r="A1715" t="str">
        <f>"20190303170531306"</f>
        <v>20190303170531306</v>
      </c>
      <c r="B1715" t="str">
        <f>"1551603931296538"</f>
        <v>1551603931296538</v>
      </c>
      <c r="C1715" t="s">
        <v>40</v>
      </c>
      <c r="D1715">
        <v>5.7473190000000001</v>
      </c>
      <c r="E1715">
        <v>0.43656460000000002</v>
      </c>
      <c r="F1715" t="s">
        <v>60</v>
      </c>
      <c r="G1715">
        <v>-324.53210000000001</v>
      </c>
      <c r="H1715">
        <v>8.0000459999999995E-2</v>
      </c>
      <c r="I1715">
        <v>277.1619</v>
      </c>
      <c r="J1715">
        <v>-274.89710000000002</v>
      </c>
      <c r="K1715">
        <v>1.1213949999999999</v>
      </c>
      <c r="L1715">
        <v>284.77949999999998</v>
      </c>
      <c r="M1715">
        <v>-0.99988639999999995</v>
      </c>
      <c r="N1715">
        <v>-1.467678E-2</v>
      </c>
      <c r="O1715">
        <v>-3.4691740000000002E-3</v>
      </c>
      <c r="P1715">
        <v>-0.98144299999999995</v>
      </c>
      <c r="Q1715">
        <v>0.19053310000000001</v>
      </c>
      <c r="R1715">
        <v>2.1609650000000001E-2</v>
      </c>
      <c r="S1715">
        <v>-3.0785520000000002</v>
      </c>
      <c r="T1715">
        <v>-6.4096330000000007E-2</v>
      </c>
      <c r="U1715">
        <v>-0.46893309999999999</v>
      </c>
      <c r="V1715">
        <v>2.4880090000000001E-2</v>
      </c>
      <c r="W1715">
        <v>0.20493230000000001</v>
      </c>
      <c r="X1715">
        <v>0.97845990000000005</v>
      </c>
      <c r="Y1715">
        <v>-0.14710129999999999</v>
      </c>
      <c r="Z1715">
        <v>-2.5871599999999998E-3</v>
      </c>
      <c r="AA1715">
        <v>0.98911800000000005</v>
      </c>
      <c r="AB1715">
        <v>40</v>
      </c>
      <c r="AC1715">
        <v>-49.634999999999899</v>
      </c>
      <c r="AD1715">
        <v>-1.04139454</v>
      </c>
      <c r="AE1715">
        <v>-7.6175999999999799</v>
      </c>
      <c r="AF1715">
        <v>-7.4421424950986204</v>
      </c>
      <c r="AG1715">
        <v>-1.04139454</v>
      </c>
      <c r="AH1715">
        <v>49.639782061529502</v>
      </c>
      <c r="AI1715">
        <v>91.188554253169798</v>
      </c>
      <c r="AJ1715">
        <v>98.526447987201905</v>
      </c>
      <c r="AK1715">
        <v>50.205357788003397</v>
      </c>
      <c r="AL1715">
        <v>78.174464269297005</v>
      </c>
      <c r="AM1715">
        <v>88.5434078241625</v>
      </c>
      <c r="AN1715">
        <v>1.0000000211848501</v>
      </c>
    </row>
    <row r="1716" spans="1:40" x14ac:dyDescent="0.25">
      <c r="A1716" t="str">
        <f>"20190303170531326"</f>
        <v>20190303170531326</v>
      </c>
      <c r="B1716" t="str">
        <f>"1551603931316058"</f>
        <v>1551603931316058</v>
      </c>
      <c r="C1716" t="s">
        <v>40</v>
      </c>
      <c r="D1716">
        <v>5.7375499999999997</v>
      </c>
      <c r="E1716">
        <v>0.43635049999999997</v>
      </c>
      <c r="F1716" t="s">
        <v>60</v>
      </c>
      <c r="G1716">
        <v>-329.5677</v>
      </c>
      <c r="H1716">
        <v>8.0000479999999999E-2</v>
      </c>
      <c r="I1716">
        <v>276.39440000000002</v>
      </c>
      <c r="J1716">
        <v>-275.27179999999998</v>
      </c>
      <c r="K1716">
        <v>1.1213690000000001</v>
      </c>
      <c r="L1716">
        <v>284.77809999999999</v>
      </c>
      <c r="M1716">
        <v>-0.99988500000000002</v>
      </c>
      <c r="N1716">
        <v>-1.4728160000000001E-2</v>
      </c>
      <c r="O1716">
        <v>-3.622938E-3</v>
      </c>
      <c r="P1716">
        <v>-0.98125560000000001</v>
      </c>
      <c r="Q1716">
        <v>0.19152939999999999</v>
      </c>
      <c r="R1716">
        <v>2.130423E-2</v>
      </c>
      <c r="S1716">
        <v>-3.078522</v>
      </c>
      <c r="T1716">
        <v>-5.8641310000000002E-2</v>
      </c>
      <c r="U1716">
        <v>-0.47216799999999998</v>
      </c>
      <c r="V1716">
        <v>2.4744599999999999E-2</v>
      </c>
      <c r="W1716">
        <v>0.2059734</v>
      </c>
      <c r="X1716">
        <v>0.97824469999999997</v>
      </c>
      <c r="Y1716">
        <v>-0.14797279999999999</v>
      </c>
      <c r="Z1716">
        <v>-2.4817200000000002E-3</v>
      </c>
      <c r="AA1716">
        <v>0.98898830000000004</v>
      </c>
      <c r="AB1716">
        <v>40</v>
      </c>
      <c r="AC1716">
        <v>-54.295900000000003</v>
      </c>
      <c r="AD1716">
        <v>-1.04136852</v>
      </c>
      <c r="AE1716">
        <v>-8.3836999999999708</v>
      </c>
      <c r="AF1716">
        <v>-8.1839725564265393</v>
      </c>
      <c r="AG1716">
        <v>-1.04136852</v>
      </c>
      <c r="AH1716">
        <v>54.3064088964923</v>
      </c>
      <c r="AI1716">
        <v>91.086294546583105</v>
      </c>
      <c r="AJ1716">
        <v>98.5699827033405</v>
      </c>
      <c r="AK1716">
        <v>54.929481177522597</v>
      </c>
      <c r="AL1716">
        <v>78.113513290989303</v>
      </c>
      <c r="AM1716">
        <v>88.551018078080602</v>
      </c>
      <c r="AN1716">
        <v>1.0000000149074</v>
      </c>
    </row>
    <row r="1717" spans="1:40" x14ac:dyDescent="0.25">
      <c r="A1717" t="str">
        <f>"20190303170531339"</f>
        <v>20190303170531339</v>
      </c>
      <c r="B1717" t="str">
        <f>"1551603931326794"</f>
        <v>1551603931326794</v>
      </c>
      <c r="C1717" t="s">
        <v>40</v>
      </c>
      <c r="D1717">
        <v>5.7235569999999996</v>
      </c>
      <c r="E1717">
        <v>0.43627480000000002</v>
      </c>
      <c r="F1717" t="s">
        <v>60</v>
      </c>
      <c r="G1717">
        <v>-333.52730000000003</v>
      </c>
      <c r="H1717">
        <v>8.0000810000000006E-2</v>
      </c>
      <c r="I1717">
        <v>275.8021</v>
      </c>
      <c r="J1717">
        <v>-275.49880000000002</v>
      </c>
      <c r="K1717">
        <v>1.1213470000000001</v>
      </c>
      <c r="L1717">
        <v>284.77719999999999</v>
      </c>
      <c r="M1717">
        <v>-0.99988429999999995</v>
      </c>
      <c r="N1717">
        <v>-1.475602E-2</v>
      </c>
      <c r="O1717">
        <v>-3.6951549999999999E-3</v>
      </c>
      <c r="P1717">
        <v>-0.98119239999999996</v>
      </c>
      <c r="Q1717">
        <v>0.1918908</v>
      </c>
      <c r="R1717">
        <v>2.0960679999999999E-2</v>
      </c>
      <c r="S1717">
        <v>-3.0783079999999998</v>
      </c>
      <c r="T1717">
        <v>-5.5027479999999997E-2</v>
      </c>
      <c r="U1717">
        <v>-0.47430420000000001</v>
      </c>
      <c r="V1717">
        <v>2.4484140000000001E-2</v>
      </c>
      <c r="W1717">
        <v>0.2063593</v>
      </c>
      <c r="X1717">
        <v>0.97816990000000004</v>
      </c>
      <c r="Y1717">
        <v>-0.1485862</v>
      </c>
      <c r="Z1717">
        <v>-2.4116369999999999E-3</v>
      </c>
      <c r="AA1717">
        <v>0.98889649999999996</v>
      </c>
      <c r="AB1717">
        <v>40</v>
      </c>
      <c r="AC1717">
        <v>-58.028500000000001</v>
      </c>
      <c r="AD1717">
        <v>-1.0413461899999901</v>
      </c>
      <c r="AE1717">
        <v>-8.9750999999999905</v>
      </c>
      <c r="AF1717">
        <v>-8.7578365963629992</v>
      </c>
      <c r="AG1717">
        <v>-1.0413461899999901</v>
      </c>
      <c r="AH1717">
        <v>58.0430163705174</v>
      </c>
      <c r="AI1717">
        <v>91.016328300493399</v>
      </c>
      <c r="AJ1717">
        <v>98.580365639417593</v>
      </c>
      <c r="AK1717">
        <v>58.7092484462556</v>
      </c>
      <c r="AL1717">
        <v>78.090917163608793</v>
      </c>
      <c r="AM1717">
        <v>88.566153973600294</v>
      </c>
      <c r="AN1717">
        <v>0.99999999353701896</v>
      </c>
    </row>
    <row r="1718" spans="1:40" x14ac:dyDescent="0.25">
      <c r="A1718" t="str">
        <f>"20190303170531361"</f>
        <v>20190303170531361</v>
      </c>
      <c r="B1718" t="str">
        <f>"1551603931356074"</f>
        <v>1551603931356074</v>
      </c>
      <c r="C1718" t="s">
        <v>40</v>
      </c>
      <c r="D1718">
        <v>5.7225799999999998</v>
      </c>
      <c r="E1718">
        <v>0.43604720000000002</v>
      </c>
      <c r="F1718" t="s">
        <v>60</v>
      </c>
      <c r="G1718">
        <v>-334.98500000000001</v>
      </c>
      <c r="H1718">
        <v>8.0001870000000003E-2</v>
      </c>
      <c r="I1718">
        <v>275.57839999999999</v>
      </c>
      <c r="J1718">
        <v>-275.88060000000002</v>
      </c>
      <c r="K1718">
        <v>1.1213109999999999</v>
      </c>
      <c r="L1718">
        <v>284.7758</v>
      </c>
      <c r="M1718">
        <v>-0.99988339999999998</v>
      </c>
      <c r="N1718">
        <v>-1.4797619999999999E-2</v>
      </c>
      <c r="O1718">
        <v>-3.7842399999999999E-3</v>
      </c>
      <c r="P1718">
        <v>-0.98122940000000003</v>
      </c>
      <c r="Q1718">
        <v>0.1916822</v>
      </c>
      <c r="R1718">
        <v>2.1138270000000001E-2</v>
      </c>
      <c r="S1718">
        <v>-3.0782470000000002</v>
      </c>
      <c r="T1718">
        <v>-5.3886770000000001E-2</v>
      </c>
      <c r="U1718">
        <v>-0.47601320000000003</v>
      </c>
      <c r="V1718">
        <v>2.4769719999999999E-2</v>
      </c>
      <c r="W1718">
        <v>0.20618939999999999</v>
      </c>
      <c r="X1718">
        <v>0.97819849999999997</v>
      </c>
      <c r="Y1718">
        <v>-0.14903849999999999</v>
      </c>
      <c r="Z1718">
        <v>-2.3959710000000002E-3</v>
      </c>
      <c r="AA1718">
        <v>0.9888285</v>
      </c>
      <c r="AB1718">
        <v>40</v>
      </c>
      <c r="AC1718">
        <v>-59.104399999999998</v>
      </c>
      <c r="AD1718">
        <v>-1.0413091299999999</v>
      </c>
      <c r="AE1718">
        <v>-9.1974000000000107</v>
      </c>
      <c r="AF1718">
        <v>-8.9709256870752796</v>
      </c>
      <c r="AG1718">
        <v>-1.0413091299999999</v>
      </c>
      <c r="AH1718">
        <v>59.1208685192993</v>
      </c>
      <c r="AI1718">
        <v>90.9976416276713</v>
      </c>
      <c r="AJ1718">
        <v>98.628170564877095</v>
      </c>
      <c r="AK1718">
        <v>59.8066796174434</v>
      </c>
      <c r="AL1718">
        <v>78.100865220659998</v>
      </c>
      <c r="AM1718">
        <v>88.549479266599803</v>
      </c>
      <c r="AN1718">
        <v>0.99999995655174301</v>
      </c>
    </row>
    <row r="1719" spans="1:40" x14ac:dyDescent="0.25">
      <c r="A1719" t="str">
        <f>"20190303170531378"</f>
        <v>20190303170531378</v>
      </c>
      <c r="B1719" t="str">
        <f>"1551603931366810"</f>
        <v>1551603931366810</v>
      </c>
      <c r="C1719" t="s">
        <v>40</v>
      </c>
      <c r="D1719">
        <v>5.7264850000000003</v>
      </c>
      <c r="E1719">
        <v>0.4359595</v>
      </c>
      <c r="F1719" t="s">
        <v>60</v>
      </c>
      <c r="G1719">
        <v>-335.09699999999998</v>
      </c>
      <c r="H1719">
        <v>8.0001820000000001E-2</v>
      </c>
      <c r="I1719">
        <v>275.60050000000001</v>
      </c>
      <c r="J1719">
        <v>-276.17320000000001</v>
      </c>
      <c r="K1719">
        <v>1.1212899999999999</v>
      </c>
      <c r="L1719">
        <v>284.77460000000002</v>
      </c>
      <c r="M1719">
        <v>-0.99988279999999996</v>
      </c>
      <c r="N1719">
        <v>-1.482516E-2</v>
      </c>
      <c r="O1719">
        <v>-3.8258839999999999E-3</v>
      </c>
      <c r="P1719">
        <v>-0.98131380000000001</v>
      </c>
      <c r="Q1719">
        <v>0.1911804</v>
      </c>
      <c r="R1719">
        <v>2.1756259999999999E-2</v>
      </c>
      <c r="S1719">
        <v>-3.0782470000000002</v>
      </c>
      <c r="T1719">
        <v>-5.413043E-2</v>
      </c>
      <c r="U1719">
        <v>-0.47695920000000003</v>
      </c>
      <c r="V1719">
        <v>2.5443319999999998E-2</v>
      </c>
      <c r="W1719">
        <v>0.20571490000000001</v>
      </c>
      <c r="X1719">
        <v>0.97828110000000001</v>
      </c>
      <c r="Y1719">
        <v>-0.1492937</v>
      </c>
      <c r="Z1719">
        <v>-2.4077209999999998E-3</v>
      </c>
      <c r="AA1719">
        <v>0.98878999999999995</v>
      </c>
      <c r="AB1719">
        <v>40</v>
      </c>
      <c r="AC1719">
        <v>-58.9237999999999</v>
      </c>
      <c r="AD1719">
        <v>-1.04128818</v>
      </c>
      <c r="AE1719">
        <v>-9.1741000000000099</v>
      </c>
      <c r="AF1719">
        <v>-8.9458448513361404</v>
      </c>
      <c r="AG1719">
        <v>-1.04128818</v>
      </c>
      <c r="AH1719">
        <v>58.940500561067203</v>
      </c>
      <c r="AI1719">
        <v>91.000668071059494</v>
      </c>
      <c r="AJ1719">
        <v>98.6303446196967</v>
      </c>
      <c r="AK1719">
        <v>59.624617630364298</v>
      </c>
      <c r="AL1719">
        <v>78.128647548248395</v>
      </c>
      <c r="AM1719">
        <v>88.510176380384095</v>
      </c>
      <c r="AN1719">
        <v>0.99999994661591896</v>
      </c>
    </row>
    <row r="1720" spans="1:40" x14ac:dyDescent="0.25">
      <c r="A1720" t="str">
        <f>"20190303170531395"</f>
        <v>20190303170531395</v>
      </c>
      <c r="B1720" t="str">
        <f>"1551603931386330"</f>
        <v>1551603931386330</v>
      </c>
      <c r="C1720" t="s">
        <v>40</v>
      </c>
      <c r="D1720">
        <v>5.7272600000000002</v>
      </c>
      <c r="E1720">
        <v>0.43585259999999998</v>
      </c>
      <c r="F1720" t="s">
        <v>60</v>
      </c>
      <c r="G1720">
        <v>-333.92829999999998</v>
      </c>
      <c r="H1720">
        <v>8.0000680000000005E-2</v>
      </c>
      <c r="I1720">
        <v>275.85270000000003</v>
      </c>
      <c r="J1720">
        <v>-276.48660000000001</v>
      </c>
      <c r="K1720">
        <v>1.1212660000000001</v>
      </c>
      <c r="L1720">
        <v>284.77339999999998</v>
      </c>
      <c r="M1720">
        <v>-0.99988239999999995</v>
      </c>
      <c r="N1720">
        <v>-1.485144E-2</v>
      </c>
      <c r="O1720">
        <v>-3.8481930000000002E-3</v>
      </c>
      <c r="P1720">
        <v>-0.9813463</v>
      </c>
      <c r="Q1720">
        <v>0.19088250000000001</v>
      </c>
      <c r="R1720">
        <v>2.2881889999999998E-2</v>
      </c>
      <c r="S1720">
        <v>-3.0784910000000001</v>
      </c>
      <c r="T1720">
        <v>-5.5503249999999997E-2</v>
      </c>
      <c r="U1720">
        <v>-0.47555540000000002</v>
      </c>
      <c r="V1720">
        <v>2.6605770000000001E-2</v>
      </c>
      <c r="W1720">
        <v>0.2054414</v>
      </c>
      <c r="X1720">
        <v>0.9783077</v>
      </c>
      <c r="Y1720">
        <v>-0.148817899999999</v>
      </c>
      <c r="Z1720">
        <v>-2.4332080000000001E-3</v>
      </c>
      <c r="AA1720">
        <v>0.98886160000000001</v>
      </c>
      <c r="AB1720">
        <v>40</v>
      </c>
      <c r="AC1720">
        <v>-57.441699999999898</v>
      </c>
      <c r="AD1720">
        <v>-1.0412653199999999</v>
      </c>
      <c r="AE1720">
        <v>-8.9206999999999503</v>
      </c>
      <c r="AF1720">
        <v>-8.6967723617832196</v>
      </c>
      <c r="AG1720">
        <v>-1.0412653199999999</v>
      </c>
      <c r="AH1720">
        <v>57.457171129071902</v>
      </c>
      <c r="AI1720">
        <v>91.026536940003297</v>
      </c>
      <c r="AJ1720">
        <v>98.607011511537905</v>
      </c>
      <c r="AK1720">
        <v>58.120948006160098</v>
      </c>
      <c r="AL1720">
        <v>78.144660550943399</v>
      </c>
      <c r="AM1720">
        <v>88.4421847236041</v>
      </c>
      <c r="AN1720">
        <v>0.999999995855271</v>
      </c>
    </row>
    <row r="1721" spans="1:40" x14ac:dyDescent="0.25">
      <c r="A1721" t="str">
        <f>"20190303170531407"</f>
        <v>20190303170531407</v>
      </c>
      <c r="B1721" t="str">
        <f>"1551603931396091"</f>
        <v>1551603931396091</v>
      </c>
      <c r="C1721" t="s">
        <v>40</v>
      </c>
      <c r="D1721">
        <v>5.7551009999999998</v>
      </c>
      <c r="E1721">
        <v>0.4357569</v>
      </c>
      <c r="F1721" t="s">
        <v>60</v>
      </c>
      <c r="G1721">
        <v>-333.5883</v>
      </c>
      <c r="H1721">
        <v>8.0000779999999994E-2</v>
      </c>
      <c r="I1721">
        <v>275.99689999999998</v>
      </c>
      <c r="J1721">
        <v>-276.70620000000002</v>
      </c>
      <c r="K1721">
        <v>1.121245</v>
      </c>
      <c r="L1721">
        <v>284.77249999999998</v>
      </c>
      <c r="M1721">
        <v>-0.99988200000000005</v>
      </c>
      <c r="N1721">
        <v>-1.48681E-2</v>
      </c>
      <c r="O1721">
        <v>-3.8503249999999999E-3</v>
      </c>
      <c r="P1721">
        <v>-0.98127940000000002</v>
      </c>
      <c r="Q1721">
        <v>0.1911562</v>
      </c>
      <c r="R1721">
        <v>2.3446809999999998E-2</v>
      </c>
      <c r="S1721">
        <v>-3.0789789999999999</v>
      </c>
      <c r="T1721">
        <v>-5.614603E-2</v>
      </c>
      <c r="U1721">
        <v>-0.47323609999999999</v>
      </c>
      <c r="V1721">
        <v>2.7182609999999999E-2</v>
      </c>
      <c r="W1721">
        <v>0.20572940000000001</v>
      </c>
      <c r="X1721">
        <v>0.97823130000000003</v>
      </c>
      <c r="Y1721">
        <v>-0.1480639</v>
      </c>
      <c r="Z1721">
        <v>-2.4364949999999999E-3</v>
      </c>
      <c r="AA1721">
        <v>0.98897480000000004</v>
      </c>
      <c r="AB1721">
        <v>40</v>
      </c>
      <c r="AC1721">
        <v>-56.882099999999902</v>
      </c>
      <c r="AD1721">
        <v>-1.0412442200000001</v>
      </c>
      <c r="AE1721">
        <v>-8.7755999999999901</v>
      </c>
      <c r="AF1721">
        <v>-8.5536965668955105</v>
      </c>
      <c r="AG1721">
        <v>-1.0412442200000001</v>
      </c>
      <c r="AH1721">
        <v>56.896848909604998</v>
      </c>
      <c r="AI1721">
        <v>91.036779663865204</v>
      </c>
      <c r="AJ1721">
        <v>98.549643536822202</v>
      </c>
      <c r="AK1721">
        <v>57.545645624379098</v>
      </c>
      <c r="AL1721">
        <v>78.1277989824885</v>
      </c>
      <c r="AM1721">
        <v>88.408302662493398</v>
      </c>
      <c r="AN1721">
        <v>0.99999997830523002</v>
      </c>
    </row>
    <row r="1722" spans="1:40" x14ac:dyDescent="0.25">
      <c r="A1722" t="str">
        <f>"20190303170531428"</f>
        <v>20190303170531428</v>
      </c>
      <c r="B1722" t="str">
        <f>"1551603931416585"</f>
        <v>1551603931416585</v>
      </c>
      <c r="C1722" t="s">
        <v>40</v>
      </c>
      <c r="D1722">
        <v>5.7515679999999998</v>
      </c>
      <c r="E1722">
        <v>0.43557689999999999</v>
      </c>
      <c r="F1722" t="s">
        <v>60</v>
      </c>
      <c r="G1722">
        <v>-335.06189999999998</v>
      </c>
      <c r="H1722">
        <v>8.0001829999999996E-2</v>
      </c>
      <c r="I1722">
        <v>275.8254</v>
      </c>
      <c r="J1722">
        <v>-277.06950000000001</v>
      </c>
      <c r="K1722">
        <v>1.121218</v>
      </c>
      <c r="L1722">
        <v>284.77109999999999</v>
      </c>
      <c r="M1722">
        <v>-0.99988189999999999</v>
      </c>
      <c r="N1722">
        <v>-1.4892229999999999E-2</v>
      </c>
      <c r="O1722">
        <v>-3.826018E-3</v>
      </c>
      <c r="P1722">
        <v>-0.9810371</v>
      </c>
      <c r="Q1722">
        <v>0.1922944</v>
      </c>
      <c r="R1722">
        <v>2.4275600000000001E-2</v>
      </c>
      <c r="S1722">
        <v>-3.079224</v>
      </c>
      <c r="T1722">
        <v>-5.4942730000000002E-2</v>
      </c>
      <c r="U1722">
        <v>-0.4721069</v>
      </c>
      <c r="V1722">
        <v>2.8004230000000001E-2</v>
      </c>
      <c r="W1722">
        <v>0.2068846</v>
      </c>
      <c r="X1722">
        <v>0.97796450000000001</v>
      </c>
      <c r="Y1722">
        <v>-0.1477233</v>
      </c>
      <c r="Z1722">
        <v>-2.4055259999999998E-3</v>
      </c>
      <c r="AA1722">
        <v>0.98902579999999995</v>
      </c>
      <c r="AB1722">
        <v>40</v>
      </c>
      <c r="AC1722">
        <v>-57.992399999999897</v>
      </c>
      <c r="AD1722">
        <v>-1.04121617</v>
      </c>
      <c r="AE1722">
        <v>-8.9456999999999791</v>
      </c>
      <c r="AF1722">
        <v>-8.7209840142303499</v>
      </c>
      <c r="AG1722">
        <v>-1.04121617</v>
      </c>
      <c r="AH1722">
        <v>58.007940883025</v>
      </c>
      <c r="AI1722">
        <v>91.016897224900703</v>
      </c>
      <c r="AJ1722">
        <v>98.549884344461304</v>
      </c>
      <c r="AK1722">
        <v>58.669079580113198</v>
      </c>
      <c r="AL1722">
        <v>78.060156195742394</v>
      </c>
      <c r="AM1722">
        <v>88.359770885248807</v>
      </c>
      <c r="AN1722">
        <v>1.0000000189376499</v>
      </c>
    </row>
    <row r="1723" spans="1:40" x14ac:dyDescent="0.25">
      <c r="A1723" t="str">
        <f>"20190303170531451"</f>
        <v>20190303170531451</v>
      </c>
      <c r="B1723" t="str">
        <f>"1551603931446842"</f>
        <v>1551603931446842</v>
      </c>
      <c r="C1723" t="s">
        <v>40</v>
      </c>
      <c r="D1723">
        <v>5.7133949999999896</v>
      </c>
      <c r="E1723">
        <v>0.43529309999999899</v>
      </c>
      <c r="F1723" t="s">
        <v>60</v>
      </c>
      <c r="G1723">
        <v>-340.1583</v>
      </c>
      <c r="H1723">
        <v>8.0001409999999995E-2</v>
      </c>
      <c r="I1723">
        <v>275.12259999999998</v>
      </c>
      <c r="J1723">
        <v>-277.46449999999999</v>
      </c>
      <c r="K1723">
        <v>1.1211880000000001</v>
      </c>
      <c r="L1723">
        <v>284.76960000000003</v>
      </c>
      <c r="M1723">
        <v>-0.99988180000000004</v>
      </c>
      <c r="N1723">
        <v>-1.4914439999999999E-2</v>
      </c>
      <c r="O1723">
        <v>-3.7637170000000002E-3</v>
      </c>
      <c r="P1723">
        <v>-0.98079450000000001</v>
      </c>
      <c r="Q1723">
        <v>0.193386</v>
      </c>
      <c r="R1723">
        <v>2.5379200000000001E-2</v>
      </c>
      <c r="S1723">
        <v>-3.07959</v>
      </c>
      <c r="T1723">
        <v>-5.0825479999999999E-2</v>
      </c>
      <c r="U1723">
        <v>-0.4709778</v>
      </c>
      <c r="V1723">
        <v>2.9065580000000001E-2</v>
      </c>
      <c r="W1723">
        <v>0.20799200000000001</v>
      </c>
      <c r="X1723">
        <v>0.97769859999999997</v>
      </c>
      <c r="Y1723">
        <v>-0.14741779999999999</v>
      </c>
      <c r="Z1723">
        <v>-2.3093290000000002E-3</v>
      </c>
      <c r="AA1723">
        <v>0.98907160000000005</v>
      </c>
      <c r="AB1723">
        <v>40</v>
      </c>
      <c r="AC1723">
        <v>-62.693800000000003</v>
      </c>
      <c r="AD1723">
        <v>-1.0411865899999999</v>
      </c>
      <c r="AE1723">
        <v>-9.6470000000000393</v>
      </c>
      <c r="AF1723">
        <v>-9.4084088131286396</v>
      </c>
      <c r="AG1723">
        <v>-1.0411865899999999</v>
      </c>
      <c r="AH1723">
        <v>62.712771808780701</v>
      </c>
      <c r="AI1723">
        <v>90.940639054740998</v>
      </c>
      <c r="AJ1723">
        <v>98.532099665063598</v>
      </c>
      <c r="AK1723">
        <v>63.423134374219799</v>
      </c>
      <c r="AL1723">
        <v>77.995295981901293</v>
      </c>
      <c r="AM1723">
        <v>88.297180008079707</v>
      </c>
      <c r="AN1723">
        <v>1.00000001622334</v>
      </c>
    </row>
    <row r="1724" spans="1:40" x14ac:dyDescent="0.25">
      <c r="A1724" t="str">
        <f>"20190303170531464"</f>
        <v>20190303170531464</v>
      </c>
      <c r="B1724" t="str">
        <f>"1551603931456601"</f>
        <v>1551603931456601</v>
      </c>
      <c r="C1724" t="s">
        <v>40</v>
      </c>
      <c r="D1724">
        <v>5.7122229999999998</v>
      </c>
      <c r="E1724">
        <v>0.43517479999999997</v>
      </c>
      <c r="F1724" t="s">
        <v>43</v>
      </c>
      <c r="G1724">
        <v>-354.06889999999999</v>
      </c>
      <c r="H1724">
        <v>-0.05</v>
      </c>
      <c r="I1724">
        <v>273.09550000000002</v>
      </c>
      <c r="J1724">
        <v>-277.71199999999999</v>
      </c>
      <c r="K1724">
        <v>1.1211679999999999</v>
      </c>
      <c r="L1724">
        <v>284.76870000000002</v>
      </c>
      <c r="M1724">
        <v>-0.99988180000000004</v>
      </c>
      <c r="N1724">
        <v>-1.4926750000000001E-2</v>
      </c>
      <c r="O1724">
        <v>-3.710671E-3</v>
      </c>
      <c r="P1724">
        <v>-0.98073129999999997</v>
      </c>
      <c r="Q1724">
        <v>0.19364400000000001</v>
      </c>
      <c r="R1724">
        <v>2.5852859999999998E-2</v>
      </c>
      <c r="S1724">
        <v>-3.0801090000000002</v>
      </c>
      <c r="T1724">
        <v>-4.7091130000000002E-2</v>
      </c>
      <c r="U1724">
        <v>-0.4693909</v>
      </c>
      <c r="V1724">
        <v>2.9499640000000001E-2</v>
      </c>
      <c r="W1724">
        <v>0.20825920000000001</v>
      </c>
      <c r="X1724">
        <v>0.97762870000000002</v>
      </c>
      <c r="Y1724">
        <v>-0.14695159999999999</v>
      </c>
      <c r="Z1724">
        <v>-2.2187589999999998E-3</v>
      </c>
      <c r="AA1724">
        <v>0.98914120000000005</v>
      </c>
      <c r="AB1724">
        <v>40</v>
      </c>
      <c r="AC1724">
        <v>-76.356899999999996</v>
      </c>
      <c r="AD1724">
        <v>-1.171168</v>
      </c>
      <c r="AE1724">
        <v>-11.6732</v>
      </c>
      <c r="AF1724">
        <v>-11.3871350207222</v>
      </c>
      <c r="AG1724">
        <v>-1.171168</v>
      </c>
      <c r="AH1724">
        <v>76.382135401948702</v>
      </c>
      <c r="AI1724">
        <v>90.868847298812398</v>
      </c>
      <c r="AJ1724">
        <v>98.479269782017596</v>
      </c>
      <c r="AK1724">
        <v>77.235154476611299</v>
      </c>
      <c r="AL1724">
        <v>77.9796435911895</v>
      </c>
      <c r="AM1724">
        <v>88.271642224260503</v>
      </c>
      <c r="AN1724">
        <v>0.99999999910422899</v>
      </c>
    </row>
    <row r="1725" spans="1:40" x14ac:dyDescent="0.25">
      <c r="A1725" t="str">
        <f>"20190303170531476"</f>
        <v>20190303170531476</v>
      </c>
      <c r="B1725" t="str">
        <f>"1551603931466364"</f>
        <v>1551603931466364</v>
      </c>
      <c r="C1725" t="s">
        <v>40</v>
      </c>
      <c r="D1725">
        <v>5.7198469999999997</v>
      </c>
      <c r="E1725">
        <v>0.4350658</v>
      </c>
      <c r="F1725" t="s">
        <v>43</v>
      </c>
      <c r="G1725">
        <v>-356.67399999999998</v>
      </c>
      <c r="H1725">
        <v>-0.05</v>
      </c>
      <c r="I1725">
        <v>272.73700000000002</v>
      </c>
      <c r="J1725">
        <v>-277.9194</v>
      </c>
      <c r="K1725">
        <v>1.1211549999999999</v>
      </c>
      <c r="L1725">
        <v>284.76799999999997</v>
      </c>
      <c r="M1725">
        <v>-0.99988180000000004</v>
      </c>
      <c r="N1725">
        <v>-1.493565E-2</v>
      </c>
      <c r="O1725">
        <v>-3.6537520000000001E-3</v>
      </c>
      <c r="P1725">
        <v>-0.98072090000000001</v>
      </c>
      <c r="Q1725">
        <v>0.1936407</v>
      </c>
      <c r="R1725">
        <v>2.6274329999999999E-2</v>
      </c>
      <c r="S1725">
        <v>-3.0803219999999998</v>
      </c>
      <c r="T1725">
        <v>-4.5687440000000003E-2</v>
      </c>
      <c r="U1725">
        <v>-0.46936040000000001</v>
      </c>
      <c r="V1725">
        <v>2.9875530000000001E-2</v>
      </c>
      <c r="W1725">
        <v>0.208263</v>
      </c>
      <c r="X1725">
        <v>0.9776165</v>
      </c>
      <c r="Y1725">
        <v>-0.1469896</v>
      </c>
      <c r="Z1725">
        <v>-2.188326E-3</v>
      </c>
      <c r="AA1725">
        <v>0.9891356</v>
      </c>
      <c r="AB1725">
        <v>40</v>
      </c>
      <c r="AC1725">
        <v>-78.754599999999996</v>
      </c>
      <c r="AD1725">
        <v>-1.1711549999999999</v>
      </c>
      <c r="AE1725">
        <v>-12.030999999999899</v>
      </c>
      <c r="AF1725">
        <v>-11.740600640467299</v>
      </c>
      <c r="AG1725">
        <v>-1.1711549999999999</v>
      </c>
      <c r="AH1725">
        <v>78.781012684875506</v>
      </c>
      <c r="AI1725">
        <v>90.8423919597262</v>
      </c>
      <c r="AJ1725">
        <v>98.476308837999497</v>
      </c>
      <c r="AK1725">
        <v>79.659658969188996</v>
      </c>
      <c r="AL1725">
        <v>77.979421274915893</v>
      </c>
      <c r="AM1725">
        <v>88.249610946146802</v>
      </c>
      <c r="AN1725">
        <v>1.0000000227670101</v>
      </c>
    </row>
    <row r="1726" spans="1:40" x14ac:dyDescent="0.25">
      <c r="A1726" t="str">
        <f>"20190303170531495"</f>
        <v>20190303170531495</v>
      </c>
      <c r="B1726" t="str">
        <f>"1551603931486859"</f>
        <v>1551603931486859</v>
      </c>
      <c r="C1726" t="s">
        <v>40</v>
      </c>
      <c r="D1726">
        <v>5.7219199999999999</v>
      </c>
      <c r="E1726">
        <v>0.4349346</v>
      </c>
      <c r="F1726" t="s">
        <v>43</v>
      </c>
      <c r="G1726">
        <v>-357.0496</v>
      </c>
      <c r="H1726">
        <v>-0.05</v>
      </c>
      <c r="I1726">
        <v>272.72320000000002</v>
      </c>
      <c r="J1726">
        <v>-278.26769999999999</v>
      </c>
      <c r="K1726">
        <v>1.121124</v>
      </c>
      <c r="L1726">
        <v>284.76679999999999</v>
      </c>
      <c r="M1726">
        <v>-0.99988220000000005</v>
      </c>
      <c r="N1726">
        <v>-1.4949E-2</v>
      </c>
      <c r="O1726">
        <v>-3.5451620000000001E-3</v>
      </c>
      <c r="P1726">
        <v>-0.98074609999999995</v>
      </c>
      <c r="Q1726">
        <v>0.1933774</v>
      </c>
      <c r="R1726">
        <v>2.7254480000000001E-2</v>
      </c>
      <c r="S1726">
        <v>-3.0805359999999999</v>
      </c>
      <c r="T1726">
        <v>-4.5593019999999998E-2</v>
      </c>
      <c r="U1726">
        <v>-0.4689026</v>
      </c>
      <c r="V1726">
        <v>3.0765270000000001E-2</v>
      </c>
      <c r="W1726">
        <v>0.20801020000000001</v>
      </c>
      <c r="X1726">
        <v>0.97764269999999998</v>
      </c>
      <c r="Y1726">
        <v>-0.1469432</v>
      </c>
      <c r="Z1726">
        <v>-2.1864559999999998E-3</v>
      </c>
      <c r="AA1726">
        <v>0.98914250000000004</v>
      </c>
      <c r="AB1726">
        <v>40</v>
      </c>
      <c r="AC1726">
        <v>-78.781899999999993</v>
      </c>
      <c r="AD1726">
        <v>-1.1711240000000001</v>
      </c>
      <c r="AE1726">
        <v>-12.0435999999999</v>
      </c>
      <c r="AF1726">
        <v>-11.7616588156946</v>
      </c>
      <c r="AG1726">
        <v>-1.1711240000000001</v>
      </c>
      <c r="AH1726">
        <v>78.807088994897597</v>
      </c>
      <c r="AI1726">
        <v>90.842064209658403</v>
      </c>
      <c r="AJ1726">
        <v>98.488521946987305</v>
      </c>
      <c r="AK1726">
        <v>79.688552662034795</v>
      </c>
      <c r="AL1726">
        <v>77.994229647421704</v>
      </c>
      <c r="AM1726">
        <v>88.197563787149605</v>
      </c>
      <c r="AN1726">
        <v>0.999999997002751</v>
      </c>
    </row>
    <row r="1727" spans="1:40" x14ac:dyDescent="0.25">
      <c r="A1727" t="str">
        <f>"20190303170531517"</f>
        <v>20190303170531517</v>
      </c>
      <c r="B1727" t="str">
        <f>"1551603931506378"</f>
        <v>1551603931506378</v>
      </c>
      <c r="C1727" t="s">
        <v>40</v>
      </c>
      <c r="D1727">
        <v>5.7495200000000004</v>
      </c>
      <c r="E1727">
        <v>0.42908689999999999</v>
      </c>
      <c r="F1727" t="s">
        <v>43</v>
      </c>
      <c r="G1727">
        <v>-357.40010000000001</v>
      </c>
      <c r="H1727">
        <v>-0.05</v>
      </c>
      <c r="I1727">
        <v>272.75979999999998</v>
      </c>
      <c r="J1727">
        <v>-278.63319999999999</v>
      </c>
      <c r="K1727">
        <v>1.121089</v>
      </c>
      <c r="L1727">
        <v>284.76560000000001</v>
      </c>
      <c r="M1727">
        <v>-0.99988220000000005</v>
      </c>
      <c r="N1727">
        <v>-1.496082E-2</v>
      </c>
      <c r="O1727">
        <v>-3.411931E-3</v>
      </c>
      <c r="P1727">
        <v>-0.98093470000000005</v>
      </c>
      <c r="Q1727">
        <v>0.192381</v>
      </c>
      <c r="R1727">
        <v>2.7501390000000001E-2</v>
      </c>
      <c r="S1727">
        <v>-3.0808719999999998</v>
      </c>
      <c r="T1727">
        <v>-4.5595530000000002E-2</v>
      </c>
      <c r="U1727">
        <v>-0.4674683</v>
      </c>
      <c r="V1727">
        <v>3.0896420000000001E-2</v>
      </c>
      <c r="W1727">
        <v>0.2070264</v>
      </c>
      <c r="X1727">
        <v>0.97784729999999997</v>
      </c>
      <c r="Y1727">
        <v>-0.14660889999999999</v>
      </c>
      <c r="Z1727">
        <v>-2.1823179999999999E-3</v>
      </c>
      <c r="AA1727">
        <v>0.98919210000000002</v>
      </c>
      <c r="AB1727">
        <v>40</v>
      </c>
      <c r="AC1727">
        <v>-78.766900000000007</v>
      </c>
      <c r="AD1727">
        <v>-1.171089</v>
      </c>
      <c r="AE1727">
        <v>-12.005800000000001</v>
      </c>
      <c r="AF1727">
        <v>-11.734417768297501</v>
      </c>
      <c r="AG1727">
        <v>-1.171089</v>
      </c>
      <c r="AH1727">
        <v>78.790387729544705</v>
      </c>
      <c r="AI1727">
        <v>90.842256087979607</v>
      </c>
      <c r="AJ1727">
        <v>98.470916390773894</v>
      </c>
      <c r="AK1727">
        <v>79.668018730095497</v>
      </c>
      <c r="AL1727">
        <v>78.051850797498304</v>
      </c>
      <c r="AM1727">
        <v>88.190263727481593</v>
      </c>
      <c r="AN1727">
        <v>0.99999993059153003</v>
      </c>
    </row>
    <row r="1728" spans="1:40" x14ac:dyDescent="0.25">
      <c r="A1728" t="str">
        <f>"20190303170531540"</f>
        <v>20190303170531540</v>
      </c>
      <c r="B1728" t="str">
        <f>"1551603931536634"</f>
        <v>1551603931536634</v>
      </c>
      <c r="C1728" t="s">
        <v>40</v>
      </c>
      <c r="D1728">
        <v>5.7656559999999999</v>
      </c>
      <c r="E1728">
        <v>0.42859520000000001</v>
      </c>
      <c r="F1728" t="s">
        <v>43</v>
      </c>
      <c r="G1728">
        <v>-347.82139999999998</v>
      </c>
      <c r="H1728">
        <v>-0.05</v>
      </c>
      <c r="I1728">
        <v>273.23140000000001</v>
      </c>
      <c r="J1728">
        <v>-279.02670000000001</v>
      </c>
      <c r="K1728">
        <v>1.12107</v>
      </c>
      <c r="L1728">
        <v>284.76440000000002</v>
      </c>
      <c r="M1728">
        <v>-0.99988270000000001</v>
      </c>
      <c r="N1728">
        <v>-1.49716E-2</v>
      </c>
      <c r="O1728">
        <v>-3.2519290000000002E-3</v>
      </c>
      <c r="P1728">
        <v>-0.98094250000000005</v>
      </c>
      <c r="Q1728">
        <v>0.19230179999999999</v>
      </c>
      <c r="R1728">
        <v>2.778752E-2</v>
      </c>
      <c r="S1728">
        <v>-3.082916</v>
      </c>
      <c r="T1728">
        <v>-5.2181959999999999E-2</v>
      </c>
      <c r="U1728">
        <v>-0.51394649999999997</v>
      </c>
      <c r="V1728">
        <v>3.103906E-2</v>
      </c>
      <c r="W1728">
        <v>0.206956</v>
      </c>
      <c r="X1728">
        <v>0.9778578</v>
      </c>
      <c r="Y1728">
        <v>-0.16118679999999999</v>
      </c>
      <c r="Z1728">
        <v>-2.5635050000000002E-3</v>
      </c>
      <c r="AA1728">
        <v>0.98692060000000004</v>
      </c>
      <c r="AB1728">
        <v>39</v>
      </c>
      <c r="AC1728">
        <v>-68.794699999999906</v>
      </c>
      <c r="AD1728">
        <v>-1.1710700000000001</v>
      </c>
      <c r="AE1728">
        <v>-11.532999999999999</v>
      </c>
      <c r="AF1728">
        <v>-11.3060118606299</v>
      </c>
      <c r="AG1728">
        <v>-1.1710700000000001</v>
      </c>
      <c r="AH1728">
        <v>68.812450052040802</v>
      </c>
      <c r="AI1728">
        <v>90.962085042029003</v>
      </c>
      <c r="AJ1728">
        <v>99.330439052807805</v>
      </c>
      <c r="AK1728">
        <v>69.744896525138003</v>
      </c>
      <c r="AL1728">
        <v>78.055975075051904</v>
      </c>
      <c r="AM1728">
        <v>88.181933792358706</v>
      </c>
      <c r="AN1728">
        <v>1.0000000431012599</v>
      </c>
    </row>
    <row r="1729" spans="1:40" x14ac:dyDescent="0.25">
      <c r="A1729" t="str">
        <f>"20190303170531562"</f>
        <v>20190303170531562</v>
      </c>
      <c r="B1729" t="str">
        <f>"1551603931556154"</f>
        <v>1551603931556154</v>
      </c>
      <c r="C1729" t="s">
        <v>40</v>
      </c>
      <c r="D1729">
        <v>5.7689130000000004</v>
      </c>
      <c r="E1729">
        <v>0.42838920000000003</v>
      </c>
      <c r="F1729" t="s">
        <v>43</v>
      </c>
      <c r="G1729">
        <v>-357.1814</v>
      </c>
      <c r="H1729">
        <v>-0.05</v>
      </c>
      <c r="I1729">
        <v>271.63869999999997</v>
      </c>
      <c r="J1729">
        <v>-279.43389999999999</v>
      </c>
      <c r="K1729">
        <v>1.121059</v>
      </c>
      <c r="L1729">
        <v>284.76319999999998</v>
      </c>
      <c r="M1729">
        <v>-0.99988310000000002</v>
      </c>
      <c r="N1729">
        <v>-1.498063E-2</v>
      </c>
      <c r="O1729">
        <v>-3.0732929999999999E-3</v>
      </c>
      <c r="P1729">
        <v>-0.98086629999999997</v>
      </c>
      <c r="Q1729">
        <v>0.1925781</v>
      </c>
      <c r="R1729">
        <v>2.8553849999999999E-2</v>
      </c>
      <c r="S1729">
        <v>-3.082001</v>
      </c>
      <c r="T1729">
        <v>-4.6180730000000003E-2</v>
      </c>
      <c r="U1729">
        <v>-0.51760859999999997</v>
      </c>
      <c r="V1729">
        <v>3.1640660000000001E-2</v>
      </c>
      <c r="W1729">
        <v>0.20723820000000001</v>
      </c>
      <c r="X1729">
        <v>0.9777787</v>
      </c>
      <c r="Y1729">
        <v>-0.16255810000000001</v>
      </c>
      <c r="Z1729">
        <v>-2.4356349999999998E-3</v>
      </c>
      <c r="AA1729">
        <v>0.98669589999999996</v>
      </c>
      <c r="AB1729">
        <v>39</v>
      </c>
      <c r="AC1729">
        <v>-77.747500000000002</v>
      </c>
      <c r="AD1729">
        <v>-1.1710590000000001</v>
      </c>
      <c r="AE1729">
        <v>-13.124499999999999</v>
      </c>
      <c r="AF1729">
        <v>-12.882628597504</v>
      </c>
      <c r="AG1729">
        <v>-1.1710590000000001</v>
      </c>
      <c r="AH1729">
        <v>77.770317511363103</v>
      </c>
      <c r="AI1729">
        <v>90.8510937391477</v>
      </c>
      <c r="AJ1729">
        <v>99.405618948767994</v>
      </c>
      <c r="AK1729">
        <v>78.8387961893187</v>
      </c>
      <c r="AL1729">
        <v>78.039447314749495</v>
      </c>
      <c r="AM1729">
        <v>88.146570496652402</v>
      </c>
      <c r="AN1729">
        <v>0.99999999453908195</v>
      </c>
    </row>
    <row r="1730" spans="1:40" x14ac:dyDescent="0.25">
      <c r="A1730" t="str">
        <f>"20190303170531574"</f>
        <v>20190303170531574</v>
      </c>
      <c r="B1730" t="str">
        <f>"1551603931566890"</f>
        <v>1551603931566890</v>
      </c>
      <c r="C1730" t="s">
        <v>40</v>
      </c>
      <c r="D1730">
        <v>5.789822</v>
      </c>
      <c r="E1730">
        <v>0.42844850000000001</v>
      </c>
      <c r="F1730" t="s">
        <v>43</v>
      </c>
      <c r="G1730">
        <v>-360.18130000000002</v>
      </c>
      <c r="H1730">
        <v>-0.05</v>
      </c>
      <c r="I1730">
        <v>271.22120000000001</v>
      </c>
      <c r="J1730">
        <v>-279.65269999999998</v>
      </c>
      <c r="K1730">
        <v>1.1210549999999999</v>
      </c>
      <c r="L1730">
        <v>284.7627</v>
      </c>
      <c r="M1730">
        <v>-0.99988339999999998</v>
      </c>
      <c r="N1730">
        <v>-1.498442E-2</v>
      </c>
      <c r="O1730">
        <v>-2.9732700000000001E-3</v>
      </c>
      <c r="P1730">
        <v>-0.9808557</v>
      </c>
      <c r="Q1730">
        <v>0.19258059999999999</v>
      </c>
      <c r="R1730">
        <v>2.8904039999999999E-2</v>
      </c>
      <c r="S1730">
        <v>-3.0823670000000001</v>
      </c>
      <c r="T1730">
        <v>-4.4702770000000003E-2</v>
      </c>
      <c r="U1730">
        <v>-0.51693729999999904</v>
      </c>
      <c r="V1730">
        <v>3.189724E-2</v>
      </c>
      <c r="W1730">
        <v>0.20724329999999999</v>
      </c>
      <c r="X1730">
        <v>0.97776929999999995</v>
      </c>
      <c r="Y1730">
        <v>-0.162430399999999</v>
      </c>
      <c r="Z1730">
        <v>-2.3966460000000001E-3</v>
      </c>
      <c r="AA1730">
        <v>0.98671710000000001</v>
      </c>
      <c r="AB1730">
        <v>39</v>
      </c>
      <c r="AC1730">
        <v>-80.528599999999997</v>
      </c>
      <c r="AD1730">
        <v>-1.171055</v>
      </c>
      <c r="AE1730">
        <v>-13.5414999999999</v>
      </c>
      <c r="AF1730">
        <v>-13.299244910701599</v>
      </c>
      <c r="AG1730">
        <v>-1.171055</v>
      </c>
      <c r="AH1730">
        <v>80.551944925333103</v>
      </c>
      <c r="AI1730">
        <v>90.821777491117203</v>
      </c>
      <c r="AJ1730">
        <v>99.375044992721797</v>
      </c>
      <c r="AK1730">
        <v>81.650824345267594</v>
      </c>
      <c r="AL1730">
        <v>78.039148829548196</v>
      </c>
      <c r="AM1730">
        <v>88.131533352457893</v>
      </c>
      <c r="AN1730">
        <v>1.00000001166849</v>
      </c>
    </row>
    <row r="1731" spans="1:40" x14ac:dyDescent="0.25">
      <c r="A1731" t="str">
        <f>"20190303170531595"</f>
        <v>20190303170531595</v>
      </c>
      <c r="B1731" t="str">
        <f>"1551603931586410"</f>
        <v>1551603931586410</v>
      </c>
      <c r="C1731" t="s">
        <v>40</v>
      </c>
      <c r="D1731">
        <v>5.7650259999999998</v>
      </c>
      <c r="E1731">
        <v>0.42816419999999999</v>
      </c>
      <c r="F1731" t="s">
        <v>43</v>
      </c>
      <c r="G1731">
        <v>-360.27620000000002</v>
      </c>
      <c r="H1731">
        <v>-0.05</v>
      </c>
      <c r="I1731">
        <v>271.28219999999999</v>
      </c>
      <c r="J1731">
        <v>-280.01130000000001</v>
      </c>
      <c r="K1731">
        <v>1.1210420000000001</v>
      </c>
      <c r="L1731">
        <v>284.76170000000002</v>
      </c>
      <c r="M1731">
        <v>-0.99988379999999999</v>
      </c>
      <c r="N1731">
        <v>-1.498967E-2</v>
      </c>
      <c r="O1731">
        <v>-2.806561E-3</v>
      </c>
      <c r="P1731">
        <v>-0.98088589999999998</v>
      </c>
      <c r="Q1731">
        <v>0.1921901</v>
      </c>
      <c r="R1731">
        <v>3.043672E-2</v>
      </c>
      <c r="S1731">
        <v>-3.0825499999999999</v>
      </c>
      <c r="T1731">
        <v>-4.4774059999999997E-2</v>
      </c>
      <c r="U1731">
        <v>-0.51541139999999996</v>
      </c>
      <c r="V1731">
        <v>3.3272620000000003E-2</v>
      </c>
      <c r="W1731">
        <v>0.20685709999999999</v>
      </c>
      <c r="X1731">
        <v>0.97780529999999999</v>
      </c>
      <c r="Y1731">
        <v>-0.16211020000000001</v>
      </c>
      <c r="Z1731">
        <v>-2.394017E-3</v>
      </c>
      <c r="AA1731">
        <v>0.98676969999999997</v>
      </c>
      <c r="AB1731">
        <v>39</v>
      </c>
      <c r="AC1731">
        <v>-80.264899999999997</v>
      </c>
      <c r="AD1731">
        <v>-1.1710419999999999</v>
      </c>
      <c r="AE1731">
        <v>-13.4795</v>
      </c>
      <c r="AF1731">
        <v>-13.251409948577701</v>
      </c>
      <c r="AG1731">
        <v>-1.1710419999999999</v>
      </c>
      <c r="AH1731">
        <v>80.285798242011197</v>
      </c>
      <c r="AI1731">
        <v>90.824498573827199</v>
      </c>
      <c r="AJ1731">
        <v>99.372339939264293</v>
      </c>
      <c r="AK1731">
        <v>81.380468199365595</v>
      </c>
      <c r="AL1731">
        <v>78.061767235666295</v>
      </c>
      <c r="AM1731">
        <v>88.051099320286099</v>
      </c>
      <c r="AN1731">
        <v>1.0000000658850801</v>
      </c>
    </row>
    <row r="1732" spans="1:40" x14ac:dyDescent="0.25">
      <c r="A1732" t="str">
        <f>"20190303170531618"</f>
        <v>20190303170531618</v>
      </c>
      <c r="B1732" t="str">
        <f>"1551603931606905"</f>
        <v>1551603931606905</v>
      </c>
      <c r="C1732" t="s">
        <v>40</v>
      </c>
      <c r="D1732">
        <v>5.7519669999999996</v>
      </c>
      <c r="E1732">
        <v>0.4278226</v>
      </c>
      <c r="F1732" t="s">
        <v>43</v>
      </c>
      <c r="G1732">
        <v>-358.86040000000003</v>
      </c>
      <c r="H1732">
        <v>-0.05</v>
      </c>
      <c r="I1732">
        <v>271.64859999999999</v>
      </c>
      <c r="J1732">
        <v>-280.41829999999999</v>
      </c>
      <c r="K1732">
        <v>1.1210310000000001</v>
      </c>
      <c r="L1732">
        <v>284.76069999999999</v>
      </c>
      <c r="M1732">
        <v>-0.99988429999999995</v>
      </c>
      <c r="N1732">
        <v>-1.4994209999999999E-2</v>
      </c>
      <c r="O1732">
        <v>-2.6151949999999998E-3</v>
      </c>
      <c r="P1732">
        <v>-0.98104460000000004</v>
      </c>
      <c r="Q1732">
        <v>0.19131310000000001</v>
      </c>
      <c r="R1732">
        <v>3.084543E-2</v>
      </c>
      <c r="S1732">
        <v>-3.0833740000000001</v>
      </c>
      <c r="T1732">
        <v>-4.579329E-2</v>
      </c>
      <c r="U1732">
        <v>-0.51278690000000005</v>
      </c>
      <c r="V1732">
        <v>3.3499260000000003E-2</v>
      </c>
      <c r="W1732">
        <v>0.20598649999999999</v>
      </c>
      <c r="X1732">
        <v>0.97798130000000005</v>
      </c>
      <c r="Y1732">
        <v>-0.1614379</v>
      </c>
      <c r="Z1732">
        <v>-2.4097239999999998E-3</v>
      </c>
      <c r="AA1732">
        <v>0.98687990000000003</v>
      </c>
      <c r="AB1732">
        <v>39</v>
      </c>
      <c r="AC1732">
        <v>-78.442099999999996</v>
      </c>
      <c r="AD1732">
        <v>-1.1710309999999999</v>
      </c>
      <c r="AE1732">
        <v>-13.1120999999999</v>
      </c>
      <c r="AF1732">
        <v>-12.904093051025599</v>
      </c>
      <c r="AG1732">
        <v>-1.1710309999999999</v>
      </c>
      <c r="AH1732">
        <v>78.459115887265099</v>
      </c>
      <c r="AI1732">
        <v>90.843762875224698</v>
      </c>
      <c r="AJ1732">
        <v>99.339765368199593</v>
      </c>
      <c r="AK1732">
        <v>79.521819627595207</v>
      </c>
      <c r="AL1732">
        <v>78.112746461017096</v>
      </c>
      <c r="AM1732">
        <v>88.038187357718698</v>
      </c>
      <c r="AN1732">
        <v>1.00000003087624</v>
      </c>
    </row>
    <row r="1733" spans="1:40" x14ac:dyDescent="0.25">
      <c r="A1733" t="str">
        <f>"20190303170531641"</f>
        <v>20190303170531641</v>
      </c>
      <c r="B1733" t="str">
        <f>"1551603931636186"</f>
        <v>1551603931636186</v>
      </c>
      <c r="C1733" t="s">
        <v>40</v>
      </c>
      <c r="D1733">
        <v>5.7594269999999996</v>
      </c>
      <c r="E1733">
        <v>0.42760670000000001</v>
      </c>
      <c r="F1733" t="s">
        <v>43</v>
      </c>
      <c r="G1733">
        <v>-353.25749999999999</v>
      </c>
      <c r="H1733">
        <v>-0.05</v>
      </c>
      <c r="I1733">
        <v>272.63929999999999</v>
      </c>
      <c r="J1733">
        <v>-280.81130000000002</v>
      </c>
      <c r="K1733">
        <v>1.1210260000000001</v>
      </c>
      <c r="L1733">
        <v>284.75990000000002</v>
      </c>
      <c r="M1733">
        <v>-0.99988480000000002</v>
      </c>
      <c r="N1733">
        <v>-1.4997419999999999E-2</v>
      </c>
      <c r="O1733">
        <v>-2.429353E-3</v>
      </c>
      <c r="P1733">
        <v>-0.98100480000000001</v>
      </c>
      <c r="Q1733">
        <v>0.19150200000000001</v>
      </c>
      <c r="R1733">
        <v>3.093477E-2</v>
      </c>
      <c r="S1733">
        <v>-3.083771</v>
      </c>
      <c r="T1733">
        <v>-4.9577589999999998E-2</v>
      </c>
      <c r="U1733">
        <v>-0.51318359999999996</v>
      </c>
      <c r="V1733">
        <v>3.3410410000000001E-2</v>
      </c>
      <c r="W1733">
        <v>0.2061769</v>
      </c>
      <c r="X1733">
        <v>0.97794420000000004</v>
      </c>
      <c r="Y1733">
        <v>-0.1617198</v>
      </c>
      <c r="Z1733">
        <v>-2.5096139999999999E-3</v>
      </c>
      <c r="AA1733">
        <v>0.98683350000000003</v>
      </c>
      <c r="AB1733">
        <v>39</v>
      </c>
      <c r="AC1733">
        <v>-72.446199999999905</v>
      </c>
      <c r="AD1733">
        <v>-1.1710259999999999</v>
      </c>
      <c r="AE1733">
        <v>-12.1206</v>
      </c>
      <c r="AF1733">
        <v>-11.941511982212999</v>
      </c>
      <c r="AG1733">
        <v>-1.1710259999999999</v>
      </c>
      <c r="AH1733">
        <v>72.457018789364298</v>
      </c>
      <c r="AI1733">
        <v>90.913592407206707</v>
      </c>
      <c r="AJ1733">
        <v>99.358687567820994</v>
      </c>
      <c r="AK1733">
        <v>73.443791991946497</v>
      </c>
      <c r="AL1733">
        <v>78.101597837436998</v>
      </c>
      <c r="AM1733">
        <v>88.043312448720897</v>
      </c>
      <c r="AN1733">
        <v>1.0000000139517999</v>
      </c>
    </row>
    <row r="1734" spans="1:40" x14ac:dyDescent="0.25">
      <c r="A1734" t="str">
        <f>"20190303170531662"</f>
        <v>20190303170531662</v>
      </c>
      <c r="B1734" t="str">
        <f>"1551603931656682"</f>
        <v>1551603931656682</v>
      </c>
      <c r="C1734" t="s">
        <v>40</v>
      </c>
      <c r="D1734">
        <v>5.8181330000000004</v>
      </c>
      <c r="E1734">
        <v>0.4267167</v>
      </c>
      <c r="F1734" t="s">
        <v>43</v>
      </c>
      <c r="G1734">
        <v>-356.57010000000002</v>
      </c>
      <c r="H1734">
        <v>-0.05</v>
      </c>
      <c r="I1734">
        <v>272.10090000000002</v>
      </c>
      <c r="J1734">
        <v>-281.19990000000001</v>
      </c>
      <c r="K1734">
        <v>1.121027</v>
      </c>
      <c r="L1734">
        <v>284.75920000000002</v>
      </c>
      <c r="M1734">
        <v>-0.99988509999999997</v>
      </c>
      <c r="N1734">
        <v>-1.499963E-2</v>
      </c>
      <c r="O1734">
        <v>-2.2455700000000001E-3</v>
      </c>
      <c r="P1734">
        <v>-0.98090750000000004</v>
      </c>
      <c r="Q1734">
        <v>0.191997</v>
      </c>
      <c r="R1734">
        <v>3.094831E-2</v>
      </c>
      <c r="S1734">
        <v>-3.083618</v>
      </c>
      <c r="T1734">
        <v>-4.7664400000000003E-2</v>
      </c>
      <c r="U1734">
        <v>-0.51525880000000002</v>
      </c>
      <c r="V1734">
        <v>3.3246539999999998E-2</v>
      </c>
      <c r="W1734">
        <v>0.2066723</v>
      </c>
      <c r="X1734">
        <v>0.97784519999999997</v>
      </c>
      <c r="Y1734">
        <v>-0.16255729999999999</v>
      </c>
      <c r="Z1734">
        <v>-2.474366E-3</v>
      </c>
      <c r="AA1734">
        <v>0.98669600000000002</v>
      </c>
      <c r="AB1734">
        <v>39</v>
      </c>
      <c r="AC1734">
        <v>-75.370199999999997</v>
      </c>
      <c r="AD1734">
        <v>-1.171027</v>
      </c>
      <c r="AE1734">
        <v>-12.658299999999899</v>
      </c>
      <c r="AF1734">
        <v>-12.486068563643</v>
      </c>
      <c r="AG1734">
        <v>-1.171027</v>
      </c>
      <c r="AH1734">
        <v>75.380740616095693</v>
      </c>
      <c r="AI1734">
        <v>90.878046710810395</v>
      </c>
      <c r="AJ1734">
        <v>99.405080847239205</v>
      </c>
      <c r="AK1734">
        <v>76.416812732813</v>
      </c>
      <c r="AL1734">
        <v>78.072588599427107</v>
      </c>
      <c r="AM1734">
        <v>88.052705145407003</v>
      </c>
      <c r="AN1734">
        <v>1.00000000358615</v>
      </c>
    </row>
    <row r="1735" spans="1:40" x14ac:dyDescent="0.25">
      <c r="A1735" t="str">
        <f>"20190303170531684"</f>
        <v>20190303170531684</v>
      </c>
      <c r="B1735" t="str">
        <f>"1551603931676202"</f>
        <v>1551603931676202</v>
      </c>
      <c r="C1735" t="s">
        <v>40</v>
      </c>
      <c r="D1735">
        <v>5.7716750000000001</v>
      </c>
      <c r="E1735">
        <v>0.3818571</v>
      </c>
      <c r="F1735" t="s">
        <v>43</v>
      </c>
      <c r="G1735">
        <v>-363.65629999999999</v>
      </c>
      <c r="H1735">
        <v>-0.05</v>
      </c>
      <c r="I1735">
        <v>270.76479999999998</v>
      </c>
      <c r="J1735">
        <v>-281.58460000000002</v>
      </c>
      <c r="K1735">
        <v>1.121024</v>
      </c>
      <c r="L1735">
        <v>284.75850000000003</v>
      </c>
      <c r="M1735">
        <v>-0.99988540000000004</v>
      </c>
      <c r="N1735">
        <v>-1.500104E-2</v>
      </c>
      <c r="O1735">
        <v>-2.0637110000000002E-3</v>
      </c>
      <c r="P1735">
        <v>-0.98084899999999997</v>
      </c>
      <c r="Q1735">
        <v>0.19232460000000001</v>
      </c>
      <c r="R1735">
        <v>3.076916E-2</v>
      </c>
      <c r="S1735">
        <v>-3.0834350000000001</v>
      </c>
      <c r="T1735">
        <v>-4.3790219999999998E-2</v>
      </c>
      <c r="U1735">
        <v>-0.52331539999999999</v>
      </c>
      <c r="V1735">
        <v>3.2891579999999997E-2</v>
      </c>
      <c r="W1735">
        <v>0.2070003</v>
      </c>
      <c r="X1735">
        <v>0.97778779999999998</v>
      </c>
      <c r="Y1735">
        <v>-0.1652566</v>
      </c>
      <c r="Z1735">
        <v>-2.41523E-3</v>
      </c>
      <c r="AA1735">
        <v>0.98624769999999995</v>
      </c>
      <c r="AB1735">
        <v>39</v>
      </c>
      <c r="AC1735">
        <v>-82.071699999999893</v>
      </c>
      <c r="AD1735">
        <v>-1.1710240000000001</v>
      </c>
      <c r="AE1735">
        <v>-13.9937</v>
      </c>
      <c r="AF1735">
        <v>-13.8215445142867</v>
      </c>
      <c r="AG1735">
        <v>-1.1710240000000001</v>
      </c>
      <c r="AH1735">
        <v>82.084168431260693</v>
      </c>
      <c r="AI1735">
        <v>90.805989403509699</v>
      </c>
      <c r="AJ1735">
        <v>99.5579532602017</v>
      </c>
      <c r="AK1735">
        <v>83.247925481783497</v>
      </c>
      <c r="AL1735">
        <v>78.0533799397856</v>
      </c>
      <c r="AM1735">
        <v>88.073366872912004</v>
      </c>
      <c r="AN1735">
        <v>0.99999998103191301</v>
      </c>
    </row>
    <row r="1736" spans="1:40" x14ac:dyDescent="0.25">
      <c r="A1736" t="str">
        <f>"20190303170531706"</f>
        <v>20190303170531706</v>
      </c>
      <c r="B1736" t="str">
        <f>"1551603931696698"</f>
        <v>1551603931696698</v>
      </c>
      <c r="C1736" t="s">
        <v>40</v>
      </c>
      <c r="D1736">
        <v>5.6547199999999904</v>
      </c>
      <c r="E1736">
        <v>0.37253779999999997</v>
      </c>
      <c r="F1736" t="s">
        <v>65</v>
      </c>
      <c r="G1736">
        <v>-335.09690000000001</v>
      </c>
      <c r="H1736">
        <v>2.1514160000000002</v>
      </c>
      <c r="I1736">
        <v>269.48430000000002</v>
      </c>
      <c r="J1736">
        <v>-281.96879999999999</v>
      </c>
      <c r="K1736">
        <v>1.1210230000000001</v>
      </c>
      <c r="L1736">
        <v>284.75779999999997</v>
      </c>
      <c r="M1736">
        <v>-0.99988569999999999</v>
      </c>
      <c r="N1736">
        <v>-1.500165E-2</v>
      </c>
      <c r="O1736">
        <v>-1.8818699999999999E-3</v>
      </c>
      <c r="P1736">
        <v>-0.98088350000000002</v>
      </c>
      <c r="Q1736">
        <v>0.19217029999999999</v>
      </c>
      <c r="R1736">
        <v>3.0633299999999999E-2</v>
      </c>
      <c r="S1736">
        <v>-3.0744929999999999</v>
      </c>
      <c r="T1736">
        <v>5.920255E-2</v>
      </c>
      <c r="U1736">
        <v>-0.87756350000000005</v>
      </c>
      <c r="V1736">
        <v>3.2579240000000002E-2</v>
      </c>
      <c r="W1736">
        <v>0.20684730000000001</v>
      </c>
      <c r="X1736">
        <v>0.97783059999999999</v>
      </c>
      <c r="Y1736">
        <v>-0.27265349999999999</v>
      </c>
      <c r="Z1736">
        <v>4.2497880000000001E-4</v>
      </c>
      <c r="AA1736">
        <v>0.96211219999999997</v>
      </c>
      <c r="AB1736">
        <v>39</v>
      </c>
      <c r="AC1736">
        <v>-53.128100000000003</v>
      </c>
      <c r="AD1736">
        <v>1.0303929999999999</v>
      </c>
      <c r="AE1736">
        <v>-15.273499999999901</v>
      </c>
      <c r="AF1736">
        <v>-15.168211592109801</v>
      </c>
      <c r="AG1736">
        <v>1.0303929999999999</v>
      </c>
      <c r="AH1736">
        <v>53.138289919723199</v>
      </c>
      <c r="AI1736">
        <v>88.931785937266596</v>
      </c>
      <c r="AJ1736">
        <v>105.931282368724</v>
      </c>
      <c r="AK1736">
        <v>55.270373693598501</v>
      </c>
      <c r="AL1736">
        <v>78.062339710784599</v>
      </c>
      <c r="AM1736">
        <v>88.0917321471984</v>
      </c>
      <c r="AN1736">
        <v>0.99999994734631203</v>
      </c>
    </row>
    <row r="1737" spans="1:40" x14ac:dyDescent="0.25">
      <c r="A1737" t="str">
        <f>"20190303170531729"</f>
        <v>20190303170531729</v>
      </c>
      <c r="B1737" t="str">
        <f>"1551603931716218"</f>
        <v>1551603931716218</v>
      </c>
      <c r="C1737" t="s">
        <v>40</v>
      </c>
      <c r="D1737">
        <v>5.5954800000000002</v>
      </c>
      <c r="E1737">
        <v>0.3688727</v>
      </c>
      <c r="F1737" t="s">
        <v>66</v>
      </c>
      <c r="G1737">
        <v>-352.55</v>
      </c>
      <c r="H1737">
        <v>3.3261099999999999</v>
      </c>
      <c r="I1737">
        <v>262.89789999999999</v>
      </c>
      <c r="J1737">
        <v>-282.36309999999997</v>
      </c>
      <c r="K1737">
        <v>1.121016</v>
      </c>
      <c r="L1737">
        <v>284.75729999999999</v>
      </c>
      <c r="M1737">
        <v>-0.99988600000000005</v>
      </c>
      <c r="N1737">
        <v>-1.5001489999999999E-2</v>
      </c>
      <c r="O1737">
        <v>-1.6957439999999999E-3</v>
      </c>
      <c r="P1737">
        <v>-0.98116519999999996</v>
      </c>
      <c r="Q1737">
        <v>0.1906012</v>
      </c>
      <c r="R1737">
        <v>3.1398799999999998E-2</v>
      </c>
      <c r="S1737">
        <v>-3.069366</v>
      </c>
      <c r="T1737">
        <v>9.5895770000000005E-2</v>
      </c>
      <c r="U1737">
        <v>-0.95062259999999998</v>
      </c>
      <c r="V1737">
        <v>3.3163030000000003E-2</v>
      </c>
      <c r="W1737">
        <v>0.2052813</v>
      </c>
      <c r="X1737">
        <v>0.97814100000000004</v>
      </c>
      <c r="Y1737">
        <v>-0.29416550000000002</v>
      </c>
      <c r="Z1737">
        <v>2.1551119999999998E-3</v>
      </c>
      <c r="AA1737">
        <v>0.95575209999999999</v>
      </c>
      <c r="AB1737">
        <v>39</v>
      </c>
      <c r="AC1737">
        <v>-70.186899999999994</v>
      </c>
      <c r="AD1737">
        <v>2.2050939999999999</v>
      </c>
      <c r="AE1737">
        <v>-21.859399999999901</v>
      </c>
      <c r="AF1737">
        <v>-21.720792226291401</v>
      </c>
      <c r="AG1737">
        <v>2.2050939999999999</v>
      </c>
      <c r="AH1737">
        <v>70.160741982797703</v>
      </c>
      <c r="AI1737">
        <v>88.280307310254898</v>
      </c>
      <c r="AJ1737">
        <v>107.201799410852</v>
      </c>
      <c r="AK1737">
        <v>73.479146497923296</v>
      </c>
      <c r="AL1737">
        <v>78.154033512979893</v>
      </c>
      <c r="AM1737">
        <v>88.058179641967101</v>
      </c>
      <c r="AN1737">
        <v>1.0000000072847299</v>
      </c>
    </row>
    <row r="1738" spans="1:40" x14ac:dyDescent="0.25">
      <c r="A1738" t="str">
        <f>"20190303170531752"</f>
        <v>20190303170531752</v>
      </c>
      <c r="B1738" t="str">
        <f>"1551603931746474"</f>
        <v>1551603931746474</v>
      </c>
      <c r="C1738" t="s">
        <v>40</v>
      </c>
      <c r="D1738">
        <v>5.6329320000000003</v>
      </c>
      <c r="E1738">
        <v>0.36519629999999997</v>
      </c>
      <c r="F1738" t="s">
        <v>66</v>
      </c>
      <c r="G1738">
        <v>-352.55</v>
      </c>
      <c r="H1738">
        <v>3.4522050000000002</v>
      </c>
      <c r="I1738">
        <v>262.4153</v>
      </c>
      <c r="J1738">
        <v>-282.75889999999998</v>
      </c>
      <c r="K1738">
        <v>1.1210150000000001</v>
      </c>
      <c r="L1738">
        <v>284.7568</v>
      </c>
      <c r="M1738">
        <v>-0.99988650000000001</v>
      </c>
      <c r="N1738">
        <v>-1.500072E-2</v>
      </c>
      <c r="O1738">
        <v>-1.5091480000000001E-3</v>
      </c>
      <c r="P1738">
        <v>-0.98143619999999998</v>
      </c>
      <c r="Q1738">
        <v>0.18903149999999999</v>
      </c>
      <c r="R1738">
        <v>3.2413400000000002E-2</v>
      </c>
      <c r="S1738">
        <v>-3.0690919999999999</v>
      </c>
      <c r="T1738">
        <v>0.10194</v>
      </c>
      <c r="U1738">
        <v>-0.97695920000000003</v>
      </c>
      <c r="V1738">
        <v>3.3995400000000002E-2</v>
      </c>
      <c r="W1738">
        <v>0.2037149</v>
      </c>
      <c r="X1738">
        <v>0.97843990000000003</v>
      </c>
      <c r="Y1738">
        <v>-0.30180940000000001</v>
      </c>
      <c r="Z1738">
        <v>2.5004350000000001E-3</v>
      </c>
      <c r="AA1738">
        <v>0.95336500000000002</v>
      </c>
      <c r="AB1738">
        <v>39</v>
      </c>
      <c r="AC1738">
        <v>-69.7911</v>
      </c>
      <c r="AD1738">
        <v>2.3311899999999999</v>
      </c>
      <c r="AE1738">
        <v>-22.3415</v>
      </c>
      <c r="AF1738">
        <v>-22.213657118533501</v>
      </c>
      <c r="AG1738">
        <v>2.3311899999999999</v>
      </c>
      <c r="AH1738">
        <v>69.754148852937405</v>
      </c>
      <c r="AI1738">
        <v>88.176070154568094</v>
      </c>
      <c r="AJ1738">
        <v>107.664410633248</v>
      </c>
      <c r="AK1738">
        <v>73.242899257154093</v>
      </c>
      <c r="AL1738">
        <v>78.245719653504906</v>
      </c>
      <c r="AM1738">
        <v>88.010087557523093</v>
      </c>
      <c r="AN1738">
        <v>1.0000000428075799</v>
      </c>
    </row>
    <row r="1739" spans="1:40" x14ac:dyDescent="0.25">
      <c r="A1739" t="str">
        <f>"20190303170531774"</f>
        <v>20190303170531774</v>
      </c>
      <c r="B1739" t="str">
        <f>"1551603931765994"</f>
        <v>1551603931765994</v>
      </c>
      <c r="C1739" t="s">
        <v>40</v>
      </c>
      <c r="D1739">
        <v>5.7134589999999896</v>
      </c>
      <c r="E1739">
        <v>0.36351640000000002</v>
      </c>
      <c r="F1739" t="s">
        <v>66</v>
      </c>
      <c r="G1739">
        <v>-352.55</v>
      </c>
      <c r="H1739">
        <v>3.6270519999999999</v>
      </c>
      <c r="I1739">
        <v>261.96069999999997</v>
      </c>
      <c r="J1739">
        <v>-283.14789999999999</v>
      </c>
      <c r="K1739">
        <v>1.1210169999999999</v>
      </c>
      <c r="L1739">
        <v>284.75639999999999</v>
      </c>
      <c r="M1739">
        <v>-0.99988670000000002</v>
      </c>
      <c r="N1739">
        <v>-1.4999490000000001E-2</v>
      </c>
      <c r="O1739">
        <v>-1.3248279999999999E-3</v>
      </c>
      <c r="P1739">
        <v>-0.9812208</v>
      </c>
      <c r="Q1739">
        <v>0.18998799999999999</v>
      </c>
      <c r="R1739">
        <v>3.3326509999999997E-2</v>
      </c>
      <c r="S1739">
        <v>-3.0686339999999999</v>
      </c>
      <c r="T1739">
        <v>0.1101907</v>
      </c>
      <c r="U1739">
        <v>-1.002319</v>
      </c>
      <c r="V1739">
        <v>3.4728389999999998E-2</v>
      </c>
      <c r="W1739">
        <v>0.20466619999999999</v>
      </c>
      <c r="X1739">
        <v>0.97821559999999996</v>
      </c>
      <c r="Y1739">
        <v>-0.30913239999999997</v>
      </c>
      <c r="Z1739">
        <v>2.9646579999999998E-3</v>
      </c>
      <c r="AA1739">
        <v>0.95101440000000004</v>
      </c>
      <c r="AB1739">
        <v>39</v>
      </c>
      <c r="AC1739">
        <v>-69.402100000000004</v>
      </c>
      <c r="AD1739">
        <v>2.5060349999999998</v>
      </c>
      <c r="AE1739">
        <v>-22.7957</v>
      </c>
      <c r="AF1739">
        <v>-22.6770355212483</v>
      </c>
      <c r="AG1739">
        <v>2.5060349999999998</v>
      </c>
      <c r="AH1739">
        <v>69.350625076935401</v>
      </c>
      <c r="AI1739">
        <v>88.032884043832794</v>
      </c>
      <c r="AJ1739">
        <v>108.107282830204</v>
      </c>
      <c r="AK1739">
        <v>73.007104791347899</v>
      </c>
      <c r="AL1739">
        <v>78.190041029821899</v>
      </c>
      <c r="AM1739">
        <v>87.966752067113006</v>
      </c>
      <c r="AN1739">
        <v>1.00000003728889</v>
      </c>
    </row>
    <row r="1740" spans="1:40" x14ac:dyDescent="0.25">
      <c r="A1740" t="str">
        <f>"20190303170531796"</f>
        <v>20190303170531796</v>
      </c>
      <c r="B1740" t="str">
        <f>"1551603931786490"</f>
        <v>1551603931786490</v>
      </c>
      <c r="C1740" t="s">
        <v>40</v>
      </c>
      <c r="D1740">
        <v>5.5995019999999904</v>
      </c>
      <c r="E1740">
        <v>0.36273909999999998</v>
      </c>
      <c r="F1740" t="s">
        <v>66</v>
      </c>
      <c r="G1740">
        <v>-352.55</v>
      </c>
      <c r="H1740">
        <v>3.7796110000000001</v>
      </c>
      <c r="I1740">
        <v>261.84969999999998</v>
      </c>
      <c r="J1740">
        <v>-283.5224</v>
      </c>
      <c r="K1740">
        <v>1.121024</v>
      </c>
      <c r="L1740">
        <v>284.7561</v>
      </c>
      <c r="M1740">
        <v>-0.99988699999999997</v>
      </c>
      <c r="N1740">
        <v>-1.4997089999999999E-2</v>
      </c>
      <c r="O1740">
        <v>-1.147896E-3</v>
      </c>
      <c r="P1740">
        <v>-0.98074720000000004</v>
      </c>
      <c r="Q1740">
        <v>0.19220229999999999</v>
      </c>
      <c r="R1740">
        <v>3.4544709999999999E-2</v>
      </c>
      <c r="S1740">
        <v>-3.069061</v>
      </c>
      <c r="T1740">
        <v>0.1175702</v>
      </c>
      <c r="U1740">
        <v>-1.0129699999999999</v>
      </c>
      <c r="V1740">
        <v>3.5774E-2</v>
      </c>
      <c r="W1740">
        <v>0.20687059999999999</v>
      </c>
      <c r="X1740">
        <v>0.97771410000000003</v>
      </c>
      <c r="Y1740">
        <v>-0.31221870000000002</v>
      </c>
      <c r="Z1740">
        <v>3.3618749999999998E-3</v>
      </c>
      <c r="AA1740">
        <v>0.95000430000000002</v>
      </c>
      <c r="AB1740">
        <v>39</v>
      </c>
      <c r="AC1740">
        <v>-69.027600000000007</v>
      </c>
      <c r="AD1740">
        <v>2.6585869999999998</v>
      </c>
      <c r="AE1740">
        <v>-22.906400000000001</v>
      </c>
      <c r="AF1740">
        <v>-22.796677550675899</v>
      </c>
      <c r="AG1740">
        <v>2.6585869999999998</v>
      </c>
      <c r="AH1740">
        <v>68.961701903147301</v>
      </c>
      <c r="AI1740">
        <v>87.9037080502452</v>
      </c>
      <c r="AJ1740">
        <v>108.29234209432001</v>
      </c>
      <c r="AK1740">
        <v>72.680622737870195</v>
      </c>
      <c r="AL1740">
        <v>78.060976362028001</v>
      </c>
      <c r="AM1740">
        <v>87.904514983162599</v>
      </c>
      <c r="AN1740">
        <v>1.0000000427795801</v>
      </c>
    </row>
    <row r="1741" spans="1:40" x14ac:dyDescent="0.25">
      <c r="A1741" t="str">
        <f>"20190303170531825"</f>
        <v>20190303170531825</v>
      </c>
      <c r="B1741" t="str">
        <f>"1551603931816746"</f>
        <v>1551603931816746</v>
      </c>
      <c r="C1741" t="s">
        <v>40</v>
      </c>
      <c r="D1741">
        <v>5.6802999999999999</v>
      </c>
      <c r="E1741">
        <v>0.3614424</v>
      </c>
      <c r="F1741" t="s">
        <v>66</v>
      </c>
      <c r="G1741">
        <v>-352.55</v>
      </c>
      <c r="H1741">
        <v>3.887661</v>
      </c>
      <c r="I1741">
        <v>261.91609999999997</v>
      </c>
      <c r="J1741">
        <v>-284.01900000000001</v>
      </c>
      <c r="K1741">
        <v>1.1210260000000001</v>
      </c>
      <c r="L1741">
        <v>284.75569999999999</v>
      </c>
      <c r="M1741">
        <v>-0.99988719999999998</v>
      </c>
      <c r="N1741">
        <v>-1.4991290000000001E-2</v>
      </c>
      <c r="O1741">
        <v>-9.1324120000000003E-4</v>
      </c>
      <c r="P1741">
        <v>-0.98064059999999997</v>
      </c>
      <c r="Q1741">
        <v>0.1926051</v>
      </c>
      <c r="R1741">
        <v>3.5315239999999998E-2</v>
      </c>
      <c r="S1741">
        <v>-3.070557</v>
      </c>
      <c r="T1741">
        <v>0.12307170000000001</v>
      </c>
      <c r="U1741">
        <v>-1.0159910000000001</v>
      </c>
      <c r="V1741">
        <v>3.6314970000000002E-2</v>
      </c>
      <c r="W1741">
        <v>0.2072657</v>
      </c>
      <c r="X1741">
        <v>0.97761039999999999</v>
      </c>
      <c r="Y1741">
        <v>-0.31313039999999998</v>
      </c>
      <c r="Z1741">
        <v>3.6524359999999998E-3</v>
      </c>
      <c r="AA1741">
        <v>0.94970310000000002</v>
      </c>
      <c r="AB1741">
        <v>39</v>
      </c>
      <c r="AC1741">
        <v>-68.531000000000006</v>
      </c>
      <c r="AD1741">
        <v>2.766635</v>
      </c>
      <c r="AE1741">
        <v>-22.839600000000001</v>
      </c>
      <c r="AF1741">
        <v>-22.7436364605149</v>
      </c>
      <c r="AG1741">
        <v>2.766635</v>
      </c>
      <c r="AH1741">
        <v>68.451423423089494</v>
      </c>
      <c r="AI1741">
        <v>87.803454724018906</v>
      </c>
      <c r="AJ1741">
        <v>108.379558047316</v>
      </c>
      <c r="AK1741">
        <v>72.183963851525704</v>
      </c>
      <c r="AL1741">
        <v>78.037836422742402</v>
      </c>
      <c r="AM1741">
        <v>87.872630781220096</v>
      </c>
      <c r="AN1741">
        <v>0.99999997081537495</v>
      </c>
    </row>
    <row r="1742" spans="1:40" x14ac:dyDescent="0.25">
      <c r="A1742" t="str">
        <f>"20190303170531842"</f>
        <v>20190303170531842</v>
      </c>
      <c r="B1742" t="str">
        <f>"1551603931836266"</f>
        <v>1551603931836266</v>
      </c>
      <c r="C1742" t="s">
        <v>40</v>
      </c>
      <c r="D1742">
        <v>5.6660050000000002</v>
      </c>
      <c r="E1742">
        <v>0.3603268</v>
      </c>
      <c r="F1742" t="s">
        <v>67</v>
      </c>
      <c r="G1742">
        <v>-337.07889999999998</v>
      </c>
      <c r="H1742">
        <v>3.3017820000000002</v>
      </c>
      <c r="I1742">
        <v>267.05849999999998</v>
      </c>
      <c r="J1742">
        <v>-284.32040000000001</v>
      </c>
      <c r="K1742">
        <v>1.1210169999999999</v>
      </c>
      <c r="L1742">
        <v>284.75560000000002</v>
      </c>
      <c r="M1742">
        <v>-0.99988730000000003</v>
      </c>
      <c r="N1742">
        <v>-1.498682E-2</v>
      </c>
      <c r="O1742">
        <v>-7.7051829999999998E-4</v>
      </c>
      <c r="P1742">
        <v>-0.98085060000000002</v>
      </c>
      <c r="Q1742">
        <v>0.1914032</v>
      </c>
      <c r="R1742">
        <v>3.6011609999999999E-2</v>
      </c>
      <c r="S1742">
        <v>-3.0713200000000001</v>
      </c>
      <c r="T1742">
        <v>0.1262306</v>
      </c>
      <c r="U1742">
        <v>-1.024384</v>
      </c>
      <c r="V1742">
        <v>3.6871170000000002E-2</v>
      </c>
      <c r="W1742">
        <v>0.206063</v>
      </c>
      <c r="X1742">
        <v>0.97784380000000004</v>
      </c>
      <c r="Y1742">
        <v>-0.31552140000000001</v>
      </c>
      <c r="Z1742">
        <v>3.841134E-3</v>
      </c>
      <c r="AA1742">
        <v>0.9489107</v>
      </c>
      <c r="AB1742">
        <v>39</v>
      </c>
      <c r="AC1742">
        <v>-52.758499999999898</v>
      </c>
      <c r="AD1742">
        <v>2.1807650000000001</v>
      </c>
      <c r="AE1742">
        <v>-17.697099999999999</v>
      </c>
      <c r="AF1742">
        <v>-17.6293641433939</v>
      </c>
      <c r="AG1742">
        <v>2.1807650000000001</v>
      </c>
      <c r="AH1742">
        <v>52.691200261076403</v>
      </c>
      <c r="AI1742">
        <v>87.752346929622504</v>
      </c>
      <c r="AJ1742">
        <v>108.49915425958901</v>
      </c>
      <c r="AK1742">
        <v>55.6049710101396</v>
      </c>
      <c r="AL1742">
        <v>78.108266507899202</v>
      </c>
      <c r="AM1742">
        <v>87.840593687259201</v>
      </c>
      <c r="AN1742">
        <v>0.99999997017230402</v>
      </c>
    </row>
    <row r="1743" spans="1:40" x14ac:dyDescent="0.25">
      <c r="A1743" t="str">
        <f>"20190303170531864"</f>
        <v>20190303170531864</v>
      </c>
      <c r="B1743" t="str">
        <f>"1551603931856763"</f>
        <v>1551603931856763</v>
      </c>
      <c r="C1743" t="s">
        <v>40</v>
      </c>
      <c r="D1743">
        <v>5.6204859999999996</v>
      </c>
      <c r="E1743">
        <v>0.3595332</v>
      </c>
      <c r="F1743" t="s">
        <v>67</v>
      </c>
      <c r="G1743">
        <v>-337.07100000000003</v>
      </c>
      <c r="H1743">
        <v>3.2862200000000001</v>
      </c>
      <c r="I1743">
        <v>267.04559999999998</v>
      </c>
      <c r="J1743">
        <v>-284.7029</v>
      </c>
      <c r="K1743">
        <v>1.121019</v>
      </c>
      <c r="L1743">
        <v>284.75549999999998</v>
      </c>
      <c r="M1743">
        <v>-0.99988759999999999</v>
      </c>
      <c r="N1743">
        <v>-1.498099E-2</v>
      </c>
      <c r="O1743">
        <v>-5.894044E-4</v>
      </c>
      <c r="P1743">
        <v>-0.98097889999999999</v>
      </c>
      <c r="Q1743">
        <v>0.19063640000000001</v>
      </c>
      <c r="R1743">
        <v>3.6583770000000002E-2</v>
      </c>
      <c r="S1743">
        <v>-3.0718380000000001</v>
      </c>
      <c r="T1743">
        <v>0.12608649999999999</v>
      </c>
      <c r="U1743">
        <v>-1.0313110000000001</v>
      </c>
      <c r="V1743">
        <v>3.7265510000000002E-2</v>
      </c>
      <c r="W1743">
        <v>0.20529210000000001</v>
      </c>
      <c r="X1743">
        <v>0.97799100000000005</v>
      </c>
      <c r="Y1743">
        <v>-0.31756839999999997</v>
      </c>
      <c r="Z1743">
        <v>3.8659570000000002E-3</v>
      </c>
      <c r="AA1743">
        <v>0.9482275</v>
      </c>
      <c r="AB1743">
        <v>39</v>
      </c>
      <c r="AC1743">
        <v>-52.368099999999899</v>
      </c>
      <c r="AD1743">
        <v>2.1652010000000002</v>
      </c>
      <c r="AE1743">
        <v>-17.709900000000001</v>
      </c>
      <c r="AF1743">
        <v>-17.6519487933273</v>
      </c>
      <c r="AG1743">
        <v>2.1652010000000002</v>
      </c>
      <c r="AH1743">
        <v>52.298303029019401</v>
      </c>
      <c r="AI1743">
        <v>87.753620500724296</v>
      </c>
      <c r="AJ1743">
        <v>108.650789320416</v>
      </c>
      <c r="AK1743">
        <v>55.239405240170598</v>
      </c>
      <c r="AL1743">
        <v>78.153400928530999</v>
      </c>
      <c r="AM1743">
        <v>87.817849059161503</v>
      </c>
      <c r="AN1743">
        <v>0.99999998031948401</v>
      </c>
    </row>
    <row r="1744" spans="1:40" x14ac:dyDescent="0.25">
      <c r="A1744" t="str">
        <f>"20190303170531885"</f>
        <v>20190303170531885</v>
      </c>
      <c r="B1744" t="str">
        <f>"1551603931876282"</f>
        <v>1551603931876282</v>
      </c>
      <c r="C1744" t="s">
        <v>40</v>
      </c>
      <c r="D1744">
        <v>5.4676210000000003</v>
      </c>
      <c r="E1744">
        <v>0.35935800000000001</v>
      </c>
      <c r="F1744" t="s">
        <v>66</v>
      </c>
      <c r="G1744">
        <v>-352.55</v>
      </c>
      <c r="H1744">
        <v>3.8568929999999999</v>
      </c>
      <c r="I1744">
        <v>261.88569999999999</v>
      </c>
      <c r="J1744">
        <v>-285.0711</v>
      </c>
      <c r="K1744">
        <v>1.1210290000000001</v>
      </c>
      <c r="L1744">
        <v>284.75549999999998</v>
      </c>
      <c r="M1744">
        <v>-0.99988779999999999</v>
      </c>
      <c r="N1744">
        <v>-1.497534E-2</v>
      </c>
      <c r="O1744">
        <v>-4.1449420000000002E-4</v>
      </c>
      <c r="P1744">
        <v>-0.98062009999999999</v>
      </c>
      <c r="Q1744">
        <v>0.1922722</v>
      </c>
      <c r="R1744">
        <v>3.7630280000000002E-2</v>
      </c>
      <c r="S1744">
        <v>-3.0726930000000001</v>
      </c>
      <c r="T1744">
        <v>0.123907</v>
      </c>
      <c r="U1744">
        <v>-1.035736</v>
      </c>
      <c r="V1744">
        <v>3.8141170000000002E-2</v>
      </c>
      <c r="W1744">
        <v>0.2069163</v>
      </c>
      <c r="X1744">
        <v>0.97761489999999995</v>
      </c>
      <c r="Y1744">
        <v>-0.31888709999999998</v>
      </c>
      <c r="Z1744">
        <v>3.7794149999999999E-3</v>
      </c>
      <c r="AA1744">
        <v>0.94778519999999999</v>
      </c>
      <c r="AB1744">
        <v>39</v>
      </c>
      <c r="AC1744">
        <v>-67.478899999999996</v>
      </c>
      <c r="AD1744">
        <v>2.7358639999999999</v>
      </c>
      <c r="AE1744">
        <v>-22.869800000000001</v>
      </c>
      <c r="AF1744">
        <v>-22.808195696828001</v>
      </c>
      <c r="AG1744">
        <v>2.7358639999999999</v>
      </c>
      <c r="AH1744">
        <v>67.389012800965602</v>
      </c>
      <c r="AI1744">
        <v>87.797763875887995</v>
      </c>
      <c r="AJ1744">
        <v>108.69868281722</v>
      </c>
      <c r="AK1744">
        <v>71.196754062667793</v>
      </c>
      <c r="AL1744">
        <v>78.0582995006598</v>
      </c>
      <c r="AM1744">
        <v>87.765766159980501</v>
      </c>
      <c r="AN1744">
        <v>0.99999999837833398</v>
      </c>
    </row>
    <row r="1745" spans="1:40" x14ac:dyDescent="0.25">
      <c r="A1745" t="str">
        <f>"20190303170531907"</f>
        <v>20190303170531907</v>
      </c>
      <c r="B1745" t="str">
        <f>"1551603931896779"</f>
        <v>1551603931896779</v>
      </c>
      <c r="C1745" t="s">
        <v>40</v>
      </c>
      <c r="D1745">
        <v>6.3104979999999999</v>
      </c>
      <c r="E1745">
        <v>0.43985220000000003</v>
      </c>
      <c r="F1745" t="s">
        <v>67</v>
      </c>
      <c r="G1745">
        <v>-337.16930000000002</v>
      </c>
      <c r="H1745">
        <v>3.3183280000000002</v>
      </c>
      <c r="I1745">
        <v>267.22430000000003</v>
      </c>
      <c r="J1745">
        <v>-285.44639999999998</v>
      </c>
      <c r="K1745">
        <v>1.1210290000000001</v>
      </c>
      <c r="L1745">
        <v>284.75549999999998</v>
      </c>
      <c r="M1745">
        <v>-0.99988790000000005</v>
      </c>
      <c r="N1745">
        <v>-1.496958E-2</v>
      </c>
      <c r="O1745">
        <v>-2.3565549999999999E-4</v>
      </c>
      <c r="P1745">
        <v>-0.98020130000000005</v>
      </c>
      <c r="Q1745">
        <v>0.19394230000000001</v>
      </c>
      <c r="R1745">
        <v>3.9900350000000001E-2</v>
      </c>
      <c r="S1745">
        <v>-3.0735169999999998</v>
      </c>
      <c r="T1745">
        <v>0.12962899999999999</v>
      </c>
      <c r="U1745">
        <v>-1.034241</v>
      </c>
      <c r="V1745">
        <v>4.0236420000000002E-2</v>
      </c>
      <c r="W1745">
        <v>0.2085736</v>
      </c>
      <c r="X1745">
        <v>0.97717860000000001</v>
      </c>
      <c r="Y1745">
        <v>-0.31854779999999999</v>
      </c>
      <c r="Z1745">
        <v>4.0727709999999898E-3</v>
      </c>
      <c r="AA1745">
        <v>0.94789800000000002</v>
      </c>
      <c r="AB1745">
        <v>39</v>
      </c>
      <c r="AC1745">
        <v>-51.722900000000003</v>
      </c>
      <c r="AD1745">
        <v>2.1972990000000001</v>
      </c>
      <c r="AE1745">
        <v>-17.531199999999899</v>
      </c>
      <c r="AF1745">
        <v>-17.490696080119601</v>
      </c>
      <c r="AG1745">
        <v>2.1972990000000001</v>
      </c>
      <c r="AH1745">
        <v>51.643431905124501</v>
      </c>
      <c r="AI1745">
        <v>87.692287501658299</v>
      </c>
      <c r="AJ1745">
        <v>108.710310567674</v>
      </c>
      <c r="AK1745">
        <v>54.569191227300998</v>
      </c>
      <c r="AL1745">
        <v>77.961224934544106</v>
      </c>
      <c r="AM1745">
        <v>87.642114275382795</v>
      </c>
      <c r="AN1745">
        <v>0.99999996620466702</v>
      </c>
    </row>
    <row r="1746" spans="1:40" x14ac:dyDescent="0.25">
      <c r="A1746" t="str">
        <f>"20190303170531930"</f>
        <v>20190303170531930</v>
      </c>
      <c r="B1746" t="str">
        <f>"1551603931916298"</f>
        <v>1551603931916298</v>
      </c>
      <c r="C1746" t="s">
        <v>40</v>
      </c>
      <c r="D1746">
        <v>5.731179</v>
      </c>
      <c r="E1746">
        <v>0.447542</v>
      </c>
      <c r="F1746" t="s">
        <v>64</v>
      </c>
      <c r="G1746">
        <v>-298.09649999999999</v>
      </c>
      <c r="H1746" s="1">
        <v>3.7737040000000001E-6</v>
      </c>
      <c r="I1746">
        <v>283.10910000000001</v>
      </c>
      <c r="J1746">
        <v>-285.84570000000002</v>
      </c>
      <c r="K1746">
        <v>1.1210249999999999</v>
      </c>
      <c r="L1746">
        <v>284.75560000000002</v>
      </c>
      <c r="M1746">
        <v>-0.9998882</v>
      </c>
      <c r="N1746">
        <v>-1.4963539999999999E-2</v>
      </c>
      <c r="O1746" s="1">
        <v>-4.5665959999999997E-5</v>
      </c>
      <c r="P1746">
        <v>-0.9801571</v>
      </c>
      <c r="Q1746">
        <v>0.1938974</v>
      </c>
      <c r="R1746">
        <v>4.1182650000000001E-2</v>
      </c>
      <c r="S1746">
        <v>-3.1321110000000001</v>
      </c>
      <c r="T1746">
        <v>-0.27756189999999997</v>
      </c>
      <c r="U1746">
        <v>-0.40765380000000001</v>
      </c>
      <c r="V1746">
        <v>4.1332109999999998E-2</v>
      </c>
      <c r="W1746">
        <v>0.20852180000000001</v>
      </c>
      <c r="X1746">
        <v>0.97714389999999995</v>
      </c>
      <c r="Y1746">
        <v>-0.12843930000000001</v>
      </c>
      <c r="Z1746">
        <v>-6.6200510000000001E-3</v>
      </c>
      <c r="AA1746">
        <v>0.99169529999999995</v>
      </c>
      <c r="AB1746">
        <v>39</v>
      </c>
      <c r="AC1746">
        <v>-12.2507999999999</v>
      </c>
      <c r="AD1746">
        <v>-1.121021226296</v>
      </c>
      <c r="AE1746">
        <v>-1.6465000000000001</v>
      </c>
      <c r="AF1746">
        <v>-1.63251343522105</v>
      </c>
      <c r="AG1746">
        <v>-1.121021226296</v>
      </c>
      <c r="AH1746">
        <v>12.1509364641111</v>
      </c>
      <c r="AI1746">
        <v>95.224395578194105</v>
      </c>
      <c r="AJ1746">
        <v>97.652031629728796</v>
      </c>
      <c r="AK1746">
        <v>12.311256867633301</v>
      </c>
      <c r="AL1746">
        <v>77.964259295940295</v>
      </c>
      <c r="AM1746">
        <v>87.577895527693599</v>
      </c>
      <c r="AN1746">
        <v>0.99999994284974902</v>
      </c>
    </row>
    <row r="1747" spans="1:40" x14ac:dyDescent="0.25">
      <c r="A1747" t="str">
        <f>"20190303170531954"</f>
        <v>20190303170531954</v>
      </c>
      <c r="B1747" t="str">
        <f>"1551603931946554"</f>
        <v>1551603931946554</v>
      </c>
      <c r="C1747" t="s">
        <v>40</v>
      </c>
      <c r="D1747">
        <v>5.63042</v>
      </c>
      <c r="E1747">
        <v>0.45817000000000002</v>
      </c>
      <c r="F1747" t="s">
        <v>64</v>
      </c>
      <c r="G1747">
        <v>-306.18740000000003</v>
      </c>
      <c r="H1747" s="1">
        <v>3.0473180000000001E-6</v>
      </c>
      <c r="I1747">
        <v>282.55439999999999</v>
      </c>
      <c r="J1747">
        <v>-286.24200000000002</v>
      </c>
      <c r="K1747">
        <v>1.12103</v>
      </c>
      <c r="L1747">
        <v>284.75580000000002</v>
      </c>
      <c r="M1747">
        <v>-0.9998882</v>
      </c>
      <c r="N1747">
        <v>-1.495579E-2</v>
      </c>
      <c r="O1747">
        <v>1.4164740000000001E-4</v>
      </c>
      <c r="P1747">
        <v>-0.98035059999999996</v>
      </c>
      <c r="Q1747">
        <v>0.19293940000000001</v>
      </c>
      <c r="R1747">
        <v>4.1076540000000002E-2</v>
      </c>
      <c r="S1747">
        <v>-3.1087340000000001</v>
      </c>
      <c r="T1747">
        <v>-0.17132120000000001</v>
      </c>
      <c r="U1747">
        <v>-0.33639530000000001</v>
      </c>
      <c r="V1747">
        <v>4.1041590000000003E-2</v>
      </c>
      <c r="W1747">
        <v>0.20755960000000001</v>
      </c>
      <c r="X1747">
        <v>0.97736100000000004</v>
      </c>
      <c r="Y1747">
        <v>-0.107516899999999</v>
      </c>
      <c r="Z1747">
        <v>-3.7645869999999998E-3</v>
      </c>
      <c r="AA1747">
        <v>0.99419610000000003</v>
      </c>
      <c r="AB1747">
        <v>39</v>
      </c>
      <c r="AC1747">
        <v>-19.945399999999999</v>
      </c>
      <c r="AD1747">
        <v>-1.121026952682</v>
      </c>
      <c r="AE1747">
        <v>-2.2014000000000302</v>
      </c>
      <c r="AF1747">
        <v>-2.1973676134558402</v>
      </c>
      <c r="AG1747">
        <v>-1.121026952682</v>
      </c>
      <c r="AH1747">
        <v>19.883033807809099</v>
      </c>
      <c r="AI1747">
        <v>93.207494800960305</v>
      </c>
      <c r="AJ1747">
        <v>96.306434706718605</v>
      </c>
      <c r="AK1747">
        <v>20.035472523995601</v>
      </c>
      <c r="AL1747">
        <v>78.020622751235194</v>
      </c>
      <c r="AM1747">
        <v>87.595433852724796</v>
      </c>
      <c r="AN1747">
        <v>0.99999996199144303</v>
      </c>
    </row>
    <row r="1748" spans="1:40" x14ac:dyDescent="0.25">
      <c r="A1748" t="str">
        <f>"20190303170531975"</f>
        <v>20190303170531975</v>
      </c>
      <c r="B1748" t="str">
        <f>"1551603931966077"</f>
        <v>1551603931966077</v>
      </c>
      <c r="C1748" t="s">
        <v>40</v>
      </c>
      <c r="D1748">
        <v>5.7062589999999904</v>
      </c>
      <c r="E1748">
        <v>0.46099639999999997</v>
      </c>
      <c r="F1748" t="s">
        <v>64</v>
      </c>
      <c r="G1748">
        <v>-310.77140000000003</v>
      </c>
      <c r="H1748" s="1">
        <v>2.7197559999999998E-6</v>
      </c>
      <c r="I1748">
        <v>282.77809999999999</v>
      </c>
      <c r="J1748">
        <v>-286.62130000000002</v>
      </c>
      <c r="K1748">
        <v>1.1210359999999999</v>
      </c>
      <c r="L1748">
        <v>284.75599999999997</v>
      </c>
      <c r="M1748">
        <v>-0.99988840000000001</v>
      </c>
      <c r="N1748">
        <v>-1.4944229999999999E-2</v>
      </c>
      <c r="O1748">
        <v>3.1476410000000002E-4</v>
      </c>
      <c r="P1748">
        <v>-0.98031919999999995</v>
      </c>
      <c r="Q1748">
        <v>0.19306970000000001</v>
      </c>
      <c r="R1748">
        <v>4.1213809999999997E-2</v>
      </c>
      <c r="S1748">
        <v>-3.0985109999999998</v>
      </c>
      <c r="T1748">
        <v>-0.14160629999999999</v>
      </c>
      <c r="U1748">
        <v>-0.24981690000000001</v>
      </c>
      <c r="V1748">
        <v>4.10079E-2</v>
      </c>
      <c r="W1748">
        <v>0.20767849999999999</v>
      </c>
      <c r="X1748">
        <v>0.97733720000000002</v>
      </c>
      <c r="Y1748">
        <v>-8.0566639999999995E-2</v>
      </c>
      <c r="Z1748">
        <v>-2.4501549999999999E-3</v>
      </c>
      <c r="AA1748">
        <v>0.99674620000000003</v>
      </c>
      <c r="AB1748">
        <v>39</v>
      </c>
      <c r="AC1748">
        <v>-24.150099999999998</v>
      </c>
      <c r="AD1748">
        <v>-1.121033280244</v>
      </c>
      <c r="AE1748">
        <v>-1.97789999999997</v>
      </c>
      <c r="AF1748">
        <v>-1.98126163402831</v>
      </c>
      <c r="AG1748">
        <v>-1.121033280244</v>
      </c>
      <c r="AH1748">
        <v>24.097896924756501</v>
      </c>
      <c r="AI1748">
        <v>92.654533421734101</v>
      </c>
      <c r="AJ1748">
        <v>94.700127207452695</v>
      </c>
      <c r="AK1748">
        <v>24.205180219822299</v>
      </c>
      <c r="AL1748">
        <v>78.013659052241906</v>
      </c>
      <c r="AM1748">
        <v>87.597346946935602</v>
      </c>
      <c r="AN1748">
        <v>1.0000000048642499</v>
      </c>
    </row>
    <row r="1749" spans="1:40" x14ac:dyDescent="0.25">
      <c r="A1749" t="str">
        <f>"20190303170531988"</f>
        <v>20190303170531988</v>
      </c>
      <c r="B1749" t="str">
        <f>"1551603931976810"</f>
        <v>1551603931976810</v>
      </c>
      <c r="C1749" t="s">
        <v>40</v>
      </c>
      <c r="D1749">
        <v>5.6734289999999996</v>
      </c>
      <c r="E1749">
        <v>0.46216400000000002</v>
      </c>
      <c r="F1749" t="s">
        <v>64</v>
      </c>
      <c r="G1749">
        <v>-313.2568</v>
      </c>
      <c r="H1749" s="1">
        <v>3.8191950000000003E-6</v>
      </c>
      <c r="I1749">
        <v>282.80939999999998</v>
      </c>
      <c r="J1749">
        <v>-286.83839999999998</v>
      </c>
      <c r="K1749">
        <v>1.12104</v>
      </c>
      <c r="L1749">
        <v>284.75619999999998</v>
      </c>
      <c r="M1749">
        <v>-0.99988849999999996</v>
      </c>
      <c r="N1749">
        <v>-1.4936380000000001E-2</v>
      </c>
      <c r="O1749">
        <v>4.0970930000000001E-4</v>
      </c>
      <c r="P1749">
        <v>-0.9802729</v>
      </c>
      <c r="Q1749">
        <v>0.19325329999999999</v>
      </c>
      <c r="R1749">
        <v>4.1451370000000001E-2</v>
      </c>
      <c r="S1749">
        <v>-3.0954280000000001</v>
      </c>
      <c r="T1749">
        <v>-0.13028029999999999</v>
      </c>
      <c r="U1749">
        <v>-0.22622680000000001</v>
      </c>
      <c r="V1749">
        <v>4.1150819999999998E-2</v>
      </c>
      <c r="W1749">
        <v>0.20785390000000001</v>
      </c>
      <c r="X1749">
        <v>0.97729390000000005</v>
      </c>
      <c r="Y1749">
        <v>-7.3210810000000001E-2</v>
      </c>
      <c r="Z1749">
        <v>-2.0968570000000001E-3</v>
      </c>
      <c r="AA1749">
        <v>0.99731429999999999</v>
      </c>
      <c r="AB1749">
        <v>38</v>
      </c>
      <c r="AC1749">
        <v>-26.418399999999998</v>
      </c>
      <c r="AD1749">
        <v>-1.121036180805</v>
      </c>
      <c r="AE1749">
        <v>-1.9467999999999901</v>
      </c>
      <c r="AF1749">
        <v>-1.95412524057283</v>
      </c>
      <c r="AG1749">
        <v>-1.121036180805</v>
      </c>
      <c r="AH1749">
        <v>26.370373054921799</v>
      </c>
      <c r="AI1749">
        <v>92.427598438355204</v>
      </c>
      <c r="AJ1749">
        <v>94.238046296138194</v>
      </c>
      <c r="AK1749">
        <v>26.466429729569999</v>
      </c>
      <c r="AL1749">
        <v>78.003385126521707</v>
      </c>
      <c r="AM1749">
        <v>87.588876431439004</v>
      </c>
      <c r="AN1749">
        <v>1.00000000035454</v>
      </c>
    </row>
    <row r="1750" spans="1:40" x14ac:dyDescent="0.25">
      <c r="A1750" t="str">
        <f>"20190303170532008"</f>
        <v>20190303170532008</v>
      </c>
      <c r="B1750" t="str">
        <f>"1551603931996331"</f>
        <v>1551603931996331</v>
      </c>
      <c r="C1750" t="s">
        <v>40</v>
      </c>
      <c r="D1750">
        <v>5.6661010000000003</v>
      </c>
      <c r="E1750">
        <v>0.46359899999999998</v>
      </c>
      <c r="F1750" t="s">
        <v>64</v>
      </c>
      <c r="G1750">
        <v>-314.9556</v>
      </c>
      <c r="H1750" s="1">
        <v>4.5738229999999997E-6</v>
      </c>
      <c r="I1750">
        <v>282.79469999999998</v>
      </c>
      <c r="J1750">
        <v>-287.18150000000003</v>
      </c>
      <c r="K1750">
        <v>1.121048</v>
      </c>
      <c r="L1750">
        <v>284.75650000000002</v>
      </c>
      <c r="M1750">
        <v>-0.99988849999999996</v>
      </c>
      <c r="N1750">
        <v>-1.4923219999999999E-2</v>
      </c>
      <c r="O1750">
        <v>5.4984100000000002E-4</v>
      </c>
      <c r="P1750">
        <v>-0.98024230000000001</v>
      </c>
      <c r="Q1750">
        <v>0.19340009999999999</v>
      </c>
      <c r="R1750">
        <v>4.1492809999999998E-2</v>
      </c>
      <c r="S1750">
        <v>-3.0938110000000001</v>
      </c>
      <c r="T1750">
        <v>-0.1233506</v>
      </c>
      <c r="U1750">
        <v>-0.21582029999999999</v>
      </c>
      <c r="V1750">
        <v>4.1050780000000002E-2</v>
      </c>
      <c r="W1750">
        <v>0.20798829999999999</v>
      </c>
      <c r="X1750">
        <v>0.97726950000000001</v>
      </c>
      <c r="Y1750">
        <v>-7.0061780000000004E-2</v>
      </c>
      <c r="Z1750">
        <v>-1.931854E-3</v>
      </c>
      <c r="AA1750">
        <v>0.99754080000000001</v>
      </c>
      <c r="AB1750">
        <v>38</v>
      </c>
      <c r="AC1750">
        <v>-27.774099999999901</v>
      </c>
      <c r="AD1750">
        <v>-1.1210434261769999</v>
      </c>
      <c r="AE1750">
        <v>-1.96180000000003</v>
      </c>
      <c r="AF1750">
        <v>-1.9738729440006499</v>
      </c>
      <c r="AG1750">
        <v>-1.1210434261769999</v>
      </c>
      <c r="AH1750">
        <v>27.7280676850643</v>
      </c>
      <c r="AI1750">
        <v>92.309364918061405</v>
      </c>
      <c r="AJ1750">
        <v>94.071835478715002</v>
      </c>
      <c r="AK1750">
        <v>27.820831229672802</v>
      </c>
      <c r="AL1750">
        <v>77.995512366757794</v>
      </c>
      <c r="AM1750">
        <v>87.594671135281303</v>
      </c>
      <c r="AN1750">
        <v>0.999999987552874</v>
      </c>
    </row>
    <row r="1751" spans="1:40" x14ac:dyDescent="0.25">
      <c r="A1751" t="str">
        <f>"20190303170532022"</f>
        <v>20190303170532022</v>
      </c>
      <c r="B1751" t="str">
        <f>"1551603932016826"</f>
        <v>1551603932016826</v>
      </c>
      <c r="C1751" t="s">
        <v>40</v>
      </c>
      <c r="D1751">
        <v>5.6177039999999998</v>
      </c>
      <c r="E1751">
        <v>0.46442369999999999</v>
      </c>
      <c r="F1751" t="s">
        <v>64</v>
      </c>
      <c r="G1751">
        <v>-317.0249</v>
      </c>
      <c r="H1751" s="1">
        <v>5.4925789999999998E-6</v>
      </c>
      <c r="I1751">
        <v>282.78210000000001</v>
      </c>
      <c r="J1751">
        <v>-287.43799999999999</v>
      </c>
      <c r="K1751">
        <v>1.1210580000000001</v>
      </c>
      <c r="L1751">
        <v>284.75670000000002</v>
      </c>
      <c r="M1751">
        <v>-0.99988880000000002</v>
      </c>
      <c r="N1751">
        <v>-1.491348E-2</v>
      </c>
      <c r="O1751">
        <v>6.4618749999999995E-4</v>
      </c>
      <c r="P1751">
        <v>-0.98021400000000003</v>
      </c>
      <c r="Q1751">
        <v>0.1935905</v>
      </c>
      <c r="R1751">
        <v>4.1274520000000002E-2</v>
      </c>
      <c r="S1751">
        <v>-3.0920719999999999</v>
      </c>
      <c r="T1751">
        <v>-0.11615109999999999</v>
      </c>
      <c r="U1751">
        <v>-0.2045593</v>
      </c>
      <c r="V1751">
        <v>4.0733449999999997E-2</v>
      </c>
      <c r="W1751">
        <v>0.20816970000000001</v>
      </c>
      <c r="X1751">
        <v>0.97724420000000001</v>
      </c>
      <c r="Y1751">
        <v>-6.6591049999999999E-2</v>
      </c>
      <c r="Z1751">
        <v>-1.760894E-3</v>
      </c>
      <c r="AA1751">
        <v>0.99777879999999997</v>
      </c>
      <c r="AB1751">
        <v>38</v>
      </c>
      <c r="AC1751">
        <v>-29.5869</v>
      </c>
      <c r="AD1751">
        <v>-1.1210525074209901</v>
      </c>
      <c r="AE1751">
        <v>-1.9745999999999999</v>
      </c>
      <c r="AF1751">
        <v>-1.99087484074173</v>
      </c>
      <c r="AG1751">
        <v>-1.1210525074209901</v>
      </c>
      <c r="AH1751">
        <v>29.543391397870799</v>
      </c>
      <c r="AI1751">
        <v>92.168188289052196</v>
      </c>
      <c r="AJ1751">
        <v>93.855228570421005</v>
      </c>
      <c r="AK1751">
        <v>29.631610091989302</v>
      </c>
      <c r="AL1751">
        <v>77.984886874075997</v>
      </c>
      <c r="AM1751">
        <v>87.613181459231697</v>
      </c>
      <c r="AN1751">
        <v>1.00000003219031</v>
      </c>
    </row>
    <row r="1752" spans="1:40" x14ac:dyDescent="0.25">
      <c r="A1752" t="str">
        <f>"20190303170532043"</f>
        <v>20190303170532043</v>
      </c>
      <c r="B1752" t="str">
        <f>"1551603932036346"</f>
        <v>1551603932036346</v>
      </c>
      <c r="C1752" t="s">
        <v>40</v>
      </c>
      <c r="D1752">
        <v>5.6275440000000003</v>
      </c>
      <c r="E1752">
        <v>0.46545940000000002</v>
      </c>
      <c r="F1752" t="s">
        <v>64</v>
      </c>
      <c r="G1752">
        <v>-317.70699999999999</v>
      </c>
      <c r="H1752" s="1">
        <v>5.7926579999999997E-6</v>
      </c>
      <c r="I1752">
        <v>282.8098</v>
      </c>
      <c r="J1752">
        <v>-287.77999999999997</v>
      </c>
      <c r="K1752">
        <v>1.121078</v>
      </c>
      <c r="L1752">
        <v>284.75700000000001</v>
      </c>
      <c r="M1752">
        <v>-0.99988880000000002</v>
      </c>
      <c r="N1752">
        <v>-1.490118E-2</v>
      </c>
      <c r="O1752">
        <v>7.5834990000000005E-4</v>
      </c>
      <c r="P1752">
        <v>-0.98022339999999997</v>
      </c>
      <c r="Q1752">
        <v>0.19358719999999999</v>
      </c>
      <c r="R1752">
        <v>4.1069590000000003E-2</v>
      </c>
      <c r="S1752">
        <v>-3.0915219999999999</v>
      </c>
      <c r="T1752">
        <v>-0.11449860000000001</v>
      </c>
      <c r="U1752">
        <v>-0.19885249999999999</v>
      </c>
      <c r="V1752">
        <v>4.0410840000000003E-2</v>
      </c>
      <c r="W1752">
        <v>0.20815620000000001</v>
      </c>
      <c r="X1752">
        <v>0.97726040000000003</v>
      </c>
      <c r="Y1752">
        <v>-6.4883689999999994E-2</v>
      </c>
      <c r="Z1752">
        <v>-1.7008170000000001E-3</v>
      </c>
      <c r="AA1752">
        <v>0.99789139999999998</v>
      </c>
      <c r="AB1752">
        <v>38</v>
      </c>
      <c r="AC1752">
        <v>-29.927</v>
      </c>
      <c r="AD1752">
        <v>-1.1210722073420001</v>
      </c>
      <c r="AE1752">
        <v>-1.9472</v>
      </c>
      <c r="AF1752">
        <v>-1.9671482943742</v>
      </c>
      <c r="AG1752">
        <v>-1.1210722073420001</v>
      </c>
      <c r="AH1752">
        <v>29.883756414355599</v>
      </c>
      <c r="AI1752">
        <v>92.143775984231496</v>
      </c>
      <c r="AJ1752">
        <v>93.766157100958196</v>
      </c>
      <c r="AK1752">
        <v>29.9694072804031</v>
      </c>
      <c r="AL1752">
        <v>77.985676865162901</v>
      </c>
      <c r="AM1752">
        <v>87.632102729914195</v>
      </c>
      <c r="AN1752">
        <v>0.99999996449805195</v>
      </c>
    </row>
    <row r="1753" spans="1:40" x14ac:dyDescent="0.25">
      <c r="A1753" t="str">
        <f>"20190303170532065"</f>
        <v>20190303170532065</v>
      </c>
      <c r="B1753" t="str">
        <f>"1551603932056843"</f>
        <v>1551603932056843</v>
      </c>
      <c r="C1753" t="s">
        <v>40</v>
      </c>
      <c r="D1753">
        <v>5.6564139999999998</v>
      </c>
      <c r="E1753">
        <v>0.4662808</v>
      </c>
      <c r="F1753" t="s">
        <v>64</v>
      </c>
      <c r="G1753">
        <v>-318.71640000000002</v>
      </c>
      <c r="H1753" s="1">
        <v>6.2376070000000002E-6</v>
      </c>
      <c r="I1753">
        <v>282.84050000000002</v>
      </c>
      <c r="J1753">
        <v>-288.17099999999999</v>
      </c>
      <c r="K1753">
        <v>1.1211</v>
      </c>
      <c r="L1753">
        <v>284.75740000000002</v>
      </c>
      <c r="M1753">
        <v>-0.99988880000000002</v>
      </c>
      <c r="N1753">
        <v>-1.488772E-2</v>
      </c>
      <c r="O1753">
        <v>8.5356789999999896E-4</v>
      </c>
      <c r="P1753">
        <v>-0.98028959999999998</v>
      </c>
      <c r="Q1753">
        <v>0.1932198</v>
      </c>
      <c r="R1753">
        <v>4.121242E-2</v>
      </c>
      <c r="S1753">
        <v>-3.090668</v>
      </c>
      <c r="T1753">
        <v>-0.1119994</v>
      </c>
      <c r="U1753">
        <v>-0.19146730000000001</v>
      </c>
      <c r="V1753">
        <v>4.0447919999999998E-2</v>
      </c>
      <c r="W1753">
        <v>0.20777880000000001</v>
      </c>
      <c r="X1753">
        <v>0.97733919999999996</v>
      </c>
      <c r="Y1753">
        <v>-6.2625570000000005E-2</v>
      </c>
      <c r="Z1753">
        <v>-1.6183149999999999E-3</v>
      </c>
      <c r="AA1753">
        <v>0.99803580000000003</v>
      </c>
      <c r="AB1753">
        <v>38</v>
      </c>
      <c r="AC1753">
        <v>-30.545400000000001</v>
      </c>
      <c r="AD1753">
        <v>-1.121093762393</v>
      </c>
      <c r="AE1753">
        <v>-1.9168999999999901</v>
      </c>
      <c r="AF1753">
        <v>-1.94037118987996</v>
      </c>
      <c r="AG1753">
        <v>-1.121093762393</v>
      </c>
      <c r="AH1753">
        <v>30.502824036966601</v>
      </c>
      <c r="AI1753">
        <v>92.100646299363703</v>
      </c>
      <c r="AJ1753">
        <v>93.639842746300701</v>
      </c>
      <c r="AK1753">
        <v>30.5850317280977</v>
      </c>
      <c r="AL1753">
        <v>78.007783926618302</v>
      </c>
      <c r="AM1753">
        <v>87.630123355447793</v>
      </c>
      <c r="AN1753">
        <v>0.99999998790920297</v>
      </c>
    </row>
    <row r="1754" spans="1:40" x14ac:dyDescent="0.25">
      <c r="A1754" t="str">
        <f>"20190303170532086"</f>
        <v>20190303170532086</v>
      </c>
      <c r="B1754" t="str">
        <f>"1551603932076363"</f>
        <v>1551603932076363</v>
      </c>
      <c r="C1754" t="s">
        <v>40</v>
      </c>
      <c r="D1754">
        <v>5.6326409999999996</v>
      </c>
      <c r="E1754">
        <v>0.46694449999999998</v>
      </c>
      <c r="F1754" t="s">
        <v>64</v>
      </c>
      <c r="G1754">
        <v>-319.30489999999998</v>
      </c>
      <c r="H1754" s="1">
        <v>6.4935819999999999E-6</v>
      </c>
      <c r="I1754">
        <v>282.89749999999998</v>
      </c>
      <c r="J1754">
        <v>-288.52350000000001</v>
      </c>
      <c r="K1754">
        <v>1.1211260000000001</v>
      </c>
      <c r="L1754">
        <v>284.75779999999997</v>
      </c>
      <c r="M1754">
        <v>-0.99988889999999997</v>
      </c>
      <c r="N1754">
        <v>-1.487613E-2</v>
      </c>
      <c r="O1754">
        <v>9.1443760000000003E-4</v>
      </c>
      <c r="P1754">
        <v>-0.98030209999999995</v>
      </c>
      <c r="Q1754">
        <v>0.19323419999999999</v>
      </c>
      <c r="R1754">
        <v>4.0847090000000003E-2</v>
      </c>
      <c r="S1754">
        <v>-3.0900569999999998</v>
      </c>
      <c r="T1754">
        <v>-0.1112692</v>
      </c>
      <c r="U1754">
        <v>-0.18460080000000001</v>
      </c>
      <c r="V1754">
        <v>4.0010839999999999E-2</v>
      </c>
      <c r="W1754">
        <v>0.20778540000000001</v>
      </c>
      <c r="X1754">
        <v>0.9773558</v>
      </c>
      <c r="Y1754">
        <v>-6.0491370000000003E-2</v>
      </c>
      <c r="Z1754">
        <v>-1.557658E-3</v>
      </c>
      <c r="AA1754">
        <v>0.99816749999999999</v>
      </c>
      <c r="AB1754">
        <v>38</v>
      </c>
      <c r="AC1754">
        <v>-30.781399999999898</v>
      </c>
      <c r="AD1754">
        <v>-1.121119506418</v>
      </c>
      <c r="AE1754">
        <v>-1.8602999999999901</v>
      </c>
      <c r="AF1754">
        <v>-1.88595727550617</v>
      </c>
      <c r="AG1754">
        <v>-1.121119506418</v>
      </c>
      <c r="AH1754">
        <v>30.739056986752502</v>
      </c>
      <c r="AI1754">
        <v>92.084857590138</v>
      </c>
      <c r="AJ1754">
        <v>93.510911586309703</v>
      </c>
      <c r="AK1754">
        <v>30.817257636388099</v>
      </c>
      <c r="AL1754">
        <v>78.007397481712005</v>
      </c>
      <c r="AM1754">
        <v>87.655743274580004</v>
      </c>
      <c r="AN1754">
        <v>0.99999999978215204</v>
      </c>
    </row>
    <row r="1755" spans="1:40" x14ac:dyDescent="0.25">
      <c r="A1755" t="str">
        <f>"20190303170532099"</f>
        <v>20190303170532099</v>
      </c>
      <c r="B1755" t="str">
        <f>"1551603932086123"</f>
        <v>1551603932086123</v>
      </c>
      <c r="C1755" t="s">
        <v>40</v>
      </c>
      <c r="D1755">
        <v>5.6243939999999997</v>
      </c>
      <c r="E1755">
        <v>0.46724559999999998</v>
      </c>
      <c r="F1755" t="s">
        <v>60</v>
      </c>
      <c r="G1755">
        <v>-320.2475</v>
      </c>
      <c r="H1755" s="1">
        <v>-1.3303570000000001E-6</v>
      </c>
      <c r="I1755">
        <v>282.90730000000002</v>
      </c>
      <c r="J1755">
        <v>-288.75200000000001</v>
      </c>
      <c r="K1755">
        <v>1.1211420000000001</v>
      </c>
      <c r="L1755">
        <v>284.75799999999998</v>
      </c>
      <c r="M1755">
        <v>-0.99988909999999998</v>
      </c>
      <c r="N1755">
        <v>-1.486906E-2</v>
      </c>
      <c r="O1755">
        <v>9.4235870000000004E-4</v>
      </c>
      <c r="P1755">
        <v>-0.98025180000000001</v>
      </c>
      <c r="Q1755">
        <v>0.19354759999999999</v>
      </c>
      <c r="R1755">
        <v>4.0569260000000003E-2</v>
      </c>
      <c r="S1755">
        <v>-3.0892940000000002</v>
      </c>
      <c r="T1755">
        <v>-0.1091757</v>
      </c>
      <c r="U1755">
        <v>-0.18020630000000001</v>
      </c>
      <c r="V1755">
        <v>3.9698200000000003E-2</v>
      </c>
      <c r="W1755">
        <v>0.20809179999999999</v>
      </c>
      <c r="X1755">
        <v>0.97730340000000004</v>
      </c>
      <c r="Y1755">
        <v>-5.9121849999999997E-2</v>
      </c>
      <c r="Z1755">
        <v>-1.5028729999999901E-3</v>
      </c>
      <c r="AA1755">
        <v>0.99824970000000002</v>
      </c>
      <c r="AB1755">
        <v>38</v>
      </c>
      <c r="AC1755">
        <v>-31.4955</v>
      </c>
      <c r="AD1755">
        <v>-1.121143330357</v>
      </c>
      <c r="AE1755">
        <v>-1.85069999999996</v>
      </c>
      <c r="AF1755">
        <v>-1.8780109971801</v>
      </c>
      <c r="AG1755">
        <v>-1.121143330357</v>
      </c>
      <c r="AH1755">
        <v>31.454022230910901</v>
      </c>
      <c r="AI1755">
        <v>92.037753685466797</v>
      </c>
      <c r="AJ1755">
        <v>93.416876654542094</v>
      </c>
      <c r="AK1755">
        <v>31.529976247618201</v>
      </c>
      <c r="AL1755">
        <v>77.989450241155396</v>
      </c>
      <c r="AM1755">
        <v>87.673916249622295</v>
      </c>
      <c r="AN1755">
        <v>1.0000000399810101</v>
      </c>
    </row>
    <row r="1756" spans="1:40" x14ac:dyDescent="0.25">
      <c r="A1756" t="str">
        <f>"20190303170532114"</f>
        <v>20190303170532114</v>
      </c>
      <c r="B1756" t="str">
        <f>"1551603932106618"</f>
        <v>1551603932106618</v>
      </c>
      <c r="C1756" t="s">
        <v>40</v>
      </c>
      <c r="D1756">
        <v>5.8083749999999998</v>
      </c>
      <c r="E1756">
        <v>0.46754180000000001</v>
      </c>
      <c r="F1756" t="s">
        <v>60</v>
      </c>
      <c r="G1756">
        <v>-321.00880000000001</v>
      </c>
      <c r="H1756" s="1">
        <v>-9.2469130000000001E-7</v>
      </c>
      <c r="I1756">
        <v>282.89409999999998</v>
      </c>
      <c r="J1756">
        <v>-288.99470000000002</v>
      </c>
      <c r="K1756">
        <v>1.1211469999999999</v>
      </c>
      <c r="L1756">
        <v>284.75830000000002</v>
      </c>
      <c r="M1756">
        <v>-0.99988909999999998</v>
      </c>
      <c r="N1756">
        <v>-1.486182E-2</v>
      </c>
      <c r="O1756">
        <v>9.6374399999999999E-4</v>
      </c>
      <c r="P1756">
        <v>-0.98024020000000001</v>
      </c>
      <c r="Q1756">
        <v>0.19364390000000001</v>
      </c>
      <c r="R1756">
        <v>4.0389960000000003E-2</v>
      </c>
      <c r="S1756">
        <v>-3.0890200000000001</v>
      </c>
      <c r="T1756">
        <v>-0.1073645</v>
      </c>
      <c r="U1756">
        <v>-0.1784973</v>
      </c>
      <c r="V1756">
        <v>3.9491020000000002E-2</v>
      </c>
      <c r="W1756">
        <v>0.2081827</v>
      </c>
      <c r="X1756">
        <v>0.97729239999999995</v>
      </c>
      <c r="Y1756">
        <v>-5.859984E-2</v>
      </c>
      <c r="Z1756">
        <v>-1.4723920000000001E-3</v>
      </c>
      <c r="AA1756">
        <v>0.99828050000000002</v>
      </c>
      <c r="AB1756">
        <v>38</v>
      </c>
      <c r="AC1756">
        <v>-32.0140999999999</v>
      </c>
      <c r="AD1756">
        <v>-1.1211479246913001</v>
      </c>
      <c r="AE1756">
        <v>-1.8642000000000301</v>
      </c>
      <c r="AF1756">
        <v>-1.89274246440322</v>
      </c>
      <c r="AG1756">
        <v>-1.1211479246913001</v>
      </c>
      <c r="AH1756">
        <v>31.973207889083699</v>
      </c>
      <c r="AI1756">
        <v>92.004760146704697</v>
      </c>
      <c r="AJ1756">
        <v>93.387828406311797</v>
      </c>
      <c r="AK1756">
        <v>32.048798252417498</v>
      </c>
      <c r="AL1756">
        <v>77.984125027546696</v>
      </c>
      <c r="AM1756">
        <v>87.686016546296997</v>
      </c>
      <c r="AN1756">
        <v>1.0000000061688401</v>
      </c>
    </row>
    <row r="1757" spans="1:40" x14ac:dyDescent="0.25">
      <c r="A1757" t="str">
        <f>"20190303170532132"</f>
        <v>20190303170532132</v>
      </c>
      <c r="B1757" t="str">
        <f>"1551603932126139"</f>
        <v>1551603932126139</v>
      </c>
      <c r="C1757" t="s">
        <v>40</v>
      </c>
      <c r="D1757">
        <v>5.6334939999999998</v>
      </c>
      <c r="E1757">
        <v>0.46769050000000001</v>
      </c>
      <c r="F1757" t="s">
        <v>60</v>
      </c>
      <c r="G1757">
        <v>-321.43560000000002</v>
      </c>
      <c r="H1757" s="1">
        <v>-6.97794699999999E-7</v>
      </c>
      <c r="I1757">
        <v>282.90019999999998</v>
      </c>
      <c r="J1757">
        <v>-289.31610000000001</v>
      </c>
      <c r="K1757">
        <v>1.121164</v>
      </c>
      <c r="L1757">
        <v>284.7586</v>
      </c>
      <c r="M1757">
        <v>-0.99988920000000003</v>
      </c>
      <c r="N1757">
        <v>-1.485264E-2</v>
      </c>
      <c r="O1757">
        <v>9.7576749999999995E-4</v>
      </c>
      <c r="P1757">
        <v>-0.98019480000000003</v>
      </c>
      <c r="Q1757">
        <v>0.19392870000000001</v>
      </c>
      <c r="R1757">
        <v>4.0123680000000002E-2</v>
      </c>
      <c r="S1757">
        <v>-3.0888369999999998</v>
      </c>
      <c r="T1757">
        <v>-0.10674889999999999</v>
      </c>
      <c r="U1757">
        <v>-0.1769104</v>
      </c>
      <c r="V1757">
        <v>3.9204000000000003E-2</v>
      </c>
      <c r="W1757">
        <v>0.20845929999999999</v>
      </c>
      <c r="X1757">
        <v>0.97724500000000003</v>
      </c>
      <c r="Y1757">
        <v>-5.8104980000000001E-2</v>
      </c>
      <c r="Z1757">
        <v>-1.4541949999999999E-3</v>
      </c>
      <c r="AA1757">
        <v>0.99830940000000001</v>
      </c>
      <c r="AB1757">
        <v>38</v>
      </c>
      <c r="AC1757">
        <v>-32.119500000000002</v>
      </c>
      <c r="AD1757">
        <v>-1.1211646977947001</v>
      </c>
      <c r="AE1757">
        <v>-1.85840000000001</v>
      </c>
      <c r="AF1757">
        <v>-1.88745167897085</v>
      </c>
      <c r="AG1757">
        <v>-1.1211646977947001</v>
      </c>
      <c r="AH1757">
        <v>32.078715816269501</v>
      </c>
      <c r="AI1757">
        <v>91.998243880364896</v>
      </c>
      <c r="AJ1757">
        <v>93.367294379157798</v>
      </c>
      <c r="AK1757">
        <v>32.153747721548903</v>
      </c>
      <c r="AL1757">
        <v>77.967921585774903</v>
      </c>
      <c r="AM1757">
        <v>87.7027051494143</v>
      </c>
      <c r="AN1757">
        <v>1.00000001169874</v>
      </c>
    </row>
    <row r="1758" spans="1:40" x14ac:dyDescent="0.25">
      <c r="A1758" t="str">
        <f>"20190303170532146"</f>
        <v>20190303170532146</v>
      </c>
      <c r="B1758" t="str">
        <f>"1551603932136875"</f>
        <v>1551603932136875</v>
      </c>
      <c r="C1758" t="s">
        <v>40</v>
      </c>
      <c r="D1758">
        <v>5.634576</v>
      </c>
      <c r="E1758">
        <v>0.46776000000000001</v>
      </c>
      <c r="F1758" t="s">
        <v>60</v>
      </c>
      <c r="G1758">
        <v>-321.97149999999999</v>
      </c>
      <c r="H1758" s="1">
        <v>-4.120012E-7</v>
      </c>
      <c r="I1758">
        <v>282.8854</v>
      </c>
      <c r="J1758">
        <v>-289.54149999999998</v>
      </c>
      <c r="K1758">
        <v>1.121176</v>
      </c>
      <c r="L1758">
        <v>284.75880000000001</v>
      </c>
      <c r="M1758">
        <v>-0.99988940000000004</v>
      </c>
      <c r="N1758">
        <v>-1.484651E-2</v>
      </c>
      <c r="O1758">
        <v>9.7115540000000005E-4</v>
      </c>
      <c r="P1758">
        <v>-0.98019080000000003</v>
      </c>
      <c r="Q1758">
        <v>0.19392290000000001</v>
      </c>
      <c r="R1758">
        <v>4.0254430000000001E-2</v>
      </c>
      <c r="S1758">
        <v>-3.088867</v>
      </c>
      <c r="T1758">
        <v>-0.10605059999999999</v>
      </c>
      <c r="U1758">
        <v>-0.17718510000000001</v>
      </c>
      <c r="V1758">
        <v>3.9332270000000003E-2</v>
      </c>
      <c r="W1758">
        <v>0.2084491</v>
      </c>
      <c r="X1758">
        <v>0.97724200000000006</v>
      </c>
      <c r="Y1758">
        <v>-5.8188780000000002E-2</v>
      </c>
      <c r="Z1758">
        <v>-1.449201E-3</v>
      </c>
      <c r="AA1758">
        <v>0.99830450000000004</v>
      </c>
      <c r="AB1758">
        <v>38</v>
      </c>
      <c r="AC1758">
        <v>-32.43</v>
      </c>
      <c r="AD1758">
        <v>-1.1211764120012</v>
      </c>
      <c r="AE1758">
        <v>-1.8734</v>
      </c>
      <c r="AF1758">
        <v>-1.90263062401108</v>
      </c>
      <c r="AG1758">
        <v>-1.1211764120012</v>
      </c>
      <c r="AH1758">
        <v>32.389580676942501</v>
      </c>
      <c r="AI1758">
        <v>91.979112490495595</v>
      </c>
      <c r="AJ1758">
        <v>93.361808764842806</v>
      </c>
      <c r="AK1758">
        <v>32.464780551644303</v>
      </c>
      <c r="AL1758">
        <v>77.968518872555606</v>
      </c>
      <c r="AM1758">
        <v>87.695189747170502</v>
      </c>
      <c r="AN1758">
        <v>0.99999999065908096</v>
      </c>
    </row>
    <row r="1759" spans="1:40" x14ac:dyDescent="0.25">
      <c r="A1759" t="str">
        <f>"20190303170532165"</f>
        <v>20190303170532165</v>
      </c>
      <c r="B1759" t="str">
        <f>"1551603932156398"</f>
        <v>1551603932156398</v>
      </c>
      <c r="C1759" t="s">
        <v>40</v>
      </c>
      <c r="D1759">
        <v>5.7522180000000001</v>
      </c>
      <c r="E1759">
        <v>0.46790609999999999</v>
      </c>
      <c r="F1759" t="s">
        <v>60</v>
      </c>
      <c r="G1759">
        <v>-322.25369999999998</v>
      </c>
      <c r="H1759" s="1">
        <v>-2.6179750000000001E-7</v>
      </c>
      <c r="I1759">
        <v>282.8843</v>
      </c>
      <c r="J1759">
        <v>-289.87360000000001</v>
      </c>
      <c r="K1759">
        <v>1.1211979999999999</v>
      </c>
      <c r="L1759">
        <v>284.75909999999999</v>
      </c>
      <c r="M1759">
        <v>-0.99988960000000005</v>
      </c>
      <c r="N1759">
        <v>-1.483802E-2</v>
      </c>
      <c r="O1759">
        <v>9.3710660000000004E-4</v>
      </c>
      <c r="P1759">
        <v>-0.98025070000000003</v>
      </c>
      <c r="Q1759">
        <v>0.19371050000000001</v>
      </c>
      <c r="R1759">
        <v>3.9814200000000001E-2</v>
      </c>
      <c r="S1759">
        <v>-3.0888369999999998</v>
      </c>
      <c r="T1759">
        <v>-0.10586669999999999</v>
      </c>
      <c r="U1759">
        <v>-0.17700199999999999</v>
      </c>
      <c r="V1759">
        <v>3.8912919999999997E-2</v>
      </c>
      <c r="W1759">
        <v>0.20823169999999999</v>
      </c>
      <c r="X1759">
        <v>0.97730510000000004</v>
      </c>
      <c r="Y1759">
        <v>-5.8096620000000002E-2</v>
      </c>
      <c r="Z1759">
        <v>-1.444262E-3</v>
      </c>
      <c r="AA1759">
        <v>0.99830989999999997</v>
      </c>
      <c r="AB1759">
        <v>38</v>
      </c>
      <c r="AC1759">
        <v>-32.380099999999899</v>
      </c>
      <c r="AD1759">
        <v>-1.12119826179749</v>
      </c>
      <c r="AE1759">
        <v>-1.87479999999999</v>
      </c>
      <c r="AF1759">
        <v>-1.9028722543793699</v>
      </c>
      <c r="AG1759">
        <v>-1.12119826179749</v>
      </c>
      <c r="AH1759">
        <v>32.339683926980697</v>
      </c>
      <c r="AI1759">
        <v>91.982190834077201</v>
      </c>
      <c r="AJ1759">
        <v>93.3674103765902</v>
      </c>
      <c r="AK1759">
        <v>32.415014497232001</v>
      </c>
      <c r="AL1759">
        <v>77.981254033422005</v>
      </c>
      <c r="AM1759">
        <v>87.719884000894297</v>
      </c>
      <c r="AN1759">
        <v>0.99999995735691205</v>
      </c>
    </row>
    <row r="1760" spans="1:40" x14ac:dyDescent="0.25">
      <c r="A1760" t="str">
        <f>"20190303170532177"</f>
        <v>20190303170532177</v>
      </c>
      <c r="B1760" t="str">
        <f>"1551603932166155"</f>
        <v>1551603932166155</v>
      </c>
      <c r="C1760" t="s">
        <v>40</v>
      </c>
      <c r="D1760">
        <v>5.6266350000000003</v>
      </c>
      <c r="E1760">
        <v>0.4679778</v>
      </c>
      <c r="F1760" t="s">
        <v>60</v>
      </c>
      <c r="G1760">
        <v>-322.26839999999999</v>
      </c>
      <c r="H1760" s="1">
        <v>-2.5438059999999998E-7</v>
      </c>
      <c r="I1760">
        <v>282.8938</v>
      </c>
      <c r="J1760">
        <v>-290.08550000000002</v>
      </c>
      <c r="K1760">
        <v>1.1212249999999999</v>
      </c>
      <c r="L1760">
        <v>284.7593</v>
      </c>
      <c r="M1760">
        <v>-0.99988960000000005</v>
      </c>
      <c r="N1760">
        <v>-1.4832929999999999E-2</v>
      </c>
      <c r="O1760">
        <v>8.9789119999999904E-4</v>
      </c>
      <c r="P1760">
        <v>-0.98030609999999996</v>
      </c>
      <c r="Q1760">
        <v>0.19341359999999999</v>
      </c>
      <c r="R1760">
        <v>3.9889059999999997E-2</v>
      </c>
      <c r="S1760">
        <v>-3.0887449999999999</v>
      </c>
      <c r="T1760">
        <v>-0.10690280000000001</v>
      </c>
      <c r="U1760">
        <v>-0.1778564</v>
      </c>
      <c r="V1760">
        <v>3.9016759999999998E-2</v>
      </c>
      <c r="W1760">
        <v>0.20793229999999999</v>
      </c>
      <c r="X1760">
        <v>0.97736469999999998</v>
      </c>
      <c r="Y1760">
        <v>-5.8333400000000001E-2</v>
      </c>
      <c r="Z1760">
        <v>-1.4592660000000001E-3</v>
      </c>
      <c r="AA1760">
        <v>0.99829610000000002</v>
      </c>
      <c r="AB1760">
        <v>38</v>
      </c>
      <c r="AC1760">
        <v>-32.182899999999897</v>
      </c>
      <c r="AD1760">
        <v>-1.1212252543805901</v>
      </c>
      <c r="AE1760">
        <v>-1.8654999999999899</v>
      </c>
      <c r="AF1760">
        <v>-1.89211027877103</v>
      </c>
      <c r="AG1760">
        <v>-1.1212252543805901</v>
      </c>
      <c r="AH1760">
        <v>32.142329165474798</v>
      </c>
      <c r="AI1760">
        <v>91.994396623000597</v>
      </c>
      <c r="AJ1760">
        <v>93.368921055902803</v>
      </c>
      <c r="AK1760">
        <v>32.217488287571797</v>
      </c>
      <c r="AL1760">
        <v>77.998792223958503</v>
      </c>
      <c r="AM1760">
        <v>87.713945172757207</v>
      </c>
      <c r="AN1760">
        <v>0.99999995287513699</v>
      </c>
    </row>
    <row r="1761" spans="1:40" x14ac:dyDescent="0.25">
      <c r="A1761" t="str">
        <f>"20190303170532191"</f>
        <v>20190303170532191</v>
      </c>
      <c r="B1761" t="str">
        <f>"1551603932186650"</f>
        <v>1551603932186650</v>
      </c>
      <c r="C1761" t="s">
        <v>40</v>
      </c>
      <c r="D1761">
        <v>5.6342540000000003</v>
      </c>
      <c r="E1761">
        <v>0.46813959999999999</v>
      </c>
      <c r="F1761" t="s">
        <v>60</v>
      </c>
      <c r="G1761">
        <v>-322.21969999999999</v>
      </c>
      <c r="H1761" s="1">
        <v>-2.812683E-7</v>
      </c>
      <c r="I1761">
        <v>282.9169</v>
      </c>
      <c r="J1761">
        <v>-290.30849999999998</v>
      </c>
      <c r="K1761">
        <v>1.121246</v>
      </c>
      <c r="L1761">
        <v>284.75940000000003</v>
      </c>
      <c r="M1761">
        <v>-0.9998899</v>
      </c>
      <c r="N1761">
        <v>-1.4827770000000001E-2</v>
      </c>
      <c r="O1761">
        <v>8.4546619999999997E-4</v>
      </c>
      <c r="P1761">
        <v>-0.98034379999999999</v>
      </c>
      <c r="Q1761">
        <v>0.19321749999999999</v>
      </c>
      <c r="R1761">
        <v>3.9917090000000002E-2</v>
      </c>
      <c r="S1761">
        <v>-3.0887449999999999</v>
      </c>
      <c r="T1761">
        <v>-0.1077722</v>
      </c>
      <c r="U1761">
        <v>-0.17709349999999999</v>
      </c>
      <c r="V1761">
        <v>3.9085639999999998E-2</v>
      </c>
      <c r="W1761">
        <v>0.20773359999999999</v>
      </c>
      <c r="X1761">
        <v>0.97740419999999995</v>
      </c>
      <c r="Y1761">
        <v>-5.8034860000000001E-2</v>
      </c>
      <c r="Z1761">
        <v>-1.459105E-3</v>
      </c>
      <c r="AA1761">
        <v>0.99831349999999996</v>
      </c>
      <c r="AB1761">
        <v>38</v>
      </c>
      <c r="AC1761">
        <v>-31.911200000000001</v>
      </c>
      <c r="AD1761">
        <v>-1.1212462812682999</v>
      </c>
      <c r="AE1761">
        <v>-1.84250000000002</v>
      </c>
      <c r="AF1761">
        <v>-1.86718463240352</v>
      </c>
      <c r="AG1761">
        <v>-1.1212462812682999</v>
      </c>
      <c r="AH1761">
        <v>31.8704151212103</v>
      </c>
      <c r="AI1761">
        <v>92.011469232599595</v>
      </c>
      <c r="AJ1761">
        <v>93.352941851758303</v>
      </c>
      <c r="AK1761">
        <v>31.944748107834801</v>
      </c>
      <c r="AL1761">
        <v>78.010431038689205</v>
      </c>
      <c r="AM1761">
        <v>87.710006126835196</v>
      </c>
      <c r="AN1761">
        <v>0.99999995300040301</v>
      </c>
    </row>
    <row r="1762" spans="1:40" x14ac:dyDescent="0.25">
      <c r="A1762" t="str">
        <f>"20190303170532210"</f>
        <v>20190303170532210</v>
      </c>
      <c r="B1762" t="str">
        <f>"1551603932196410"</f>
        <v>1551603932196410</v>
      </c>
      <c r="C1762" t="s">
        <v>40</v>
      </c>
      <c r="D1762">
        <v>5.5581079999999998</v>
      </c>
      <c r="E1762">
        <v>0.46822259999999999</v>
      </c>
      <c r="F1762" t="s">
        <v>60</v>
      </c>
      <c r="G1762">
        <v>-322.14859999999999</v>
      </c>
      <c r="H1762" s="1">
        <v>-3.20353099999999E-7</v>
      </c>
      <c r="I1762">
        <v>282.9452</v>
      </c>
      <c r="J1762">
        <v>-290.62240000000003</v>
      </c>
      <c r="K1762">
        <v>1.121278</v>
      </c>
      <c r="L1762">
        <v>284.75959999999998</v>
      </c>
      <c r="M1762">
        <v>-0.99988999999999995</v>
      </c>
      <c r="N1762">
        <v>-1.482083E-2</v>
      </c>
      <c r="O1762">
        <v>7.5403030000000004E-4</v>
      </c>
      <c r="P1762">
        <v>-0.98039109999999996</v>
      </c>
      <c r="Q1762">
        <v>0.19296450000000001</v>
      </c>
      <c r="R1762">
        <v>3.9976209999999998E-2</v>
      </c>
      <c r="S1762">
        <v>-3.0887449999999999</v>
      </c>
      <c r="T1762">
        <v>-0.108769699999999</v>
      </c>
      <c r="U1762">
        <v>-0.17599489999999901</v>
      </c>
      <c r="V1762">
        <v>3.9219690000000001E-2</v>
      </c>
      <c r="W1762">
        <v>0.20747699999999999</v>
      </c>
      <c r="X1762">
        <v>0.97745340000000003</v>
      </c>
      <c r="Y1762">
        <v>-5.7589250000000002E-2</v>
      </c>
      <c r="Z1762">
        <v>-1.4555389999999901E-3</v>
      </c>
      <c r="AA1762">
        <v>0.99833930000000004</v>
      </c>
      <c r="AB1762">
        <v>38</v>
      </c>
      <c r="AC1762">
        <v>-31.5261999999999</v>
      </c>
      <c r="AD1762">
        <v>-1.1212783203531</v>
      </c>
      <c r="AE1762">
        <v>-1.81439999999997</v>
      </c>
      <c r="AF1762">
        <v>-1.83585914449565</v>
      </c>
      <c r="AG1762">
        <v>-1.1212783203531</v>
      </c>
      <c r="AH1762">
        <v>31.485126208575</v>
      </c>
      <c r="AI1762">
        <v>92.036154409493193</v>
      </c>
      <c r="AJ1762">
        <v>93.337068232941803</v>
      </c>
      <c r="AK1762">
        <v>31.558530007590999</v>
      </c>
      <c r="AL1762">
        <v>78.025461396982195</v>
      </c>
      <c r="AM1762">
        <v>87.702276195042899</v>
      </c>
      <c r="AN1762">
        <v>1.0000000193921199</v>
      </c>
    </row>
    <row r="1763" spans="1:40" x14ac:dyDescent="0.25">
      <c r="A1763" t="str">
        <f>"20190303170532233"</f>
        <v>20190303170532233</v>
      </c>
      <c r="B1763" t="str">
        <f>"1551603932226667"</f>
        <v>1551603932226667</v>
      </c>
      <c r="C1763" t="s">
        <v>40</v>
      </c>
      <c r="D1763">
        <v>5.6878890000000002</v>
      </c>
      <c r="E1763">
        <v>0.4683773</v>
      </c>
      <c r="F1763" t="s">
        <v>60</v>
      </c>
      <c r="G1763">
        <v>-322.19389999999999</v>
      </c>
      <c r="H1763" s="1">
        <v>-2.975549E-7</v>
      </c>
      <c r="I1763">
        <v>282.97500000000002</v>
      </c>
      <c r="J1763">
        <v>-291.01920000000001</v>
      </c>
      <c r="K1763">
        <v>1.121313</v>
      </c>
      <c r="L1763">
        <v>284.75979999999998</v>
      </c>
      <c r="M1763">
        <v>-0.99989030000000001</v>
      </c>
      <c r="N1763">
        <v>-1.4812560000000001E-2</v>
      </c>
      <c r="O1763">
        <v>6.1090510000000005E-4</v>
      </c>
      <c r="P1763">
        <v>-0.98027500000000001</v>
      </c>
      <c r="Q1763">
        <v>0.19361970000000001</v>
      </c>
      <c r="R1763">
        <v>3.9654340000000003E-2</v>
      </c>
      <c r="S1763">
        <v>-3.0887150000000001</v>
      </c>
      <c r="T1763">
        <v>-0.10969719999999999</v>
      </c>
      <c r="U1763">
        <v>-0.1745911</v>
      </c>
      <c r="V1763">
        <v>3.9020819999999998E-2</v>
      </c>
      <c r="W1763">
        <v>0.2081259</v>
      </c>
      <c r="X1763">
        <v>0.97732339999999995</v>
      </c>
      <c r="Y1763">
        <v>-5.6994429999999999E-2</v>
      </c>
      <c r="Z1763">
        <v>-1.4462639999999901E-3</v>
      </c>
      <c r="AA1763">
        <v>0.99837339999999997</v>
      </c>
      <c r="AB1763">
        <v>38</v>
      </c>
      <c r="AC1763">
        <v>-31.174699999999898</v>
      </c>
      <c r="AD1763">
        <v>-1.1213132975548901</v>
      </c>
      <c r="AE1763">
        <v>-1.78479999999996</v>
      </c>
      <c r="AF1763">
        <v>-1.8015234348442599</v>
      </c>
      <c r="AG1763">
        <v>-1.1213132975548901</v>
      </c>
      <c r="AH1763">
        <v>31.133456492680299</v>
      </c>
      <c r="AI1763">
        <v>92.059251306751506</v>
      </c>
      <c r="AJ1763">
        <v>93.311701568374602</v>
      </c>
      <c r="AK1763">
        <v>31.205687676755101</v>
      </c>
      <c r="AL1763">
        <v>77.987452494450096</v>
      </c>
      <c r="AM1763">
        <v>87.713611030997598</v>
      </c>
      <c r="AN1763">
        <v>1.0000000214159199</v>
      </c>
    </row>
    <row r="1764" spans="1:40" x14ac:dyDescent="0.25">
      <c r="A1764" t="str">
        <f>"20190303170532256"</f>
        <v>20190303170532256</v>
      </c>
      <c r="B1764" t="str">
        <f>"1551603932246390"</f>
        <v>1551603932246390</v>
      </c>
      <c r="C1764" t="s">
        <v>40</v>
      </c>
      <c r="D1764">
        <v>5.5926080000000002</v>
      </c>
      <c r="E1764">
        <v>0.46844019999999997</v>
      </c>
      <c r="F1764" t="s">
        <v>60</v>
      </c>
      <c r="G1764">
        <v>-322.91860000000003</v>
      </c>
      <c r="H1764" s="1">
        <v>8.8521669999999998E-8</v>
      </c>
      <c r="I1764">
        <v>282.96550000000002</v>
      </c>
      <c r="J1764">
        <v>-291.41019999999997</v>
      </c>
      <c r="K1764">
        <v>1.1213420000000001</v>
      </c>
      <c r="L1764">
        <v>284.75979999999998</v>
      </c>
      <c r="M1764">
        <v>-0.99989039999999996</v>
      </c>
      <c r="N1764">
        <v>-1.480486E-2</v>
      </c>
      <c r="O1764">
        <v>4.4752110000000002E-4</v>
      </c>
      <c r="P1764">
        <v>-0.98015099999999999</v>
      </c>
      <c r="Q1764">
        <v>0.19448099999999999</v>
      </c>
      <c r="R1764">
        <v>3.848977E-2</v>
      </c>
      <c r="S1764">
        <v>-3.0888059999999999</v>
      </c>
      <c r="T1764">
        <v>-0.1085762</v>
      </c>
      <c r="U1764">
        <v>-0.17373659999999999</v>
      </c>
      <c r="V1764">
        <v>3.8002569999999999E-2</v>
      </c>
      <c r="W1764">
        <v>0.20897969999999999</v>
      </c>
      <c r="X1764">
        <v>0.97718130000000003</v>
      </c>
      <c r="Y1764">
        <v>-5.6555620000000001E-2</v>
      </c>
      <c r="Z1764">
        <v>-1.4211969999999999E-3</v>
      </c>
      <c r="AA1764">
        <v>0.99839840000000002</v>
      </c>
      <c r="AB1764">
        <v>38</v>
      </c>
      <c r="AC1764">
        <v>-31.508400000000002</v>
      </c>
      <c r="AD1764">
        <v>-1.1213419114783301</v>
      </c>
      <c r="AE1764">
        <v>-1.79429999999996</v>
      </c>
      <c r="AF1764">
        <v>-1.80612188337566</v>
      </c>
      <c r="AG1764">
        <v>-1.1213419114783301</v>
      </c>
      <c r="AH1764">
        <v>31.467866875609001</v>
      </c>
      <c r="AI1764">
        <v>92.037492859661</v>
      </c>
      <c r="AJ1764">
        <v>93.284930363542898</v>
      </c>
      <c r="AK1764">
        <v>31.539596218739</v>
      </c>
      <c r="AL1764">
        <v>77.937433253559803</v>
      </c>
      <c r="AM1764">
        <v>87.772890096515894</v>
      </c>
      <c r="AN1764">
        <v>1.0000000017041899</v>
      </c>
    </row>
    <row r="1765" spans="1:40" x14ac:dyDescent="0.25">
      <c r="A1765" t="str">
        <f>"20190303170532277"</f>
        <v>20190303170532277</v>
      </c>
      <c r="B1765" t="str">
        <f>"1551603932266888"</f>
        <v>1551603932266888</v>
      </c>
      <c r="C1765" t="s">
        <v>40</v>
      </c>
      <c r="D1765">
        <v>5.584003</v>
      </c>
      <c r="E1765">
        <v>0.46849970000000002</v>
      </c>
      <c r="F1765" t="s">
        <v>60</v>
      </c>
      <c r="G1765">
        <v>-323.89980000000003</v>
      </c>
      <c r="H1765" s="1">
        <v>6.1301259999999996E-7</v>
      </c>
      <c r="I1765">
        <v>282.91120000000001</v>
      </c>
      <c r="J1765">
        <v>-291.77730000000003</v>
      </c>
      <c r="K1765">
        <v>1.1213580000000001</v>
      </c>
      <c r="L1765">
        <v>284.75979999999998</v>
      </c>
      <c r="M1765">
        <v>-0.99989050000000002</v>
      </c>
      <c r="N1765">
        <v>-1.479802E-2</v>
      </c>
      <c r="O1765">
        <v>2.7796750000000001E-4</v>
      </c>
      <c r="P1765">
        <v>-0.98022529999999997</v>
      </c>
      <c r="Q1765">
        <v>0.19435369999999999</v>
      </c>
      <c r="R1765">
        <v>3.7220469999999999E-2</v>
      </c>
      <c r="S1765">
        <v>-3.0887760000000002</v>
      </c>
      <c r="T1765">
        <v>-0.10660550000000001</v>
      </c>
      <c r="U1765">
        <v>-0.17575070000000001</v>
      </c>
      <c r="V1765">
        <v>3.6890300000000001E-2</v>
      </c>
      <c r="W1765">
        <v>0.20884820000000001</v>
      </c>
      <c r="X1765">
        <v>0.97725200000000001</v>
      </c>
      <c r="Y1765">
        <v>-5.7036999999999997E-2</v>
      </c>
      <c r="Z1765">
        <v>-1.4112300000000001E-3</v>
      </c>
      <c r="AA1765">
        <v>0.99837109999999996</v>
      </c>
      <c r="AB1765">
        <v>38</v>
      </c>
      <c r="AC1765">
        <v>-32.122500000000002</v>
      </c>
      <c r="AD1765">
        <v>-1.1213573869873901</v>
      </c>
      <c r="AE1765">
        <v>-1.84859999999997</v>
      </c>
      <c r="AF1765">
        <v>-1.8552764971312801</v>
      </c>
      <c r="AG1765">
        <v>-1.1213573869873901</v>
      </c>
      <c r="AH1765">
        <v>32.083016800363097</v>
      </c>
      <c r="AI1765">
        <v>91.998436651609097</v>
      </c>
      <c r="AJ1765">
        <v>93.309578468035397</v>
      </c>
      <c r="AK1765">
        <v>32.1561729732028</v>
      </c>
      <c r="AL1765">
        <v>77.945137243571907</v>
      </c>
      <c r="AM1765">
        <v>87.838167255639704</v>
      </c>
      <c r="AN1765">
        <v>0.99999996819066395</v>
      </c>
    </row>
    <row r="1766" spans="1:40" x14ac:dyDescent="0.25">
      <c r="A1766" t="str">
        <f>"20190303170532298"</f>
        <v>20190303170532298</v>
      </c>
      <c r="B1766" t="str">
        <f>"1551603932286407"</f>
        <v>1551603932286407</v>
      </c>
      <c r="C1766" t="s">
        <v>40</v>
      </c>
      <c r="D1766">
        <v>5.6889310000000002</v>
      </c>
      <c r="E1766">
        <v>0.46855429999999998</v>
      </c>
      <c r="F1766" t="s">
        <v>60</v>
      </c>
      <c r="G1766">
        <v>-324.12180000000001</v>
      </c>
      <c r="H1766" s="1">
        <v>7.3235189999999997E-7</v>
      </c>
      <c r="I1766">
        <v>282.88380000000001</v>
      </c>
      <c r="J1766">
        <v>-292.12060000000002</v>
      </c>
      <c r="K1766">
        <v>1.1213690000000001</v>
      </c>
      <c r="L1766">
        <v>284.75979999999998</v>
      </c>
      <c r="M1766">
        <v>-0.99989070000000002</v>
      </c>
      <c r="N1766">
        <v>-1.4792069999999999E-2</v>
      </c>
      <c r="O1766">
        <v>1.105945E-4</v>
      </c>
      <c r="P1766">
        <v>-0.98043579999999997</v>
      </c>
      <c r="Q1766">
        <v>0.19348799999999999</v>
      </c>
      <c r="R1766">
        <v>3.6171759999999997E-2</v>
      </c>
      <c r="S1766">
        <v>-3.0885310000000001</v>
      </c>
      <c r="T1766">
        <v>-0.10707700000000001</v>
      </c>
      <c r="U1766">
        <v>-0.1791382</v>
      </c>
      <c r="V1766">
        <v>3.5999280000000002E-2</v>
      </c>
      <c r="W1766">
        <v>0.20798030000000001</v>
      </c>
      <c r="X1766">
        <v>0.97747030000000001</v>
      </c>
      <c r="Y1766">
        <v>-5.796461E-2</v>
      </c>
      <c r="Z1766">
        <v>-1.43512E-3</v>
      </c>
      <c r="AA1766">
        <v>0.99831760000000003</v>
      </c>
      <c r="AB1766">
        <v>38</v>
      </c>
      <c r="AC1766">
        <v>-32.001199999999898</v>
      </c>
      <c r="AD1766">
        <v>-1.1213682676481</v>
      </c>
      <c r="AE1766">
        <v>-1.8759999999999699</v>
      </c>
      <c r="AF1766">
        <v>-1.8772423554604101</v>
      </c>
      <c r="AG1766">
        <v>-1.1213682676481</v>
      </c>
      <c r="AH1766">
        <v>31.961880635402199</v>
      </c>
      <c r="AI1766">
        <v>92.005918514964094</v>
      </c>
      <c r="AJ1766">
        <v>93.361336623693404</v>
      </c>
      <c r="AK1766">
        <v>32.036593442570002</v>
      </c>
      <c r="AL1766">
        <v>77.995980771177599</v>
      </c>
      <c r="AM1766">
        <v>87.890805469913502</v>
      </c>
      <c r="AN1766">
        <v>0.99999997036534805</v>
      </c>
    </row>
    <row r="1767" spans="1:40" x14ac:dyDescent="0.25">
      <c r="A1767" t="str">
        <f>"20190303170532322"</f>
        <v>20190303170532322</v>
      </c>
      <c r="B1767" t="str">
        <f>"1551603932316663"</f>
        <v>1551603932316663</v>
      </c>
      <c r="C1767" t="s">
        <v>40</v>
      </c>
      <c r="D1767">
        <v>5.5852729999999999</v>
      </c>
      <c r="E1767">
        <v>0.4687384</v>
      </c>
      <c r="F1767" t="s">
        <v>60</v>
      </c>
      <c r="G1767">
        <v>-323.67720000000003</v>
      </c>
      <c r="H1767" s="1">
        <v>4.9497569999999997E-7</v>
      </c>
      <c r="I1767">
        <v>282.90210000000002</v>
      </c>
      <c r="J1767">
        <v>-292.5224</v>
      </c>
      <c r="K1767">
        <v>1.1213850000000001</v>
      </c>
      <c r="L1767">
        <v>284.75959999999998</v>
      </c>
      <c r="M1767">
        <v>-0.99989079999999997</v>
      </c>
      <c r="N1767">
        <v>-1.4782089999999999E-2</v>
      </c>
      <c r="O1767" s="1">
        <v>-9.0507059999999997E-5</v>
      </c>
      <c r="P1767">
        <v>-0.98049359999999997</v>
      </c>
      <c r="Q1767">
        <v>0.1931669</v>
      </c>
      <c r="R1767">
        <v>3.631794E-2</v>
      </c>
      <c r="S1767">
        <v>-3.088165</v>
      </c>
      <c r="T1767">
        <v>-0.1097383</v>
      </c>
      <c r="U1767">
        <v>-0.18179319999999999</v>
      </c>
      <c r="V1767">
        <v>3.6337170000000002E-2</v>
      </c>
      <c r="W1767">
        <v>0.207652</v>
      </c>
      <c r="X1767">
        <v>0.97752760000000005</v>
      </c>
      <c r="Y1767">
        <v>-5.8623370000000001E-2</v>
      </c>
      <c r="Z1767">
        <v>-1.47237E-3</v>
      </c>
      <c r="AA1767">
        <v>0.99827909999999997</v>
      </c>
      <c r="AB1767">
        <v>38</v>
      </c>
      <c r="AC1767">
        <v>-31.154800000000002</v>
      </c>
      <c r="AD1767">
        <v>-1.1213845050243001</v>
      </c>
      <c r="AE1767">
        <v>-1.85749999999995</v>
      </c>
      <c r="AF1767">
        <v>-1.85228869522581</v>
      </c>
      <c r="AG1767">
        <v>-1.1213845050243001</v>
      </c>
      <c r="AH1767">
        <v>31.114799554429599</v>
      </c>
      <c r="AI1767">
        <v>92.060415076000993</v>
      </c>
      <c r="AJ1767">
        <v>93.406842472690897</v>
      </c>
      <c r="AK1767">
        <v>31.190050143129</v>
      </c>
      <c r="AL1767">
        <v>78.015210875548803</v>
      </c>
      <c r="AM1767">
        <v>87.871151338075194</v>
      </c>
      <c r="AN1767">
        <v>0.99999997589468403</v>
      </c>
    </row>
    <row r="1768" spans="1:40" x14ac:dyDescent="0.25">
      <c r="A1768" t="str">
        <f>"20190303170532335"</f>
        <v>20190303170532335</v>
      </c>
      <c r="B1768" t="str">
        <f>"1551603932326424"</f>
        <v>1551603932326424</v>
      </c>
      <c r="C1768" t="s">
        <v>40</v>
      </c>
      <c r="D1768">
        <v>5.5703969999999998</v>
      </c>
      <c r="E1768">
        <v>0.46879599999999999</v>
      </c>
      <c r="F1768" t="s">
        <v>60</v>
      </c>
      <c r="G1768">
        <v>-323.69209999999998</v>
      </c>
      <c r="H1768" s="1">
        <v>5.0104380000000001E-7</v>
      </c>
      <c r="I1768">
        <v>282.94450000000001</v>
      </c>
      <c r="J1768">
        <v>-292.75259999999997</v>
      </c>
      <c r="K1768">
        <v>1.121389</v>
      </c>
      <c r="L1768">
        <v>284.7595</v>
      </c>
      <c r="M1768">
        <v>-0.99989079999999997</v>
      </c>
      <c r="N1768">
        <v>-1.4773970000000001E-2</v>
      </c>
      <c r="O1768">
        <v>-2.056824E-4</v>
      </c>
      <c r="P1768">
        <v>-0.98059730000000001</v>
      </c>
      <c r="Q1768">
        <v>0.192521</v>
      </c>
      <c r="R1768">
        <v>3.6946439999999997E-2</v>
      </c>
      <c r="S1768">
        <v>-3.0882260000000001</v>
      </c>
      <c r="T1768">
        <v>-0.11110440000000001</v>
      </c>
      <c r="U1768">
        <v>-0.1798401</v>
      </c>
      <c r="V1768">
        <v>3.7076669999999999E-2</v>
      </c>
      <c r="W1768">
        <v>0.20699989999999999</v>
      </c>
      <c r="X1768">
        <v>0.97763820000000001</v>
      </c>
      <c r="Y1768">
        <v>-5.7877600000000001E-2</v>
      </c>
      <c r="Z1768">
        <v>-1.463673E-3</v>
      </c>
      <c r="AA1768">
        <v>0.99832259999999995</v>
      </c>
      <c r="AB1768">
        <v>38</v>
      </c>
      <c r="AC1768">
        <v>-30.939499999999999</v>
      </c>
      <c r="AD1768">
        <v>-1.1213884989562</v>
      </c>
      <c r="AE1768">
        <v>-1.81499999999999</v>
      </c>
      <c r="AF1768">
        <v>-1.8062708536764001</v>
      </c>
      <c r="AG1768">
        <v>-1.1213884989562</v>
      </c>
      <c r="AH1768">
        <v>30.899420330794801</v>
      </c>
      <c r="AI1768">
        <v>92.074902657998905</v>
      </c>
      <c r="AJ1768">
        <v>93.345501438943302</v>
      </c>
      <c r="AK1768">
        <v>30.9724765451775</v>
      </c>
      <c r="AL1768">
        <v>78.053404129780404</v>
      </c>
      <c r="AM1768">
        <v>87.828113590684694</v>
      </c>
      <c r="AN1768">
        <v>1.00000004407876</v>
      </c>
    </row>
    <row r="1769" spans="1:40" x14ac:dyDescent="0.25">
      <c r="A1769" t="str">
        <f>"20190303170532348"</f>
        <v>20190303170532348</v>
      </c>
      <c r="B1769" t="str">
        <f>"1551603932336183"</f>
        <v>1551603932336183</v>
      </c>
      <c r="C1769" t="s">
        <v>40</v>
      </c>
      <c r="D1769">
        <v>5.6085919999999998</v>
      </c>
      <c r="E1769">
        <v>0.46887010000000001</v>
      </c>
      <c r="F1769" t="s">
        <v>60</v>
      </c>
      <c r="G1769">
        <v>-323.52850000000001</v>
      </c>
      <c r="H1769" s="1">
        <v>4.1183019999999999E-7</v>
      </c>
      <c r="I1769">
        <v>282.99340000000001</v>
      </c>
      <c r="J1769">
        <v>-292.97059999999999</v>
      </c>
      <c r="K1769">
        <v>1.1213900000000001</v>
      </c>
      <c r="L1769">
        <v>284.7593</v>
      </c>
      <c r="M1769">
        <v>-0.99989090000000003</v>
      </c>
      <c r="N1769">
        <v>-1.476481E-2</v>
      </c>
      <c r="O1769">
        <v>-3.1439990000000002E-4</v>
      </c>
      <c r="P1769">
        <v>-0.98056189999999999</v>
      </c>
      <c r="Q1769">
        <v>0.19264249999999999</v>
      </c>
      <c r="R1769">
        <v>3.7249989999999997E-2</v>
      </c>
      <c r="S1769">
        <v>-3.0881349999999999</v>
      </c>
      <c r="T1769">
        <v>-0.1125231</v>
      </c>
      <c r="U1769">
        <v>-0.1772156</v>
      </c>
      <c r="V1769">
        <v>3.7484660000000003E-2</v>
      </c>
      <c r="W1769">
        <v>0.2071122</v>
      </c>
      <c r="X1769">
        <v>0.97759879999999999</v>
      </c>
      <c r="Y1769">
        <v>-5.6924889999999999E-2</v>
      </c>
      <c r="Z1769">
        <v>-1.4498989999999999E-3</v>
      </c>
      <c r="AA1769">
        <v>0.99837739999999997</v>
      </c>
      <c r="AB1769">
        <v>38</v>
      </c>
      <c r="AC1769">
        <v>-30.5579</v>
      </c>
      <c r="AD1769">
        <v>-1.1213895881697999</v>
      </c>
      <c r="AE1769">
        <v>-1.76589999999998</v>
      </c>
      <c r="AF1769">
        <v>-1.7539373247932599</v>
      </c>
      <c r="AG1769">
        <v>-1.1213895881697999</v>
      </c>
      <c r="AH1769">
        <v>30.517493087338501</v>
      </c>
      <c r="AI1769">
        <v>92.100968269748407</v>
      </c>
      <c r="AJ1769">
        <v>93.289351983911303</v>
      </c>
      <c r="AK1769">
        <v>30.588416027697601</v>
      </c>
      <c r="AL1769">
        <v>78.046826612983693</v>
      </c>
      <c r="AM1769">
        <v>87.804149108279205</v>
      </c>
      <c r="AN1769">
        <v>0.99999998844279703</v>
      </c>
    </row>
    <row r="1770" spans="1:40" x14ac:dyDescent="0.25">
      <c r="A1770" t="str">
        <f>"20190303170532367"</f>
        <v>20190303170532367</v>
      </c>
      <c r="B1770" t="str">
        <f>"1551603932356679"</f>
        <v>1551603932356679</v>
      </c>
      <c r="C1770" t="s">
        <v>40</v>
      </c>
      <c r="D1770">
        <v>5.6227939999999998</v>
      </c>
      <c r="E1770">
        <v>0.46893550000000001</v>
      </c>
      <c r="F1770" t="s">
        <v>60</v>
      </c>
      <c r="G1770">
        <v>-323.96879999999999</v>
      </c>
      <c r="H1770" s="1">
        <v>6.4601439999999997E-7</v>
      </c>
      <c r="I1770">
        <v>282.99579999999997</v>
      </c>
      <c r="J1770">
        <v>-293.28149999999999</v>
      </c>
      <c r="K1770">
        <v>1.121389</v>
      </c>
      <c r="L1770">
        <v>284.75909999999999</v>
      </c>
      <c r="M1770">
        <v>-0.99989130000000004</v>
      </c>
      <c r="N1770">
        <v>-1.4748529999999999E-2</v>
      </c>
      <c r="O1770">
        <v>-4.6813300000000003E-4</v>
      </c>
      <c r="P1770">
        <v>-0.98060170000000002</v>
      </c>
      <c r="Q1770">
        <v>0.19242139999999999</v>
      </c>
      <c r="R1770">
        <v>3.7346699999999997E-2</v>
      </c>
      <c r="S1770">
        <v>-3.088104</v>
      </c>
      <c r="T1770">
        <v>-0.11171540000000001</v>
      </c>
      <c r="U1770">
        <v>-0.1756897</v>
      </c>
      <c r="V1770">
        <v>3.772992E-2</v>
      </c>
      <c r="W1770">
        <v>0.20687620000000001</v>
      </c>
      <c r="X1770">
        <v>0.97763929999999999</v>
      </c>
      <c r="Y1770">
        <v>-5.6281520000000002E-2</v>
      </c>
      <c r="Z1770">
        <v>-1.4224330000000001E-3</v>
      </c>
      <c r="AA1770">
        <v>0.99841389999999997</v>
      </c>
      <c r="AB1770">
        <v>38</v>
      </c>
      <c r="AC1770">
        <v>-30.6873</v>
      </c>
      <c r="AD1770">
        <v>-1.1213883539856</v>
      </c>
      <c r="AE1770">
        <v>-1.7633000000000101</v>
      </c>
      <c r="AF1770">
        <v>-1.74660785332897</v>
      </c>
      <c r="AG1770">
        <v>-1.1213883539856</v>
      </c>
      <c r="AH1770">
        <v>30.647331983110799</v>
      </c>
      <c r="AI1770">
        <v>92.092130591565095</v>
      </c>
      <c r="AJ1770">
        <v>93.261788850383198</v>
      </c>
      <c r="AK1770">
        <v>30.717537474816801</v>
      </c>
      <c r="AL1770">
        <v>78.060647347246103</v>
      </c>
      <c r="AM1770">
        <v>87.789887452967704</v>
      </c>
      <c r="AN1770">
        <v>0.99999995494706695</v>
      </c>
    </row>
    <row r="1771" spans="1:40" x14ac:dyDescent="0.25">
      <c r="A1771" t="str">
        <f>"20190303170532387"</f>
        <v>20190303170532387</v>
      </c>
      <c r="B1771" t="str">
        <f>"1551603932376199"</f>
        <v>1551603932376199</v>
      </c>
      <c r="C1771" t="s">
        <v>40</v>
      </c>
      <c r="D1771">
        <v>5.602773</v>
      </c>
      <c r="E1771">
        <v>0.46904590000000002</v>
      </c>
      <c r="F1771" t="s">
        <v>60</v>
      </c>
      <c r="G1771">
        <v>-323.95190000000002</v>
      </c>
      <c r="H1771" s="1">
        <v>6.353958E-7</v>
      </c>
      <c r="I1771">
        <v>283.0333</v>
      </c>
      <c r="J1771">
        <v>-293.63400000000001</v>
      </c>
      <c r="K1771">
        <v>1.121389</v>
      </c>
      <c r="L1771">
        <v>284.75880000000001</v>
      </c>
      <c r="M1771">
        <v>-0.99989150000000004</v>
      </c>
      <c r="N1771">
        <v>-1.472645E-2</v>
      </c>
      <c r="O1771">
        <v>-6.3812910000000001E-4</v>
      </c>
      <c r="P1771">
        <v>-0.98059059999999998</v>
      </c>
      <c r="Q1771">
        <v>0.19255220000000001</v>
      </c>
      <c r="R1771">
        <v>3.6959069999999997E-2</v>
      </c>
      <c r="S1771">
        <v>-3.0881349999999999</v>
      </c>
      <c r="T1771">
        <v>-0.11291030000000001</v>
      </c>
      <c r="U1771">
        <v>-0.17376710000000001</v>
      </c>
      <c r="V1771">
        <v>3.7507279999999997E-2</v>
      </c>
      <c r="W1771">
        <v>0.2069858</v>
      </c>
      <c r="X1771">
        <v>0.97762470000000001</v>
      </c>
      <c r="Y1771">
        <v>-5.5491459999999999E-2</v>
      </c>
      <c r="Z1771">
        <v>-1.4085320000000001E-3</v>
      </c>
      <c r="AA1771">
        <v>0.99845810000000002</v>
      </c>
      <c r="AB1771">
        <v>38</v>
      </c>
      <c r="AC1771">
        <v>-30.317900000000002</v>
      </c>
      <c r="AD1771">
        <v>-1.1213883646042</v>
      </c>
      <c r="AE1771">
        <v>-1.72550000000001</v>
      </c>
      <c r="AF1771">
        <v>-1.70382736017008</v>
      </c>
      <c r="AG1771">
        <v>-1.1213883646042</v>
      </c>
      <c r="AH1771">
        <v>30.277706227768299</v>
      </c>
      <c r="AI1771">
        <v>92.117733579664304</v>
      </c>
      <c r="AJ1771">
        <v>93.220827400814798</v>
      </c>
      <c r="AK1771">
        <v>30.3463347696649</v>
      </c>
      <c r="AL1771">
        <v>78.054229177015799</v>
      </c>
      <c r="AM1771">
        <v>87.802883479504501</v>
      </c>
      <c r="AN1771">
        <v>0.99999998575236404</v>
      </c>
    </row>
    <row r="1772" spans="1:40" x14ac:dyDescent="0.25">
      <c r="A1772" t="str">
        <f>"20190303170532410"</f>
        <v>20190303170532410</v>
      </c>
      <c r="B1772" t="str">
        <f>"1551603932396695"</f>
        <v>1551603932396695</v>
      </c>
      <c r="C1772" t="s">
        <v>40</v>
      </c>
      <c r="D1772">
        <v>5.6465040000000002</v>
      </c>
      <c r="E1772">
        <v>0.46919539999999998</v>
      </c>
      <c r="F1772" t="s">
        <v>60</v>
      </c>
      <c r="G1772">
        <v>-324.4468</v>
      </c>
      <c r="H1772" s="1">
        <v>8.9877299999999997E-7</v>
      </c>
      <c r="I1772">
        <v>283.03339999999997</v>
      </c>
      <c r="J1772">
        <v>-294.01519999999999</v>
      </c>
      <c r="K1772">
        <v>1.121389</v>
      </c>
      <c r="L1772">
        <v>284.75839999999999</v>
      </c>
      <c r="M1772">
        <v>-0.9998918</v>
      </c>
      <c r="N1772">
        <v>-1.4697719999999999E-2</v>
      </c>
      <c r="O1772">
        <v>-8.1711269999999996E-4</v>
      </c>
      <c r="P1772">
        <v>-0.98060970000000003</v>
      </c>
      <c r="Q1772">
        <v>0.19250729999999999</v>
      </c>
      <c r="R1772">
        <v>3.6692309999999999E-2</v>
      </c>
      <c r="S1772">
        <v>-3.0880130000000001</v>
      </c>
      <c r="T1772">
        <v>-0.1123837</v>
      </c>
      <c r="U1772">
        <v>-0.1729126</v>
      </c>
      <c r="V1772">
        <v>3.7414990000000002E-2</v>
      </c>
      <c r="W1772">
        <v>0.20691309999999999</v>
      </c>
      <c r="X1772">
        <v>0.9776437</v>
      </c>
      <c r="Y1772">
        <v>-5.504042E-2</v>
      </c>
      <c r="Z1772">
        <v>-1.3877479999999901E-3</v>
      </c>
      <c r="AA1772">
        <v>0.99848320000000002</v>
      </c>
      <c r="AB1772">
        <v>38</v>
      </c>
      <c r="AC1772">
        <v>-30.4316</v>
      </c>
      <c r="AD1772">
        <v>-1.1213881012269999</v>
      </c>
      <c r="AE1772">
        <v>-1.7250000000000201</v>
      </c>
      <c r="AF1772">
        <v>-1.6978326208356</v>
      </c>
      <c r="AG1772">
        <v>-1.1213881012269999</v>
      </c>
      <c r="AH1772">
        <v>30.391863096177001</v>
      </c>
      <c r="AI1772">
        <v>92.109833871437004</v>
      </c>
      <c r="AJ1772">
        <v>93.197488564444001</v>
      </c>
      <c r="AK1772">
        <v>30.459899693510302</v>
      </c>
      <c r="AL1772">
        <v>78.058487628691196</v>
      </c>
      <c r="AM1772">
        <v>87.808326954779801</v>
      </c>
      <c r="AN1772">
        <v>1.0000000582889901</v>
      </c>
    </row>
    <row r="1773" spans="1:40" x14ac:dyDescent="0.25">
      <c r="A1773" t="str">
        <f>"20190303170532433"</f>
        <v>20190303170532433</v>
      </c>
      <c r="B1773" t="str">
        <f>"1551603932426951"</f>
        <v>1551603932426951</v>
      </c>
      <c r="C1773" t="s">
        <v>40</v>
      </c>
      <c r="D1773">
        <v>5.7153960000000001</v>
      </c>
      <c r="E1773">
        <v>0.45199040000000001</v>
      </c>
      <c r="F1773" t="s">
        <v>60</v>
      </c>
      <c r="G1773">
        <v>-325.31639999999999</v>
      </c>
      <c r="H1773" s="1">
        <v>1.3631210000000001E-6</v>
      </c>
      <c r="I1773">
        <v>282.99669999999998</v>
      </c>
      <c r="J1773">
        <v>-294.40519999999998</v>
      </c>
      <c r="K1773">
        <v>1.1213839999999999</v>
      </c>
      <c r="L1773">
        <v>284.75779999999997</v>
      </c>
      <c r="M1773">
        <v>-0.999892</v>
      </c>
      <c r="N1773">
        <v>-1.466629E-2</v>
      </c>
      <c r="O1773">
        <v>-9.9664009999999898E-4</v>
      </c>
      <c r="P1773">
        <v>-0.98081739999999995</v>
      </c>
      <c r="Q1773">
        <v>0.1915298</v>
      </c>
      <c r="R1773">
        <v>3.625043E-2</v>
      </c>
      <c r="S1773">
        <v>-3.087494</v>
      </c>
      <c r="T1773">
        <v>-0.11061169999999999</v>
      </c>
      <c r="U1773">
        <v>-0.17376710000000001</v>
      </c>
      <c r="V1773">
        <v>3.7149750000000002E-2</v>
      </c>
      <c r="W1773">
        <v>0.2059076</v>
      </c>
      <c r="X1773">
        <v>0.97786600000000001</v>
      </c>
      <c r="Y1773">
        <v>-5.5147309999999998E-2</v>
      </c>
      <c r="Z1773">
        <v>-1.370614E-3</v>
      </c>
      <c r="AA1773">
        <v>0.99847730000000001</v>
      </c>
      <c r="AB1773">
        <v>38</v>
      </c>
      <c r="AC1773">
        <v>-30.911200000000001</v>
      </c>
      <c r="AD1773">
        <v>-1.1213826368790001</v>
      </c>
      <c r="AE1773">
        <v>-1.7610999999999899</v>
      </c>
      <c r="AF1773">
        <v>-1.7280216479642301</v>
      </c>
      <c r="AG1773">
        <v>-1.1213826368790001</v>
      </c>
      <c r="AH1773">
        <v>30.8724414636727</v>
      </c>
      <c r="AI1773">
        <v>92.076997330306199</v>
      </c>
      <c r="AJ1773">
        <v>93.203670970234398</v>
      </c>
      <c r="AK1773">
        <v>30.941092413843801</v>
      </c>
      <c r="AL1773">
        <v>78.117365501351998</v>
      </c>
      <c r="AM1773">
        <v>87.824343267612704</v>
      </c>
      <c r="AN1773">
        <v>0.99999997880941005</v>
      </c>
    </row>
    <row r="1774" spans="1:40" x14ac:dyDescent="0.25">
      <c r="A1774" t="str">
        <f>"20190303170532456"</f>
        <v>20190303170532456</v>
      </c>
      <c r="B1774" t="str">
        <f>"1551603932446470"</f>
        <v>1551603932446470</v>
      </c>
      <c r="C1774" t="s">
        <v>40</v>
      </c>
      <c r="D1774">
        <v>5.5795560000000002</v>
      </c>
      <c r="E1774">
        <v>0.4506154</v>
      </c>
      <c r="F1774" t="s">
        <v>60</v>
      </c>
      <c r="G1774">
        <v>-360.00659999999999</v>
      </c>
      <c r="H1774">
        <v>8.0001459999999996E-2</v>
      </c>
      <c r="I1774">
        <v>278.17509999999999</v>
      </c>
      <c r="J1774">
        <v>-294.78210000000001</v>
      </c>
      <c r="K1774">
        <v>1.1213770000000001</v>
      </c>
      <c r="L1774">
        <v>284.75729999999999</v>
      </c>
      <c r="M1774">
        <v>-0.99989229999999996</v>
      </c>
      <c r="N1774">
        <v>-1.463416E-2</v>
      </c>
      <c r="O1774">
        <v>-1.1680429999999999E-3</v>
      </c>
      <c r="P1774">
        <v>-0.98105489999999995</v>
      </c>
      <c r="Q1774">
        <v>0.19046550000000001</v>
      </c>
      <c r="R1774">
        <v>3.541818E-2</v>
      </c>
      <c r="S1774">
        <v>-3.0796199999999998</v>
      </c>
      <c r="T1774">
        <v>-4.8887130000000001E-2</v>
      </c>
      <c r="U1774">
        <v>-0.30902099999999999</v>
      </c>
      <c r="V1774">
        <v>3.6486419999999999E-2</v>
      </c>
      <c r="W1774">
        <v>0.20481559999999999</v>
      </c>
      <c r="X1774">
        <v>0.97812030000000005</v>
      </c>
      <c r="Y1774">
        <v>-9.8656320000000006E-2</v>
      </c>
      <c r="Z1774">
        <v>-1.503412E-3</v>
      </c>
      <c r="AA1774">
        <v>0.99512040000000002</v>
      </c>
      <c r="AB1774">
        <v>38</v>
      </c>
      <c r="AC1774">
        <v>-65.224499999999907</v>
      </c>
      <c r="AD1774">
        <v>-1.04137554</v>
      </c>
      <c r="AE1774">
        <v>-6.5822000000000003</v>
      </c>
      <c r="AF1774">
        <v>-6.5043609987539002</v>
      </c>
      <c r="AG1774">
        <v>-1.04137554</v>
      </c>
      <c r="AH1774">
        <v>65.215687834706102</v>
      </c>
      <c r="AI1774">
        <v>90.910315683739597</v>
      </c>
      <c r="AJ1774">
        <v>95.695624389413197</v>
      </c>
      <c r="AK1774">
        <v>65.547517990929705</v>
      </c>
      <c r="AL1774">
        <v>78.181295396776804</v>
      </c>
      <c r="AM1774">
        <v>87.863709561976805</v>
      </c>
      <c r="AN1774">
        <v>1.00000000505993</v>
      </c>
    </row>
    <row r="1775" spans="1:40" x14ac:dyDescent="0.25">
      <c r="A1775" t="str">
        <f>"20190303170532477"</f>
        <v>20190303170532477</v>
      </c>
      <c r="B1775" t="str">
        <f>"1551603932465990"</f>
        <v>1551603932465990</v>
      </c>
      <c r="C1775" t="s">
        <v>40</v>
      </c>
      <c r="D1775">
        <v>5.6132439999999999</v>
      </c>
      <c r="E1775">
        <v>0.45110519999999998</v>
      </c>
      <c r="F1775" t="s">
        <v>43</v>
      </c>
      <c r="G1775">
        <v>-404.39530000000002</v>
      </c>
      <c r="H1775">
        <v>-0.05</v>
      </c>
      <c r="I1775">
        <v>273.30579999999998</v>
      </c>
      <c r="J1775">
        <v>-295.13560000000001</v>
      </c>
      <c r="K1775">
        <v>1.12137</v>
      </c>
      <c r="L1775">
        <v>284.75670000000002</v>
      </c>
      <c r="M1775">
        <v>-0.99989249999999996</v>
      </c>
      <c r="N1775">
        <v>-1.4601569999999999E-2</v>
      </c>
      <c r="O1775">
        <v>-1.327162E-3</v>
      </c>
      <c r="P1775">
        <v>-0.98109150000000001</v>
      </c>
      <c r="Q1775">
        <v>0.19034110000000001</v>
      </c>
      <c r="R1775">
        <v>3.5071049999999999E-2</v>
      </c>
      <c r="S1775">
        <v>-3.0759280000000002</v>
      </c>
      <c r="T1775">
        <v>-3.2870770000000001E-2</v>
      </c>
      <c r="U1775">
        <v>-0.32135010000000003</v>
      </c>
      <c r="V1775">
        <v>3.6295849999999998E-2</v>
      </c>
      <c r="W1775">
        <v>0.2046597</v>
      </c>
      <c r="X1775">
        <v>0.97816000000000003</v>
      </c>
      <c r="Y1775">
        <v>-0.1025731</v>
      </c>
      <c r="Z1775">
        <v>-1.302739E-3</v>
      </c>
      <c r="AA1775">
        <v>0.99472459999999996</v>
      </c>
      <c r="AB1775">
        <v>38</v>
      </c>
      <c r="AC1775">
        <v>-109.2597</v>
      </c>
      <c r="AD1775">
        <v>-1.17137</v>
      </c>
      <c r="AE1775">
        <v>-11.450900000000001</v>
      </c>
      <c r="AF1775">
        <v>-11.304583906264201</v>
      </c>
      <c r="AG1775">
        <v>-1.17137</v>
      </c>
      <c r="AH1775">
        <v>109.262380489206</v>
      </c>
      <c r="AI1775">
        <v>90.610966647100398</v>
      </c>
      <c r="AJ1775">
        <v>95.906960367170399</v>
      </c>
      <c r="AK1775">
        <v>109.851870785793</v>
      </c>
      <c r="AL1775">
        <v>78.1904208625145</v>
      </c>
      <c r="AM1775">
        <v>87.874943405913299</v>
      </c>
      <c r="AN1775">
        <v>0.999999983565656</v>
      </c>
    </row>
    <row r="1776" spans="1:40" x14ac:dyDescent="0.25">
      <c r="A1776" t="str">
        <f>"20190303170532499"</f>
        <v>20190303170532499</v>
      </c>
      <c r="B1776" t="str">
        <f>"1551603932496247"</f>
        <v>1551603932496247</v>
      </c>
      <c r="C1776" t="s">
        <v>40</v>
      </c>
      <c r="D1776">
        <v>5.6188599999999997</v>
      </c>
      <c r="E1776">
        <v>0.4510112</v>
      </c>
      <c r="F1776" t="s">
        <v>64</v>
      </c>
      <c r="G1776">
        <v>-419.3741</v>
      </c>
      <c r="H1776" s="1">
        <v>7.0049709999999997E-6</v>
      </c>
      <c r="I1776">
        <v>271.90719999999999</v>
      </c>
      <c r="J1776">
        <v>-295.50240000000002</v>
      </c>
      <c r="K1776">
        <v>1.121364</v>
      </c>
      <c r="L1776">
        <v>284.7561</v>
      </c>
      <c r="M1776">
        <v>-0.99989280000000003</v>
      </c>
      <c r="N1776">
        <v>-1.4567429999999999E-2</v>
      </c>
      <c r="O1776">
        <v>-1.491397E-3</v>
      </c>
      <c r="P1776">
        <v>-0.98111190000000004</v>
      </c>
      <c r="Q1776">
        <v>0.19028239999999999</v>
      </c>
      <c r="R1776">
        <v>3.4814900000000003E-2</v>
      </c>
      <c r="S1776">
        <v>-3.0745849999999999</v>
      </c>
      <c r="T1776">
        <v>-2.7750850000000001E-2</v>
      </c>
      <c r="U1776">
        <v>-0.31799319999999998</v>
      </c>
      <c r="V1776">
        <v>3.6201120000000003E-2</v>
      </c>
      <c r="W1776">
        <v>0.20456730000000001</v>
      </c>
      <c r="X1776">
        <v>0.97818289999999997</v>
      </c>
      <c r="Y1776">
        <v>-0.1013831</v>
      </c>
      <c r="Z1776">
        <v>-1.205044E-3</v>
      </c>
      <c r="AA1776">
        <v>0.99484669999999997</v>
      </c>
      <c r="AB1776">
        <v>38</v>
      </c>
      <c r="AC1776">
        <v>-123.871699999999</v>
      </c>
      <c r="AD1776">
        <v>-1.1213569950290001</v>
      </c>
      <c r="AE1776">
        <v>-12.8489</v>
      </c>
      <c r="AF1776">
        <v>-12.6630975430195</v>
      </c>
      <c r="AG1776">
        <v>-1.1213569950290001</v>
      </c>
      <c r="AH1776">
        <v>123.88068322183901</v>
      </c>
      <c r="AI1776">
        <v>90.515933834745397</v>
      </c>
      <c r="AJ1776">
        <v>95.836508973376695</v>
      </c>
      <c r="AK1776">
        <v>124.531261763478</v>
      </c>
      <c r="AL1776">
        <v>78.195830141053804</v>
      </c>
      <c r="AM1776">
        <v>87.880534185788704</v>
      </c>
      <c r="AN1776">
        <v>1.0000000435854699</v>
      </c>
    </row>
    <row r="1777" spans="1:40" x14ac:dyDescent="0.25">
      <c r="A1777" t="str">
        <f>"20190303170532522"</f>
        <v>20190303170532522</v>
      </c>
      <c r="B1777" t="str">
        <f>"1551603932516744"</f>
        <v>1551603932516744</v>
      </c>
      <c r="C1777" t="s">
        <v>40</v>
      </c>
      <c r="D1777">
        <v>5.500184</v>
      </c>
      <c r="E1777">
        <v>0.45113379999999997</v>
      </c>
      <c r="F1777" t="s">
        <v>60</v>
      </c>
      <c r="G1777">
        <v>-392.63099999999997</v>
      </c>
      <c r="H1777">
        <v>8.0000689999999999E-2</v>
      </c>
      <c r="I1777">
        <v>274.67669999999998</v>
      </c>
      <c r="J1777">
        <v>-295.89460000000003</v>
      </c>
      <c r="K1777">
        <v>1.1213610000000001</v>
      </c>
      <c r="L1777">
        <v>284.75529999999998</v>
      </c>
      <c r="M1777">
        <v>-0.99989320000000004</v>
      </c>
      <c r="N1777">
        <v>-1.4532740000000001E-2</v>
      </c>
      <c r="O1777">
        <v>-1.6658809999999999E-3</v>
      </c>
      <c r="P1777">
        <v>-0.98104270000000005</v>
      </c>
      <c r="Q1777">
        <v>0.19080530000000001</v>
      </c>
      <c r="R1777">
        <v>3.3895729999999999E-2</v>
      </c>
      <c r="S1777">
        <v>-3.0754700000000001</v>
      </c>
      <c r="T1777">
        <v>-3.297365E-2</v>
      </c>
      <c r="U1777">
        <v>-0.31915280000000001</v>
      </c>
      <c r="V1777">
        <v>3.5453140000000001E-2</v>
      </c>
      <c r="W1777">
        <v>0.20505499999999999</v>
      </c>
      <c r="X1777">
        <v>0.97810810000000004</v>
      </c>
      <c r="Y1777">
        <v>-0.1015484</v>
      </c>
      <c r="Z1777">
        <v>-1.2891910000000001E-3</v>
      </c>
      <c r="AA1777">
        <v>0.99482979999999999</v>
      </c>
      <c r="AB1777">
        <v>37</v>
      </c>
      <c r="AC1777">
        <v>-96.736399999999904</v>
      </c>
      <c r="AD1777">
        <v>-1.04136031</v>
      </c>
      <c r="AE1777">
        <v>-10.0785999999999</v>
      </c>
      <c r="AF1777">
        <v>-9.9162808970280594</v>
      </c>
      <c r="AG1777">
        <v>-1.04136031</v>
      </c>
      <c r="AH1777">
        <v>96.741966831355001</v>
      </c>
      <c r="AI1777">
        <v>90.613511256977901</v>
      </c>
      <c r="AJ1777">
        <v>95.852513378815999</v>
      </c>
      <c r="AK1777">
        <v>97.254435397687601</v>
      </c>
      <c r="AL1777">
        <v>78.167280886103001</v>
      </c>
      <c r="AM1777">
        <v>87.924128836869698</v>
      </c>
      <c r="AN1777">
        <v>0.99999996672323399</v>
      </c>
    </row>
    <row r="1778" spans="1:40" x14ac:dyDescent="0.25">
      <c r="A1778" t="str">
        <f>"20190303170532545"</f>
        <v>20190303170532545</v>
      </c>
      <c r="B1778" t="str">
        <f>"1551603932536262"</f>
        <v>1551603932536262</v>
      </c>
      <c r="C1778" t="s">
        <v>40</v>
      </c>
      <c r="D1778">
        <v>5.6218149999999998</v>
      </c>
      <c r="E1778">
        <v>0.4516096</v>
      </c>
      <c r="F1778" t="s">
        <v>60</v>
      </c>
      <c r="G1778">
        <v>-391.73520000000002</v>
      </c>
      <c r="H1778">
        <v>8.0000950000000001E-2</v>
      </c>
      <c r="I1778">
        <v>274.77730000000003</v>
      </c>
      <c r="J1778">
        <v>-296.25940000000003</v>
      </c>
      <c r="K1778">
        <v>1.1213569999999999</v>
      </c>
      <c r="L1778">
        <v>284.75450000000001</v>
      </c>
      <c r="M1778">
        <v>-0.99989320000000004</v>
      </c>
      <c r="N1778">
        <v>-1.4502950000000001E-2</v>
      </c>
      <c r="O1778">
        <v>-1.827887E-3</v>
      </c>
      <c r="P1778">
        <v>-0.98111020000000004</v>
      </c>
      <c r="Q1778">
        <v>0.19051560000000001</v>
      </c>
      <c r="R1778">
        <v>3.3564780000000002E-2</v>
      </c>
      <c r="S1778">
        <v>-3.0754999999999999</v>
      </c>
      <c r="T1778">
        <v>-3.3416990000000001E-2</v>
      </c>
      <c r="U1778">
        <v>-0.32019039999999999</v>
      </c>
      <c r="V1778">
        <v>3.52815E-2</v>
      </c>
      <c r="W1778">
        <v>0.20473669999999999</v>
      </c>
      <c r="X1778">
        <v>0.97818099999999997</v>
      </c>
      <c r="Y1778">
        <v>-0.101718</v>
      </c>
      <c r="Z1778">
        <v>-1.2974219999999999E-3</v>
      </c>
      <c r="AA1778">
        <v>0.99481240000000004</v>
      </c>
      <c r="AB1778">
        <v>37</v>
      </c>
      <c r="AC1778">
        <v>-95.475800000000007</v>
      </c>
      <c r="AD1778">
        <v>-1.0413560500000001</v>
      </c>
      <c r="AE1778">
        <v>-9.9771999999999803</v>
      </c>
      <c r="AF1778">
        <v>-9.8014925867994904</v>
      </c>
      <c r="AG1778">
        <v>-1.0413560500000001</v>
      </c>
      <c r="AH1778">
        <v>95.482643378170295</v>
      </c>
      <c r="AI1778">
        <v>90.621590255944199</v>
      </c>
      <c r="AJ1778">
        <v>95.861002183257398</v>
      </c>
      <c r="AK1778">
        <v>95.990045660134996</v>
      </c>
      <c r="AL1778">
        <v>78.185913660931405</v>
      </c>
      <c r="AM1778">
        <v>87.934323889673905</v>
      </c>
      <c r="AN1778">
        <v>0.99999998466506901</v>
      </c>
    </row>
    <row r="1779" spans="1:40" x14ac:dyDescent="0.25">
      <c r="A1779" t="str">
        <f>"20190303170532566"</f>
        <v>20190303170532566</v>
      </c>
      <c r="B1779" t="str">
        <f>"1551603932556759"</f>
        <v>1551603932556759</v>
      </c>
      <c r="C1779" t="s">
        <v>40</v>
      </c>
      <c r="D1779">
        <v>5.6406799999999997</v>
      </c>
      <c r="E1779">
        <v>0.45168649999999999</v>
      </c>
      <c r="F1779" t="s">
        <v>43</v>
      </c>
      <c r="G1779">
        <v>-412.79169999999999</v>
      </c>
      <c r="H1779">
        <v>-0.05</v>
      </c>
      <c r="I1779">
        <v>272.72640000000001</v>
      </c>
      <c r="J1779">
        <v>-296.61930000000001</v>
      </c>
      <c r="K1779">
        <v>1.121348</v>
      </c>
      <c r="L1779">
        <v>284.75369999999998</v>
      </c>
      <c r="M1779">
        <v>-0.99989340000000004</v>
      </c>
      <c r="N1779">
        <v>-1.447172E-2</v>
      </c>
      <c r="O1779">
        <v>-1.9876189999999999E-3</v>
      </c>
      <c r="P1779">
        <v>-0.98127529999999996</v>
      </c>
      <c r="Q1779">
        <v>0.18986430000000001</v>
      </c>
      <c r="R1779">
        <v>3.2413959999999999E-2</v>
      </c>
      <c r="S1779">
        <v>-3.0746150000000001</v>
      </c>
      <c r="T1779">
        <v>-3.0905370000000001E-2</v>
      </c>
      <c r="U1779">
        <v>-0.31735229999999998</v>
      </c>
      <c r="V1779">
        <v>3.4288239999999998E-2</v>
      </c>
      <c r="W1779">
        <v>0.20405709999999999</v>
      </c>
      <c r="X1779">
        <v>0.97835830000000001</v>
      </c>
      <c r="Y1779">
        <v>-0.1006816</v>
      </c>
      <c r="Z1779">
        <v>-1.2439580000000001E-3</v>
      </c>
      <c r="AA1779">
        <v>0.99491790000000002</v>
      </c>
      <c r="AB1779">
        <v>37</v>
      </c>
      <c r="AC1779">
        <v>-116.172399999999</v>
      </c>
      <c r="AD1779">
        <v>-1.1713480000000001</v>
      </c>
      <c r="AE1779">
        <v>-12.027299999999901</v>
      </c>
      <c r="AF1779">
        <v>-11.7951591837076</v>
      </c>
      <c r="AG1779">
        <v>-1.1713480000000001</v>
      </c>
      <c r="AH1779">
        <v>116.18439219008</v>
      </c>
      <c r="AI1779">
        <v>90.574671475701905</v>
      </c>
      <c r="AJ1779">
        <v>95.796865831072395</v>
      </c>
      <c r="AK1779">
        <v>116.787460049804</v>
      </c>
      <c r="AL1779">
        <v>78.225691528027696</v>
      </c>
      <c r="AM1779">
        <v>87.992792938389201</v>
      </c>
      <c r="AN1779">
        <v>0.99999997332079804</v>
      </c>
    </row>
    <row r="1780" spans="1:40" x14ac:dyDescent="0.25">
      <c r="A1780" t="str">
        <f>"20190303170532587"</f>
        <v>20190303170532587</v>
      </c>
      <c r="B1780" t="str">
        <f>"1551603932576279"</f>
        <v>1551603932576279</v>
      </c>
      <c r="C1780" t="s">
        <v>40</v>
      </c>
      <c r="D1780">
        <v>5.6242590000000003</v>
      </c>
      <c r="E1780">
        <v>0.45172899999999999</v>
      </c>
      <c r="F1780" t="s">
        <v>60</v>
      </c>
      <c r="G1780">
        <v>-389.08839999999998</v>
      </c>
      <c r="H1780">
        <v>8.0000269999999998E-2</v>
      </c>
      <c r="I1780">
        <v>275.12479999999999</v>
      </c>
      <c r="J1780">
        <v>-296.9905</v>
      </c>
      <c r="K1780">
        <v>1.121348</v>
      </c>
      <c r="L1780">
        <v>284.75279999999998</v>
      </c>
      <c r="M1780">
        <v>-0.99989340000000004</v>
      </c>
      <c r="N1780">
        <v>-1.4438599999999999E-2</v>
      </c>
      <c r="O1780">
        <v>-2.1523470000000002E-3</v>
      </c>
      <c r="P1780">
        <v>-0.98131579999999996</v>
      </c>
      <c r="Q1780">
        <v>0.1898407</v>
      </c>
      <c r="R1780">
        <v>3.1304899999999997E-2</v>
      </c>
      <c r="S1780">
        <v>-3.0745849999999999</v>
      </c>
      <c r="T1780">
        <v>-3.4624699999999897E-2</v>
      </c>
      <c r="U1780">
        <v>-0.3201599</v>
      </c>
      <c r="V1780">
        <v>3.334107E-2</v>
      </c>
      <c r="W1780">
        <v>0.20400109999999999</v>
      </c>
      <c r="X1780">
        <v>0.97840269999999996</v>
      </c>
      <c r="Y1780">
        <v>-0.1014153</v>
      </c>
      <c r="Z1780">
        <v>-1.3105269999999999E-3</v>
      </c>
      <c r="AA1780">
        <v>0.99484329999999999</v>
      </c>
      <c r="AB1780">
        <v>37</v>
      </c>
      <c r="AC1780">
        <v>-92.097899999999896</v>
      </c>
      <c r="AD1780">
        <v>-1.04134773</v>
      </c>
      <c r="AE1780">
        <v>-9.6279999999999806</v>
      </c>
      <c r="AF1780">
        <v>-9.4285379980293502</v>
      </c>
      <c r="AG1780">
        <v>-1.04134773</v>
      </c>
      <c r="AH1780">
        <v>92.1067632738757</v>
      </c>
      <c r="AI1780">
        <v>90.644384376300593</v>
      </c>
      <c r="AJ1780">
        <v>95.844742334762699</v>
      </c>
      <c r="AK1780">
        <v>92.593939189694495</v>
      </c>
      <c r="AL1780">
        <v>78.228968870387206</v>
      </c>
      <c r="AM1780">
        <v>88.048284548638506</v>
      </c>
      <c r="AN1780">
        <v>0.99999995955862098</v>
      </c>
    </row>
    <row r="1781" spans="1:40" x14ac:dyDescent="0.25">
      <c r="A1781" t="str">
        <f>"20190303170532612"</f>
        <v>20190303170532612</v>
      </c>
      <c r="B1781" t="str">
        <f>"1551603932606535"</f>
        <v>1551603932606535</v>
      </c>
      <c r="C1781" t="s">
        <v>40</v>
      </c>
      <c r="D1781">
        <v>5.6445509999999999</v>
      </c>
      <c r="E1781">
        <v>0.4519801</v>
      </c>
      <c r="F1781" t="s">
        <v>60</v>
      </c>
      <c r="G1781">
        <v>-385.14940000000001</v>
      </c>
      <c r="H1781">
        <v>8.0001409999999995E-2</v>
      </c>
      <c r="I1781">
        <v>275.49270000000001</v>
      </c>
      <c r="J1781">
        <v>-297.3793</v>
      </c>
      <c r="K1781">
        <v>1.1213470000000001</v>
      </c>
      <c r="L1781">
        <v>284.7518</v>
      </c>
      <c r="M1781">
        <v>-0.9998937</v>
      </c>
      <c r="N1781">
        <v>-1.440527E-2</v>
      </c>
      <c r="O1781">
        <v>-2.32577E-3</v>
      </c>
      <c r="P1781">
        <v>-0.98126040000000003</v>
      </c>
      <c r="Q1781">
        <v>0.1903415</v>
      </c>
      <c r="R1781">
        <v>2.9975020000000002E-2</v>
      </c>
      <c r="S1781">
        <v>-3.0744630000000002</v>
      </c>
      <c r="T1781">
        <v>-3.6316040000000001E-2</v>
      </c>
      <c r="U1781">
        <v>-0.32293699999999997</v>
      </c>
      <c r="V1781">
        <v>3.2181319999999999E-2</v>
      </c>
      <c r="W1781">
        <v>0.20446790000000001</v>
      </c>
      <c r="X1781">
        <v>0.97834410000000005</v>
      </c>
      <c r="Y1781">
        <v>-0.1021345</v>
      </c>
      <c r="Z1781">
        <v>-1.3453079999999999E-3</v>
      </c>
      <c r="AA1781">
        <v>0.99476969999999998</v>
      </c>
      <c r="AB1781">
        <v>37</v>
      </c>
      <c r="AC1781">
        <v>-87.770099999999999</v>
      </c>
      <c r="AD1781">
        <v>-1.0413455899999999</v>
      </c>
      <c r="AE1781">
        <v>-9.2590999999999894</v>
      </c>
      <c r="AF1781">
        <v>-9.0536603204827699</v>
      </c>
      <c r="AG1781">
        <v>-1.0413455899999999</v>
      </c>
      <c r="AH1781">
        <v>87.779179041276194</v>
      </c>
      <c r="AI1781">
        <v>90.676095431980997</v>
      </c>
      <c r="AJ1781">
        <v>95.888739462381594</v>
      </c>
      <c r="AK1781">
        <v>88.250991150223996</v>
      </c>
      <c r="AL1781">
        <v>78.201647425127405</v>
      </c>
      <c r="AM1781">
        <v>88.116011294749001</v>
      </c>
      <c r="AN1781">
        <v>0.99999996874607999</v>
      </c>
    </row>
    <row r="1782" spans="1:40" x14ac:dyDescent="0.25">
      <c r="A1782" t="str">
        <f>"20190303170532635"</f>
        <v>20190303170532635</v>
      </c>
      <c r="B1782" t="str">
        <f>"1551603932626055"</f>
        <v>1551603932626055</v>
      </c>
      <c r="C1782" t="s">
        <v>40</v>
      </c>
      <c r="D1782">
        <v>5.6493229999999999</v>
      </c>
      <c r="E1782">
        <v>0.45233220000000002</v>
      </c>
      <c r="F1782" t="s">
        <v>60</v>
      </c>
      <c r="G1782">
        <v>-386.25259999999997</v>
      </c>
      <c r="H1782">
        <v>8.0001089999999997E-2</v>
      </c>
      <c r="I1782">
        <v>275.37259999999998</v>
      </c>
      <c r="J1782">
        <v>-297.76940000000002</v>
      </c>
      <c r="K1782">
        <v>1.1213500000000001</v>
      </c>
      <c r="L1782">
        <v>284.75069999999999</v>
      </c>
      <c r="M1782">
        <v>-0.99989360000000005</v>
      </c>
      <c r="N1782">
        <v>-1.437456E-2</v>
      </c>
      <c r="O1782">
        <v>-2.4995730000000002E-3</v>
      </c>
      <c r="P1782">
        <v>-0.98111649999999995</v>
      </c>
      <c r="Q1782">
        <v>0.19124369999999999</v>
      </c>
      <c r="R1782">
        <v>2.8921780000000001E-2</v>
      </c>
      <c r="S1782">
        <v>-3.0741879999999999</v>
      </c>
      <c r="T1782">
        <v>-3.6020870000000003E-2</v>
      </c>
      <c r="U1782">
        <v>-0.32443240000000001</v>
      </c>
      <c r="V1782">
        <v>3.1298109999999997E-2</v>
      </c>
      <c r="W1782">
        <v>0.20533789999999999</v>
      </c>
      <c r="X1782">
        <v>0.97819060000000002</v>
      </c>
      <c r="Y1782">
        <v>-0.1024496</v>
      </c>
      <c r="Z1782">
        <v>-1.343625E-3</v>
      </c>
      <c r="AA1782">
        <v>0.99473730000000005</v>
      </c>
      <c r="AB1782">
        <v>37</v>
      </c>
      <c r="AC1782">
        <v>-88.483199999999897</v>
      </c>
      <c r="AD1782">
        <v>-1.04134891</v>
      </c>
      <c r="AE1782">
        <v>-9.3781000000000105</v>
      </c>
      <c r="AF1782">
        <v>-9.1556236071676302</v>
      </c>
      <c r="AG1782">
        <v>-1.04134891</v>
      </c>
      <c r="AH1782">
        <v>88.494246302319596</v>
      </c>
      <c r="AI1782">
        <v>90.670613113220696</v>
      </c>
      <c r="AJ1782">
        <v>95.906811435529605</v>
      </c>
      <c r="AK1782">
        <v>88.972700755928997</v>
      </c>
      <c r="AL1782">
        <v>78.150720346017096</v>
      </c>
      <c r="AM1782">
        <v>88.167393915379805</v>
      </c>
      <c r="AN1782">
        <v>1.00000003739717</v>
      </c>
    </row>
    <row r="1783" spans="1:40" x14ac:dyDescent="0.25">
      <c r="A1783" t="str">
        <f>"20190303170532667"</f>
        <v>20190303170532667</v>
      </c>
      <c r="B1783" t="str">
        <f>"1551603932656311"</f>
        <v>1551603932656311</v>
      </c>
      <c r="C1783" t="s">
        <v>40</v>
      </c>
      <c r="D1783">
        <v>5.5827830000000001</v>
      </c>
      <c r="E1783">
        <v>0.45237189999999999</v>
      </c>
      <c r="F1783" t="s">
        <v>43</v>
      </c>
      <c r="G1783">
        <v>-408.88130000000001</v>
      </c>
      <c r="H1783">
        <v>-0.05</v>
      </c>
      <c r="I1783">
        <v>273.01139999999998</v>
      </c>
      <c r="J1783">
        <v>-298.29300000000001</v>
      </c>
      <c r="K1783">
        <v>1.121356</v>
      </c>
      <c r="L1783">
        <v>284.7491</v>
      </c>
      <c r="M1783">
        <v>-0.99989349999999999</v>
      </c>
      <c r="N1783">
        <v>-1.4337799999999901E-2</v>
      </c>
      <c r="O1783">
        <v>-2.7328119999999998E-3</v>
      </c>
      <c r="P1783">
        <v>-0.98089499999999996</v>
      </c>
      <c r="Q1783">
        <v>0.19258459999999999</v>
      </c>
      <c r="R1783">
        <v>2.7498100000000001E-2</v>
      </c>
      <c r="S1783">
        <v>-3.073639</v>
      </c>
      <c r="T1783">
        <v>-3.2402519999999997E-2</v>
      </c>
      <c r="U1783">
        <v>-0.32473750000000001</v>
      </c>
      <c r="V1783">
        <v>3.0102500000000001E-2</v>
      </c>
      <c r="W1783">
        <v>0.20663880000000001</v>
      </c>
      <c r="X1783">
        <v>0.97795410000000005</v>
      </c>
      <c r="Y1783">
        <v>-0.102336</v>
      </c>
      <c r="Z1783">
        <v>-1.2840130000000001E-3</v>
      </c>
      <c r="AA1783">
        <v>0.99474910000000005</v>
      </c>
      <c r="AB1783">
        <v>37</v>
      </c>
      <c r="AC1783">
        <v>-110.5883</v>
      </c>
      <c r="AD1783">
        <v>-1.1713559999999901</v>
      </c>
      <c r="AE1783">
        <v>-11.7377</v>
      </c>
      <c r="AF1783">
        <v>-11.434139545493499</v>
      </c>
      <c r="AG1783">
        <v>-1.1713559999999901</v>
      </c>
      <c r="AH1783">
        <v>110.60769619637399</v>
      </c>
      <c r="AI1783">
        <v>90.603534210346496</v>
      </c>
      <c r="AJ1783">
        <v>95.902022478289396</v>
      </c>
      <c r="AK1783">
        <v>111.203300669962</v>
      </c>
      <c r="AL1783">
        <v>78.074550165623194</v>
      </c>
      <c r="AM1783">
        <v>88.236929735513499</v>
      </c>
      <c r="AN1783">
        <v>0.99999998793924905</v>
      </c>
    </row>
    <row r="1784" spans="1:40" x14ac:dyDescent="0.25">
      <c r="A1784" t="str">
        <f>"20190303170532689"</f>
        <v>20190303170532689</v>
      </c>
      <c r="B1784" t="str">
        <f>"1551603932676807"</f>
        <v>1551603932676807</v>
      </c>
      <c r="C1784" t="s">
        <v>40</v>
      </c>
      <c r="D1784">
        <v>5.6103199999999998</v>
      </c>
      <c r="E1784">
        <v>0.4524108</v>
      </c>
      <c r="F1784" t="s">
        <v>64</v>
      </c>
      <c r="G1784">
        <v>-423.63889999999998</v>
      </c>
      <c r="H1784" s="1">
        <v>6.3632189999999998E-6</v>
      </c>
      <c r="I1784">
        <v>271.31790000000001</v>
      </c>
      <c r="J1784">
        <v>-298.6712</v>
      </c>
      <c r="K1784">
        <v>1.1213550000000001</v>
      </c>
      <c r="L1784">
        <v>284.74790000000002</v>
      </c>
      <c r="M1784">
        <v>-0.99989349999999999</v>
      </c>
      <c r="N1784">
        <v>-1.43144E-2</v>
      </c>
      <c r="O1784">
        <v>-2.9015479999999999E-3</v>
      </c>
      <c r="P1784">
        <v>-0.98080029999999996</v>
      </c>
      <c r="Q1784">
        <v>0.1931358</v>
      </c>
      <c r="R1784">
        <v>2.7010070000000001E-2</v>
      </c>
      <c r="S1784">
        <v>-3.073029</v>
      </c>
      <c r="T1784">
        <v>-2.7491450000000001E-2</v>
      </c>
      <c r="U1784">
        <v>-0.32928469999999999</v>
      </c>
      <c r="V1784">
        <v>2.9779440000000001E-2</v>
      </c>
      <c r="W1784">
        <v>0.2071654</v>
      </c>
      <c r="X1784">
        <v>0.97785259999999996</v>
      </c>
      <c r="Y1784">
        <v>-0.1036468</v>
      </c>
      <c r="Z1784">
        <v>-1.221834E-3</v>
      </c>
      <c r="AA1784">
        <v>0.99461339999999998</v>
      </c>
      <c r="AB1784">
        <v>37</v>
      </c>
      <c r="AC1784">
        <v>-124.967699999999</v>
      </c>
      <c r="AD1784">
        <v>-1.1213486367809999</v>
      </c>
      <c r="AE1784">
        <v>-13.43</v>
      </c>
      <c r="AF1784">
        <v>-13.0662665402931</v>
      </c>
      <c r="AG1784">
        <v>-1.1213486367809999</v>
      </c>
      <c r="AH1784">
        <v>124.996196248879</v>
      </c>
      <c r="AI1784">
        <v>90.511204921742404</v>
      </c>
      <c r="AJ1784">
        <v>95.967644073937095</v>
      </c>
      <c r="AK1784">
        <v>125.682273295622</v>
      </c>
      <c r="AL1784">
        <v>78.043711196482704</v>
      </c>
      <c r="AM1784">
        <v>88.255658323336604</v>
      </c>
      <c r="AN1784">
        <v>1.0000000126653099</v>
      </c>
    </row>
    <row r="1785" spans="1:40" x14ac:dyDescent="0.25">
      <c r="A1785" t="str">
        <f>"20190303170532711"</f>
        <v>20190303170532711</v>
      </c>
      <c r="B1785" t="str">
        <f>"1551603932706087"</f>
        <v>1551603932706087</v>
      </c>
      <c r="C1785" t="s">
        <v>40</v>
      </c>
      <c r="D1785">
        <v>5.4862159999999998</v>
      </c>
      <c r="E1785">
        <v>0.45228990000000002</v>
      </c>
      <c r="F1785" t="s">
        <v>64</v>
      </c>
      <c r="G1785">
        <v>-429.95870000000002</v>
      </c>
      <c r="H1785">
        <v>5.092116E-2</v>
      </c>
      <c r="I1785">
        <v>270.63839999999999</v>
      </c>
      <c r="J1785">
        <v>-299.04649999999998</v>
      </c>
      <c r="K1785">
        <v>1.1213580000000001</v>
      </c>
      <c r="L1785">
        <v>284.7466</v>
      </c>
      <c r="M1785">
        <v>-0.99989320000000004</v>
      </c>
      <c r="N1785">
        <v>-1.429336E-2</v>
      </c>
      <c r="O1785">
        <v>-3.0689860000000001E-3</v>
      </c>
      <c r="P1785">
        <v>-0.98078220000000005</v>
      </c>
      <c r="Q1785">
        <v>0.1932924</v>
      </c>
      <c r="R1785">
        <v>2.6544209999999999E-2</v>
      </c>
      <c r="S1785">
        <v>-3.0727540000000002</v>
      </c>
      <c r="T1785">
        <v>-2.5053260000000001E-2</v>
      </c>
      <c r="U1785">
        <v>-0.33023069999999999</v>
      </c>
      <c r="V1785">
        <v>2.9478029999999999E-2</v>
      </c>
      <c r="W1785">
        <v>0.20730119999999999</v>
      </c>
      <c r="X1785">
        <v>0.9778329</v>
      </c>
      <c r="Y1785">
        <v>-0.1037937</v>
      </c>
      <c r="Z1785">
        <v>-1.1846889999999901E-3</v>
      </c>
      <c r="AA1785">
        <v>0.99459819999999999</v>
      </c>
      <c r="AB1785">
        <v>37</v>
      </c>
      <c r="AC1785">
        <v>-130.91220000000001</v>
      </c>
      <c r="AD1785">
        <v>-1.0704368399999999</v>
      </c>
      <c r="AE1785">
        <v>-14.1082</v>
      </c>
      <c r="AF1785">
        <v>-13.7054190016308</v>
      </c>
      <c r="AG1785">
        <v>-1.0704368399999999</v>
      </c>
      <c r="AH1785">
        <v>130.94623119121599</v>
      </c>
      <c r="AI1785">
        <v>90.465816931111107</v>
      </c>
      <c r="AJ1785">
        <v>95.975077955417305</v>
      </c>
      <c r="AK1785">
        <v>131.66586424818701</v>
      </c>
      <c r="AL1785">
        <v>78.035757146546104</v>
      </c>
      <c r="AM1785">
        <v>88.273268016781699</v>
      </c>
      <c r="AN1785">
        <v>0.99999996104826405</v>
      </c>
    </row>
    <row r="1786" spans="1:40" x14ac:dyDescent="0.25">
      <c r="A1786" t="str">
        <f>"20190303170532734"</f>
        <v>20190303170532734</v>
      </c>
      <c r="B1786" t="str">
        <f>"1551603932726583"</f>
        <v>1551603932726583</v>
      </c>
      <c r="C1786" t="s">
        <v>40</v>
      </c>
      <c r="D1786">
        <v>5.6554869999999999</v>
      </c>
      <c r="E1786">
        <v>0.45223000000000002</v>
      </c>
      <c r="F1786" t="s">
        <v>64</v>
      </c>
      <c r="G1786">
        <v>-432.19709999999998</v>
      </c>
      <c r="H1786">
        <v>8.0002459999999997E-2</v>
      </c>
      <c r="I1786">
        <v>270.31549999999999</v>
      </c>
      <c r="J1786">
        <v>-299.42500000000001</v>
      </c>
      <c r="K1786">
        <v>1.1213550000000001</v>
      </c>
      <c r="L1786">
        <v>284.74529999999999</v>
      </c>
      <c r="M1786">
        <v>-0.99989300000000003</v>
      </c>
      <c r="N1786">
        <v>-1.427206E-2</v>
      </c>
      <c r="O1786">
        <v>-3.2379729999999999E-3</v>
      </c>
      <c r="P1786">
        <v>-0.98072179999999998</v>
      </c>
      <c r="Q1786">
        <v>0.19354550000000001</v>
      </c>
      <c r="R1786">
        <v>2.6930559999999999E-2</v>
      </c>
      <c r="S1786">
        <v>-3.07254</v>
      </c>
      <c r="T1786">
        <v>-2.4029970000000001E-2</v>
      </c>
      <c r="U1786">
        <v>-0.33300780000000002</v>
      </c>
      <c r="V1786">
        <v>3.0030169999999998E-2</v>
      </c>
      <c r="W1786">
        <v>0.20753260000000001</v>
      </c>
      <c r="X1786">
        <v>0.9777671</v>
      </c>
      <c r="Y1786">
        <v>-0.1045219</v>
      </c>
      <c r="Z1786">
        <v>-1.1764810000000001E-3</v>
      </c>
      <c r="AA1786">
        <v>0.99452189999999996</v>
      </c>
      <c r="AB1786">
        <v>37</v>
      </c>
      <c r="AC1786">
        <v>-132.772099999999</v>
      </c>
      <c r="AD1786">
        <v>-1.0413525400000001</v>
      </c>
      <c r="AE1786">
        <v>-14.4298</v>
      </c>
      <c r="AF1786">
        <v>-13.998917021493799</v>
      </c>
      <c r="AG1786">
        <v>-1.0413525400000001</v>
      </c>
      <c r="AH1786">
        <v>132.81005743625599</v>
      </c>
      <c r="AI1786">
        <v>90.446767294128193</v>
      </c>
      <c r="AJ1786">
        <v>96.017074841978499</v>
      </c>
      <c r="AK1786">
        <v>133.549861284499</v>
      </c>
      <c r="AL1786">
        <v>78.022205199741094</v>
      </c>
      <c r="AM1786">
        <v>88.240827190060898</v>
      </c>
      <c r="AN1786">
        <v>1.0000000465076899</v>
      </c>
    </row>
    <row r="1787" spans="1:40" x14ac:dyDescent="0.25">
      <c r="A1787" t="str">
        <f>"20190303170532755"</f>
        <v>20190303170532755</v>
      </c>
      <c r="B1787" t="str">
        <f>"1551603932746120"</f>
        <v>1551603932746120</v>
      </c>
      <c r="C1787" t="s">
        <v>40</v>
      </c>
      <c r="D1787">
        <v>5.5865340000000003</v>
      </c>
      <c r="E1787">
        <v>0.45235160000000002</v>
      </c>
      <c r="F1787" t="s">
        <v>64</v>
      </c>
      <c r="G1787">
        <v>-429.9837</v>
      </c>
      <c r="H1787">
        <v>7.5930010000000006E-2</v>
      </c>
      <c r="I1787">
        <v>270.61900000000003</v>
      </c>
      <c r="J1787">
        <v>-299.77409999999998</v>
      </c>
      <c r="K1787">
        <v>1.1213580000000001</v>
      </c>
      <c r="L1787">
        <v>284.74400000000003</v>
      </c>
      <c r="M1787">
        <v>-0.99989280000000003</v>
      </c>
      <c r="N1787">
        <v>-1.425011E-2</v>
      </c>
      <c r="O1787">
        <v>-3.392525E-3</v>
      </c>
      <c r="P1787">
        <v>-0.98067649999999995</v>
      </c>
      <c r="Q1787">
        <v>0.193712</v>
      </c>
      <c r="R1787">
        <v>2.7375529999999999E-2</v>
      </c>
      <c r="S1787">
        <v>-3.072937</v>
      </c>
      <c r="T1787">
        <v>-2.4605990000000001E-2</v>
      </c>
      <c r="U1787">
        <v>-0.33248899999999998</v>
      </c>
      <c r="V1787">
        <v>3.0626770000000001E-2</v>
      </c>
      <c r="W1787">
        <v>0.20767669999999999</v>
      </c>
      <c r="X1787">
        <v>0.97771790000000003</v>
      </c>
      <c r="Y1787">
        <v>-0.1041883</v>
      </c>
      <c r="Z1787">
        <v>-1.1816159999999999E-3</v>
      </c>
      <c r="AA1787">
        <v>0.99455689999999997</v>
      </c>
      <c r="AB1787">
        <v>37</v>
      </c>
      <c r="AC1787">
        <v>-130.20959999999999</v>
      </c>
      <c r="AD1787">
        <v>-1.0454279900000001</v>
      </c>
      <c r="AE1787">
        <v>-14.125</v>
      </c>
      <c r="AF1787">
        <v>-13.682262834702</v>
      </c>
      <c r="AG1787">
        <v>-1.0454279900000001</v>
      </c>
      <c r="AH1787">
        <v>130.24847642255199</v>
      </c>
      <c r="AI1787">
        <v>90.4573532763293</v>
      </c>
      <c r="AJ1787">
        <v>95.996778719495197</v>
      </c>
      <c r="AK1787">
        <v>130.96932024850801</v>
      </c>
      <c r="AL1787">
        <v>78.013763832632407</v>
      </c>
      <c r="AM1787">
        <v>88.205810649673694</v>
      </c>
      <c r="AN1787">
        <v>0.99999995137196496</v>
      </c>
    </row>
    <row r="1788" spans="1:40" x14ac:dyDescent="0.25">
      <c r="A1788" t="str">
        <f>"20190303170532778"</f>
        <v>20190303170532778</v>
      </c>
      <c r="B1788" t="str">
        <f>"1551603932766599"</f>
        <v>1551603932766599</v>
      </c>
      <c r="C1788" t="s">
        <v>40</v>
      </c>
      <c r="D1788">
        <v>5.6333900000000003</v>
      </c>
      <c r="E1788">
        <v>0.45238590000000001</v>
      </c>
      <c r="F1788" t="s">
        <v>64</v>
      </c>
      <c r="G1788">
        <v>-434.64940000000001</v>
      </c>
      <c r="H1788">
        <v>8.0002459999999997E-2</v>
      </c>
      <c r="I1788">
        <v>270.26609999999999</v>
      </c>
      <c r="J1788">
        <v>-300.14670000000001</v>
      </c>
      <c r="K1788">
        <v>1.121353</v>
      </c>
      <c r="L1788">
        <v>284.74259999999998</v>
      </c>
      <c r="M1788">
        <v>-0.99989260000000002</v>
      </c>
      <c r="N1788">
        <v>-1.422592E-2</v>
      </c>
      <c r="O1788">
        <v>-3.551191E-3</v>
      </c>
      <c r="P1788">
        <v>-0.98053230000000002</v>
      </c>
      <c r="Q1788">
        <v>0.1943918</v>
      </c>
      <c r="R1788">
        <v>2.771289E-2</v>
      </c>
      <c r="S1788">
        <v>-3.0729980000000001</v>
      </c>
      <c r="T1788">
        <v>-2.3726219999999999E-2</v>
      </c>
      <c r="U1788">
        <v>-0.3298645</v>
      </c>
      <c r="V1788">
        <v>3.1120459999999999E-2</v>
      </c>
      <c r="W1788">
        <v>0.2083306</v>
      </c>
      <c r="X1788">
        <v>0.97756330000000002</v>
      </c>
      <c r="Y1788">
        <v>-0.10318919999999999</v>
      </c>
      <c r="Z1788">
        <v>-1.156401E-3</v>
      </c>
      <c r="AA1788">
        <v>0.99466109999999996</v>
      </c>
      <c r="AB1788">
        <v>37</v>
      </c>
      <c r="AC1788">
        <v>-134.5027</v>
      </c>
      <c r="AD1788">
        <v>-1.04135054</v>
      </c>
      <c r="AE1788">
        <v>-14.4764999999999</v>
      </c>
      <c r="AF1788">
        <v>-13.997886176411299</v>
      </c>
      <c r="AG1788">
        <v>-1.04135054</v>
      </c>
      <c r="AH1788">
        <v>134.54529316551699</v>
      </c>
      <c r="AI1788">
        <v>90.441067154372604</v>
      </c>
      <c r="AJ1788">
        <v>95.939596560452102</v>
      </c>
      <c r="AK1788">
        <v>135.27550089114399</v>
      </c>
      <c r="AL1788">
        <v>77.975461718880396</v>
      </c>
      <c r="AM1788">
        <v>88.176620348238103</v>
      </c>
      <c r="AN1788">
        <v>1.00000006371692</v>
      </c>
    </row>
    <row r="1789" spans="1:40" x14ac:dyDescent="0.25">
      <c r="A1789" t="str">
        <f>"20190303170532801"</f>
        <v>20190303170532801</v>
      </c>
      <c r="B1789" t="str">
        <f>"1551603932796855"</f>
        <v>1551603932796855</v>
      </c>
      <c r="C1789" t="s">
        <v>40</v>
      </c>
      <c r="D1789">
        <v>5.6389420000000001</v>
      </c>
      <c r="E1789">
        <v>0.4834734</v>
      </c>
      <c r="F1789" t="s">
        <v>43</v>
      </c>
      <c r="G1789">
        <v>-465.1035</v>
      </c>
      <c r="H1789">
        <v>-0.05</v>
      </c>
      <c r="I1789">
        <v>267.12830000000002</v>
      </c>
      <c r="J1789">
        <v>-300.53140000000002</v>
      </c>
      <c r="K1789">
        <v>1.12134</v>
      </c>
      <c r="L1789">
        <v>284.74110000000002</v>
      </c>
      <c r="M1789">
        <v>-0.99989249999999996</v>
      </c>
      <c r="N1789">
        <v>-1.419868E-2</v>
      </c>
      <c r="O1789">
        <v>-3.7020019999999998E-3</v>
      </c>
      <c r="P1789">
        <v>-0.98036999999999996</v>
      </c>
      <c r="Q1789">
        <v>0.19509109999999999</v>
      </c>
      <c r="R1789">
        <v>2.8535749999999999E-2</v>
      </c>
      <c r="S1789">
        <v>-3.0731510000000002</v>
      </c>
      <c r="T1789">
        <v>-2.1822330000000001E-2</v>
      </c>
      <c r="U1789">
        <v>-0.32815549999999999</v>
      </c>
      <c r="V1789">
        <v>3.2094499999999998E-2</v>
      </c>
      <c r="W1789">
        <v>0.20900070000000001</v>
      </c>
      <c r="X1789">
        <v>0.9773887</v>
      </c>
      <c r="Y1789">
        <v>-0.102488</v>
      </c>
      <c r="Z1789">
        <v>-1.1187790000000001E-3</v>
      </c>
      <c r="AA1789">
        <v>0.9947336</v>
      </c>
      <c r="AB1789">
        <v>37</v>
      </c>
      <c r="AC1789">
        <v>-164.57209999999901</v>
      </c>
      <c r="AD1789">
        <v>-1.17134</v>
      </c>
      <c r="AE1789">
        <v>-17.612799999999901</v>
      </c>
      <c r="AF1789">
        <v>-17.002520145982398</v>
      </c>
      <c r="AG1789">
        <v>-1.17134</v>
      </c>
      <c r="AH1789">
        <v>164.62793585016399</v>
      </c>
      <c r="AI1789">
        <v>90.405500038702897</v>
      </c>
      <c r="AJ1789">
        <v>95.896514392891305</v>
      </c>
      <c r="AK1789">
        <v>165.50774903609801</v>
      </c>
      <c r="AL1789">
        <v>77.936202976740006</v>
      </c>
      <c r="AM1789">
        <v>88.119255023009401</v>
      </c>
      <c r="AN1789">
        <v>1.0000000102092099</v>
      </c>
    </row>
    <row r="1790" spans="1:40" x14ac:dyDescent="0.25">
      <c r="A1790" t="str">
        <f>"20190303170532824"</f>
        <v>20190303170532824</v>
      </c>
      <c r="B1790" t="str">
        <f>"1551603932816375"</f>
        <v>1551603932816375</v>
      </c>
      <c r="C1790" t="s">
        <v>40</v>
      </c>
      <c r="D1790">
        <v>5.5737290000000002</v>
      </c>
      <c r="E1790">
        <v>0.48806309999999897</v>
      </c>
      <c r="F1790" t="s">
        <v>60</v>
      </c>
      <c r="G1790">
        <v>-351.16070000000002</v>
      </c>
      <c r="H1790" s="1">
        <v>-9.1910269999999997E-7</v>
      </c>
      <c r="I1790">
        <v>283.428</v>
      </c>
      <c r="J1790">
        <v>-300.90249999999997</v>
      </c>
      <c r="K1790">
        <v>1.1213249999999999</v>
      </c>
      <c r="L1790">
        <v>284.7396</v>
      </c>
      <c r="M1790">
        <v>-0.99989220000000001</v>
      </c>
      <c r="N1790">
        <v>-1.4169920000000001E-2</v>
      </c>
      <c r="O1790">
        <v>-3.8238259999999998E-3</v>
      </c>
      <c r="P1790">
        <v>-0.98015750000000001</v>
      </c>
      <c r="Q1790">
        <v>0.19611980000000001</v>
      </c>
      <c r="R1790">
        <v>2.8774290000000001E-2</v>
      </c>
      <c r="S1790">
        <v>-3.075958</v>
      </c>
      <c r="T1790">
        <v>-6.8126439999999996E-2</v>
      </c>
      <c r="U1790">
        <v>-7.9772949999999995E-2</v>
      </c>
      <c r="V1790">
        <v>3.2458999999999898E-2</v>
      </c>
      <c r="W1790">
        <v>0.20999709999999999</v>
      </c>
      <c r="X1790">
        <v>0.97716309999999995</v>
      </c>
      <c r="Y1790">
        <v>-2.2093749999999999E-2</v>
      </c>
      <c r="Z1790">
        <v>-3.7070540000000001E-4</v>
      </c>
      <c r="AA1790">
        <v>0.99975590000000003</v>
      </c>
      <c r="AB1790">
        <v>37</v>
      </c>
      <c r="AC1790">
        <v>-50.258200000000002</v>
      </c>
      <c r="AD1790">
        <v>-1.1213259191027001</v>
      </c>
      <c r="AE1790">
        <v>-1.3115999999999901</v>
      </c>
      <c r="AF1790">
        <v>-1.11883591262034</v>
      </c>
      <c r="AG1790">
        <v>-1.1213259191027001</v>
      </c>
      <c r="AH1790">
        <v>50.237857235180897</v>
      </c>
      <c r="AI1790">
        <v>91.278331939674501</v>
      </c>
      <c r="AJ1790">
        <v>91.275810396554405</v>
      </c>
      <c r="AK1790">
        <v>50.262823888025203</v>
      </c>
      <c r="AL1790">
        <v>77.877818272851897</v>
      </c>
      <c r="AM1790">
        <v>88.0974720252716</v>
      </c>
      <c r="AN1790">
        <v>1.0000000463455001</v>
      </c>
    </row>
    <row r="1791" spans="1:40" x14ac:dyDescent="0.25">
      <c r="A1791" t="str">
        <f>"20190303170532847"</f>
        <v>20190303170532847</v>
      </c>
      <c r="B1791" t="str">
        <f>"1551603932836872"</f>
        <v>1551603932836872</v>
      </c>
      <c r="C1791" t="s">
        <v>40</v>
      </c>
      <c r="D1791">
        <v>5.7089790000000002</v>
      </c>
      <c r="E1791">
        <v>0.49064269999999999</v>
      </c>
      <c r="F1791" t="s">
        <v>60</v>
      </c>
      <c r="G1791">
        <v>-344.31650000000002</v>
      </c>
      <c r="H1791" s="1">
        <v>7.6025140000000004E-7</v>
      </c>
      <c r="I1791">
        <v>284.13650000000001</v>
      </c>
      <c r="J1791">
        <v>-301.27300000000002</v>
      </c>
      <c r="K1791">
        <v>1.1213089999999999</v>
      </c>
      <c r="L1791">
        <v>284.73809999999997</v>
      </c>
      <c r="M1791">
        <v>-0.99989240000000001</v>
      </c>
      <c r="N1791">
        <v>-1.4141620000000001E-2</v>
      </c>
      <c r="O1791">
        <v>-3.9120099999999996E-3</v>
      </c>
      <c r="P1791">
        <v>-0.97996320000000003</v>
      </c>
      <c r="Q1791">
        <v>0.197135</v>
      </c>
      <c r="R1791">
        <v>2.8460909999999999E-2</v>
      </c>
      <c r="S1791">
        <v>-3.0779109999999998</v>
      </c>
      <c r="T1791">
        <v>-7.9498170000000007E-2</v>
      </c>
      <c r="U1791">
        <v>-4.2755130000000002E-2</v>
      </c>
      <c r="V1791">
        <v>3.2243429999999997E-2</v>
      </c>
      <c r="W1791">
        <v>0.2109798</v>
      </c>
      <c r="X1791">
        <v>0.97695849999999995</v>
      </c>
      <c r="Y1791">
        <v>-9.9726069999999997E-3</v>
      </c>
      <c r="Z1791">
        <v>-1.536005E-4</v>
      </c>
      <c r="AA1791">
        <v>0.99995029999999996</v>
      </c>
      <c r="AB1791">
        <v>37</v>
      </c>
      <c r="AC1791">
        <v>-43.043500000000002</v>
      </c>
      <c r="AD1791">
        <v>-1.1213082397486001</v>
      </c>
      <c r="AE1791">
        <v>-0.60159999999996205</v>
      </c>
      <c r="AF1791">
        <v>-0.432898240184798</v>
      </c>
      <c r="AG1791">
        <v>-1.1213082397486001</v>
      </c>
      <c r="AH1791">
        <v>43.016337670401299</v>
      </c>
      <c r="AI1791">
        <v>91.493117189595395</v>
      </c>
      <c r="AJ1791">
        <v>90.576581043257605</v>
      </c>
      <c r="AK1791">
        <v>43.0331272350601</v>
      </c>
      <c r="AL1791">
        <v>77.820222958662498</v>
      </c>
      <c r="AM1791">
        <v>88.1097025868836</v>
      </c>
      <c r="AN1791">
        <v>1.0000000127542199</v>
      </c>
    </row>
    <row r="1792" spans="1:40" x14ac:dyDescent="0.25">
      <c r="A1792" t="str">
        <f>"20190303170532868"</f>
        <v>20190303170532868</v>
      </c>
      <c r="B1792" t="str">
        <f>"1551603932856127"</f>
        <v>1551603932856127</v>
      </c>
      <c r="C1792" t="s">
        <v>40</v>
      </c>
      <c r="D1792">
        <v>5.7589439999999996</v>
      </c>
      <c r="E1792">
        <v>0.49201159999999999</v>
      </c>
      <c r="F1792" t="s">
        <v>60</v>
      </c>
      <c r="G1792">
        <v>-344.5754</v>
      </c>
      <c r="H1792" s="1">
        <v>8.9800849999999898E-7</v>
      </c>
      <c r="I1792">
        <v>284.41739999999999</v>
      </c>
      <c r="J1792">
        <v>-301.63670000000002</v>
      </c>
      <c r="K1792">
        <v>1.121289</v>
      </c>
      <c r="L1792">
        <v>284.73649999999998</v>
      </c>
      <c r="M1792">
        <v>-0.99989249999999996</v>
      </c>
      <c r="N1792">
        <v>-1.4114710000000001E-2</v>
      </c>
      <c r="O1792">
        <v>-3.9709719999999997E-3</v>
      </c>
      <c r="P1792">
        <v>-0.97980080000000003</v>
      </c>
      <c r="Q1792">
        <v>0.19802059999999999</v>
      </c>
      <c r="R1792">
        <v>2.7903790000000001E-2</v>
      </c>
      <c r="S1792">
        <v>-3.078033</v>
      </c>
      <c r="T1792">
        <v>-7.9705239999999997E-2</v>
      </c>
      <c r="U1792">
        <v>-2.2796629999999998E-2</v>
      </c>
      <c r="V1792">
        <v>3.1756659999999999E-2</v>
      </c>
      <c r="W1792">
        <v>0.21183450000000001</v>
      </c>
      <c r="X1792">
        <v>0.97678949999999998</v>
      </c>
      <c r="Y1792">
        <v>-3.433209E-3</v>
      </c>
      <c r="Z1792" s="1">
        <v>-2.1918990000000001E-5</v>
      </c>
      <c r="AA1792">
        <v>0.9999941</v>
      </c>
      <c r="AB1792">
        <v>37</v>
      </c>
      <c r="AC1792">
        <v>-42.938699999999898</v>
      </c>
      <c r="AD1792">
        <v>-1.1212881019915</v>
      </c>
      <c r="AE1792">
        <v>-0.319099999999991</v>
      </c>
      <c r="AF1792">
        <v>-0.14847088090511301</v>
      </c>
      <c r="AG1792">
        <v>-1.1212881019915</v>
      </c>
      <c r="AH1792">
        <v>42.910368613311199</v>
      </c>
      <c r="AI1792">
        <v>91.496842765423494</v>
      </c>
      <c r="AJ1792">
        <v>90.198243948599099</v>
      </c>
      <c r="AK1792">
        <v>42.925273035129202</v>
      </c>
      <c r="AL1792">
        <v>77.770120092912606</v>
      </c>
      <c r="AM1792">
        <v>88.137897747651394</v>
      </c>
      <c r="AN1792">
        <v>1.00000003407742</v>
      </c>
    </row>
    <row r="1793" spans="1:40" x14ac:dyDescent="0.25">
      <c r="A1793" t="str">
        <f>"20190303170532891"</f>
        <v>20190303170532891</v>
      </c>
      <c r="B1793" t="str">
        <f>"1551603932876624"</f>
        <v>1551603932876624</v>
      </c>
      <c r="C1793" t="s">
        <v>40</v>
      </c>
      <c r="D1793">
        <v>5.7019880000000001</v>
      </c>
      <c r="E1793">
        <v>0.49287559999999903</v>
      </c>
      <c r="F1793" t="s">
        <v>60</v>
      </c>
      <c r="G1793">
        <v>-344.9171</v>
      </c>
      <c r="H1793" s="1">
        <v>1.079861E-6</v>
      </c>
      <c r="I1793">
        <v>284.55459999999999</v>
      </c>
      <c r="J1793">
        <v>-302.00049999999999</v>
      </c>
      <c r="K1793">
        <v>1.1212740000000001</v>
      </c>
      <c r="L1793">
        <v>284.73500000000001</v>
      </c>
      <c r="M1793">
        <v>-0.99989280000000003</v>
      </c>
      <c r="N1793">
        <v>-1.4085429999999999E-2</v>
      </c>
      <c r="O1793">
        <v>-4.0068309999999998E-3</v>
      </c>
      <c r="P1793">
        <v>-0.97957090000000002</v>
      </c>
      <c r="Q1793">
        <v>0.1991677</v>
      </c>
      <c r="R1793">
        <v>2.780022E-2</v>
      </c>
      <c r="S1793">
        <v>-3.0783390000000002</v>
      </c>
      <c r="T1793">
        <v>-7.9752210000000004E-2</v>
      </c>
      <c r="U1793">
        <v>-1.293945E-2</v>
      </c>
      <c r="V1793">
        <v>3.1699070000000003E-2</v>
      </c>
      <c r="W1793">
        <v>0.2129482</v>
      </c>
      <c r="X1793">
        <v>0.97654909999999995</v>
      </c>
      <c r="Y1793">
        <v>-1.9630259999999999E-4</v>
      </c>
      <c r="Z1793" s="1">
        <v>4.3427100000000003E-5</v>
      </c>
      <c r="AA1793">
        <v>1</v>
      </c>
      <c r="AB1793">
        <v>37</v>
      </c>
      <c r="AC1793">
        <v>-42.916600000000003</v>
      </c>
      <c r="AD1793">
        <v>-1.1212729201389999</v>
      </c>
      <c r="AE1793">
        <v>-0.18040000000001999</v>
      </c>
      <c r="AF1793">
        <v>-8.4161881790595899E-3</v>
      </c>
      <c r="AG1793">
        <v>-1.1212729201389999</v>
      </c>
      <c r="AH1793">
        <v>42.887703310098097</v>
      </c>
      <c r="AI1793">
        <v>91.497622120459198</v>
      </c>
      <c r="AJ1793">
        <v>90.011243597088196</v>
      </c>
      <c r="AK1793">
        <v>42.902359131039098</v>
      </c>
      <c r="AL1793">
        <v>77.704818960918999</v>
      </c>
      <c r="AM1793">
        <v>88.140815010511105</v>
      </c>
      <c r="AN1793">
        <v>0.99999995581645595</v>
      </c>
    </row>
    <row r="1794" spans="1:40" x14ac:dyDescent="0.25">
      <c r="A1794" t="str">
        <f>"20190303170532914"</f>
        <v>20190303170532914</v>
      </c>
      <c r="B1794" t="str">
        <f>"1551603932906880"</f>
        <v>1551603932906880</v>
      </c>
      <c r="C1794" t="s">
        <v>40</v>
      </c>
      <c r="D1794">
        <v>5.523879</v>
      </c>
      <c r="E1794">
        <v>0.49431999999999998</v>
      </c>
      <c r="F1794" t="s">
        <v>60</v>
      </c>
      <c r="G1794">
        <v>-345.98660000000001</v>
      </c>
      <c r="H1794" s="1">
        <v>1.6489819999999999E-6</v>
      </c>
      <c r="I1794">
        <v>284.65089999999998</v>
      </c>
      <c r="J1794">
        <v>-302.39179999999999</v>
      </c>
      <c r="K1794">
        <v>1.1212549999999999</v>
      </c>
      <c r="L1794">
        <v>284.73349999999999</v>
      </c>
      <c r="M1794">
        <v>-0.99989329999999998</v>
      </c>
      <c r="N1794">
        <v>-1.405295E-2</v>
      </c>
      <c r="O1794">
        <v>-4.0133369999999996E-3</v>
      </c>
      <c r="P1794">
        <v>-0.97922719999999996</v>
      </c>
      <c r="Q1794">
        <v>0.20080729999999999</v>
      </c>
      <c r="R1794">
        <v>2.812574E-2</v>
      </c>
      <c r="S1794">
        <v>-3.0786739999999999</v>
      </c>
      <c r="T1794">
        <v>-7.848012E-2</v>
      </c>
      <c r="U1794">
        <v>-5.8898930000000002E-3</v>
      </c>
      <c r="V1794">
        <v>3.2042290000000001E-2</v>
      </c>
      <c r="W1794">
        <v>0.2145492</v>
      </c>
      <c r="X1794">
        <v>0.97618749999999999</v>
      </c>
      <c r="Y1794">
        <v>2.0992979999999999E-3</v>
      </c>
      <c r="Z1794" s="1">
        <v>8.7399009999999995E-5</v>
      </c>
      <c r="AA1794">
        <v>0.99999780000000005</v>
      </c>
      <c r="AB1794">
        <v>37</v>
      </c>
      <c r="AC1794">
        <v>-43.594799999999999</v>
      </c>
      <c r="AD1794">
        <v>-1.1212533510179901</v>
      </c>
      <c r="AE1794">
        <v>-8.2600000000013496E-2</v>
      </c>
      <c r="AF1794">
        <v>9.2317481058829004E-2</v>
      </c>
      <c r="AG1794">
        <v>-1.1212533510179901</v>
      </c>
      <c r="AH1794">
        <v>43.5659610464362</v>
      </c>
      <c r="AI1794">
        <v>91.474287726026503</v>
      </c>
      <c r="AJ1794">
        <v>89.878588834127399</v>
      </c>
      <c r="AK1794">
        <v>43.580485237019502</v>
      </c>
      <c r="AL1794">
        <v>77.610919434677001</v>
      </c>
      <c r="AM1794">
        <v>88.120003508817206</v>
      </c>
      <c r="AN1794">
        <v>1.0000000513626599</v>
      </c>
    </row>
    <row r="1795" spans="1:40" x14ac:dyDescent="0.25">
      <c r="A1795" t="str">
        <f>"20190303170532935"</f>
        <v>20190303170532935</v>
      </c>
      <c r="B1795" t="str">
        <f>"1551603932926400"</f>
        <v>1551603932926400</v>
      </c>
      <c r="C1795" t="s">
        <v>40</v>
      </c>
      <c r="D1795">
        <v>5.6413789999999997</v>
      </c>
      <c r="E1795">
        <v>0.49475560000000002</v>
      </c>
      <c r="F1795" t="s">
        <v>60</v>
      </c>
      <c r="G1795">
        <v>-349.36279999999999</v>
      </c>
      <c r="H1795" s="1">
        <v>3.4456379999999999E-6</v>
      </c>
      <c r="I1795">
        <v>284.8415</v>
      </c>
      <c r="J1795">
        <v>-302.73540000000003</v>
      </c>
      <c r="K1795">
        <v>1.1212310000000001</v>
      </c>
      <c r="L1795">
        <v>284.7321</v>
      </c>
      <c r="M1795">
        <v>-0.99989380000000005</v>
      </c>
      <c r="N1795">
        <v>-1.4025660000000001E-2</v>
      </c>
      <c r="O1795">
        <v>-3.9813569999999996E-3</v>
      </c>
      <c r="P1795">
        <v>-0.97900120000000002</v>
      </c>
      <c r="Q1795">
        <v>0.2018028</v>
      </c>
      <c r="R1795">
        <v>2.885163E-2</v>
      </c>
      <c r="S1795">
        <v>-3.0785520000000002</v>
      </c>
      <c r="T1795">
        <v>-7.348847E-2</v>
      </c>
      <c r="U1795">
        <v>7.0800780000000001E-3</v>
      </c>
      <c r="V1795">
        <v>3.2749170000000001E-2</v>
      </c>
      <c r="W1795">
        <v>0.21551219999999999</v>
      </c>
      <c r="X1795">
        <v>0.97595189999999998</v>
      </c>
      <c r="Y1795">
        <v>6.2784879999999996E-3</v>
      </c>
      <c r="Z1795">
        <v>1.5815370000000001E-4</v>
      </c>
      <c r="AA1795">
        <v>0.99998030000000004</v>
      </c>
      <c r="AB1795">
        <v>37</v>
      </c>
      <c r="AC1795">
        <v>-46.627399999999902</v>
      </c>
      <c r="AD1795">
        <v>-1.1212275543619901</v>
      </c>
      <c r="AE1795">
        <v>0.109399999999993</v>
      </c>
      <c r="AF1795">
        <v>0.29488719003083802</v>
      </c>
      <c r="AG1795">
        <v>-1.1212275543619901</v>
      </c>
      <c r="AH1795">
        <v>46.599649325998101</v>
      </c>
      <c r="AI1795">
        <v>91.378292100063803</v>
      </c>
      <c r="AJ1795">
        <v>89.637431479822297</v>
      </c>
      <c r="AK1795">
        <v>46.6140689812582</v>
      </c>
      <c r="AL1795">
        <v>77.554422127859397</v>
      </c>
      <c r="AM1795">
        <v>88.078096452447895</v>
      </c>
      <c r="AN1795">
        <v>1.00000006379906</v>
      </c>
    </row>
    <row r="1796" spans="1:40" x14ac:dyDescent="0.25">
      <c r="A1796" t="str">
        <f>"20190303170532957"</f>
        <v>20190303170532957</v>
      </c>
      <c r="B1796" t="str">
        <f>"1551603932946577"</f>
        <v>1551603932946577</v>
      </c>
      <c r="C1796" t="s">
        <v>40</v>
      </c>
      <c r="D1796">
        <v>5.4300490000000003</v>
      </c>
      <c r="E1796">
        <v>0.49524620000000003</v>
      </c>
      <c r="F1796" t="s">
        <v>60</v>
      </c>
      <c r="G1796">
        <v>-352.38189999999997</v>
      </c>
      <c r="H1796" s="1">
        <v>-2.6927410000000002E-7</v>
      </c>
      <c r="I1796">
        <v>284.94080000000002</v>
      </c>
      <c r="J1796">
        <v>-303.0899</v>
      </c>
      <c r="K1796">
        <v>1.1211979999999999</v>
      </c>
      <c r="L1796">
        <v>284.73070000000001</v>
      </c>
      <c r="M1796">
        <v>-0.99989439999999996</v>
      </c>
      <c r="N1796">
        <v>-1.3999609999999999E-2</v>
      </c>
      <c r="O1796">
        <v>-3.908725E-3</v>
      </c>
      <c r="P1796">
        <v>-0.97882449999999999</v>
      </c>
      <c r="Q1796">
        <v>0.2024985</v>
      </c>
      <c r="R1796">
        <v>2.9954499999999998E-2</v>
      </c>
      <c r="S1796">
        <v>-3.0783079999999998</v>
      </c>
      <c r="T1796">
        <v>-6.9521550000000001E-2</v>
      </c>
      <c r="U1796">
        <v>1.293945E-2</v>
      </c>
      <c r="V1796">
        <v>3.3797929999999997E-2</v>
      </c>
      <c r="W1796">
        <v>0.21617749999999999</v>
      </c>
      <c r="X1796">
        <v>0.97576890000000005</v>
      </c>
      <c r="Y1796">
        <v>8.1089419999999992E-3</v>
      </c>
      <c r="Z1796">
        <v>1.818752E-4</v>
      </c>
      <c r="AA1796">
        <v>0.9999671</v>
      </c>
      <c r="AB1796">
        <v>37</v>
      </c>
      <c r="AC1796">
        <v>-49.291999999999902</v>
      </c>
      <c r="AD1796">
        <v>-1.1211982692740901</v>
      </c>
      <c r="AE1796">
        <v>0.210100000000011</v>
      </c>
      <c r="AF1796">
        <v>0.40257786007126301</v>
      </c>
      <c r="AG1796">
        <v>-1.1211982692740901</v>
      </c>
      <c r="AH1796">
        <v>49.265313515304001</v>
      </c>
      <c r="AI1796">
        <v>91.303690024409605</v>
      </c>
      <c r="AJ1796">
        <v>89.531810572850304</v>
      </c>
      <c r="AK1796">
        <v>49.279714591844296</v>
      </c>
      <c r="AL1796">
        <v>77.515381927352394</v>
      </c>
      <c r="AM1796">
        <v>88.016226095994796</v>
      </c>
      <c r="AN1796">
        <v>0.99999997889287195</v>
      </c>
    </row>
    <row r="1797" spans="1:40" x14ac:dyDescent="0.25">
      <c r="A1797" t="str">
        <f>"20190303170532970"</f>
        <v>20190303170532970</v>
      </c>
      <c r="B1797" t="str">
        <f>"1551603932956318"</f>
        <v>1551603932956318</v>
      </c>
      <c r="C1797" t="s">
        <v>40</v>
      </c>
      <c r="D1797">
        <v>5.583272</v>
      </c>
      <c r="E1797">
        <v>0.49555100000000002</v>
      </c>
      <c r="F1797" t="s">
        <v>60</v>
      </c>
      <c r="G1797">
        <v>-353.5532</v>
      </c>
      <c r="H1797" s="1">
        <v>3.5405259999999998E-7</v>
      </c>
      <c r="I1797">
        <v>285.07089999999999</v>
      </c>
      <c r="J1797">
        <v>-303.31700000000001</v>
      </c>
      <c r="K1797">
        <v>1.1211719999999901</v>
      </c>
      <c r="L1797">
        <v>284.72989999999999</v>
      </c>
      <c r="M1797">
        <v>-0.99989490000000003</v>
      </c>
      <c r="N1797">
        <v>-1.3984130000000001E-2</v>
      </c>
      <c r="O1797">
        <v>-3.8409749999999999E-3</v>
      </c>
      <c r="P1797">
        <v>-0.97877400000000003</v>
      </c>
      <c r="Q1797">
        <v>0.20266029999999999</v>
      </c>
      <c r="R1797">
        <v>3.0506499999999999E-2</v>
      </c>
      <c r="S1797">
        <v>-3.07843</v>
      </c>
      <c r="T1797">
        <v>-6.8396810000000002E-2</v>
      </c>
      <c r="U1797">
        <v>2.0751950000000002E-2</v>
      </c>
      <c r="V1797">
        <v>3.4296390000000003E-2</v>
      </c>
      <c r="W1797">
        <v>0.21632090000000001</v>
      </c>
      <c r="X1797">
        <v>0.97571969999999997</v>
      </c>
      <c r="Y1797">
        <v>1.057776E-2</v>
      </c>
      <c r="Z1797">
        <v>2.2308819999999999E-4</v>
      </c>
      <c r="AA1797">
        <v>0.99994400000000006</v>
      </c>
      <c r="AB1797">
        <v>37</v>
      </c>
      <c r="AC1797">
        <v>-50.236199999999997</v>
      </c>
      <c r="AD1797">
        <v>-1.1211716459473999</v>
      </c>
      <c r="AE1797">
        <v>0.34100000000000802</v>
      </c>
      <c r="AF1797">
        <v>0.53370650705978295</v>
      </c>
      <c r="AG1797">
        <v>-1.1211716459473999</v>
      </c>
      <c r="AH1797">
        <v>50.209511589938003</v>
      </c>
      <c r="AI1797">
        <v>91.279122235903003</v>
      </c>
      <c r="AJ1797">
        <v>89.390992308636697</v>
      </c>
      <c r="AK1797">
        <v>50.224863589615403</v>
      </c>
      <c r="AL1797">
        <v>77.506966268722493</v>
      </c>
      <c r="AM1797">
        <v>87.986891395852695</v>
      </c>
      <c r="AN1797">
        <v>0.99999995355596505</v>
      </c>
    </row>
    <row r="1798" spans="1:40" x14ac:dyDescent="0.25">
      <c r="A1798" t="str">
        <f>"20190303170532984"</f>
        <v>20190303170532984</v>
      </c>
      <c r="B1798" t="str">
        <f>"1551603932976813"</f>
        <v>1551603932976813</v>
      </c>
      <c r="C1798" t="s">
        <v>40</v>
      </c>
      <c r="D1798">
        <v>5.4886990000000004</v>
      </c>
      <c r="E1798">
        <v>0.49589440000000001</v>
      </c>
      <c r="F1798" t="s">
        <v>60</v>
      </c>
      <c r="G1798">
        <v>-353.8039</v>
      </c>
      <c r="H1798" s="1">
        <v>4.8746309999999997E-7</v>
      </c>
      <c r="I1798">
        <v>285.1438</v>
      </c>
      <c r="J1798">
        <v>-303.54450000000003</v>
      </c>
      <c r="K1798">
        <v>1.121148</v>
      </c>
      <c r="L1798">
        <v>284.72910000000002</v>
      </c>
      <c r="M1798">
        <v>-0.99989550000000005</v>
      </c>
      <c r="N1798">
        <v>-1.396937E-2</v>
      </c>
      <c r="O1798">
        <v>-3.7607019999999999E-3</v>
      </c>
      <c r="P1798">
        <v>-0.97872709999999996</v>
      </c>
      <c r="Q1798">
        <v>0.2027706</v>
      </c>
      <c r="R1798">
        <v>3.1263630000000001E-2</v>
      </c>
      <c r="S1798">
        <v>-3.0784609999999999</v>
      </c>
      <c r="T1798">
        <v>-6.8363899999999894E-2</v>
      </c>
      <c r="U1798">
        <v>2.523804E-2</v>
      </c>
      <c r="V1798">
        <v>3.4987860000000003E-2</v>
      </c>
      <c r="W1798">
        <v>0.216414</v>
      </c>
      <c r="X1798">
        <v>0.97567459999999995</v>
      </c>
      <c r="Y1798">
        <v>1.195394E-2</v>
      </c>
      <c r="Z1798">
        <v>2.4719910000000001E-4</v>
      </c>
      <c r="AA1798">
        <v>0.9999285</v>
      </c>
      <c r="AB1798">
        <v>37</v>
      </c>
      <c r="AC1798">
        <v>-50.2593999999999</v>
      </c>
      <c r="AD1798">
        <v>-1.1211475125368999</v>
      </c>
      <c r="AE1798">
        <v>0.41469999999998203</v>
      </c>
      <c r="AF1798">
        <v>0.60342585812777705</v>
      </c>
      <c r="AG1798">
        <v>-1.1211475125368999</v>
      </c>
      <c r="AH1798">
        <v>50.232490215747703</v>
      </c>
      <c r="AI1798">
        <v>91.278489780452603</v>
      </c>
      <c r="AJ1798">
        <v>89.311758348603007</v>
      </c>
      <c r="AK1798">
        <v>50.248623541210698</v>
      </c>
      <c r="AL1798">
        <v>77.501503800267997</v>
      </c>
      <c r="AM1798">
        <v>87.946243473847105</v>
      </c>
      <c r="AN1798">
        <v>1.0000000474142601</v>
      </c>
    </row>
    <row r="1799" spans="1:40" x14ac:dyDescent="0.25">
      <c r="A1799" t="str">
        <f>"20190303170532996"</f>
        <v>20190303170532996</v>
      </c>
      <c r="B1799" t="str">
        <f>"1551603932986573"</f>
        <v>1551603932986573</v>
      </c>
      <c r="C1799" t="s">
        <v>40</v>
      </c>
      <c r="D1799">
        <v>5.5800809999999998</v>
      </c>
      <c r="E1799">
        <v>0.49596560000000001</v>
      </c>
      <c r="F1799" t="s">
        <v>60</v>
      </c>
      <c r="G1799">
        <v>-354.43200000000002</v>
      </c>
      <c r="H1799" s="1">
        <v>8.2171909999999899E-7</v>
      </c>
      <c r="I1799">
        <v>285.22750000000002</v>
      </c>
      <c r="J1799">
        <v>-303.74869999999999</v>
      </c>
      <c r="K1799">
        <v>1.1211279999999999</v>
      </c>
      <c r="L1799">
        <v>284.72840000000002</v>
      </c>
      <c r="M1799">
        <v>-0.99989589999999995</v>
      </c>
      <c r="N1799">
        <v>-1.395711E-2</v>
      </c>
      <c r="O1799">
        <v>-3.6733569999999999E-3</v>
      </c>
      <c r="P1799">
        <v>-0.97859419999999997</v>
      </c>
      <c r="Q1799">
        <v>0.2032794</v>
      </c>
      <c r="R1799">
        <v>3.2111840000000003E-2</v>
      </c>
      <c r="S1799">
        <v>-3.0783079999999998</v>
      </c>
      <c r="T1799">
        <v>-6.7820790000000006E-2</v>
      </c>
      <c r="U1799">
        <v>3.015137E-2</v>
      </c>
      <c r="V1799">
        <v>3.5761719999999997E-2</v>
      </c>
      <c r="W1799">
        <v>0.21690699999999999</v>
      </c>
      <c r="X1799">
        <v>0.97553699999999999</v>
      </c>
      <c r="Y1799">
        <v>1.346233E-2</v>
      </c>
      <c r="Z1799">
        <v>2.7190249999999998E-4</v>
      </c>
      <c r="AA1799">
        <v>0.9999093</v>
      </c>
      <c r="AB1799">
        <v>37</v>
      </c>
      <c r="AC1799">
        <v>-50.683299999999903</v>
      </c>
      <c r="AD1799">
        <v>-1.1211271782809</v>
      </c>
      <c r="AE1799">
        <v>0.49909999999999799</v>
      </c>
      <c r="AF1799">
        <v>0.68495749261693095</v>
      </c>
      <c r="AG1799">
        <v>-1.1211271782809</v>
      </c>
      <c r="AH1799">
        <v>50.656340415727499</v>
      </c>
      <c r="AI1799">
        <v>91.267748546844004</v>
      </c>
      <c r="AJ1799">
        <v>89.225313522168094</v>
      </c>
      <c r="AK1799">
        <v>50.673374835613998</v>
      </c>
      <c r="AL1799">
        <v>77.472569015875393</v>
      </c>
      <c r="AM1799">
        <v>87.900562952462394</v>
      </c>
      <c r="AN1799">
        <v>0.99999999281767904</v>
      </c>
    </row>
    <row r="1800" spans="1:40" x14ac:dyDescent="0.25">
      <c r="A1800" t="str">
        <f>"20190303170533013"</f>
        <v>20190303170533013</v>
      </c>
      <c r="B1800" t="str">
        <f>"1551603933006095"</f>
        <v>1551603933006095</v>
      </c>
      <c r="C1800" t="s">
        <v>40</v>
      </c>
      <c r="D1800">
        <v>5.5822430000000001</v>
      </c>
      <c r="E1800">
        <v>0.49622450000000001</v>
      </c>
      <c r="F1800" t="s">
        <v>60</v>
      </c>
      <c r="G1800">
        <v>-356.25599999999997</v>
      </c>
      <c r="H1800" s="1">
        <v>1.7923249999999901E-6</v>
      </c>
      <c r="I1800">
        <v>285.29219999999998</v>
      </c>
      <c r="J1800">
        <v>-304.03019999999998</v>
      </c>
      <c r="K1800">
        <v>1.121105</v>
      </c>
      <c r="L1800">
        <v>284.72750000000002</v>
      </c>
      <c r="M1800">
        <v>-0.99989660000000002</v>
      </c>
      <c r="N1800">
        <v>-1.394109E-2</v>
      </c>
      <c r="O1800">
        <v>-3.5415590000000001E-3</v>
      </c>
      <c r="P1800">
        <v>-0.97833970000000003</v>
      </c>
      <c r="Q1800">
        <v>0.20427580000000001</v>
      </c>
      <c r="R1800">
        <v>3.3507879999999997E-2</v>
      </c>
      <c r="S1800">
        <v>-3.0781860000000001</v>
      </c>
      <c r="T1800">
        <v>-6.5724850000000001E-2</v>
      </c>
      <c r="U1800">
        <v>3.3050540000000003E-2</v>
      </c>
      <c r="V1800">
        <v>3.7042100000000001E-2</v>
      </c>
      <c r="W1800">
        <v>0.21788160000000001</v>
      </c>
      <c r="X1800">
        <v>0.97527200000000003</v>
      </c>
      <c r="Y1800">
        <v>1.427256E-2</v>
      </c>
      <c r="Z1800">
        <v>2.7810079999999999E-4</v>
      </c>
      <c r="AA1800">
        <v>0.99989810000000001</v>
      </c>
      <c r="AB1800">
        <v>37</v>
      </c>
      <c r="AC1800">
        <v>-52.2257999999999</v>
      </c>
      <c r="AD1800">
        <v>-1.121103207675</v>
      </c>
      <c r="AE1800">
        <v>0.56469999999995901</v>
      </c>
      <c r="AF1800">
        <v>0.74932991889779899</v>
      </c>
      <c r="AG1800">
        <v>-1.121103207675</v>
      </c>
      <c r="AH1800">
        <v>52.1994211449015</v>
      </c>
      <c r="AI1800">
        <v>91.230243412883596</v>
      </c>
      <c r="AJ1800">
        <v>89.177567640778904</v>
      </c>
      <c r="AK1800">
        <v>52.216835748563</v>
      </c>
      <c r="AL1800">
        <v>77.415360317465499</v>
      </c>
      <c r="AM1800">
        <v>87.824877243330604</v>
      </c>
      <c r="AN1800">
        <v>0.99999999138748497</v>
      </c>
    </row>
    <row r="1801" spans="1:40" x14ac:dyDescent="0.25">
      <c r="A1801" t="str">
        <f>"20190303170533027"</f>
        <v>20190303170533027</v>
      </c>
      <c r="B1801" t="str">
        <f>"1551603933016829"</f>
        <v>1551603933016829</v>
      </c>
      <c r="C1801" t="s">
        <v>40</v>
      </c>
      <c r="D1801">
        <v>5.5838950000000001</v>
      </c>
      <c r="E1801">
        <v>0.49627700000000002</v>
      </c>
      <c r="F1801" t="s">
        <v>60</v>
      </c>
      <c r="G1801">
        <v>-358.65660000000003</v>
      </c>
      <c r="H1801" s="1">
        <v>3.069822E-6</v>
      </c>
      <c r="I1801">
        <v>285.41370000000001</v>
      </c>
      <c r="J1801">
        <v>-304.24340000000001</v>
      </c>
      <c r="K1801">
        <v>1.1210880000000001</v>
      </c>
      <c r="L1801">
        <v>284.72680000000003</v>
      </c>
      <c r="M1801">
        <v>-0.99989720000000004</v>
      </c>
      <c r="N1801">
        <v>-1.3928909999999999E-2</v>
      </c>
      <c r="O1801">
        <v>-3.433186E-3</v>
      </c>
      <c r="P1801">
        <v>-0.97813669999999997</v>
      </c>
      <c r="Q1801">
        <v>0.2050921</v>
      </c>
      <c r="R1801">
        <v>3.443889E-2</v>
      </c>
      <c r="S1801">
        <v>-3.0782780000000001</v>
      </c>
      <c r="T1801">
        <v>-6.3175800000000004E-2</v>
      </c>
      <c r="U1801">
        <v>3.8665770000000002E-2</v>
      </c>
      <c r="V1801">
        <v>3.787625E-2</v>
      </c>
      <c r="W1801">
        <v>0.2186816</v>
      </c>
      <c r="X1801">
        <v>0.97506090000000001</v>
      </c>
      <c r="Y1801">
        <v>1.5987299999999999E-2</v>
      </c>
      <c r="Z1801">
        <v>2.9803369999999998E-4</v>
      </c>
      <c r="AA1801">
        <v>0.99987210000000004</v>
      </c>
      <c r="AB1801">
        <v>37</v>
      </c>
      <c r="AC1801">
        <v>-54.413200000000003</v>
      </c>
      <c r="AD1801">
        <v>-1.1210849301779999</v>
      </c>
      <c r="AE1801">
        <v>0.68689999999997997</v>
      </c>
      <c r="AF1801">
        <v>0.87335402046662702</v>
      </c>
      <c r="AG1801">
        <v>-1.1210849301779999</v>
      </c>
      <c r="AH1801">
        <v>54.3874374754351</v>
      </c>
      <c r="AI1801">
        <v>91.180715002101493</v>
      </c>
      <c r="AJ1801">
        <v>89.0800228632786</v>
      </c>
      <c r="AK1801">
        <v>54.406000898890703</v>
      </c>
      <c r="AL1801">
        <v>77.368391249739105</v>
      </c>
      <c r="AM1801">
        <v>87.775463339716595</v>
      </c>
      <c r="AN1801">
        <v>1.0000000056007099</v>
      </c>
    </row>
    <row r="1802" spans="1:40" x14ac:dyDescent="0.25">
      <c r="A1802" t="str">
        <f>"20190303170533048"</f>
        <v>20190303170533048</v>
      </c>
      <c r="B1802" t="str">
        <f>"1551603933036348"</f>
        <v>1551603933036348</v>
      </c>
      <c r="C1802" t="s">
        <v>40</v>
      </c>
      <c r="D1802">
        <v>5.4382739999999998</v>
      </c>
      <c r="E1802">
        <v>0.49636720000000001</v>
      </c>
      <c r="F1802" t="s">
        <v>60</v>
      </c>
      <c r="G1802">
        <v>-361.03719999999998</v>
      </c>
      <c r="H1802" s="1">
        <v>-9.8483350000000006E-7</v>
      </c>
      <c r="I1802">
        <v>285.50099999999998</v>
      </c>
      <c r="J1802">
        <v>-304.5795</v>
      </c>
      <c r="K1802">
        <v>1.121068</v>
      </c>
      <c r="L1802">
        <v>284.72590000000002</v>
      </c>
      <c r="M1802">
        <v>-0.99989810000000001</v>
      </c>
      <c r="N1802">
        <v>-1.3907660000000001E-2</v>
      </c>
      <c r="O1802">
        <v>-3.2464970000000001E-3</v>
      </c>
      <c r="P1802">
        <v>-0.97789219999999999</v>
      </c>
      <c r="Q1802">
        <v>0.20605899999999999</v>
      </c>
      <c r="R1802">
        <v>3.5588670000000003E-2</v>
      </c>
      <c r="S1802">
        <v>-3.0783079999999998</v>
      </c>
      <c r="T1802">
        <v>-6.076467E-2</v>
      </c>
      <c r="U1802">
        <v>4.196167E-2</v>
      </c>
      <c r="V1802">
        <v>3.8854380000000001E-2</v>
      </c>
      <c r="W1802">
        <v>0.21962129999999999</v>
      </c>
      <c r="X1802">
        <v>0.97481110000000004</v>
      </c>
      <c r="Y1802">
        <v>1.6870920000000001E-2</v>
      </c>
      <c r="Z1802">
        <v>3.02763E-4</v>
      </c>
      <c r="AA1802">
        <v>0.99985760000000001</v>
      </c>
      <c r="AB1802">
        <v>37</v>
      </c>
      <c r="AC1802">
        <v>-56.457699999999903</v>
      </c>
      <c r="AD1802">
        <v>-1.1210689848335</v>
      </c>
      <c r="AE1802">
        <v>0.77509999999995205</v>
      </c>
      <c r="AF1802">
        <v>0.958025710136852</v>
      </c>
      <c r="AG1802">
        <v>-1.1210689848335</v>
      </c>
      <c r="AH1802">
        <v>56.432639051126998</v>
      </c>
      <c r="AI1802">
        <v>91.137902188804901</v>
      </c>
      <c r="AJ1802">
        <v>89.027414657265794</v>
      </c>
      <c r="AK1802">
        <v>56.451903060967098</v>
      </c>
      <c r="AL1802">
        <v>77.313207987585699</v>
      </c>
      <c r="AM1802">
        <v>87.7174919296979</v>
      </c>
      <c r="AN1802">
        <v>0.999999929471039</v>
      </c>
    </row>
    <row r="1803" spans="1:40" x14ac:dyDescent="0.25">
      <c r="A1803" t="str">
        <f>"20190303170533070"</f>
        <v>20190303170533070</v>
      </c>
      <c r="B1803" t="str">
        <f>"1551603933056846"</f>
        <v>1551603933056846</v>
      </c>
      <c r="C1803" t="s">
        <v>40</v>
      </c>
      <c r="D1803">
        <v>5.5206080000000002</v>
      </c>
      <c r="E1803">
        <v>0.49644569999999999</v>
      </c>
      <c r="F1803" t="s">
        <v>60</v>
      </c>
      <c r="G1803">
        <v>-363.64389999999997</v>
      </c>
      <c r="H1803" s="1">
        <v>4.0233150000000002E-7</v>
      </c>
      <c r="I1803">
        <v>285.60129999999998</v>
      </c>
      <c r="J1803">
        <v>-304.9502</v>
      </c>
      <c r="K1803">
        <v>1.1210560000000001</v>
      </c>
      <c r="L1803">
        <v>284.72489999999999</v>
      </c>
      <c r="M1803">
        <v>-0.99989930000000005</v>
      </c>
      <c r="N1803">
        <v>-1.388261E-2</v>
      </c>
      <c r="O1803">
        <v>-3.0271999999999999E-3</v>
      </c>
      <c r="P1803">
        <v>-0.97769640000000002</v>
      </c>
      <c r="Q1803">
        <v>0.2067058</v>
      </c>
      <c r="R1803">
        <v>3.7186669999999998E-2</v>
      </c>
      <c r="S1803">
        <v>-3.07843</v>
      </c>
      <c r="T1803">
        <v>-5.8429839999999997E-2</v>
      </c>
      <c r="U1803">
        <v>4.5623780000000003E-2</v>
      </c>
      <c r="V1803">
        <v>4.024639E-2</v>
      </c>
      <c r="W1803">
        <v>0.22023909999999999</v>
      </c>
      <c r="X1803">
        <v>0.97461529999999996</v>
      </c>
      <c r="Y1803">
        <v>1.7840330000000001E-2</v>
      </c>
      <c r="Z1803">
        <v>3.085764E-4</v>
      </c>
      <c r="AA1803">
        <v>0.99984079999999997</v>
      </c>
      <c r="AB1803">
        <v>37</v>
      </c>
      <c r="AC1803">
        <v>-58.6936999999999</v>
      </c>
      <c r="AD1803">
        <v>-1.1210555976684999</v>
      </c>
      <c r="AE1803">
        <v>0.87639999999998897</v>
      </c>
      <c r="AF1803">
        <v>1.05370631082248</v>
      </c>
      <c r="AG1803">
        <v>-1.1210555976684999</v>
      </c>
      <c r="AH1803">
        <v>58.669379090253997</v>
      </c>
      <c r="AI1803">
        <v>91.094499150169298</v>
      </c>
      <c r="AJ1803">
        <v>88.971074259400993</v>
      </c>
      <c r="AK1803">
        <v>58.6895485199747</v>
      </c>
      <c r="AL1803">
        <v>77.276923233107993</v>
      </c>
      <c r="AM1803">
        <v>87.635334793539897</v>
      </c>
      <c r="AN1803">
        <v>1.0000000080354601</v>
      </c>
    </row>
    <row r="1804" spans="1:40" x14ac:dyDescent="0.25">
      <c r="A1804" t="str">
        <f>"20190303170533091"</f>
        <v>20190303170533091</v>
      </c>
      <c r="B1804" t="str">
        <f>"1551603933086125"</f>
        <v>1551603933086125</v>
      </c>
      <c r="C1804" t="s">
        <v>40</v>
      </c>
      <c r="D1804">
        <v>5.5176170000000004</v>
      </c>
      <c r="E1804">
        <v>0.49668590000000001</v>
      </c>
      <c r="F1804" t="s">
        <v>60</v>
      </c>
      <c r="G1804">
        <v>-366.32979999999998</v>
      </c>
      <c r="H1804" s="1">
        <v>1.8316359999999999E-6</v>
      </c>
      <c r="I1804">
        <v>285.74889999999999</v>
      </c>
      <c r="J1804">
        <v>-305.3073</v>
      </c>
      <c r="K1804">
        <v>1.1210450000000001</v>
      </c>
      <c r="L1804">
        <v>284.72399999999999</v>
      </c>
      <c r="M1804">
        <v>-0.99990009999999996</v>
      </c>
      <c r="N1804">
        <v>-1.385927E-2</v>
      </c>
      <c r="O1804">
        <v>-2.8090770000000001E-3</v>
      </c>
      <c r="P1804">
        <v>-0.97749730000000001</v>
      </c>
      <c r="Q1804">
        <v>0.20750299999999999</v>
      </c>
      <c r="R1804">
        <v>3.7970669999999998E-2</v>
      </c>
      <c r="S1804">
        <v>-3.0783689999999999</v>
      </c>
      <c r="T1804">
        <v>-5.6224110000000001E-2</v>
      </c>
      <c r="U1804">
        <v>5.1361080000000003E-2</v>
      </c>
      <c r="V1804">
        <v>4.0822909999999997E-2</v>
      </c>
      <c r="W1804">
        <v>0.22100929999999999</v>
      </c>
      <c r="X1804">
        <v>0.97441699999999998</v>
      </c>
      <c r="Y1804">
        <v>1.948534E-2</v>
      </c>
      <c r="Z1804">
        <v>3.253455E-4</v>
      </c>
      <c r="AA1804">
        <v>0.99981010000000003</v>
      </c>
      <c r="AB1804">
        <v>37</v>
      </c>
      <c r="AC1804">
        <v>-61.022499999999901</v>
      </c>
      <c r="AD1804">
        <v>-1.1210431683640001</v>
      </c>
      <c r="AE1804">
        <v>1.0248999999999999</v>
      </c>
      <c r="AF1804">
        <v>1.1959258038103699</v>
      </c>
      <c r="AG1804">
        <v>-1.1210431683640001</v>
      </c>
      <c r="AH1804">
        <v>60.998799034494198</v>
      </c>
      <c r="AI1804">
        <v>91.052667859658698</v>
      </c>
      <c r="AJ1804">
        <v>88.876818482613302</v>
      </c>
      <c r="AK1804">
        <v>61.020819889314602</v>
      </c>
      <c r="AL1804">
        <v>77.231679771911601</v>
      </c>
      <c r="AM1804">
        <v>87.601013265682695</v>
      </c>
      <c r="AN1804">
        <v>1.00000005527817</v>
      </c>
    </row>
    <row r="1805" spans="1:40" x14ac:dyDescent="0.25">
      <c r="A1805" t="str">
        <f>"20190303170533104"</f>
        <v>20190303170533104</v>
      </c>
      <c r="B1805" t="str">
        <f>"1551603933096861"</f>
        <v>1551603933096861</v>
      </c>
      <c r="C1805" t="s">
        <v>40</v>
      </c>
      <c r="D1805">
        <v>5.2238810000000004</v>
      </c>
      <c r="E1805">
        <v>0.49672290000000002</v>
      </c>
      <c r="F1805" t="s">
        <v>60</v>
      </c>
      <c r="G1805">
        <v>-368.7097</v>
      </c>
      <c r="H1805" s="1">
        <v>3.0980860000000001E-6</v>
      </c>
      <c r="I1805">
        <v>285.86919999999998</v>
      </c>
      <c r="J1805">
        <v>-305.52030000000002</v>
      </c>
      <c r="K1805">
        <v>1.1210329999999999</v>
      </c>
      <c r="L1805">
        <v>284.7235</v>
      </c>
      <c r="M1805">
        <v>-0.99990049999999997</v>
      </c>
      <c r="N1805">
        <v>-1.384578E-2</v>
      </c>
      <c r="O1805">
        <v>-2.6780129999999999E-3</v>
      </c>
      <c r="P1805">
        <v>-0.97733890000000001</v>
      </c>
      <c r="Q1805">
        <v>0.2081711</v>
      </c>
      <c r="R1805">
        <v>3.8385540000000003E-2</v>
      </c>
      <c r="S1805">
        <v>-3.0784609999999999</v>
      </c>
      <c r="T1805">
        <v>-5.4431439999999998E-2</v>
      </c>
      <c r="U1805">
        <v>5.5603029999999998E-2</v>
      </c>
      <c r="V1805">
        <v>4.111248E-2</v>
      </c>
      <c r="W1805">
        <v>0.22166169999999999</v>
      </c>
      <c r="X1805">
        <v>0.97425660000000003</v>
      </c>
      <c r="Y1805">
        <v>2.073098E-2</v>
      </c>
      <c r="Z1805">
        <v>3.370704E-4</v>
      </c>
      <c r="AA1805">
        <v>0.99978500000000003</v>
      </c>
      <c r="AB1805">
        <v>37</v>
      </c>
      <c r="AC1805">
        <v>-63.1893999999999</v>
      </c>
      <c r="AD1805">
        <v>-1.121029901914</v>
      </c>
      <c r="AE1805">
        <v>1.14569999999997</v>
      </c>
      <c r="AF1805">
        <v>1.31452056729415</v>
      </c>
      <c r="AG1805">
        <v>-1.121029901914</v>
      </c>
      <c r="AH1805">
        <v>63.166230741997303</v>
      </c>
      <c r="AI1805">
        <v>91.016518473812496</v>
      </c>
      <c r="AJ1805">
        <v>88.807818514357194</v>
      </c>
      <c r="AK1805">
        <v>63.189851863365398</v>
      </c>
      <c r="AL1805">
        <v>77.193349046527004</v>
      </c>
      <c r="AM1805">
        <v>87.5836192839147</v>
      </c>
      <c r="AN1805">
        <v>1.0000000339510899</v>
      </c>
    </row>
    <row r="1806" spans="1:40" x14ac:dyDescent="0.25">
      <c r="A1806" t="str">
        <f>"20190303170533118"</f>
        <v>20190303170533118</v>
      </c>
      <c r="B1806" t="str">
        <f>"1551603933106621"</f>
        <v>1551603933106621</v>
      </c>
      <c r="C1806" t="s">
        <v>40</v>
      </c>
      <c r="D1806">
        <v>5.5160479999999996</v>
      </c>
      <c r="E1806">
        <v>0.49665429999999999</v>
      </c>
      <c r="F1806" t="s">
        <v>60</v>
      </c>
      <c r="G1806">
        <v>-371.35390000000001</v>
      </c>
      <c r="H1806" s="1">
        <v>-8.1628809999999995E-7</v>
      </c>
      <c r="I1806">
        <v>285.9504</v>
      </c>
      <c r="J1806">
        <v>-305.75080000000003</v>
      </c>
      <c r="K1806">
        <v>1.1210310000000001</v>
      </c>
      <c r="L1806">
        <v>284.72300000000001</v>
      </c>
      <c r="M1806">
        <v>-0.99990120000000005</v>
      </c>
      <c r="N1806">
        <v>-1.3829930000000001E-2</v>
      </c>
      <c r="O1806">
        <v>-2.5366920000000001E-3</v>
      </c>
      <c r="P1806">
        <v>-0.97718669999999996</v>
      </c>
      <c r="Q1806">
        <v>0.2087792</v>
      </c>
      <c r="R1806">
        <v>3.8955169999999997E-2</v>
      </c>
      <c r="S1806">
        <v>-3.0784609999999999</v>
      </c>
      <c r="T1806">
        <v>-5.2420849999999998E-2</v>
      </c>
      <c r="U1806">
        <v>5.7373050000000002E-2</v>
      </c>
      <c r="V1806">
        <v>4.1546600000000003E-2</v>
      </c>
      <c r="W1806">
        <v>0.2222517</v>
      </c>
      <c r="X1806">
        <v>0.97410370000000002</v>
      </c>
      <c r="Y1806">
        <v>2.1164559999999999E-2</v>
      </c>
      <c r="Z1806">
        <v>3.3466879999999999E-4</v>
      </c>
      <c r="AA1806">
        <v>0.99977590000000005</v>
      </c>
      <c r="AB1806">
        <v>37</v>
      </c>
      <c r="AC1806">
        <v>-65.603099999999898</v>
      </c>
      <c r="AD1806">
        <v>-1.1210318162880999</v>
      </c>
      <c r="AE1806">
        <v>1.2273999999999801</v>
      </c>
      <c r="AF1806">
        <v>1.3934200766606299</v>
      </c>
      <c r="AG1806">
        <v>-1.1210318162880999</v>
      </c>
      <c r="AH1806">
        <v>65.580632020980204</v>
      </c>
      <c r="AI1806">
        <v>90.979094671888703</v>
      </c>
      <c r="AJ1806">
        <v>88.782794919279496</v>
      </c>
      <c r="AK1806">
        <v>65.605012217927197</v>
      </c>
      <c r="AL1806">
        <v>77.158679037158706</v>
      </c>
      <c r="AM1806">
        <v>87.557751838136795</v>
      </c>
      <c r="AN1806">
        <v>0.99999997823906905</v>
      </c>
    </row>
    <row r="1807" spans="1:40" x14ac:dyDescent="0.25">
      <c r="A1807" t="str">
        <f>"20190303170533135"</f>
        <v>20190303170533135</v>
      </c>
      <c r="B1807" t="str">
        <f>"1551603933126141"</f>
        <v>1551603933126141</v>
      </c>
      <c r="C1807" t="s">
        <v>40</v>
      </c>
      <c r="D1807">
        <v>5.5145710000000001</v>
      </c>
      <c r="E1807">
        <v>0.49668060000000003</v>
      </c>
      <c r="F1807" t="s">
        <v>60</v>
      </c>
      <c r="G1807">
        <v>-374.36660000000001</v>
      </c>
      <c r="H1807" s="1">
        <v>7.8691240000000002E-7</v>
      </c>
      <c r="I1807">
        <v>286.0249</v>
      </c>
      <c r="J1807">
        <v>-306.01960000000003</v>
      </c>
      <c r="K1807">
        <v>1.1210310000000001</v>
      </c>
      <c r="L1807">
        <v>284.72250000000003</v>
      </c>
      <c r="M1807">
        <v>-0.99990199999999996</v>
      </c>
      <c r="N1807">
        <v>-1.380785E-2</v>
      </c>
      <c r="O1807">
        <v>-2.3725590000000002E-3</v>
      </c>
      <c r="P1807">
        <v>-0.97683629999999999</v>
      </c>
      <c r="Q1807">
        <v>0.21027699999999999</v>
      </c>
      <c r="R1807">
        <v>3.967793E-2</v>
      </c>
      <c r="S1807">
        <v>-3.0784609999999999</v>
      </c>
      <c r="T1807">
        <v>-5.0295230000000003E-2</v>
      </c>
      <c r="U1807">
        <v>5.841064E-2</v>
      </c>
      <c r="V1807">
        <v>4.2111349999999999E-2</v>
      </c>
      <c r="W1807">
        <v>0.2237219</v>
      </c>
      <c r="X1807">
        <v>0.97374280000000002</v>
      </c>
      <c r="Y1807">
        <v>2.133761E-2</v>
      </c>
      <c r="Z1807">
        <v>3.2762740000000001E-4</v>
      </c>
      <c r="AA1807">
        <v>0.99977229999999995</v>
      </c>
      <c r="AB1807">
        <v>37</v>
      </c>
      <c r="AC1807">
        <v>-68.346999999999895</v>
      </c>
      <c r="AD1807">
        <v>-1.1210302130876</v>
      </c>
      <c r="AE1807">
        <v>1.30239999999997</v>
      </c>
      <c r="AF1807">
        <v>1.4641753005129801</v>
      </c>
      <c r="AG1807">
        <v>-1.1210302130876</v>
      </c>
      <c r="AH1807">
        <v>68.325342600720603</v>
      </c>
      <c r="AI1807">
        <v>90.939765479758805</v>
      </c>
      <c r="AJ1807">
        <v>88.772370192447397</v>
      </c>
      <c r="AK1807">
        <v>68.350222820084099</v>
      </c>
      <c r="AL1807">
        <v>77.072266638482802</v>
      </c>
      <c r="AM1807">
        <v>87.523678640980407</v>
      </c>
      <c r="AN1807">
        <v>0.99999994744513399</v>
      </c>
    </row>
    <row r="1808" spans="1:40" x14ac:dyDescent="0.25">
      <c r="A1808" t="str">
        <f>"20190303170533158"</f>
        <v>20190303170533158</v>
      </c>
      <c r="B1808" t="str">
        <f>"1551603933145660"</f>
        <v>1551603933145660</v>
      </c>
      <c r="C1808" t="s">
        <v>40</v>
      </c>
      <c r="D1808">
        <v>5.2656769999999904</v>
      </c>
      <c r="E1808">
        <v>0.49656040000000001</v>
      </c>
      <c r="F1808" t="s">
        <v>60</v>
      </c>
      <c r="G1808">
        <v>-382.53</v>
      </c>
      <c r="H1808" s="1">
        <v>-1.9043779999999999E-7</v>
      </c>
      <c r="I1808">
        <v>286.2122</v>
      </c>
      <c r="J1808">
        <v>-306.38959999999997</v>
      </c>
      <c r="K1808">
        <v>1.1210230000000001</v>
      </c>
      <c r="L1808">
        <v>284.72190000000001</v>
      </c>
      <c r="M1808">
        <v>-0.99990299999999999</v>
      </c>
      <c r="N1808">
        <v>-1.3770549999999999E-2</v>
      </c>
      <c r="O1808">
        <v>-2.1489450000000002E-3</v>
      </c>
      <c r="P1808">
        <v>-0.97669870000000003</v>
      </c>
      <c r="Q1808">
        <v>0.21080189999999999</v>
      </c>
      <c r="R1808">
        <v>4.0281690000000002E-2</v>
      </c>
      <c r="S1808">
        <v>-3.0783999999999998</v>
      </c>
      <c r="T1808">
        <v>-4.5104739999999997E-2</v>
      </c>
      <c r="U1808">
        <v>5.993652E-2</v>
      </c>
      <c r="V1808">
        <v>4.2500250000000003E-2</v>
      </c>
      <c r="W1808">
        <v>0.22420809999999999</v>
      </c>
      <c r="X1808">
        <v>0.97361419999999999</v>
      </c>
      <c r="Y1808">
        <v>2.1610540000000001E-2</v>
      </c>
      <c r="Z1808">
        <v>3.0901779999999997E-4</v>
      </c>
      <c r="AA1808">
        <v>0.99976640000000006</v>
      </c>
      <c r="AB1808">
        <v>37</v>
      </c>
      <c r="AC1808">
        <v>-76.1404</v>
      </c>
      <c r="AD1808">
        <v>-1.1210231904378001</v>
      </c>
      <c r="AE1808">
        <v>1.49029999999999</v>
      </c>
      <c r="AF1808">
        <v>1.6535752770637799</v>
      </c>
      <c r="AG1808">
        <v>-1.1210231904378001</v>
      </c>
      <c r="AH1808">
        <v>76.120526967150099</v>
      </c>
      <c r="AI1808">
        <v>90.843532106898394</v>
      </c>
      <c r="AJ1808">
        <v>88.755552679257306</v>
      </c>
      <c r="AK1808">
        <v>76.146737487216299</v>
      </c>
      <c r="AL1808">
        <v>77.043685038678106</v>
      </c>
      <c r="AM1808">
        <v>87.500508893967904</v>
      </c>
      <c r="AN1808">
        <v>1.0000000768986499</v>
      </c>
    </row>
    <row r="1809" spans="1:40" x14ac:dyDescent="0.25">
      <c r="A1809" t="str">
        <f>"20190303170533172"</f>
        <v>20190303170533172</v>
      </c>
      <c r="B1809" t="str">
        <f>"1551603933166517"</f>
        <v>1551603933166517</v>
      </c>
      <c r="C1809" t="s">
        <v>40</v>
      </c>
      <c r="D1809">
        <v>5.4861399999999998</v>
      </c>
      <c r="E1809">
        <v>0.47862159999999898</v>
      </c>
      <c r="F1809" t="s">
        <v>60</v>
      </c>
      <c r="G1809">
        <v>-384.74380000000002</v>
      </c>
      <c r="H1809" s="1">
        <v>9.8760880000000003E-7</v>
      </c>
      <c r="I1809">
        <v>286.2885</v>
      </c>
      <c r="J1809">
        <v>-306.62830000000002</v>
      </c>
      <c r="K1809">
        <v>1.121016</v>
      </c>
      <c r="L1809">
        <v>284.72149999999999</v>
      </c>
      <c r="M1809">
        <v>-0.99990349999999995</v>
      </c>
      <c r="N1809">
        <v>-1.37433E-2</v>
      </c>
      <c r="O1809">
        <v>-2.0062600000000002E-3</v>
      </c>
      <c r="P1809">
        <v>-0.97668619999999995</v>
      </c>
      <c r="Q1809">
        <v>0.2108517</v>
      </c>
      <c r="R1809">
        <v>4.0317430000000001E-2</v>
      </c>
      <c r="S1809">
        <v>-3.0785520000000002</v>
      </c>
      <c r="T1809">
        <v>-4.4045210000000001E-2</v>
      </c>
      <c r="U1809">
        <v>6.1553959999999998E-2</v>
      </c>
      <c r="V1809">
        <v>4.23983E-2</v>
      </c>
      <c r="W1809">
        <v>0.22423080000000001</v>
      </c>
      <c r="X1809">
        <v>0.97361330000000001</v>
      </c>
      <c r="Y1809">
        <v>2.1992049999999999E-2</v>
      </c>
      <c r="Z1809">
        <v>3.0958530000000002E-4</v>
      </c>
      <c r="AA1809">
        <v>0.99975809999999998</v>
      </c>
      <c r="AB1809">
        <v>37</v>
      </c>
      <c r="AC1809">
        <v>-78.115499999999997</v>
      </c>
      <c r="AD1809">
        <v>-1.1210150123911999</v>
      </c>
      <c r="AE1809">
        <v>1.5669999999999999</v>
      </c>
      <c r="AF1809">
        <v>1.7233768824491</v>
      </c>
      <c r="AG1809">
        <v>-1.1210150123911999</v>
      </c>
      <c r="AH1809">
        <v>78.096121721518699</v>
      </c>
      <c r="AI1809">
        <v>90.8221840823403</v>
      </c>
      <c r="AJ1809">
        <v>88.735837372764493</v>
      </c>
      <c r="AK1809">
        <v>78.123177933819605</v>
      </c>
      <c r="AL1809">
        <v>77.042348938865601</v>
      </c>
      <c r="AM1809">
        <v>87.506494817893596</v>
      </c>
      <c r="AN1809">
        <v>0.99999996272420899</v>
      </c>
    </row>
    <row r="1810" spans="1:40" x14ac:dyDescent="0.25">
      <c r="A1810" t="str">
        <f>"20190303170533185"</f>
        <v>20190303170533185</v>
      </c>
      <c r="B1810" t="str">
        <f>"1551603933176277"</f>
        <v>1551603933176277</v>
      </c>
      <c r="C1810" t="s">
        <v>40</v>
      </c>
      <c r="D1810">
        <v>5.3960739999999996</v>
      </c>
      <c r="E1810">
        <v>0.4777632</v>
      </c>
      <c r="F1810" t="s">
        <v>60</v>
      </c>
      <c r="G1810">
        <v>-345.65699999999998</v>
      </c>
      <c r="H1810" s="1">
        <v>1.473562E-6</v>
      </c>
      <c r="I1810">
        <v>283.66370000000001</v>
      </c>
      <c r="J1810">
        <v>-306.83370000000002</v>
      </c>
      <c r="K1810">
        <v>1.121008</v>
      </c>
      <c r="L1810">
        <v>284.72120000000001</v>
      </c>
      <c r="M1810">
        <v>-0.99990400000000002</v>
      </c>
      <c r="N1810">
        <v>-1.3718849999999999E-2</v>
      </c>
      <c r="O1810">
        <v>-1.8842290000000001E-3</v>
      </c>
      <c r="P1810">
        <v>-0.97663060000000002</v>
      </c>
      <c r="Q1810">
        <v>0.21107239999999999</v>
      </c>
      <c r="R1810">
        <v>4.0510369999999997E-2</v>
      </c>
      <c r="S1810">
        <v>-3.0942690000000002</v>
      </c>
      <c r="T1810">
        <v>-8.8876250000000004E-2</v>
      </c>
      <c r="U1810">
        <v>-8.3862300000000001E-2</v>
      </c>
      <c r="V1810">
        <v>4.247368E-2</v>
      </c>
      <c r="W1810">
        <v>0.2244264</v>
      </c>
      <c r="X1810">
        <v>0.97356500000000001</v>
      </c>
      <c r="Y1810">
        <v>-2.519362E-2</v>
      </c>
      <c r="Z1810">
        <v>-5.0632599999999998E-4</v>
      </c>
      <c r="AA1810">
        <v>0.99968250000000003</v>
      </c>
      <c r="AB1810">
        <v>37</v>
      </c>
      <c r="AC1810">
        <v>-38.823299999999897</v>
      </c>
      <c r="AD1810">
        <v>-1.121006526438</v>
      </c>
      <c r="AE1810">
        <v>-1.0575000000000001</v>
      </c>
      <c r="AF1810">
        <v>-0.98351984800560099</v>
      </c>
      <c r="AG1810">
        <v>-1.121006526438</v>
      </c>
      <c r="AH1810">
        <v>38.792904556708301</v>
      </c>
      <c r="AI1810">
        <v>91.654695852554894</v>
      </c>
      <c r="AJ1810">
        <v>91.452313710337805</v>
      </c>
      <c r="AK1810">
        <v>38.821558583725299</v>
      </c>
      <c r="AL1810">
        <v>77.030849487216898</v>
      </c>
      <c r="AM1810">
        <v>87.501943452592101</v>
      </c>
      <c r="AN1810">
        <v>1.0000000158673501</v>
      </c>
    </row>
    <row r="1811" spans="1:40" x14ac:dyDescent="0.25">
      <c r="A1811" t="str">
        <f>"20190303170533198"</f>
        <v>20190303170533198</v>
      </c>
      <c r="B1811" t="str">
        <f>"1551603933176277"</f>
        <v>1551603933176277</v>
      </c>
      <c r="C1811" t="s">
        <v>40</v>
      </c>
      <c r="D1811">
        <v>5.3960739999999996</v>
      </c>
      <c r="E1811">
        <v>0.4777632</v>
      </c>
      <c r="F1811" t="s">
        <v>60</v>
      </c>
      <c r="G1811">
        <v>-342.11939999999998</v>
      </c>
      <c r="H1811" s="1">
        <v>-4.089211E-7</v>
      </c>
      <c r="I1811">
        <v>283.68389999999999</v>
      </c>
      <c r="J1811">
        <v>-307.0564</v>
      </c>
      <c r="K1811">
        <v>1.120997</v>
      </c>
      <c r="L1811">
        <v>284.72089999999997</v>
      </c>
      <c r="M1811">
        <v>-0.99990489999999999</v>
      </c>
      <c r="N1811">
        <v>-1.3690580000000001E-2</v>
      </c>
      <c r="O1811">
        <v>-1.753119E-3</v>
      </c>
      <c r="P1811">
        <v>-0.9764893</v>
      </c>
      <c r="Q1811">
        <v>0.21166950000000001</v>
      </c>
      <c r="R1811">
        <v>4.0802749999999999E-2</v>
      </c>
      <c r="S1811">
        <v>-3.0968629999999999</v>
      </c>
      <c r="T1811">
        <v>-9.8385689999999998E-2</v>
      </c>
      <c r="U1811">
        <v>-9.1033939999999994E-2</v>
      </c>
      <c r="V1811">
        <v>4.263923E-2</v>
      </c>
      <c r="W1811">
        <v>0.22499379999999999</v>
      </c>
      <c r="X1811">
        <v>0.97342680000000004</v>
      </c>
      <c r="Y1811">
        <v>-2.7610630000000001E-2</v>
      </c>
      <c r="Z1811">
        <v>-5.9582760000000004E-4</v>
      </c>
      <c r="AA1811">
        <v>0.99961860000000002</v>
      </c>
      <c r="AB1811">
        <v>37</v>
      </c>
      <c r="AC1811">
        <v>-35.062999999999903</v>
      </c>
      <c r="AD1811">
        <v>-1.1209974089210999</v>
      </c>
      <c r="AE1811">
        <v>-1.0369999999999699</v>
      </c>
      <c r="AF1811">
        <v>-0.97452780790015303</v>
      </c>
      <c r="AG1811">
        <v>-1.1209974089210999</v>
      </c>
      <c r="AH1811">
        <v>35.028990963829798</v>
      </c>
      <c r="AI1811">
        <v>91.832244946688405</v>
      </c>
      <c r="AJ1811">
        <v>91.593592337220201</v>
      </c>
      <c r="AK1811">
        <v>35.060469871113398</v>
      </c>
      <c r="AL1811">
        <v>76.997486742682099</v>
      </c>
      <c r="AM1811">
        <v>87.491863582433297</v>
      </c>
      <c r="AN1811">
        <v>1.00000002446583</v>
      </c>
    </row>
    <row r="1812" spans="1:40" x14ac:dyDescent="0.25">
      <c r="A1812" t="str">
        <f>"20190303170533215"</f>
        <v>20190303170533215</v>
      </c>
      <c r="B1812" t="str">
        <f>"1551603933206534"</f>
        <v>1551603933206534</v>
      </c>
      <c r="C1812" t="s">
        <v>40</v>
      </c>
      <c r="D1812">
        <v>5.3878199999999996</v>
      </c>
      <c r="E1812">
        <v>0.47754780000000002</v>
      </c>
      <c r="F1812" t="s">
        <v>60</v>
      </c>
      <c r="G1812">
        <v>-343.0428</v>
      </c>
      <c r="H1812" s="1">
        <v>8.2451439999999996E-8</v>
      </c>
      <c r="I1812">
        <v>283.67160000000001</v>
      </c>
      <c r="J1812">
        <v>-307.32549999999998</v>
      </c>
      <c r="K1812">
        <v>1.120986</v>
      </c>
      <c r="L1812">
        <v>284.72059999999999</v>
      </c>
      <c r="M1812">
        <v>-0.99990559999999995</v>
      </c>
      <c r="N1812">
        <v>-1.365339E-2</v>
      </c>
      <c r="O1812">
        <v>-1.5945359999999999E-3</v>
      </c>
      <c r="P1812">
        <v>-0.97646149999999998</v>
      </c>
      <c r="Q1812">
        <v>0.21160689999999999</v>
      </c>
      <c r="R1812">
        <v>4.1779799999999999E-2</v>
      </c>
      <c r="S1812">
        <v>-3.0968930000000001</v>
      </c>
      <c r="T1812">
        <v>-9.6469879999999994E-2</v>
      </c>
      <c r="U1812">
        <v>-9.0301510000000001E-2</v>
      </c>
      <c r="V1812">
        <v>4.3462720000000003E-2</v>
      </c>
      <c r="W1812">
        <v>0.22489390000000001</v>
      </c>
      <c r="X1812">
        <v>0.97341350000000004</v>
      </c>
      <c r="Y1812">
        <v>-2.753336E-2</v>
      </c>
      <c r="Z1812">
        <v>-5.8883709999999997E-4</v>
      </c>
      <c r="AA1812">
        <v>0.99962070000000003</v>
      </c>
      <c r="AB1812">
        <v>37</v>
      </c>
      <c r="AC1812">
        <v>-35.717300000000002</v>
      </c>
      <c r="AD1812">
        <v>-1.1209859175485599</v>
      </c>
      <c r="AE1812">
        <v>-1.04899999999997</v>
      </c>
      <c r="AF1812">
        <v>-0.99106546757644498</v>
      </c>
      <c r="AG1812">
        <v>-1.1209859175485599</v>
      </c>
      <c r="AH1812">
        <v>35.683808596488703</v>
      </c>
      <c r="AI1812">
        <v>91.798628453798301</v>
      </c>
      <c r="AJ1812">
        <v>91.590897302100899</v>
      </c>
      <c r="AK1812">
        <v>35.715165072265897</v>
      </c>
      <c r="AL1812">
        <v>77.003361586848101</v>
      </c>
      <c r="AM1812">
        <v>87.443452804292605</v>
      </c>
      <c r="AN1812">
        <v>1.00000005813462</v>
      </c>
    </row>
    <row r="1813" spans="1:40" x14ac:dyDescent="0.25">
      <c r="A1813" t="str">
        <f>"20190303170533229"</f>
        <v>20190303170533229</v>
      </c>
      <c r="B1813" t="str">
        <f>"1551603933216293"</f>
        <v>1551603933216293</v>
      </c>
      <c r="C1813" t="s">
        <v>40</v>
      </c>
      <c r="D1813">
        <v>5.4111770000000003</v>
      </c>
      <c r="E1813">
        <v>0.47720770000000001</v>
      </c>
      <c r="F1813" t="s">
        <v>60</v>
      </c>
      <c r="G1813">
        <v>-341.44560000000001</v>
      </c>
      <c r="H1813" s="1">
        <v>-7.6749959999999999E-7</v>
      </c>
      <c r="I1813">
        <v>283.73520000000002</v>
      </c>
      <c r="J1813">
        <v>-307.55340000000001</v>
      </c>
      <c r="K1813">
        <v>1.120981</v>
      </c>
      <c r="L1813">
        <v>284.72039999999998</v>
      </c>
      <c r="M1813">
        <v>-0.99990630000000003</v>
      </c>
      <c r="N1813">
        <v>-1.3618069999999999E-2</v>
      </c>
      <c r="O1813">
        <v>-1.4598160000000001E-3</v>
      </c>
      <c r="P1813">
        <v>-0.97646909999999998</v>
      </c>
      <c r="Q1813">
        <v>0.21152550000000001</v>
      </c>
      <c r="R1813">
        <v>4.2017770000000003E-2</v>
      </c>
      <c r="S1813">
        <v>-3.0982059999999998</v>
      </c>
      <c r="T1813">
        <v>-0.1017889</v>
      </c>
      <c r="U1813">
        <v>-8.9477539999999994E-2</v>
      </c>
      <c r="V1813">
        <v>4.3570230000000001E-2</v>
      </c>
      <c r="W1813">
        <v>0.22477820000000001</v>
      </c>
      <c r="X1813">
        <v>0.9734353</v>
      </c>
      <c r="Y1813">
        <v>-2.7388409999999998E-2</v>
      </c>
      <c r="Z1813">
        <v>-6.082393E-4</v>
      </c>
      <c r="AA1813">
        <v>0.99962470000000003</v>
      </c>
      <c r="AB1813">
        <v>37</v>
      </c>
      <c r="AC1813">
        <v>-33.892200000000003</v>
      </c>
      <c r="AD1813">
        <v>-1.1209817674996001</v>
      </c>
      <c r="AE1813">
        <v>-0.98519999999996299</v>
      </c>
      <c r="AF1813">
        <v>-0.93469634253925205</v>
      </c>
      <c r="AG1813">
        <v>-1.1209817674996001</v>
      </c>
      <c r="AH1813">
        <v>33.856596061573697</v>
      </c>
      <c r="AI1813">
        <v>91.895631625366306</v>
      </c>
      <c r="AJ1813">
        <v>91.581392169542099</v>
      </c>
      <c r="AK1813">
        <v>33.888041463802402</v>
      </c>
      <c r="AL1813">
        <v>77.010163383587894</v>
      </c>
      <c r="AM1813">
        <v>87.437194633024504</v>
      </c>
      <c r="AN1813">
        <v>0.99999994371178902</v>
      </c>
    </row>
    <row r="1814" spans="1:40" x14ac:dyDescent="0.25">
      <c r="A1814" t="str">
        <f>"20190303170533249"</f>
        <v>20190303170533249</v>
      </c>
      <c r="B1814" t="str">
        <f>"1551603933236790"</f>
        <v>1551603933236790</v>
      </c>
      <c r="C1814" t="s">
        <v>40</v>
      </c>
      <c r="D1814">
        <v>5.4026779999999999</v>
      </c>
      <c r="E1814">
        <v>0.47684189999999999</v>
      </c>
      <c r="F1814" t="s">
        <v>60</v>
      </c>
      <c r="G1814">
        <v>-340.86900000000003</v>
      </c>
      <c r="H1814" s="1">
        <v>-1.0743330000000001E-6</v>
      </c>
      <c r="I1814">
        <v>283.73250000000002</v>
      </c>
      <c r="J1814">
        <v>-307.8777</v>
      </c>
      <c r="K1814">
        <v>1.120965</v>
      </c>
      <c r="L1814">
        <v>284.7201</v>
      </c>
      <c r="M1814">
        <v>-0.99990730000000005</v>
      </c>
      <c r="N1814">
        <v>-1.3560839999999999E-2</v>
      </c>
      <c r="O1814">
        <v>-1.2684370000000001E-3</v>
      </c>
      <c r="P1814">
        <v>-0.97646650000000002</v>
      </c>
      <c r="Q1814">
        <v>0.2113931</v>
      </c>
      <c r="R1814">
        <v>4.2734939999999999E-2</v>
      </c>
      <c r="S1814">
        <v>-3.098846</v>
      </c>
      <c r="T1814">
        <v>-0.104268</v>
      </c>
      <c r="U1814">
        <v>-9.1888429999999993E-2</v>
      </c>
      <c r="V1814">
        <v>4.4101750000000002E-2</v>
      </c>
      <c r="W1814">
        <v>0.2245895</v>
      </c>
      <c r="X1814">
        <v>0.97345499999999996</v>
      </c>
      <c r="Y1814">
        <v>-2.834917E-2</v>
      </c>
      <c r="Z1814">
        <v>-6.4358160000000005E-4</v>
      </c>
      <c r="AA1814">
        <v>0.99959779999999998</v>
      </c>
      <c r="AB1814">
        <v>37</v>
      </c>
      <c r="AC1814">
        <v>-32.991300000000003</v>
      </c>
      <c r="AD1814">
        <v>-1.1209660743330001</v>
      </c>
      <c r="AE1814">
        <v>-0.98759999999998604</v>
      </c>
      <c r="AF1814">
        <v>-0.94465836189517705</v>
      </c>
      <c r="AG1814">
        <v>-1.1209660743330001</v>
      </c>
      <c r="AH1814">
        <v>32.954515041336897</v>
      </c>
      <c r="AI1814">
        <v>91.947397182146901</v>
      </c>
      <c r="AJ1814">
        <v>91.641963761755406</v>
      </c>
      <c r="AK1814">
        <v>32.987103631119297</v>
      </c>
      <c r="AL1814">
        <v>77.021259828001703</v>
      </c>
      <c r="AM1814">
        <v>87.406025444925803</v>
      </c>
      <c r="AN1814">
        <v>1.0000000224441501</v>
      </c>
    </row>
    <row r="1815" spans="1:40" x14ac:dyDescent="0.25">
      <c r="A1815" t="str">
        <f>"20190303170533270"</f>
        <v>20190303170533270</v>
      </c>
      <c r="B1815" t="str">
        <f>"1551603933256309"</f>
        <v>1551603933256309</v>
      </c>
      <c r="C1815" t="s">
        <v>40</v>
      </c>
      <c r="D1815">
        <v>5.4084760000000003</v>
      </c>
      <c r="E1815">
        <v>0.47662100000000002</v>
      </c>
      <c r="F1815" t="s">
        <v>60</v>
      </c>
      <c r="G1815">
        <v>-339.66820000000001</v>
      </c>
      <c r="H1815" s="1">
        <v>3.6451570000000001E-6</v>
      </c>
      <c r="I1815">
        <v>283.7697</v>
      </c>
      <c r="J1815">
        <v>-308.23430000000002</v>
      </c>
      <c r="K1815">
        <v>1.120951</v>
      </c>
      <c r="L1815">
        <v>284.7199</v>
      </c>
      <c r="M1815">
        <v>-0.99990849999999998</v>
      </c>
      <c r="N1815">
        <v>-1.349267E-2</v>
      </c>
      <c r="O1815">
        <v>-1.0605219999999999E-3</v>
      </c>
      <c r="P1815">
        <v>-0.9765104</v>
      </c>
      <c r="Q1815">
        <v>0.2111305</v>
      </c>
      <c r="R1815">
        <v>4.3032769999999998E-2</v>
      </c>
      <c r="S1815">
        <v>-3.0999759999999998</v>
      </c>
      <c r="T1815">
        <v>-0.1093079</v>
      </c>
      <c r="U1815">
        <v>-9.2681879999999994E-2</v>
      </c>
      <c r="V1815">
        <v>4.4198540000000001E-2</v>
      </c>
      <c r="W1815">
        <v>0.22426099999999999</v>
      </c>
      <c r="X1815">
        <v>0.97352629999999996</v>
      </c>
      <c r="Y1815">
        <v>-2.8799620000000001E-2</v>
      </c>
      <c r="Z1815">
        <v>-6.7883590000000001E-4</v>
      </c>
      <c r="AA1815">
        <v>0.99958499999999995</v>
      </c>
      <c r="AB1815">
        <v>37</v>
      </c>
      <c r="AC1815">
        <v>-31.433899999999898</v>
      </c>
      <c r="AD1815">
        <v>-1.120947354843</v>
      </c>
      <c r="AE1815">
        <v>-0.95019999999999505</v>
      </c>
      <c r="AF1815">
        <v>-0.915696691729592</v>
      </c>
      <c r="AG1815">
        <v>-1.120947354843</v>
      </c>
      <c r="AH1815">
        <v>31.395002532879701</v>
      </c>
      <c r="AI1815">
        <v>92.043988201559301</v>
      </c>
      <c r="AJ1815">
        <v>91.670669897310603</v>
      </c>
      <c r="AK1815">
        <v>31.4283503773758</v>
      </c>
      <c r="AL1815">
        <v>77.040573640738899</v>
      </c>
      <c r="AM1815">
        <v>87.400530392135096</v>
      </c>
      <c r="AN1815">
        <v>0.99999998192540995</v>
      </c>
    </row>
    <row r="1816" spans="1:40" x14ac:dyDescent="0.25">
      <c r="A1816" t="str">
        <f>"20190303170533293"</f>
        <v>20190303170533293</v>
      </c>
      <c r="B1816" t="str">
        <f>"1551603933286565"</f>
        <v>1551603933286565</v>
      </c>
      <c r="C1816" t="s">
        <v>40</v>
      </c>
      <c r="D1816">
        <v>5.471622</v>
      </c>
      <c r="E1816">
        <v>0.47689300000000001</v>
      </c>
      <c r="F1816" t="s">
        <v>60</v>
      </c>
      <c r="G1816">
        <v>-338.66860000000003</v>
      </c>
      <c r="H1816" s="1">
        <v>3.1123829999999998E-6</v>
      </c>
      <c r="I1816">
        <v>283.7894</v>
      </c>
      <c r="J1816">
        <v>-308.6001</v>
      </c>
      <c r="K1816">
        <v>1.120938</v>
      </c>
      <c r="L1816">
        <v>284.71980000000002</v>
      </c>
      <c r="M1816">
        <v>-0.99990959999999995</v>
      </c>
      <c r="N1816">
        <v>-1.341877E-2</v>
      </c>
      <c r="O1816">
        <v>-8.4615250000000003E-4</v>
      </c>
      <c r="P1816">
        <v>-0.97638550000000002</v>
      </c>
      <c r="Q1816">
        <v>0.2115194</v>
      </c>
      <c r="R1816">
        <v>4.3940300000000002E-2</v>
      </c>
      <c r="S1816">
        <v>-3.1010439999999999</v>
      </c>
      <c r="T1816">
        <v>-0.1142164</v>
      </c>
      <c r="U1816">
        <v>-9.4818120000000006E-2</v>
      </c>
      <c r="V1816">
        <v>4.4898159999999999E-2</v>
      </c>
      <c r="W1816">
        <v>0.2245752</v>
      </c>
      <c r="X1816">
        <v>0.97342189999999995</v>
      </c>
      <c r="Y1816">
        <v>-2.9688849999999999E-2</v>
      </c>
      <c r="Z1816">
        <v>-7.2597539999999896E-4</v>
      </c>
      <c r="AA1816">
        <v>0.99955890000000003</v>
      </c>
      <c r="AB1816">
        <v>36</v>
      </c>
      <c r="AC1816">
        <v>-30.0685</v>
      </c>
      <c r="AD1816">
        <v>-1.120934887617</v>
      </c>
      <c r="AE1816">
        <v>-0.93040000000001999</v>
      </c>
      <c r="AF1816">
        <v>-0.90370012177639203</v>
      </c>
      <c r="AG1816">
        <v>-1.120934887617</v>
      </c>
      <c r="AH1816">
        <v>30.027585590939299</v>
      </c>
      <c r="AI1816">
        <v>92.136901881401201</v>
      </c>
      <c r="AJ1816">
        <v>91.723834191453804</v>
      </c>
      <c r="AK1816">
        <v>30.062086842958202</v>
      </c>
      <c r="AL1816">
        <v>77.022100739877999</v>
      </c>
      <c r="AM1816">
        <v>87.359158295950394</v>
      </c>
      <c r="AN1816">
        <v>1.0000000303130101</v>
      </c>
    </row>
    <row r="1817" spans="1:40" x14ac:dyDescent="0.25">
      <c r="A1817" t="str">
        <f>"20190303170533315"</f>
        <v>20190303170533315</v>
      </c>
      <c r="B1817" t="str">
        <f>"1551603933306088"</f>
        <v>1551603933306088</v>
      </c>
      <c r="C1817" t="s">
        <v>40</v>
      </c>
      <c r="D1817">
        <v>5.4278820000000003</v>
      </c>
      <c r="E1817">
        <v>0.4765354</v>
      </c>
      <c r="F1817" t="s">
        <v>60</v>
      </c>
      <c r="G1817">
        <v>-339.40989999999999</v>
      </c>
      <c r="H1817" s="1">
        <v>3.5056419999999998E-6</v>
      </c>
      <c r="I1817">
        <v>283.81630000000001</v>
      </c>
      <c r="J1817">
        <v>-308.96289999999999</v>
      </c>
      <c r="K1817">
        <v>1.120933</v>
      </c>
      <c r="L1817">
        <v>284.71980000000002</v>
      </c>
      <c r="M1817">
        <v>-0.99991090000000005</v>
      </c>
      <c r="N1817">
        <v>-1.334106E-2</v>
      </c>
      <c r="O1817">
        <v>-6.2536720000000001E-4</v>
      </c>
      <c r="P1817">
        <v>-0.97621449999999999</v>
      </c>
      <c r="Q1817">
        <v>0.21205209999999999</v>
      </c>
      <c r="R1817">
        <v>4.5156549999999997E-2</v>
      </c>
      <c r="S1817">
        <v>-3.101105</v>
      </c>
      <c r="T1817">
        <v>-0.11282590000000001</v>
      </c>
      <c r="U1817">
        <v>-9.0942380000000003E-2</v>
      </c>
      <c r="V1817">
        <v>4.5898969999999997E-2</v>
      </c>
      <c r="W1817">
        <v>0.22503000000000001</v>
      </c>
      <c r="X1817">
        <v>0.97327010000000003</v>
      </c>
      <c r="Y1817">
        <v>-2.866231E-2</v>
      </c>
      <c r="Z1817">
        <v>-6.9804709999999996E-4</v>
      </c>
      <c r="AA1817">
        <v>0.9995889</v>
      </c>
      <c r="AB1817">
        <v>36</v>
      </c>
      <c r="AC1817">
        <v>-30.446999999999999</v>
      </c>
      <c r="AD1817">
        <v>-1.1209294943579999</v>
      </c>
      <c r="AE1817">
        <v>-0.90350000000000796</v>
      </c>
      <c r="AF1817">
        <v>-0.88326145564692604</v>
      </c>
      <c r="AG1817">
        <v>-1.1209294943579999</v>
      </c>
      <c r="AH1817">
        <v>30.406382553733401</v>
      </c>
      <c r="AI1817">
        <v>92.110360069085999</v>
      </c>
      <c r="AJ1817">
        <v>91.663891661907797</v>
      </c>
      <c r="AK1817">
        <v>30.439854364538899</v>
      </c>
      <c r="AL1817">
        <v>76.995357087714595</v>
      </c>
      <c r="AM1817">
        <v>87.299957872148198</v>
      </c>
      <c r="AN1817">
        <v>0.99999995195053404</v>
      </c>
    </row>
    <row r="1818" spans="1:40" x14ac:dyDescent="0.25">
      <c r="A1818" t="str">
        <f>"20190303170533329"</f>
        <v>20190303170533329</v>
      </c>
      <c r="B1818" t="str">
        <f>"1551603933316822"</f>
        <v>1551603933316822</v>
      </c>
      <c r="C1818" t="s">
        <v>40</v>
      </c>
      <c r="D1818">
        <v>5.4366770000000004</v>
      </c>
      <c r="E1818">
        <v>0.47633229999999999</v>
      </c>
      <c r="F1818" t="s">
        <v>60</v>
      </c>
      <c r="G1818">
        <v>-340.1909</v>
      </c>
      <c r="H1818" s="1">
        <v>-1.4351729999999999E-6</v>
      </c>
      <c r="I1818">
        <v>283.79950000000002</v>
      </c>
      <c r="J1818">
        <v>-309.1927</v>
      </c>
      <c r="K1818">
        <v>1.1209279999999999</v>
      </c>
      <c r="L1818">
        <v>284.71980000000002</v>
      </c>
      <c r="M1818">
        <v>-0.99991160000000001</v>
      </c>
      <c r="N1818">
        <v>-1.328792E-2</v>
      </c>
      <c r="O1818">
        <v>-4.8069939999999999E-4</v>
      </c>
      <c r="P1818">
        <v>-0.97606720000000002</v>
      </c>
      <c r="Q1818">
        <v>0.21265329999999999</v>
      </c>
      <c r="R1818">
        <v>4.55162E-2</v>
      </c>
      <c r="S1818">
        <v>-3.1015009999999998</v>
      </c>
      <c r="T1818">
        <v>-0.1113287</v>
      </c>
      <c r="U1818">
        <v>-9.1400149999999999E-2</v>
      </c>
      <c r="V1818">
        <v>4.6116909999999997E-2</v>
      </c>
      <c r="W1818">
        <v>0.22557730000000001</v>
      </c>
      <c r="X1818">
        <v>0.97313309999999997</v>
      </c>
      <c r="Y1818">
        <v>-2.895091E-2</v>
      </c>
      <c r="Z1818">
        <v>-7.0094169999999998E-4</v>
      </c>
      <c r="AA1818">
        <v>0.99958060000000004</v>
      </c>
      <c r="AB1818">
        <v>36</v>
      </c>
      <c r="AC1818">
        <v>-30.998200000000001</v>
      </c>
      <c r="AD1818">
        <v>-1.1209294351729999</v>
      </c>
      <c r="AE1818">
        <v>-0.92029999999999701</v>
      </c>
      <c r="AF1818">
        <v>-0.90421642610634401</v>
      </c>
      <c r="AG1818">
        <v>-1.1209294351729999</v>
      </c>
      <c r="AH1818">
        <v>30.9581927526682</v>
      </c>
      <c r="AI1818">
        <v>92.072767645739106</v>
      </c>
      <c r="AJ1818">
        <v>91.6730001244173</v>
      </c>
      <c r="AK1818">
        <v>30.9916728921695</v>
      </c>
      <c r="AL1818">
        <v>76.963171664021303</v>
      </c>
      <c r="AM1818">
        <v>87.286775141744201</v>
      </c>
      <c r="AN1818">
        <v>0.99999995898942295</v>
      </c>
    </row>
    <row r="1819" spans="1:40" x14ac:dyDescent="0.25">
      <c r="A1819" t="str">
        <f>"20190303170533347"</f>
        <v>20190303170533347</v>
      </c>
      <c r="B1819" t="str">
        <f>"1551603933336341"</f>
        <v>1551603933336341</v>
      </c>
      <c r="C1819" t="s">
        <v>40</v>
      </c>
      <c r="D1819">
        <v>5.4942520000000004</v>
      </c>
      <c r="E1819">
        <v>0.4763114</v>
      </c>
      <c r="F1819" t="s">
        <v>60</v>
      </c>
      <c r="G1819">
        <v>-340.91160000000002</v>
      </c>
      <c r="H1819" s="1">
        <v>-1.051662E-6</v>
      </c>
      <c r="I1819">
        <v>283.7792</v>
      </c>
      <c r="J1819">
        <v>-309.47379999999998</v>
      </c>
      <c r="K1819">
        <v>1.1209279999999999</v>
      </c>
      <c r="L1819">
        <v>284.7199</v>
      </c>
      <c r="M1819">
        <v>-0.99991269999999999</v>
      </c>
      <c r="N1819">
        <v>-1.3216439999999999E-2</v>
      </c>
      <c r="O1819">
        <v>-3.0161910000000002E-4</v>
      </c>
      <c r="P1819">
        <v>-0.9758656</v>
      </c>
      <c r="Q1819">
        <v>0.21336479999999999</v>
      </c>
      <c r="R1819">
        <v>4.649553E-2</v>
      </c>
      <c r="S1819">
        <v>-3.1017459999999999</v>
      </c>
      <c r="T1819">
        <v>-0.1096139</v>
      </c>
      <c r="U1819">
        <v>-9.1979980000000003E-2</v>
      </c>
      <c r="V1819">
        <v>4.6919469999999998E-2</v>
      </c>
      <c r="W1819">
        <v>0.2262169</v>
      </c>
      <c r="X1819">
        <v>0.97294630000000004</v>
      </c>
      <c r="Y1819">
        <v>-2.9314670000000001E-2</v>
      </c>
      <c r="Z1819">
        <v>-7.0488970000000001E-4</v>
      </c>
      <c r="AA1819">
        <v>0.99956999999999996</v>
      </c>
      <c r="AB1819">
        <v>36</v>
      </c>
      <c r="AC1819">
        <v>-31.437799999999999</v>
      </c>
      <c r="AD1819">
        <v>-1.1209290516620001</v>
      </c>
      <c r="AE1819">
        <v>-0.94069999999999199</v>
      </c>
      <c r="AF1819">
        <v>-0.93003558163708</v>
      </c>
      <c r="AG1819">
        <v>-1.1209290516620001</v>
      </c>
      <c r="AH1819">
        <v>31.398201143158399</v>
      </c>
      <c r="AI1819">
        <v>92.043719599983902</v>
      </c>
      <c r="AJ1819">
        <v>91.696642975333404</v>
      </c>
      <c r="AK1819">
        <v>31.431965944690798</v>
      </c>
      <c r="AL1819">
        <v>76.925553592812093</v>
      </c>
      <c r="AM1819">
        <v>87.239100881616096</v>
      </c>
      <c r="AN1819">
        <v>1.00000001259719</v>
      </c>
    </row>
    <row r="1820" spans="1:40" x14ac:dyDescent="0.25">
      <c r="A1820" t="str">
        <f>"20190303170533370"</f>
        <v>20190303170533370</v>
      </c>
      <c r="B1820" t="str">
        <f>"1551603933356837"</f>
        <v>1551603933356837</v>
      </c>
      <c r="C1820" t="s">
        <v>40</v>
      </c>
      <c r="D1820">
        <v>5.4439199999999897</v>
      </c>
      <c r="E1820">
        <v>0.4760181</v>
      </c>
      <c r="F1820" t="s">
        <v>60</v>
      </c>
      <c r="G1820">
        <v>-342.44389999999999</v>
      </c>
      <c r="H1820" s="1">
        <v>-2.362407E-7</v>
      </c>
      <c r="I1820">
        <v>283.77550000000002</v>
      </c>
      <c r="J1820">
        <v>-309.85849999999999</v>
      </c>
      <c r="K1820">
        <v>1.1209199999999999</v>
      </c>
      <c r="L1820">
        <v>284.72000000000003</v>
      </c>
      <c r="M1820">
        <v>-0.99991419999999998</v>
      </c>
      <c r="N1820">
        <v>-1.3101379999999999E-2</v>
      </c>
      <c r="O1820" s="1">
        <v>-5.7468600000000001E-5</v>
      </c>
      <c r="P1820">
        <v>-0.97564240000000002</v>
      </c>
      <c r="Q1820">
        <v>0.2140203</v>
      </c>
      <c r="R1820">
        <v>4.813891E-2</v>
      </c>
      <c r="S1820">
        <v>-3.1014710000000001</v>
      </c>
      <c r="T1820">
        <v>-0.1054446</v>
      </c>
      <c r="U1820">
        <v>-8.8836670000000006E-2</v>
      </c>
      <c r="V1820">
        <v>4.8321049999999997E-2</v>
      </c>
      <c r="W1820">
        <v>0.22675709999999999</v>
      </c>
      <c r="X1820">
        <v>0.9727519</v>
      </c>
      <c r="Y1820">
        <v>-2.8551380000000001E-2</v>
      </c>
      <c r="Z1820">
        <v>-6.710609E-4</v>
      </c>
      <c r="AA1820">
        <v>0.99959209999999998</v>
      </c>
      <c r="AB1820">
        <v>36</v>
      </c>
      <c r="AC1820">
        <v>-32.5853999999999</v>
      </c>
      <c r="AD1820">
        <v>-1.12092023624069</v>
      </c>
      <c r="AE1820">
        <v>-0.944500000000005</v>
      </c>
      <c r="AF1820">
        <v>-0.94151402048264099</v>
      </c>
      <c r="AG1820">
        <v>-1.12092023624069</v>
      </c>
      <c r="AH1820">
        <v>32.546972978288302</v>
      </c>
      <c r="AI1820">
        <v>91.971667259081499</v>
      </c>
      <c r="AJ1820">
        <v>91.656981739732004</v>
      </c>
      <c r="AK1820">
        <v>32.579876624631503</v>
      </c>
      <c r="AL1820">
        <v>76.893776263388204</v>
      </c>
      <c r="AM1820">
        <v>87.156193305395007</v>
      </c>
      <c r="AN1820">
        <v>0.99999998261356104</v>
      </c>
    </row>
    <row r="1821" spans="1:40" x14ac:dyDescent="0.25">
      <c r="A1821" t="str">
        <f>"20190303170533385"</f>
        <v>20190303170533385</v>
      </c>
      <c r="B1821" t="str">
        <f>"1551603933376357"</f>
        <v>1551603933376357</v>
      </c>
      <c r="C1821" t="s">
        <v>40</v>
      </c>
      <c r="D1821">
        <v>5.4942549999999999</v>
      </c>
      <c r="E1821">
        <v>0.47569289999999997</v>
      </c>
      <c r="F1821" t="s">
        <v>60</v>
      </c>
      <c r="G1821">
        <v>-343.29899999999998</v>
      </c>
      <c r="H1821" s="1">
        <v>2.1877339999999999E-7</v>
      </c>
      <c r="I1821">
        <v>283.78440000000001</v>
      </c>
      <c r="J1821">
        <v>-310.0958</v>
      </c>
      <c r="K1821">
        <v>1.1209129999999901</v>
      </c>
      <c r="L1821">
        <v>284.72019999999998</v>
      </c>
      <c r="M1821">
        <v>-0.99991529999999995</v>
      </c>
      <c r="N1821">
        <v>-1.302414E-2</v>
      </c>
      <c r="O1821" s="1">
        <v>9.2793420000000006E-5</v>
      </c>
      <c r="P1821">
        <v>-0.97555369999999997</v>
      </c>
      <c r="Q1821">
        <v>0.21428420000000001</v>
      </c>
      <c r="R1821">
        <v>4.8759429999999999E-2</v>
      </c>
      <c r="S1821">
        <v>-3.1019899999999998</v>
      </c>
      <c r="T1821">
        <v>-0.10397820000000001</v>
      </c>
      <c r="U1821">
        <v>-8.6791989999999999E-2</v>
      </c>
      <c r="V1821">
        <v>4.8792839999999997E-2</v>
      </c>
      <c r="W1821">
        <v>0.22694510000000001</v>
      </c>
      <c r="X1821">
        <v>0.97268449999999995</v>
      </c>
      <c r="Y1821">
        <v>-2.8039399999999999E-2</v>
      </c>
      <c r="Z1821">
        <v>-6.5432420000000003E-4</v>
      </c>
      <c r="AA1821">
        <v>0.99960660000000001</v>
      </c>
      <c r="AB1821">
        <v>36</v>
      </c>
      <c r="AC1821">
        <v>-33.203200000000002</v>
      </c>
      <c r="AD1821">
        <v>-1.12091278122659</v>
      </c>
      <c r="AE1821">
        <v>-0.93579999999997199</v>
      </c>
      <c r="AF1821">
        <v>-0.93781333459921601</v>
      </c>
      <c r="AG1821">
        <v>-1.12091278122659</v>
      </c>
      <c r="AH1821">
        <v>33.165345061236003</v>
      </c>
      <c r="AI1821">
        <v>91.934956591476094</v>
      </c>
      <c r="AJ1821">
        <v>91.619715746681806</v>
      </c>
      <c r="AK1821">
        <v>33.197530816982798</v>
      </c>
      <c r="AL1821">
        <v>76.882716257453495</v>
      </c>
      <c r="AM1821">
        <v>87.128274965675203</v>
      </c>
      <c r="AN1821">
        <v>0.99999997809476204</v>
      </c>
    </row>
    <row r="1822" spans="1:40" x14ac:dyDescent="0.25">
      <c r="A1822" t="str">
        <f>"20190303170533397"</f>
        <v>20190303170533397</v>
      </c>
      <c r="B1822" t="str">
        <f>"1551603933386117"</f>
        <v>1551603933386117</v>
      </c>
      <c r="C1822" t="s">
        <v>40</v>
      </c>
      <c r="D1822">
        <v>5.6435879999999896</v>
      </c>
      <c r="E1822">
        <v>0.47556880000000001</v>
      </c>
      <c r="F1822" t="s">
        <v>60</v>
      </c>
      <c r="G1822">
        <v>-343.53210000000001</v>
      </c>
      <c r="H1822" s="1">
        <v>3.4280049999999999E-7</v>
      </c>
      <c r="I1822">
        <v>283.7722</v>
      </c>
      <c r="J1822">
        <v>-310.30130000000003</v>
      </c>
      <c r="K1822">
        <v>1.1209039999999999</v>
      </c>
      <c r="L1822">
        <v>284.72030000000001</v>
      </c>
      <c r="M1822">
        <v>-0.99991609999999997</v>
      </c>
      <c r="N1822">
        <v>-1.2952460000000001E-2</v>
      </c>
      <c r="O1822">
        <v>2.2176889999999999E-4</v>
      </c>
      <c r="P1822">
        <v>-0.97528510000000002</v>
      </c>
      <c r="Q1822">
        <v>0.215258</v>
      </c>
      <c r="R1822">
        <v>4.982922E-2</v>
      </c>
      <c r="S1822">
        <v>-3.1023860000000001</v>
      </c>
      <c r="T1822">
        <v>-0.104004</v>
      </c>
      <c r="U1822">
        <v>-8.7951660000000001E-2</v>
      </c>
      <c r="V1822">
        <v>4.9736240000000001E-2</v>
      </c>
      <c r="W1822">
        <v>0.22784550000000001</v>
      </c>
      <c r="X1822">
        <v>0.97242620000000002</v>
      </c>
      <c r="Y1822">
        <v>-2.8537730000000001E-2</v>
      </c>
      <c r="Z1822">
        <v>-6.6761079999999996E-4</v>
      </c>
      <c r="AA1822">
        <v>0.99959249999999999</v>
      </c>
      <c r="AB1822">
        <v>36</v>
      </c>
      <c r="AC1822">
        <v>-33.230799999999903</v>
      </c>
      <c r="AD1822">
        <v>-1.1209036571994999</v>
      </c>
      <c r="AE1822">
        <v>-0.94810000000001005</v>
      </c>
      <c r="AF1822">
        <v>-0.95438516394611395</v>
      </c>
      <c r="AG1822">
        <v>-1.1209036571994999</v>
      </c>
      <c r="AH1822">
        <v>33.192853745802097</v>
      </c>
      <c r="AI1822">
        <v>91.933312291993602</v>
      </c>
      <c r="AJ1822">
        <v>91.646956325437301</v>
      </c>
      <c r="AK1822">
        <v>33.225484433490102</v>
      </c>
      <c r="AL1822">
        <v>76.829739430377401</v>
      </c>
      <c r="AM1822">
        <v>87.072070204191107</v>
      </c>
      <c r="AN1822">
        <v>0.99999998994301298</v>
      </c>
    </row>
    <row r="1823" spans="1:40" x14ac:dyDescent="0.25">
      <c r="A1823" t="str">
        <f>"20190303170533409"</f>
        <v>20190303170533409</v>
      </c>
      <c r="B1823" t="str">
        <f>"1551603933396854"</f>
        <v>1551603933396854</v>
      </c>
      <c r="C1823" t="s">
        <v>40</v>
      </c>
      <c r="D1823">
        <v>5.4672109999999998</v>
      </c>
      <c r="E1823">
        <v>0.47553079999999998</v>
      </c>
      <c r="F1823" t="s">
        <v>60</v>
      </c>
      <c r="G1823">
        <v>-344.65789999999998</v>
      </c>
      <c r="H1823" s="1">
        <v>9.4189150000000001E-7</v>
      </c>
      <c r="I1823">
        <v>283.76740000000001</v>
      </c>
      <c r="J1823">
        <v>-310.49209999999999</v>
      </c>
      <c r="K1823">
        <v>1.1208979999999999</v>
      </c>
      <c r="L1823">
        <v>284.72050000000002</v>
      </c>
      <c r="M1823">
        <v>-0.99991699999999994</v>
      </c>
      <c r="N1823">
        <v>-1.288332E-2</v>
      </c>
      <c r="O1823">
        <v>3.4036860000000001E-4</v>
      </c>
      <c r="P1823">
        <v>-0.97524480000000002</v>
      </c>
      <c r="Q1823">
        <v>0.2152753</v>
      </c>
      <c r="R1823">
        <v>5.0538199999999901E-2</v>
      </c>
      <c r="S1823">
        <v>-3.102722</v>
      </c>
      <c r="T1823">
        <v>-0.1012281</v>
      </c>
      <c r="U1823">
        <v>-8.6059570000000002E-2</v>
      </c>
      <c r="V1823">
        <v>5.032855E-2</v>
      </c>
      <c r="W1823">
        <v>0.22779540000000001</v>
      </c>
      <c r="X1823">
        <v>0.97240749999999998</v>
      </c>
      <c r="Y1823">
        <v>-2.8045529999999999E-2</v>
      </c>
      <c r="Z1823">
        <v>-6.4477619999999997E-4</v>
      </c>
      <c r="AA1823">
        <v>0.99960640000000001</v>
      </c>
      <c r="AB1823">
        <v>36</v>
      </c>
      <c r="AC1823">
        <v>-34.165799999999898</v>
      </c>
      <c r="AD1823">
        <v>-1.1208970581085</v>
      </c>
      <c r="AE1823">
        <v>-0.95310000000000605</v>
      </c>
      <c r="AF1823">
        <v>-0.96369342259026702</v>
      </c>
      <c r="AG1823">
        <v>-1.1208970581085</v>
      </c>
      <c r="AH1823">
        <v>34.128768096868903</v>
      </c>
      <c r="AI1823">
        <v>91.880350128489795</v>
      </c>
      <c r="AJ1823">
        <v>91.617430132892693</v>
      </c>
      <c r="AK1823">
        <v>34.160765902384</v>
      </c>
      <c r="AL1823">
        <v>76.832687964947098</v>
      </c>
      <c r="AM1823">
        <v>87.037206307405995</v>
      </c>
      <c r="AN1823">
        <v>1.0000000266312501</v>
      </c>
    </row>
    <row r="1824" spans="1:40" x14ac:dyDescent="0.25">
      <c r="A1824" t="str">
        <f>"20190303170533426"</f>
        <v>20190303170533426</v>
      </c>
      <c r="B1824" t="str">
        <f>"1551603933416373"</f>
        <v>1551603933416373</v>
      </c>
      <c r="C1824" t="s">
        <v>40</v>
      </c>
      <c r="D1824">
        <v>5.5117370000000001</v>
      </c>
      <c r="E1824">
        <v>0.47545670000000001</v>
      </c>
      <c r="F1824" t="s">
        <v>60</v>
      </c>
      <c r="G1824">
        <v>-344.52019999999999</v>
      </c>
      <c r="H1824" s="1">
        <v>8.6864390000000004E-7</v>
      </c>
      <c r="I1824">
        <v>283.79450000000003</v>
      </c>
      <c r="J1824">
        <v>-310.75819999999999</v>
      </c>
      <c r="K1824">
        <v>1.120889</v>
      </c>
      <c r="L1824">
        <v>284.72070000000002</v>
      </c>
      <c r="M1824">
        <v>-0.99991819999999998</v>
      </c>
      <c r="N1824">
        <v>-1.27825E-2</v>
      </c>
      <c r="O1824">
        <v>5.0476500000000001E-4</v>
      </c>
      <c r="P1824">
        <v>-0.97504429999999997</v>
      </c>
      <c r="Q1824">
        <v>0.2160474</v>
      </c>
      <c r="R1824">
        <v>5.1109910000000001E-2</v>
      </c>
      <c r="S1824">
        <v>-3.1030880000000001</v>
      </c>
      <c r="T1824">
        <v>-0.1022166</v>
      </c>
      <c r="U1824">
        <v>-8.4442139999999999E-2</v>
      </c>
      <c r="V1824">
        <v>5.0740029999999998E-2</v>
      </c>
      <c r="W1824">
        <v>0.22846620000000001</v>
      </c>
      <c r="X1824">
        <v>0.97222869999999995</v>
      </c>
      <c r="Y1824">
        <v>-2.7685899999999999E-2</v>
      </c>
      <c r="Z1824">
        <v>-6.430063E-4</v>
      </c>
      <c r="AA1824">
        <v>0.99961639999999996</v>
      </c>
      <c r="AB1824">
        <v>36</v>
      </c>
      <c r="AC1824">
        <v>-33.762</v>
      </c>
      <c r="AD1824">
        <v>-1.1208881313561001</v>
      </c>
      <c r="AE1824">
        <v>-0.92619999999999403</v>
      </c>
      <c r="AF1824">
        <v>-0.94220541340045205</v>
      </c>
      <c r="AG1824">
        <v>-1.1208881313561001</v>
      </c>
      <c r="AH1824">
        <v>33.724384415957402</v>
      </c>
      <c r="AI1824">
        <v>91.902881417938502</v>
      </c>
      <c r="AJ1824">
        <v>91.600336231906994</v>
      </c>
      <c r="AK1824">
        <v>33.756158630379197</v>
      </c>
      <c r="AL1824">
        <v>76.793212665345493</v>
      </c>
      <c r="AM1824">
        <v>87.0124782297287</v>
      </c>
      <c r="AN1824">
        <v>1.00000000014526</v>
      </c>
    </row>
    <row r="1825" spans="1:40" x14ac:dyDescent="0.25">
      <c r="A1825" t="str">
        <f>"20190303170533448"</f>
        <v>20190303170533448</v>
      </c>
      <c r="B1825" t="str">
        <f>"1551603933436869"</f>
        <v>1551603933436869</v>
      </c>
      <c r="C1825" t="s">
        <v>40</v>
      </c>
      <c r="D1825">
        <v>5.4948670000000002</v>
      </c>
      <c r="E1825">
        <v>0.47512460000000001</v>
      </c>
      <c r="F1825" t="s">
        <v>60</v>
      </c>
      <c r="G1825">
        <v>-345.7022</v>
      </c>
      <c r="H1825" s="1">
        <v>1.4976230000000001E-6</v>
      </c>
      <c r="I1825">
        <v>283.77499999999998</v>
      </c>
      <c r="J1825">
        <v>-311.1284</v>
      </c>
      <c r="K1825">
        <v>1.120865</v>
      </c>
      <c r="L1825">
        <v>284.72109999999998</v>
      </c>
      <c r="M1825">
        <v>-0.99992009999999998</v>
      </c>
      <c r="N1825">
        <v>-1.263335E-2</v>
      </c>
      <c r="O1825">
        <v>7.3003550000000003E-4</v>
      </c>
      <c r="P1825">
        <v>-0.97486410000000001</v>
      </c>
      <c r="Q1825">
        <v>0.2166998</v>
      </c>
      <c r="R1825">
        <v>5.1781140000000003E-2</v>
      </c>
      <c r="S1825">
        <v>-3.1032410000000001</v>
      </c>
      <c r="T1825">
        <v>-9.9541779999999996E-2</v>
      </c>
      <c r="U1825">
        <v>-8.3984379999999997E-2</v>
      </c>
      <c r="V1825">
        <v>5.1192809999999998E-2</v>
      </c>
      <c r="W1825">
        <v>0.22897129999999999</v>
      </c>
      <c r="X1825">
        <v>0.97208609999999895</v>
      </c>
      <c r="Y1825">
        <v>-2.7763320000000001E-2</v>
      </c>
      <c r="Z1825">
        <v>-6.3474289999999997E-4</v>
      </c>
      <c r="AA1825">
        <v>0.99961429999999996</v>
      </c>
      <c r="AB1825">
        <v>37</v>
      </c>
      <c r="AC1825">
        <v>-34.573799999999999</v>
      </c>
      <c r="AD1825">
        <v>-1.1208635023769999</v>
      </c>
      <c r="AE1825">
        <v>-0.94610000000000105</v>
      </c>
      <c r="AF1825">
        <v>-0.97032279319945303</v>
      </c>
      <c r="AG1825">
        <v>-1.1208635023769999</v>
      </c>
      <c r="AH1825">
        <v>34.536828287310499</v>
      </c>
      <c r="AI1825">
        <v>91.858100863468096</v>
      </c>
      <c r="AJ1825">
        <v>91.609319167059098</v>
      </c>
      <c r="AK1825">
        <v>34.5686327392498</v>
      </c>
      <c r="AL1825">
        <v>76.763484183065202</v>
      </c>
      <c r="AM1825">
        <v>86.985426599458407</v>
      </c>
      <c r="AN1825">
        <v>0.99999997291629705</v>
      </c>
    </row>
    <row r="1826" spans="1:40" x14ac:dyDescent="0.25">
      <c r="A1826" t="str">
        <f>"20190303170533472"</f>
        <v>20190303170533472</v>
      </c>
      <c r="B1826" t="str">
        <f>"1551603933466149"</f>
        <v>1551603933466149</v>
      </c>
      <c r="C1826" t="s">
        <v>40</v>
      </c>
      <c r="D1826">
        <v>5.5286160000000004</v>
      </c>
      <c r="E1826">
        <v>0.47483399999999998</v>
      </c>
      <c r="F1826" t="s">
        <v>60</v>
      </c>
      <c r="G1826">
        <v>-346.60419999999999</v>
      </c>
      <c r="H1826" s="1">
        <v>1.9776470000000002E-6</v>
      </c>
      <c r="I1826">
        <v>283.74900000000002</v>
      </c>
      <c r="J1826">
        <v>-311.51499999999999</v>
      </c>
      <c r="K1826">
        <v>1.120843</v>
      </c>
      <c r="L1826">
        <v>284.72160000000002</v>
      </c>
      <c r="M1826">
        <v>-0.99992170000000002</v>
      </c>
      <c r="N1826">
        <v>-1.247962E-2</v>
      </c>
      <c r="O1826">
        <v>9.632086E-4</v>
      </c>
      <c r="P1826">
        <v>-0.97490060000000001</v>
      </c>
      <c r="Q1826">
        <v>0.21644079999999999</v>
      </c>
      <c r="R1826">
        <v>5.2177420000000002E-2</v>
      </c>
      <c r="S1826">
        <v>-3.1036990000000002</v>
      </c>
      <c r="T1826">
        <v>-9.8061679999999998E-2</v>
      </c>
      <c r="U1826">
        <v>-8.5052489999999994E-2</v>
      </c>
      <c r="V1826">
        <v>5.1362949999999997E-2</v>
      </c>
      <c r="W1826">
        <v>0.2285633</v>
      </c>
      <c r="X1826">
        <v>0.97217319999999996</v>
      </c>
      <c r="Y1826">
        <v>-2.833633E-2</v>
      </c>
      <c r="Z1826">
        <v>-6.4276660000000001E-4</v>
      </c>
      <c r="AA1826">
        <v>0.99959830000000005</v>
      </c>
      <c r="AB1826">
        <v>37</v>
      </c>
      <c r="AC1826">
        <v>-35.089199999999998</v>
      </c>
      <c r="AD1826">
        <v>-1.1208410223530001</v>
      </c>
      <c r="AE1826">
        <v>-0.97260000000000002</v>
      </c>
      <c r="AF1826">
        <v>-1.00537537069578</v>
      </c>
      <c r="AG1826">
        <v>-1.1208410223530001</v>
      </c>
      <c r="AH1826">
        <v>35.052509123866301</v>
      </c>
      <c r="AI1826">
        <v>91.830716705715801</v>
      </c>
      <c r="AJ1826">
        <v>91.6429059936481</v>
      </c>
      <c r="AK1826">
        <v>35.084832336953298</v>
      </c>
      <c r="AL1826">
        <v>76.787498477553996</v>
      </c>
      <c r="AM1826">
        <v>86.975696673474602</v>
      </c>
      <c r="AN1826">
        <v>1.00000003276891</v>
      </c>
    </row>
    <row r="1827" spans="1:40" x14ac:dyDescent="0.25">
      <c r="A1827" t="str">
        <f>"20190303170533494"</f>
        <v>20190303170533494</v>
      </c>
      <c r="B1827" t="str">
        <f>"1551603933486645"</f>
        <v>1551603933486645</v>
      </c>
      <c r="C1827" t="s">
        <v>40</v>
      </c>
      <c r="D1827">
        <v>5.5125229999999998</v>
      </c>
      <c r="E1827">
        <v>0.47470889999999999</v>
      </c>
      <c r="F1827" t="s">
        <v>60</v>
      </c>
      <c r="G1827">
        <v>-346.52969999999999</v>
      </c>
      <c r="H1827" s="1">
        <v>1.9379909999999999E-6</v>
      </c>
      <c r="I1827">
        <v>283.73939999999999</v>
      </c>
      <c r="J1827">
        <v>-311.87479999999999</v>
      </c>
      <c r="K1827">
        <v>1.120825</v>
      </c>
      <c r="L1827">
        <v>284.72219999999999</v>
      </c>
      <c r="M1827">
        <v>-0.99992320000000001</v>
      </c>
      <c r="N1827">
        <v>-1.234625E-2</v>
      </c>
      <c r="O1827">
        <v>1.1803320000000001E-3</v>
      </c>
      <c r="P1827">
        <v>-0.97469340000000004</v>
      </c>
      <c r="Q1827">
        <v>0.21712960000000001</v>
      </c>
      <c r="R1827">
        <v>5.3176559999999998E-2</v>
      </c>
      <c r="S1827">
        <v>-3.1039729999999999</v>
      </c>
      <c r="T1827">
        <v>-9.9360110000000001E-2</v>
      </c>
      <c r="U1827">
        <v>-8.7066649999999995E-2</v>
      </c>
      <c r="V1827">
        <v>5.2152230000000001E-2</v>
      </c>
      <c r="W1827">
        <v>0.22911889999999999</v>
      </c>
      <c r="X1827">
        <v>0.97200039999999999</v>
      </c>
      <c r="Y1827">
        <v>-2.9198040000000001E-2</v>
      </c>
      <c r="Z1827">
        <v>-6.7065959999999998E-4</v>
      </c>
      <c r="AA1827">
        <v>0.99957339999999995</v>
      </c>
      <c r="AB1827">
        <v>37</v>
      </c>
      <c r="AC1827">
        <v>-34.654899999999998</v>
      </c>
      <c r="AD1827">
        <v>-1.1208230620090001</v>
      </c>
      <c r="AE1827">
        <v>-0.98279999999999701</v>
      </c>
      <c r="AF1827">
        <v>-1.02263786399472</v>
      </c>
      <c r="AG1827">
        <v>-1.1208230620090001</v>
      </c>
      <c r="AH1827">
        <v>34.617533802108099</v>
      </c>
      <c r="AI1827">
        <v>91.853628061194797</v>
      </c>
      <c r="AJ1827">
        <v>91.692084673186201</v>
      </c>
      <c r="AK1827">
        <v>34.650767366355701</v>
      </c>
      <c r="AL1827">
        <v>76.754797427239197</v>
      </c>
      <c r="AM1827">
        <v>86.928766468234699</v>
      </c>
      <c r="AN1827">
        <v>1.00000005151567</v>
      </c>
    </row>
    <row r="1828" spans="1:40" x14ac:dyDescent="0.25">
      <c r="A1828" t="str">
        <f>"20190303170533515"</f>
        <v>20190303170533515</v>
      </c>
      <c r="B1828" t="str">
        <f>"1551603933506168"</f>
        <v>1551603933506168</v>
      </c>
      <c r="C1828" t="s">
        <v>40</v>
      </c>
      <c r="D1828">
        <v>5.6108830000000003</v>
      </c>
      <c r="E1828">
        <v>0.47446430000000001</v>
      </c>
      <c r="F1828" t="s">
        <v>60</v>
      </c>
      <c r="G1828">
        <v>-347.81189999999998</v>
      </c>
      <c r="H1828" s="1">
        <v>2.6203280000000001E-6</v>
      </c>
      <c r="I1828">
        <v>283.72660000000002</v>
      </c>
      <c r="J1828">
        <v>-312.22669999999999</v>
      </c>
      <c r="K1828">
        <v>1.1208119999999999</v>
      </c>
      <c r="L1828">
        <v>284.72280000000001</v>
      </c>
      <c r="M1828">
        <v>-0.99992429999999999</v>
      </c>
      <c r="N1828">
        <v>-1.2224799999999999E-2</v>
      </c>
      <c r="O1828">
        <v>1.3938519999999999E-3</v>
      </c>
      <c r="P1828">
        <v>-0.97443729999999995</v>
      </c>
      <c r="Q1828">
        <v>0.21796650000000001</v>
      </c>
      <c r="R1828">
        <v>5.4430149999999997E-2</v>
      </c>
      <c r="S1828">
        <v>-3.1041259999999999</v>
      </c>
      <c r="T1828">
        <v>-9.681273E-2</v>
      </c>
      <c r="U1828">
        <v>-8.5998539999999998E-2</v>
      </c>
      <c r="V1828">
        <v>5.3199580000000003E-2</v>
      </c>
      <c r="W1828">
        <v>0.22983410000000001</v>
      </c>
      <c r="X1828">
        <v>0.97177469999999999</v>
      </c>
      <c r="Y1828">
        <v>-2.906744E-2</v>
      </c>
      <c r="Z1828">
        <v>-6.572781E-4</v>
      </c>
      <c r="AA1828">
        <v>0.99957720000000005</v>
      </c>
      <c r="AB1828">
        <v>37</v>
      </c>
      <c r="AC1828">
        <v>-35.585199999999901</v>
      </c>
      <c r="AD1828">
        <v>-1.120809379672</v>
      </c>
      <c r="AE1828">
        <v>-0.99619999999998698</v>
      </c>
      <c r="AF1828">
        <v>-1.04476761226313</v>
      </c>
      <c r="AG1828">
        <v>-1.120809379672</v>
      </c>
      <c r="AH1828">
        <v>35.548539175756297</v>
      </c>
      <c r="AI1828">
        <v>91.805100663542206</v>
      </c>
      <c r="AJ1828">
        <v>91.683432001532495</v>
      </c>
      <c r="AK1828">
        <v>35.5815456460154</v>
      </c>
      <c r="AL1828">
        <v>76.712695119323996</v>
      </c>
      <c r="AM1828">
        <v>86.866483746618698</v>
      </c>
      <c r="AN1828">
        <v>0.99999998819753799</v>
      </c>
    </row>
    <row r="1829" spans="1:40" x14ac:dyDescent="0.25">
      <c r="A1829" t="str">
        <f>"20190303170533537"</f>
        <v>20190303170533537</v>
      </c>
      <c r="B1829" t="str">
        <f>"1551603933526661"</f>
        <v>1551603933526661</v>
      </c>
      <c r="C1829" t="s">
        <v>40</v>
      </c>
      <c r="D1829">
        <v>5.5590840000000004</v>
      </c>
      <c r="E1829">
        <v>0.47446250000000001</v>
      </c>
      <c r="F1829" t="s">
        <v>60</v>
      </c>
      <c r="G1829">
        <v>-349.10399999999998</v>
      </c>
      <c r="H1829" s="1">
        <v>3.3078969999999998E-6</v>
      </c>
      <c r="I1829">
        <v>283.7013</v>
      </c>
      <c r="J1829">
        <v>-312.58269999999999</v>
      </c>
      <c r="K1829">
        <v>1.1207910000000001</v>
      </c>
      <c r="L1829">
        <v>284.72359999999998</v>
      </c>
      <c r="M1829">
        <v>-0.99992550000000002</v>
      </c>
      <c r="N1829">
        <v>-1.210935E-2</v>
      </c>
      <c r="O1829">
        <v>1.610661E-3</v>
      </c>
      <c r="P1829">
        <v>-0.97406820000000005</v>
      </c>
      <c r="Q1829">
        <v>0.21919269999999999</v>
      </c>
      <c r="R1829">
        <v>5.6087640000000001E-2</v>
      </c>
      <c r="S1829">
        <v>-3.1046140000000002</v>
      </c>
      <c r="T1829">
        <v>-9.4358330000000004E-2</v>
      </c>
      <c r="U1829">
        <v>-8.5998539999999998E-2</v>
      </c>
      <c r="V1829">
        <v>5.4647580000000001E-2</v>
      </c>
      <c r="W1829">
        <v>0.2309426</v>
      </c>
      <c r="X1829">
        <v>0.9714315</v>
      </c>
      <c r="Y1829">
        <v>-2.9280569999999999E-2</v>
      </c>
      <c r="Z1829">
        <v>-6.5158920000000001E-4</v>
      </c>
      <c r="AA1829">
        <v>0.99957099999999999</v>
      </c>
      <c r="AB1829">
        <v>37</v>
      </c>
      <c r="AC1829">
        <v>-36.521299999999997</v>
      </c>
      <c r="AD1829">
        <v>-1.120787692103</v>
      </c>
      <c r="AE1829">
        <v>-1.02229999999997</v>
      </c>
      <c r="AF1829">
        <v>-1.0801099729447501</v>
      </c>
      <c r="AG1829">
        <v>-1.120787692103</v>
      </c>
      <c r="AH1829">
        <v>36.485271346586501</v>
      </c>
      <c r="AI1829">
        <v>91.758740437073897</v>
      </c>
      <c r="AJ1829">
        <v>91.695689006940398</v>
      </c>
      <c r="AK1829">
        <v>36.518458727586903</v>
      </c>
      <c r="AL1829">
        <v>76.6474271205701</v>
      </c>
      <c r="AM1829">
        <v>86.780237109436698</v>
      </c>
      <c r="AN1829">
        <v>1.00000000084343</v>
      </c>
    </row>
    <row r="1830" spans="1:40" x14ac:dyDescent="0.25">
      <c r="A1830" t="str">
        <f>"20190303170533560"</f>
        <v>20190303170533560</v>
      </c>
      <c r="B1830" t="str">
        <f>"1551603933556917"</f>
        <v>1551603933556917</v>
      </c>
      <c r="C1830" t="s">
        <v>40</v>
      </c>
      <c r="D1830">
        <v>5.5128890000000004</v>
      </c>
      <c r="E1830">
        <v>0.48281170000000001</v>
      </c>
      <c r="F1830" t="s">
        <v>60</v>
      </c>
      <c r="G1830">
        <v>-350.62909999999999</v>
      </c>
      <c r="H1830" s="1">
        <v>-1.2020019999999999E-6</v>
      </c>
      <c r="I1830">
        <v>283.71699999999998</v>
      </c>
      <c r="J1830">
        <v>-312.95460000000003</v>
      </c>
      <c r="K1830">
        <v>1.1207800000000001</v>
      </c>
      <c r="L1830">
        <v>284.7244</v>
      </c>
      <c r="M1830">
        <v>-0.99992630000000005</v>
      </c>
      <c r="N1830">
        <v>-1.199851E-2</v>
      </c>
      <c r="O1830">
        <v>1.837867E-3</v>
      </c>
      <c r="P1830">
        <v>-0.97389990000000004</v>
      </c>
      <c r="Q1830">
        <v>0.21951680000000001</v>
      </c>
      <c r="R1830">
        <v>5.7719529999999998E-2</v>
      </c>
      <c r="S1830">
        <v>-3.1051639999999998</v>
      </c>
      <c r="T1830">
        <v>-9.1473700000000005E-2</v>
      </c>
      <c r="U1830">
        <v>-8.2153320000000002E-2</v>
      </c>
      <c r="V1830">
        <v>5.6059409999999997E-2</v>
      </c>
      <c r="W1830">
        <v>0.231156</v>
      </c>
      <c r="X1830">
        <v>0.97130030000000001</v>
      </c>
      <c r="Y1830">
        <v>-2.8267529999999999E-2</v>
      </c>
      <c r="Z1830">
        <v>-6.1794349999999998E-4</v>
      </c>
      <c r="AA1830">
        <v>0.99960020000000005</v>
      </c>
      <c r="AB1830">
        <v>37</v>
      </c>
      <c r="AC1830">
        <v>-37.674499999999902</v>
      </c>
      <c r="AD1830">
        <v>-1.1207812020019901</v>
      </c>
      <c r="AE1830">
        <v>-1.0074000000000101</v>
      </c>
      <c r="AF1830">
        <v>-1.07569268980904</v>
      </c>
      <c r="AG1830">
        <v>-1.1207812020019901</v>
      </c>
      <c r="AH1830">
        <v>37.639297523186301</v>
      </c>
      <c r="AI1830">
        <v>91.704890430926596</v>
      </c>
      <c r="AJ1830">
        <v>91.637009290754506</v>
      </c>
      <c r="AK1830">
        <v>37.671341671151097</v>
      </c>
      <c r="AL1830">
        <v>76.634860334411997</v>
      </c>
      <c r="AM1830">
        <v>86.696790657412393</v>
      </c>
      <c r="AN1830">
        <v>1.00000001328281</v>
      </c>
    </row>
    <row r="1831" spans="1:40" x14ac:dyDescent="0.25">
      <c r="A1831" t="str">
        <f>"20190303170533694"</f>
        <v>20190303170533694</v>
      </c>
      <c r="B1831" t="str">
        <f>"1551603933686724"</f>
        <v>1551603933686724</v>
      </c>
      <c r="C1831" t="s">
        <v>40</v>
      </c>
      <c r="D1831">
        <v>4.8512120000000003</v>
      </c>
      <c r="E1831">
        <v>0.45639299999999999</v>
      </c>
      <c r="F1831" t="s">
        <v>60</v>
      </c>
      <c r="G1831">
        <v>-376.27449999999999</v>
      </c>
      <c r="H1831" s="1">
        <v>1.8021690000000001E-6</v>
      </c>
      <c r="I1831">
        <v>284.54450000000003</v>
      </c>
      <c r="J1831">
        <v>-315.15929999999997</v>
      </c>
      <c r="K1831">
        <v>1.120717</v>
      </c>
      <c r="L1831">
        <v>284.73110000000003</v>
      </c>
      <c r="M1831">
        <v>-0.99992979999999998</v>
      </c>
      <c r="N1831">
        <v>-1.1412230000000001E-2</v>
      </c>
      <c r="O1831">
        <v>3.1769540000000001E-3</v>
      </c>
      <c r="P1831">
        <v>-0.97254879999999999</v>
      </c>
      <c r="Q1831">
        <v>0.22142510000000001</v>
      </c>
      <c r="R1831">
        <v>7.155359E-2</v>
      </c>
      <c r="S1831">
        <v>-3.0932309999999998</v>
      </c>
      <c r="T1831">
        <v>-5.4751040000000001E-2</v>
      </c>
      <c r="U1831">
        <v>-8.7890629999999997E-3</v>
      </c>
      <c r="V1831">
        <v>6.8593879999999996E-2</v>
      </c>
      <c r="W1831">
        <v>0.23247380000000001</v>
      </c>
      <c r="X1831">
        <v>0.97018079999999995</v>
      </c>
      <c r="Y1831">
        <v>-6.0168969999999898E-3</v>
      </c>
      <c r="Z1831">
        <v>-1.07557E-4</v>
      </c>
      <c r="AA1831">
        <v>0.99998189999999998</v>
      </c>
      <c r="AB1831">
        <v>37</v>
      </c>
      <c r="AC1831">
        <v>-61.115200000000002</v>
      </c>
      <c r="AD1831">
        <v>-1.1207151978309999</v>
      </c>
      <c r="AE1831">
        <v>-0.18659999999999799</v>
      </c>
      <c r="AF1831">
        <v>-0.38064388918103398</v>
      </c>
      <c r="AG1831">
        <v>-1.1207151978309999</v>
      </c>
      <c r="AH1831">
        <v>61.093754690803202</v>
      </c>
      <c r="AI1831">
        <v>91.050906170509805</v>
      </c>
      <c r="AJ1831">
        <v>90.356976032324596</v>
      </c>
      <c r="AK1831">
        <v>61.105218717758099</v>
      </c>
      <c r="AL1831">
        <v>76.557241241301</v>
      </c>
      <c r="AM1831">
        <v>85.955794280351796</v>
      </c>
      <c r="AN1831">
        <v>0.99999998637426701</v>
      </c>
    </row>
    <row r="1832" spans="1:40" x14ac:dyDescent="0.25">
      <c r="A1832" t="str">
        <f>"20190303170533716"</f>
        <v>20190303170533716</v>
      </c>
      <c r="B1832" t="str">
        <f>"1551603933706246"</f>
        <v>1551603933706246</v>
      </c>
      <c r="C1832" t="s">
        <v>40</v>
      </c>
      <c r="D1832">
        <v>5.1595360000000001</v>
      </c>
      <c r="E1832">
        <v>0.45849430000000002</v>
      </c>
      <c r="F1832" t="s">
        <v>42</v>
      </c>
      <c r="G1832">
        <v>-315.9975</v>
      </c>
      <c r="H1832">
        <v>0.96602900000000003</v>
      </c>
      <c r="I1832">
        <v>284.67469999999997</v>
      </c>
      <c r="J1832">
        <v>-315.51479999999998</v>
      </c>
      <c r="K1832">
        <v>1.1207100000000001</v>
      </c>
      <c r="L1832">
        <v>284.73250000000002</v>
      </c>
      <c r="M1832">
        <v>-0.9999306</v>
      </c>
      <c r="N1832">
        <v>-1.1293269999999999E-2</v>
      </c>
      <c r="O1832">
        <v>3.3871349999999999E-3</v>
      </c>
      <c r="P1832">
        <v>-0.97219650000000002</v>
      </c>
      <c r="Q1832">
        <v>0.22220200000000001</v>
      </c>
      <c r="R1832">
        <v>7.3895310000000006E-2</v>
      </c>
      <c r="S1832">
        <v>-3.2367859999999999</v>
      </c>
      <c r="T1832">
        <v>-0.59743519999999894</v>
      </c>
      <c r="U1832">
        <v>-0.21908569999999999</v>
      </c>
      <c r="V1832">
        <v>7.0731619999999995E-2</v>
      </c>
      <c r="W1832">
        <v>0.23313049999999999</v>
      </c>
      <c r="X1832">
        <v>0.96986969999999995</v>
      </c>
      <c r="Y1832">
        <v>-6.9616880000000006E-2</v>
      </c>
      <c r="Z1832">
        <v>-7.3423309999999997E-3</v>
      </c>
      <c r="AA1832">
        <v>0.99754679999999996</v>
      </c>
      <c r="AB1832">
        <v>37</v>
      </c>
      <c r="AC1832">
        <v>-0.482700000000022</v>
      </c>
      <c r="AD1832">
        <v>-0.15468099999999901</v>
      </c>
      <c r="AE1832">
        <v>-5.78000000000429E-2</v>
      </c>
      <c r="AF1832">
        <v>-5.3970923350755602E-2</v>
      </c>
      <c r="AG1832">
        <v>-0.15468099999999901</v>
      </c>
      <c r="AH1832">
        <v>0.43814521969311798</v>
      </c>
      <c r="AI1832">
        <v>109.30982996775499</v>
      </c>
      <c r="AJ1832">
        <v>97.022344560999301</v>
      </c>
      <c r="AK1832">
        <v>0.46777163858902798</v>
      </c>
      <c r="AL1832">
        <v>76.518552455855897</v>
      </c>
      <c r="AM1832">
        <v>85.828860997089194</v>
      </c>
      <c r="AN1832">
        <v>1.00000001353808</v>
      </c>
    </row>
    <row r="1833" spans="1:40" x14ac:dyDescent="0.25">
      <c r="A1833" t="str">
        <f>"20190303170533738"</f>
        <v>20190303170533738</v>
      </c>
      <c r="B1833" t="str">
        <f>"1551603933726742"</f>
        <v>1551603933726742</v>
      </c>
      <c r="C1833" t="s">
        <v>40</v>
      </c>
      <c r="D1833">
        <v>5.5826710000000004</v>
      </c>
      <c r="E1833">
        <v>0.44410349999999998</v>
      </c>
      <c r="F1833" t="s">
        <v>42</v>
      </c>
      <c r="G1833">
        <v>-316.33920000000001</v>
      </c>
      <c r="H1833">
        <v>0.99283180000000004</v>
      </c>
      <c r="I1833">
        <v>284.68380000000002</v>
      </c>
      <c r="J1833">
        <v>-315.88040000000001</v>
      </c>
      <c r="K1833">
        <v>1.120695</v>
      </c>
      <c r="L1833">
        <v>284.73390000000001</v>
      </c>
      <c r="M1833">
        <v>-0.99993129999999997</v>
      </c>
      <c r="N1833">
        <v>-1.1158939999999999E-2</v>
      </c>
      <c r="O1833">
        <v>3.6015690000000002E-3</v>
      </c>
      <c r="P1833">
        <v>-0.97195779999999998</v>
      </c>
      <c r="Q1833">
        <v>0.22253899999999999</v>
      </c>
      <c r="R1833">
        <v>7.5989459999999995E-2</v>
      </c>
      <c r="S1833">
        <v>-3.2142940000000002</v>
      </c>
      <c r="T1833">
        <v>-0.49863580000000002</v>
      </c>
      <c r="U1833">
        <v>-0.1906128</v>
      </c>
      <c r="V1833">
        <v>7.2617200000000007E-2</v>
      </c>
      <c r="W1833">
        <v>0.23333400000000001</v>
      </c>
      <c r="X1833">
        <v>0.96968140000000003</v>
      </c>
      <c r="Y1833">
        <v>-6.1963169999999998E-2</v>
      </c>
      <c r="Z1833">
        <v>-5.6367309999999999E-3</v>
      </c>
      <c r="AA1833">
        <v>0.99806249999999996</v>
      </c>
      <c r="AB1833">
        <v>37</v>
      </c>
      <c r="AC1833">
        <v>-0.45879999999999599</v>
      </c>
      <c r="AD1833">
        <v>-0.12786319999999901</v>
      </c>
      <c r="AE1833">
        <v>-5.0099999999986197E-2</v>
      </c>
      <c r="AF1833">
        <v>-4.8063176346910201E-2</v>
      </c>
      <c r="AG1833">
        <v>-0.12786319999999901</v>
      </c>
      <c r="AH1833">
        <v>0.42592544434742102</v>
      </c>
      <c r="AI1833">
        <v>106.610242502185</v>
      </c>
      <c r="AJ1833">
        <v>96.438255444404902</v>
      </c>
      <c r="AK1833">
        <v>0.44729358477105602</v>
      </c>
      <c r="AL1833">
        <v>76.506562108677201</v>
      </c>
      <c r="AM1833">
        <v>85.717245624780503</v>
      </c>
      <c r="AN1833">
        <v>1.0000000153988899</v>
      </c>
    </row>
    <row r="1834" spans="1:40" x14ac:dyDescent="0.25">
      <c r="A1834" t="str">
        <f>"20190303170533761"</f>
        <v>20190303170533761</v>
      </c>
      <c r="B1834" t="str">
        <f>"1551603933756997"</f>
        <v>1551603933756997</v>
      </c>
      <c r="C1834" t="s">
        <v>40</v>
      </c>
      <c r="D1834">
        <v>5.5894870000000001</v>
      </c>
      <c r="E1834">
        <v>0.45675110000000002</v>
      </c>
      <c r="F1834" t="s">
        <v>60</v>
      </c>
      <c r="G1834">
        <v>-352.70069999999998</v>
      </c>
      <c r="H1834" s="1">
        <v>-9.9602799999999998E-8</v>
      </c>
      <c r="I1834">
        <v>281.5378</v>
      </c>
      <c r="J1834">
        <v>-316.26499999999999</v>
      </c>
      <c r="K1834">
        <v>1.1206739999999999</v>
      </c>
      <c r="L1834">
        <v>284.7355</v>
      </c>
      <c r="M1834">
        <v>-0.99993209999999999</v>
      </c>
      <c r="N1834">
        <v>-1.1012299999999999E-2</v>
      </c>
      <c r="O1834">
        <v>3.8252450000000001E-3</v>
      </c>
      <c r="P1834">
        <v>-0.97164360000000005</v>
      </c>
      <c r="Q1834">
        <v>0.22297539999999999</v>
      </c>
      <c r="R1834">
        <v>7.8681119999999993E-2</v>
      </c>
      <c r="S1834">
        <v>-3.1296390000000001</v>
      </c>
      <c r="T1834">
        <v>-9.5256450000000006E-2</v>
      </c>
      <c r="U1834">
        <v>-0.27166750000000001</v>
      </c>
      <c r="V1834">
        <v>7.5092049999999994E-2</v>
      </c>
      <c r="W1834">
        <v>0.23362430000000001</v>
      </c>
      <c r="X1834">
        <v>0.96942300000000003</v>
      </c>
      <c r="Y1834">
        <v>-9.0232759999999995E-2</v>
      </c>
      <c r="Z1834">
        <v>-1.942397E-3</v>
      </c>
      <c r="AA1834">
        <v>0.99591879999999999</v>
      </c>
      <c r="AB1834">
        <v>37</v>
      </c>
      <c r="AC1834">
        <v>-36.435699999999997</v>
      </c>
      <c r="AD1834">
        <v>-1.1206740996028</v>
      </c>
      <c r="AE1834">
        <v>-3.19769999999999</v>
      </c>
      <c r="AF1834">
        <v>-3.3339306379074301</v>
      </c>
      <c r="AG1834">
        <v>-1.1206740996028</v>
      </c>
      <c r="AH1834">
        <v>36.389038708422</v>
      </c>
      <c r="AI1834">
        <v>91.756629373974704</v>
      </c>
      <c r="AJ1834">
        <v>95.234772867305594</v>
      </c>
      <c r="AK1834">
        <v>36.558626096434899</v>
      </c>
      <c r="AL1834">
        <v>76.489456728026397</v>
      </c>
      <c r="AM1834">
        <v>85.570681453709895</v>
      </c>
      <c r="AN1834">
        <v>1.0000000412263399</v>
      </c>
    </row>
    <row r="1835" spans="1:40" x14ac:dyDescent="0.25">
      <c r="A1835" t="str">
        <f>"20190303170533784"</f>
        <v>20190303170533784</v>
      </c>
      <c r="B1835" t="str">
        <f>"1551603933776517"</f>
        <v>1551603933776517</v>
      </c>
      <c r="C1835" t="s">
        <v>40</v>
      </c>
      <c r="D1835">
        <v>5.5937910000000004</v>
      </c>
      <c r="E1835">
        <v>0.4588216</v>
      </c>
      <c r="F1835" t="s">
        <v>64</v>
      </c>
      <c r="G1835">
        <v>-430.79070000000002</v>
      </c>
      <c r="H1835" s="1">
        <v>3.1342220000000002E-6</v>
      </c>
      <c r="I1835">
        <v>278.88119999999998</v>
      </c>
      <c r="J1835">
        <v>-316.63670000000002</v>
      </c>
      <c r="K1835">
        <v>1.1206389999999999</v>
      </c>
      <c r="L1835">
        <v>284.73719999999997</v>
      </c>
      <c r="M1835">
        <v>-0.99993279999999995</v>
      </c>
      <c r="N1835">
        <v>-1.0866799999999999E-2</v>
      </c>
      <c r="O1835">
        <v>4.0398550000000002E-3</v>
      </c>
      <c r="P1835">
        <v>-0.97121259999999998</v>
      </c>
      <c r="Q1835">
        <v>0.2236242</v>
      </c>
      <c r="R1835">
        <v>8.2087049999999995E-2</v>
      </c>
      <c r="S1835">
        <v>-3.1073909999999998</v>
      </c>
      <c r="T1835">
        <v>-3.0406829999999999E-2</v>
      </c>
      <c r="U1835">
        <v>-0.15884400000000001</v>
      </c>
      <c r="V1835">
        <v>7.8291100000000002E-2</v>
      </c>
      <c r="W1835">
        <v>0.23412540000000001</v>
      </c>
      <c r="X1835">
        <v>0.96904889999999999</v>
      </c>
      <c r="Y1835">
        <v>-5.508031E-2</v>
      </c>
      <c r="Z1835">
        <v>-5.6443309999999996E-4</v>
      </c>
      <c r="AA1835">
        <v>0.99848179999999997</v>
      </c>
      <c r="AB1835">
        <v>37</v>
      </c>
      <c r="AC1835">
        <v>-114.154</v>
      </c>
      <c r="AD1835">
        <v>-1.120635865778</v>
      </c>
      <c r="AE1835">
        <v>-5.8559999999999901</v>
      </c>
      <c r="AF1835">
        <v>-6.3165379102008101</v>
      </c>
      <c r="AG1835">
        <v>-1.120635865778</v>
      </c>
      <c r="AH1835">
        <v>114.11844072461599</v>
      </c>
      <c r="AI1835">
        <v>90.561763020469499</v>
      </c>
      <c r="AJ1835">
        <v>93.168129911322694</v>
      </c>
      <c r="AK1835">
        <v>114.29861324325999</v>
      </c>
      <c r="AL1835">
        <v>76.459926076395305</v>
      </c>
      <c r="AM1835">
        <v>85.381009452574702</v>
      </c>
      <c r="AN1835">
        <v>0.99999998492778897</v>
      </c>
    </row>
    <row r="1836" spans="1:40" x14ac:dyDescent="0.25">
      <c r="A1836" t="str">
        <f>"20190303170533803"</f>
        <v>20190303170533803</v>
      </c>
      <c r="B1836" t="str">
        <f>"1551603933797015"</f>
        <v>1551603933797015</v>
      </c>
      <c r="C1836" t="s">
        <v>40</v>
      </c>
      <c r="D1836">
        <v>5.5874550000000003</v>
      </c>
      <c r="E1836">
        <v>0.46051409999999998</v>
      </c>
      <c r="F1836" t="s">
        <v>68</v>
      </c>
      <c r="G1836">
        <v>-511.9588</v>
      </c>
      <c r="H1836">
        <v>0.61157109999999903</v>
      </c>
      <c r="I1836">
        <v>276.42039999999997</v>
      </c>
      <c r="J1836">
        <v>-316.97859999999997</v>
      </c>
      <c r="K1836">
        <v>1.1206210000000001</v>
      </c>
      <c r="L1836">
        <v>284.73880000000003</v>
      </c>
      <c r="M1836">
        <v>-0.99993359999999998</v>
      </c>
      <c r="N1836">
        <v>-1.0727260000000001E-2</v>
      </c>
      <c r="O1836">
        <v>4.236432E-3</v>
      </c>
      <c r="P1836">
        <v>-0.97086150000000004</v>
      </c>
      <c r="Q1836">
        <v>0.2235819</v>
      </c>
      <c r="R1836">
        <v>8.6253280000000002E-2</v>
      </c>
      <c r="S1836">
        <v>-3.1019589999999999</v>
      </c>
      <c r="T1836">
        <v>-8.0833439999999993E-3</v>
      </c>
      <c r="U1836">
        <v>-0.13208010000000001</v>
      </c>
      <c r="V1836">
        <v>8.2268149999999998E-2</v>
      </c>
      <c r="W1836">
        <v>0.23394180000000001</v>
      </c>
      <c r="X1836">
        <v>0.96876370000000001</v>
      </c>
      <c r="Y1836">
        <v>-4.6772519999999998E-2</v>
      </c>
      <c r="Z1836">
        <v>-2.775171E-4</v>
      </c>
      <c r="AA1836">
        <v>0.9989055</v>
      </c>
      <c r="AB1836">
        <v>37</v>
      </c>
      <c r="AC1836">
        <v>-194.9802</v>
      </c>
      <c r="AD1836">
        <v>-0.50904989999999894</v>
      </c>
      <c r="AE1836">
        <v>-8.3184000000000502</v>
      </c>
      <c r="AF1836">
        <v>-9.1443309247000997</v>
      </c>
      <c r="AG1836">
        <v>-0.50904989999999894</v>
      </c>
      <c r="AH1836">
        <v>194.94188140116799</v>
      </c>
      <c r="AI1836">
        <v>90.149451257552698</v>
      </c>
      <c r="AJ1836">
        <v>92.685660936641995</v>
      </c>
      <c r="AK1836">
        <v>195.156898530614</v>
      </c>
      <c r="AL1836">
        <v>76.470745730387904</v>
      </c>
      <c r="AM1836">
        <v>85.146044641909398</v>
      </c>
      <c r="AN1836">
        <v>0.99999996036467498</v>
      </c>
    </row>
    <row r="1837" spans="1:40" x14ac:dyDescent="0.25">
      <c r="A1837" t="str">
        <f>"20190303170533851"</f>
        <v>20190303170533851</v>
      </c>
      <c r="B1837" t="str">
        <f>"1551603933846790"</f>
        <v>1551603933846790</v>
      </c>
      <c r="C1837" t="s">
        <v>40</v>
      </c>
      <c r="D1837">
        <v>5.5796769999999896</v>
      </c>
      <c r="E1837">
        <v>0.46188240000000003</v>
      </c>
      <c r="F1837" t="s">
        <v>68</v>
      </c>
      <c r="G1837">
        <v>-511.95870000000002</v>
      </c>
      <c r="H1837">
        <v>0.37382320000000002</v>
      </c>
      <c r="I1837">
        <v>278.00639999999999</v>
      </c>
      <c r="J1837">
        <v>-317.74369999999999</v>
      </c>
      <c r="K1837">
        <v>1.1205689999999999</v>
      </c>
      <c r="L1837">
        <v>284.74250000000001</v>
      </c>
      <c r="M1837">
        <v>-0.99993480000000001</v>
      </c>
      <c r="N1837">
        <v>-1.0423399999999999E-2</v>
      </c>
      <c r="O1837">
        <v>4.6764679999999996E-3</v>
      </c>
      <c r="P1837">
        <v>-0.97079349999999998</v>
      </c>
      <c r="Q1837">
        <v>0.22134980000000001</v>
      </c>
      <c r="R1837">
        <v>9.2544669999999996E-2</v>
      </c>
      <c r="S1837">
        <v>-3.1022949999999998</v>
      </c>
      <c r="T1837">
        <v>-1.188087E-2</v>
      </c>
      <c r="U1837">
        <v>-0.1071167</v>
      </c>
      <c r="V1837">
        <v>8.8131290000000001E-2</v>
      </c>
      <c r="W1837">
        <v>0.2314126</v>
      </c>
      <c r="X1837">
        <v>0.96885560000000004</v>
      </c>
      <c r="Y1837">
        <v>-3.9180029999999998E-2</v>
      </c>
      <c r="Z1837">
        <v>-2.4843849999999998E-4</v>
      </c>
      <c r="AA1837">
        <v>0.99923209999999996</v>
      </c>
      <c r="AB1837">
        <v>37</v>
      </c>
      <c r="AC1837">
        <v>-194.215</v>
      </c>
      <c r="AD1837">
        <v>-0.74674580000000002</v>
      </c>
      <c r="AE1837">
        <v>-6.73610000000002</v>
      </c>
      <c r="AF1837">
        <v>-7.64420298216519</v>
      </c>
      <c r="AG1837">
        <v>-0.74674580000000002</v>
      </c>
      <c r="AH1837">
        <v>194.17850600697</v>
      </c>
      <c r="AI1837">
        <v>90.220168845077495</v>
      </c>
      <c r="AJ1837">
        <v>92.254392280928499</v>
      </c>
      <c r="AK1837">
        <v>194.330346738797</v>
      </c>
      <c r="AL1837">
        <v>76.619748926315395</v>
      </c>
      <c r="AM1837">
        <v>84.802432700545396</v>
      </c>
      <c r="AN1837">
        <v>1.0000000446835899</v>
      </c>
    </row>
    <row r="1838" spans="1:40" x14ac:dyDescent="0.25">
      <c r="A1838" t="str">
        <f>"20190303170533874"</f>
        <v>20190303170533874</v>
      </c>
      <c r="B1838" t="str">
        <f>"1551603933866309"</f>
        <v>1551603933866309</v>
      </c>
      <c r="C1838" t="s">
        <v>40</v>
      </c>
      <c r="D1838">
        <v>5.5933919999999997</v>
      </c>
      <c r="E1838">
        <v>0.46195760000000002</v>
      </c>
      <c r="F1838" t="s">
        <v>60</v>
      </c>
      <c r="G1838">
        <v>-449.07159999999999</v>
      </c>
      <c r="H1838" s="1">
        <v>3.429948E-6</v>
      </c>
      <c r="I1838">
        <v>281.43040000000002</v>
      </c>
      <c r="J1838">
        <v>-318.1336</v>
      </c>
      <c r="K1838">
        <v>1.120544</v>
      </c>
      <c r="L1838">
        <v>284.74459999999999</v>
      </c>
      <c r="M1838">
        <v>-0.99993529999999997</v>
      </c>
      <c r="N1838">
        <v>-1.02779E-2</v>
      </c>
      <c r="O1838">
        <v>4.9008790000000003E-3</v>
      </c>
      <c r="P1838">
        <v>-0.97094210000000003</v>
      </c>
      <c r="Q1838">
        <v>0.21954199999999999</v>
      </c>
      <c r="R1838">
        <v>9.5252009999999998E-2</v>
      </c>
      <c r="S1838">
        <v>-3.103729</v>
      </c>
      <c r="T1838">
        <v>-2.6482820000000001E-2</v>
      </c>
      <c r="U1838">
        <v>-7.8277589999999994E-2</v>
      </c>
      <c r="V1838">
        <v>9.0618950000000004E-2</v>
      </c>
      <c r="W1838">
        <v>0.22946420000000001</v>
      </c>
      <c r="X1838">
        <v>0.96908939999999999</v>
      </c>
      <c r="Y1838">
        <v>-3.010933E-2</v>
      </c>
      <c r="Z1838">
        <v>-2.7464420000000001E-4</v>
      </c>
      <c r="AA1838">
        <v>0.99954659999999995</v>
      </c>
      <c r="AB1838">
        <v>37</v>
      </c>
      <c r="AC1838">
        <v>-130.93799999999999</v>
      </c>
      <c r="AD1838">
        <v>-1.1205405700519999</v>
      </c>
      <c r="AE1838">
        <v>-3.3141999999999698</v>
      </c>
      <c r="AF1838">
        <v>-3.9556157949282502</v>
      </c>
      <c r="AG1838">
        <v>-1.1205405700519999</v>
      </c>
      <c r="AH1838">
        <v>130.91060278926301</v>
      </c>
      <c r="AI1838">
        <v>90.490192463631303</v>
      </c>
      <c r="AJ1838">
        <v>91.730731873414697</v>
      </c>
      <c r="AK1838">
        <v>130.97514432186901</v>
      </c>
      <c r="AL1838">
        <v>76.734470155163294</v>
      </c>
      <c r="AM1838">
        <v>84.657841597116601</v>
      </c>
      <c r="AN1838">
        <v>0.99999993918654895</v>
      </c>
    </row>
    <row r="1839" spans="1:40" x14ac:dyDescent="0.25">
      <c r="A1839" t="str">
        <f>"20190303170533895"</f>
        <v>20190303170533895</v>
      </c>
      <c r="B1839" t="str">
        <f>"1551603933886805"</f>
        <v>1551603933886805</v>
      </c>
      <c r="C1839" t="s">
        <v>40</v>
      </c>
      <c r="D1839">
        <v>5.695138</v>
      </c>
      <c r="E1839">
        <v>0.46184570000000003</v>
      </c>
      <c r="F1839" t="s">
        <v>64</v>
      </c>
      <c r="G1839">
        <v>-424.50869999999998</v>
      </c>
      <c r="H1839" s="1">
        <v>3.3636279999999998E-6</v>
      </c>
      <c r="I1839">
        <v>282.34230000000002</v>
      </c>
      <c r="J1839">
        <v>-318.49149999999997</v>
      </c>
      <c r="K1839">
        <v>1.120525</v>
      </c>
      <c r="L1839">
        <v>284.74650000000003</v>
      </c>
      <c r="M1839">
        <v>-0.99993560000000004</v>
      </c>
      <c r="N1839">
        <v>-1.015166E-2</v>
      </c>
      <c r="O1839">
        <v>5.107304E-3</v>
      </c>
      <c r="P1839">
        <v>-0.97082729999999995</v>
      </c>
      <c r="Q1839">
        <v>0.21890119999999999</v>
      </c>
      <c r="R1839">
        <v>9.7861610000000002E-2</v>
      </c>
      <c r="S1839">
        <v>-3.1040649999999999</v>
      </c>
      <c r="T1839">
        <v>-3.2697799999999999E-2</v>
      </c>
      <c r="U1839">
        <v>-7.0098880000000002E-2</v>
      </c>
      <c r="V1839">
        <v>9.3028340000000001E-2</v>
      </c>
      <c r="W1839">
        <v>0.22869929999999999</v>
      </c>
      <c r="X1839">
        <v>0.96904199999999996</v>
      </c>
      <c r="Y1839">
        <v>-2.7680130000000001E-2</v>
      </c>
      <c r="Z1839">
        <v>-2.8824569999999998E-4</v>
      </c>
      <c r="AA1839">
        <v>0.99961679999999997</v>
      </c>
      <c r="AB1839">
        <v>37</v>
      </c>
      <c r="AC1839">
        <v>-106.0172</v>
      </c>
      <c r="AD1839">
        <v>-1.1205216363720001</v>
      </c>
      <c r="AE1839">
        <v>-2.4041999999999999</v>
      </c>
      <c r="AF1839">
        <v>-2.94532966877438</v>
      </c>
      <c r="AG1839">
        <v>-1.1205216363720001</v>
      </c>
      <c r="AH1839">
        <v>105.99170340004299</v>
      </c>
      <c r="AI1839">
        <v>90.605462468538903</v>
      </c>
      <c r="AJ1839">
        <v>91.591742910459303</v>
      </c>
      <c r="AK1839">
        <v>106.038538867895</v>
      </c>
      <c r="AL1839">
        <v>76.779494069987706</v>
      </c>
      <c r="AM1839">
        <v>84.516391510962606</v>
      </c>
      <c r="AN1839">
        <v>1.0000000198138199</v>
      </c>
    </row>
    <row r="1840" spans="1:40" x14ac:dyDescent="0.25">
      <c r="A1840" t="str">
        <f>"20190303170533917"</f>
        <v>20190303170533917</v>
      </c>
      <c r="B1840" t="str">
        <f>"1551603933906325"</f>
        <v>1551603933906325</v>
      </c>
      <c r="C1840" t="s">
        <v>40</v>
      </c>
      <c r="D1840">
        <v>5.601159</v>
      </c>
      <c r="E1840">
        <v>0.46148410000000001</v>
      </c>
      <c r="F1840" t="s">
        <v>64</v>
      </c>
      <c r="G1840">
        <v>-421.11720000000003</v>
      </c>
      <c r="H1840" s="1">
        <v>3.9382419999999997E-6</v>
      </c>
      <c r="I1840">
        <v>282.65100000000001</v>
      </c>
      <c r="J1840">
        <v>-318.84480000000002</v>
      </c>
      <c r="K1840">
        <v>1.1205020000000001</v>
      </c>
      <c r="L1840">
        <v>284.74849999999998</v>
      </c>
      <c r="M1840">
        <v>-0.99993560000000004</v>
      </c>
      <c r="N1840">
        <v>-1.0031770000000001E-2</v>
      </c>
      <c r="O1840">
        <v>5.3113079999999998E-3</v>
      </c>
      <c r="P1840">
        <v>-0.97081309999999998</v>
      </c>
      <c r="Q1840">
        <v>0.2181458</v>
      </c>
      <c r="R1840">
        <v>9.9671190000000007E-2</v>
      </c>
      <c r="S1840">
        <v>-3.104187</v>
      </c>
      <c r="T1840">
        <v>-3.3893109999999997E-2</v>
      </c>
      <c r="U1840">
        <v>-6.3385010000000006E-2</v>
      </c>
      <c r="V1840">
        <v>9.4639239999999999E-2</v>
      </c>
      <c r="W1840">
        <v>0.227827</v>
      </c>
      <c r="X1840">
        <v>0.96909149999999999</v>
      </c>
      <c r="Y1840">
        <v>-2.5722189999999999E-2</v>
      </c>
      <c r="Z1840">
        <v>-2.7415620000000002E-4</v>
      </c>
      <c r="AA1840">
        <v>0.99966909999999998</v>
      </c>
      <c r="AB1840">
        <v>37</v>
      </c>
      <c r="AC1840">
        <v>-102.2724</v>
      </c>
      <c r="AD1840">
        <v>-1.120498061758</v>
      </c>
      <c r="AE1840">
        <v>-2.0974999999999602</v>
      </c>
      <c r="AF1840">
        <v>-2.6403811460554398</v>
      </c>
      <c r="AG1840">
        <v>-1.120498061758</v>
      </c>
      <c r="AH1840">
        <v>102.24754821243</v>
      </c>
      <c r="AI1840">
        <v>90.627651701240694</v>
      </c>
      <c r="AJ1840">
        <v>91.479244094365995</v>
      </c>
      <c r="AK1840">
        <v>102.287771722508</v>
      </c>
      <c r="AL1840">
        <v>76.830828590592702</v>
      </c>
      <c r="AM1840">
        <v>84.422313008045904</v>
      </c>
      <c r="AN1840">
        <v>1.0000000315245099</v>
      </c>
    </row>
    <row r="1841" spans="1:40" x14ac:dyDescent="0.25">
      <c r="A1841" t="str">
        <f>"20190303170533939"</f>
        <v>20190303170533939</v>
      </c>
      <c r="B1841" t="str">
        <f>"1551603933926822"</f>
        <v>1551603933926822</v>
      </c>
      <c r="C1841" t="s">
        <v>40</v>
      </c>
      <c r="D1841">
        <v>5.5958759999999996</v>
      </c>
      <c r="E1841">
        <v>0.4612002</v>
      </c>
      <c r="F1841" t="s">
        <v>64</v>
      </c>
      <c r="G1841">
        <v>-417.44749999999999</v>
      </c>
      <c r="H1841" s="1">
        <v>3.684484E-6</v>
      </c>
      <c r="I1841">
        <v>282.81270000000001</v>
      </c>
      <c r="J1841">
        <v>-319.22129999999999</v>
      </c>
      <c r="K1841">
        <v>1.120471</v>
      </c>
      <c r="L1841">
        <v>284.75069999999999</v>
      </c>
      <c r="M1841">
        <v>-0.99993569999999998</v>
      </c>
      <c r="N1841">
        <v>-9.9106679999999992E-3</v>
      </c>
      <c r="O1841">
        <v>5.5277750000000004E-3</v>
      </c>
      <c r="P1841">
        <v>-0.97097</v>
      </c>
      <c r="Q1841">
        <v>0.2172992</v>
      </c>
      <c r="R1841">
        <v>9.9992070000000002E-2</v>
      </c>
      <c r="S1841">
        <v>-3.1043400000000001</v>
      </c>
      <c r="T1841">
        <v>-3.5277009999999998E-2</v>
      </c>
      <c r="U1841">
        <v>-6.0943600000000001E-2</v>
      </c>
      <c r="V1841">
        <v>9.4749120000000006E-2</v>
      </c>
      <c r="W1841">
        <v>0.22686439999999999</v>
      </c>
      <c r="X1841">
        <v>0.96930649999999996</v>
      </c>
      <c r="Y1841">
        <v>-2.51516E-2</v>
      </c>
      <c r="Z1841">
        <v>-2.7557699999999999E-4</v>
      </c>
      <c r="AA1841">
        <v>0.99968360000000001</v>
      </c>
      <c r="AB1841">
        <v>37</v>
      </c>
      <c r="AC1841">
        <v>-98.226200000000006</v>
      </c>
      <c r="AD1841">
        <v>-1.1204673155159901</v>
      </c>
      <c r="AE1841">
        <v>-1.93799999999998</v>
      </c>
      <c r="AF1841">
        <v>-2.4806466829873002</v>
      </c>
      <c r="AG1841">
        <v>-1.1204673155159901</v>
      </c>
      <c r="AH1841">
        <v>98.2012128146295</v>
      </c>
      <c r="AI1841">
        <v>90.653503052230505</v>
      </c>
      <c r="AJ1841">
        <v>91.447032691407998</v>
      </c>
      <c r="AK1841">
        <v>98.238929418205203</v>
      </c>
      <c r="AL1841">
        <v>76.887463768656204</v>
      </c>
      <c r="AM1841">
        <v>84.417108771605299</v>
      </c>
      <c r="AN1841">
        <v>0.99999997133519103</v>
      </c>
    </row>
    <row r="1842" spans="1:40" x14ac:dyDescent="0.25">
      <c r="A1842" t="str">
        <f>"20190303170533961"</f>
        <v>20190303170533961</v>
      </c>
      <c r="B1842" t="str">
        <f>"1551603933956105"</f>
        <v>1551603933956105</v>
      </c>
      <c r="C1842" t="s">
        <v>40</v>
      </c>
      <c r="D1842">
        <v>5.6832149999999997</v>
      </c>
      <c r="E1842">
        <v>0.46080389999999999</v>
      </c>
      <c r="F1842" t="s">
        <v>64</v>
      </c>
      <c r="G1842">
        <v>-417.37220000000002</v>
      </c>
      <c r="H1842" s="1">
        <v>3.6752399999999998E-6</v>
      </c>
      <c r="I1842">
        <v>282.76580000000001</v>
      </c>
      <c r="J1842">
        <v>-319.6026</v>
      </c>
      <c r="K1842">
        <v>1.120449</v>
      </c>
      <c r="L1842">
        <v>284.75299999999999</v>
      </c>
      <c r="M1842">
        <v>-0.99993560000000004</v>
      </c>
      <c r="N1842">
        <v>-9.7953580000000005E-3</v>
      </c>
      <c r="O1842">
        <v>5.7470069999999897E-3</v>
      </c>
      <c r="P1842">
        <v>-0.97116029999999998</v>
      </c>
      <c r="Q1842">
        <v>0.21573290000000001</v>
      </c>
      <c r="R1842">
        <v>0.1015243</v>
      </c>
      <c r="S1842">
        <v>-3.1041560000000001</v>
      </c>
      <c r="T1842">
        <v>-3.5436269999999999E-2</v>
      </c>
      <c r="U1842">
        <v>-6.2774659999999996E-2</v>
      </c>
      <c r="V1842">
        <v>9.6066570000000004E-2</v>
      </c>
      <c r="W1842">
        <v>0.2251871</v>
      </c>
      <c r="X1842">
        <v>0.96956799999999999</v>
      </c>
      <c r="Y1842">
        <v>-2.5961270000000002E-2</v>
      </c>
      <c r="Z1842">
        <v>-2.8464689999999998E-4</v>
      </c>
      <c r="AA1842">
        <v>0.99966290000000002</v>
      </c>
      <c r="AB1842">
        <v>37</v>
      </c>
      <c r="AC1842">
        <v>-97.769599999999997</v>
      </c>
      <c r="AD1842">
        <v>-1.1204453247599999</v>
      </c>
      <c r="AE1842">
        <v>-1.9871999999999701</v>
      </c>
      <c r="AF1842">
        <v>-2.5487420669579901</v>
      </c>
      <c r="AG1842">
        <v>-1.1204453247599999</v>
      </c>
      <c r="AH1842">
        <v>97.743732590683294</v>
      </c>
      <c r="AI1842">
        <v>90.656534836262793</v>
      </c>
      <c r="AJ1842">
        <v>91.493692487209699</v>
      </c>
      <c r="AK1842">
        <v>97.783376627158106</v>
      </c>
      <c r="AL1842">
        <v>76.986120255133898</v>
      </c>
      <c r="AM1842">
        <v>84.341498087878406</v>
      </c>
      <c r="AN1842">
        <v>1.0000000612509801</v>
      </c>
    </row>
    <row r="1843" spans="1:40" x14ac:dyDescent="0.25">
      <c r="A1843" t="str">
        <f>"20190303170533976"</f>
        <v>20190303170533976</v>
      </c>
      <c r="B1843" t="str">
        <f>"1551603933966838"</f>
        <v>1551603933966838</v>
      </c>
      <c r="C1843" t="s">
        <v>40</v>
      </c>
      <c r="D1843">
        <v>5.4800750000000003</v>
      </c>
      <c r="E1843">
        <v>0.491228</v>
      </c>
      <c r="F1843" t="s">
        <v>64</v>
      </c>
      <c r="G1843">
        <v>-411.11750000000001</v>
      </c>
      <c r="H1843" s="1">
        <v>2.5524100000000002E-6</v>
      </c>
      <c r="I1843">
        <v>282.91840000000002</v>
      </c>
      <c r="J1843">
        <v>-319.8313</v>
      </c>
      <c r="K1843">
        <v>1.1204430000000001</v>
      </c>
      <c r="L1843">
        <v>284.75439999999998</v>
      </c>
      <c r="M1843">
        <v>-0.99993540000000003</v>
      </c>
      <c r="N1843">
        <v>-9.7290329999999998E-3</v>
      </c>
      <c r="O1843">
        <v>5.8784459999999998E-3</v>
      </c>
      <c r="P1843">
        <v>-0.97132200000000002</v>
      </c>
      <c r="Q1843">
        <v>0.21478949999999999</v>
      </c>
      <c r="R1843">
        <v>0.1019761</v>
      </c>
      <c r="S1843">
        <v>-3.1039729999999999</v>
      </c>
      <c r="T1843">
        <v>-3.8002969999999997E-2</v>
      </c>
      <c r="U1843">
        <v>-6.2225339999999997E-2</v>
      </c>
      <c r="V1843">
        <v>9.63894E-2</v>
      </c>
      <c r="W1843">
        <v>0.22418160000000001</v>
      </c>
      <c r="X1843">
        <v>0.96976890000000004</v>
      </c>
      <c r="Y1843">
        <v>-2.5916660000000001E-2</v>
      </c>
      <c r="Z1843">
        <v>-2.9950380000000001E-4</v>
      </c>
      <c r="AA1843">
        <v>0.99966410000000006</v>
      </c>
      <c r="AB1843">
        <v>37</v>
      </c>
      <c r="AC1843">
        <v>-91.286199999999994</v>
      </c>
      <c r="AD1843">
        <v>-1.1204404475900001</v>
      </c>
      <c r="AE1843">
        <v>-1.8359999999999499</v>
      </c>
      <c r="AF1843">
        <v>-2.3722574315077498</v>
      </c>
      <c r="AG1843">
        <v>-1.1204404475900001</v>
      </c>
      <c r="AH1843">
        <v>91.2600865359652</v>
      </c>
      <c r="AI1843">
        <v>90.703172778676205</v>
      </c>
      <c r="AJ1843">
        <v>91.489038000683905</v>
      </c>
      <c r="AK1843">
        <v>91.297789604512303</v>
      </c>
      <c r="AL1843">
        <v>77.045242191869306</v>
      </c>
      <c r="AM1843">
        <v>84.323775275835601</v>
      </c>
      <c r="AN1843">
        <v>1.00000001280906</v>
      </c>
    </row>
    <row r="1844" spans="1:40" x14ac:dyDescent="0.25">
      <c r="A1844" t="str">
        <f>"20190303170533989"</f>
        <v>20190303170533989</v>
      </c>
      <c r="B1844" t="str">
        <f>"1551603933976598"</f>
        <v>1551603933976598</v>
      </c>
      <c r="C1844" t="s">
        <v>40</v>
      </c>
      <c r="D1844">
        <v>5.6032129999999896</v>
      </c>
      <c r="E1844">
        <v>0.491228</v>
      </c>
      <c r="F1844" t="s">
        <v>42</v>
      </c>
      <c r="G1844">
        <v>-320.68729999999999</v>
      </c>
      <c r="H1844">
        <v>1.0508029999999999</v>
      </c>
      <c r="I1844">
        <v>284.7998</v>
      </c>
      <c r="J1844">
        <v>-320.04230000000001</v>
      </c>
      <c r="K1844">
        <v>1.1204289999999999</v>
      </c>
      <c r="L1844">
        <v>284.75580000000002</v>
      </c>
      <c r="M1844">
        <v>-0.99993529999999997</v>
      </c>
      <c r="N1844">
        <v>-9.6684170000000003E-3</v>
      </c>
      <c r="O1844">
        <v>5.9999019999999997E-3</v>
      </c>
      <c r="P1844">
        <v>-0.97140870000000001</v>
      </c>
      <c r="Q1844">
        <v>0.2141779</v>
      </c>
      <c r="R1844">
        <v>0.1024364</v>
      </c>
      <c r="S1844">
        <v>-3.1275629999999999</v>
      </c>
      <c r="T1844">
        <v>-0.25453720000000002</v>
      </c>
      <c r="U1844">
        <v>0.16482539999999901</v>
      </c>
      <c r="V1844">
        <v>9.67311E-2</v>
      </c>
      <c r="W1844">
        <v>0.22351190000000001</v>
      </c>
      <c r="X1844">
        <v>0.96988949999999996</v>
      </c>
      <c r="Y1844">
        <v>4.6478869999999999E-2</v>
      </c>
      <c r="Z1844">
        <v>1.682935E-3</v>
      </c>
      <c r="AA1844">
        <v>0.99891790000000003</v>
      </c>
      <c r="AB1844">
        <v>37</v>
      </c>
      <c r="AC1844">
        <v>-0.64499999999998103</v>
      </c>
      <c r="AD1844">
        <v>-6.9625999999999896E-2</v>
      </c>
      <c r="AE1844">
        <v>4.3999999999982699E-2</v>
      </c>
      <c r="AF1844">
        <v>3.9668984089528403E-2</v>
      </c>
      <c r="AG1844">
        <v>-6.9625999999999896E-2</v>
      </c>
      <c r="AH1844">
        <v>0.63785415541345403</v>
      </c>
      <c r="AI1844">
        <v>96.217631203753101</v>
      </c>
      <c r="AJ1844">
        <v>86.441283905094494</v>
      </c>
      <c r="AK1844">
        <v>0.64286805158827598</v>
      </c>
      <c r="AL1844">
        <v>77.084612818204604</v>
      </c>
      <c r="AM1844">
        <v>84.3044888146445</v>
      </c>
      <c r="AN1844">
        <v>1.0000000586795299</v>
      </c>
    </row>
    <row r="1845" spans="1:40" x14ac:dyDescent="0.25">
      <c r="A1845" t="str">
        <f>"20190303170534000"</f>
        <v>20190303170534000</v>
      </c>
      <c r="B1845" t="str">
        <f>"1551603933996118"</f>
        <v>1551603933996118</v>
      </c>
      <c r="C1845" t="s">
        <v>40</v>
      </c>
      <c r="D1845">
        <v>5.5884710000000002</v>
      </c>
      <c r="E1845">
        <v>0.53362909999999997</v>
      </c>
      <c r="F1845" t="s">
        <v>42</v>
      </c>
      <c r="G1845">
        <v>-321.01530000000002</v>
      </c>
      <c r="H1845">
        <v>1.040643</v>
      </c>
      <c r="I1845">
        <v>284.80759999999998</v>
      </c>
      <c r="J1845">
        <v>-320.25009999999997</v>
      </c>
      <c r="K1845">
        <v>1.12042</v>
      </c>
      <c r="L1845">
        <v>284.75709999999998</v>
      </c>
      <c r="M1845">
        <v>-0.99993520000000002</v>
      </c>
      <c r="N1845">
        <v>-9.6092390000000003E-3</v>
      </c>
      <c r="O1845">
        <v>6.1194999999999999E-3</v>
      </c>
      <c r="P1845">
        <v>-0.97155080000000005</v>
      </c>
      <c r="Q1845">
        <v>0.21346390000000001</v>
      </c>
      <c r="R1845">
        <v>0.10257869999999999</v>
      </c>
      <c r="S1845">
        <v>-3.127319</v>
      </c>
      <c r="T1845">
        <v>-0.2565345</v>
      </c>
      <c r="U1845">
        <v>0.16632079999999999</v>
      </c>
      <c r="V1845">
        <v>9.6756049999999996E-2</v>
      </c>
      <c r="W1845">
        <v>0.22274160000000001</v>
      </c>
      <c r="X1845">
        <v>0.97006420000000004</v>
      </c>
      <c r="Y1845">
        <v>4.6836629999999997E-2</v>
      </c>
      <c r="Z1845">
        <v>1.699969E-3</v>
      </c>
      <c r="AA1845">
        <v>0.99890109999999999</v>
      </c>
      <c r="AB1845">
        <v>37</v>
      </c>
      <c r="AC1845">
        <v>-0.76520000000004895</v>
      </c>
      <c r="AD1845">
        <v>-7.9776999999999904E-2</v>
      </c>
      <c r="AE1845">
        <v>5.0499999999999497E-2</v>
      </c>
      <c r="AF1845">
        <v>4.5325670892686402E-2</v>
      </c>
      <c r="AG1845">
        <v>-7.9776999999999904E-2</v>
      </c>
      <c r="AH1845">
        <v>0.75729903138133903</v>
      </c>
      <c r="AI1845">
        <v>96.002930183502798</v>
      </c>
      <c r="AJ1845">
        <v>86.574833448952404</v>
      </c>
      <c r="AK1845">
        <v>0.76283721009268202</v>
      </c>
      <c r="AL1845">
        <v>77.129889122357397</v>
      </c>
      <c r="AM1845">
        <v>84.304048652015496</v>
      </c>
      <c r="AN1845">
        <v>1.0000000528519</v>
      </c>
    </row>
    <row r="1846" spans="1:40" x14ac:dyDescent="0.25">
      <c r="A1846" t="str">
        <f>"20190303170534013"</f>
        <v>20190303170534013</v>
      </c>
      <c r="B1846" t="str">
        <f>"1551603934006855"</f>
        <v>1551603934006855</v>
      </c>
      <c r="C1846" t="s">
        <v>40</v>
      </c>
      <c r="D1846">
        <v>5.5821239999999896</v>
      </c>
      <c r="E1846">
        <v>0.53570319999999905</v>
      </c>
      <c r="F1846" t="s">
        <v>42</v>
      </c>
      <c r="G1846">
        <v>-320.99079999999998</v>
      </c>
      <c r="H1846">
        <v>0.99066189999999998</v>
      </c>
      <c r="I1846">
        <v>284.87</v>
      </c>
      <c r="J1846">
        <v>-320.4599</v>
      </c>
      <c r="K1846">
        <v>1.1204130000000001</v>
      </c>
      <c r="L1846">
        <v>284.75850000000003</v>
      </c>
      <c r="M1846">
        <v>-0.99993489999999996</v>
      </c>
      <c r="N1846">
        <v>-9.5517989999999997E-3</v>
      </c>
      <c r="O1846">
        <v>6.2402819999999998E-3</v>
      </c>
      <c r="P1846">
        <v>-0.97165159999999995</v>
      </c>
      <c r="Q1846">
        <v>0.2130988</v>
      </c>
      <c r="R1846">
        <v>0.102382</v>
      </c>
      <c r="S1846">
        <v>-3.1586609999999999</v>
      </c>
      <c r="T1846">
        <v>-0.55345749999999905</v>
      </c>
      <c r="U1846">
        <v>0.48098750000000001</v>
      </c>
      <c r="V1846">
        <v>9.644113E-2</v>
      </c>
      <c r="W1846">
        <v>0.2223223</v>
      </c>
      <c r="X1846">
        <v>0.97019169999999999</v>
      </c>
      <c r="Y1846">
        <v>0.14221449999999999</v>
      </c>
      <c r="Z1846">
        <v>1.196419E-2</v>
      </c>
      <c r="AA1846">
        <v>0.98976359999999997</v>
      </c>
      <c r="AB1846">
        <v>37</v>
      </c>
      <c r="AC1846">
        <v>-0.53089999999997395</v>
      </c>
      <c r="AD1846">
        <v>-0.12975109999999901</v>
      </c>
      <c r="AE1846">
        <v>0.11149999999997801</v>
      </c>
      <c r="AF1846">
        <v>0.102330658276002</v>
      </c>
      <c r="AG1846">
        <v>-0.12975109999999901</v>
      </c>
      <c r="AH1846">
        <v>0.50282051561831198</v>
      </c>
      <c r="AI1846">
        <v>104.190537232572</v>
      </c>
      <c r="AJ1846">
        <v>78.496644340944002</v>
      </c>
      <c r="AK1846">
        <v>0.52927817119268705</v>
      </c>
      <c r="AL1846">
        <v>77.154530644616301</v>
      </c>
      <c r="AM1846">
        <v>84.323207676992098</v>
      </c>
      <c r="AN1846">
        <v>1.0000000156909199</v>
      </c>
    </row>
    <row r="1847" spans="1:40" x14ac:dyDescent="0.25">
      <c r="A1847" t="str">
        <f>"20190303170534025"</f>
        <v>20190303170534025</v>
      </c>
      <c r="B1847" t="str">
        <f>"1551603934016613"</f>
        <v>1551603934016613</v>
      </c>
      <c r="C1847" t="s">
        <v>40</v>
      </c>
      <c r="D1847">
        <v>5.5678530000000004</v>
      </c>
      <c r="E1847">
        <v>0.535497</v>
      </c>
      <c r="F1847" t="s">
        <v>42</v>
      </c>
      <c r="G1847">
        <v>-321.31330000000003</v>
      </c>
      <c r="H1847">
        <v>0.96130749999999998</v>
      </c>
      <c r="I1847">
        <v>284.89210000000003</v>
      </c>
      <c r="J1847">
        <v>-320.67149999999998</v>
      </c>
      <c r="K1847">
        <v>1.1204050000000001</v>
      </c>
      <c r="L1847">
        <v>284.75990000000002</v>
      </c>
      <c r="M1847">
        <v>-0.99993469999999995</v>
      </c>
      <c r="N1847">
        <v>-9.494957E-3</v>
      </c>
      <c r="O1847">
        <v>6.3620739999999997E-3</v>
      </c>
      <c r="P1847">
        <v>-0.97163140000000003</v>
      </c>
      <c r="Q1847">
        <v>0.21306050000000001</v>
      </c>
      <c r="R1847">
        <v>0.1026519</v>
      </c>
      <c r="S1847">
        <v>-3.1648559999999999</v>
      </c>
      <c r="T1847">
        <v>-0.59019259999999996</v>
      </c>
      <c r="U1847">
        <v>0.49407960000000001</v>
      </c>
      <c r="V1847">
        <v>9.6592800000000006E-2</v>
      </c>
      <c r="W1847">
        <v>0.22222800000000001</v>
      </c>
      <c r="X1847">
        <v>0.97019820000000001</v>
      </c>
      <c r="Y1847">
        <v>0.14547589999999999</v>
      </c>
      <c r="Z1847">
        <v>1.296079E-2</v>
      </c>
      <c r="AA1847">
        <v>0.98927690000000001</v>
      </c>
      <c r="AB1847">
        <v>38</v>
      </c>
      <c r="AC1847">
        <v>-0.641800000000046</v>
      </c>
      <c r="AD1847">
        <v>-0.159097499999999</v>
      </c>
      <c r="AE1847">
        <v>0.132200000000011</v>
      </c>
      <c r="AF1847">
        <v>0.120982115349896</v>
      </c>
      <c r="AG1847">
        <v>-0.159097499999999</v>
      </c>
      <c r="AH1847">
        <v>0.60685430304370702</v>
      </c>
      <c r="AI1847">
        <v>104.418902412462</v>
      </c>
      <c r="AJ1847">
        <v>78.725363357041104</v>
      </c>
      <c r="AK1847">
        <v>0.63892161636889999</v>
      </c>
      <c r="AL1847">
        <v>77.160072062765593</v>
      </c>
      <c r="AM1847">
        <v>84.314376251128905</v>
      </c>
      <c r="AN1847">
        <v>1.0000000001395399</v>
      </c>
    </row>
    <row r="1848" spans="1:40" x14ac:dyDescent="0.25">
      <c r="A1848" t="str">
        <f>"20190303170534040"</f>
        <v>20190303170534040</v>
      </c>
      <c r="B1848" t="str">
        <f>"1551603934036133"</f>
        <v>1551603934036133</v>
      </c>
      <c r="C1848" t="s">
        <v>40</v>
      </c>
      <c r="D1848">
        <v>5.5909599999999999</v>
      </c>
      <c r="E1848">
        <v>0.53638640000000004</v>
      </c>
      <c r="F1848" t="s">
        <v>42</v>
      </c>
      <c r="G1848">
        <v>-321.63760000000002</v>
      </c>
      <c r="H1848">
        <v>0.93381259999999999</v>
      </c>
      <c r="I1848">
        <v>284.90989999999999</v>
      </c>
      <c r="J1848">
        <v>-320.90690000000001</v>
      </c>
      <c r="K1848">
        <v>1.120393</v>
      </c>
      <c r="L1848">
        <v>284.76150000000001</v>
      </c>
      <c r="M1848">
        <v>-0.9999344</v>
      </c>
      <c r="N1848">
        <v>-9.4338019999999998E-3</v>
      </c>
      <c r="O1848">
        <v>6.4972939999999998E-3</v>
      </c>
      <c r="P1848">
        <v>-0.97198640000000003</v>
      </c>
      <c r="Q1848">
        <v>0.21167540000000001</v>
      </c>
      <c r="R1848">
        <v>0.10215639999999999</v>
      </c>
      <c r="S1848">
        <v>-3.1698909999999998</v>
      </c>
      <c r="T1848">
        <v>-0.61224579999999995</v>
      </c>
      <c r="U1848">
        <v>0.49185180000000001</v>
      </c>
      <c r="V1848">
        <v>9.5962850000000002E-2</v>
      </c>
      <c r="W1848">
        <v>0.22078790000000001</v>
      </c>
      <c r="X1848">
        <v>0.97058940000000005</v>
      </c>
      <c r="Y1848">
        <v>0.1442754</v>
      </c>
      <c r="Z1848">
        <v>1.324083E-2</v>
      </c>
      <c r="AA1848">
        <v>0.98944900000000002</v>
      </c>
      <c r="AB1848">
        <v>38</v>
      </c>
      <c r="AC1848">
        <v>-0.73070000000001301</v>
      </c>
      <c r="AD1848">
        <v>-0.18658040000000001</v>
      </c>
      <c r="AE1848">
        <v>0.14839999999998099</v>
      </c>
      <c r="AF1848">
        <v>0.13518410594642999</v>
      </c>
      <c r="AG1848">
        <v>-0.18658040000000001</v>
      </c>
      <c r="AH1848">
        <v>0.688534091608067</v>
      </c>
      <c r="AI1848">
        <v>104.890692931857</v>
      </c>
      <c r="AJ1848">
        <v>78.8920603272785</v>
      </c>
      <c r="AK1848">
        <v>0.72606210717213604</v>
      </c>
      <c r="AL1848">
        <v>77.244685312155696</v>
      </c>
      <c r="AM1848">
        <v>84.353477686784302</v>
      </c>
      <c r="AN1848">
        <v>0.99999997437944599</v>
      </c>
    </row>
    <row r="1849" spans="1:40" x14ac:dyDescent="0.25">
      <c r="A1849" t="str">
        <f>"20190303170534052"</f>
        <v>20190303170534052</v>
      </c>
      <c r="B1849" t="str">
        <f>"1551603934046870"</f>
        <v>1551603934046870</v>
      </c>
      <c r="C1849" t="s">
        <v>40</v>
      </c>
      <c r="D1849">
        <v>5.5966670000000001</v>
      </c>
      <c r="E1849">
        <v>0.53651019999999905</v>
      </c>
      <c r="F1849" t="s">
        <v>42</v>
      </c>
      <c r="G1849">
        <v>-321.65379999999999</v>
      </c>
      <c r="H1849">
        <v>0.96986479999999997</v>
      </c>
      <c r="I1849">
        <v>284.87819999999999</v>
      </c>
      <c r="J1849">
        <v>-321.10910000000001</v>
      </c>
      <c r="K1849">
        <v>1.120385</v>
      </c>
      <c r="L1849">
        <v>284.7629</v>
      </c>
      <c r="M1849">
        <v>-0.99993410000000005</v>
      </c>
      <c r="N1849">
        <v>-9.3836319999999994E-3</v>
      </c>
      <c r="O1849">
        <v>6.6134509999999898E-3</v>
      </c>
      <c r="P1849">
        <v>-0.97215130000000005</v>
      </c>
      <c r="Q1849">
        <v>0.21113080000000001</v>
      </c>
      <c r="R1849">
        <v>0.10171429999999999</v>
      </c>
      <c r="S1849">
        <v>-3.173737</v>
      </c>
      <c r="T1849">
        <v>-0.63965319999999903</v>
      </c>
      <c r="U1849">
        <v>0.4955444</v>
      </c>
      <c r="V1849">
        <v>9.5406729999999995E-2</v>
      </c>
      <c r="W1849">
        <v>0.22019630000000001</v>
      </c>
      <c r="X1849">
        <v>0.97077860000000005</v>
      </c>
      <c r="Y1849">
        <v>0.14486879999999999</v>
      </c>
      <c r="Z1849">
        <v>1.3809119999999999E-2</v>
      </c>
      <c r="AA1849">
        <v>0.98935450000000003</v>
      </c>
      <c r="AB1849">
        <v>38</v>
      </c>
      <c r="AC1849">
        <v>-0.54469999999997698</v>
      </c>
      <c r="AD1849">
        <v>-0.15052019999999899</v>
      </c>
      <c r="AE1849">
        <v>0.11529999999998999</v>
      </c>
      <c r="AF1849">
        <v>0.104087548982593</v>
      </c>
      <c r="AG1849">
        <v>-0.15052019999999899</v>
      </c>
      <c r="AH1849">
        <v>0.50830059685975004</v>
      </c>
      <c r="AI1849">
        <v>106.17767462955899</v>
      </c>
      <c r="AJ1849">
        <v>78.427214120902093</v>
      </c>
      <c r="AK1849">
        <v>0.54024072896184205</v>
      </c>
      <c r="AL1849">
        <v>77.2794367482891</v>
      </c>
      <c r="AM1849">
        <v>84.387077698837601</v>
      </c>
      <c r="AN1849">
        <v>0.99999997244047101</v>
      </c>
    </row>
    <row r="1850" spans="1:40" x14ac:dyDescent="0.25">
      <c r="A1850" t="str">
        <f>"20190303170534065"</f>
        <v>20190303170534065</v>
      </c>
      <c r="B1850" t="str">
        <f>"1551603934056630"</f>
        <v>1551603934056630</v>
      </c>
      <c r="C1850" t="s">
        <v>40</v>
      </c>
      <c r="D1850">
        <v>5.5826929999999999</v>
      </c>
      <c r="E1850">
        <v>0.5365569</v>
      </c>
      <c r="F1850" t="s">
        <v>42</v>
      </c>
      <c r="G1850">
        <v>-321.97899999999998</v>
      </c>
      <c r="H1850">
        <v>0.94332020000000005</v>
      </c>
      <c r="I1850">
        <v>284.89879999999999</v>
      </c>
      <c r="J1850">
        <v>-321.32859999999999</v>
      </c>
      <c r="K1850">
        <v>1.120376</v>
      </c>
      <c r="L1850">
        <v>284.7645</v>
      </c>
      <c r="M1850">
        <v>-0.99993390000000004</v>
      </c>
      <c r="N1850">
        <v>-9.3307660000000008E-3</v>
      </c>
      <c r="O1850">
        <v>6.7393349999999999E-3</v>
      </c>
      <c r="P1850">
        <v>-0.97238179999999996</v>
      </c>
      <c r="Q1850">
        <v>0.210479</v>
      </c>
      <c r="R1850">
        <v>0.1008593</v>
      </c>
      <c r="S1850">
        <v>-3.1745000000000001</v>
      </c>
      <c r="T1850">
        <v>-0.64624809999999999</v>
      </c>
      <c r="U1850">
        <v>0.49502560000000001</v>
      </c>
      <c r="V1850">
        <v>9.4427739999999996E-2</v>
      </c>
      <c r="W1850">
        <v>0.21949569999999999</v>
      </c>
      <c r="X1850">
        <v>0.97103300000000004</v>
      </c>
      <c r="Y1850">
        <v>0.14450489999999999</v>
      </c>
      <c r="Z1850">
        <v>1.387184E-2</v>
      </c>
      <c r="AA1850">
        <v>0.98940680000000003</v>
      </c>
      <c r="AB1850">
        <v>38</v>
      </c>
      <c r="AC1850">
        <v>-0.65040000000004705</v>
      </c>
      <c r="AD1850">
        <v>-0.17705580000000001</v>
      </c>
      <c r="AE1850">
        <v>0.13429999999999601</v>
      </c>
      <c r="AF1850">
        <v>0.121292454828355</v>
      </c>
      <c r="AG1850">
        <v>-0.17705580000000001</v>
      </c>
      <c r="AH1850">
        <v>0.60807082367084597</v>
      </c>
      <c r="AI1850">
        <v>105.93673801349</v>
      </c>
      <c r="AJ1850">
        <v>78.719217871873298</v>
      </c>
      <c r="AK1850">
        <v>0.64483388753357995</v>
      </c>
      <c r="AL1850">
        <v>77.320585540808906</v>
      </c>
      <c r="AM1850">
        <v>84.445757401071404</v>
      </c>
      <c r="AN1850">
        <v>1.0000000237444899</v>
      </c>
    </row>
    <row r="1851" spans="1:40" x14ac:dyDescent="0.25">
      <c r="A1851" t="str">
        <f>"20190303170534079"</f>
        <v>20190303170534079</v>
      </c>
      <c r="B1851" t="str">
        <f>"1551603934066389"</f>
        <v>1551603934066389</v>
      </c>
      <c r="C1851" t="s">
        <v>40</v>
      </c>
      <c r="D1851">
        <v>5.5835540000000004</v>
      </c>
      <c r="E1851">
        <v>0.53664000000000001</v>
      </c>
      <c r="F1851" t="s">
        <v>42</v>
      </c>
      <c r="G1851">
        <v>-322.30680000000001</v>
      </c>
      <c r="H1851">
        <v>0.91967750000000004</v>
      </c>
      <c r="I1851">
        <v>284.91660000000002</v>
      </c>
      <c r="J1851">
        <v>-321.5643</v>
      </c>
      <c r="K1851">
        <v>1.120366</v>
      </c>
      <c r="L1851">
        <v>284.76620000000003</v>
      </c>
      <c r="M1851">
        <v>-0.99993350000000003</v>
      </c>
      <c r="N1851">
        <v>-9.2780139999999994E-3</v>
      </c>
      <c r="O1851">
        <v>6.8749889999999998E-3</v>
      </c>
      <c r="P1851">
        <v>-0.97255800000000003</v>
      </c>
      <c r="Q1851">
        <v>0.2099763</v>
      </c>
      <c r="R1851">
        <v>0.100206</v>
      </c>
      <c r="S1851">
        <v>-3.1751100000000001</v>
      </c>
      <c r="T1851">
        <v>-0.65145609999999998</v>
      </c>
      <c r="U1851">
        <v>0.49301149999999999</v>
      </c>
      <c r="V1851">
        <v>9.3640950000000001E-2</v>
      </c>
      <c r="W1851">
        <v>0.218944</v>
      </c>
      <c r="X1851">
        <v>0.97123369999999998</v>
      </c>
      <c r="Y1851">
        <v>0.14370469999999999</v>
      </c>
      <c r="Z1851">
        <v>1.3858799999999999E-2</v>
      </c>
      <c r="AA1851">
        <v>0.98952359999999995</v>
      </c>
      <c r="AB1851">
        <v>38</v>
      </c>
      <c r="AC1851">
        <v>-0.74250000000000604</v>
      </c>
      <c r="AD1851">
        <v>-0.20068849999999999</v>
      </c>
      <c r="AE1851">
        <v>0.15039999999998999</v>
      </c>
      <c r="AF1851">
        <v>0.13576415818683199</v>
      </c>
      <c r="AG1851">
        <v>-0.20068849999999999</v>
      </c>
      <c r="AH1851">
        <v>0.69476093311792597</v>
      </c>
      <c r="AI1851">
        <v>105.82791330962201</v>
      </c>
      <c r="AJ1851">
        <v>78.943088587392495</v>
      </c>
      <c r="AK1851">
        <v>0.73579924902606397</v>
      </c>
      <c r="AL1851">
        <v>77.352983403154298</v>
      </c>
      <c r="AM1851">
        <v>84.492881855720597</v>
      </c>
      <c r="AN1851">
        <v>1.00000000133429</v>
      </c>
    </row>
    <row r="1852" spans="1:40" x14ac:dyDescent="0.25">
      <c r="A1852" t="str">
        <f>"20190303170534097"</f>
        <v>20190303170534097</v>
      </c>
      <c r="B1852" t="str">
        <f>"1551603934086887"</f>
        <v>1551603934086887</v>
      </c>
      <c r="C1852" t="s">
        <v>40</v>
      </c>
      <c r="D1852">
        <v>5.5979330000000003</v>
      </c>
      <c r="E1852">
        <v>0.53681480000000004</v>
      </c>
      <c r="F1852" t="s">
        <v>42</v>
      </c>
      <c r="G1852">
        <v>-322.32569999999998</v>
      </c>
      <c r="H1852">
        <v>0.96308099999999996</v>
      </c>
      <c r="I1852">
        <v>284.88409999999999</v>
      </c>
      <c r="J1852">
        <v>-321.87090000000001</v>
      </c>
      <c r="K1852">
        <v>1.120358</v>
      </c>
      <c r="L1852">
        <v>284.76839999999999</v>
      </c>
      <c r="M1852">
        <v>-0.99993279999999995</v>
      </c>
      <c r="N1852">
        <v>-9.2126280000000005E-3</v>
      </c>
      <c r="O1852">
        <v>7.0513470000000003E-3</v>
      </c>
      <c r="P1852">
        <v>-0.97273100000000001</v>
      </c>
      <c r="Q1852">
        <v>0.2100815</v>
      </c>
      <c r="R1852">
        <v>9.8286499999999999E-2</v>
      </c>
      <c r="S1852">
        <v>-3.1756899999999999</v>
      </c>
      <c r="T1852">
        <v>-0.65609069999999903</v>
      </c>
      <c r="U1852">
        <v>0.49133300000000002</v>
      </c>
      <c r="V1852">
        <v>9.15488E-2</v>
      </c>
      <c r="W1852">
        <v>0.21898860000000001</v>
      </c>
      <c r="X1852">
        <v>0.97142309999999998</v>
      </c>
      <c r="Y1852">
        <v>0.14297260000000001</v>
      </c>
      <c r="Z1852">
        <v>1.383118E-2</v>
      </c>
      <c r="AA1852">
        <v>0.98963000000000001</v>
      </c>
      <c r="AB1852">
        <v>38</v>
      </c>
      <c r="AC1852">
        <v>-0.454799999999977</v>
      </c>
      <c r="AD1852">
        <v>-0.157277</v>
      </c>
      <c r="AE1852">
        <v>0.11570000000000299</v>
      </c>
      <c r="AF1852">
        <v>0.101131052963541</v>
      </c>
      <c r="AG1852">
        <v>-0.157277</v>
      </c>
      <c r="AH1852">
        <v>0.40959867854409998</v>
      </c>
      <c r="AI1852">
        <v>110.444637284975</v>
      </c>
      <c r="AJ1852">
        <v>76.1308967408483</v>
      </c>
      <c r="AK1852">
        <v>0.450260615718927</v>
      </c>
      <c r="AL1852">
        <v>77.350364624703303</v>
      </c>
      <c r="AM1852">
        <v>84.616235575956907</v>
      </c>
      <c r="AN1852">
        <v>1.0000000144625001</v>
      </c>
    </row>
    <row r="1853" spans="1:40" x14ac:dyDescent="0.25">
      <c r="A1853" t="str">
        <f>"20190303170534118"</f>
        <v>20190303170534118</v>
      </c>
      <c r="B1853" t="str">
        <f>"1551603934106407"</f>
        <v>1551603934106407</v>
      </c>
      <c r="C1853" t="s">
        <v>40</v>
      </c>
      <c r="D1853">
        <v>5.6048989999999996</v>
      </c>
      <c r="E1853">
        <v>0.53700669999999995</v>
      </c>
      <c r="F1853" t="s">
        <v>42</v>
      </c>
      <c r="G1853">
        <v>-322.661</v>
      </c>
      <c r="H1853">
        <v>0.95623179999999997</v>
      </c>
      <c r="I1853">
        <v>284.8897</v>
      </c>
      <c r="J1853">
        <v>-322.22629999999998</v>
      </c>
      <c r="K1853">
        <v>1.120349</v>
      </c>
      <c r="L1853">
        <v>284.77109999999999</v>
      </c>
      <c r="M1853">
        <v>-0.99993209999999999</v>
      </c>
      <c r="N1853">
        <v>-9.1413120000000004E-3</v>
      </c>
      <c r="O1853">
        <v>7.2555659999999998E-3</v>
      </c>
      <c r="P1853">
        <v>-0.97296090000000002</v>
      </c>
      <c r="Q1853">
        <v>0.20982329999999999</v>
      </c>
      <c r="R1853">
        <v>9.6546930000000003E-2</v>
      </c>
      <c r="S1853">
        <v>-3.177521</v>
      </c>
      <c r="T1853">
        <v>-0.6601281</v>
      </c>
      <c r="U1853">
        <v>0.48672490000000002</v>
      </c>
      <c r="V1853">
        <v>8.9608939999999998E-2</v>
      </c>
      <c r="W1853">
        <v>0.21866430000000001</v>
      </c>
      <c r="X1853">
        <v>0.97167700000000001</v>
      </c>
      <c r="Y1853">
        <v>0.14129129999999901</v>
      </c>
      <c r="Z1853">
        <v>1.367896E-2</v>
      </c>
      <c r="AA1853">
        <v>0.98987360000000002</v>
      </c>
      <c r="AB1853">
        <v>38</v>
      </c>
      <c r="AC1853">
        <v>-0.43470000000002001</v>
      </c>
      <c r="AD1853">
        <v>-0.16411719999999899</v>
      </c>
      <c r="AE1853">
        <v>0.118600000000014</v>
      </c>
      <c r="AF1853">
        <v>0.101921588866717</v>
      </c>
      <c r="AG1853">
        <v>-0.16411719999999899</v>
      </c>
      <c r="AH1853">
        <v>0.38453567427332003</v>
      </c>
      <c r="AI1853">
        <v>112.418494884034</v>
      </c>
      <c r="AJ1853">
        <v>75.155039307917704</v>
      </c>
      <c r="AK1853">
        <v>0.43033725193363498</v>
      </c>
      <c r="AL1853">
        <v>77.369407175148496</v>
      </c>
      <c r="AM1853">
        <v>84.731034166831506</v>
      </c>
      <c r="AN1853">
        <v>1.0000000152757</v>
      </c>
    </row>
    <row r="1854" spans="1:40" x14ac:dyDescent="0.25">
      <c r="A1854" t="str">
        <f>"20190303170534131"</f>
        <v>20190303170534131</v>
      </c>
      <c r="B1854" t="str">
        <f>"1551603934126902"</f>
        <v>1551603934126902</v>
      </c>
      <c r="C1854" t="s">
        <v>40</v>
      </c>
      <c r="D1854">
        <v>5.5891840000000004</v>
      </c>
      <c r="E1854">
        <v>0.53712090000000001</v>
      </c>
      <c r="F1854" t="s">
        <v>42</v>
      </c>
      <c r="G1854">
        <v>-323.00110000000001</v>
      </c>
      <c r="H1854">
        <v>0.95877789999999996</v>
      </c>
      <c r="I1854">
        <v>284.88869999999997</v>
      </c>
      <c r="J1854">
        <v>-322.44970000000001</v>
      </c>
      <c r="K1854">
        <v>1.1203419999999999</v>
      </c>
      <c r="L1854">
        <v>284.77280000000002</v>
      </c>
      <c r="M1854">
        <v>-0.99993140000000003</v>
      </c>
      <c r="N1854">
        <v>-9.0997309999999998E-3</v>
      </c>
      <c r="O1854">
        <v>7.3839569999999896E-3</v>
      </c>
      <c r="P1854">
        <v>-0.97302319999999998</v>
      </c>
      <c r="Q1854">
        <v>0.20977799999999999</v>
      </c>
      <c r="R1854">
        <v>9.6015299999999998E-2</v>
      </c>
      <c r="S1854">
        <v>-3.178436</v>
      </c>
      <c r="T1854">
        <v>-0.66280499999999998</v>
      </c>
      <c r="U1854">
        <v>0.48248289999999999</v>
      </c>
      <c r="V1854">
        <v>8.8952059999999999E-2</v>
      </c>
      <c r="W1854">
        <v>0.2185792</v>
      </c>
      <c r="X1854">
        <v>0.97175650000000002</v>
      </c>
      <c r="Y1854">
        <v>0.1398431</v>
      </c>
      <c r="Z1854">
        <v>1.35443E-2</v>
      </c>
      <c r="AA1854">
        <v>0.99008099999999999</v>
      </c>
      <c r="AB1854">
        <v>38</v>
      </c>
      <c r="AC1854">
        <v>-0.551400000000001</v>
      </c>
      <c r="AD1854">
        <v>-0.16156409999999899</v>
      </c>
      <c r="AE1854">
        <v>0.115899999999953</v>
      </c>
      <c r="AF1854">
        <v>0.10332935853537201</v>
      </c>
      <c r="AG1854">
        <v>-0.16156409999999899</v>
      </c>
      <c r="AH1854">
        <v>0.51028488547106399</v>
      </c>
      <c r="AI1854">
        <v>107.24002282376</v>
      </c>
      <c r="AJ1854">
        <v>78.552762990729903</v>
      </c>
      <c r="AK1854">
        <v>0.54513354243190604</v>
      </c>
      <c r="AL1854">
        <v>77.374403921251599</v>
      </c>
      <c r="AM1854">
        <v>84.769868939170905</v>
      </c>
      <c r="AN1854">
        <v>1.00000001547156</v>
      </c>
    </row>
    <row r="1855" spans="1:40" x14ac:dyDescent="0.25">
      <c r="A1855" t="str">
        <f>"20190303170534143"</f>
        <v>20190303170534143</v>
      </c>
      <c r="B1855" t="str">
        <f>"1551603934136663"</f>
        <v>1551603934136663</v>
      </c>
      <c r="C1855" t="s">
        <v>40</v>
      </c>
      <c r="D1855">
        <v>5.6235499999999998</v>
      </c>
      <c r="E1855">
        <v>0.53713339999999998</v>
      </c>
      <c r="F1855" t="s">
        <v>42</v>
      </c>
      <c r="G1855">
        <v>-323.3304</v>
      </c>
      <c r="H1855">
        <v>0.93615409999999999</v>
      </c>
      <c r="I1855">
        <v>284.90649999999999</v>
      </c>
      <c r="J1855">
        <v>-322.6508</v>
      </c>
      <c r="K1855">
        <v>1.1203339999999999</v>
      </c>
      <c r="L1855">
        <v>284.77440000000001</v>
      </c>
      <c r="M1855">
        <v>-0.99993089999999996</v>
      </c>
      <c r="N1855">
        <v>-9.0637189999999996E-3</v>
      </c>
      <c r="O1855">
        <v>7.4991499999999996E-3</v>
      </c>
      <c r="P1855">
        <v>-0.97310909999999995</v>
      </c>
      <c r="Q1855">
        <v>0.20965</v>
      </c>
      <c r="R1855">
        <v>9.5424759999999997E-2</v>
      </c>
      <c r="S1855">
        <v>-3.1789550000000002</v>
      </c>
      <c r="T1855">
        <v>-0.66491869999999997</v>
      </c>
      <c r="U1855">
        <v>0.48239140000000003</v>
      </c>
      <c r="V1855">
        <v>8.8249090000000002E-2</v>
      </c>
      <c r="W1855">
        <v>0.21841730000000001</v>
      </c>
      <c r="X1855">
        <v>0.97185699999999997</v>
      </c>
      <c r="Y1855">
        <v>0.13966679999999901</v>
      </c>
      <c r="Z1855">
        <v>1.353795E-2</v>
      </c>
      <c r="AA1855">
        <v>0.99010600000000004</v>
      </c>
      <c r="AB1855">
        <v>38</v>
      </c>
      <c r="AC1855">
        <v>-0.67959999999999299</v>
      </c>
      <c r="AD1855">
        <v>-0.18417990000000001</v>
      </c>
      <c r="AE1855">
        <v>0.13209999999997901</v>
      </c>
      <c r="AF1855">
        <v>0.11860551839151399</v>
      </c>
      <c r="AG1855">
        <v>-0.18417990000000001</v>
      </c>
      <c r="AH1855">
        <v>0.63558868853547401</v>
      </c>
      <c r="AI1855">
        <v>105.90019240298</v>
      </c>
      <c r="AJ1855">
        <v>79.4297609913271</v>
      </c>
      <c r="AK1855">
        <v>0.67228155229128095</v>
      </c>
      <c r="AL1855">
        <v>77.383909899723406</v>
      </c>
      <c r="AM1855">
        <v>84.811508737845202</v>
      </c>
      <c r="AN1855">
        <v>1.0000000236370501</v>
      </c>
    </row>
    <row r="1856" spans="1:40" x14ac:dyDescent="0.25">
      <c r="A1856" t="str">
        <f>"20190303170534155"</f>
        <v>20190303170534155</v>
      </c>
      <c r="B1856" t="str">
        <f>"1551603934146422"</f>
        <v>1551603934146422</v>
      </c>
      <c r="C1856" t="s">
        <v>40</v>
      </c>
      <c r="D1856">
        <v>5.6217300000000003</v>
      </c>
      <c r="E1856">
        <v>0.53716640000000004</v>
      </c>
      <c r="F1856" t="s">
        <v>42</v>
      </c>
      <c r="G1856">
        <v>-323.34789999999998</v>
      </c>
      <c r="H1856">
        <v>0.97438469999999999</v>
      </c>
      <c r="I1856">
        <v>284.88010000000003</v>
      </c>
      <c r="J1856">
        <v>-322.85399999999998</v>
      </c>
      <c r="K1856">
        <v>1.1203289999999999</v>
      </c>
      <c r="L1856">
        <v>284.77600000000001</v>
      </c>
      <c r="M1856">
        <v>-0.99993030000000005</v>
      </c>
      <c r="N1856">
        <v>-9.0292789999999994E-3</v>
      </c>
      <c r="O1856">
        <v>7.6161830000000003E-3</v>
      </c>
      <c r="P1856">
        <v>-0.97325620000000002</v>
      </c>
      <c r="Q1856">
        <v>0.209309</v>
      </c>
      <c r="R1856">
        <v>9.4669680000000006E-2</v>
      </c>
      <c r="S1856">
        <v>-3.1791079999999998</v>
      </c>
      <c r="T1856">
        <v>-0.66561329999999996</v>
      </c>
      <c r="U1856">
        <v>0.48168949999999999</v>
      </c>
      <c r="V1856">
        <v>8.7378819999999996E-2</v>
      </c>
      <c r="W1856">
        <v>0.2180445</v>
      </c>
      <c r="X1856">
        <v>0.97201930000000003</v>
      </c>
      <c r="Y1856">
        <v>0.1393346</v>
      </c>
      <c r="Z1856">
        <v>1.348919E-2</v>
      </c>
      <c r="AA1856">
        <v>0.99015350000000002</v>
      </c>
      <c r="AB1856">
        <v>38</v>
      </c>
      <c r="AC1856">
        <v>-0.493899999999939</v>
      </c>
      <c r="AD1856">
        <v>-0.1459443</v>
      </c>
      <c r="AE1856">
        <v>0.104100000000016</v>
      </c>
      <c r="AF1856">
        <v>9.2594098764246804E-2</v>
      </c>
      <c r="AG1856">
        <v>-0.1459443</v>
      </c>
      <c r="AH1856">
        <v>0.45651293919841002</v>
      </c>
      <c r="AI1856">
        <v>107.396494979575</v>
      </c>
      <c r="AJ1856">
        <v>78.534292798390894</v>
      </c>
      <c r="AK1856">
        <v>0.48813673236504601</v>
      </c>
      <c r="AL1856">
        <v>77.405796895254596</v>
      </c>
      <c r="AM1856">
        <v>84.863253208878305</v>
      </c>
      <c r="AN1856">
        <v>0.99999999086866598</v>
      </c>
    </row>
    <row r="1857" spans="1:40" x14ac:dyDescent="0.25">
      <c r="A1857" t="str">
        <f>"20190303170534166"</f>
        <v>20190303170534166</v>
      </c>
      <c r="B1857" t="str">
        <f>"1551603934156181"</f>
        <v>1551603934156181</v>
      </c>
      <c r="C1857" t="s">
        <v>40</v>
      </c>
      <c r="D1857">
        <v>5.6313409999999999</v>
      </c>
      <c r="E1857">
        <v>0.53720500000000004</v>
      </c>
      <c r="F1857" t="s">
        <v>42</v>
      </c>
      <c r="G1857">
        <v>-323.67570000000001</v>
      </c>
      <c r="H1857">
        <v>0.94801489999999999</v>
      </c>
      <c r="I1857">
        <v>284.90050000000002</v>
      </c>
      <c r="J1857">
        <v>-323.05520000000001</v>
      </c>
      <c r="K1857">
        <v>1.120323</v>
      </c>
      <c r="L1857">
        <v>284.77760000000001</v>
      </c>
      <c r="M1857">
        <v>-0.99992970000000003</v>
      </c>
      <c r="N1857">
        <v>-8.9957590000000007E-3</v>
      </c>
      <c r="O1857">
        <v>7.7317219999999999E-3</v>
      </c>
      <c r="P1857">
        <v>-0.97344889999999995</v>
      </c>
      <c r="Q1857">
        <v>0.208758</v>
      </c>
      <c r="R1857">
        <v>9.3901490000000004E-2</v>
      </c>
      <c r="S1857">
        <v>-3.1790159999999998</v>
      </c>
      <c r="T1857">
        <v>-0.66664809999999997</v>
      </c>
      <c r="U1857">
        <v>0.48104859999999999</v>
      </c>
      <c r="V1857">
        <v>8.6496400000000001E-2</v>
      </c>
      <c r="W1857">
        <v>0.2174632</v>
      </c>
      <c r="X1857">
        <v>0.97222839999999999</v>
      </c>
      <c r="Y1857">
        <v>0.13902979999999901</v>
      </c>
      <c r="Z1857">
        <v>1.345093E-2</v>
      </c>
      <c r="AA1857">
        <v>0.99019679999999999</v>
      </c>
      <c r="AB1857">
        <v>38</v>
      </c>
      <c r="AC1857">
        <v>-0.62049999999999195</v>
      </c>
      <c r="AD1857">
        <v>-0.17230809999999899</v>
      </c>
      <c r="AE1857">
        <v>0.122900000000015</v>
      </c>
      <c r="AF1857">
        <v>0.109940765540062</v>
      </c>
      <c r="AG1857">
        <v>-0.17230809999999899</v>
      </c>
      <c r="AH1857">
        <v>0.57850541462287897</v>
      </c>
      <c r="AI1857">
        <v>106.310176413965</v>
      </c>
      <c r="AJ1857">
        <v>79.239668337280193</v>
      </c>
      <c r="AK1857">
        <v>0.613551601742783</v>
      </c>
      <c r="AL1857">
        <v>77.439921488314795</v>
      </c>
      <c r="AM1857">
        <v>84.9159427002608</v>
      </c>
      <c r="AN1857">
        <v>0.99999996616687903</v>
      </c>
    </row>
    <row r="1858" spans="1:40" x14ac:dyDescent="0.25">
      <c r="A1858" t="str">
        <f>"20190303170534179"</f>
        <v>20190303170534179</v>
      </c>
      <c r="B1858" t="str">
        <f>"1551603934176678"</f>
        <v>1551603934176678</v>
      </c>
      <c r="C1858" t="s">
        <v>40</v>
      </c>
      <c r="D1858">
        <v>5.6202110000000003</v>
      </c>
      <c r="E1858">
        <v>0.53732279999999999</v>
      </c>
      <c r="F1858" t="s">
        <v>42</v>
      </c>
      <c r="G1858">
        <v>-324.00439999999998</v>
      </c>
      <c r="H1858">
        <v>0.92057469999999997</v>
      </c>
      <c r="I1858">
        <v>284.9212</v>
      </c>
      <c r="J1858">
        <v>-323.27409999999998</v>
      </c>
      <c r="K1858">
        <v>1.1203149999999999</v>
      </c>
      <c r="L1858">
        <v>284.77940000000001</v>
      </c>
      <c r="M1858">
        <v>-0.99992899999999996</v>
      </c>
      <c r="N1858">
        <v>-8.9606909999999998E-3</v>
      </c>
      <c r="O1858">
        <v>7.8568059999999992E-3</v>
      </c>
      <c r="P1858">
        <v>-0.97360869999999999</v>
      </c>
      <c r="Q1858">
        <v>0.2082241</v>
      </c>
      <c r="R1858">
        <v>9.3429680000000001E-2</v>
      </c>
      <c r="S1858">
        <v>-3.1789550000000002</v>
      </c>
      <c r="T1858">
        <v>-0.66904410000000003</v>
      </c>
      <c r="U1858">
        <v>0.48013309999999998</v>
      </c>
      <c r="V1858">
        <v>8.5901649999999996E-2</v>
      </c>
      <c r="W1858">
        <v>0.21689729999999999</v>
      </c>
      <c r="X1858">
        <v>0.97240760000000004</v>
      </c>
      <c r="Y1858">
        <v>0.13862149999999901</v>
      </c>
      <c r="Z1858">
        <v>1.342464E-2</v>
      </c>
      <c r="AA1858">
        <v>0.99025450000000004</v>
      </c>
      <c r="AB1858">
        <v>38</v>
      </c>
      <c r="AC1858">
        <v>-0.73029999999999895</v>
      </c>
      <c r="AD1858">
        <v>-0.19974030000000001</v>
      </c>
      <c r="AE1858">
        <v>0.14179999999998899</v>
      </c>
      <c r="AF1858">
        <v>0.126909078490585</v>
      </c>
      <c r="AG1858">
        <v>-0.19974030000000001</v>
      </c>
      <c r="AH1858">
        <v>0.68221294473314797</v>
      </c>
      <c r="AI1858">
        <v>106.05818744849999</v>
      </c>
      <c r="AJ1858">
        <v>79.461973842636894</v>
      </c>
      <c r="AK1858">
        <v>0.722091824914874</v>
      </c>
      <c r="AL1858">
        <v>77.473138893157298</v>
      </c>
      <c r="AM1858">
        <v>84.951645083979699</v>
      </c>
      <c r="AN1858">
        <v>1.0000000363788799</v>
      </c>
    </row>
    <row r="1859" spans="1:40" x14ac:dyDescent="0.25">
      <c r="A1859" t="str">
        <f>"20190303170534197"</f>
        <v>20190303170534197</v>
      </c>
      <c r="B1859" t="str">
        <f>"1551603934186438"</f>
        <v>1551603934186438</v>
      </c>
      <c r="C1859" t="s">
        <v>40</v>
      </c>
      <c r="D1859">
        <v>5.6262259999999999</v>
      </c>
      <c r="E1859">
        <v>0.53746159999999998</v>
      </c>
      <c r="F1859" t="s">
        <v>42</v>
      </c>
      <c r="G1859">
        <v>-324.02289999999999</v>
      </c>
      <c r="H1859">
        <v>0.96221469999999998</v>
      </c>
      <c r="I1859">
        <v>284.89299999999997</v>
      </c>
      <c r="J1859">
        <v>-323.57459999999998</v>
      </c>
      <c r="K1859">
        <v>1.120309</v>
      </c>
      <c r="L1859">
        <v>284.78190000000001</v>
      </c>
      <c r="M1859">
        <v>-0.99992820000000004</v>
      </c>
      <c r="N1859">
        <v>-8.9160809999999993E-3</v>
      </c>
      <c r="O1859">
        <v>8.0287789999999998E-3</v>
      </c>
      <c r="P1859">
        <v>-0.9735665</v>
      </c>
      <c r="Q1859">
        <v>0.2088428</v>
      </c>
      <c r="R1859">
        <v>9.2484159999999996E-2</v>
      </c>
      <c r="S1859">
        <v>-3.1786799999999999</v>
      </c>
      <c r="T1859">
        <v>-0.67119090000000003</v>
      </c>
      <c r="U1859">
        <v>0.48129270000000002</v>
      </c>
      <c r="V1859">
        <v>8.4789669999999998E-2</v>
      </c>
      <c r="W1859">
        <v>0.2174721</v>
      </c>
      <c r="X1859">
        <v>0.97237680000000004</v>
      </c>
      <c r="Y1859">
        <v>0.13879859999999999</v>
      </c>
      <c r="Z1859">
        <v>1.3446899999999999E-2</v>
      </c>
      <c r="AA1859">
        <v>0.99022929999999998</v>
      </c>
      <c r="AB1859">
        <v>38</v>
      </c>
      <c r="AC1859">
        <v>-0.44830000000001702</v>
      </c>
      <c r="AD1859">
        <v>-0.15809429999999999</v>
      </c>
      <c r="AE1859">
        <v>0.11109999999996401</v>
      </c>
      <c r="AF1859">
        <v>9.6222753159661195E-2</v>
      </c>
      <c r="AG1859">
        <v>-0.15809429999999999</v>
      </c>
      <c r="AH1859">
        <v>0.402068092697002</v>
      </c>
      <c r="AI1859">
        <v>110.92707301534</v>
      </c>
      <c r="AJ1859">
        <v>76.541136228571503</v>
      </c>
      <c r="AK1859">
        <v>0.44261877172474301</v>
      </c>
      <c r="AL1859">
        <v>77.439399762853</v>
      </c>
      <c r="AM1859">
        <v>85.016506782331703</v>
      </c>
      <c r="AN1859">
        <v>1.0000000217976699</v>
      </c>
    </row>
    <row r="1860" spans="1:40" x14ac:dyDescent="0.25">
      <c r="A1860" t="str">
        <f>"20190303170534219"</f>
        <v>20190303170534219</v>
      </c>
      <c r="B1860" t="str">
        <f>"1551603934206934"</f>
        <v>1551603934206934</v>
      </c>
      <c r="C1860" t="s">
        <v>40</v>
      </c>
      <c r="D1860">
        <v>5.6351239999999896</v>
      </c>
      <c r="E1860">
        <v>0.53773590000000004</v>
      </c>
      <c r="F1860" t="s">
        <v>42</v>
      </c>
      <c r="G1860">
        <v>-324.36070000000001</v>
      </c>
      <c r="H1860">
        <v>0.95488689999999998</v>
      </c>
      <c r="I1860">
        <v>284.90100000000001</v>
      </c>
      <c r="J1860">
        <v>-323.94810000000001</v>
      </c>
      <c r="K1860">
        <v>1.1203019999999999</v>
      </c>
      <c r="L1860">
        <v>284.7851</v>
      </c>
      <c r="M1860">
        <v>-0.99992669999999995</v>
      </c>
      <c r="N1860">
        <v>-8.8633949999999996E-3</v>
      </c>
      <c r="O1860">
        <v>8.2430419999999904E-3</v>
      </c>
      <c r="P1860">
        <v>-0.97346860000000002</v>
      </c>
      <c r="Q1860">
        <v>0.2096893</v>
      </c>
      <c r="R1860">
        <v>9.1592389999999996E-2</v>
      </c>
      <c r="S1860">
        <v>-3.1792600000000002</v>
      </c>
      <c r="T1860">
        <v>-0.66902689999999998</v>
      </c>
      <c r="U1860">
        <v>0.48095700000000002</v>
      </c>
      <c r="V1860">
        <v>8.3690509999999996E-2</v>
      </c>
      <c r="W1860">
        <v>0.2182674</v>
      </c>
      <c r="X1860">
        <v>0.97229379999999999</v>
      </c>
      <c r="Y1860">
        <v>0.138489</v>
      </c>
      <c r="Z1860">
        <v>1.332443E-2</v>
      </c>
      <c r="AA1860">
        <v>0.99027430000000005</v>
      </c>
      <c r="AB1860">
        <v>38</v>
      </c>
      <c r="AC1860">
        <v>-0.41259999999999702</v>
      </c>
      <c r="AD1860">
        <v>-0.16541510000000001</v>
      </c>
      <c r="AE1860">
        <v>0.11590000000001</v>
      </c>
      <c r="AF1860">
        <v>9.7909021575963498E-2</v>
      </c>
      <c r="AG1860">
        <v>-0.16541510000000001</v>
      </c>
      <c r="AH1860">
        <v>0.35992254665561502</v>
      </c>
      <c r="AI1860">
        <v>113.91584324106201</v>
      </c>
      <c r="AJ1860">
        <v>74.782177893116</v>
      </c>
      <c r="AK1860">
        <v>0.408035012474464</v>
      </c>
      <c r="AL1860">
        <v>77.392710536486206</v>
      </c>
      <c r="AM1860">
        <v>85.080372718761296</v>
      </c>
      <c r="AN1860">
        <v>0.99999999644262905</v>
      </c>
    </row>
    <row r="1861" spans="1:40" x14ac:dyDescent="0.25">
      <c r="A1861" t="str">
        <f>"20190303170534233"</f>
        <v>20190303170534233</v>
      </c>
      <c r="B1861" t="str">
        <f>"1551603934226454"</f>
        <v>1551603934226454</v>
      </c>
      <c r="C1861" t="s">
        <v>40</v>
      </c>
      <c r="D1861">
        <v>5.623138</v>
      </c>
      <c r="E1861">
        <v>0.53788899999999995</v>
      </c>
      <c r="F1861" t="s">
        <v>42</v>
      </c>
      <c r="G1861">
        <v>-324.70569999999998</v>
      </c>
      <c r="H1861">
        <v>0.96167519999999995</v>
      </c>
      <c r="I1861">
        <v>284.8999</v>
      </c>
      <c r="J1861">
        <v>-324.18610000000001</v>
      </c>
      <c r="K1861">
        <v>1.1202989999999999</v>
      </c>
      <c r="L1861">
        <v>284.78719999999998</v>
      </c>
      <c r="M1861">
        <v>-0.99992599999999998</v>
      </c>
      <c r="N1861">
        <v>-8.8314859999999995E-3</v>
      </c>
      <c r="O1861">
        <v>8.3790150000000001E-3</v>
      </c>
      <c r="P1861">
        <v>-0.97343829999999998</v>
      </c>
      <c r="Q1861">
        <v>0.20997060000000001</v>
      </c>
      <c r="R1861">
        <v>9.1270169999999998E-2</v>
      </c>
      <c r="S1861">
        <v>-3.1799930000000001</v>
      </c>
      <c r="T1861">
        <v>-0.66598729999999995</v>
      </c>
      <c r="U1861">
        <v>0.48059079999999899</v>
      </c>
      <c r="V1861">
        <v>8.323651E-2</v>
      </c>
      <c r="W1861">
        <v>0.21851780000000001</v>
      </c>
      <c r="X1861">
        <v>0.97227660000000005</v>
      </c>
      <c r="Y1861">
        <v>0.1382446</v>
      </c>
      <c r="Z1861">
        <v>1.320989E-2</v>
      </c>
      <c r="AA1861">
        <v>0.99031000000000002</v>
      </c>
      <c r="AB1861">
        <v>38</v>
      </c>
      <c r="AC1861">
        <v>-0.51959999999996798</v>
      </c>
      <c r="AD1861">
        <v>-0.15862379999999901</v>
      </c>
      <c r="AE1861">
        <v>0.11270000000001799</v>
      </c>
      <c r="AF1861">
        <v>9.9486920403225307E-2</v>
      </c>
      <c r="AG1861">
        <v>-0.15862379999999901</v>
      </c>
      <c r="AH1861">
        <v>0.47798151935279098</v>
      </c>
      <c r="AI1861">
        <v>107.99891426624301</v>
      </c>
      <c r="AJ1861">
        <v>78.2423454629796</v>
      </c>
      <c r="AK1861">
        <v>0.51334733865148297</v>
      </c>
      <c r="AL1861">
        <v>77.378009682675</v>
      </c>
      <c r="AM1861">
        <v>85.106844400402593</v>
      </c>
      <c r="AN1861">
        <v>1.00000006621068</v>
      </c>
    </row>
    <row r="1862" spans="1:40" x14ac:dyDescent="0.25">
      <c r="A1862" t="str">
        <f>"20190303170534246"</f>
        <v>20190303170534246</v>
      </c>
      <c r="B1862" t="str">
        <f>"1551603934236214"</f>
        <v>1551603934236214</v>
      </c>
      <c r="C1862" t="s">
        <v>40</v>
      </c>
      <c r="D1862">
        <v>5.6147619999999998</v>
      </c>
      <c r="E1862">
        <v>0.53797329999999999</v>
      </c>
      <c r="F1862" t="s">
        <v>42</v>
      </c>
      <c r="G1862">
        <v>-325.03899999999999</v>
      </c>
      <c r="H1862">
        <v>0.94200419999999996</v>
      </c>
      <c r="I1862">
        <v>284.91640000000001</v>
      </c>
      <c r="J1862">
        <v>-324.41680000000002</v>
      </c>
      <c r="K1862">
        <v>1.12029</v>
      </c>
      <c r="L1862">
        <v>284.78919999999999</v>
      </c>
      <c r="M1862">
        <v>-0.99992510000000001</v>
      </c>
      <c r="N1862">
        <v>-8.801695E-3</v>
      </c>
      <c r="O1862">
        <v>8.5102089999999995E-3</v>
      </c>
      <c r="P1862">
        <v>-0.9734486</v>
      </c>
      <c r="Q1862">
        <v>0.2101818</v>
      </c>
      <c r="R1862">
        <v>9.0671489999999993E-2</v>
      </c>
      <c r="S1862">
        <v>-3.1800839999999999</v>
      </c>
      <c r="T1862">
        <v>-0.6648269</v>
      </c>
      <c r="U1862">
        <v>0.48141479999999998</v>
      </c>
      <c r="V1862">
        <v>8.2509990000000005E-2</v>
      </c>
      <c r="W1862">
        <v>0.2187006</v>
      </c>
      <c r="X1862">
        <v>0.97229739999999998</v>
      </c>
      <c r="Y1862">
        <v>0.13837160000000001</v>
      </c>
      <c r="Z1862">
        <v>1.317339E-2</v>
      </c>
      <c r="AA1862">
        <v>0.99029279999999997</v>
      </c>
      <c r="AB1862">
        <v>38</v>
      </c>
      <c r="AC1862">
        <v>-0.622199999999963</v>
      </c>
      <c r="AD1862">
        <v>-0.17828579999999999</v>
      </c>
      <c r="AE1862">
        <v>0.12720000000001599</v>
      </c>
      <c r="AF1862">
        <v>0.11299480467300101</v>
      </c>
      <c r="AG1862">
        <v>-0.17828579999999999</v>
      </c>
      <c r="AH1862">
        <v>0.57772816992371401</v>
      </c>
      <c r="AI1862">
        <v>106.84944724168599</v>
      </c>
      <c r="AJ1862">
        <v>78.933519581949895</v>
      </c>
      <c r="AK1862">
        <v>0.61508006851802099</v>
      </c>
      <c r="AL1862">
        <v>77.367276098721504</v>
      </c>
      <c r="AM1862">
        <v>85.149452330208007</v>
      </c>
      <c r="AN1862">
        <v>1.0000000424684501</v>
      </c>
    </row>
    <row r="1863" spans="1:40" x14ac:dyDescent="0.25">
      <c r="A1863" t="str">
        <f>"20190303170534265"</f>
        <v>20190303170534265</v>
      </c>
      <c r="B1863" t="str">
        <f>"1551603934256710"</f>
        <v>1551603934256710</v>
      </c>
      <c r="C1863" t="s">
        <v>40</v>
      </c>
      <c r="D1863">
        <v>5.6309300000000002</v>
      </c>
      <c r="E1863">
        <v>0.53814689999999998</v>
      </c>
      <c r="F1863" t="s">
        <v>42</v>
      </c>
      <c r="G1863">
        <v>-325.37279999999998</v>
      </c>
      <c r="H1863">
        <v>0.92068079999999997</v>
      </c>
      <c r="I1863">
        <v>284.9341</v>
      </c>
      <c r="J1863">
        <v>-324.73050000000001</v>
      </c>
      <c r="K1863">
        <v>1.1202840000000001</v>
      </c>
      <c r="L1863">
        <v>284.7919</v>
      </c>
      <c r="M1863">
        <v>-0.99992389999999998</v>
      </c>
      <c r="N1863">
        <v>-8.7641850000000007E-3</v>
      </c>
      <c r="O1863">
        <v>8.6859459999999999E-3</v>
      </c>
      <c r="P1863">
        <v>-0.97348219999999996</v>
      </c>
      <c r="Q1863">
        <v>0.21059359999999999</v>
      </c>
      <c r="R1863">
        <v>8.9346830000000002E-2</v>
      </c>
      <c r="S1863">
        <v>-3.1803590000000002</v>
      </c>
      <c r="T1863">
        <v>-0.66409899999999999</v>
      </c>
      <c r="U1863">
        <v>0.48132320000000001</v>
      </c>
      <c r="V1863">
        <v>8.1013810000000006E-2</v>
      </c>
      <c r="W1863">
        <v>0.21907750000000001</v>
      </c>
      <c r="X1863">
        <v>0.97233829999999999</v>
      </c>
      <c r="Y1863">
        <v>0.13817209999999999</v>
      </c>
      <c r="Z1863">
        <v>1.310006E-2</v>
      </c>
      <c r="AA1863">
        <v>0.99032160000000002</v>
      </c>
      <c r="AB1863">
        <v>38</v>
      </c>
      <c r="AC1863">
        <v>-0.642299999999977</v>
      </c>
      <c r="AD1863">
        <v>-0.19960320000000001</v>
      </c>
      <c r="AE1863">
        <v>0.14220000000000199</v>
      </c>
      <c r="AF1863">
        <v>0.125098675045692</v>
      </c>
      <c r="AG1863">
        <v>-0.19960320000000001</v>
      </c>
      <c r="AH1863">
        <v>0.58926259913627499</v>
      </c>
      <c r="AI1863">
        <v>108.332573905198</v>
      </c>
      <c r="AJ1863">
        <v>78.014230320086</v>
      </c>
      <c r="AK1863">
        <v>0.63460344049592599</v>
      </c>
      <c r="AL1863">
        <v>77.345143810509995</v>
      </c>
      <c r="AM1863">
        <v>85.237199916546302</v>
      </c>
      <c r="AN1863">
        <v>0.99999997903192706</v>
      </c>
    </row>
    <row r="1864" spans="1:40" x14ac:dyDescent="0.25">
      <c r="A1864" t="str">
        <f>"20190303170534286"</f>
        <v>20190303170534286</v>
      </c>
      <c r="B1864" t="str">
        <f>"1551603934276230"</f>
        <v>1551603934276230</v>
      </c>
      <c r="C1864" t="s">
        <v>40</v>
      </c>
      <c r="D1864">
        <v>5.6116190000000001</v>
      </c>
      <c r="E1864">
        <v>0.53844840000000005</v>
      </c>
      <c r="F1864" t="s">
        <v>42</v>
      </c>
      <c r="G1864">
        <v>-325.71429999999998</v>
      </c>
      <c r="H1864">
        <v>0.91538969999999997</v>
      </c>
      <c r="I1864">
        <v>284.94080000000002</v>
      </c>
      <c r="J1864">
        <v>-325.10879999999997</v>
      </c>
      <c r="K1864">
        <v>1.120293</v>
      </c>
      <c r="L1864">
        <v>284.79539999999997</v>
      </c>
      <c r="M1864">
        <v>-0.99992250000000005</v>
      </c>
      <c r="N1864">
        <v>-8.7244579999999992E-3</v>
      </c>
      <c r="O1864">
        <v>8.8880039999999997E-3</v>
      </c>
      <c r="P1864">
        <v>-0.97345269999999995</v>
      </c>
      <c r="Q1864">
        <v>0.2114781</v>
      </c>
      <c r="R1864">
        <v>8.7560780000000005E-2</v>
      </c>
      <c r="S1864">
        <v>-3.180939</v>
      </c>
      <c r="T1864">
        <v>-0.66253300000000004</v>
      </c>
      <c r="U1864">
        <v>0.48059079999999899</v>
      </c>
      <c r="V1864">
        <v>7.9029279999999993E-2</v>
      </c>
      <c r="W1864">
        <v>0.21992510000000001</v>
      </c>
      <c r="X1864">
        <v>0.97231029999999996</v>
      </c>
      <c r="Y1864">
        <v>0.13775009999999999</v>
      </c>
      <c r="Z1864">
        <v>1.298149E-2</v>
      </c>
      <c r="AA1864">
        <v>0.99038199999999998</v>
      </c>
      <c r="AB1864">
        <v>38</v>
      </c>
      <c r="AC1864">
        <v>-0.60550000000000603</v>
      </c>
      <c r="AD1864">
        <v>-0.20490330000000001</v>
      </c>
      <c r="AE1864">
        <v>0.14540000000005099</v>
      </c>
      <c r="AF1864">
        <v>0.12633376799858501</v>
      </c>
      <c r="AG1864">
        <v>-0.20490330000000001</v>
      </c>
      <c r="AH1864">
        <v>0.54748981547724695</v>
      </c>
      <c r="AI1864">
        <v>110.035733874901</v>
      </c>
      <c r="AJ1864">
        <v>77.006380350549506</v>
      </c>
      <c r="AK1864">
        <v>0.59807247164446597</v>
      </c>
      <c r="AL1864">
        <v>77.295366178660302</v>
      </c>
      <c r="AM1864">
        <v>85.353219901074198</v>
      </c>
      <c r="AN1864">
        <v>0.99999999809670903</v>
      </c>
    </row>
    <row r="1865" spans="1:40" x14ac:dyDescent="0.25">
      <c r="A1865" t="str">
        <f>"20190303170534309"</f>
        <v>20190303170534309</v>
      </c>
      <c r="B1865" t="str">
        <f>"1551603934306486"</f>
        <v>1551603934306486</v>
      </c>
      <c r="C1865" t="s">
        <v>40</v>
      </c>
      <c r="D1865">
        <v>5.5857039999999998</v>
      </c>
      <c r="E1865">
        <v>0.53878219999999899</v>
      </c>
      <c r="F1865" t="s">
        <v>42</v>
      </c>
      <c r="G1865">
        <v>-326.06139999999999</v>
      </c>
      <c r="H1865">
        <v>0.92290070000000002</v>
      </c>
      <c r="I1865">
        <v>284.93939999999998</v>
      </c>
      <c r="J1865">
        <v>-325.49220000000003</v>
      </c>
      <c r="K1865">
        <v>1.1203080000000001</v>
      </c>
      <c r="L1865">
        <v>284.79899999999998</v>
      </c>
      <c r="M1865">
        <v>-0.99992119999999995</v>
      </c>
      <c r="N1865">
        <v>-8.6898240000000005E-3</v>
      </c>
      <c r="O1865">
        <v>9.0751389999999994E-3</v>
      </c>
      <c r="P1865">
        <v>-0.9732075</v>
      </c>
      <c r="Q1865">
        <v>0.21333179999999999</v>
      </c>
      <c r="R1865">
        <v>8.5773169999999996E-2</v>
      </c>
      <c r="S1865">
        <v>-3.1819760000000001</v>
      </c>
      <c r="T1865">
        <v>-0.65949519999999995</v>
      </c>
      <c r="U1865">
        <v>0.47998049999999998</v>
      </c>
      <c r="V1865">
        <v>7.7057059999999997E-2</v>
      </c>
      <c r="W1865">
        <v>0.22174579999999999</v>
      </c>
      <c r="X1865">
        <v>0.972055</v>
      </c>
      <c r="Y1865">
        <v>0.13737060000000001</v>
      </c>
      <c r="Z1865">
        <v>1.2842849999999999E-2</v>
      </c>
      <c r="AA1865">
        <v>0.99043639999999999</v>
      </c>
      <c r="AB1865">
        <v>38</v>
      </c>
      <c r="AC1865">
        <v>-0.56919999999996596</v>
      </c>
      <c r="AD1865">
        <v>-0.19740730000000001</v>
      </c>
      <c r="AE1865">
        <v>0.14039999999994199</v>
      </c>
      <c r="AF1865">
        <v>0.12145732428476599</v>
      </c>
      <c r="AG1865">
        <v>-0.19740730000000001</v>
      </c>
      <c r="AH1865">
        <v>0.51235831058877501</v>
      </c>
      <c r="AI1865">
        <v>110.551103031677</v>
      </c>
      <c r="AJ1865">
        <v>76.663895392840502</v>
      </c>
      <c r="AK1865">
        <v>0.56234558960223802</v>
      </c>
      <c r="AL1865">
        <v>77.188406489626203</v>
      </c>
      <c r="AM1865">
        <v>85.467508692101404</v>
      </c>
      <c r="AN1865">
        <v>0.99999995666924002</v>
      </c>
    </row>
    <row r="1866" spans="1:40" x14ac:dyDescent="0.25">
      <c r="A1866" t="str">
        <f>"20190303170534331"</f>
        <v>20190303170534331</v>
      </c>
      <c r="B1866" t="str">
        <f>"1551603934326982"</f>
        <v>1551603934326982</v>
      </c>
      <c r="C1866" t="s">
        <v>40</v>
      </c>
      <c r="D1866">
        <v>5.5327129999999904</v>
      </c>
      <c r="E1866">
        <v>0.53899419999999898</v>
      </c>
      <c r="F1866" t="s">
        <v>42</v>
      </c>
      <c r="G1866">
        <v>-326.40980000000002</v>
      </c>
      <c r="H1866">
        <v>0.93192359999999996</v>
      </c>
      <c r="I1866">
        <v>284.93720000000002</v>
      </c>
      <c r="J1866">
        <v>-325.88490000000002</v>
      </c>
      <c r="K1866">
        <v>1.1203259999999999</v>
      </c>
      <c r="L1866">
        <v>284.80259999999998</v>
      </c>
      <c r="M1866">
        <v>-0.99991980000000003</v>
      </c>
      <c r="N1866">
        <v>-8.659791E-3</v>
      </c>
      <c r="O1866">
        <v>9.2359959999999998E-3</v>
      </c>
      <c r="P1866">
        <v>-0.97313050000000001</v>
      </c>
      <c r="Q1866">
        <v>0.214225</v>
      </c>
      <c r="R1866">
        <v>8.440752E-2</v>
      </c>
      <c r="S1866">
        <v>-3.1836850000000001</v>
      </c>
      <c r="T1866">
        <v>-0.65374270000000001</v>
      </c>
      <c r="U1866">
        <v>0.47872920000000002</v>
      </c>
      <c r="V1866">
        <v>7.5525270000000005E-2</v>
      </c>
      <c r="W1866">
        <v>0.22261339999999999</v>
      </c>
      <c r="X1866">
        <v>0.97197699999999998</v>
      </c>
      <c r="Y1866">
        <v>0.1368172</v>
      </c>
      <c r="Z1866">
        <v>1.2641039999999999E-2</v>
      </c>
      <c r="AA1866">
        <v>0.99051560000000005</v>
      </c>
      <c r="AB1866">
        <v>38</v>
      </c>
      <c r="AC1866">
        <v>-0.52490000000000203</v>
      </c>
      <c r="AD1866">
        <v>-0.1884024</v>
      </c>
      <c r="AE1866">
        <v>0.134600000000034</v>
      </c>
      <c r="AF1866">
        <v>0.115753572544313</v>
      </c>
      <c r="AG1866">
        <v>-0.1884024</v>
      </c>
      <c r="AH1866">
        <v>0.469381073263133</v>
      </c>
      <c r="AI1866">
        <v>111.291327988305</v>
      </c>
      <c r="AJ1866">
        <v>76.1467659185804</v>
      </c>
      <c r="AK1866">
        <v>0.51885734631031599</v>
      </c>
      <c r="AL1866">
        <v>77.137423452785598</v>
      </c>
      <c r="AM1866">
        <v>85.556889029068799</v>
      </c>
      <c r="AN1866">
        <v>1.0000000403985601</v>
      </c>
    </row>
    <row r="1867" spans="1:40" x14ac:dyDescent="0.25">
      <c r="A1867" t="str">
        <f>"20190303170534344"</f>
        <v>20190303170534344</v>
      </c>
      <c r="B1867" t="str">
        <f>"1551603934336742"</f>
        <v>1551603934336742</v>
      </c>
      <c r="C1867" t="s">
        <v>40</v>
      </c>
      <c r="D1867">
        <v>5.5725249999999997</v>
      </c>
      <c r="E1867">
        <v>0.53909019999999996</v>
      </c>
      <c r="F1867" t="s">
        <v>42</v>
      </c>
      <c r="G1867">
        <v>-326.7593</v>
      </c>
      <c r="H1867">
        <v>0.94151309999999999</v>
      </c>
      <c r="I1867">
        <v>284.93380000000002</v>
      </c>
      <c r="J1867">
        <v>-326.10489999999999</v>
      </c>
      <c r="K1867">
        <v>1.1203350000000001</v>
      </c>
      <c r="L1867">
        <v>284.80470000000003</v>
      </c>
      <c r="M1867">
        <v>-0.99991940000000001</v>
      </c>
      <c r="N1867">
        <v>-8.6448810000000001E-3</v>
      </c>
      <c r="O1867">
        <v>9.3109500000000001E-3</v>
      </c>
      <c r="P1867">
        <v>-0.9731959</v>
      </c>
      <c r="Q1867">
        <v>0.2143823</v>
      </c>
      <c r="R1867">
        <v>8.3250050000000006E-2</v>
      </c>
      <c r="S1867">
        <v>-3.1848450000000001</v>
      </c>
      <c r="T1867">
        <v>-0.65133669999999899</v>
      </c>
      <c r="U1867">
        <v>0.47686770000000001</v>
      </c>
      <c r="V1867">
        <v>7.4286420000000006E-2</v>
      </c>
      <c r="W1867">
        <v>0.22275980000000001</v>
      </c>
      <c r="X1867">
        <v>0.97203890000000004</v>
      </c>
      <c r="Y1867">
        <v>0.13616029999999901</v>
      </c>
      <c r="Z1867">
        <v>1.25095E-2</v>
      </c>
      <c r="AA1867">
        <v>0.99060789999999999</v>
      </c>
      <c r="AB1867">
        <v>39</v>
      </c>
      <c r="AC1867">
        <v>-0.65440000000000897</v>
      </c>
      <c r="AD1867">
        <v>-0.17882190000000001</v>
      </c>
      <c r="AE1867">
        <v>0.129099999999994</v>
      </c>
      <c r="AF1867">
        <v>0.11475329056728099</v>
      </c>
      <c r="AG1867">
        <v>-0.17882190000000001</v>
      </c>
      <c r="AH1867">
        <v>0.61161442619098705</v>
      </c>
      <c r="AI1867">
        <v>106.032673764553</v>
      </c>
      <c r="AJ1867">
        <v>79.373504525913006</v>
      </c>
      <c r="AK1867">
        <v>0.64747030506468695</v>
      </c>
      <c r="AL1867">
        <v>77.128818928435905</v>
      </c>
      <c r="AM1867">
        <v>85.629762424555494</v>
      </c>
      <c r="AN1867">
        <v>1.0000000119028301</v>
      </c>
    </row>
    <row r="1868" spans="1:40" x14ac:dyDescent="0.25">
      <c r="A1868" t="str">
        <f>"20190303170534357"</f>
        <v>20190303170534357</v>
      </c>
      <c r="B1868" t="str">
        <f>"1551603934346502"</f>
        <v>1551603934346502</v>
      </c>
      <c r="C1868" t="s">
        <v>40</v>
      </c>
      <c r="D1868">
        <v>5.5264949999999997</v>
      </c>
      <c r="E1868">
        <v>0.53922130000000001</v>
      </c>
      <c r="F1868" t="s">
        <v>42</v>
      </c>
      <c r="G1868">
        <v>-327.0951</v>
      </c>
      <c r="H1868">
        <v>0.91802640000000002</v>
      </c>
      <c r="I1868">
        <v>284.95249999999999</v>
      </c>
      <c r="J1868">
        <v>-326.32459999999998</v>
      </c>
      <c r="K1868">
        <v>1.1203559999999999</v>
      </c>
      <c r="L1868">
        <v>284.80680000000001</v>
      </c>
      <c r="M1868">
        <v>-0.999919</v>
      </c>
      <c r="N1868">
        <v>-8.6321460000000003E-3</v>
      </c>
      <c r="O1868">
        <v>9.368164E-3</v>
      </c>
      <c r="P1868">
        <v>-0.97328269999999995</v>
      </c>
      <c r="Q1868">
        <v>0.21443010000000001</v>
      </c>
      <c r="R1868">
        <v>8.2102939999999999E-2</v>
      </c>
      <c r="S1868">
        <v>-3.185425</v>
      </c>
      <c r="T1868">
        <v>-0.65084089999999994</v>
      </c>
      <c r="U1868">
        <v>0.47518919999999998</v>
      </c>
      <c r="V1868">
        <v>7.3073189999999996E-2</v>
      </c>
      <c r="W1868">
        <v>0.22279979999999999</v>
      </c>
      <c r="X1868">
        <v>0.97212169999999998</v>
      </c>
      <c r="Y1868">
        <v>0.1355847</v>
      </c>
      <c r="Z1868">
        <v>1.242657E-2</v>
      </c>
      <c r="AA1868">
        <v>0.99068780000000001</v>
      </c>
      <c r="AB1868">
        <v>39</v>
      </c>
      <c r="AC1868">
        <v>-0.77050000000002605</v>
      </c>
      <c r="AD1868">
        <v>-0.202329599999999</v>
      </c>
      <c r="AE1868">
        <v>0.14569999999997599</v>
      </c>
      <c r="AF1868">
        <v>0.12983155113129899</v>
      </c>
      <c r="AG1868">
        <v>-0.202329599999999</v>
      </c>
      <c r="AH1868">
        <v>0.72365349569369897</v>
      </c>
      <c r="AI1868">
        <v>105.38693272717001</v>
      </c>
      <c r="AJ1868">
        <v>79.828705952309804</v>
      </c>
      <c r="AK1868">
        <v>0.76254041239466797</v>
      </c>
      <c r="AL1868">
        <v>77.126468132438404</v>
      </c>
      <c r="AM1868">
        <v>85.701231217327106</v>
      </c>
      <c r="AN1868">
        <v>1.00000002079385</v>
      </c>
    </row>
    <row r="1869" spans="1:40" x14ac:dyDescent="0.25">
      <c r="A1869" t="str">
        <f>"20190303170534374"</f>
        <v>20190303170534374</v>
      </c>
      <c r="B1869" t="str">
        <f>"1551603934366998"</f>
        <v>1551603934366998</v>
      </c>
      <c r="C1869" t="s">
        <v>40</v>
      </c>
      <c r="D1869">
        <v>5.6000519999999998</v>
      </c>
      <c r="E1869">
        <v>0.53924799999999995</v>
      </c>
      <c r="F1869" t="s">
        <v>42</v>
      </c>
      <c r="G1869">
        <v>-327.11320000000001</v>
      </c>
      <c r="H1869">
        <v>0.95925660000000001</v>
      </c>
      <c r="I1869">
        <v>284.92419999999998</v>
      </c>
      <c r="J1869">
        <v>-326.63679999999999</v>
      </c>
      <c r="K1869">
        <v>1.120382</v>
      </c>
      <c r="L1869">
        <v>284.8098</v>
      </c>
      <c r="M1869">
        <v>-0.99991859999999999</v>
      </c>
      <c r="N1869">
        <v>-8.6161459999999999E-3</v>
      </c>
      <c r="O1869">
        <v>9.4273710000000004E-3</v>
      </c>
      <c r="P1869">
        <v>-0.9732999</v>
      </c>
      <c r="Q1869">
        <v>0.21514169999999999</v>
      </c>
      <c r="R1869">
        <v>8.0010209999999998E-2</v>
      </c>
      <c r="S1869">
        <v>-3.1857600000000001</v>
      </c>
      <c r="T1869">
        <v>-0.65085660000000001</v>
      </c>
      <c r="U1869">
        <v>0.47406009999999998</v>
      </c>
      <c r="V1869">
        <v>7.090747E-2</v>
      </c>
      <c r="W1869">
        <v>0.22350120000000001</v>
      </c>
      <c r="X1869">
        <v>0.97212109999999996</v>
      </c>
      <c r="Y1869">
        <v>0.13517750000000001</v>
      </c>
      <c r="Z1869">
        <v>1.2370539999999999E-2</v>
      </c>
      <c r="AA1869">
        <v>0.99074419999999996</v>
      </c>
      <c r="AB1869">
        <v>39</v>
      </c>
      <c r="AC1869">
        <v>-0.47640000000001198</v>
      </c>
      <c r="AD1869">
        <v>-0.1611254</v>
      </c>
      <c r="AE1869">
        <v>0.114399999999989</v>
      </c>
      <c r="AF1869">
        <v>9.91772791202465E-2</v>
      </c>
      <c r="AG1869">
        <v>-0.1611254</v>
      </c>
      <c r="AH1869">
        <v>0.430858890632555</v>
      </c>
      <c r="AI1869">
        <v>110.02341485821999</v>
      </c>
      <c r="AJ1869">
        <v>77.037165522213499</v>
      </c>
      <c r="AK1869">
        <v>0.47057083510983899</v>
      </c>
      <c r="AL1869">
        <v>77.085241606771106</v>
      </c>
      <c r="AM1869">
        <v>85.828177542323104</v>
      </c>
      <c r="AN1869">
        <v>1.0000000443842201</v>
      </c>
    </row>
    <row r="1870" spans="1:40" x14ac:dyDescent="0.25">
      <c r="A1870" t="str">
        <f>"20190303170534388"</f>
        <v>20190303170534388</v>
      </c>
      <c r="B1870" t="str">
        <f>"1551603934376758"</f>
        <v>1551603934376758</v>
      </c>
      <c r="C1870" t="s">
        <v>40</v>
      </c>
      <c r="D1870">
        <v>5.5708830000000003</v>
      </c>
      <c r="E1870">
        <v>0.50307849999999998</v>
      </c>
      <c r="F1870" t="s">
        <v>42</v>
      </c>
      <c r="G1870">
        <v>-327.45679999999999</v>
      </c>
      <c r="H1870">
        <v>0.953573</v>
      </c>
      <c r="I1870">
        <v>284.93099999999998</v>
      </c>
      <c r="J1870">
        <v>-326.85469999999998</v>
      </c>
      <c r="K1870">
        <v>1.120406</v>
      </c>
      <c r="L1870">
        <v>284.81180000000001</v>
      </c>
      <c r="M1870">
        <v>-0.99991839999999999</v>
      </c>
      <c r="N1870">
        <v>-8.6064409999999994E-3</v>
      </c>
      <c r="O1870">
        <v>9.4478019999999999E-3</v>
      </c>
      <c r="P1870">
        <v>-0.97323130000000002</v>
      </c>
      <c r="Q1870">
        <v>0.21597230000000001</v>
      </c>
      <c r="R1870">
        <v>7.859331E-2</v>
      </c>
      <c r="S1870">
        <v>-3.1869510000000001</v>
      </c>
      <c r="T1870">
        <v>-0.64832469999999998</v>
      </c>
      <c r="U1870">
        <v>0.47042850000000003</v>
      </c>
      <c r="V1870">
        <v>6.9459090000000001E-2</v>
      </c>
      <c r="W1870">
        <v>0.2243261</v>
      </c>
      <c r="X1870">
        <v>0.9720356</v>
      </c>
      <c r="Y1870">
        <v>0.1340442</v>
      </c>
      <c r="Z1870">
        <v>1.2199430000000001E-2</v>
      </c>
      <c r="AA1870">
        <v>0.99090029999999996</v>
      </c>
      <c r="AB1870">
        <v>39</v>
      </c>
      <c r="AC1870">
        <v>-0.60210000000000696</v>
      </c>
      <c r="AD1870">
        <v>-0.16683299999999901</v>
      </c>
      <c r="AE1870">
        <v>0.119199999999978</v>
      </c>
      <c r="AF1870">
        <v>0.105696994201449</v>
      </c>
      <c r="AG1870">
        <v>-0.16683299999999901</v>
      </c>
      <c r="AH1870">
        <v>0.56170058918446497</v>
      </c>
      <c r="AI1870">
        <v>106.272062987805</v>
      </c>
      <c r="AJ1870">
        <v>79.3430880356009</v>
      </c>
      <c r="AK1870">
        <v>0.59540965424016801</v>
      </c>
      <c r="AL1870">
        <v>77.036746221325899</v>
      </c>
      <c r="AM1870">
        <v>85.912742590200494</v>
      </c>
      <c r="AN1870">
        <v>0.99999998599609796</v>
      </c>
    </row>
    <row r="1871" spans="1:40" x14ac:dyDescent="0.25">
      <c r="A1871" t="str">
        <f>"20190303170534401"</f>
        <v>20190303170534401</v>
      </c>
      <c r="B1871" t="str">
        <f>"1551603934396278"</f>
        <v>1551603934396278</v>
      </c>
      <c r="C1871" t="s">
        <v>40</v>
      </c>
      <c r="D1871">
        <v>5.5903409999999996</v>
      </c>
      <c r="E1871">
        <v>0.48756820000000001</v>
      </c>
      <c r="F1871" t="s">
        <v>42</v>
      </c>
      <c r="G1871">
        <v>-327.8141</v>
      </c>
      <c r="H1871">
        <v>0.97509429999999997</v>
      </c>
      <c r="I1871">
        <v>284.8691</v>
      </c>
      <c r="J1871">
        <v>-327.08580000000001</v>
      </c>
      <c r="K1871">
        <v>1.1204339999999999</v>
      </c>
      <c r="L1871">
        <v>284.81400000000002</v>
      </c>
      <c r="M1871">
        <v>-0.99991839999999999</v>
      </c>
      <c r="N1871">
        <v>-8.5974789999999999E-3</v>
      </c>
      <c r="O1871">
        <v>9.4460640000000005E-3</v>
      </c>
      <c r="P1871">
        <v>-0.97306029999999999</v>
      </c>
      <c r="Q1871">
        <v>0.21715880000000001</v>
      </c>
      <c r="R1871">
        <v>7.7434260000000005E-2</v>
      </c>
      <c r="S1871">
        <v>-3.1739199999999999</v>
      </c>
      <c r="T1871">
        <v>-0.48079430000000001</v>
      </c>
      <c r="U1871">
        <v>0.1889343</v>
      </c>
      <c r="V1871">
        <v>6.8288450000000001E-2</v>
      </c>
      <c r="W1871">
        <v>0.2255076</v>
      </c>
      <c r="X1871">
        <v>0.97184510000000002</v>
      </c>
      <c r="Y1871">
        <v>4.9490159999999998E-2</v>
      </c>
      <c r="Z1871">
        <v>2.59743E-3</v>
      </c>
      <c r="AA1871">
        <v>0.99877130000000003</v>
      </c>
      <c r="AB1871">
        <v>39</v>
      </c>
      <c r="AC1871">
        <v>-0.72829999999998996</v>
      </c>
      <c r="AD1871">
        <v>-0.14533969999999899</v>
      </c>
      <c r="AE1871">
        <v>5.5099999999981698E-2</v>
      </c>
      <c r="AF1871">
        <v>4.6381135677141999E-2</v>
      </c>
      <c r="AG1871">
        <v>-0.14533969999999899</v>
      </c>
      <c r="AH1871">
        <v>0.70102891880396501</v>
      </c>
      <c r="AI1871">
        <v>101.68797199763701</v>
      </c>
      <c r="AJ1871">
        <v>86.214741092795805</v>
      </c>
      <c r="AK1871">
        <v>0.71743737227875704</v>
      </c>
      <c r="AL1871">
        <v>76.967270605317694</v>
      </c>
      <c r="AM1871">
        <v>85.980615089728104</v>
      </c>
      <c r="AN1871">
        <v>0.99999994422758398</v>
      </c>
    </row>
    <row r="1872" spans="1:40" x14ac:dyDescent="0.25">
      <c r="A1872" t="str">
        <f>"20190303170534420"</f>
        <v>20190303170534420</v>
      </c>
      <c r="B1872" t="str">
        <f>"1551603934416774"</f>
        <v>1551603934416774</v>
      </c>
      <c r="C1872" t="s">
        <v>40</v>
      </c>
      <c r="D1872">
        <v>5.5467930000000001</v>
      </c>
      <c r="E1872">
        <v>0.47817379999999998</v>
      </c>
      <c r="F1872" t="s">
        <v>42</v>
      </c>
      <c r="G1872">
        <v>-327.84769999999997</v>
      </c>
      <c r="H1872">
        <v>1.040114</v>
      </c>
      <c r="I1872">
        <v>284.83159999999998</v>
      </c>
      <c r="J1872">
        <v>-327.41160000000002</v>
      </c>
      <c r="K1872">
        <v>1.120493</v>
      </c>
      <c r="L1872">
        <v>284.81700000000001</v>
      </c>
      <c r="M1872">
        <v>-0.99991929999999996</v>
      </c>
      <c r="N1872">
        <v>-8.5845269999999998E-3</v>
      </c>
      <c r="O1872">
        <v>9.3887550000000004E-3</v>
      </c>
      <c r="P1872">
        <v>-0.97253820000000002</v>
      </c>
      <c r="Q1872">
        <v>0.2199179</v>
      </c>
      <c r="R1872">
        <v>7.619592E-2</v>
      </c>
      <c r="S1872">
        <v>-3.1515200000000001</v>
      </c>
      <c r="T1872">
        <v>-0.33229900000000001</v>
      </c>
      <c r="U1872">
        <v>7.1777339999999995E-2</v>
      </c>
      <c r="V1872">
        <v>6.7084190000000002E-2</v>
      </c>
      <c r="W1872">
        <v>0.22825780000000001</v>
      </c>
      <c r="X1872">
        <v>0.97128680000000001</v>
      </c>
      <c r="Y1872">
        <v>1.334579E-2</v>
      </c>
      <c r="Z1872">
        <v>-1.476463E-4</v>
      </c>
      <c r="AA1872">
        <v>0.99991099999999999</v>
      </c>
      <c r="AB1872">
        <v>39</v>
      </c>
      <c r="AC1872">
        <v>-0.43609999999995303</v>
      </c>
      <c r="AD1872">
        <v>-8.0378999999999895E-2</v>
      </c>
      <c r="AE1872">
        <v>1.4599999999972999E-2</v>
      </c>
      <c r="AF1872">
        <v>1.01600075115623E-2</v>
      </c>
      <c r="AG1872">
        <v>-8.0378999999999895E-2</v>
      </c>
      <c r="AH1872">
        <v>0.42190133907308902</v>
      </c>
      <c r="AI1872">
        <v>100.783451774342</v>
      </c>
      <c r="AJ1872">
        <v>88.620499611647205</v>
      </c>
      <c r="AK1872">
        <v>0.42960999674739903</v>
      </c>
      <c r="AL1872">
        <v>76.805476906893702</v>
      </c>
      <c r="AM1872">
        <v>86.049007745762907</v>
      </c>
      <c r="AN1872">
        <v>0.99999997983151701</v>
      </c>
    </row>
    <row r="1873" spans="1:40" x14ac:dyDescent="0.25">
      <c r="A1873" t="str">
        <f>"20190303170534432"</f>
        <v>20190303170534432</v>
      </c>
      <c r="B1873" t="str">
        <f>"1551603934426534"</f>
        <v>1551603934426534</v>
      </c>
      <c r="C1873" t="s">
        <v>40</v>
      </c>
      <c r="D1873">
        <v>5.5388719999999996</v>
      </c>
      <c r="E1873">
        <v>0.4757847</v>
      </c>
      <c r="F1873" t="s">
        <v>60</v>
      </c>
      <c r="G1873">
        <v>-343.38249999999999</v>
      </c>
      <c r="H1873" s="1">
        <v>2.631889E-7</v>
      </c>
      <c r="I1873">
        <v>284.81450000000001</v>
      </c>
      <c r="J1873">
        <v>-327.61840000000001</v>
      </c>
      <c r="K1873">
        <v>1.1205270000000001</v>
      </c>
      <c r="L1873">
        <v>284.81880000000001</v>
      </c>
      <c r="M1873">
        <v>-0.99992000000000003</v>
      </c>
      <c r="N1873">
        <v>-8.5746780000000005E-3</v>
      </c>
      <c r="O1873">
        <v>9.3167860000000005E-3</v>
      </c>
      <c r="P1873">
        <v>-0.97254850000000004</v>
      </c>
      <c r="Q1873">
        <v>0.22021760000000001</v>
      </c>
      <c r="R1873">
        <v>7.5194269999999994E-2</v>
      </c>
      <c r="S1873">
        <v>-3.1344910000000001</v>
      </c>
      <c r="T1873">
        <v>-0.21991160000000001</v>
      </c>
      <c r="U1873">
        <v>-4.8828130000000002E-4</v>
      </c>
      <c r="V1873">
        <v>6.6132949999999996E-2</v>
      </c>
      <c r="W1873">
        <v>0.22855349999999999</v>
      </c>
      <c r="X1873">
        <v>0.97128250000000005</v>
      </c>
      <c r="Y1873">
        <v>-9.4292360000000006E-3</v>
      </c>
      <c r="Z1873">
        <v>-9.4388679999999996E-4</v>
      </c>
      <c r="AA1873">
        <v>0.99995509999999999</v>
      </c>
      <c r="AB1873">
        <v>39</v>
      </c>
      <c r="AC1873">
        <v>-15.7640999999999</v>
      </c>
      <c r="AD1873">
        <v>-1.1205267368111</v>
      </c>
      <c r="AE1873">
        <v>-4.3000000000006297E-3</v>
      </c>
      <c r="AF1873">
        <v>-0.15041595849151501</v>
      </c>
      <c r="AG1873">
        <v>-1.1205267368111</v>
      </c>
      <c r="AH1873">
        <v>15.6841316637107</v>
      </c>
      <c r="AI1873">
        <v>94.086271333591895</v>
      </c>
      <c r="AJ1873">
        <v>90.549468442020398</v>
      </c>
      <c r="AK1873">
        <v>15.724827222360499</v>
      </c>
      <c r="AL1873">
        <v>76.788074561778899</v>
      </c>
      <c r="AM1873">
        <v>86.104841118457898</v>
      </c>
      <c r="AN1873">
        <v>0.99999998212210095</v>
      </c>
    </row>
    <row r="1874" spans="1:40" x14ac:dyDescent="0.25">
      <c r="A1874" t="str">
        <f>"20190303170534445"</f>
        <v>20190303170534445</v>
      </c>
      <c r="B1874" t="str">
        <f>"1551603934436294"</f>
        <v>1551603934436294</v>
      </c>
      <c r="C1874" t="s">
        <v>40</v>
      </c>
      <c r="D1874">
        <v>5.5703579999999997</v>
      </c>
      <c r="E1874">
        <v>0.47390510000000002</v>
      </c>
      <c r="F1874" t="s">
        <v>60</v>
      </c>
      <c r="G1874">
        <v>-346.05439999999999</v>
      </c>
      <c r="H1874" s="1">
        <v>1.6850369999999999E-6</v>
      </c>
      <c r="I1874">
        <v>284.69369999999998</v>
      </c>
      <c r="J1874">
        <v>-327.84640000000002</v>
      </c>
      <c r="K1874">
        <v>1.1205719999999999</v>
      </c>
      <c r="L1874">
        <v>284.82089999999999</v>
      </c>
      <c r="M1874">
        <v>-0.99992099999999995</v>
      </c>
      <c r="N1874">
        <v>-8.5629750000000004E-3</v>
      </c>
      <c r="O1874">
        <v>9.2185370000000006E-3</v>
      </c>
      <c r="P1874">
        <v>-0.97264819999999996</v>
      </c>
      <c r="Q1874">
        <v>0.22012799999999999</v>
      </c>
      <c r="R1874">
        <v>7.4158070000000006E-2</v>
      </c>
      <c r="S1874">
        <v>-3.1293639999999998</v>
      </c>
      <c r="T1874">
        <v>-0.1902008</v>
      </c>
      <c r="U1874">
        <v>-2.1240229999999999E-2</v>
      </c>
      <c r="V1874">
        <v>6.516856E-2</v>
      </c>
      <c r="W1874">
        <v>0.2284602</v>
      </c>
      <c r="X1874">
        <v>0.97136960000000006</v>
      </c>
      <c r="Y1874">
        <v>-1.595945E-2</v>
      </c>
      <c r="Z1874">
        <v>-1.03385E-3</v>
      </c>
      <c r="AA1874">
        <v>0.99987210000000004</v>
      </c>
      <c r="AB1874">
        <v>39</v>
      </c>
      <c r="AC1874">
        <v>-18.207999999999899</v>
      </c>
      <c r="AD1874">
        <v>-1.120570314963</v>
      </c>
      <c r="AE1874">
        <v>-0.12720000000001599</v>
      </c>
      <c r="AF1874">
        <v>-0.29393860336516098</v>
      </c>
      <c r="AG1874">
        <v>-1.120570314963</v>
      </c>
      <c r="AH1874">
        <v>18.137361537709701</v>
      </c>
      <c r="AI1874">
        <v>93.5349159363372</v>
      </c>
      <c r="AJ1874">
        <v>90.928468409249902</v>
      </c>
      <c r="AK1874">
        <v>18.174321480674799</v>
      </c>
      <c r="AL1874">
        <v>76.793565131650496</v>
      </c>
      <c r="AM1874">
        <v>86.161814742346905</v>
      </c>
      <c r="AN1874">
        <v>0.99999995200033498</v>
      </c>
    </row>
    <row r="1875" spans="1:40" x14ac:dyDescent="0.25">
      <c r="A1875" t="str">
        <f>"20190303170534457"</f>
        <v>20190303170534457</v>
      </c>
      <c r="B1875" t="str">
        <f>"1551603934447029"</f>
        <v>1551603934447029</v>
      </c>
      <c r="C1875" t="s">
        <v>40</v>
      </c>
      <c r="D1875">
        <v>5.5686339999999896</v>
      </c>
      <c r="E1875">
        <v>0.47267510000000001</v>
      </c>
      <c r="F1875" t="s">
        <v>60</v>
      </c>
      <c r="G1875">
        <v>-348.37729999999999</v>
      </c>
      <c r="H1875" s="1">
        <v>2.921198E-6</v>
      </c>
      <c r="I1875">
        <v>284.57040000000001</v>
      </c>
      <c r="J1875">
        <v>-328.07159999999999</v>
      </c>
      <c r="K1875">
        <v>1.120606</v>
      </c>
      <c r="L1875">
        <v>284.8229</v>
      </c>
      <c r="M1875">
        <v>-0.99992219999999998</v>
      </c>
      <c r="N1875">
        <v>-8.5503049999999994E-3</v>
      </c>
      <c r="O1875">
        <v>9.0839070000000004E-3</v>
      </c>
      <c r="P1875">
        <v>-0.97276989999999997</v>
      </c>
      <c r="Q1875">
        <v>0.22003030000000001</v>
      </c>
      <c r="R1875">
        <v>7.2838719999999996E-2</v>
      </c>
      <c r="S1875">
        <v>-3.1258849999999998</v>
      </c>
      <c r="T1875">
        <v>-0.17060939999999999</v>
      </c>
      <c r="U1875">
        <v>-3.8146970000000002E-2</v>
      </c>
      <c r="V1875">
        <v>6.3955109999999996E-2</v>
      </c>
      <c r="W1875">
        <v>0.22835710000000001</v>
      </c>
      <c r="X1875">
        <v>0.97147450000000002</v>
      </c>
      <c r="Y1875">
        <v>-2.1239540000000001E-2</v>
      </c>
      <c r="Z1875">
        <v>-1.087845E-3</v>
      </c>
      <c r="AA1875">
        <v>0.99977380000000005</v>
      </c>
      <c r="AB1875">
        <v>39</v>
      </c>
      <c r="AC1875">
        <v>-20.305700000000002</v>
      </c>
      <c r="AD1875">
        <v>-1.1206030788020001</v>
      </c>
      <c r="AE1875">
        <v>-0.252499999999997</v>
      </c>
      <c r="AF1875">
        <v>-0.43562489336090698</v>
      </c>
      <c r="AG1875">
        <v>-1.1206030788020001</v>
      </c>
      <c r="AH1875">
        <v>20.240932844359001</v>
      </c>
      <c r="AI1875">
        <v>93.1681113545729</v>
      </c>
      <c r="AJ1875">
        <v>91.232928116435204</v>
      </c>
      <c r="AK1875">
        <v>20.276609251001201</v>
      </c>
      <c r="AL1875">
        <v>76.799632865002295</v>
      </c>
      <c r="AM1875">
        <v>86.233480298420204</v>
      </c>
      <c r="AN1875">
        <v>0.99999996268288505</v>
      </c>
    </row>
    <row r="1876" spans="1:40" x14ac:dyDescent="0.25">
      <c r="A1876" t="str">
        <f>"20190303170534471"</f>
        <v>20190303170534471</v>
      </c>
      <c r="B1876" t="str">
        <f>"1551603934466550"</f>
        <v>1551603934466550</v>
      </c>
      <c r="C1876" t="s">
        <v>40</v>
      </c>
      <c r="D1876">
        <v>5.5499879999999999</v>
      </c>
      <c r="E1876">
        <v>0.47095290000000001</v>
      </c>
      <c r="F1876" t="s">
        <v>60</v>
      </c>
      <c r="G1876">
        <v>-350.63279999999997</v>
      </c>
      <c r="H1876" s="1">
        <v>-1.2000759999999999E-6</v>
      </c>
      <c r="I1876">
        <v>284.45780000000002</v>
      </c>
      <c r="J1876">
        <v>-328.30329999999998</v>
      </c>
      <c r="K1876">
        <v>1.120641</v>
      </c>
      <c r="L1876">
        <v>284.82479999999998</v>
      </c>
      <c r="M1876">
        <v>-0.99992380000000003</v>
      </c>
      <c r="N1876">
        <v>-8.5362340000000002E-3</v>
      </c>
      <c r="O1876">
        <v>8.9224009999999999E-3</v>
      </c>
      <c r="P1876">
        <v>-0.97293180000000001</v>
      </c>
      <c r="Q1876">
        <v>0.21971289999999999</v>
      </c>
      <c r="R1876">
        <v>7.1625469999999997E-2</v>
      </c>
      <c r="S1876">
        <v>-3.1228639999999999</v>
      </c>
      <c r="T1876">
        <v>-0.1551121</v>
      </c>
      <c r="U1876">
        <v>-5.0537110000000003E-2</v>
      </c>
      <c r="V1876">
        <v>6.2873879999999993E-2</v>
      </c>
      <c r="W1876">
        <v>0.2280336</v>
      </c>
      <c r="X1876">
        <v>0.97162110000000002</v>
      </c>
      <c r="Y1876">
        <v>-2.5057989999999999E-2</v>
      </c>
      <c r="Z1876">
        <v>-1.095681E-3</v>
      </c>
      <c r="AA1876">
        <v>0.99968539999999995</v>
      </c>
      <c r="AB1876">
        <v>39</v>
      </c>
      <c r="AC1876">
        <v>-22.329499999999999</v>
      </c>
      <c r="AD1876">
        <v>-1.1206422000759999</v>
      </c>
      <c r="AE1876">
        <v>-0.36699999999996102</v>
      </c>
      <c r="AF1876">
        <v>-0.56480321039624903</v>
      </c>
      <c r="AG1876">
        <v>-1.1206422000759999</v>
      </c>
      <c r="AH1876">
        <v>22.269262080799699</v>
      </c>
      <c r="AI1876">
        <v>92.879905157115004</v>
      </c>
      <c r="AJ1876">
        <v>91.452850301966905</v>
      </c>
      <c r="AK1876">
        <v>22.3045931420057</v>
      </c>
      <c r="AL1876">
        <v>76.818670911862199</v>
      </c>
      <c r="AM1876">
        <v>86.297535845279398</v>
      </c>
      <c r="AN1876">
        <v>1.00000000474021</v>
      </c>
    </row>
    <row r="1877" spans="1:40" x14ac:dyDescent="0.25">
      <c r="A1877" t="str">
        <f>"20190303170534488"</f>
        <v>20190303170534488</v>
      </c>
      <c r="B1877" t="str">
        <f>"1551603934476310"</f>
        <v>1551603934476310</v>
      </c>
      <c r="C1877" t="s">
        <v>40</v>
      </c>
      <c r="D1877">
        <v>5.4103700000000003</v>
      </c>
      <c r="E1877">
        <v>0.47022730000000001</v>
      </c>
      <c r="F1877" t="s">
        <v>60</v>
      </c>
      <c r="G1877">
        <v>-354.82639999999998</v>
      </c>
      <c r="H1877" s="1">
        <v>1.031584E-6</v>
      </c>
      <c r="I1877">
        <v>284.2636</v>
      </c>
      <c r="J1877">
        <v>-328.59379999999999</v>
      </c>
      <c r="K1877">
        <v>1.1206799999999999</v>
      </c>
      <c r="L1877">
        <v>284.8272</v>
      </c>
      <c r="M1877">
        <v>-0.99992599999999998</v>
      </c>
      <c r="N1877">
        <v>-8.5167400000000001E-3</v>
      </c>
      <c r="O1877">
        <v>8.6901410000000002E-3</v>
      </c>
      <c r="P1877">
        <v>-0.97306910000000002</v>
      </c>
      <c r="Q1877">
        <v>0.21981139999999999</v>
      </c>
      <c r="R1877">
        <v>6.9422890000000001E-2</v>
      </c>
      <c r="S1877">
        <v>-3.1181030000000001</v>
      </c>
      <c r="T1877">
        <v>-0.1317441</v>
      </c>
      <c r="U1877">
        <v>-6.5978999999999996E-2</v>
      </c>
      <c r="V1877">
        <v>6.086797E-2</v>
      </c>
      <c r="W1877">
        <v>0.2281213</v>
      </c>
      <c r="X1877">
        <v>0.97172829999999999</v>
      </c>
      <c r="Y1877">
        <v>-2.980607E-2</v>
      </c>
      <c r="Z1877">
        <v>-1.0493259999999999E-3</v>
      </c>
      <c r="AA1877">
        <v>0.99955519999999998</v>
      </c>
      <c r="AB1877">
        <v>39</v>
      </c>
      <c r="AC1877">
        <v>-26.232599999999898</v>
      </c>
      <c r="AD1877">
        <v>-1.1206789684159999</v>
      </c>
      <c r="AE1877">
        <v>-0.56360000000000798</v>
      </c>
      <c r="AF1877">
        <v>-0.79011062846896896</v>
      </c>
      <c r="AG1877">
        <v>-1.1206789684159999</v>
      </c>
      <c r="AH1877">
        <v>26.178955036417499</v>
      </c>
      <c r="AI1877">
        <v>92.450129271211793</v>
      </c>
      <c r="AJ1877">
        <v>91.728726998707799</v>
      </c>
      <c r="AK1877">
        <v>26.214840891263101</v>
      </c>
      <c r="AL1877">
        <v>76.813510831226907</v>
      </c>
      <c r="AM1877">
        <v>86.415739557307006</v>
      </c>
      <c r="AN1877">
        <v>1.00000006315324</v>
      </c>
    </row>
    <row r="1878" spans="1:40" x14ac:dyDescent="0.25">
      <c r="A1878" t="str">
        <f>"20190303170534501"</f>
        <v>20190303170534501</v>
      </c>
      <c r="B1878" t="str">
        <f>"1551603934496806"</f>
        <v>1551603934496806</v>
      </c>
      <c r="C1878" t="s">
        <v>40</v>
      </c>
      <c r="D1878">
        <v>5.5457900000000002</v>
      </c>
      <c r="E1878">
        <v>0.4695221</v>
      </c>
      <c r="F1878" t="s">
        <v>60</v>
      </c>
      <c r="G1878">
        <v>-356.68270000000001</v>
      </c>
      <c r="H1878" s="1">
        <v>2.0194300000000001E-6</v>
      </c>
      <c r="I1878">
        <v>284.1352</v>
      </c>
      <c r="J1878">
        <v>-328.84379999999999</v>
      </c>
      <c r="K1878">
        <v>1.1207129999999901</v>
      </c>
      <c r="L1878">
        <v>284.82920000000001</v>
      </c>
      <c r="M1878">
        <v>-0.99992809999999999</v>
      </c>
      <c r="N1878">
        <v>-8.4977539999999997E-3</v>
      </c>
      <c r="O1878">
        <v>8.4665260000000003E-3</v>
      </c>
      <c r="P1878">
        <v>-0.97311630000000005</v>
      </c>
      <c r="Q1878">
        <v>0.21983130000000001</v>
      </c>
      <c r="R1878">
        <v>6.8696359999999998E-2</v>
      </c>
      <c r="S1878">
        <v>-3.1165769999999999</v>
      </c>
      <c r="T1878">
        <v>-0.12434340000000001</v>
      </c>
      <c r="U1878">
        <v>-7.6782230000000007E-2</v>
      </c>
      <c r="V1878">
        <v>6.0337330000000002E-2</v>
      </c>
      <c r="W1878">
        <v>0.22812869999999999</v>
      </c>
      <c r="X1878">
        <v>0.97175959999999995</v>
      </c>
      <c r="Y1878">
        <v>-3.3056559999999999E-2</v>
      </c>
      <c r="Z1878">
        <v>-1.065318E-3</v>
      </c>
      <c r="AA1878">
        <v>0.99945289999999998</v>
      </c>
      <c r="AB1878">
        <v>39</v>
      </c>
      <c r="AC1878">
        <v>-27.838899999999999</v>
      </c>
      <c r="AD1878">
        <v>-1.12071098056999</v>
      </c>
      <c r="AE1878">
        <v>-0.69400000000001605</v>
      </c>
      <c r="AF1878">
        <v>-0.92817909564475098</v>
      </c>
      <c r="AG1878">
        <v>-1.12071098056999</v>
      </c>
      <c r="AH1878">
        <v>27.787021720892501</v>
      </c>
      <c r="AI1878">
        <v>92.308325483820894</v>
      </c>
      <c r="AJ1878">
        <v>91.913158567171806</v>
      </c>
      <c r="AK1878">
        <v>27.825098124767099</v>
      </c>
      <c r="AL1878">
        <v>76.813074628537294</v>
      </c>
      <c r="AM1878">
        <v>86.447020481366195</v>
      </c>
      <c r="AN1878">
        <v>1.00000000867368</v>
      </c>
    </row>
    <row r="1879" spans="1:40" x14ac:dyDescent="0.25">
      <c r="A1879" t="str">
        <f>"20190303170534521"</f>
        <v>20190303170534521</v>
      </c>
      <c r="B1879" t="str">
        <f>"1551603934516326"</f>
        <v>1551603934516326</v>
      </c>
      <c r="C1879" t="s">
        <v>40</v>
      </c>
      <c r="D1879">
        <v>5.5266310000000001</v>
      </c>
      <c r="E1879">
        <v>0.46909050000000002</v>
      </c>
      <c r="F1879" t="s">
        <v>60</v>
      </c>
      <c r="G1879">
        <v>-359.61259999999999</v>
      </c>
      <c r="H1879" s="1">
        <v>3.5785449999999999E-6</v>
      </c>
      <c r="I1879">
        <v>284.00369999999998</v>
      </c>
      <c r="J1879">
        <v>-329.17450000000002</v>
      </c>
      <c r="K1879">
        <v>1.1207450000000001</v>
      </c>
      <c r="L1879">
        <v>284.83170000000001</v>
      </c>
      <c r="M1879">
        <v>-0.99993109999999996</v>
      </c>
      <c r="N1879">
        <v>-8.4704180000000004E-3</v>
      </c>
      <c r="O1879">
        <v>8.1403269999999993E-3</v>
      </c>
      <c r="P1879">
        <v>-0.97330930000000004</v>
      </c>
      <c r="Q1879">
        <v>0.21943879999999999</v>
      </c>
      <c r="R1879">
        <v>6.7201720000000006E-2</v>
      </c>
      <c r="S1879">
        <v>-3.1144409999999998</v>
      </c>
      <c r="T1879">
        <v>-0.1134392</v>
      </c>
      <c r="U1879">
        <v>-8.3557129999999993E-2</v>
      </c>
      <c r="V1879">
        <v>5.9135239999999999E-2</v>
      </c>
      <c r="W1879">
        <v>0.22771640000000001</v>
      </c>
      <c r="X1879">
        <v>0.97193010000000002</v>
      </c>
      <c r="Y1879">
        <v>-3.4924379999999998E-2</v>
      </c>
      <c r="Z1879">
        <v>-1.011145E-3</v>
      </c>
      <c r="AA1879">
        <v>0.99938950000000004</v>
      </c>
      <c r="AB1879">
        <v>39</v>
      </c>
      <c r="AC1879">
        <v>-30.438099999999899</v>
      </c>
      <c r="AD1879">
        <v>-1.120741421455</v>
      </c>
      <c r="AE1879">
        <v>-0.82800000000003104</v>
      </c>
      <c r="AF1879">
        <v>-1.07430211816843</v>
      </c>
      <c r="AG1879">
        <v>-1.120741421455</v>
      </c>
      <c r="AH1879">
        <v>30.3891816867215</v>
      </c>
      <c r="AI1879">
        <v>92.110771933356702</v>
      </c>
      <c r="AJ1879">
        <v>92.024646654924297</v>
      </c>
      <c r="AK1879">
        <v>30.428811182223999</v>
      </c>
      <c r="AL1879">
        <v>76.837335172947803</v>
      </c>
      <c r="AM1879">
        <v>86.5182392969094</v>
      </c>
      <c r="AN1879">
        <v>0.99999992736241095</v>
      </c>
    </row>
    <row r="1880" spans="1:40" x14ac:dyDescent="0.25">
      <c r="A1880" t="str">
        <f>"20190303170534543"</f>
        <v>20190303170534543</v>
      </c>
      <c r="B1880" t="str">
        <f>"1551603934536822"</f>
        <v>1551603934536822</v>
      </c>
      <c r="C1880" t="s">
        <v>40</v>
      </c>
      <c r="D1880">
        <v>5.4815509999999996</v>
      </c>
      <c r="E1880">
        <v>0.46881250000000002</v>
      </c>
      <c r="F1880" t="s">
        <v>60</v>
      </c>
      <c r="G1880">
        <v>-361.7604</v>
      </c>
      <c r="H1880" s="1">
        <v>-6.00005E-7</v>
      </c>
      <c r="I1880">
        <v>283.89179999999999</v>
      </c>
      <c r="J1880">
        <v>-329.5675</v>
      </c>
      <c r="K1880">
        <v>1.12077</v>
      </c>
      <c r="L1880">
        <v>284.83460000000002</v>
      </c>
      <c r="M1880">
        <v>-0.99993469999999995</v>
      </c>
      <c r="N1880">
        <v>-8.4358769999999996E-3</v>
      </c>
      <c r="O1880">
        <v>7.7244890000000002E-3</v>
      </c>
      <c r="P1880">
        <v>-0.97371770000000002</v>
      </c>
      <c r="Q1880">
        <v>0.2184141</v>
      </c>
      <c r="R1880">
        <v>6.4569219999999997E-2</v>
      </c>
      <c r="S1880">
        <v>-3.1126100000000001</v>
      </c>
      <c r="T1880">
        <v>-0.107054</v>
      </c>
      <c r="U1880">
        <v>-8.9782710000000002E-2</v>
      </c>
      <c r="V1880">
        <v>5.6883160000000002E-2</v>
      </c>
      <c r="W1880">
        <v>0.22666559999999999</v>
      </c>
      <c r="X1880">
        <v>0.97231009999999995</v>
      </c>
      <c r="Y1880">
        <v>-3.6524059999999997E-2</v>
      </c>
      <c r="Z1880">
        <v>-9.8233999999999995E-4</v>
      </c>
      <c r="AA1880">
        <v>0.99933229999999995</v>
      </c>
      <c r="AB1880">
        <v>39</v>
      </c>
      <c r="AC1880">
        <v>-32.192900000000002</v>
      </c>
      <c r="AD1880">
        <v>-1.120770600005</v>
      </c>
      <c r="AE1880">
        <v>-0.94280000000003295</v>
      </c>
      <c r="AF1880">
        <v>-1.190013296112</v>
      </c>
      <c r="AG1880">
        <v>-1.120770600005</v>
      </c>
      <c r="AH1880">
        <v>32.145728382583997</v>
      </c>
      <c r="AI1880">
        <v>91.9954601938352</v>
      </c>
      <c r="AJ1880">
        <v>92.1200831921564</v>
      </c>
      <c r="AK1880">
        <v>32.187266296310803</v>
      </c>
      <c r="AL1880">
        <v>76.899158672241697</v>
      </c>
      <c r="AM1880">
        <v>86.651835331811</v>
      </c>
      <c r="AN1880">
        <v>0.99999995933847696</v>
      </c>
    </row>
    <row r="1881" spans="1:40" x14ac:dyDescent="0.25">
      <c r="A1881" t="str">
        <f>"20190303170534565"</f>
        <v>20190303170534565</v>
      </c>
      <c r="B1881" t="str">
        <f>"1551603934556471"</f>
        <v>1551603934556471</v>
      </c>
      <c r="C1881" t="s">
        <v>40</v>
      </c>
      <c r="D1881">
        <v>5.4989220000000003</v>
      </c>
      <c r="E1881">
        <v>0.46859099999999998</v>
      </c>
      <c r="F1881" t="s">
        <v>60</v>
      </c>
      <c r="G1881">
        <v>-362.9006</v>
      </c>
      <c r="H1881" s="1">
        <v>6.7771280000000003E-9</v>
      </c>
      <c r="I1881">
        <v>283.78829999999999</v>
      </c>
      <c r="J1881">
        <v>-329.9513</v>
      </c>
      <c r="K1881">
        <v>1.120787</v>
      </c>
      <c r="L1881">
        <v>284.8372</v>
      </c>
      <c r="M1881">
        <v>-0.9999382</v>
      </c>
      <c r="N1881">
        <v>-8.4014199999999997E-3</v>
      </c>
      <c r="O1881">
        <v>7.29708099999999E-3</v>
      </c>
      <c r="P1881">
        <v>-0.97399570000000002</v>
      </c>
      <c r="Q1881">
        <v>0.2177953</v>
      </c>
      <c r="R1881">
        <v>6.243398E-2</v>
      </c>
      <c r="S1881">
        <v>-3.1109309999999999</v>
      </c>
      <c r="T1881">
        <v>-0.1045997</v>
      </c>
      <c r="U1881">
        <v>-9.765625E-2</v>
      </c>
      <c r="V1881">
        <v>5.5146870000000001E-2</v>
      </c>
      <c r="W1881">
        <v>0.22601769999999999</v>
      </c>
      <c r="X1881">
        <v>0.97256089999999995</v>
      </c>
      <c r="Y1881">
        <v>-3.8639199999999999E-2</v>
      </c>
      <c r="Z1881">
        <v>-9.9560709999999995E-4</v>
      </c>
      <c r="AA1881">
        <v>0.99925269999999999</v>
      </c>
      <c r="AB1881">
        <v>39</v>
      </c>
      <c r="AC1881">
        <v>-32.949299999999901</v>
      </c>
      <c r="AD1881">
        <v>-1.12078699322287</v>
      </c>
      <c r="AE1881">
        <v>-1.0488999999999999</v>
      </c>
      <c r="AF1881">
        <v>-1.28782566476769</v>
      </c>
      <c r="AG1881">
        <v>-1.12078699322287</v>
      </c>
      <c r="AH1881">
        <v>32.902736801358103</v>
      </c>
      <c r="AI1881">
        <v>91.949456948662501</v>
      </c>
      <c r="AJ1881">
        <v>92.241434522132593</v>
      </c>
      <c r="AK1881">
        <v>32.946999065870301</v>
      </c>
      <c r="AL1881">
        <v>76.937269425176197</v>
      </c>
      <c r="AM1881">
        <v>86.754647360870806</v>
      </c>
      <c r="AN1881">
        <v>0.99999994109644597</v>
      </c>
    </row>
    <row r="1882" spans="1:40" x14ac:dyDescent="0.25">
      <c r="A1882" t="str">
        <f>"20190303170534576"</f>
        <v>20190303170534576</v>
      </c>
      <c r="B1882" t="str">
        <f>"1551603934566166"</f>
        <v>1551603934566166</v>
      </c>
      <c r="C1882" t="s">
        <v>40</v>
      </c>
      <c r="D1882">
        <v>5.5125250000000001</v>
      </c>
      <c r="E1882">
        <v>0.46850649999999999</v>
      </c>
      <c r="F1882" t="s">
        <v>60</v>
      </c>
      <c r="G1882">
        <v>-364.05779999999999</v>
      </c>
      <c r="H1882" s="1">
        <v>6.2258219999999999E-7</v>
      </c>
      <c r="I1882">
        <v>283.68779999999998</v>
      </c>
      <c r="J1882">
        <v>-330.16559999999998</v>
      </c>
      <c r="K1882">
        <v>1.120795</v>
      </c>
      <c r="L1882">
        <v>284.83859999999999</v>
      </c>
      <c r="M1882">
        <v>-0.99993989999999999</v>
      </c>
      <c r="N1882">
        <v>-8.3832109999999998E-3</v>
      </c>
      <c r="O1882">
        <v>7.0531169999999898E-3</v>
      </c>
      <c r="P1882">
        <v>-0.97420949999999995</v>
      </c>
      <c r="Q1882">
        <v>0.2172026</v>
      </c>
      <c r="R1882">
        <v>6.1144400000000002E-2</v>
      </c>
      <c r="S1882">
        <v>-3.1096499999999998</v>
      </c>
      <c r="T1882">
        <v>-0.10218729999999999</v>
      </c>
      <c r="U1882">
        <v>-0.1047974</v>
      </c>
      <c r="V1882">
        <v>5.4086500000000003E-2</v>
      </c>
      <c r="W1882">
        <v>0.2254101</v>
      </c>
      <c r="X1882">
        <v>0.97276149999999995</v>
      </c>
      <c r="Y1882">
        <v>-4.0700439999999997E-2</v>
      </c>
      <c r="Z1882">
        <v>-1.0116280000000001E-3</v>
      </c>
      <c r="AA1882">
        <v>0.99917089999999997</v>
      </c>
      <c r="AB1882">
        <v>39</v>
      </c>
      <c r="AC1882">
        <v>-33.892200000000003</v>
      </c>
      <c r="AD1882">
        <v>-1.1207943774178</v>
      </c>
      <c r="AE1882">
        <v>-1.1508</v>
      </c>
      <c r="AF1882">
        <v>-1.3883089614797</v>
      </c>
      <c r="AG1882">
        <v>-1.1207943774178</v>
      </c>
      <c r="AH1882">
        <v>33.846268776907202</v>
      </c>
      <c r="AI1882">
        <v>91.895022351628995</v>
      </c>
      <c r="AJ1882">
        <v>92.348846162245394</v>
      </c>
      <c r="AK1882">
        <v>33.893266173793599</v>
      </c>
      <c r="AL1882">
        <v>76.973005308225098</v>
      </c>
      <c r="AM1882">
        <v>86.817574837523097</v>
      </c>
      <c r="AN1882">
        <v>0.999999999273255</v>
      </c>
    </row>
    <row r="1883" spans="1:40" x14ac:dyDescent="0.25">
      <c r="A1883" t="str">
        <f>"20190303170534589"</f>
        <v>20190303170534589</v>
      </c>
      <c r="B1883" t="str">
        <f>"1551603934586663"</f>
        <v>1551603934586663</v>
      </c>
      <c r="C1883" t="s">
        <v>40</v>
      </c>
      <c r="D1883">
        <v>5.5151560000000002</v>
      </c>
      <c r="E1883">
        <v>0.4684953</v>
      </c>
      <c r="F1883" t="s">
        <v>60</v>
      </c>
      <c r="G1883">
        <v>-364.15769999999998</v>
      </c>
      <c r="H1883" s="1">
        <v>6.7571339999999995E-7</v>
      </c>
      <c r="I1883">
        <v>283.64909999999998</v>
      </c>
      <c r="J1883">
        <v>-330.37599999999998</v>
      </c>
      <c r="K1883">
        <v>1.1208049999999901</v>
      </c>
      <c r="L1883">
        <v>284.83980000000003</v>
      </c>
      <c r="M1883">
        <v>-0.99994179999999999</v>
      </c>
      <c r="N1883">
        <v>-8.3662319999999995E-3</v>
      </c>
      <c r="O1883">
        <v>6.8122590000000002E-3</v>
      </c>
      <c r="P1883">
        <v>-0.97429580000000005</v>
      </c>
      <c r="Q1883">
        <v>0.2171729</v>
      </c>
      <c r="R1883">
        <v>5.9865069999999999E-2</v>
      </c>
      <c r="S1883">
        <v>-3.1091000000000002</v>
      </c>
      <c r="T1883">
        <v>-0.10251399999999999</v>
      </c>
      <c r="U1883">
        <v>-0.10879519999999999</v>
      </c>
      <c r="V1883">
        <v>5.3034779999999997E-2</v>
      </c>
      <c r="W1883">
        <v>0.2253646</v>
      </c>
      <c r="X1883">
        <v>0.97282990000000003</v>
      </c>
      <c r="Y1883">
        <v>-4.174812E-2</v>
      </c>
      <c r="Z1883">
        <v>-1.030148E-3</v>
      </c>
      <c r="AA1883">
        <v>0.9991276</v>
      </c>
      <c r="AB1883">
        <v>39</v>
      </c>
      <c r="AC1883">
        <v>-33.781700000000001</v>
      </c>
      <c r="AD1883">
        <v>-1.1208043242865999</v>
      </c>
      <c r="AE1883">
        <v>-1.1907000000000401</v>
      </c>
      <c r="AF1883">
        <v>-1.4192497839029401</v>
      </c>
      <c r="AG1883">
        <v>-1.1208043242865999</v>
      </c>
      <c r="AH1883">
        <v>33.735715257297002</v>
      </c>
      <c r="AI1883">
        <v>91.9011618865907</v>
      </c>
      <c r="AJ1883">
        <v>92.408992956661706</v>
      </c>
      <c r="AK1883">
        <v>33.784152441697699</v>
      </c>
      <c r="AL1883">
        <v>76.975680497931407</v>
      </c>
      <c r="AM1883">
        <v>86.879553026339195</v>
      </c>
      <c r="AN1883">
        <v>0.99999995257840801</v>
      </c>
    </row>
    <row r="1884" spans="1:40" x14ac:dyDescent="0.25">
      <c r="A1884" t="str">
        <f>"20190303170534601"</f>
        <v>20190303170534601</v>
      </c>
      <c r="B1884" t="str">
        <f>"1551603934596422"</f>
        <v>1551603934596422</v>
      </c>
      <c r="C1884" t="s">
        <v>40</v>
      </c>
      <c r="D1884">
        <v>5.525137</v>
      </c>
      <c r="E1884">
        <v>0.46846640000000001</v>
      </c>
      <c r="F1884" t="s">
        <v>60</v>
      </c>
      <c r="G1884">
        <v>-365.3956</v>
      </c>
      <c r="H1884" s="1">
        <v>1.334495E-6</v>
      </c>
      <c r="I1884">
        <v>283.57760000000002</v>
      </c>
      <c r="J1884">
        <v>-330.59829999999999</v>
      </c>
      <c r="K1884">
        <v>1.1208070000000001</v>
      </c>
      <c r="L1884">
        <v>284.84120000000001</v>
      </c>
      <c r="M1884">
        <v>-0.99994369999999999</v>
      </c>
      <c r="N1884">
        <v>-8.3491959999999997E-3</v>
      </c>
      <c r="O1884">
        <v>6.5570380000000003E-3</v>
      </c>
      <c r="P1884">
        <v>-0.97442689999999998</v>
      </c>
      <c r="Q1884">
        <v>0.21690970000000001</v>
      </c>
      <c r="R1884">
        <v>5.8673049999999997E-2</v>
      </c>
      <c r="S1884">
        <v>-3.1081850000000002</v>
      </c>
      <c r="T1884">
        <v>-9.9477410000000002E-2</v>
      </c>
      <c r="U1884">
        <v>-0.11203</v>
      </c>
      <c r="V1884">
        <v>5.2084289999999998E-2</v>
      </c>
      <c r="W1884">
        <v>0.22508719999999999</v>
      </c>
      <c r="X1884">
        <v>0.97294550000000002</v>
      </c>
      <c r="Y1884">
        <v>-4.2543129999999998E-2</v>
      </c>
      <c r="Z1884">
        <v>-1.013143E-3</v>
      </c>
      <c r="AA1884">
        <v>0.99909409999999998</v>
      </c>
      <c r="AB1884">
        <v>39</v>
      </c>
      <c r="AC1884">
        <v>-34.7973</v>
      </c>
      <c r="AD1884">
        <v>-1.1208056655049901</v>
      </c>
      <c r="AE1884">
        <v>-1.2635999999999901</v>
      </c>
      <c r="AF1884">
        <v>-1.4902040084044299</v>
      </c>
      <c r="AG1884">
        <v>-1.1208056655049901</v>
      </c>
      <c r="AH1884">
        <v>34.752259679332703</v>
      </c>
      <c r="AI1884">
        <v>91.845528487039502</v>
      </c>
      <c r="AJ1884">
        <v>92.455383509588799</v>
      </c>
      <c r="AK1884">
        <v>34.802248004206</v>
      </c>
      <c r="AL1884">
        <v>76.991993892810299</v>
      </c>
      <c r="AM1884">
        <v>86.935733571009393</v>
      </c>
      <c r="AN1884">
        <v>0.99999998341944596</v>
      </c>
    </row>
    <row r="1885" spans="1:40" x14ac:dyDescent="0.25">
      <c r="A1885" t="str">
        <f>"20190303170534613"</f>
        <v>20190303170534613</v>
      </c>
      <c r="B1885" t="str">
        <f>"1551603934606182"</f>
        <v>1551603934606182</v>
      </c>
      <c r="C1885" t="s">
        <v>40</v>
      </c>
      <c r="D1885">
        <v>5.5159609999999999</v>
      </c>
      <c r="E1885">
        <v>0.46853299999999998</v>
      </c>
      <c r="F1885" t="s">
        <v>60</v>
      </c>
      <c r="G1885">
        <v>-365.82089999999999</v>
      </c>
      <c r="H1885" s="1">
        <v>1.5607820000000001E-6</v>
      </c>
      <c r="I1885">
        <v>283.53309999999999</v>
      </c>
      <c r="J1885">
        <v>-330.8168</v>
      </c>
      <c r="K1885">
        <v>1.120814</v>
      </c>
      <c r="L1885">
        <v>284.8424</v>
      </c>
      <c r="M1885">
        <v>-0.99994539999999998</v>
      </c>
      <c r="N1885">
        <v>-8.3342569999999994E-3</v>
      </c>
      <c r="O1885">
        <v>6.3060520000000004E-3</v>
      </c>
      <c r="P1885">
        <v>-0.97453529999999999</v>
      </c>
      <c r="Q1885">
        <v>0.21666949999999999</v>
      </c>
      <c r="R1885">
        <v>5.7752669999999999E-2</v>
      </c>
      <c r="S1885">
        <v>-3.1076969999999999</v>
      </c>
      <c r="T1885">
        <v>-9.8888870000000004E-2</v>
      </c>
      <c r="U1885">
        <v>-0.11541750000000001</v>
      </c>
      <c r="V1885">
        <v>5.140202E-2</v>
      </c>
      <c r="W1885">
        <v>0.2248339</v>
      </c>
      <c r="X1885">
        <v>0.97304029999999997</v>
      </c>
      <c r="Y1885">
        <v>-4.3385420000000001E-2</v>
      </c>
      <c r="Z1885">
        <v>-1.0187989999999999E-3</v>
      </c>
      <c r="AA1885">
        <v>0.99905790000000005</v>
      </c>
      <c r="AB1885">
        <v>39</v>
      </c>
      <c r="AC1885">
        <v>-35.004099999999902</v>
      </c>
      <c r="AD1885">
        <v>-1.1208124392179999</v>
      </c>
      <c r="AE1885">
        <v>-1.3092999999999999</v>
      </c>
      <c r="AF1885">
        <v>-1.5284544507739</v>
      </c>
      <c r="AG1885">
        <v>-1.1208124392179999</v>
      </c>
      <c r="AH1885">
        <v>34.959355291402403</v>
      </c>
      <c r="AI1885">
        <v>91.834547772510703</v>
      </c>
      <c r="AJ1885">
        <v>92.503428700669005</v>
      </c>
      <c r="AK1885">
        <v>35.010697164188301</v>
      </c>
      <c r="AL1885">
        <v>77.006888097022198</v>
      </c>
      <c r="AM1885">
        <v>86.976092536232898</v>
      </c>
      <c r="AN1885">
        <v>0.99999993783668795</v>
      </c>
    </row>
    <row r="1886" spans="1:40" x14ac:dyDescent="0.25">
      <c r="A1886" t="str">
        <f>"20190303170534626"</f>
        <v>20190303170534626</v>
      </c>
      <c r="B1886" t="str">
        <f>"1551603934616919"</f>
        <v>1551603934616919</v>
      </c>
      <c r="C1886" t="s">
        <v>40</v>
      </c>
      <c r="D1886">
        <v>5.5127980000000001</v>
      </c>
      <c r="E1886">
        <v>0.46853889999999998</v>
      </c>
      <c r="F1886" t="s">
        <v>60</v>
      </c>
      <c r="G1886">
        <v>-366.20780000000002</v>
      </c>
      <c r="H1886" s="1">
        <v>1.766679E-6</v>
      </c>
      <c r="I1886">
        <v>283.51010000000002</v>
      </c>
      <c r="J1886">
        <v>-331.0256</v>
      </c>
      <c r="K1886">
        <v>1.120819</v>
      </c>
      <c r="L1886">
        <v>284.84359999999998</v>
      </c>
      <c r="M1886">
        <v>-0.99994709999999998</v>
      </c>
      <c r="N1886">
        <v>-8.3206579999999999E-3</v>
      </c>
      <c r="O1886">
        <v>6.0663929999999998E-3</v>
      </c>
      <c r="P1886">
        <v>-0.97465599999999997</v>
      </c>
      <c r="Q1886">
        <v>0.21652640000000001</v>
      </c>
      <c r="R1886">
        <v>5.623305E-2</v>
      </c>
      <c r="S1886">
        <v>-3.1071780000000002</v>
      </c>
      <c r="T1886">
        <v>-9.8402500000000004E-2</v>
      </c>
      <c r="U1886">
        <v>-0.11697390000000001</v>
      </c>
      <c r="V1886">
        <v>5.0109849999999997E-2</v>
      </c>
      <c r="W1886">
        <v>0.2246783</v>
      </c>
      <c r="X1886">
        <v>0.97314369999999994</v>
      </c>
      <c r="Y1886">
        <v>-4.3652049999999998E-2</v>
      </c>
      <c r="Z1886">
        <v>-1.01409E-3</v>
      </c>
      <c r="AA1886">
        <v>0.99904630000000005</v>
      </c>
      <c r="AB1886">
        <v>39</v>
      </c>
      <c r="AC1886">
        <v>-35.182200000000002</v>
      </c>
      <c r="AD1886">
        <v>-1.120817233321</v>
      </c>
      <c r="AE1886">
        <v>-1.3334999999999499</v>
      </c>
      <c r="AF1886">
        <v>-1.5453457532058199</v>
      </c>
      <c r="AG1886">
        <v>-1.120817233321</v>
      </c>
      <c r="AH1886">
        <v>35.137852485050701</v>
      </c>
      <c r="AI1886">
        <v>91.825221908032404</v>
      </c>
      <c r="AJ1886">
        <v>92.518217923618593</v>
      </c>
      <c r="AK1886">
        <v>35.189671809049898</v>
      </c>
      <c r="AL1886">
        <v>77.016038202983907</v>
      </c>
      <c r="AM1886">
        <v>87.052285922426805</v>
      </c>
      <c r="AN1886">
        <v>0.99999999820380103</v>
      </c>
    </row>
    <row r="1887" spans="1:40" x14ac:dyDescent="0.25">
      <c r="A1887" t="str">
        <f>"20190303170534639"</f>
        <v>20190303170534639</v>
      </c>
      <c r="B1887" t="str">
        <f>"1551603934626679"</f>
        <v>1551603934626679</v>
      </c>
      <c r="C1887" t="s">
        <v>40</v>
      </c>
      <c r="D1887">
        <v>5.5261189999999996</v>
      </c>
      <c r="E1887">
        <v>0.46855000000000002</v>
      </c>
      <c r="F1887" t="s">
        <v>60</v>
      </c>
      <c r="G1887">
        <v>-366.8014</v>
      </c>
      <c r="H1887" s="1">
        <v>2.0825910000000001E-6</v>
      </c>
      <c r="I1887">
        <v>283.45119999999997</v>
      </c>
      <c r="J1887">
        <v>-331.26049999999998</v>
      </c>
      <c r="K1887">
        <v>1.1208320000000001</v>
      </c>
      <c r="L1887">
        <v>284.84480000000002</v>
      </c>
      <c r="M1887">
        <v>-0.99994870000000002</v>
      </c>
      <c r="N1887">
        <v>-8.3069949999999993E-3</v>
      </c>
      <c r="O1887">
        <v>5.7980559999999898E-3</v>
      </c>
      <c r="P1887">
        <v>-0.97497809999999996</v>
      </c>
      <c r="Q1887">
        <v>0.21571389999999999</v>
      </c>
      <c r="R1887">
        <v>5.3713200000000003E-2</v>
      </c>
      <c r="S1887">
        <v>-3.106598</v>
      </c>
      <c r="T1887">
        <v>-9.7326159999999995E-2</v>
      </c>
      <c r="U1887">
        <v>-0.12091059999999999</v>
      </c>
      <c r="V1887">
        <v>4.784451E-2</v>
      </c>
      <c r="W1887">
        <v>0.22385389999999999</v>
      </c>
      <c r="X1887">
        <v>0.97344759999999997</v>
      </c>
      <c r="Y1887">
        <v>-4.4655149999999998E-2</v>
      </c>
      <c r="Z1887">
        <v>-1.018068E-3</v>
      </c>
      <c r="AA1887">
        <v>0.9990019</v>
      </c>
      <c r="AB1887">
        <v>40</v>
      </c>
      <c r="AC1887">
        <v>-35.540900000000001</v>
      </c>
      <c r="AD1887">
        <v>-1.120829917409</v>
      </c>
      <c r="AE1887">
        <v>-1.3936000000000399</v>
      </c>
      <c r="AF1887">
        <v>-1.5980649088795</v>
      </c>
      <c r="AG1887">
        <v>-1.120829917409</v>
      </c>
      <c r="AH1887">
        <v>35.496973116181699</v>
      </c>
      <c r="AI1887">
        <v>91.806705574435</v>
      </c>
      <c r="AJ1887">
        <v>92.577701220140995</v>
      </c>
      <c r="AK1887">
        <v>35.550600157629901</v>
      </c>
      <c r="AL1887">
        <v>77.064506793694207</v>
      </c>
      <c r="AM1887">
        <v>87.186202592883006</v>
      </c>
      <c r="AN1887">
        <v>0.99999994781405299</v>
      </c>
    </row>
    <row r="1888" spans="1:40" x14ac:dyDescent="0.25">
      <c r="A1888" t="str">
        <f>"20190303170534665"</f>
        <v>20190303170534665</v>
      </c>
      <c r="B1888" t="str">
        <f>"1551603934656951"</f>
        <v>1551603934656951</v>
      </c>
      <c r="C1888" t="s">
        <v>40</v>
      </c>
      <c r="D1888">
        <v>5.5098799999999999</v>
      </c>
      <c r="E1888">
        <v>0.4684663</v>
      </c>
      <c r="F1888" t="s">
        <v>60</v>
      </c>
      <c r="G1888">
        <v>-366.55810000000002</v>
      </c>
      <c r="H1888" s="1">
        <v>1.953125E-6</v>
      </c>
      <c r="I1888">
        <v>283.40440000000001</v>
      </c>
      <c r="J1888">
        <v>-331.71859999999998</v>
      </c>
      <c r="K1888">
        <v>1.1208549999999999</v>
      </c>
      <c r="L1888">
        <v>284.84699999999998</v>
      </c>
      <c r="M1888">
        <v>-0.99995179999999995</v>
      </c>
      <c r="N1888">
        <v>-8.283917E-3</v>
      </c>
      <c r="O1888">
        <v>5.2761179999999998E-3</v>
      </c>
      <c r="P1888">
        <v>-0.97510249999999998</v>
      </c>
      <c r="Q1888">
        <v>0.21618370000000001</v>
      </c>
      <c r="R1888">
        <v>4.9397360000000001E-2</v>
      </c>
      <c r="S1888">
        <v>-3.1057739999999998</v>
      </c>
      <c r="T1888">
        <v>-9.8619819999999997E-2</v>
      </c>
      <c r="U1888">
        <v>-0.1267395</v>
      </c>
      <c r="V1888">
        <v>4.4026349999999999E-2</v>
      </c>
      <c r="W1888">
        <v>0.2243001</v>
      </c>
      <c r="X1888">
        <v>0.97352510000000003</v>
      </c>
      <c r="Y1888">
        <v>-4.601446E-2</v>
      </c>
      <c r="Z1888">
        <v>-1.0445579999999999E-3</v>
      </c>
      <c r="AA1888">
        <v>0.99894019999999994</v>
      </c>
      <c r="AB1888">
        <v>40</v>
      </c>
      <c r="AC1888">
        <v>-34.839500000000001</v>
      </c>
      <c r="AD1888">
        <v>-1.120853046875</v>
      </c>
      <c r="AE1888">
        <v>-1.4425999999999699</v>
      </c>
      <c r="AF1888">
        <v>-1.6247247711681101</v>
      </c>
      <c r="AG1888">
        <v>-1.120853046875</v>
      </c>
      <c r="AH1888">
        <v>34.795450712028703</v>
      </c>
      <c r="AI1888">
        <v>91.843003211499394</v>
      </c>
      <c r="AJ1888">
        <v>92.673404262668299</v>
      </c>
      <c r="AK1888">
        <v>34.851390680831599</v>
      </c>
      <c r="AL1888">
        <v>77.038274883619394</v>
      </c>
      <c r="AM1888">
        <v>87.410640486311195</v>
      </c>
      <c r="AN1888">
        <v>0.99999998734217099</v>
      </c>
    </row>
    <row r="1889" spans="1:40" x14ac:dyDescent="0.25">
      <c r="A1889" t="str">
        <f>"20190303170534688"</f>
        <v>20190303170534688</v>
      </c>
      <c r="B1889" t="str">
        <f>"1551603934676458"</f>
        <v>1551603934676458</v>
      </c>
      <c r="C1889" t="s">
        <v>40</v>
      </c>
      <c r="D1889">
        <v>5.4016129999999896</v>
      </c>
      <c r="E1889">
        <v>0.46836420000000001</v>
      </c>
      <c r="F1889" t="s">
        <v>60</v>
      </c>
      <c r="G1889">
        <v>-368.3501</v>
      </c>
      <c r="H1889" s="1">
        <v>2.9067309999999999E-6</v>
      </c>
      <c r="I1889">
        <v>283.21409999999997</v>
      </c>
      <c r="J1889">
        <v>-332.11759999999998</v>
      </c>
      <c r="K1889">
        <v>1.1208670000000001</v>
      </c>
      <c r="L1889">
        <v>284.84879999999998</v>
      </c>
      <c r="M1889">
        <v>-0.99995420000000002</v>
      </c>
      <c r="N1889">
        <v>-8.2681290000000008E-3</v>
      </c>
      <c r="O1889">
        <v>4.8229869999999999E-3</v>
      </c>
      <c r="P1889">
        <v>-0.97508629999999996</v>
      </c>
      <c r="Q1889">
        <v>0.216969</v>
      </c>
      <c r="R1889">
        <v>4.616696E-2</v>
      </c>
      <c r="S1889">
        <v>-3.1046749999999999</v>
      </c>
      <c r="T1889">
        <v>-9.4996810000000001E-2</v>
      </c>
      <c r="U1889">
        <v>-0.1383972</v>
      </c>
      <c r="V1889">
        <v>4.1229679999999998E-2</v>
      </c>
      <c r="W1889">
        <v>0.22506860000000001</v>
      </c>
      <c r="X1889">
        <v>0.97347019999999995</v>
      </c>
      <c r="Y1889">
        <v>-4.932019E-2</v>
      </c>
      <c r="Z1889">
        <v>-1.065676E-3</v>
      </c>
      <c r="AA1889">
        <v>0.99878250000000002</v>
      </c>
      <c r="AB1889">
        <v>40</v>
      </c>
      <c r="AC1889">
        <v>-36.232500000000002</v>
      </c>
      <c r="AD1889">
        <v>-1.1208640932689999</v>
      </c>
      <c r="AE1889">
        <v>-1.6347</v>
      </c>
      <c r="AF1889">
        <v>-1.80770938055582</v>
      </c>
      <c r="AG1889">
        <v>-1.1208640932689999</v>
      </c>
      <c r="AH1889">
        <v>36.189631243198299</v>
      </c>
      <c r="AI1889">
        <v>91.771788328306002</v>
      </c>
      <c r="AJ1889">
        <v>92.859606480808793</v>
      </c>
      <c r="AK1889">
        <v>36.252083513072797</v>
      </c>
      <c r="AL1889">
        <v>76.993087822779501</v>
      </c>
      <c r="AM1889">
        <v>87.574783818621398</v>
      </c>
      <c r="AN1889">
        <v>0.999999995753451</v>
      </c>
    </row>
    <row r="1890" spans="1:40" x14ac:dyDescent="0.25">
      <c r="A1890" t="str">
        <f>"20190303170534711"</f>
        <v>20190303170534711</v>
      </c>
      <c r="B1890" t="str">
        <f>"1551603934696953"</f>
        <v>1551603934696953</v>
      </c>
      <c r="C1890" t="s">
        <v>40</v>
      </c>
      <c r="D1890">
        <v>5.544181</v>
      </c>
      <c r="E1890">
        <v>0.46831909999999999</v>
      </c>
      <c r="F1890" t="s">
        <v>60</v>
      </c>
      <c r="G1890">
        <v>-370.4579</v>
      </c>
      <c r="H1890" s="1">
        <v>-1.293117E-6</v>
      </c>
      <c r="I1890">
        <v>283.01859999999999</v>
      </c>
      <c r="J1890">
        <v>-332.53339999999997</v>
      </c>
      <c r="K1890">
        <v>1.1208800000000001</v>
      </c>
      <c r="L1890">
        <v>284.8503</v>
      </c>
      <c r="M1890">
        <v>-0.99995650000000003</v>
      </c>
      <c r="N1890">
        <v>-8.2578999999999899E-3</v>
      </c>
      <c r="O1890">
        <v>4.3513190000000002E-3</v>
      </c>
      <c r="P1890">
        <v>-0.97507999999999995</v>
      </c>
      <c r="Q1890">
        <v>0.2175117</v>
      </c>
      <c r="R1890">
        <v>4.3682239999999997E-2</v>
      </c>
      <c r="S1890">
        <v>-3.103882</v>
      </c>
      <c r="T1890">
        <v>-9.0741279999999994E-2</v>
      </c>
      <c r="U1890">
        <v>-0.14816279999999901</v>
      </c>
      <c r="V1890">
        <v>3.91981E-2</v>
      </c>
      <c r="W1890">
        <v>0.22559960000000001</v>
      </c>
      <c r="X1890">
        <v>0.97343120000000005</v>
      </c>
      <c r="Y1890">
        <v>-5.1997069999999999E-2</v>
      </c>
      <c r="Z1890">
        <v>-1.0655510000000001E-3</v>
      </c>
      <c r="AA1890">
        <v>0.9986467</v>
      </c>
      <c r="AB1890">
        <v>40</v>
      </c>
      <c r="AC1890">
        <v>-37.924500000000002</v>
      </c>
      <c r="AD1890">
        <v>-1.12088129311699</v>
      </c>
      <c r="AE1890">
        <v>-1.8317000000000101</v>
      </c>
      <c r="AF1890">
        <v>-1.994971253531</v>
      </c>
      <c r="AG1890">
        <v>-1.12088129311699</v>
      </c>
      <c r="AH1890">
        <v>37.883155175775798</v>
      </c>
      <c r="AI1890">
        <v>91.692421043698403</v>
      </c>
      <c r="AJ1890">
        <v>93.014478228290102</v>
      </c>
      <c r="AK1890">
        <v>37.952203246288398</v>
      </c>
      <c r="AL1890">
        <v>76.961860517432001</v>
      </c>
      <c r="AM1890">
        <v>87.694061001721295</v>
      </c>
      <c r="AN1890">
        <v>0.99999998584860395</v>
      </c>
    </row>
    <row r="1891" spans="1:40" x14ac:dyDescent="0.25">
      <c r="A1891" t="str">
        <f>"20190303170534734"</f>
        <v>20190303170534734</v>
      </c>
      <c r="B1891" t="str">
        <f>"1551603934726344"</f>
        <v>1551603934726344</v>
      </c>
      <c r="C1891" t="s">
        <v>40</v>
      </c>
      <c r="D1891">
        <v>5.5527790000000001</v>
      </c>
      <c r="E1891">
        <v>0.46851860000000001</v>
      </c>
      <c r="F1891" t="s">
        <v>60</v>
      </c>
      <c r="G1891">
        <v>-371.96910000000003</v>
      </c>
      <c r="H1891" s="1">
        <v>-4.8896419999999899E-7</v>
      </c>
      <c r="I1891">
        <v>282.89150000000001</v>
      </c>
      <c r="J1891">
        <v>-332.94029999999998</v>
      </c>
      <c r="K1891">
        <v>1.1208899999999999</v>
      </c>
      <c r="L1891">
        <v>284.85169999999999</v>
      </c>
      <c r="M1891">
        <v>-0.99995849999999997</v>
      </c>
      <c r="N1891">
        <v>-8.2607419999999997E-3</v>
      </c>
      <c r="O1891">
        <v>3.8887409999999998E-3</v>
      </c>
      <c r="P1891">
        <v>-0.97521599999999997</v>
      </c>
      <c r="Q1891">
        <v>0.2174121</v>
      </c>
      <c r="R1891">
        <v>4.1060939999999997E-2</v>
      </c>
      <c r="S1891">
        <v>-3.1032410000000001</v>
      </c>
      <c r="T1891">
        <v>-8.8203429999999999E-2</v>
      </c>
      <c r="U1891">
        <v>-0.15414430000000001</v>
      </c>
      <c r="V1891">
        <v>3.7022720000000002E-2</v>
      </c>
      <c r="W1891">
        <v>0.22550200000000001</v>
      </c>
      <c r="X1891">
        <v>0.97353900000000004</v>
      </c>
      <c r="Y1891">
        <v>-5.3465980000000003E-2</v>
      </c>
      <c r="Z1891">
        <v>-1.0585849999999999E-3</v>
      </c>
      <c r="AA1891">
        <v>0.99856909999999999</v>
      </c>
      <c r="AB1891">
        <v>40</v>
      </c>
      <c r="AC1891">
        <v>-39.028799999999997</v>
      </c>
      <c r="AD1891">
        <v>-1.1208904889642</v>
      </c>
      <c r="AE1891">
        <v>-1.96019999999998</v>
      </c>
      <c r="AF1891">
        <v>-2.1102270582928102</v>
      </c>
      <c r="AG1891">
        <v>-1.1208904889642</v>
      </c>
      <c r="AH1891">
        <v>38.988804315118799</v>
      </c>
      <c r="AI1891">
        <v>91.6443393947674</v>
      </c>
      <c r="AJ1891">
        <v>93.098049599951494</v>
      </c>
      <c r="AK1891">
        <v>39.061954836495701</v>
      </c>
      <c r="AL1891">
        <v>76.967600805945096</v>
      </c>
      <c r="AM1891">
        <v>87.8221479540275</v>
      </c>
      <c r="AN1891">
        <v>1.0000000091605901</v>
      </c>
    </row>
    <row r="1892" spans="1:40" x14ac:dyDescent="0.25">
      <c r="A1892" t="str">
        <f>"20190303170534754"</f>
        <v>20190303170534754</v>
      </c>
      <c r="B1892" t="str">
        <f>"1551603934746840"</f>
        <v>1551603934746840</v>
      </c>
      <c r="C1892" t="s">
        <v>40</v>
      </c>
      <c r="D1892">
        <v>5.5315300000000001</v>
      </c>
      <c r="E1892">
        <v>0.46856530000000002</v>
      </c>
      <c r="F1892" t="s">
        <v>60</v>
      </c>
      <c r="G1892">
        <v>-373.19470000000001</v>
      </c>
      <c r="H1892" s="1">
        <v>1.6329219999999999E-7</v>
      </c>
      <c r="I1892">
        <v>282.79129999999998</v>
      </c>
      <c r="J1892">
        <v>-333.3177</v>
      </c>
      <c r="K1892">
        <v>1.1208910000000001</v>
      </c>
      <c r="L1892">
        <v>284.8528</v>
      </c>
      <c r="M1892">
        <v>-0.99995979999999995</v>
      </c>
      <c r="N1892">
        <v>-8.2762919999999993E-3</v>
      </c>
      <c r="O1892">
        <v>3.4593269999999999E-3</v>
      </c>
      <c r="P1892">
        <v>-0.97548009999999996</v>
      </c>
      <c r="Q1892">
        <v>0.21673990000000001</v>
      </c>
      <c r="R1892">
        <v>3.8246549999999997E-2</v>
      </c>
      <c r="S1892">
        <v>-3.1022029999999998</v>
      </c>
      <c r="T1892">
        <v>-8.6381200000000005E-2</v>
      </c>
      <c r="U1892">
        <v>-0.15878299999999901</v>
      </c>
      <c r="V1892">
        <v>3.4623319999999999E-2</v>
      </c>
      <c r="W1892">
        <v>0.22484509999999999</v>
      </c>
      <c r="X1892">
        <v>0.97377919999999996</v>
      </c>
      <c r="Y1892">
        <v>-5.4543599999999998E-2</v>
      </c>
      <c r="Z1892">
        <v>-1.0522979999999999E-3</v>
      </c>
      <c r="AA1892">
        <v>0.99851080000000003</v>
      </c>
      <c r="AB1892">
        <v>40</v>
      </c>
      <c r="AC1892">
        <v>-39.877000000000002</v>
      </c>
      <c r="AD1892">
        <v>-1.1208908367078001</v>
      </c>
      <c r="AE1892">
        <v>-2.0615000000000201</v>
      </c>
      <c r="AF1892">
        <v>-2.19770818769612</v>
      </c>
      <c r="AG1892">
        <v>-1.1208908367078001</v>
      </c>
      <c r="AH1892">
        <v>39.838237466213599</v>
      </c>
      <c r="AI1892">
        <v>91.609206534886198</v>
      </c>
      <c r="AJ1892">
        <v>93.157566928279905</v>
      </c>
      <c r="AK1892">
        <v>39.914552258048801</v>
      </c>
      <c r="AL1892">
        <v>77.006230500083007</v>
      </c>
      <c r="AM1892">
        <v>87.963671045462107</v>
      </c>
      <c r="AN1892">
        <v>1.0000000118172301</v>
      </c>
    </row>
    <row r="1893" spans="1:40" x14ac:dyDescent="0.25">
      <c r="A1893" t="str">
        <f>"20190303170534788"</f>
        <v>20190303170534788</v>
      </c>
      <c r="B1893" t="str">
        <f>"1551603934776120"</f>
        <v>1551603934776120</v>
      </c>
      <c r="C1893" t="s">
        <v>40</v>
      </c>
      <c r="D1893">
        <v>5.5683949999999998</v>
      </c>
      <c r="E1893">
        <v>0.46871980000000002</v>
      </c>
      <c r="F1893" t="s">
        <v>60</v>
      </c>
      <c r="G1893">
        <v>-372.64240000000001</v>
      </c>
      <c r="H1893" s="1">
        <v>-1.3062340000000001E-7</v>
      </c>
      <c r="I1893">
        <v>282.7645</v>
      </c>
      <c r="J1893">
        <v>-333.92270000000002</v>
      </c>
      <c r="K1893">
        <v>1.120903</v>
      </c>
      <c r="L1893">
        <v>284.85419999999999</v>
      </c>
      <c r="M1893">
        <v>-0.99996149999999995</v>
      </c>
      <c r="N1893">
        <v>-8.3290299999999994E-3</v>
      </c>
      <c r="O1893">
        <v>2.7700260000000001E-3</v>
      </c>
      <c r="P1893">
        <v>-0.97575259999999997</v>
      </c>
      <c r="Q1893">
        <v>0.21625440000000001</v>
      </c>
      <c r="R1893">
        <v>3.3777960000000003E-2</v>
      </c>
      <c r="S1893">
        <v>-3.1014710000000001</v>
      </c>
      <c r="T1893">
        <v>-8.8402750000000002E-2</v>
      </c>
      <c r="U1893">
        <v>-0.1647034</v>
      </c>
      <c r="V1893">
        <v>3.082244E-2</v>
      </c>
      <c r="W1893">
        <v>0.22440969999999999</v>
      </c>
      <c r="X1893">
        <v>0.97400730000000002</v>
      </c>
      <c r="Y1893">
        <v>-5.5766459999999997E-2</v>
      </c>
      <c r="Z1893">
        <v>-1.0823510000000001E-3</v>
      </c>
      <c r="AA1893">
        <v>0.99844319999999998</v>
      </c>
      <c r="AB1893">
        <v>40</v>
      </c>
      <c r="AC1893">
        <v>-38.719699999999897</v>
      </c>
      <c r="AD1893">
        <v>-1.1209031306233901</v>
      </c>
      <c r="AE1893">
        <v>-2.0896999999999899</v>
      </c>
      <c r="AF1893">
        <v>-2.1951159921527301</v>
      </c>
      <c r="AG1893">
        <v>-1.1209031306233901</v>
      </c>
      <c r="AH1893">
        <v>38.681439715697302</v>
      </c>
      <c r="AI1893">
        <v>91.657176555277104</v>
      </c>
      <c r="AJ1893">
        <v>93.247969369323101</v>
      </c>
      <c r="AK1893">
        <v>38.759885661936302</v>
      </c>
      <c r="AL1893">
        <v>77.031830876765397</v>
      </c>
      <c r="AM1893">
        <v>88.187481153254595</v>
      </c>
      <c r="AN1893">
        <v>0.99999997835746601</v>
      </c>
    </row>
    <row r="1894" spans="1:40" x14ac:dyDescent="0.25">
      <c r="A1894" t="str">
        <f>"20190303170534812"</f>
        <v>20190303170534812</v>
      </c>
      <c r="B1894" t="str">
        <f>"1551603934796616"</f>
        <v>1551603934796616</v>
      </c>
      <c r="C1894" t="s">
        <v>40</v>
      </c>
      <c r="D1894">
        <v>5.5689469999999996</v>
      </c>
      <c r="E1894">
        <v>0.46909469999999998</v>
      </c>
      <c r="F1894" t="s">
        <v>60</v>
      </c>
      <c r="G1894">
        <v>-372.79</v>
      </c>
      <c r="H1894" s="1">
        <v>-5.2095910000000003E-8</v>
      </c>
      <c r="I1894">
        <v>282.65789999999998</v>
      </c>
      <c r="J1894">
        <v>-334.33260000000001</v>
      </c>
      <c r="K1894">
        <v>1.1209100000000001</v>
      </c>
      <c r="L1894">
        <v>284.85500000000002</v>
      </c>
      <c r="M1894">
        <v>-0.99996229999999997</v>
      </c>
      <c r="N1894">
        <v>-8.3821590000000001E-3</v>
      </c>
      <c r="O1894">
        <v>2.302845E-3</v>
      </c>
      <c r="P1894">
        <v>-0.97585789999999994</v>
      </c>
      <c r="Q1894">
        <v>0.2160686</v>
      </c>
      <c r="R1894">
        <v>3.1876090000000003E-2</v>
      </c>
      <c r="S1894">
        <v>-3.1004330000000002</v>
      </c>
      <c r="T1894">
        <v>-8.9414240000000006E-2</v>
      </c>
      <c r="U1894">
        <v>-0.17520139999999901</v>
      </c>
      <c r="V1894">
        <v>2.9374009999999999E-2</v>
      </c>
      <c r="W1894">
        <v>0.2242749</v>
      </c>
      <c r="X1894">
        <v>0.97408309999999998</v>
      </c>
      <c r="Y1894">
        <v>-5.8685899999999999E-2</v>
      </c>
      <c r="Z1894">
        <v>-1.1386650000000001E-3</v>
      </c>
      <c r="AA1894">
        <v>0.99827589999999999</v>
      </c>
      <c r="AB1894">
        <v>40</v>
      </c>
      <c r="AC1894">
        <v>-38.4574</v>
      </c>
      <c r="AD1894">
        <v>-1.1209100520958999</v>
      </c>
      <c r="AE1894">
        <v>-2.19710000000003</v>
      </c>
      <c r="AF1894">
        <v>-2.2837249148781198</v>
      </c>
      <c r="AG1894">
        <v>-1.1209100520958999</v>
      </c>
      <c r="AH1894">
        <v>38.419705531753102</v>
      </c>
      <c r="AI1894">
        <v>91.668210024770801</v>
      </c>
      <c r="AJ1894">
        <v>93.401744376812701</v>
      </c>
      <c r="AK1894">
        <v>38.503838925207702</v>
      </c>
      <c r="AL1894">
        <v>77.039756314247498</v>
      </c>
      <c r="AM1894">
        <v>88.2727377909045</v>
      </c>
      <c r="AN1894">
        <v>0.99999997446954902</v>
      </c>
    </row>
    <row r="1895" spans="1:40" x14ac:dyDescent="0.25">
      <c r="A1895" t="str">
        <f>"20190303170534833"</f>
        <v>20190303170534833</v>
      </c>
      <c r="B1895" t="str">
        <f>"1551603934826873"</f>
        <v>1551603934826873</v>
      </c>
      <c r="C1895" t="s">
        <v>40</v>
      </c>
      <c r="D1895">
        <v>5.5048450000000004</v>
      </c>
      <c r="E1895">
        <v>0.46934999999999999</v>
      </c>
      <c r="F1895" t="s">
        <v>60</v>
      </c>
      <c r="G1895">
        <v>-373.24610000000001</v>
      </c>
      <c r="H1895" s="1">
        <v>1.906138E-7</v>
      </c>
      <c r="I1895">
        <v>282.63639999999998</v>
      </c>
      <c r="J1895">
        <v>-334.7312</v>
      </c>
      <c r="K1895">
        <v>1.1209249999999999</v>
      </c>
      <c r="L1895">
        <v>284.85550000000001</v>
      </c>
      <c r="M1895">
        <v>-0.99996269999999998</v>
      </c>
      <c r="N1895">
        <v>-8.4436549999999996E-3</v>
      </c>
      <c r="O1895">
        <v>1.848983E-3</v>
      </c>
      <c r="P1895">
        <v>-0.97607480000000002</v>
      </c>
      <c r="Q1895">
        <v>0.21541389999999999</v>
      </c>
      <c r="R1895">
        <v>2.9579979999999999E-2</v>
      </c>
      <c r="S1895">
        <v>-3.0997919999999999</v>
      </c>
      <c r="T1895">
        <v>-8.9290019999999998E-2</v>
      </c>
      <c r="U1895">
        <v>-0.1767273</v>
      </c>
      <c r="V1895">
        <v>2.7518890000000001E-2</v>
      </c>
      <c r="W1895">
        <v>0.22368009999999999</v>
      </c>
      <c r="X1895">
        <v>0.97427399999999997</v>
      </c>
      <c r="Y1895">
        <v>-5.8734330000000001E-2</v>
      </c>
      <c r="Z1895">
        <v>-1.130912E-3</v>
      </c>
      <c r="AA1895">
        <v>0.99827299999999997</v>
      </c>
      <c r="AB1895">
        <v>40</v>
      </c>
      <c r="AC1895">
        <v>-38.514899999999997</v>
      </c>
      <c r="AD1895">
        <v>-1.1209248093862001</v>
      </c>
      <c r="AE1895">
        <v>-2.2191000000000201</v>
      </c>
      <c r="AF1895">
        <v>-2.28838023807806</v>
      </c>
      <c r="AG1895">
        <v>-1.1209248093862001</v>
      </c>
      <c r="AH1895">
        <v>38.478246795974002</v>
      </c>
      <c r="AI1895">
        <v>91.665692324671696</v>
      </c>
      <c r="AJ1895">
        <v>93.4034886446792</v>
      </c>
      <c r="AK1895">
        <v>38.562528872393898</v>
      </c>
      <c r="AL1895">
        <v>77.074723930634903</v>
      </c>
      <c r="AM1895">
        <v>88.382080248776901</v>
      </c>
      <c r="AN1895">
        <v>0.99999995175941903</v>
      </c>
    </row>
    <row r="1896" spans="1:40" x14ac:dyDescent="0.25">
      <c r="A1896" t="str">
        <f>"20190303170534855"</f>
        <v>20190303170534855</v>
      </c>
      <c r="B1896" t="str">
        <f>"1551603934846391"</f>
        <v>1551603934846391</v>
      </c>
      <c r="C1896" t="s">
        <v>40</v>
      </c>
      <c r="D1896">
        <v>5.6099040000000002</v>
      </c>
      <c r="E1896">
        <v>0.45801639999999999</v>
      </c>
      <c r="F1896" t="s">
        <v>60</v>
      </c>
      <c r="G1896">
        <v>-373.09550000000002</v>
      </c>
      <c r="H1896" s="1">
        <v>1.1046750000000001E-7</v>
      </c>
      <c r="I1896">
        <v>282.6216</v>
      </c>
      <c r="J1896">
        <v>-335.11</v>
      </c>
      <c r="K1896">
        <v>1.120938</v>
      </c>
      <c r="L1896">
        <v>284.85590000000002</v>
      </c>
      <c r="M1896">
        <v>-0.99996280000000004</v>
      </c>
      <c r="N1896">
        <v>-8.5143279999999998E-3</v>
      </c>
      <c r="O1896">
        <v>1.4182070000000001E-3</v>
      </c>
      <c r="P1896">
        <v>-0.97637320000000005</v>
      </c>
      <c r="Q1896">
        <v>0.2143236</v>
      </c>
      <c r="R1896">
        <v>2.7585910000000002E-2</v>
      </c>
      <c r="S1896">
        <v>-3.0989689999999999</v>
      </c>
      <c r="T1896">
        <v>-9.0545539999999994E-2</v>
      </c>
      <c r="U1896">
        <v>-0.18045040000000001</v>
      </c>
      <c r="V1896">
        <v>2.5944439999999999E-2</v>
      </c>
      <c r="W1896">
        <v>0.22265989999999999</v>
      </c>
      <c r="X1896">
        <v>0.9745509</v>
      </c>
      <c r="Y1896">
        <v>-5.951352E-2</v>
      </c>
      <c r="Z1896">
        <v>-1.1514889999999999E-3</v>
      </c>
      <c r="AA1896">
        <v>0.99822679999999997</v>
      </c>
      <c r="AB1896">
        <v>40</v>
      </c>
      <c r="AC1896">
        <v>-37.985500000000002</v>
      </c>
      <c r="AD1896">
        <v>-1.1209378895325</v>
      </c>
      <c r="AE1896">
        <v>-2.2343000000000202</v>
      </c>
      <c r="AF1896">
        <v>-2.2861870161145199</v>
      </c>
      <c r="AG1896">
        <v>-1.1209378895325</v>
      </c>
      <c r="AH1896">
        <v>37.949359936859501</v>
      </c>
      <c r="AI1896">
        <v>91.688835212525802</v>
      </c>
      <c r="AJ1896">
        <v>93.447508696818801</v>
      </c>
      <c r="AK1896">
        <v>38.034682494299297</v>
      </c>
      <c r="AL1896">
        <v>77.134690091486604</v>
      </c>
      <c r="AM1896">
        <v>88.475035129755597</v>
      </c>
      <c r="AN1896">
        <v>1.00000000086286</v>
      </c>
    </row>
    <row r="1897" spans="1:40" x14ac:dyDescent="0.25">
      <c r="A1897" t="str">
        <f>"20190303170534877"</f>
        <v>20190303170534877</v>
      </c>
      <c r="B1897" t="str">
        <f>"1551603934866889"</f>
        <v>1551603934866889</v>
      </c>
      <c r="C1897" t="s">
        <v>40</v>
      </c>
      <c r="D1897">
        <v>5.5945539999999996</v>
      </c>
      <c r="E1897">
        <v>0.45575909999999897</v>
      </c>
      <c r="F1897" t="s">
        <v>64</v>
      </c>
      <c r="G1897">
        <v>-402.1979</v>
      </c>
      <c r="H1897">
        <v>8.000148E-2</v>
      </c>
      <c r="I1897">
        <v>278.90370000000001</v>
      </c>
      <c r="J1897">
        <v>-335.52199999999999</v>
      </c>
      <c r="K1897">
        <v>1.120943</v>
      </c>
      <c r="L1897">
        <v>284.85599999999999</v>
      </c>
      <c r="M1897">
        <v>-0.99996260000000003</v>
      </c>
      <c r="N1897">
        <v>-8.6048770000000004E-3</v>
      </c>
      <c r="O1897">
        <v>9.5001999999999999E-4</v>
      </c>
      <c r="P1897">
        <v>-0.97664479999999998</v>
      </c>
      <c r="Q1897">
        <v>0.2133167</v>
      </c>
      <c r="R1897">
        <v>2.5711049999999999E-2</v>
      </c>
      <c r="S1897">
        <v>-3.0909119999999999</v>
      </c>
      <c r="T1897">
        <v>-4.7958609999999999E-2</v>
      </c>
      <c r="U1897">
        <v>-0.274231</v>
      </c>
      <c r="V1897">
        <v>2.4525740000000001E-2</v>
      </c>
      <c r="W1897">
        <v>0.22174160000000001</v>
      </c>
      <c r="X1897">
        <v>0.97479700000000002</v>
      </c>
      <c r="Y1897">
        <v>-8.9304209999999995E-2</v>
      </c>
      <c r="Z1897">
        <v>-1.082997E-3</v>
      </c>
      <c r="AA1897">
        <v>0.99600379999999999</v>
      </c>
      <c r="AB1897">
        <v>40</v>
      </c>
      <c r="AC1897">
        <v>-66.675899999999999</v>
      </c>
      <c r="AD1897">
        <v>-1.0409415200000001</v>
      </c>
      <c r="AE1897">
        <v>-5.9522999999999797</v>
      </c>
      <c r="AF1897">
        <v>-6.01418882442655</v>
      </c>
      <c r="AG1897">
        <v>-1.0409415200000001</v>
      </c>
      <c r="AH1897">
        <v>66.654097519723507</v>
      </c>
      <c r="AI1897">
        <v>90.891099834364397</v>
      </c>
      <c r="AJ1897">
        <v>95.155827570978602</v>
      </c>
      <c r="AK1897">
        <v>66.9329720140435</v>
      </c>
      <c r="AL1897">
        <v>77.188654102771096</v>
      </c>
      <c r="AM1897">
        <v>88.558751212831993</v>
      </c>
      <c r="AN1897">
        <v>1.0000000201510499</v>
      </c>
    </row>
    <row r="1898" spans="1:40" x14ac:dyDescent="0.25">
      <c r="A1898" t="str">
        <f>"20190303170534901"</f>
        <v>20190303170534901</v>
      </c>
      <c r="B1898" t="str">
        <f>"1551603934896168"</f>
        <v>1551603934896168</v>
      </c>
      <c r="C1898" t="s">
        <v>40</v>
      </c>
      <c r="D1898">
        <v>5.56569</v>
      </c>
      <c r="E1898">
        <v>0.45515699999999998</v>
      </c>
      <c r="F1898" t="s">
        <v>64</v>
      </c>
      <c r="G1898">
        <v>-408.63490000000002</v>
      </c>
      <c r="H1898">
        <v>8.0001310000000006E-2</v>
      </c>
      <c r="I1898">
        <v>277.8356</v>
      </c>
      <c r="J1898">
        <v>-335.93729999999999</v>
      </c>
      <c r="K1898">
        <v>1.120954</v>
      </c>
      <c r="L1898">
        <v>284.85599999999999</v>
      </c>
      <c r="M1898">
        <v>-0.99996220000000002</v>
      </c>
      <c r="N1898">
        <v>-8.7052169999999995E-3</v>
      </c>
      <c r="O1898">
        <v>4.7815070000000002E-4</v>
      </c>
      <c r="P1898">
        <v>-0.97674570000000005</v>
      </c>
      <c r="Q1898">
        <v>0.21296680000000001</v>
      </c>
      <c r="R1898">
        <v>2.4772519999999999E-2</v>
      </c>
      <c r="S1898">
        <v>-3.0892029999999999</v>
      </c>
      <c r="T1898">
        <v>-4.3982390000000003E-2</v>
      </c>
      <c r="U1898">
        <v>-0.29663089999999998</v>
      </c>
      <c r="V1898">
        <v>2.4047120000000002E-2</v>
      </c>
      <c r="W1898">
        <v>0.22148960000000001</v>
      </c>
      <c r="X1898">
        <v>0.97486620000000002</v>
      </c>
      <c r="Y1898">
        <v>-9.6042550000000004E-2</v>
      </c>
      <c r="Z1898">
        <v>-1.103773E-3</v>
      </c>
      <c r="AA1898">
        <v>0.99537659999999994</v>
      </c>
      <c r="AB1898">
        <v>40</v>
      </c>
      <c r="AC1898">
        <v>-72.697599999999994</v>
      </c>
      <c r="AD1898">
        <v>-1.0409526899999999</v>
      </c>
      <c r="AE1898">
        <v>-7.0203999999999898</v>
      </c>
      <c r="AF1898">
        <v>-7.0537280378169704</v>
      </c>
      <c r="AG1898">
        <v>-1.0409526899999999</v>
      </c>
      <c r="AH1898">
        <v>72.679470814346004</v>
      </c>
      <c r="AI1898">
        <v>90.816726544979602</v>
      </c>
      <c r="AJ1898">
        <v>95.543340451211705</v>
      </c>
      <c r="AK1898">
        <v>73.028379001506494</v>
      </c>
      <c r="AL1898">
        <v>77.203460655234906</v>
      </c>
      <c r="AM1898">
        <v>88.586965944961904</v>
      </c>
      <c r="AN1898">
        <v>1.00000000739544</v>
      </c>
    </row>
    <row r="1899" spans="1:40" x14ac:dyDescent="0.25">
      <c r="A1899" t="str">
        <f>"20190303170534924"</f>
        <v>20190303170534924</v>
      </c>
      <c r="B1899" t="str">
        <f>"1551603934916663"</f>
        <v>1551603934916663</v>
      </c>
      <c r="C1899" t="s">
        <v>40</v>
      </c>
      <c r="D1899">
        <v>5.5697530000000004</v>
      </c>
      <c r="E1899">
        <v>0.45451659999999999</v>
      </c>
      <c r="F1899" t="s">
        <v>64</v>
      </c>
      <c r="G1899">
        <v>-427.3048</v>
      </c>
      <c r="H1899" s="1">
        <v>4.102326E-6</v>
      </c>
      <c r="I1899">
        <v>275.87610000000001</v>
      </c>
      <c r="J1899">
        <v>-336.35239999999999</v>
      </c>
      <c r="K1899">
        <v>1.120962</v>
      </c>
      <c r="L1899">
        <v>284.85579999999999</v>
      </c>
      <c r="M1899">
        <v>-0.99996130000000005</v>
      </c>
      <c r="N1899">
        <v>-8.8092529999999995E-3</v>
      </c>
      <c r="O1899" s="1">
        <v>6.5050990000000004E-6</v>
      </c>
      <c r="P1899">
        <v>-0.97686419999999996</v>
      </c>
      <c r="Q1899">
        <v>0.2125406</v>
      </c>
      <c r="R1899">
        <v>2.3723850000000001E-2</v>
      </c>
      <c r="S1899">
        <v>-3.0873409999999999</v>
      </c>
      <c r="T1899">
        <v>-3.7877319999999999E-2</v>
      </c>
      <c r="U1899">
        <v>-0.30343629999999999</v>
      </c>
      <c r="V1899">
        <v>2.345825E-2</v>
      </c>
      <c r="W1899">
        <v>0.22116549999999999</v>
      </c>
      <c r="X1899">
        <v>0.97495410000000005</v>
      </c>
      <c r="Y1899">
        <v>-9.7806630000000006E-2</v>
      </c>
      <c r="Z1899">
        <v>-1.030406E-3</v>
      </c>
      <c r="AA1899">
        <v>0.99520489999999995</v>
      </c>
      <c r="AB1899">
        <v>40</v>
      </c>
      <c r="AC1899">
        <v>-90.952399999999997</v>
      </c>
      <c r="AD1899">
        <v>-1.120957897674</v>
      </c>
      <c r="AE1899">
        <v>-8.9796999999999798</v>
      </c>
      <c r="AF1899">
        <v>-8.9789409656135604</v>
      </c>
      <c r="AG1899">
        <v>-1.120957897674</v>
      </c>
      <c r="AH1899">
        <v>90.938661584204297</v>
      </c>
      <c r="AI1899">
        <v>90.702805110631999</v>
      </c>
      <c r="AJ1899">
        <v>95.638892658082995</v>
      </c>
      <c r="AK1899">
        <v>91.387734944021702</v>
      </c>
      <c r="AL1899">
        <v>77.2225021396454</v>
      </c>
      <c r="AM1899">
        <v>88.621679277267006</v>
      </c>
      <c r="AN1899">
        <v>0.99999998249506095</v>
      </c>
    </row>
    <row r="1900" spans="1:40" x14ac:dyDescent="0.25">
      <c r="A1900" t="str">
        <f>"20190303170534944"</f>
        <v>20190303170534944</v>
      </c>
      <c r="B1900" t="str">
        <f>"1551603934936187"</f>
        <v>1551603934936187</v>
      </c>
      <c r="C1900" t="s">
        <v>40</v>
      </c>
      <c r="D1900">
        <v>5.4183440000000003</v>
      </c>
      <c r="E1900">
        <v>0.45419039999999999</v>
      </c>
      <c r="F1900" t="s">
        <v>64</v>
      </c>
      <c r="G1900">
        <v>-424.80130000000003</v>
      </c>
      <c r="H1900" s="1">
        <v>4.6403859999999997E-6</v>
      </c>
      <c r="I1900">
        <v>275.92430000000002</v>
      </c>
      <c r="J1900">
        <v>-336.7362</v>
      </c>
      <c r="K1900">
        <v>1.120976</v>
      </c>
      <c r="L1900">
        <v>284.85539999999997</v>
      </c>
      <c r="M1900">
        <v>-0.99996030000000002</v>
      </c>
      <c r="N1900">
        <v>-8.9072270000000002E-3</v>
      </c>
      <c r="O1900">
        <v>-4.2964830000000002E-4</v>
      </c>
      <c r="P1900">
        <v>-0.97697109999999998</v>
      </c>
      <c r="Q1900">
        <v>0.21212590000000001</v>
      </c>
      <c r="R1900">
        <v>2.302589E-2</v>
      </c>
      <c r="S1900">
        <v>-3.0871279999999999</v>
      </c>
      <c r="T1900">
        <v>-3.9124730000000003E-2</v>
      </c>
      <c r="U1900">
        <v>-0.31173709999999999</v>
      </c>
      <c r="V1900">
        <v>2.318603E-2</v>
      </c>
      <c r="W1900">
        <v>0.22084699999999999</v>
      </c>
      <c r="X1900">
        <v>0.97503280000000003</v>
      </c>
      <c r="Y1900">
        <v>-0.10002759999999999</v>
      </c>
      <c r="Z1900">
        <v>-1.0772570000000001E-3</v>
      </c>
      <c r="AA1900">
        <v>0.99498410000000004</v>
      </c>
      <c r="AB1900">
        <v>40</v>
      </c>
      <c r="AC1900">
        <v>-88.065100000000001</v>
      </c>
      <c r="AD1900">
        <v>-1.1209713596140001</v>
      </c>
      <c r="AE1900">
        <v>-8.9310999999999492</v>
      </c>
      <c r="AF1900">
        <v>-8.8918346257499898</v>
      </c>
      <c r="AG1900">
        <v>-1.1209713596140001</v>
      </c>
      <c r="AH1900">
        <v>88.054807438734201</v>
      </c>
      <c r="AI1900">
        <v>90.725667706259699</v>
      </c>
      <c r="AJ1900">
        <v>95.766220407778107</v>
      </c>
      <c r="AK1900">
        <v>88.509719313041103</v>
      </c>
      <c r="AL1900">
        <v>77.241213439703799</v>
      </c>
      <c r="AM1900">
        <v>88.637777782346404</v>
      </c>
      <c r="AN1900">
        <v>0.99999997523600004</v>
      </c>
    </row>
    <row r="1901" spans="1:40" x14ac:dyDescent="0.25">
      <c r="A1901" t="str">
        <f>"20190303170534966"</f>
        <v>20190303170534966</v>
      </c>
      <c r="B1901" t="str">
        <f>"1551603934956680"</f>
        <v>1551603934956680</v>
      </c>
      <c r="C1901" t="s">
        <v>40</v>
      </c>
      <c r="D1901">
        <v>5.5898469999999998</v>
      </c>
      <c r="E1901">
        <v>0.45396370000000003</v>
      </c>
      <c r="F1901" t="s">
        <v>64</v>
      </c>
      <c r="G1901">
        <v>-421.11680000000001</v>
      </c>
      <c r="H1901" s="1">
        <v>5.3544790000000002E-6</v>
      </c>
      <c r="I1901">
        <v>276.21530000000001</v>
      </c>
      <c r="J1901">
        <v>-337.13600000000002</v>
      </c>
      <c r="K1901">
        <v>1.1209910000000001</v>
      </c>
      <c r="L1901">
        <v>284.85489999999999</v>
      </c>
      <c r="M1901">
        <v>-0.99995909999999999</v>
      </c>
      <c r="N1901">
        <v>-9.0073140000000006E-3</v>
      </c>
      <c r="O1901">
        <v>-8.843503E-4</v>
      </c>
      <c r="P1901">
        <v>-0.97724149999999999</v>
      </c>
      <c r="Q1901">
        <v>0.21089350000000001</v>
      </c>
      <c r="R1901">
        <v>2.2875320000000001E-2</v>
      </c>
      <c r="S1901">
        <v>-3.0870669999999998</v>
      </c>
      <c r="T1901">
        <v>-4.1010739999999997E-2</v>
      </c>
      <c r="U1901">
        <v>-0.31610110000000002</v>
      </c>
      <c r="V1901">
        <v>2.3480480000000001E-2</v>
      </c>
      <c r="W1901">
        <v>0.21971489999999999</v>
      </c>
      <c r="X1901">
        <v>0.97528150000000002</v>
      </c>
      <c r="Y1901">
        <v>-0.100968</v>
      </c>
      <c r="Z1901">
        <v>-1.121068E-3</v>
      </c>
      <c r="AA1901">
        <v>0.99488900000000002</v>
      </c>
      <c r="AB1901">
        <v>40</v>
      </c>
      <c r="AC1901">
        <v>-83.980800000000002</v>
      </c>
      <c r="AD1901">
        <v>-1.1209856455210001</v>
      </c>
      <c r="AE1901">
        <v>-8.6395999999999695</v>
      </c>
      <c r="AF1901">
        <v>-8.5638153121310197</v>
      </c>
      <c r="AG1901">
        <v>-1.1209856455210001</v>
      </c>
      <c r="AH1901">
        <v>83.973602822272994</v>
      </c>
      <c r="AI1901">
        <v>90.760865018942297</v>
      </c>
      <c r="AJ1901">
        <v>95.823019875811298</v>
      </c>
      <c r="AK1901">
        <v>84.416595006376596</v>
      </c>
      <c r="AL1901">
        <v>77.307711577721605</v>
      </c>
      <c r="AM1901">
        <v>88.620836587420001</v>
      </c>
      <c r="AN1901">
        <v>0.99999998723264505</v>
      </c>
    </row>
    <row r="1902" spans="1:40" x14ac:dyDescent="0.25">
      <c r="A1902" t="str">
        <f>"20190303170534989"</f>
        <v>20190303170534989</v>
      </c>
      <c r="B1902" t="str">
        <f>"1551603934976200"</f>
        <v>1551603934976200</v>
      </c>
      <c r="C1902" t="s">
        <v>40</v>
      </c>
      <c r="D1902">
        <v>5.604565</v>
      </c>
      <c r="E1902">
        <v>0.45372800000000002</v>
      </c>
      <c r="F1902" t="s">
        <v>64</v>
      </c>
      <c r="G1902">
        <v>-415.6112</v>
      </c>
      <c r="H1902" s="1">
        <v>4.6443109999999998E-6</v>
      </c>
      <c r="I1902">
        <v>276.76369999999997</v>
      </c>
      <c r="J1902">
        <v>-337.54520000000002</v>
      </c>
      <c r="K1902">
        <v>1.1210039999999999</v>
      </c>
      <c r="L1902">
        <v>284.85419999999999</v>
      </c>
      <c r="M1902">
        <v>-0.9999576</v>
      </c>
      <c r="N1902">
        <v>-9.1047860000000001E-3</v>
      </c>
      <c r="O1902">
        <v>-1.349769E-3</v>
      </c>
      <c r="P1902">
        <v>-0.97723510000000002</v>
      </c>
      <c r="Q1902">
        <v>0.2108806</v>
      </c>
      <c r="R1902">
        <v>2.3257340000000001E-2</v>
      </c>
      <c r="S1902">
        <v>-3.0868229999999999</v>
      </c>
      <c r="T1902">
        <v>-4.4093970000000003E-2</v>
      </c>
      <c r="U1902">
        <v>-0.31826779999999999</v>
      </c>
      <c r="V1902">
        <v>2.4316560000000001E-2</v>
      </c>
      <c r="W1902">
        <v>0.2197981</v>
      </c>
      <c r="X1902">
        <v>0.97524230000000001</v>
      </c>
      <c r="Y1902">
        <v>-0.101202</v>
      </c>
      <c r="Z1902">
        <v>-1.175873E-3</v>
      </c>
      <c r="AA1902">
        <v>0.99486520000000001</v>
      </c>
      <c r="AB1902">
        <v>41</v>
      </c>
      <c r="AC1902">
        <v>-78.065999999999903</v>
      </c>
      <c r="AD1902">
        <v>-1.1209993556890001</v>
      </c>
      <c r="AE1902">
        <v>-8.0905000000000094</v>
      </c>
      <c r="AF1902">
        <v>-7.9834884953159602</v>
      </c>
      <c r="AG1902">
        <v>-1.1209993556890001</v>
      </c>
      <c r="AH1902">
        <v>78.060924587584907</v>
      </c>
      <c r="AI1902">
        <v>90.818474718813903</v>
      </c>
      <c r="AJ1902">
        <v>95.839481302575606</v>
      </c>
      <c r="AK1902">
        <v>78.476115319114299</v>
      </c>
      <c r="AL1902">
        <v>77.302825564098299</v>
      </c>
      <c r="AM1902">
        <v>88.571690702880801</v>
      </c>
      <c r="AN1902">
        <v>1.0000000217815599</v>
      </c>
    </row>
    <row r="1903" spans="1:40" x14ac:dyDescent="0.25">
      <c r="A1903" t="str">
        <f>"20190303170535013"</f>
        <v>20190303170535013</v>
      </c>
      <c r="B1903" t="str">
        <f>"1551603935006456"</f>
        <v>1551603935006456</v>
      </c>
      <c r="C1903" t="s">
        <v>40</v>
      </c>
      <c r="D1903">
        <v>5.5922229999999997</v>
      </c>
      <c r="E1903">
        <v>0.45365129999999998</v>
      </c>
      <c r="F1903" t="s">
        <v>64</v>
      </c>
      <c r="G1903">
        <v>-425.79599999999999</v>
      </c>
      <c r="H1903" s="1">
        <v>4.4848989999999998E-6</v>
      </c>
      <c r="I1903">
        <v>275.74020000000002</v>
      </c>
      <c r="J1903">
        <v>-337.97480000000002</v>
      </c>
      <c r="K1903">
        <v>1.1210180000000001</v>
      </c>
      <c r="L1903">
        <v>284.85309999999998</v>
      </c>
      <c r="M1903">
        <v>-0.99995599999999996</v>
      </c>
      <c r="N1903">
        <v>-9.2047770000000008E-3</v>
      </c>
      <c r="O1903">
        <v>-1.837382E-3</v>
      </c>
      <c r="P1903">
        <v>-0.97707489999999997</v>
      </c>
      <c r="Q1903">
        <v>0.21154319999999999</v>
      </c>
      <c r="R1903">
        <v>2.396359E-2</v>
      </c>
      <c r="S1903">
        <v>-3.0859380000000001</v>
      </c>
      <c r="T1903">
        <v>-3.9198879999999998E-2</v>
      </c>
      <c r="U1903">
        <v>-0.31869509999999901</v>
      </c>
      <c r="V1903">
        <v>2.5497479999999999E-2</v>
      </c>
      <c r="W1903">
        <v>0.2205577</v>
      </c>
      <c r="X1903">
        <v>0.97504060000000004</v>
      </c>
      <c r="Y1903">
        <v>-0.10088519999999999</v>
      </c>
      <c r="Z1903">
        <v>-1.098197E-3</v>
      </c>
      <c r="AA1903">
        <v>0.99489749999999999</v>
      </c>
      <c r="AB1903">
        <v>41</v>
      </c>
      <c r="AC1903">
        <v>-87.821199999999905</v>
      </c>
      <c r="AD1903">
        <v>-1.1210135151009999</v>
      </c>
      <c r="AE1903">
        <v>-9.1128999999999607</v>
      </c>
      <c r="AF1903">
        <v>-8.9500739223033001</v>
      </c>
      <c r="AG1903">
        <v>-1.1210135151009999</v>
      </c>
      <c r="AH1903">
        <v>87.823638945549206</v>
      </c>
      <c r="AI1903">
        <v>90.727537096915498</v>
      </c>
      <c r="AJ1903">
        <v>95.818902559732905</v>
      </c>
      <c r="AK1903">
        <v>88.2856276647219</v>
      </c>
      <c r="AL1903">
        <v>77.258208449035294</v>
      </c>
      <c r="AM1903">
        <v>88.502046862375593</v>
      </c>
      <c r="AN1903">
        <v>0.99999999608199996</v>
      </c>
    </row>
    <row r="1904" spans="1:40" x14ac:dyDescent="0.25">
      <c r="A1904" t="str">
        <f>"20190303170535033"</f>
        <v>20190303170535033</v>
      </c>
      <c r="B1904" t="str">
        <f>"1551603935026952"</f>
        <v>1551603935026952</v>
      </c>
      <c r="C1904" t="s">
        <v>40</v>
      </c>
      <c r="D1904">
        <v>5.612571</v>
      </c>
      <c r="E1904">
        <v>0.4536097</v>
      </c>
      <c r="F1904" t="s">
        <v>64</v>
      </c>
      <c r="G1904">
        <v>-429.95819999999998</v>
      </c>
      <c r="H1904">
        <v>2.0663669999999999E-2</v>
      </c>
      <c r="I1904">
        <v>275.37799999999999</v>
      </c>
      <c r="J1904">
        <v>-338.35669999999999</v>
      </c>
      <c r="K1904">
        <v>1.1210249999999999</v>
      </c>
      <c r="L1904">
        <v>284.85210000000001</v>
      </c>
      <c r="M1904">
        <v>-0.99995429999999996</v>
      </c>
      <c r="N1904">
        <v>-9.2940049999999993E-3</v>
      </c>
      <c r="O1904">
        <v>-2.2693840000000002E-3</v>
      </c>
      <c r="P1904">
        <v>-0.97716029999999998</v>
      </c>
      <c r="Q1904">
        <v>0.21114910000000001</v>
      </c>
      <c r="R1904">
        <v>2.3955150000000001E-2</v>
      </c>
      <c r="S1904">
        <v>-3.0861510000000001</v>
      </c>
      <c r="T1904">
        <v>-3.6918159999999998E-2</v>
      </c>
      <c r="U1904">
        <v>-0.31790159999999901</v>
      </c>
      <c r="V1904">
        <v>2.5911130000000001E-2</v>
      </c>
      <c r="W1904">
        <v>0.22025210000000001</v>
      </c>
      <c r="X1904">
        <v>0.97509880000000004</v>
      </c>
      <c r="Y1904">
        <v>-0.10019649999999999</v>
      </c>
      <c r="Z1904">
        <v>-1.0585429999999999E-3</v>
      </c>
      <c r="AA1904">
        <v>0.99496709999999999</v>
      </c>
      <c r="AB1904">
        <v>41</v>
      </c>
      <c r="AC1904">
        <v>-91.601500000000001</v>
      </c>
      <c r="AD1904">
        <v>-1.1003613299999999</v>
      </c>
      <c r="AE1904">
        <v>-9.4741000000000195</v>
      </c>
      <c r="AF1904">
        <v>-9.26486489053719</v>
      </c>
      <c r="AG1904">
        <v>-1.1003613299999999</v>
      </c>
      <c r="AH1904">
        <v>91.609686060005501</v>
      </c>
      <c r="AI1904">
        <v>90.684677663113405</v>
      </c>
      <c r="AJ1904">
        <v>95.774922749862995</v>
      </c>
      <c r="AK1904">
        <v>92.0835658329392</v>
      </c>
      <c r="AL1904">
        <v>77.276159817962295</v>
      </c>
      <c r="AM1904">
        <v>88.477847468414595</v>
      </c>
      <c r="AN1904">
        <v>1.0000000219868601</v>
      </c>
    </row>
    <row r="1905" spans="1:40" x14ac:dyDescent="0.25">
      <c r="A1905" t="str">
        <f>"20190303170535055"</f>
        <v>20190303170535055</v>
      </c>
      <c r="B1905" t="str">
        <f>"1551603935046472"</f>
        <v>1551603935046472</v>
      </c>
      <c r="C1905" t="s">
        <v>40</v>
      </c>
      <c r="D1905">
        <v>5.6474780000000004</v>
      </c>
      <c r="E1905">
        <v>0.45337270000000002</v>
      </c>
      <c r="F1905" t="s">
        <v>64</v>
      </c>
      <c r="G1905">
        <v>-423.43639999999999</v>
      </c>
      <c r="H1905" s="1">
        <v>4.8913010000000003E-6</v>
      </c>
      <c r="I1905">
        <v>276.07060000000001</v>
      </c>
      <c r="J1905">
        <v>-338.74329999999998</v>
      </c>
      <c r="K1905">
        <v>1.12103</v>
      </c>
      <c r="L1905">
        <v>284.85090000000002</v>
      </c>
      <c r="M1905">
        <v>-0.99995230000000002</v>
      </c>
      <c r="N1905">
        <v>-9.3840009999999995E-3</v>
      </c>
      <c r="O1905">
        <v>-2.701719E-3</v>
      </c>
      <c r="P1905">
        <v>-0.97722880000000001</v>
      </c>
      <c r="Q1905">
        <v>0.21091070000000001</v>
      </c>
      <c r="R1905">
        <v>2.3251000000000001E-2</v>
      </c>
      <c r="S1905">
        <v>-3.086792</v>
      </c>
      <c r="T1905">
        <v>-4.0671939999999997E-2</v>
      </c>
      <c r="U1905">
        <v>-0.31860349999999998</v>
      </c>
      <c r="V1905">
        <v>2.5630940000000001E-2</v>
      </c>
      <c r="W1905">
        <v>0.2201014</v>
      </c>
      <c r="X1905">
        <v>0.97514020000000001</v>
      </c>
      <c r="Y1905">
        <v>-9.9966970000000002E-2</v>
      </c>
      <c r="Z1905">
        <v>-1.116934E-3</v>
      </c>
      <c r="AA1905">
        <v>0.99499009999999999</v>
      </c>
      <c r="AB1905">
        <v>41</v>
      </c>
      <c r="AC1905">
        <v>-84.693100000000001</v>
      </c>
      <c r="AD1905">
        <v>-1.121025108699</v>
      </c>
      <c r="AE1905">
        <v>-8.7803000000000093</v>
      </c>
      <c r="AF1905">
        <v>-8.5499588888896998</v>
      </c>
      <c r="AG1905">
        <v>-1.121025108699</v>
      </c>
      <c r="AH1905">
        <v>84.701831842385801</v>
      </c>
      <c r="AI1905">
        <v>90.754429560985201</v>
      </c>
      <c r="AJ1905">
        <v>95.764017393409205</v>
      </c>
      <c r="AK1905">
        <v>85.139643009304706</v>
      </c>
      <c r="AL1905">
        <v>77.285011105475704</v>
      </c>
      <c r="AM1905">
        <v>88.4943635417807</v>
      </c>
      <c r="AN1905">
        <v>0.99999999051164101</v>
      </c>
    </row>
    <row r="1906" spans="1:40" x14ac:dyDescent="0.25">
      <c r="A1906" t="str">
        <f>"20190303170535078"</f>
        <v>20190303170535078</v>
      </c>
      <c r="B1906" t="str">
        <f>"1551603935066968"</f>
        <v>1551603935066968</v>
      </c>
      <c r="C1906" t="s">
        <v>40</v>
      </c>
      <c r="D1906">
        <v>5.6456749999999998</v>
      </c>
      <c r="E1906">
        <v>0.45311079999999998</v>
      </c>
      <c r="F1906" t="s">
        <v>64</v>
      </c>
      <c r="G1906">
        <v>-420.02699999999999</v>
      </c>
      <c r="H1906" s="1">
        <v>5.537695E-6</v>
      </c>
      <c r="I1906">
        <v>276.38060000000002</v>
      </c>
      <c r="J1906">
        <v>-339.16070000000002</v>
      </c>
      <c r="K1906">
        <v>1.1210329999999999</v>
      </c>
      <c r="L1906">
        <v>284.8494</v>
      </c>
      <c r="M1906">
        <v>-0.99995020000000001</v>
      </c>
      <c r="N1906">
        <v>-9.4788689999999991E-3</v>
      </c>
      <c r="O1906">
        <v>-3.1564330000000002E-3</v>
      </c>
      <c r="P1906">
        <v>-0.97699659999999999</v>
      </c>
      <c r="Q1906">
        <v>0.21207809999999999</v>
      </c>
      <c r="R1906">
        <v>2.2384000000000001E-2</v>
      </c>
      <c r="S1906">
        <v>-3.0867</v>
      </c>
      <c r="T1906">
        <v>-4.2570230000000001E-2</v>
      </c>
      <c r="U1906">
        <v>-0.32165529999999998</v>
      </c>
      <c r="V1906">
        <v>2.520973E-2</v>
      </c>
      <c r="W1906">
        <v>0.221358</v>
      </c>
      <c r="X1906">
        <v>0.97486669999999997</v>
      </c>
      <c r="Y1906">
        <v>-0.1004895</v>
      </c>
      <c r="Z1906">
        <v>-1.155075E-3</v>
      </c>
      <c r="AA1906">
        <v>0.99493739999999997</v>
      </c>
      <c r="AB1906">
        <v>41</v>
      </c>
      <c r="AC1906">
        <v>-80.866299999999896</v>
      </c>
      <c r="AD1906">
        <v>-1.1210274623050001</v>
      </c>
      <c r="AE1906">
        <v>-8.4687999999999803</v>
      </c>
      <c r="AF1906">
        <v>-8.2119363001162498</v>
      </c>
      <c r="AG1906">
        <v>-1.1210274623050001</v>
      </c>
      <c r="AH1906">
        <v>80.877255533740595</v>
      </c>
      <c r="AI1906">
        <v>90.790055735001999</v>
      </c>
      <c r="AJ1906">
        <v>95.797703066120405</v>
      </c>
      <c r="AK1906">
        <v>81.300818341750897</v>
      </c>
      <c r="AL1906">
        <v>77.211192464246693</v>
      </c>
      <c r="AM1906">
        <v>88.5186802557443</v>
      </c>
      <c r="AN1906">
        <v>0.99999998870978102</v>
      </c>
    </row>
    <row r="1907" spans="1:40" x14ac:dyDescent="0.25">
      <c r="A1907" t="str">
        <f>"20190303170535102"</f>
        <v>20190303170535102</v>
      </c>
      <c r="B1907" t="str">
        <f>"1551603935096249"</f>
        <v>1551603935096249</v>
      </c>
      <c r="C1907" t="s">
        <v>40</v>
      </c>
      <c r="D1907">
        <v>5.6731619999999996</v>
      </c>
      <c r="E1907">
        <v>0.45304100000000003</v>
      </c>
      <c r="F1907" t="s">
        <v>64</v>
      </c>
      <c r="G1907">
        <v>-425.7953</v>
      </c>
      <c r="H1907" s="1">
        <v>4.5052849999999997E-6</v>
      </c>
      <c r="I1907">
        <v>275.68299999999999</v>
      </c>
      <c r="J1907">
        <v>-339.59089999999998</v>
      </c>
      <c r="K1907">
        <v>1.1210329999999999</v>
      </c>
      <c r="L1907">
        <v>284.8476</v>
      </c>
      <c r="M1907">
        <v>-0.99994769999999999</v>
      </c>
      <c r="N1907">
        <v>-9.5763170000000009E-3</v>
      </c>
      <c r="O1907">
        <v>-3.6015309999999998E-3</v>
      </c>
      <c r="P1907">
        <v>-0.97686220000000001</v>
      </c>
      <c r="Q1907">
        <v>0.21274599999999999</v>
      </c>
      <c r="R1907">
        <v>2.1897590000000001E-2</v>
      </c>
      <c r="S1907">
        <v>-3.086792</v>
      </c>
      <c r="T1907">
        <v>-3.994226E-2</v>
      </c>
      <c r="U1907">
        <v>-0.32659909999999998</v>
      </c>
      <c r="V1907">
        <v>2.5164289999999999E-2</v>
      </c>
      <c r="W1907">
        <v>0.2221187</v>
      </c>
      <c r="X1907">
        <v>0.97469479999999997</v>
      </c>
      <c r="Y1907">
        <v>-0.101621</v>
      </c>
      <c r="Z1907">
        <v>-1.131522E-3</v>
      </c>
      <c r="AA1907">
        <v>0.9948226</v>
      </c>
      <c r="AB1907">
        <v>41</v>
      </c>
      <c r="AC1907">
        <v>-86.204400000000007</v>
      </c>
      <c r="AD1907">
        <v>-1.121028494715</v>
      </c>
      <c r="AE1907">
        <v>-9.1646000000000001</v>
      </c>
      <c r="AF1907">
        <v>-8.8525781679445608</v>
      </c>
      <c r="AG1907">
        <v>-1.121028494715</v>
      </c>
      <c r="AH1907">
        <v>86.222430682706303</v>
      </c>
      <c r="AI1907">
        <v>90.740999217186598</v>
      </c>
      <c r="AJ1907">
        <v>95.862097540311197</v>
      </c>
      <c r="AK1907">
        <v>86.682941793294205</v>
      </c>
      <c r="AL1907">
        <v>77.166494440046705</v>
      </c>
      <c r="AM1907">
        <v>88.5210884531554</v>
      </c>
      <c r="AN1907">
        <v>0.99999995576396605</v>
      </c>
    </row>
    <row r="1908" spans="1:40" x14ac:dyDescent="0.25">
      <c r="A1908" t="str">
        <f>"20190303170535126"</f>
        <v>20190303170535126</v>
      </c>
      <c r="B1908" t="str">
        <f>"1551603935116744"</f>
        <v>1551603935116744</v>
      </c>
      <c r="C1908" t="s">
        <v>40</v>
      </c>
      <c r="D1908">
        <v>5.681514</v>
      </c>
      <c r="E1908">
        <v>0.452982</v>
      </c>
      <c r="F1908" t="s">
        <v>64</v>
      </c>
      <c r="G1908">
        <v>-429.9581</v>
      </c>
      <c r="H1908">
        <v>3.284687E-2</v>
      </c>
      <c r="I1908">
        <v>275.22640000000001</v>
      </c>
      <c r="J1908">
        <v>-340.01870000000002</v>
      </c>
      <c r="K1908">
        <v>1.1210150000000001</v>
      </c>
      <c r="L1908">
        <v>284.84570000000002</v>
      </c>
      <c r="M1908">
        <v>-0.99994519999999998</v>
      </c>
      <c r="N1908">
        <v>-9.6752100000000001E-3</v>
      </c>
      <c r="O1908">
        <v>-4.0023749999999999E-3</v>
      </c>
      <c r="P1908">
        <v>-0.97689740000000003</v>
      </c>
      <c r="Q1908">
        <v>0.2126836</v>
      </c>
      <c r="R1908">
        <v>2.091633E-2</v>
      </c>
      <c r="S1908">
        <v>-3.0865170000000002</v>
      </c>
      <c r="T1908">
        <v>-3.7167310000000002E-2</v>
      </c>
      <c r="U1908">
        <v>-0.3286133</v>
      </c>
      <c r="V1908">
        <v>2.4588749999999999E-2</v>
      </c>
      <c r="W1908">
        <v>0.22215080000000001</v>
      </c>
      <c r="X1908">
        <v>0.97470219999999996</v>
      </c>
      <c r="Y1908">
        <v>-0.1018749</v>
      </c>
      <c r="Z1908">
        <v>-1.096454E-3</v>
      </c>
      <c r="AA1908">
        <v>0.99479660000000003</v>
      </c>
      <c r="AB1908">
        <v>41</v>
      </c>
      <c r="AC1908">
        <v>-89.939399999999907</v>
      </c>
      <c r="AD1908">
        <v>-1.0881681299999999</v>
      </c>
      <c r="AE1908">
        <v>-9.6193000000000097</v>
      </c>
      <c r="AF1908">
        <v>-9.2578950207434207</v>
      </c>
      <c r="AG1908">
        <v>-1.0881681299999999</v>
      </c>
      <c r="AH1908">
        <v>89.964161080391904</v>
      </c>
      <c r="AI1908">
        <v>90.689351461691004</v>
      </c>
      <c r="AJ1908">
        <v>95.875425406660995</v>
      </c>
      <c r="AK1908">
        <v>90.445801500086006</v>
      </c>
      <c r="AL1908">
        <v>77.164608455126896</v>
      </c>
      <c r="AM1908">
        <v>88.554909537269594</v>
      </c>
      <c r="AN1908">
        <v>0.999999981626021</v>
      </c>
    </row>
    <row r="1909" spans="1:40" x14ac:dyDescent="0.25">
      <c r="A1909" t="str">
        <f>"20190303170535145"</f>
        <v>20190303170535145</v>
      </c>
      <c r="B1909" t="str">
        <f>"1551603935136264"</f>
        <v>1551603935136264</v>
      </c>
      <c r="C1909" t="s">
        <v>40</v>
      </c>
      <c r="D1909">
        <v>5.6614170000000001</v>
      </c>
      <c r="E1909">
        <v>0.45292500000000002</v>
      </c>
      <c r="F1909" t="s">
        <v>64</v>
      </c>
      <c r="G1909">
        <v>-429.9581</v>
      </c>
      <c r="H1909">
        <v>3.7904609999999998E-2</v>
      </c>
      <c r="I1909">
        <v>275.18180000000001</v>
      </c>
      <c r="J1909">
        <v>-340.38330000000002</v>
      </c>
      <c r="K1909">
        <v>1.1209849999999999</v>
      </c>
      <c r="L1909">
        <v>284.84399999999999</v>
      </c>
      <c r="M1909">
        <v>-0.99994309999999997</v>
      </c>
      <c r="N1909">
        <v>-9.7607930000000002E-3</v>
      </c>
      <c r="O1909">
        <v>-4.3021070000000003E-3</v>
      </c>
      <c r="P1909">
        <v>-0.97721199999999997</v>
      </c>
      <c r="Q1909">
        <v>0.2113004</v>
      </c>
      <c r="R1909">
        <v>2.0224039999999999E-2</v>
      </c>
      <c r="S1909">
        <v>-3.0861510000000001</v>
      </c>
      <c r="T1909">
        <v>-3.7165520000000001E-2</v>
      </c>
      <c r="U1909">
        <v>-0.33160400000000001</v>
      </c>
      <c r="V1909">
        <v>2.4208830000000001E-2</v>
      </c>
      <c r="W1909">
        <v>0.22085160000000001</v>
      </c>
      <c r="X1909">
        <v>0.97500690000000001</v>
      </c>
      <c r="Y1909">
        <v>-0.1025421</v>
      </c>
      <c r="Z1909">
        <v>-1.1077929999999999E-3</v>
      </c>
      <c r="AA1909">
        <v>0.99472799999999995</v>
      </c>
      <c r="AB1909">
        <v>41</v>
      </c>
      <c r="AC1909">
        <v>-89.574799999999897</v>
      </c>
      <c r="AD1909">
        <v>-1.0830803899999999</v>
      </c>
      <c r="AE1909">
        <v>-9.6621999999999808</v>
      </c>
      <c r="AF1909">
        <v>-9.2753913682583597</v>
      </c>
      <c r="AG1909">
        <v>-1.0830803899999999</v>
      </c>
      <c r="AH1909">
        <v>89.6025914863841</v>
      </c>
      <c r="AI1909">
        <v>90.688854195348796</v>
      </c>
      <c r="AJ1909">
        <v>95.910036937273006</v>
      </c>
      <c r="AK1909">
        <v>90.087903456798202</v>
      </c>
      <c r="AL1909">
        <v>77.240943214594694</v>
      </c>
      <c r="AM1909">
        <v>88.577672783346699</v>
      </c>
      <c r="AN1909">
        <v>0.99999997586006895</v>
      </c>
    </row>
    <row r="1910" spans="1:40" x14ac:dyDescent="0.25">
      <c r="A1910" t="str">
        <f>"20190303170535167"</f>
        <v>20190303170535167</v>
      </c>
      <c r="B1910" t="str">
        <f>"1551603935156760"</f>
        <v>1551603935156760</v>
      </c>
      <c r="C1910" t="s">
        <v>40</v>
      </c>
      <c r="D1910">
        <v>5.6863229999999998</v>
      </c>
      <c r="E1910">
        <v>0.45292349999999998</v>
      </c>
      <c r="F1910" t="s">
        <v>64</v>
      </c>
      <c r="G1910">
        <v>-423.3039</v>
      </c>
      <c r="H1910" s="1">
        <v>4.9905919999999999E-6</v>
      </c>
      <c r="I1910">
        <v>275.87279999999998</v>
      </c>
      <c r="J1910">
        <v>-340.791</v>
      </c>
      <c r="K1910">
        <v>1.1209499999999999</v>
      </c>
      <c r="L1910">
        <v>284.84199999999998</v>
      </c>
      <c r="M1910">
        <v>-0.99994090000000002</v>
      </c>
      <c r="N1910">
        <v>-9.8539079999999998E-3</v>
      </c>
      <c r="O1910">
        <v>-4.592713E-3</v>
      </c>
      <c r="P1910">
        <v>-0.97736860000000003</v>
      </c>
      <c r="Q1910">
        <v>0.2105899</v>
      </c>
      <c r="R1910">
        <v>2.0072610000000001E-2</v>
      </c>
      <c r="S1910">
        <v>-3.0858759999999998</v>
      </c>
      <c r="T1910">
        <v>-4.1717049999999999E-2</v>
      </c>
      <c r="U1910">
        <v>-0.3338623</v>
      </c>
      <c r="V1910">
        <v>2.4363920000000001E-2</v>
      </c>
      <c r="W1910">
        <v>0.2202316</v>
      </c>
      <c r="X1910">
        <v>0.97514330000000005</v>
      </c>
      <c r="Y1910">
        <v>-0.10297920000000001</v>
      </c>
      <c r="Z1910">
        <v>-1.1861459999999999E-3</v>
      </c>
      <c r="AA1910">
        <v>0.99468279999999998</v>
      </c>
      <c r="AB1910">
        <v>41</v>
      </c>
      <c r="AC1910">
        <v>-82.512900000000002</v>
      </c>
      <c r="AD1910">
        <v>-1.12094500940799</v>
      </c>
      <c r="AE1910">
        <v>-8.9692000000000007</v>
      </c>
      <c r="AF1910">
        <v>-8.5885623788913303</v>
      </c>
      <c r="AG1910">
        <v>-1.12094500940799</v>
      </c>
      <c r="AH1910">
        <v>82.538169735479201</v>
      </c>
      <c r="AI1910">
        <v>90.773904109002103</v>
      </c>
      <c r="AJ1910">
        <v>95.9405701146529</v>
      </c>
      <c r="AK1910">
        <v>82.991381388268294</v>
      </c>
      <c r="AL1910">
        <v>77.277363753133301</v>
      </c>
      <c r="AM1910">
        <v>88.568764791804995</v>
      </c>
      <c r="AN1910">
        <v>1.0000000068856001</v>
      </c>
    </row>
    <row r="1911" spans="1:40" x14ac:dyDescent="0.25">
      <c r="A1911" t="str">
        <f>"20190303170535192"</f>
        <v>20190303170535192</v>
      </c>
      <c r="B1911" t="str">
        <f>"1551603935187017"</f>
        <v>1551603935187017</v>
      </c>
      <c r="C1911" t="s">
        <v>40</v>
      </c>
      <c r="D1911">
        <v>5.6912029999999998</v>
      </c>
      <c r="E1911">
        <v>0.45278550000000001</v>
      </c>
      <c r="F1911" t="s">
        <v>64</v>
      </c>
      <c r="G1911">
        <v>-419.0951</v>
      </c>
      <c r="H1911" s="1">
        <v>5.4080630000000004E-6</v>
      </c>
      <c r="I1911">
        <v>276.3578</v>
      </c>
      <c r="J1911">
        <v>-341.21089999999998</v>
      </c>
      <c r="K1911">
        <v>1.1209229999999999</v>
      </c>
      <c r="L1911">
        <v>284.8399</v>
      </c>
      <c r="M1911">
        <v>-0.99993880000000002</v>
      </c>
      <c r="N1911">
        <v>-9.9443529999999995E-3</v>
      </c>
      <c r="O1911">
        <v>-4.8427309999999899E-3</v>
      </c>
      <c r="P1911">
        <v>-0.97722039999999999</v>
      </c>
      <c r="Q1911">
        <v>0.2112607</v>
      </c>
      <c r="R1911">
        <v>2.0229210000000001E-2</v>
      </c>
      <c r="S1911">
        <v>-3.0858759999999998</v>
      </c>
      <c r="T1911">
        <v>-4.4175150000000003E-2</v>
      </c>
      <c r="U1911">
        <v>-0.3343506</v>
      </c>
      <c r="V1911">
        <v>2.4786550000000001E-2</v>
      </c>
      <c r="W1911">
        <v>0.22098689999999999</v>
      </c>
      <c r="X1911">
        <v>0.97496179999999999</v>
      </c>
      <c r="Y1911">
        <v>-0.1028845</v>
      </c>
      <c r="Z1911">
        <v>-1.22624E-3</v>
      </c>
      <c r="AA1911">
        <v>0.99469260000000004</v>
      </c>
      <c r="AB1911">
        <v>41</v>
      </c>
      <c r="AC1911">
        <v>-77.884200000000007</v>
      </c>
      <c r="AD1911">
        <v>-1.12091759193699</v>
      </c>
      <c r="AE1911">
        <v>-8.4821000000000009</v>
      </c>
      <c r="AF1911">
        <v>-8.1031508840880697</v>
      </c>
      <c r="AG1911">
        <v>-1.12091759193699</v>
      </c>
      <c r="AH1911">
        <v>77.908416969548597</v>
      </c>
      <c r="AI1911">
        <v>90.819871618604196</v>
      </c>
      <c r="AJ1911">
        <v>95.937907576811199</v>
      </c>
      <c r="AK1911">
        <v>78.336702414636093</v>
      </c>
      <c r="AL1911">
        <v>77.232995631220305</v>
      </c>
      <c r="AM1911">
        <v>88.5436774493065</v>
      </c>
      <c r="AN1911">
        <v>1.0000000472458701</v>
      </c>
    </row>
    <row r="1912" spans="1:40" x14ac:dyDescent="0.25">
      <c r="A1912" t="str">
        <f>"20190303170535213"</f>
        <v>20190303170535213</v>
      </c>
      <c r="B1912" t="str">
        <f>"1551603935206536"</f>
        <v>1551603935206536</v>
      </c>
      <c r="C1912" t="s">
        <v>40</v>
      </c>
      <c r="D1912">
        <v>5.7008780000000003</v>
      </c>
      <c r="E1912">
        <v>0.45272050000000003</v>
      </c>
      <c r="F1912" t="s">
        <v>64</v>
      </c>
      <c r="G1912">
        <v>-423.20159999999998</v>
      </c>
      <c r="H1912" s="1">
        <v>4.9896889999999998E-6</v>
      </c>
      <c r="I1912">
        <v>275.93950000000001</v>
      </c>
      <c r="J1912">
        <v>-341.63279999999997</v>
      </c>
      <c r="K1912">
        <v>1.1208910000000001</v>
      </c>
      <c r="L1912">
        <v>284.83760000000001</v>
      </c>
      <c r="M1912">
        <v>-0.99993710000000002</v>
      </c>
      <c r="N1912">
        <v>-1.003267E-2</v>
      </c>
      <c r="O1912">
        <v>-5.0429000000000003E-3</v>
      </c>
      <c r="P1912">
        <v>-0.97697489999999998</v>
      </c>
      <c r="Q1912">
        <v>0.21238080000000001</v>
      </c>
      <c r="R1912">
        <v>2.0368549999999999E-2</v>
      </c>
      <c r="S1912">
        <v>-3.0859679999999998</v>
      </c>
      <c r="T1912">
        <v>-4.2189119999999997E-2</v>
      </c>
      <c r="U1912">
        <v>-0.3349915</v>
      </c>
      <c r="V1912">
        <v>2.514299E-2</v>
      </c>
      <c r="W1912">
        <v>0.222188</v>
      </c>
      <c r="X1912">
        <v>0.97467959999999998</v>
      </c>
      <c r="Y1912">
        <v>-0.10288750000000001</v>
      </c>
      <c r="Z1912">
        <v>-1.2006110000000001E-3</v>
      </c>
      <c r="AA1912">
        <v>0.99469229999999997</v>
      </c>
      <c r="AB1912">
        <v>41</v>
      </c>
      <c r="AC1912">
        <v>-81.568799999999996</v>
      </c>
      <c r="AD1912">
        <v>-1.1208860103110001</v>
      </c>
      <c r="AE1912">
        <v>-8.8980999999999995</v>
      </c>
      <c r="AF1912">
        <v>-8.4850394980727408</v>
      </c>
      <c r="AG1912">
        <v>-1.1208860103110001</v>
      </c>
      <c r="AH1912">
        <v>81.5974102166292</v>
      </c>
      <c r="AI1912">
        <v>90.782789924636504</v>
      </c>
      <c r="AJ1912">
        <v>95.936658106894896</v>
      </c>
      <c r="AK1912">
        <v>82.045046375712602</v>
      </c>
      <c r="AL1912">
        <v>77.162422658400502</v>
      </c>
      <c r="AM1912">
        <v>88.522316670488806</v>
      </c>
      <c r="AN1912">
        <v>0.99999999997314903</v>
      </c>
    </row>
    <row r="1913" spans="1:40" x14ac:dyDescent="0.25">
      <c r="A1913" t="str">
        <f>"20190303170535235"</f>
        <v>20190303170535235</v>
      </c>
      <c r="B1913" t="str">
        <f>"1551603935227032"</f>
        <v>1551603935227032</v>
      </c>
      <c r="C1913" t="s">
        <v>40</v>
      </c>
      <c r="D1913">
        <v>5.6941519999999999</v>
      </c>
      <c r="E1913">
        <v>0.45270310000000002</v>
      </c>
      <c r="F1913" t="s">
        <v>64</v>
      </c>
      <c r="G1913">
        <v>-429.23939999999999</v>
      </c>
      <c r="H1913" s="1">
        <v>3.8961209999999998E-6</v>
      </c>
      <c r="I1913">
        <v>275.3365</v>
      </c>
      <c r="J1913">
        <v>-342.03030000000001</v>
      </c>
      <c r="K1913">
        <v>1.12086</v>
      </c>
      <c r="L1913">
        <v>284.83550000000002</v>
      </c>
      <c r="M1913">
        <v>-0.99993560000000004</v>
      </c>
      <c r="N1913">
        <v>-1.011481E-2</v>
      </c>
      <c r="O1913">
        <v>-5.185739E-3</v>
      </c>
      <c r="P1913">
        <v>-0.9768483</v>
      </c>
      <c r="Q1913">
        <v>0.21294630000000001</v>
      </c>
      <c r="R1913">
        <v>2.0536740000000001E-2</v>
      </c>
      <c r="S1913">
        <v>-3.0863040000000002</v>
      </c>
      <c r="T1913">
        <v>-3.9487840000000003E-2</v>
      </c>
      <c r="U1913">
        <v>-0.33471679999999998</v>
      </c>
      <c r="V1913">
        <v>2.5471520000000001E-2</v>
      </c>
      <c r="W1913">
        <v>0.22283</v>
      </c>
      <c r="X1913">
        <v>0.97452450000000002</v>
      </c>
      <c r="Y1913">
        <v>-0.102648</v>
      </c>
      <c r="Z1913">
        <v>-1.1615779999999999E-3</v>
      </c>
      <c r="AA1913">
        <v>0.99471710000000002</v>
      </c>
      <c r="AB1913">
        <v>41</v>
      </c>
      <c r="AC1913">
        <v>-87.209099999999907</v>
      </c>
      <c r="AD1913">
        <v>-1.1208561038789999</v>
      </c>
      <c r="AE1913">
        <v>-9.4990000000000201</v>
      </c>
      <c r="AF1913">
        <v>-9.0451289676926194</v>
      </c>
      <c r="AG1913">
        <v>-1.1208561038789999</v>
      </c>
      <c r="AH1913">
        <v>87.242946672528902</v>
      </c>
      <c r="AI1913">
        <v>90.732144601658106</v>
      </c>
      <c r="AJ1913">
        <v>95.9191342599931</v>
      </c>
      <c r="AK1913">
        <v>87.717742906173299</v>
      </c>
      <c r="AL1913">
        <v>77.124692961200097</v>
      </c>
      <c r="AM1913">
        <v>88.502779158855205</v>
      </c>
      <c r="AN1913">
        <v>1.00000000416568</v>
      </c>
    </row>
    <row r="1914" spans="1:40" x14ac:dyDescent="0.25">
      <c r="A1914" t="str">
        <f>"20190303170535249"</f>
        <v>20190303170535249</v>
      </c>
      <c r="B1914" t="str">
        <f>"1551603935236792"</f>
        <v>1551603935236792</v>
      </c>
      <c r="C1914" t="s">
        <v>40</v>
      </c>
      <c r="D1914">
        <v>5.7043269999999904</v>
      </c>
      <c r="E1914">
        <v>0.45262249999999998</v>
      </c>
      <c r="F1914" t="s">
        <v>64</v>
      </c>
      <c r="G1914">
        <v>-429.95819999999998</v>
      </c>
      <c r="H1914">
        <v>4.0674799999999997E-2</v>
      </c>
      <c r="I1914">
        <v>275.31290000000001</v>
      </c>
      <c r="J1914">
        <v>-342.28109999999998</v>
      </c>
      <c r="K1914">
        <v>1.120843</v>
      </c>
      <c r="L1914">
        <v>284.83420000000001</v>
      </c>
      <c r="M1914">
        <v>-0.99993469999999995</v>
      </c>
      <c r="N1914">
        <v>-1.0164930000000001E-2</v>
      </c>
      <c r="O1914">
        <v>-5.2551780000000001E-3</v>
      </c>
      <c r="P1914">
        <v>-0.9768502</v>
      </c>
      <c r="Q1914">
        <v>0.21292030000000001</v>
      </c>
      <c r="R1914">
        <v>2.0713769999999999E-2</v>
      </c>
      <c r="S1914">
        <v>-3.086395</v>
      </c>
      <c r="T1914">
        <v>-3.7916060000000001E-2</v>
      </c>
      <c r="U1914">
        <v>-0.33425899999999997</v>
      </c>
      <c r="V1914">
        <v>2.5729889999999998E-2</v>
      </c>
      <c r="W1914">
        <v>0.22285140000000001</v>
      </c>
      <c r="X1914">
        <v>0.97451279999999996</v>
      </c>
      <c r="Y1914">
        <v>-0.1024308</v>
      </c>
      <c r="Z1914">
        <v>-1.13839E-3</v>
      </c>
      <c r="AA1914">
        <v>0.9947395</v>
      </c>
      <c r="AB1914">
        <v>41</v>
      </c>
      <c r="AC1914">
        <v>-87.677099999999996</v>
      </c>
      <c r="AD1914">
        <v>-1.0801681999999999</v>
      </c>
      <c r="AE1914">
        <v>-9.5212999999999894</v>
      </c>
      <c r="AF1914">
        <v>-9.0590270778828597</v>
      </c>
      <c r="AG1914">
        <v>-1.0801681999999999</v>
      </c>
      <c r="AH1914">
        <v>87.7127701352169</v>
      </c>
      <c r="AI1914">
        <v>90.701819538116894</v>
      </c>
      <c r="AJ1914">
        <v>95.896635263515094</v>
      </c>
      <c r="AK1914">
        <v>88.185955683042295</v>
      </c>
      <c r="AL1914">
        <v>77.123434961164193</v>
      </c>
      <c r="AM1914">
        <v>88.487580989342902</v>
      </c>
      <c r="AN1914">
        <v>0.99999998554260505</v>
      </c>
    </row>
    <row r="1915" spans="1:40" x14ac:dyDescent="0.25">
      <c r="A1915" t="str">
        <f>"20190303170535264"</f>
        <v>20190303170535264</v>
      </c>
      <c r="B1915" t="str">
        <f>"1551603935256312"</f>
        <v>1551603935256312</v>
      </c>
      <c r="C1915" t="s">
        <v>40</v>
      </c>
      <c r="D1915">
        <v>5.683986</v>
      </c>
      <c r="E1915">
        <v>0.45249099999999998</v>
      </c>
      <c r="F1915" t="s">
        <v>64</v>
      </c>
      <c r="G1915">
        <v>-429.95819999999998</v>
      </c>
      <c r="H1915">
        <v>2.380384E-2</v>
      </c>
      <c r="I1915">
        <v>275.34109999999998</v>
      </c>
      <c r="J1915">
        <v>-342.54379999999998</v>
      </c>
      <c r="K1915">
        <v>1.1208209999999901</v>
      </c>
      <c r="L1915">
        <v>284.83269999999999</v>
      </c>
      <c r="M1915">
        <v>-0.99993370000000004</v>
      </c>
      <c r="N1915">
        <v>-1.021567E-2</v>
      </c>
      <c r="O1915">
        <v>-5.3144799999999999E-3</v>
      </c>
      <c r="P1915">
        <v>-0.97686850000000003</v>
      </c>
      <c r="Q1915">
        <v>0.2128207</v>
      </c>
      <c r="R1915">
        <v>2.0863039999999999E-2</v>
      </c>
      <c r="S1915">
        <v>-3.0866090000000002</v>
      </c>
      <c r="T1915">
        <v>-3.8620469999999997E-2</v>
      </c>
      <c r="U1915">
        <v>-0.334198</v>
      </c>
      <c r="V1915">
        <v>2.5950890000000001E-2</v>
      </c>
      <c r="W1915">
        <v>0.22279979999999999</v>
      </c>
      <c r="X1915">
        <v>0.97451880000000002</v>
      </c>
      <c r="Y1915">
        <v>-0.10234459999999999</v>
      </c>
      <c r="Z1915">
        <v>-1.1505669999999999E-3</v>
      </c>
      <c r="AA1915">
        <v>0.99474839999999998</v>
      </c>
      <c r="AB1915">
        <v>41</v>
      </c>
      <c r="AC1915">
        <v>-87.414400000000001</v>
      </c>
      <c r="AD1915">
        <v>-1.0970171599999901</v>
      </c>
      <c r="AE1915">
        <v>-9.4916</v>
      </c>
      <c r="AF1915">
        <v>-9.0254747404329301</v>
      </c>
      <c r="AG1915">
        <v>-1.0970171599999901</v>
      </c>
      <c r="AH1915">
        <v>87.449998697493399</v>
      </c>
      <c r="AI1915">
        <v>90.714912586485099</v>
      </c>
      <c r="AJ1915">
        <v>95.892477792382707</v>
      </c>
      <c r="AK1915">
        <v>87.921356410892102</v>
      </c>
      <c r="AL1915">
        <v>77.126468456776493</v>
      </c>
      <c r="AM1915">
        <v>88.474605970029003</v>
      </c>
      <c r="AN1915">
        <v>1.0000000455626299</v>
      </c>
    </row>
    <row r="1916" spans="1:40" x14ac:dyDescent="0.25">
      <c r="A1916" t="str">
        <f>"20190303170535276"</f>
        <v>20190303170535276</v>
      </c>
      <c r="B1916" t="str">
        <f>"1551603935267048"</f>
        <v>1551603935267048</v>
      </c>
      <c r="C1916" t="s">
        <v>40</v>
      </c>
      <c r="D1916">
        <v>5.7022490000000001</v>
      </c>
      <c r="E1916">
        <v>0.45245669999999999</v>
      </c>
      <c r="F1916" t="s">
        <v>64</v>
      </c>
      <c r="G1916">
        <v>-429.95819999999998</v>
      </c>
      <c r="H1916">
        <v>4.4912980000000003E-3</v>
      </c>
      <c r="I1916">
        <v>275.33920000000001</v>
      </c>
      <c r="J1916">
        <v>-342.78899999999999</v>
      </c>
      <c r="K1916">
        <v>1.1207990000000001</v>
      </c>
      <c r="L1916">
        <v>284.83139999999997</v>
      </c>
      <c r="M1916">
        <v>-0.99993310000000002</v>
      </c>
      <c r="N1916">
        <v>-1.025935E-2</v>
      </c>
      <c r="O1916">
        <v>-5.3522109999999999E-3</v>
      </c>
      <c r="P1916">
        <v>-0.97700549999999997</v>
      </c>
      <c r="Q1916">
        <v>0.21221229999999999</v>
      </c>
      <c r="R1916">
        <v>2.0647450000000001E-2</v>
      </c>
      <c r="S1916">
        <v>-3.086792</v>
      </c>
      <c r="T1916">
        <v>-3.9420009999999998E-2</v>
      </c>
      <c r="U1916">
        <v>-0.33523560000000002</v>
      </c>
      <c r="V1916">
        <v>2.5785220000000001E-2</v>
      </c>
      <c r="W1916">
        <v>0.22223399999999999</v>
      </c>
      <c r="X1916">
        <v>0.97465230000000003</v>
      </c>
      <c r="Y1916">
        <v>-0.10263070000000001</v>
      </c>
      <c r="Z1916">
        <v>-1.168047E-3</v>
      </c>
      <c r="AA1916">
        <v>0.99471880000000001</v>
      </c>
      <c r="AB1916">
        <v>41</v>
      </c>
      <c r="AC1916">
        <v>-87.169199999999904</v>
      </c>
      <c r="AD1916">
        <v>-1.1163077019999901</v>
      </c>
      <c r="AE1916">
        <v>-9.4921999999999596</v>
      </c>
      <c r="AF1916">
        <v>-9.0240289552710298</v>
      </c>
      <c r="AG1916">
        <v>-1.1163077019999901</v>
      </c>
      <c r="AH1916">
        <v>87.204624366525707</v>
      </c>
      <c r="AI1916">
        <v>90.729508985138906</v>
      </c>
      <c r="AJ1916">
        <v>95.908000904337101</v>
      </c>
      <c r="AK1916">
        <v>87.677395903265506</v>
      </c>
      <c r="AL1916">
        <v>77.159719039855901</v>
      </c>
      <c r="AM1916">
        <v>88.484547006387899</v>
      </c>
      <c r="AN1916">
        <v>0.99999996711086803</v>
      </c>
    </row>
    <row r="1917" spans="1:40" x14ac:dyDescent="0.25">
      <c r="A1917" t="str">
        <f>"20190303170535291"</f>
        <v>20190303170535291</v>
      </c>
      <c r="B1917" t="str">
        <f>"1551603935276808"</f>
        <v>1551603935276808</v>
      </c>
      <c r="C1917" t="s">
        <v>40</v>
      </c>
      <c r="D1917">
        <v>5.726667</v>
      </c>
      <c r="E1917">
        <v>0.45242520000000003</v>
      </c>
      <c r="F1917" t="s">
        <v>64</v>
      </c>
      <c r="G1917">
        <v>-426.36309999999997</v>
      </c>
      <c r="H1917" s="1">
        <v>4.3633750000000004E-6</v>
      </c>
      <c r="I1917">
        <v>275.72829999999999</v>
      </c>
      <c r="J1917">
        <v>-343.05340000000001</v>
      </c>
      <c r="K1917">
        <v>1.1207830000000001</v>
      </c>
      <c r="L1917">
        <v>284.83</v>
      </c>
      <c r="M1917">
        <v>-0.9999325</v>
      </c>
      <c r="N1917">
        <v>-1.030408E-2</v>
      </c>
      <c r="O1917">
        <v>-5.3852960000000004E-3</v>
      </c>
      <c r="P1917">
        <v>-0.97693759999999996</v>
      </c>
      <c r="Q1917">
        <v>0.21256639999999999</v>
      </c>
      <c r="R1917">
        <v>2.020549E-2</v>
      </c>
      <c r="S1917">
        <v>-3.0867</v>
      </c>
      <c r="T1917">
        <v>-4.1395069999999999E-2</v>
      </c>
      <c r="U1917">
        <v>-0.33621220000000002</v>
      </c>
      <c r="V1917">
        <v>2.5387219999999999E-2</v>
      </c>
      <c r="W1917">
        <v>0.22262960000000001</v>
      </c>
      <c r="X1917">
        <v>0.97457249999999995</v>
      </c>
      <c r="Y1917">
        <v>-0.10291069999999999</v>
      </c>
      <c r="Z1917">
        <v>-1.2031430000000001E-3</v>
      </c>
      <c r="AA1917">
        <v>0.99468990000000002</v>
      </c>
      <c r="AB1917">
        <v>41</v>
      </c>
      <c r="AC1917">
        <v>-83.309699999999907</v>
      </c>
      <c r="AD1917">
        <v>-1.1207786366249901</v>
      </c>
      <c r="AE1917">
        <v>-9.1016999999999904</v>
      </c>
      <c r="AF1917">
        <v>-8.6513495135111693</v>
      </c>
      <c r="AG1917">
        <v>-1.1207786366249901</v>
      </c>
      <c r="AH1917">
        <v>83.342603708454305</v>
      </c>
      <c r="AI1917">
        <v>90.766341210778407</v>
      </c>
      <c r="AJ1917">
        <v>95.926342711399101</v>
      </c>
      <c r="AK1917">
        <v>83.797921132100399</v>
      </c>
      <c r="AL1917">
        <v>77.136470889031898</v>
      </c>
      <c r="AM1917">
        <v>88.507805549271794</v>
      </c>
      <c r="AN1917">
        <v>1.0000000037458601</v>
      </c>
    </row>
    <row r="1918" spans="1:40" x14ac:dyDescent="0.25">
      <c r="A1918" t="str">
        <f>"20190303170535304"</f>
        <v>20190303170535304</v>
      </c>
      <c r="B1918" t="str">
        <f>"1551603935296328"</f>
        <v>1551603935296328</v>
      </c>
      <c r="C1918" t="s">
        <v>40</v>
      </c>
      <c r="D1918">
        <v>5.7070420000000004</v>
      </c>
      <c r="E1918">
        <v>0.45237109999999903</v>
      </c>
      <c r="F1918" t="s">
        <v>64</v>
      </c>
      <c r="G1918">
        <v>-429.35410000000002</v>
      </c>
      <c r="H1918" s="1">
        <v>3.8647459999999996E-6</v>
      </c>
      <c r="I1918">
        <v>275.37819999999999</v>
      </c>
      <c r="J1918">
        <v>-343.28500000000003</v>
      </c>
      <c r="K1918">
        <v>1.1207739999999999</v>
      </c>
      <c r="L1918">
        <v>284.82870000000003</v>
      </c>
      <c r="M1918">
        <v>-0.99993209999999999</v>
      </c>
      <c r="N1918">
        <v>-1.034143E-2</v>
      </c>
      <c r="O1918">
        <v>-5.4086179999999996E-3</v>
      </c>
      <c r="P1918">
        <v>-0.97680319999999998</v>
      </c>
      <c r="Q1918">
        <v>0.21322669999999999</v>
      </c>
      <c r="R1918">
        <v>1.975532E-2</v>
      </c>
      <c r="S1918">
        <v>-3.0865480000000001</v>
      </c>
      <c r="T1918">
        <v>-4.0084719999999997E-2</v>
      </c>
      <c r="U1918">
        <v>-0.33804319999999999</v>
      </c>
      <c r="V1918">
        <v>2.496901E-2</v>
      </c>
      <c r="W1918">
        <v>0.2233232</v>
      </c>
      <c r="X1918">
        <v>0.97442459999999997</v>
      </c>
      <c r="Y1918">
        <v>-0.1034766</v>
      </c>
      <c r="Z1918">
        <v>-1.1923350000000001E-3</v>
      </c>
      <c r="AA1918">
        <v>0.99463120000000005</v>
      </c>
      <c r="AB1918">
        <v>41</v>
      </c>
      <c r="AC1918">
        <v>-86.069099999999906</v>
      </c>
      <c r="AD1918">
        <v>-1.120770135254</v>
      </c>
      <c r="AE1918">
        <v>-9.4505000000000301</v>
      </c>
      <c r="AF1918">
        <v>-8.9833169536084299</v>
      </c>
      <c r="AG1918">
        <v>-1.120770135254</v>
      </c>
      <c r="AH1918">
        <v>86.104531364000195</v>
      </c>
      <c r="AI1918">
        <v>90.741716730727006</v>
      </c>
      <c r="AJ1918">
        <v>95.956141289781499</v>
      </c>
      <c r="AK1918">
        <v>86.579133921512295</v>
      </c>
      <c r="AL1918">
        <v>77.095704165071794</v>
      </c>
      <c r="AM1918">
        <v>88.532153338166594</v>
      </c>
      <c r="AN1918">
        <v>1.00000000210189</v>
      </c>
    </row>
    <row r="1919" spans="1:40" x14ac:dyDescent="0.25">
      <c r="A1919" t="str">
        <f>"20190303170535325"</f>
        <v>20190303170535325</v>
      </c>
      <c r="B1919" t="str">
        <f>"1551603935316824"</f>
        <v>1551603935316824</v>
      </c>
      <c r="C1919" t="s">
        <v>40</v>
      </c>
      <c r="D1919">
        <v>5.7911339999999996</v>
      </c>
      <c r="E1919">
        <v>0.45237349999999998</v>
      </c>
      <c r="F1919" t="s">
        <v>64</v>
      </c>
      <c r="G1919">
        <v>-429.96</v>
      </c>
      <c r="H1919">
        <v>5.1885559999999997E-2</v>
      </c>
      <c r="I1919">
        <v>275.27120000000002</v>
      </c>
      <c r="J1919">
        <v>-343.68450000000001</v>
      </c>
      <c r="K1919">
        <v>1.120757</v>
      </c>
      <c r="L1919">
        <v>284.82650000000001</v>
      </c>
      <c r="M1919">
        <v>-0.99993129999999997</v>
      </c>
      <c r="N1919">
        <v>-1.0399479999999999E-2</v>
      </c>
      <c r="O1919">
        <v>-5.4334869999999999E-3</v>
      </c>
      <c r="P1919">
        <v>-0.97646239999999995</v>
      </c>
      <c r="Q1919">
        <v>0.21479000000000001</v>
      </c>
      <c r="R1919">
        <v>1.9664689999999999E-2</v>
      </c>
      <c r="S1919">
        <v>-3.0864259999999999</v>
      </c>
      <c r="T1919">
        <v>-3.8062209999999999E-2</v>
      </c>
      <c r="U1919">
        <v>-0.34033200000000002</v>
      </c>
      <c r="V1919">
        <v>2.4915179999999999E-2</v>
      </c>
      <c r="W1919">
        <v>0.224938</v>
      </c>
      <c r="X1919">
        <v>0.97405450000000005</v>
      </c>
      <c r="Y1919">
        <v>-0.1041859</v>
      </c>
      <c r="Z1919">
        <v>-1.1734250000000001E-3</v>
      </c>
      <c r="AA1919">
        <v>0.99455709999999997</v>
      </c>
      <c r="AB1919">
        <v>41</v>
      </c>
      <c r="AC1919">
        <v>-86.275499999999894</v>
      </c>
      <c r="AD1919">
        <v>-1.0688714399999999</v>
      </c>
      <c r="AE1919">
        <v>-9.5552999999999795</v>
      </c>
      <c r="AF1919">
        <v>-9.0849792975323798</v>
      </c>
      <c r="AG1919">
        <v>-1.0688714399999999</v>
      </c>
      <c r="AH1919">
        <v>86.313060175089802</v>
      </c>
      <c r="AI1919">
        <v>90.705597642865897</v>
      </c>
      <c r="AJ1919">
        <v>96.008608105105296</v>
      </c>
      <c r="AK1919">
        <v>86.796449764840602</v>
      </c>
      <c r="AL1919">
        <v>77.0007678899929</v>
      </c>
      <c r="AM1919">
        <v>88.534760172367399</v>
      </c>
      <c r="AN1919">
        <v>1.0000000195043399</v>
      </c>
    </row>
    <row r="1920" spans="1:40" x14ac:dyDescent="0.25">
      <c r="A1920" t="str">
        <f>"20190303170535347"</f>
        <v>20190303170535347</v>
      </c>
      <c r="B1920" t="str">
        <f>"1551603935336344"</f>
        <v>1551603935336344</v>
      </c>
      <c r="C1920" t="s">
        <v>40</v>
      </c>
      <c r="D1920">
        <v>5.6072030000000002</v>
      </c>
      <c r="E1920">
        <v>0.47668820000000001</v>
      </c>
      <c r="F1920" t="s">
        <v>43</v>
      </c>
      <c r="G1920">
        <v>-450.8913</v>
      </c>
      <c r="H1920">
        <v>-0.05</v>
      </c>
      <c r="I1920">
        <v>272.98970000000003</v>
      </c>
      <c r="J1920">
        <v>-344.08139999999997</v>
      </c>
      <c r="K1920">
        <v>1.1207450000000001</v>
      </c>
      <c r="L1920">
        <v>284.82429999999999</v>
      </c>
      <c r="M1920">
        <v>-0.9999306</v>
      </c>
      <c r="N1920">
        <v>-1.0451220000000001E-2</v>
      </c>
      <c r="O1920">
        <v>-5.4476639999999996E-3</v>
      </c>
      <c r="P1920">
        <v>-0.9761782</v>
      </c>
      <c r="Q1920">
        <v>0.21606139999999999</v>
      </c>
      <c r="R1920">
        <v>1.984843E-2</v>
      </c>
      <c r="S1920">
        <v>-3.0865779999999998</v>
      </c>
      <c r="T1920">
        <v>-3.3707139999999997E-2</v>
      </c>
      <c r="U1920">
        <v>-0.34078979999999998</v>
      </c>
      <c r="V1920">
        <v>2.5123070000000001E-2</v>
      </c>
      <c r="W1920">
        <v>0.2262555</v>
      </c>
      <c r="X1920">
        <v>0.97374400000000005</v>
      </c>
      <c r="Y1920">
        <v>-0.10431459999999999</v>
      </c>
      <c r="Z1920">
        <v>-1.112112E-3</v>
      </c>
      <c r="AA1920">
        <v>0.99454370000000003</v>
      </c>
      <c r="AB1920">
        <v>41</v>
      </c>
      <c r="AC1920">
        <v>-106.8099</v>
      </c>
      <c r="AD1920">
        <v>-1.1707449999999999</v>
      </c>
      <c r="AE1920">
        <v>-11.834599999999901</v>
      </c>
      <c r="AF1920">
        <v>-11.2511928081022</v>
      </c>
      <c r="AG1920">
        <v>-1.1707449999999999</v>
      </c>
      <c r="AH1920">
        <v>106.860106474818</v>
      </c>
      <c r="AI1920">
        <v>90.624249433923495</v>
      </c>
      <c r="AJ1920">
        <v>96.010469871070796</v>
      </c>
      <c r="AK1920">
        <v>107.457165136949</v>
      </c>
      <c r="AL1920">
        <v>76.923283588580404</v>
      </c>
      <c r="AM1920">
        <v>88.522068828569303</v>
      </c>
      <c r="AN1920">
        <v>1.0000000487312299</v>
      </c>
    </row>
    <row r="1921" spans="1:40" x14ac:dyDescent="0.25">
      <c r="A1921" t="str">
        <f>"20190303170535361"</f>
        <v>20190303170535361</v>
      </c>
      <c r="B1921" t="str">
        <f>"1551603935356840"</f>
        <v>1551603935356840</v>
      </c>
      <c r="C1921" t="s">
        <v>40</v>
      </c>
      <c r="D1921">
        <v>5.3928399999999996</v>
      </c>
      <c r="E1921">
        <v>0.47978920000000003</v>
      </c>
      <c r="F1921" t="s">
        <v>60</v>
      </c>
      <c r="G1921">
        <v>-380.41320000000002</v>
      </c>
      <c r="H1921" s="1">
        <v>-1.3169010000000001E-6</v>
      </c>
      <c r="I1921">
        <v>283.08850000000001</v>
      </c>
      <c r="J1921">
        <v>-344.3374</v>
      </c>
      <c r="K1921">
        <v>1.1207389999999999</v>
      </c>
      <c r="L1921">
        <v>284.8229</v>
      </c>
      <c r="M1921">
        <v>-0.99993030000000005</v>
      </c>
      <c r="N1921">
        <v>-1.0481880000000001E-2</v>
      </c>
      <c r="O1921">
        <v>-5.4535130000000001E-3</v>
      </c>
      <c r="P1921">
        <v>-0.97608569999999995</v>
      </c>
      <c r="Q1921">
        <v>0.2164934</v>
      </c>
      <c r="R1921">
        <v>1.9691030000000002E-2</v>
      </c>
      <c r="S1921">
        <v>-3.0973510000000002</v>
      </c>
      <c r="T1921">
        <v>-9.5545530000000004E-2</v>
      </c>
      <c r="U1921">
        <v>-0.14797969999999999</v>
      </c>
      <c r="V1921">
        <v>2.497723E-2</v>
      </c>
      <c r="W1921">
        <v>0.22671530000000001</v>
      </c>
      <c r="X1921">
        <v>0.97364070000000003</v>
      </c>
      <c r="Y1921">
        <v>-4.2247739999999999E-2</v>
      </c>
      <c r="Z1921">
        <v>-7.6175280000000004E-4</v>
      </c>
      <c r="AA1921">
        <v>0.99910690000000002</v>
      </c>
      <c r="AB1921">
        <v>41</v>
      </c>
      <c r="AC1921">
        <v>-36.075800000000001</v>
      </c>
      <c r="AD1921">
        <v>-1.120740316901</v>
      </c>
      <c r="AE1921">
        <v>-1.7343999999999899</v>
      </c>
      <c r="AF1921">
        <v>-1.5361444401234601</v>
      </c>
      <c r="AG1921">
        <v>-1.120740316901</v>
      </c>
      <c r="AH1921">
        <v>36.0500104746096</v>
      </c>
      <c r="AI1921">
        <v>91.779052256700794</v>
      </c>
      <c r="AJ1921">
        <v>92.439982109483907</v>
      </c>
      <c r="AK1921">
        <v>36.100125398927801</v>
      </c>
      <c r="AL1921">
        <v>76.896234847001793</v>
      </c>
      <c r="AM1921">
        <v>88.530488655637697</v>
      </c>
      <c r="AN1921">
        <v>0.99999995098452499</v>
      </c>
    </row>
    <row r="1922" spans="1:40" x14ac:dyDescent="0.25">
      <c r="A1922" t="str">
        <f>"20190303170535382"</f>
        <v>20190303170535382</v>
      </c>
      <c r="B1922" t="str">
        <f>"1551603935376360"</f>
        <v>1551603935376360</v>
      </c>
      <c r="C1922" t="s">
        <v>40</v>
      </c>
      <c r="D1922">
        <v>5.6741429999999999</v>
      </c>
      <c r="E1922">
        <v>0.48134719999999998</v>
      </c>
      <c r="F1922" t="s">
        <v>60</v>
      </c>
      <c r="G1922">
        <v>-377.3338</v>
      </c>
      <c r="H1922" s="1">
        <v>2.3659040000000002E-6</v>
      </c>
      <c r="I1922">
        <v>283.50569999999999</v>
      </c>
      <c r="J1922">
        <v>-344.7192</v>
      </c>
      <c r="K1922">
        <v>1.12073</v>
      </c>
      <c r="L1922">
        <v>284.82069999999999</v>
      </c>
      <c r="M1922">
        <v>-0.99992979999999998</v>
      </c>
      <c r="N1922">
        <v>-1.052346E-2</v>
      </c>
      <c r="O1922">
        <v>-5.4591379999999997E-3</v>
      </c>
      <c r="P1922">
        <v>-0.97603779999999996</v>
      </c>
      <c r="Q1922">
        <v>0.21673909999999999</v>
      </c>
      <c r="R1922">
        <v>1.9353809999999999E-2</v>
      </c>
      <c r="S1922">
        <v>-3.0993650000000001</v>
      </c>
      <c r="T1922">
        <v>-0.1052713</v>
      </c>
      <c r="U1922">
        <v>-0.1237183</v>
      </c>
      <c r="V1922">
        <v>2.4653749999999999E-2</v>
      </c>
      <c r="W1922">
        <v>0.22700000000000001</v>
      </c>
      <c r="X1922">
        <v>0.97358270000000002</v>
      </c>
      <c r="Y1922">
        <v>-3.4405379999999999E-2</v>
      </c>
      <c r="Z1922">
        <v>-6.3720249999999997E-4</v>
      </c>
      <c r="AA1922">
        <v>0.99940779999999996</v>
      </c>
      <c r="AB1922">
        <v>41</v>
      </c>
      <c r="AC1922">
        <v>-32.614600000000003</v>
      </c>
      <c r="AD1922">
        <v>-1.120727634096</v>
      </c>
      <c r="AE1922">
        <v>-1.31499999999999</v>
      </c>
      <c r="AF1922">
        <v>-1.1355842336625801</v>
      </c>
      <c r="AG1922">
        <v>-1.120727634096</v>
      </c>
      <c r="AH1922">
        <v>32.582881715930597</v>
      </c>
      <c r="AI1922">
        <v>91.968786588653401</v>
      </c>
      <c r="AJ1922">
        <v>91.996074493867894</v>
      </c>
      <c r="AK1922">
        <v>32.621921508333799</v>
      </c>
      <c r="AL1922">
        <v>76.879487258434594</v>
      </c>
      <c r="AM1922">
        <v>88.549425733005904</v>
      </c>
      <c r="AN1922">
        <v>1.00000004056417</v>
      </c>
    </row>
    <row r="1923" spans="1:40" x14ac:dyDescent="0.25">
      <c r="A1923" t="str">
        <f>"20190303170535404"</f>
        <v>20190303170535404</v>
      </c>
      <c r="B1923" t="str">
        <f>"1551603935396857"</f>
        <v>1551603935396857</v>
      </c>
      <c r="C1923" t="s">
        <v>40</v>
      </c>
      <c r="D1923">
        <v>5.623837</v>
      </c>
      <c r="E1923">
        <v>0.48208580000000001</v>
      </c>
      <c r="F1923" t="s">
        <v>60</v>
      </c>
      <c r="G1923">
        <v>-377.49380000000002</v>
      </c>
      <c r="H1923" s="1">
        <v>2.451041E-6</v>
      </c>
      <c r="I1923">
        <v>283.6345</v>
      </c>
      <c r="J1923">
        <v>-345.12920000000003</v>
      </c>
      <c r="K1923">
        <v>1.120717</v>
      </c>
      <c r="L1923">
        <v>284.81849999999997</v>
      </c>
      <c r="M1923">
        <v>-0.99992939999999997</v>
      </c>
      <c r="N1923">
        <v>-1.056283E-2</v>
      </c>
      <c r="O1923">
        <v>-5.4625119999999897E-3</v>
      </c>
      <c r="P1923">
        <v>-0.97620510000000005</v>
      </c>
      <c r="Q1923">
        <v>0.21605250000000001</v>
      </c>
      <c r="R1923">
        <v>1.8576100000000002E-2</v>
      </c>
      <c r="S1923">
        <v>-3.0994259999999998</v>
      </c>
      <c r="T1923">
        <v>-0.10598490000000001</v>
      </c>
      <c r="U1923">
        <v>-0.11218259999999999</v>
      </c>
      <c r="V1923">
        <v>2.3887559999999999E-2</v>
      </c>
      <c r="W1923">
        <v>0.226353</v>
      </c>
      <c r="X1923">
        <v>0.97375239999999996</v>
      </c>
      <c r="Y1923">
        <v>-3.0689250000000001E-2</v>
      </c>
      <c r="Z1923">
        <v>-5.575895E-4</v>
      </c>
      <c r="AA1923">
        <v>0.9995288</v>
      </c>
      <c r="AB1923">
        <v>41</v>
      </c>
      <c r="AC1923">
        <v>-32.364600000000003</v>
      </c>
      <c r="AD1923">
        <v>-1.120714548959</v>
      </c>
      <c r="AE1923">
        <v>-1.18399999999996</v>
      </c>
      <c r="AF1923">
        <v>-1.00597583595184</v>
      </c>
      <c r="AG1923">
        <v>-1.120714548959</v>
      </c>
      <c r="AH1923">
        <v>32.3318682493992</v>
      </c>
      <c r="AI1923">
        <v>91.984280426345805</v>
      </c>
      <c r="AJ1923">
        <v>91.782129646650802</v>
      </c>
      <c r="AK1923">
        <v>32.366922822215898</v>
      </c>
      <c r="AL1923">
        <v>76.917548030491901</v>
      </c>
      <c r="AM1923">
        <v>88.594733198007106</v>
      </c>
      <c r="AN1923">
        <v>1.0000000163187499</v>
      </c>
    </row>
    <row r="1924" spans="1:40" x14ac:dyDescent="0.25">
      <c r="A1924" t="str">
        <f>"20190303170535417"</f>
        <v>20190303170535417</v>
      </c>
      <c r="B1924" t="str">
        <f>"1551603935406617"</f>
        <v>1551603935406617</v>
      </c>
      <c r="C1924" t="s">
        <v>40</v>
      </c>
      <c r="D1924">
        <v>5.7443280000000003</v>
      </c>
      <c r="E1924">
        <v>0.48226799999999997</v>
      </c>
      <c r="F1924" t="s">
        <v>60</v>
      </c>
      <c r="G1924">
        <v>-377.54050000000001</v>
      </c>
      <c r="H1924" s="1">
        <v>2.475913E-6</v>
      </c>
      <c r="I1924">
        <v>283.68799999999999</v>
      </c>
      <c r="J1924">
        <v>-345.38409999999999</v>
      </c>
      <c r="K1924">
        <v>1.1207100000000001</v>
      </c>
      <c r="L1924">
        <v>284.81709999999998</v>
      </c>
      <c r="M1924">
        <v>-0.99992919999999996</v>
      </c>
      <c r="N1924">
        <v>-1.0580529999999999E-2</v>
      </c>
      <c r="O1924">
        <v>-5.4643030000000002E-3</v>
      </c>
      <c r="P1924">
        <v>-0.97627620000000004</v>
      </c>
      <c r="Q1924">
        <v>0.21573800000000001</v>
      </c>
      <c r="R1924">
        <v>1.8500679999999999E-2</v>
      </c>
      <c r="S1924">
        <v>-3.098938</v>
      </c>
      <c r="T1924">
        <v>-0.1071545</v>
      </c>
      <c r="U1924">
        <v>-0.1080933</v>
      </c>
      <c r="V1924">
        <v>2.3818140000000002E-2</v>
      </c>
      <c r="W1924">
        <v>0.2260558</v>
      </c>
      <c r="X1924">
        <v>0.97382310000000005</v>
      </c>
      <c r="Y1924">
        <v>-2.93764E-2</v>
      </c>
      <c r="Z1924">
        <v>-5.3206529999999996E-4</v>
      </c>
      <c r="AA1924">
        <v>0.99956829999999997</v>
      </c>
      <c r="AB1924">
        <v>41</v>
      </c>
      <c r="AC1924">
        <v>-32.156399999999998</v>
      </c>
      <c r="AD1924">
        <v>-1.1207075240869999</v>
      </c>
      <c r="AE1924">
        <v>-1.12909999999999</v>
      </c>
      <c r="AF1924">
        <v>-0.95220584195325397</v>
      </c>
      <c r="AG1924">
        <v>-1.1207075240869999</v>
      </c>
      <c r="AH1924">
        <v>32.123119786375803</v>
      </c>
      <c r="AI1924">
        <v>91.997241265477896</v>
      </c>
      <c r="AJ1924">
        <v>91.697886302046001</v>
      </c>
      <c r="AK1924">
        <v>32.156764546978899</v>
      </c>
      <c r="AL1924">
        <v>76.935028964800196</v>
      </c>
      <c r="AM1924">
        <v>88.598917120792393</v>
      </c>
      <c r="AN1924">
        <v>0.99999997930015405</v>
      </c>
    </row>
    <row r="1925" spans="1:40" x14ac:dyDescent="0.25">
      <c r="A1925" t="str">
        <f>"20190303170535431"</f>
        <v>20190303170535431</v>
      </c>
      <c r="B1925" t="str">
        <f>"1551603935426138"</f>
        <v>1551603935426138</v>
      </c>
      <c r="C1925" t="s">
        <v>40</v>
      </c>
      <c r="D1925">
        <v>5.6184820000000002</v>
      </c>
      <c r="E1925">
        <v>0.48221439999999999</v>
      </c>
      <c r="F1925" t="s">
        <v>60</v>
      </c>
      <c r="G1925">
        <v>-376.68860000000001</v>
      </c>
      <c r="H1925" s="1">
        <v>2.022563E-6</v>
      </c>
      <c r="I1925">
        <v>283.73860000000002</v>
      </c>
      <c r="J1925">
        <v>-345.64490000000001</v>
      </c>
      <c r="K1925">
        <v>1.1207020000000001</v>
      </c>
      <c r="L1925">
        <v>284.81569999999999</v>
      </c>
      <c r="M1925">
        <v>-0.99992899999999996</v>
      </c>
      <c r="N1925">
        <v>-1.059454E-2</v>
      </c>
      <c r="O1925">
        <v>-5.4659620000000004E-3</v>
      </c>
      <c r="P1925">
        <v>-0.97627459999999999</v>
      </c>
      <c r="Q1925">
        <v>0.2157896</v>
      </c>
      <c r="R1925">
        <v>1.7976829999999999E-2</v>
      </c>
      <c r="S1925">
        <v>-3.0994259999999998</v>
      </c>
      <c r="T1925">
        <v>-0.11096</v>
      </c>
      <c r="U1925">
        <v>-0.106781</v>
      </c>
      <c r="V1925">
        <v>2.3299500000000001E-2</v>
      </c>
      <c r="W1925">
        <v>0.22612080000000001</v>
      </c>
      <c r="X1925">
        <v>0.97382060000000004</v>
      </c>
      <c r="Y1925">
        <v>-2.8945619999999998E-2</v>
      </c>
      <c r="Z1925">
        <v>-5.3358180000000004E-4</v>
      </c>
      <c r="AA1925">
        <v>0.99958089999999999</v>
      </c>
      <c r="AB1925">
        <v>41</v>
      </c>
      <c r="AC1925">
        <v>-31.043700000000001</v>
      </c>
      <c r="AD1925">
        <v>-1.1206999774369999</v>
      </c>
      <c r="AE1925">
        <v>-1.07709999999997</v>
      </c>
      <c r="AF1925">
        <v>-0.90621109975747904</v>
      </c>
      <c r="AG1925">
        <v>-1.1206999774369999</v>
      </c>
      <c r="AH1925">
        <v>31.0087599692251</v>
      </c>
      <c r="AI1925">
        <v>92.068966192457395</v>
      </c>
      <c r="AJ1925">
        <v>91.673955921183307</v>
      </c>
      <c r="AK1925">
        <v>31.042235451490399</v>
      </c>
      <c r="AL1925">
        <v>76.931206310767493</v>
      </c>
      <c r="AM1925">
        <v>88.629410416701504</v>
      </c>
      <c r="AN1925">
        <v>1.00000002193862</v>
      </c>
    </row>
    <row r="1926" spans="1:40" x14ac:dyDescent="0.25">
      <c r="A1926" t="str">
        <f>"20190303170535447"</f>
        <v>20190303170535447</v>
      </c>
      <c r="B1926" t="str">
        <f>"1551603935436873"</f>
        <v>1551603935436873</v>
      </c>
      <c r="C1926" t="s">
        <v>40</v>
      </c>
      <c r="D1926">
        <v>5.5994789999999997</v>
      </c>
      <c r="E1926">
        <v>0.48251379999999999</v>
      </c>
      <c r="F1926" t="s">
        <v>60</v>
      </c>
      <c r="G1926">
        <v>-376.5224</v>
      </c>
      <c r="H1926" s="1">
        <v>1.9341269999999999E-6</v>
      </c>
      <c r="I1926">
        <v>283.72770000000003</v>
      </c>
      <c r="J1926">
        <v>-345.92939999999999</v>
      </c>
      <c r="K1926">
        <v>1.1206940000000001</v>
      </c>
      <c r="L1926">
        <v>284.8141</v>
      </c>
      <c r="M1926">
        <v>-0.99992879999999995</v>
      </c>
      <c r="N1926">
        <v>-1.0604570000000001E-2</v>
      </c>
      <c r="O1926">
        <v>-5.4674839999999999E-3</v>
      </c>
      <c r="P1926">
        <v>-0.97611809999999999</v>
      </c>
      <c r="Q1926">
        <v>0.21651590000000001</v>
      </c>
      <c r="R1926">
        <v>1.7728219999999999E-2</v>
      </c>
      <c r="S1926">
        <v>-3.0997919999999999</v>
      </c>
      <c r="T1926">
        <v>-0.112507</v>
      </c>
      <c r="U1926">
        <v>-0.1092224</v>
      </c>
      <c r="V1926">
        <v>2.305484E-2</v>
      </c>
      <c r="W1926">
        <v>0.22685459999999999</v>
      </c>
      <c r="X1926">
        <v>0.97365570000000001</v>
      </c>
      <c r="Y1926">
        <v>-2.9725149999999999E-2</v>
      </c>
      <c r="Z1926">
        <v>-5.5646609999999996E-4</v>
      </c>
      <c r="AA1926">
        <v>0.99955799999999995</v>
      </c>
      <c r="AB1926">
        <v>41</v>
      </c>
      <c r="AC1926">
        <v>-30.593</v>
      </c>
      <c r="AD1926">
        <v>-1.120692065873</v>
      </c>
      <c r="AE1926">
        <v>-1.0863999999999601</v>
      </c>
      <c r="AF1926">
        <v>-0.91787744029629503</v>
      </c>
      <c r="AG1926">
        <v>-1.120692065873</v>
      </c>
      <c r="AH1926">
        <v>30.557528603474001</v>
      </c>
      <c r="AI1926">
        <v>92.099425370157405</v>
      </c>
      <c r="AJ1926">
        <v>91.720515289844798</v>
      </c>
      <c r="AK1926">
        <v>30.5918453849069</v>
      </c>
      <c r="AL1926">
        <v>76.888040396728599</v>
      </c>
      <c r="AM1926">
        <v>88.643567497739696</v>
      </c>
      <c r="AN1926">
        <v>0.99999997866553703</v>
      </c>
    </row>
    <row r="1927" spans="1:40" x14ac:dyDescent="0.25">
      <c r="A1927" t="str">
        <f>"20190303170535460"</f>
        <v>20190303170535460</v>
      </c>
      <c r="B1927" t="str">
        <f>"1551603935446633"</f>
        <v>1551603935446633</v>
      </c>
      <c r="C1927" t="s">
        <v>40</v>
      </c>
      <c r="D1927">
        <v>5.6154999999999999</v>
      </c>
      <c r="E1927">
        <v>0.48275289999999998</v>
      </c>
      <c r="F1927" t="s">
        <v>60</v>
      </c>
      <c r="G1927">
        <v>-377.36680000000001</v>
      </c>
      <c r="H1927" s="1">
        <v>2.383448E-6</v>
      </c>
      <c r="I1927">
        <v>283.71980000000002</v>
      </c>
      <c r="J1927">
        <v>-346.17110000000002</v>
      </c>
      <c r="K1927">
        <v>1.12069</v>
      </c>
      <c r="L1927">
        <v>284.81279999999998</v>
      </c>
      <c r="M1927">
        <v>-0.99992890000000001</v>
      </c>
      <c r="N1927">
        <v>-1.060738E-2</v>
      </c>
      <c r="O1927">
        <v>-5.468751E-3</v>
      </c>
      <c r="P1927">
        <v>-0.97593719999999995</v>
      </c>
      <c r="Q1927">
        <v>0.21733759999999999</v>
      </c>
      <c r="R1927">
        <v>1.7634819999999999E-2</v>
      </c>
      <c r="S1927">
        <v>-3.0998839999999999</v>
      </c>
      <c r="T1927">
        <v>-0.1105057</v>
      </c>
      <c r="U1927">
        <v>-0.107910199999999</v>
      </c>
      <c r="V1927">
        <v>2.2964169999999999E-2</v>
      </c>
      <c r="W1927">
        <v>0.2276774</v>
      </c>
      <c r="X1927">
        <v>0.97346580000000005</v>
      </c>
      <c r="Y1927">
        <v>-2.9301270000000001E-2</v>
      </c>
      <c r="Z1927">
        <v>-5.4062330000000005E-4</v>
      </c>
      <c r="AA1927">
        <v>0.99957050000000003</v>
      </c>
      <c r="AB1927">
        <v>41</v>
      </c>
      <c r="AC1927">
        <v>-31.195699999999899</v>
      </c>
      <c r="AD1927">
        <v>-1.1206876165520001</v>
      </c>
      <c r="AE1927">
        <v>-1.09299999999996</v>
      </c>
      <c r="AF1927">
        <v>-0.92118516798501604</v>
      </c>
      <c r="AG1927">
        <v>-1.1206876165520001</v>
      </c>
      <c r="AH1927">
        <v>31.161045108119499</v>
      </c>
      <c r="AI1927">
        <v>92.058820713030997</v>
      </c>
      <c r="AJ1927">
        <v>91.693289010109396</v>
      </c>
      <c r="AK1927">
        <v>31.194795320339399</v>
      </c>
      <c r="AL1927">
        <v>76.839631064496402</v>
      </c>
      <c r="AM1927">
        <v>88.648636620108803</v>
      </c>
      <c r="AN1927">
        <v>1.0000000076720901</v>
      </c>
    </row>
    <row r="1928" spans="1:40" x14ac:dyDescent="0.25">
      <c r="A1928" t="str">
        <f>"20190303170535473"</f>
        <v>20190303170535473</v>
      </c>
      <c r="B1928" t="str">
        <f>"1551603935466152"</f>
        <v>1551603935466152</v>
      </c>
      <c r="C1928" t="s">
        <v>40</v>
      </c>
      <c r="D1928">
        <v>5.9209759999999996</v>
      </c>
      <c r="E1928">
        <v>0.48329689999999997</v>
      </c>
      <c r="F1928" t="s">
        <v>60</v>
      </c>
      <c r="G1928">
        <v>-378.38099999999997</v>
      </c>
      <c r="H1928" s="1">
        <v>2.9231769999999998E-6</v>
      </c>
      <c r="I1928">
        <v>283.70740000000001</v>
      </c>
      <c r="J1928">
        <v>-346.42489999999998</v>
      </c>
      <c r="K1928">
        <v>1.1206849999999999</v>
      </c>
      <c r="L1928">
        <v>284.81139999999999</v>
      </c>
      <c r="M1928">
        <v>-0.99992899999999996</v>
      </c>
      <c r="N1928">
        <v>-1.0605369999999999E-2</v>
      </c>
      <c r="O1928">
        <v>-5.4703549999999997E-3</v>
      </c>
      <c r="P1928">
        <v>-0.97583359999999997</v>
      </c>
      <c r="Q1928">
        <v>0.21779689999999999</v>
      </c>
      <c r="R1928">
        <v>1.7713920000000001E-2</v>
      </c>
      <c r="S1928">
        <v>-3.0998839999999999</v>
      </c>
      <c r="T1928">
        <v>-0.1078551</v>
      </c>
      <c r="U1928">
        <v>-0.1063843</v>
      </c>
      <c r="V1928">
        <v>2.3046710000000002E-2</v>
      </c>
      <c r="W1928">
        <v>0.22813339999999999</v>
      </c>
      <c r="X1928">
        <v>0.97335709999999998</v>
      </c>
      <c r="Y1928">
        <v>-2.880951E-2</v>
      </c>
      <c r="Z1928">
        <v>-5.215431E-4</v>
      </c>
      <c r="AA1928">
        <v>0.99958480000000005</v>
      </c>
      <c r="AB1928">
        <v>41</v>
      </c>
      <c r="AC1928">
        <v>-31.9560999999999</v>
      </c>
      <c r="AD1928">
        <v>-1.1206820768229999</v>
      </c>
      <c r="AE1928">
        <v>-1.1039999999999801</v>
      </c>
      <c r="AF1928">
        <v>-0.92802249030637896</v>
      </c>
      <c r="AG1928">
        <v>-1.1206820768229999</v>
      </c>
      <c r="AH1928">
        <v>31.9224479262678</v>
      </c>
      <c r="AI1928">
        <v>92.009774168094907</v>
      </c>
      <c r="AJ1928">
        <v>91.665185597400693</v>
      </c>
      <c r="AK1928">
        <v>31.9555916181363</v>
      </c>
      <c r="AL1928">
        <v>76.812798218241895</v>
      </c>
      <c r="AM1928">
        <v>88.643629832764802</v>
      </c>
      <c r="AN1928">
        <v>1.00000002157889</v>
      </c>
    </row>
    <row r="1929" spans="1:40" x14ac:dyDescent="0.25">
      <c r="A1929" t="str">
        <f>"20190303170535486"</f>
        <v>20190303170535486</v>
      </c>
      <c r="B1929" t="str">
        <f>"1551603935476889"</f>
        <v>1551603935476889</v>
      </c>
      <c r="C1929" t="s">
        <v>40</v>
      </c>
      <c r="D1929">
        <v>5.6039490000000001</v>
      </c>
      <c r="E1929">
        <v>0.48337849999999999</v>
      </c>
      <c r="F1929" t="s">
        <v>60</v>
      </c>
      <c r="G1929">
        <v>-378.97559999999999</v>
      </c>
      <c r="H1929" s="1">
        <v>3.2396080000000001E-6</v>
      </c>
      <c r="I1929">
        <v>283.7414</v>
      </c>
      <c r="J1929">
        <v>-346.65589999999997</v>
      </c>
      <c r="K1929">
        <v>1.1206799999999999</v>
      </c>
      <c r="L1929">
        <v>284.81020000000001</v>
      </c>
      <c r="M1929">
        <v>-0.99992899999999996</v>
      </c>
      <c r="N1929">
        <v>-1.060172E-2</v>
      </c>
      <c r="O1929">
        <v>-5.4718400000000004E-3</v>
      </c>
      <c r="P1929">
        <v>-0.97569729999999999</v>
      </c>
      <c r="Q1929">
        <v>0.2184208</v>
      </c>
      <c r="R1929">
        <v>1.753118E-2</v>
      </c>
      <c r="S1929">
        <v>-3.0999759999999998</v>
      </c>
      <c r="T1929">
        <v>-0.1067282</v>
      </c>
      <c r="U1929">
        <v>-0.10189819999999999</v>
      </c>
      <c r="V1929">
        <v>2.2866560000000001E-2</v>
      </c>
      <c r="W1929">
        <v>0.2287517</v>
      </c>
      <c r="X1929">
        <v>0.97321619999999998</v>
      </c>
      <c r="Y1929">
        <v>-2.7363579999999998E-2</v>
      </c>
      <c r="Z1929">
        <v>-4.8563950000000001E-4</v>
      </c>
      <c r="AA1929">
        <v>0.9996254</v>
      </c>
      <c r="AB1929">
        <v>41</v>
      </c>
      <c r="AC1929">
        <v>-32.319699999999997</v>
      </c>
      <c r="AD1929">
        <v>-1.12067676039199</v>
      </c>
      <c r="AE1929">
        <v>-1.06880000000001</v>
      </c>
      <c r="AF1929">
        <v>-0.89085592259638302</v>
      </c>
      <c r="AG1929">
        <v>-1.12067676039199</v>
      </c>
      <c r="AH1929">
        <v>32.286288147932801</v>
      </c>
      <c r="AI1929">
        <v>91.987217609850305</v>
      </c>
      <c r="AJ1929">
        <v>91.580526590312303</v>
      </c>
      <c r="AK1929">
        <v>32.318012671689097</v>
      </c>
      <c r="AL1929">
        <v>76.776409693662004</v>
      </c>
      <c r="AM1929">
        <v>88.654033536984301</v>
      </c>
      <c r="AN1929">
        <v>0.99999999588078103</v>
      </c>
    </row>
    <row r="1930" spans="1:40" x14ac:dyDescent="0.25">
      <c r="A1930" t="str">
        <f>"20190303170535500"</f>
        <v>20190303170535500</v>
      </c>
      <c r="B1930" t="str">
        <f>"1551603935486649"</f>
        <v>1551603935486649</v>
      </c>
      <c r="C1930" t="s">
        <v>40</v>
      </c>
      <c r="D1930">
        <v>5.744256</v>
      </c>
      <c r="E1930">
        <v>0.48340939999999999</v>
      </c>
      <c r="F1930" t="s">
        <v>60</v>
      </c>
      <c r="G1930">
        <v>-379.5711</v>
      </c>
      <c r="H1930" s="1">
        <v>3.5564919999999999E-6</v>
      </c>
      <c r="I1930">
        <v>283.72919999999999</v>
      </c>
      <c r="J1930">
        <v>-346.89949999999999</v>
      </c>
      <c r="K1930">
        <v>1.1206750000000001</v>
      </c>
      <c r="L1930">
        <v>284.80880000000002</v>
      </c>
      <c r="M1930">
        <v>-0.99992890000000001</v>
      </c>
      <c r="N1930">
        <v>-1.05959E-2</v>
      </c>
      <c r="O1930">
        <v>-5.47308E-3</v>
      </c>
      <c r="P1930">
        <v>-0.97567630000000005</v>
      </c>
      <c r="Q1930">
        <v>0.21852089999999999</v>
      </c>
      <c r="R1930">
        <v>1.7455120000000001E-2</v>
      </c>
      <c r="S1930">
        <v>-3.1001889999999999</v>
      </c>
      <c r="T1930">
        <v>-0.1055533</v>
      </c>
      <c r="U1930">
        <v>-0.1018066</v>
      </c>
      <c r="V1930">
        <v>2.2793379999999999E-2</v>
      </c>
      <c r="W1930">
        <v>0.22884589999999999</v>
      </c>
      <c r="X1930">
        <v>0.97319580000000006</v>
      </c>
      <c r="Y1930">
        <v>-2.7330980000000001E-2</v>
      </c>
      <c r="Z1930">
        <v>-4.8164319999999998E-4</v>
      </c>
      <c r="AA1930">
        <v>0.99962629999999997</v>
      </c>
      <c r="AB1930">
        <v>41</v>
      </c>
      <c r="AC1930">
        <v>-32.671599999999998</v>
      </c>
      <c r="AD1930">
        <v>-1.1206714435079901</v>
      </c>
      <c r="AE1930">
        <v>-1.0796000000000201</v>
      </c>
      <c r="AF1930">
        <v>-0.89970210897368097</v>
      </c>
      <c r="AG1930">
        <v>-1.1206714435079901</v>
      </c>
      <c r="AH1930">
        <v>32.6386600684081</v>
      </c>
      <c r="AI1930">
        <v>91.965772366267799</v>
      </c>
      <c r="AJ1930">
        <v>91.578988929661193</v>
      </c>
      <c r="AK1930">
        <v>32.670284654870798</v>
      </c>
      <c r="AL1930">
        <v>76.770865747959704</v>
      </c>
      <c r="AM1930">
        <v>88.6583113517718</v>
      </c>
      <c r="AN1930">
        <v>1.00000002462813</v>
      </c>
    </row>
    <row r="1931" spans="1:40" x14ac:dyDescent="0.25">
      <c r="A1931" t="str">
        <f>"20190303170535516"</f>
        <v>20190303170535516</v>
      </c>
      <c r="B1931" t="str">
        <f>"1551603935506168"</f>
        <v>1551603935506168</v>
      </c>
      <c r="C1931" t="s">
        <v>40</v>
      </c>
      <c r="D1931">
        <v>5.6785030000000001</v>
      </c>
      <c r="E1931">
        <v>0.4834387</v>
      </c>
      <c r="F1931" t="s">
        <v>60</v>
      </c>
      <c r="G1931">
        <v>-379.7346</v>
      </c>
      <c r="H1931" s="1">
        <v>3.6434760000000001E-6</v>
      </c>
      <c r="I1931">
        <v>283.72840000000002</v>
      </c>
      <c r="J1931">
        <v>-347.20819999999998</v>
      </c>
      <c r="K1931">
        <v>1.1206670000000001</v>
      </c>
      <c r="L1931">
        <v>284.80709999999999</v>
      </c>
      <c r="M1931">
        <v>-0.99992910000000002</v>
      </c>
      <c r="N1931">
        <v>-1.0585590000000001E-2</v>
      </c>
      <c r="O1931">
        <v>-5.4746519999999896E-3</v>
      </c>
      <c r="P1931">
        <v>-0.97578200000000004</v>
      </c>
      <c r="Q1931">
        <v>0.218004</v>
      </c>
      <c r="R1931">
        <v>1.800591E-2</v>
      </c>
      <c r="S1931">
        <v>-3.100311</v>
      </c>
      <c r="T1931">
        <v>-0.1058147</v>
      </c>
      <c r="U1931">
        <v>-0.10202029999999999</v>
      </c>
      <c r="V1931">
        <v>2.3348230000000001E-2</v>
      </c>
      <c r="W1931">
        <v>0.22832</v>
      </c>
      <c r="X1931">
        <v>0.97330609999999995</v>
      </c>
      <c r="Y1931">
        <v>-2.7396799999999999E-2</v>
      </c>
      <c r="Z1931">
        <v>-4.8355920000000001E-4</v>
      </c>
      <c r="AA1931">
        <v>0.99962450000000003</v>
      </c>
      <c r="AB1931">
        <v>41</v>
      </c>
      <c r="AC1931">
        <v>-32.526400000000002</v>
      </c>
      <c r="AD1931">
        <v>-1.1206633565240001</v>
      </c>
      <c r="AE1931">
        <v>-1.07869999999996</v>
      </c>
      <c r="AF1931">
        <v>-0.89953651028403803</v>
      </c>
      <c r="AG1931">
        <v>-1.1206633565240001</v>
      </c>
      <c r="AH1931">
        <v>32.4932887305769</v>
      </c>
      <c r="AI1931">
        <v>91.974539389164093</v>
      </c>
      <c r="AJ1931">
        <v>91.585757770877095</v>
      </c>
      <c r="AK1931">
        <v>32.525049805044503</v>
      </c>
      <c r="AL1931">
        <v>76.801816226697795</v>
      </c>
      <c r="AM1931">
        <v>88.625819233950097</v>
      </c>
      <c r="AN1931">
        <v>0.99999996327066998</v>
      </c>
    </row>
    <row r="1932" spans="1:40" x14ac:dyDescent="0.25">
      <c r="A1932" t="str">
        <f>"20190303170535538"</f>
        <v>20190303170535538</v>
      </c>
      <c r="B1932" t="str">
        <f>"1551603935526664"</f>
        <v>1551603935526664</v>
      </c>
      <c r="C1932" t="s">
        <v>40</v>
      </c>
      <c r="D1932">
        <v>5.7454470000000004</v>
      </c>
      <c r="E1932">
        <v>0.48356929999999998</v>
      </c>
      <c r="F1932" t="s">
        <v>60</v>
      </c>
      <c r="G1932">
        <v>-379.2715</v>
      </c>
      <c r="H1932" s="1">
        <v>3.397036E-6</v>
      </c>
      <c r="I1932">
        <v>283.76729999999998</v>
      </c>
      <c r="J1932">
        <v>-347.60860000000002</v>
      </c>
      <c r="K1932">
        <v>1.1206529999999999</v>
      </c>
      <c r="L1932">
        <v>284.80500000000001</v>
      </c>
      <c r="M1932">
        <v>-0.99992919999999996</v>
      </c>
      <c r="N1932">
        <v>-1.0566620000000001E-2</v>
      </c>
      <c r="O1932">
        <v>-5.4765329999999996E-3</v>
      </c>
      <c r="P1932">
        <v>-0.97584349999999997</v>
      </c>
      <c r="Q1932">
        <v>0.21767249999999999</v>
      </c>
      <c r="R1932">
        <v>1.8660900000000001E-2</v>
      </c>
      <c r="S1932">
        <v>-3.1005549999999999</v>
      </c>
      <c r="T1932">
        <v>-0.1083694</v>
      </c>
      <c r="U1932">
        <v>-0.1005554</v>
      </c>
      <c r="V1932">
        <v>2.4007199999999999E-2</v>
      </c>
      <c r="W1932">
        <v>0.22797049999999999</v>
      </c>
      <c r="X1932">
        <v>0.97337200000000001</v>
      </c>
      <c r="Y1932">
        <v>-2.692017E-2</v>
      </c>
      <c r="Z1932">
        <v>-4.7905389999999999E-4</v>
      </c>
      <c r="AA1932">
        <v>0.99963749999999996</v>
      </c>
      <c r="AB1932">
        <v>41</v>
      </c>
      <c r="AC1932">
        <v>-31.662899999999901</v>
      </c>
      <c r="AD1932">
        <v>-1.1206496029639901</v>
      </c>
      <c r="AE1932">
        <v>-1.0377000000000201</v>
      </c>
      <c r="AF1932">
        <v>-0.86319170470510498</v>
      </c>
      <c r="AG1932">
        <v>-1.1206496029639901</v>
      </c>
      <c r="AH1932">
        <v>31.628530685659399</v>
      </c>
      <c r="AI1932">
        <v>92.028477878776997</v>
      </c>
      <c r="AJ1932">
        <v>91.563302718876699</v>
      </c>
      <c r="AK1932">
        <v>31.660147011430599</v>
      </c>
      <c r="AL1932">
        <v>76.8223836447727</v>
      </c>
      <c r="AM1932">
        <v>88.587146099299801</v>
      </c>
      <c r="AN1932">
        <v>0.99999997245304395</v>
      </c>
    </row>
    <row r="1933" spans="1:40" x14ac:dyDescent="0.25">
      <c r="A1933" t="str">
        <f>"20190303170535558"</f>
        <v>20190303170535558</v>
      </c>
      <c r="B1933" t="str">
        <f>"1551603935546184"</f>
        <v>1551603935546184</v>
      </c>
      <c r="C1933" t="s">
        <v>40</v>
      </c>
      <c r="D1933">
        <v>5.5884419999999997</v>
      </c>
      <c r="E1933">
        <v>0.48374689999999998</v>
      </c>
      <c r="F1933" t="s">
        <v>60</v>
      </c>
      <c r="G1933">
        <v>-379.17759999999998</v>
      </c>
      <c r="H1933" s="1">
        <v>3.347057E-6</v>
      </c>
      <c r="I1933">
        <v>283.80880000000002</v>
      </c>
      <c r="J1933">
        <v>-347.99099999999999</v>
      </c>
      <c r="K1933">
        <v>1.120644</v>
      </c>
      <c r="L1933">
        <v>284.80290000000002</v>
      </c>
      <c r="M1933">
        <v>-0.99992950000000003</v>
      </c>
      <c r="N1933">
        <v>-1.054337E-2</v>
      </c>
      <c r="O1933">
        <v>-5.4781659999999996E-3</v>
      </c>
      <c r="P1933">
        <v>-0.97571719999999895</v>
      </c>
      <c r="Q1933">
        <v>0.2181997</v>
      </c>
      <c r="R1933">
        <v>1.9110470000000001E-2</v>
      </c>
      <c r="S1933">
        <v>-3.100708</v>
      </c>
      <c r="T1933">
        <v>-0.1100703</v>
      </c>
      <c r="U1933">
        <v>-9.783936E-2</v>
      </c>
      <c r="V1933">
        <v>2.4458980000000002E-2</v>
      </c>
      <c r="W1933">
        <v>0.2284737</v>
      </c>
      <c r="X1933">
        <v>0.97324279999999996</v>
      </c>
      <c r="Y1933">
        <v>-2.6042409999999998E-2</v>
      </c>
      <c r="Z1933">
        <v>-4.6273590000000002E-4</v>
      </c>
      <c r="AA1933">
        <v>0.99966069999999996</v>
      </c>
      <c r="AB1933">
        <v>41</v>
      </c>
      <c r="AC1933">
        <v>-31.186599999999999</v>
      </c>
      <c r="AD1933">
        <v>-1.120640652943</v>
      </c>
      <c r="AE1933">
        <v>-0.99410000000000298</v>
      </c>
      <c r="AF1933">
        <v>-0.82216971271366202</v>
      </c>
      <c r="AG1933">
        <v>-1.120640652943</v>
      </c>
      <c r="AH1933">
        <v>31.1513959838855</v>
      </c>
      <c r="AI1933">
        <v>92.059553966296605</v>
      </c>
      <c r="AJ1933">
        <v>91.511839833933706</v>
      </c>
      <c r="AK1933">
        <v>31.1823871801755</v>
      </c>
      <c r="AL1933">
        <v>76.792771412129397</v>
      </c>
      <c r="AM1933">
        <v>88.560378354062195</v>
      </c>
      <c r="AN1933">
        <v>1.00000001052308</v>
      </c>
    </row>
    <row r="1934" spans="1:40" x14ac:dyDescent="0.25">
      <c r="A1934" t="str">
        <f>"20190303170535573"</f>
        <v>20190303170535573</v>
      </c>
      <c r="B1934" t="str">
        <f>"1551603935566680"</f>
        <v>1551603935566680</v>
      </c>
      <c r="C1934" t="s">
        <v>40</v>
      </c>
      <c r="D1934">
        <v>5.6898289999999996</v>
      </c>
      <c r="E1934">
        <v>0.48386659999999998</v>
      </c>
      <c r="F1934" t="s">
        <v>60</v>
      </c>
      <c r="G1934">
        <v>-380.2448</v>
      </c>
      <c r="H1934" s="1">
        <v>-1.406517E-6</v>
      </c>
      <c r="I1934">
        <v>283.82029999999997</v>
      </c>
      <c r="J1934">
        <v>-348.25529999999998</v>
      </c>
      <c r="K1934">
        <v>1.1206469999999999</v>
      </c>
      <c r="L1934">
        <v>284.8014</v>
      </c>
      <c r="M1934">
        <v>-0.99992979999999998</v>
      </c>
      <c r="N1934">
        <v>-1.052473E-2</v>
      </c>
      <c r="O1934">
        <v>-5.4791229999999998E-3</v>
      </c>
      <c r="P1934">
        <v>-0.97560119999999895</v>
      </c>
      <c r="Q1934">
        <v>0.21873590000000001</v>
      </c>
      <c r="R1934">
        <v>1.8899760000000002E-2</v>
      </c>
      <c r="S1934">
        <v>-3.1005549999999999</v>
      </c>
      <c r="T1934">
        <v>-0.1077274</v>
      </c>
      <c r="U1934">
        <v>-9.4451900000000005E-2</v>
      </c>
      <c r="V1934">
        <v>2.4249550000000002E-2</v>
      </c>
      <c r="W1934">
        <v>0.2289899</v>
      </c>
      <c r="X1934">
        <v>0.97312670000000001</v>
      </c>
      <c r="Y1934">
        <v>-2.4953429999999999E-2</v>
      </c>
      <c r="Z1934">
        <v>-4.3204680000000001E-4</v>
      </c>
      <c r="AA1934">
        <v>0.99968849999999998</v>
      </c>
      <c r="AB1934">
        <v>41</v>
      </c>
      <c r="AC1934">
        <v>-31.9895</v>
      </c>
      <c r="AD1934">
        <v>-1.1206484065169999</v>
      </c>
      <c r="AE1934">
        <v>-0.98110000000002595</v>
      </c>
      <c r="AF1934">
        <v>-0.80481443320844404</v>
      </c>
      <c r="AG1934">
        <v>-1.1206484065169999</v>
      </c>
      <c r="AH1934">
        <v>31.9552162759006</v>
      </c>
      <c r="AI1934">
        <v>92.007865970518495</v>
      </c>
      <c r="AJ1934">
        <v>91.442729212460605</v>
      </c>
      <c r="AK1934">
        <v>31.9849875154347</v>
      </c>
      <c r="AL1934">
        <v>76.762389686533893</v>
      </c>
      <c r="AM1934">
        <v>88.572529777181401</v>
      </c>
      <c r="AN1934">
        <v>0.99999999461505096</v>
      </c>
    </row>
    <row r="1935" spans="1:40" x14ac:dyDescent="0.25">
      <c r="A1935" t="str">
        <f>"20190303170535594"</f>
        <v>20190303170535594</v>
      </c>
      <c r="B1935" t="str">
        <f>"1551603935586200"</f>
        <v>1551603935586200</v>
      </c>
      <c r="C1935" t="s">
        <v>40</v>
      </c>
      <c r="D1935">
        <v>5.6000680000000003</v>
      </c>
      <c r="E1935">
        <v>0.48384830000000001</v>
      </c>
      <c r="F1935" t="s">
        <v>60</v>
      </c>
      <c r="G1935">
        <v>-380.80470000000003</v>
      </c>
      <c r="H1935" s="1">
        <v>-1.1085949999999999E-6</v>
      </c>
      <c r="I1935">
        <v>283.81279999999998</v>
      </c>
      <c r="J1935">
        <v>-348.63830000000002</v>
      </c>
      <c r="K1935">
        <v>1.1206430000000001</v>
      </c>
      <c r="L1935">
        <v>284.79930000000002</v>
      </c>
      <c r="M1935">
        <v>-0.99992999999999999</v>
      </c>
      <c r="N1935">
        <v>-1.0495630000000001E-2</v>
      </c>
      <c r="O1935">
        <v>-5.4801420000000003E-3</v>
      </c>
      <c r="P1935">
        <v>-0.97551049999999995</v>
      </c>
      <c r="Q1935">
        <v>0.21914169999999999</v>
      </c>
      <c r="R1935">
        <v>1.8874809999999999E-2</v>
      </c>
      <c r="S1935">
        <v>-3.1008610000000001</v>
      </c>
      <c r="T1935">
        <v>-0.1067601</v>
      </c>
      <c r="U1935">
        <v>-9.4177250000000004E-2</v>
      </c>
      <c r="V1935">
        <v>2.4225989999999999E-2</v>
      </c>
      <c r="W1935">
        <v>0.2293663</v>
      </c>
      <c r="X1935">
        <v>0.97303870000000003</v>
      </c>
      <c r="Y1935">
        <v>-2.4861319999999999E-2</v>
      </c>
      <c r="Z1935">
        <v>-4.2722639999999998E-4</v>
      </c>
      <c r="AA1935">
        <v>0.99969079999999999</v>
      </c>
      <c r="AB1935">
        <v>41</v>
      </c>
      <c r="AC1935">
        <v>-32.166400000000003</v>
      </c>
      <c r="AD1935">
        <v>-1.1206441085950001</v>
      </c>
      <c r="AE1935">
        <v>-0.98650000000003502</v>
      </c>
      <c r="AF1935">
        <v>-0.80921778461311</v>
      </c>
      <c r="AG1935">
        <v>-1.1206441085950001</v>
      </c>
      <c r="AH1935">
        <v>32.132359274271799</v>
      </c>
      <c r="AI1935">
        <v>91.9967981984734</v>
      </c>
      <c r="AJ1935">
        <v>91.442625645681105</v>
      </c>
      <c r="AK1935">
        <v>32.162076879019203</v>
      </c>
      <c r="AL1935">
        <v>76.740234681166001</v>
      </c>
      <c r="AM1935">
        <v>88.573787164080102</v>
      </c>
      <c r="AN1935">
        <v>1.0000000549324199</v>
      </c>
    </row>
    <row r="1936" spans="1:40" x14ac:dyDescent="0.25">
      <c r="A1936" t="str">
        <f>"20190303170535615"</f>
        <v>20190303170535615</v>
      </c>
      <c r="B1936" t="str">
        <f>"1551603935606696"</f>
        <v>1551603935606696</v>
      </c>
      <c r="C1936" t="s">
        <v>40</v>
      </c>
      <c r="D1936">
        <v>5.6928449999999904</v>
      </c>
      <c r="E1936">
        <v>0.48382530000000001</v>
      </c>
      <c r="F1936" t="s">
        <v>60</v>
      </c>
      <c r="G1936">
        <v>-381.38749999999999</v>
      </c>
      <c r="H1936" s="1">
        <v>-7.9844159999999998E-7</v>
      </c>
      <c r="I1936">
        <v>283.80250000000001</v>
      </c>
      <c r="J1936">
        <v>-349.03570000000002</v>
      </c>
      <c r="K1936">
        <v>1.120636</v>
      </c>
      <c r="L1936">
        <v>284.7971</v>
      </c>
      <c r="M1936">
        <v>-0.99993030000000005</v>
      </c>
      <c r="N1936">
        <v>-1.046476E-2</v>
      </c>
      <c r="O1936">
        <v>-5.481395E-3</v>
      </c>
      <c r="P1936">
        <v>-0.97547189999999995</v>
      </c>
      <c r="Q1936">
        <v>0.21934690000000001</v>
      </c>
      <c r="R1936">
        <v>1.848524E-2</v>
      </c>
      <c r="S1936">
        <v>-3.1009519999999999</v>
      </c>
      <c r="T1936">
        <v>-0.1061115</v>
      </c>
      <c r="U1936">
        <v>-9.4390870000000002E-2</v>
      </c>
      <c r="V1936">
        <v>2.3838069999999999E-2</v>
      </c>
      <c r="W1936">
        <v>0.2295413</v>
      </c>
      <c r="X1936">
        <v>0.97300699999999996</v>
      </c>
      <c r="Y1936">
        <v>-2.4928120000000002E-2</v>
      </c>
      <c r="Z1936">
        <v>-4.2667589999999999E-4</v>
      </c>
      <c r="AA1936">
        <v>0.99968919999999994</v>
      </c>
      <c r="AB1936">
        <v>41</v>
      </c>
      <c r="AC1936">
        <v>-32.351799999999898</v>
      </c>
      <c r="AD1936">
        <v>-1.1206367984415999</v>
      </c>
      <c r="AE1936">
        <v>-0.99459999999999105</v>
      </c>
      <c r="AF1936">
        <v>-0.81626388261845895</v>
      </c>
      <c r="AG1936">
        <v>-1.1206367984415999</v>
      </c>
      <c r="AH1936">
        <v>32.318025326477503</v>
      </c>
      <c r="AI1936">
        <v>91.985319254027303</v>
      </c>
      <c r="AJ1936">
        <v>91.4468252254036</v>
      </c>
      <c r="AK1936">
        <v>32.347749142141701</v>
      </c>
      <c r="AL1936">
        <v>76.729932894192103</v>
      </c>
      <c r="AM1936">
        <v>88.596569565359701</v>
      </c>
      <c r="AN1936">
        <v>1.000000042018</v>
      </c>
    </row>
    <row r="1937" spans="1:40" x14ac:dyDescent="0.25">
      <c r="A1937" t="str">
        <f>"20190303170535628"</f>
        <v>20190303170535628</v>
      </c>
      <c r="B1937" t="str">
        <f>"1551603935616456"</f>
        <v>1551603935616456</v>
      </c>
      <c r="C1937" t="s">
        <v>40</v>
      </c>
      <c r="D1937">
        <v>5.5969509999999998</v>
      </c>
      <c r="E1937">
        <v>0.48385859999999897</v>
      </c>
      <c r="F1937" t="s">
        <v>60</v>
      </c>
      <c r="G1937">
        <v>-381.8449</v>
      </c>
      <c r="H1937" s="1">
        <v>-5.5500059999999898E-7</v>
      </c>
      <c r="I1937">
        <v>283.78719999999998</v>
      </c>
      <c r="J1937">
        <v>-349.27539999999999</v>
      </c>
      <c r="K1937">
        <v>1.120633</v>
      </c>
      <c r="L1937">
        <v>284.79579999999999</v>
      </c>
      <c r="M1937">
        <v>-0.99993050000000006</v>
      </c>
      <c r="N1937">
        <v>-1.044599E-2</v>
      </c>
      <c r="O1937">
        <v>-5.4817669999999898E-3</v>
      </c>
      <c r="P1937">
        <v>-0.97554589999999997</v>
      </c>
      <c r="Q1937">
        <v>0.21903030000000001</v>
      </c>
      <c r="R1937">
        <v>1.8332749999999998E-2</v>
      </c>
      <c r="S1937">
        <v>-3.1010740000000001</v>
      </c>
      <c r="T1937">
        <v>-0.1059208</v>
      </c>
      <c r="U1937">
        <v>-9.5458979999999999E-2</v>
      </c>
      <c r="V1937">
        <v>2.3686659999999998E-2</v>
      </c>
      <c r="W1937">
        <v>0.2292071</v>
      </c>
      <c r="X1937">
        <v>0.97308950000000005</v>
      </c>
      <c r="Y1937">
        <v>-2.5270359999999999E-2</v>
      </c>
      <c r="Z1937">
        <v>-4.3352110000000001E-4</v>
      </c>
      <c r="AA1937">
        <v>0.99968060000000003</v>
      </c>
      <c r="AB1937">
        <v>42</v>
      </c>
      <c r="AC1937">
        <v>-32.569499999999998</v>
      </c>
      <c r="AD1937">
        <v>-1.1206335550005999</v>
      </c>
      <c r="AE1937">
        <v>-1.0085999999999999</v>
      </c>
      <c r="AF1937">
        <v>-0.82905615084314799</v>
      </c>
      <c r="AG1937">
        <v>-1.1206335550005999</v>
      </c>
      <c r="AH1937">
        <v>32.5360581491042</v>
      </c>
      <c r="AI1937">
        <v>91.972008749615497</v>
      </c>
      <c r="AJ1937">
        <v>91.459646448033297</v>
      </c>
      <c r="AK1937">
        <v>32.5659059991847</v>
      </c>
      <c r="AL1937">
        <v>76.749605945449204</v>
      </c>
      <c r="AM1937">
        <v>88.605598252496307</v>
      </c>
      <c r="AN1937">
        <v>1.0000000637813</v>
      </c>
    </row>
    <row r="1938" spans="1:40" x14ac:dyDescent="0.25">
      <c r="A1938" t="str">
        <f>"20190303170535648"</f>
        <v>20190303170535648</v>
      </c>
      <c r="B1938" t="str">
        <f>"1551603935636954"</f>
        <v>1551603935636954</v>
      </c>
      <c r="C1938" t="s">
        <v>40</v>
      </c>
      <c r="D1938">
        <v>5.7459280000000001</v>
      </c>
      <c r="E1938">
        <v>0.48380079999999998</v>
      </c>
      <c r="F1938" t="s">
        <v>60</v>
      </c>
      <c r="G1938">
        <v>-381.64769999999999</v>
      </c>
      <c r="H1938" s="1">
        <v>-6.5995179999999999E-7</v>
      </c>
      <c r="I1938">
        <v>283.79610000000002</v>
      </c>
      <c r="J1938">
        <v>-349.65030000000002</v>
      </c>
      <c r="K1938">
        <v>1.12063</v>
      </c>
      <c r="L1938">
        <v>284.7937</v>
      </c>
      <c r="M1938">
        <v>-0.99993089999999996</v>
      </c>
      <c r="N1938">
        <v>-1.0415870000000001E-2</v>
      </c>
      <c r="O1938">
        <v>-5.4826730000000004E-3</v>
      </c>
      <c r="P1938">
        <v>-0.97556909999999997</v>
      </c>
      <c r="Q1938">
        <v>0.21894939999999999</v>
      </c>
      <c r="R1938">
        <v>1.806555E-2</v>
      </c>
      <c r="S1938">
        <v>-3.101105</v>
      </c>
      <c r="T1938">
        <v>-0.1073511</v>
      </c>
      <c r="U1938">
        <v>-9.5764160000000001E-2</v>
      </c>
      <c r="V1938">
        <v>2.3421000000000001E-2</v>
      </c>
      <c r="W1938">
        <v>0.2290971</v>
      </c>
      <c r="X1938">
        <v>0.97312180000000004</v>
      </c>
      <c r="Y1938">
        <v>-2.5366969999999999E-2</v>
      </c>
      <c r="Z1938">
        <v>-4.38422E-4</v>
      </c>
      <c r="AA1938">
        <v>0.99967810000000001</v>
      </c>
      <c r="AB1938">
        <v>42</v>
      </c>
      <c r="AC1938">
        <v>-31.997399999999899</v>
      </c>
      <c r="AD1938">
        <v>-1.1206306599517999</v>
      </c>
      <c r="AE1938">
        <v>-0.99759999999997695</v>
      </c>
      <c r="AF1938">
        <v>-0.82113802468999597</v>
      </c>
      <c r="AG1938">
        <v>-1.1206306599517999</v>
      </c>
      <c r="AH1938">
        <v>31.963221485896199</v>
      </c>
      <c r="AI1938">
        <v>92.007306030542793</v>
      </c>
      <c r="AJ1938">
        <v>91.4716100230672</v>
      </c>
      <c r="AK1938">
        <v>31.993399451888099</v>
      </c>
      <c r="AL1938">
        <v>76.756080330489496</v>
      </c>
      <c r="AM1938">
        <v>88.621276974238896</v>
      </c>
      <c r="AN1938">
        <v>1.00000003105232</v>
      </c>
    </row>
    <row r="1939" spans="1:40" x14ac:dyDescent="0.25">
      <c r="A1939" t="str">
        <f>"20190303170535671"</f>
        <v>20190303170535671</v>
      </c>
      <c r="B1939" t="str">
        <f>"1551603935656472"</f>
        <v>1551603935656472</v>
      </c>
      <c r="C1939" t="s">
        <v>40</v>
      </c>
      <c r="D1939">
        <v>5.6807049999999997</v>
      </c>
      <c r="E1939">
        <v>0.48378660000000001</v>
      </c>
      <c r="F1939" t="s">
        <v>60</v>
      </c>
      <c r="G1939">
        <v>-381.92489999999998</v>
      </c>
      <c r="H1939" s="1">
        <v>-5.1243159999999896E-7</v>
      </c>
      <c r="I1939">
        <v>283.78629999999998</v>
      </c>
      <c r="J1939">
        <v>-350.07049999999998</v>
      </c>
      <c r="K1939">
        <v>1.120627</v>
      </c>
      <c r="L1939">
        <v>284.79140000000001</v>
      </c>
      <c r="M1939">
        <v>-0.99993109999999996</v>
      </c>
      <c r="N1939">
        <v>-1.038237E-2</v>
      </c>
      <c r="O1939">
        <v>-5.4834439999999996E-3</v>
      </c>
      <c r="P1939">
        <v>-0.97540490000000002</v>
      </c>
      <c r="Q1939">
        <v>0.21964149999999999</v>
      </c>
      <c r="R1939">
        <v>1.8521070000000001E-2</v>
      </c>
      <c r="S1939">
        <v>-3.1010740000000001</v>
      </c>
      <c r="T1939">
        <v>-0.1076747</v>
      </c>
      <c r="U1939">
        <v>-9.6801760000000001E-2</v>
      </c>
      <c r="V1939">
        <v>2.3876970000000001E-2</v>
      </c>
      <c r="W1939">
        <v>0.22975470000000001</v>
      </c>
      <c r="X1939">
        <v>0.97295560000000003</v>
      </c>
      <c r="Y1939">
        <v>-2.5700339999999999E-2</v>
      </c>
      <c r="Z1939">
        <v>-4.460628E-4</v>
      </c>
      <c r="AA1939">
        <v>0.99966960000000005</v>
      </c>
      <c r="AB1939">
        <v>42</v>
      </c>
      <c r="AC1939">
        <v>-31.854399999999998</v>
      </c>
      <c r="AD1939">
        <v>-1.1206275124316001</v>
      </c>
      <c r="AE1939">
        <v>-1.0051000000000201</v>
      </c>
      <c r="AF1939">
        <v>-0.82937823410648004</v>
      </c>
      <c r="AG1939">
        <v>-1.1206275124316001</v>
      </c>
      <c r="AH1939">
        <v>31.820091064615902</v>
      </c>
      <c r="AI1939">
        <v>92.016302516613607</v>
      </c>
      <c r="AJ1939">
        <v>91.493054046504696</v>
      </c>
      <c r="AK1939">
        <v>31.850618041684498</v>
      </c>
      <c r="AL1939">
        <v>76.717369190277594</v>
      </c>
      <c r="AM1939">
        <v>88.594206072101301</v>
      </c>
      <c r="AN1939">
        <v>0.99999996571991401</v>
      </c>
    </row>
    <row r="1940" spans="1:40" x14ac:dyDescent="0.25">
      <c r="A1940" t="str">
        <f>"20190303170535683"</f>
        <v>20190303170535683</v>
      </c>
      <c r="B1940" t="str">
        <f>"1551603935676969"</f>
        <v>1551603935676969</v>
      </c>
      <c r="C1940" t="s">
        <v>40</v>
      </c>
      <c r="D1940">
        <v>5.8443949999999996</v>
      </c>
      <c r="E1940">
        <v>0.51415749999999905</v>
      </c>
      <c r="F1940" t="s">
        <v>60</v>
      </c>
      <c r="G1940">
        <v>-383.09410000000003</v>
      </c>
      <c r="H1940" s="1">
        <v>1.0973569999999999E-7</v>
      </c>
      <c r="I1940">
        <v>283.76089999999999</v>
      </c>
      <c r="J1940">
        <v>-350.3023</v>
      </c>
      <c r="K1940">
        <v>1.120628</v>
      </c>
      <c r="L1940">
        <v>284.79020000000003</v>
      </c>
      <c r="M1940">
        <v>-0.99993129999999997</v>
      </c>
      <c r="N1940">
        <v>-1.0364419999999999E-2</v>
      </c>
      <c r="O1940">
        <v>-5.483824E-3</v>
      </c>
      <c r="P1940">
        <v>-0.97531219999999996</v>
      </c>
      <c r="Q1940">
        <v>0.21999869999999999</v>
      </c>
      <c r="R1940">
        <v>1.9151870000000001E-2</v>
      </c>
      <c r="S1940">
        <v>-3.1011959999999998</v>
      </c>
      <c r="T1940">
        <v>-0.1052363</v>
      </c>
      <c r="U1940">
        <v>-9.6771239999999994E-2</v>
      </c>
      <c r="V1940">
        <v>2.450774E-2</v>
      </c>
      <c r="W1940">
        <v>0.23009350000000001</v>
      </c>
      <c r="X1940">
        <v>0.9728599</v>
      </c>
      <c r="Y1940">
        <v>-2.568962E-2</v>
      </c>
      <c r="Z1940">
        <v>-4.396898E-4</v>
      </c>
      <c r="AA1940">
        <v>0.99966980000000005</v>
      </c>
      <c r="AB1940">
        <v>42</v>
      </c>
      <c r="AC1940">
        <v>-32.791800000000002</v>
      </c>
      <c r="AD1940">
        <v>-1.1206278902643001</v>
      </c>
      <c r="AE1940">
        <v>-1.0293000000000301</v>
      </c>
      <c r="AF1940">
        <v>-0.84846049992738704</v>
      </c>
      <c r="AG1940">
        <v>-1.1206278902643001</v>
      </c>
      <c r="AH1940">
        <v>32.758731590986102</v>
      </c>
      <c r="AI1940">
        <v>91.958583786403395</v>
      </c>
      <c r="AJ1940">
        <v>91.483645349731802</v>
      </c>
      <c r="AK1940">
        <v>32.788872922664602</v>
      </c>
      <c r="AL1940">
        <v>76.697423680582204</v>
      </c>
      <c r="AM1940">
        <v>88.556942121426005</v>
      </c>
      <c r="AN1940">
        <v>1.00000001654508</v>
      </c>
    </row>
    <row r="1941" spans="1:40" x14ac:dyDescent="0.25">
      <c r="A1941" t="str">
        <f>"20190303170535704"</f>
        <v>20190303170535704</v>
      </c>
      <c r="B1941" t="str">
        <f>"1551603935696489"</f>
        <v>1551603935696489</v>
      </c>
      <c r="C1941" t="s">
        <v>40</v>
      </c>
      <c r="D1941">
        <v>5.5367879999999996</v>
      </c>
      <c r="E1941">
        <v>0.51888020000000001</v>
      </c>
      <c r="F1941" t="s">
        <v>60</v>
      </c>
      <c r="G1941">
        <v>-378.67579999999998</v>
      </c>
      <c r="H1941" s="1">
        <v>3.080033E-6</v>
      </c>
      <c r="I1941">
        <v>286.12720000000002</v>
      </c>
      <c r="J1941">
        <v>-350.69979999999998</v>
      </c>
      <c r="K1941">
        <v>1.120633</v>
      </c>
      <c r="L1941">
        <v>284.78800000000001</v>
      </c>
      <c r="M1941">
        <v>-0.99993160000000003</v>
      </c>
      <c r="N1941">
        <v>-1.033601E-2</v>
      </c>
      <c r="O1941">
        <v>-5.4847450000000001E-3</v>
      </c>
      <c r="P1941">
        <v>-0.97504179999999996</v>
      </c>
      <c r="Q1941">
        <v>0.22107399999999999</v>
      </c>
      <c r="R1941">
        <v>2.0492119999999999E-2</v>
      </c>
      <c r="S1941">
        <v>-3.1007389999999999</v>
      </c>
      <c r="T1941">
        <v>-0.1224654</v>
      </c>
      <c r="U1941">
        <v>0.1461182</v>
      </c>
      <c r="V1941">
        <v>2.5847620000000002E-2</v>
      </c>
      <c r="W1941">
        <v>0.23113790000000001</v>
      </c>
      <c r="X1941">
        <v>0.97257760000000004</v>
      </c>
      <c r="Y1941">
        <v>5.2495800000000002E-2</v>
      </c>
      <c r="Z1941">
        <v>1.4670690000000001E-3</v>
      </c>
      <c r="AA1941">
        <v>0.99862010000000001</v>
      </c>
      <c r="AB1941">
        <v>42</v>
      </c>
      <c r="AC1941">
        <v>-27.975999999999999</v>
      </c>
      <c r="AD1941">
        <v>-1.120629919967</v>
      </c>
      <c r="AE1941">
        <v>1.3391999999999999</v>
      </c>
      <c r="AF1941">
        <v>1.4902435652469801</v>
      </c>
      <c r="AG1941">
        <v>-1.120629919967</v>
      </c>
      <c r="AH1941">
        <v>27.923531336283499</v>
      </c>
      <c r="AI1941">
        <v>92.294904243789105</v>
      </c>
      <c r="AJ1941">
        <v>86.945094832973695</v>
      </c>
      <c r="AK1941">
        <v>27.9857149201104</v>
      </c>
      <c r="AL1941">
        <v>76.635926184463102</v>
      </c>
      <c r="AM1941">
        <v>88.4776422835738</v>
      </c>
      <c r="AN1941">
        <v>1.00000000814891</v>
      </c>
    </row>
    <row r="1942" spans="1:40" x14ac:dyDescent="0.25">
      <c r="A1942" t="str">
        <f>"20190303170535726"</f>
        <v>20190303170535726</v>
      </c>
      <c r="B1942" t="str">
        <f>"1551603935716985"</f>
        <v>1551603935716985</v>
      </c>
      <c r="C1942" t="s">
        <v>40</v>
      </c>
      <c r="D1942">
        <v>5.5130239999999997</v>
      </c>
      <c r="E1942">
        <v>0.52182229999999996</v>
      </c>
      <c r="F1942" t="s">
        <v>60</v>
      </c>
      <c r="G1942">
        <v>-380.37419999999997</v>
      </c>
      <c r="H1942" s="1">
        <v>-1.3376750000000001E-6</v>
      </c>
      <c r="I1942">
        <v>286.58370000000002</v>
      </c>
      <c r="J1942">
        <v>-351.11160000000001</v>
      </c>
      <c r="K1942">
        <v>1.12063</v>
      </c>
      <c r="L1942">
        <v>284.78570000000002</v>
      </c>
      <c r="M1942">
        <v>-0.99993180000000004</v>
      </c>
      <c r="N1942">
        <v>-1.0306360000000001E-2</v>
      </c>
      <c r="O1942">
        <v>-5.4854219999999898E-3</v>
      </c>
      <c r="P1942">
        <v>-0.97494579999999997</v>
      </c>
      <c r="Q1942">
        <v>0.22139590000000001</v>
      </c>
      <c r="R1942">
        <v>2.1560320000000001E-2</v>
      </c>
      <c r="S1942">
        <v>-3.099396</v>
      </c>
      <c r="T1942">
        <v>-0.1170466</v>
      </c>
      <c r="U1942">
        <v>0.18756100000000001</v>
      </c>
      <c r="V1942">
        <v>2.69164E-2</v>
      </c>
      <c r="W1942">
        <v>0.23142969999999999</v>
      </c>
      <c r="X1942">
        <v>0.97247919999999999</v>
      </c>
      <c r="Y1942">
        <v>6.581803E-2</v>
      </c>
      <c r="Z1942">
        <v>1.7312849999999999E-3</v>
      </c>
      <c r="AA1942">
        <v>0.9978302</v>
      </c>
      <c r="AB1942">
        <v>42</v>
      </c>
      <c r="AC1942">
        <v>-29.2625999999999</v>
      </c>
      <c r="AD1942">
        <v>-1.1206313376749999</v>
      </c>
      <c r="AE1942">
        <v>1.798</v>
      </c>
      <c r="AF1942">
        <v>1.9556419103961999</v>
      </c>
      <c r="AG1942">
        <v>-1.1206313376749999</v>
      </c>
      <c r="AH1942">
        <v>29.209619853480199</v>
      </c>
      <c r="AI1942">
        <v>92.192180431907104</v>
      </c>
      <c r="AJ1942">
        <v>86.169650506378503</v>
      </c>
      <c r="AK1942">
        <v>29.296454424750799</v>
      </c>
      <c r="AL1942">
        <v>76.618741173237396</v>
      </c>
      <c r="AM1942">
        <v>88.414565076410398</v>
      </c>
      <c r="AN1942">
        <v>0.99999999653184501</v>
      </c>
    </row>
    <row r="1943" spans="1:40" x14ac:dyDescent="0.25">
      <c r="A1943" t="str">
        <f>"20190303170535750"</f>
        <v>20190303170535750</v>
      </c>
      <c r="B1943" t="str">
        <f>"1551603935736505"</f>
        <v>1551603935736505</v>
      </c>
      <c r="C1943" t="s">
        <v>40</v>
      </c>
      <c r="D1943">
        <v>5.5221710000000002</v>
      </c>
      <c r="E1943">
        <v>0.52312479999999995</v>
      </c>
      <c r="F1943" t="s">
        <v>60</v>
      </c>
      <c r="G1943">
        <v>-381.08819999999997</v>
      </c>
      <c r="H1943" s="1">
        <v>-9.5768280000000003E-7</v>
      </c>
      <c r="I1943">
        <v>286.85500000000002</v>
      </c>
      <c r="J1943">
        <v>-351.54300000000001</v>
      </c>
      <c r="K1943">
        <v>1.120617</v>
      </c>
      <c r="L1943">
        <v>284.78339999999997</v>
      </c>
      <c r="M1943">
        <v>-0.99993220000000005</v>
      </c>
      <c r="N1943">
        <v>-1.027556E-2</v>
      </c>
      <c r="O1943">
        <v>-5.485976E-3</v>
      </c>
      <c r="P1943">
        <v>-0.9749546</v>
      </c>
      <c r="Q1943">
        <v>0.22114600000000001</v>
      </c>
      <c r="R1943">
        <v>2.3627820000000001E-2</v>
      </c>
      <c r="S1943">
        <v>-3.098633</v>
      </c>
      <c r="T1943">
        <v>-0.1158378</v>
      </c>
      <c r="U1943">
        <v>0.2138977</v>
      </c>
      <c r="V1943">
        <v>2.898442E-2</v>
      </c>
      <c r="W1943">
        <v>0.23114999999999999</v>
      </c>
      <c r="X1943">
        <v>0.97248630000000003</v>
      </c>
      <c r="Y1943">
        <v>7.4270130000000004E-2</v>
      </c>
      <c r="Z1943">
        <v>1.9168130000000001E-3</v>
      </c>
      <c r="AA1943">
        <v>0.99723629999999996</v>
      </c>
      <c r="AB1943">
        <v>42</v>
      </c>
      <c r="AC1943">
        <v>-29.545199999999902</v>
      </c>
      <c r="AD1943">
        <v>-1.1206179576827999</v>
      </c>
      <c r="AE1943">
        <v>2.0716000000000401</v>
      </c>
      <c r="AF1943">
        <v>2.2304685686651098</v>
      </c>
      <c r="AG1943">
        <v>-1.1206179576827999</v>
      </c>
      <c r="AH1943">
        <v>29.491171446553601</v>
      </c>
      <c r="AI1943">
        <v>92.169910909451701</v>
      </c>
      <c r="AJ1943">
        <v>85.6748548818355</v>
      </c>
      <c r="AK1943">
        <v>29.596620887069299</v>
      </c>
      <c r="AL1943">
        <v>76.635213652863001</v>
      </c>
      <c r="AM1943">
        <v>88.292836137826299</v>
      </c>
      <c r="AN1943">
        <v>1.0000000113952101</v>
      </c>
    </row>
    <row r="1944" spans="1:40" x14ac:dyDescent="0.25">
      <c r="A1944" t="str">
        <f>"20190303170535771"</f>
        <v>20190303170535771</v>
      </c>
      <c r="B1944" t="str">
        <f>"1551603935766761"</f>
        <v>1551603935766761</v>
      </c>
      <c r="C1944" t="s">
        <v>40</v>
      </c>
      <c r="D1944">
        <v>5.500286</v>
      </c>
      <c r="E1944">
        <v>0.52449519999999905</v>
      </c>
      <c r="F1944" t="s">
        <v>60</v>
      </c>
      <c r="G1944">
        <v>-381.67720000000003</v>
      </c>
      <c r="H1944" s="1">
        <v>-6.4428249999999996E-7</v>
      </c>
      <c r="I1944">
        <v>287.02719999999999</v>
      </c>
      <c r="J1944">
        <v>-351.94819999999999</v>
      </c>
      <c r="K1944">
        <v>1.1206179999999999</v>
      </c>
      <c r="L1944">
        <v>284.78120000000001</v>
      </c>
      <c r="M1944">
        <v>-0.9999325</v>
      </c>
      <c r="N1944">
        <v>-1.024854E-2</v>
      </c>
      <c r="O1944">
        <v>-5.4866699999999999E-3</v>
      </c>
      <c r="P1944">
        <v>-0.97487120000000005</v>
      </c>
      <c r="Q1944">
        <v>0.2212923</v>
      </c>
      <c r="R1944">
        <v>2.5618040000000002E-2</v>
      </c>
      <c r="S1944">
        <v>-3.0975649999999999</v>
      </c>
      <c r="T1944">
        <v>-0.1151911</v>
      </c>
      <c r="U1944">
        <v>0.23065189999999999</v>
      </c>
      <c r="V1944">
        <v>3.097511E-2</v>
      </c>
      <c r="W1944">
        <v>0.23126920000000001</v>
      </c>
      <c r="X1944">
        <v>0.97239660000000006</v>
      </c>
      <c r="Y1944">
        <v>7.9655530000000002E-2</v>
      </c>
      <c r="Z1944">
        <v>2.0350310000000001E-3</v>
      </c>
      <c r="AA1944">
        <v>0.99682040000000005</v>
      </c>
      <c r="AB1944">
        <v>42</v>
      </c>
      <c r="AC1944">
        <v>-29.728999999999999</v>
      </c>
      <c r="AD1944">
        <v>-1.1206186442824999</v>
      </c>
      <c r="AE1944">
        <v>2.24599999999998</v>
      </c>
      <c r="AF1944">
        <v>2.4056891793375699</v>
      </c>
      <c r="AG1944">
        <v>-1.1206186442824999</v>
      </c>
      <c r="AH1944">
        <v>29.674304656187701</v>
      </c>
      <c r="AI1944">
        <v>92.155621260680604</v>
      </c>
      <c r="AJ1944">
        <v>85.365180176566696</v>
      </c>
      <c r="AK1944">
        <v>29.792742126258499</v>
      </c>
      <c r="AL1944">
        <v>76.628193957108493</v>
      </c>
      <c r="AM1944">
        <v>88.175494279556204</v>
      </c>
      <c r="AN1944">
        <v>1.0000000239998501</v>
      </c>
    </row>
    <row r="1945" spans="1:40" x14ac:dyDescent="0.25">
      <c r="A1945" t="str">
        <f>"20190303170535794"</f>
        <v>20190303170535794</v>
      </c>
      <c r="B1945" t="str">
        <f>"1551603935786280"</f>
        <v>1551603935786280</v>
      </c>
      <c r="C1945" t="s">
        <v>40</v>
      </c>
      <c r="D1945">
        <v>5.4973869999999998</v>
      </c>
      <c r="E1945">
        <v>0.52490429999999999</v>
      </c>
      <c r="F1945" t="s">
        <v>60</v>
      </c>
      <c r="G1945">
        <v>-382.07929999999999</v>
      </c>
      <c r="H1945" s="1">
        <v>-4.3028779999999998E-7</v>
      </c>
      <c r="I1945">
        <v>287.18799999999999</v>
      </c>
      <c r="J1945">
        <v>-352.36739999999998</v>
      </c>
      <c r="K1945">
        <v>1.120617</v>
      </c>
      <c r="L1945">
        <v>284.77890000000002</v>
      </c>
      <c r="M1945">
        <v>-0.99993290000000001</v>
      </c>
      <c r="N1945">
        <v>-1.0223609999999999E-2</v>
      </c>
      <c r="O1945">
        <v>-5.4871369999999996E-3</v>
      </c>
      <c r="P1945">
        <v>-0.97472460000000005</v>
      </c>
      <c r="Q1945">
        <v>0.22178890000000001</v>
      </c>
      <c r="R1945">
        <v>2.6868670000000001E-2</v>
      </c>
      <c r="S1945">
        <v>-3.0969850000000001</v>
      </c>
      <c r="T1945">
        <v>-0.11518109999999999</v>
      </c>
      <c r="U1945">
        <v>0.2473755</v>
      </c>
      <c r="V1945">
        <v>3.2225499999999997E-2</v>
      </c>
      <c r="W1945">
        <v>0.23173959999999999</v>
      </c>
      <c r="X1945">
        <v>0.972244</v>
      </c>
      <c r="Y1945">
        <v>8.5014899999999893E-2</v>
      </c>
      <c r="Z1945">
        <v>2.1610219999999999E-3</v>
      </c>
      <c r="AA1945">
        <v>0.99637730000000002</v>
      </c>
      <c r="AB1945">
        <v>42</v>
      </c>
      <c r="AC1945">
        <v>-29.7119</v>
      </c>
      <c r="AD1945">
        <v>-1.1206174302878</v>
      </c>
      <c r="AE1945">
        <v>2.4090999999999601</v>
      </c>
      <c r="AF1945">
        <v>2.5684756729596798</v>
      </c>
      <c r="AG1945">
        <v>-1.1206174302878</v>
      </c>
      <c r="AH1945">
        <v>29.656322164872002</v>
      </c>
      <c r="AI1945">
        <v>92.1559314399654</v>
      </c>
      <c r="AJ1945">
        <v>85.050077062351505</v>
      </c>
      <c r="AK1945">
        <v>29.788425521573501</v>
      </c>
      <c r="AL1945">
        <v>76.600489892177507</v>
      </c>
      <c r="AM1945">
        <v>88.101598541612702</v>
      </c>
      <c r="AN1945">
        <v>1.0000000602971999</v>
      </c>
    </row>
    <row r="1946" spans="1:40" x14ac:dyDescent="0.25">
      <c r="A1946" t="str">
        <f>"20190303170535817"</f>
        <v>20190303170535817</v>
      </c>
      <c r="B1946" t="str">
        <f>"1551603935806777"</f>
        <v>1551603935806777</v>
      </c>
      <c r="C1946" t="s">
        <v>40</v>
      </c>
      <c r="D1946">
        <v>5.5325899999999999</v>
      </c>
      <c r="E1946">
        <v>0.52503100000000003</v>
      </c>
      <c r="F1946" t="s">
        <v>60</v>
      </c>
      <c r="G1946">
        <v>-383.0018</v>
      </c>
      <c r="H1946" s="1">
        <v>6.0606510000000004E-8</v>
      </c>
      <c r="I1946">
        <v>287.30439999999999</v>
      </c>
      <c r="J1946">
        <v>-352.79590000000002</v>
      </c>
      <c r="K1946">
        <v>1.120617</v>
      </c>
      <c r="L1946">
        <v>284.77659999999997</v>
      </c>
      <c r="M1946">
        <v>-0.99993290000000001</v>
      </c>
      <c r="N1946">
        <v>-1.0201719999999999E-2</v>
      </c>
      <c r="O1946">
        <v>-5.487858E-3</v>
      </c>
      <c r="P1946">
        <v>-0.97466189999999997</v>
      </c>
      <c r="Q1946">
        <v>0.22208149999999999</v>
      </c>
      <c r="R1946">
        <v>2.6724370000000001E-2</v>
      </c>
      <c r="S1946">
        <v>-3.0965579999999999</v>
      </c>
      <c r="T1946">
        <v>-0.1132734</v>
      </c>
      <c r="U1946">
        <v>0.25527949999999999</v>
      </c>
      <c r="V1946">
        <v>3.2081800000000001E-2</v>
      </c>
      <c r="W1946">
        <v>0.23201050000000001</v>
      </c>
      <c r="X1946">
        <v>0.9721841</v>
      </c>
      <c r="Y1946">
        <v>8.7553019999999995E-2</v>
      </c>
      <c r="Z1946">
        <v>2.1901500000000001E-3</v>
      </c>
      <c r="AA1946">
        <v>0.99615750000000003</v>
      </c>
      <c r="AB1946">
        <v>42</v>
      </c>
      <c r="AC1946">
        <v>-30.2058999999999</v>
      </c>
      <c r="AD1946">
        <v>-1.1206169393934899</v>
      </c>
      <c r="AE1946">
        <v>2.5278000000000098</v>
      </c>
      <c r="AF1946">
        <v>2.6898597907987298</v>
      </c>
      <c r="AG1946">
        <v>-1.1206169393934899</v>
      </c>
      <c r="AH1946">
        <v>30.150363133607101</v>
      </c>
      <c r="AI1946">
        <v>92.120154387918902</v>
      </c>
      <c r="AJ1946">
        <v>84.901863514510197</v>
      </c>
      <c r="AK1946">
        <v>30.2908488673954</v>
      </c>
      <c r="AL1946">
        <v>76.584533024202997</v>
      </c>
      <c r="AM1946">
        <v>88.109941381288095</v>
      </c>
      <c r="AN1946">
        <v>1.0000000191471401</v>
      </c>
    </row>
    <row r="1947" spans="1:40" x14ac:dyDescent="0.25">
      <c r="A1947" t="str">
        <f>"20190303170535838"</f>
        <v>20190303170535838</v>
      </c>
      <c r="B1947" t="str">
        <f>"1551603935826297"</f>
        <v>1551603935826297</v>
      </c>
      <c r="C1947" t="s">
        <v>40</v>
      </c>
      <c r="D1947">
        <v>5.5842749999999999</v>
      </c>
      <c r="E1947">
        <v>0.52490969999999904</v>
      </c>
      <c r="F1947" t="s">
        <v>60</v>
      </c>
      <c r="G1947">
        <v>-383.58359999999999</v>
      </c>
      <c r="H1947" s="1">
        <v>3.7024849999999998E-7</v>
      </c>
      <c r="I1947">
        <v>287.32549999999998</v>
      </c>
      <c r="J1947">
        <v>-353.19639999999998</v>
      </c>
      <c r="K1947">
        <v>1.1206050000000001</v>
      </c>
      <c r="L1947">
        <v>284.77440000000001</v>
      </c>
      <c r="M1947">
        <v>-0.99993310000000002</v>
      </c>
      <c r="N1947">
        <v>-1.018434E-2</v>
      </c>
      <c r="O1947">
        <v>-5.4883650000000003E-3</v>
      </c>
      <c r="P1947">
        <v>-0.97461909999999896</v>
      </c>
      <c r="Q1947">
        <v>0.2223289</v>
      </c>
      <c r="R1947">
        <v>2.6227259999999999E-2</v>
      </c>
      <c r="S1947">
        <v>-3.0966800000000001</v>
      </c>
      <c r="T1947">
        <v>-0.1127133</v>
      </c>
      <c r="U1947">
        <v>0.2563782</v>
      </c>
      <c r="V1947">
        <v>3.1584969999999997E-2</v>
      </c>
      <c r="W1947">
        <v>0.23224049999999999</v>
      </c>
      <c r="X1947">
        <v>0.97214540000000005</v>
      </c>
      <c r="Y1947">
        <v>8.7901750000000001E-2</v>
      </c>
      <c r="Z1947">
        <v>2.1886319999999998E-3</v>
      </c>
      <c r="AA1947">
        <v>0.99612679999999998</v>
      </c>
      <c r="AB1947">
        <v>42</v>
      </c>
      <c r="AC1947">
        <v>-30.3872</v>
      </c>
      <c r="AD1947">
        <v>-1.12060462975149</v>
      </c>
      <c r="AE1947">
        <v>2.55109999999996</v>
      </c>
      <c r="AF1947">
        <v>2.7141809430271402</v>
      </c>
      <c r="AG1947">
        <v>-1.12060462975149</v>
      </c>
      <c r="AH1947">
        <v>30.3317791380804</v>
      </c>
      <c r="AI1947">
        <v>92.107411906677498</v>
      </c>
      <c r="AJ1947">
        <v>84.886616299609798</v>
      </c>
      <c r="AK1947">
        <v>30.473584603866399</v>
      </c>
      <c r="AL1947">
        <v>76.570984260885098</v>
      </c>
      <c r="AM1947">
        <v>88.139116727434896</v>
      </c>
      <c r="AN1947">
        <v>0.99999996945565495</v>
      </c>
    </row>
    <row r="1948" spans="1:40" x14ac:dyDescent="0.25">
      <c r="A1948" t="str">
        <f>"20190303170535861"</f>
        <v>20190303170535861</v>
      </c>
      <c r="B1948" t="str">
        <f>"1551603935856553"</f>
        <v>1551603935856553</v>
      </c>
      <c r="C1948" t="s">
        <v>40</v>
      </c>
      <c r="D1948">
        <v>5.7272889999999999</v>
      </c>
      <c r="E1948">
        <v>0.524837199999999</v>
      </c>
      <c r="F1948" t="s">
        <v>60</v>
      </c>
      <c r="G1948">
        <v>-383.83370000000002</v>
      </c>
      <c r="H1948" s="1">
        <v>5.0332239999999995E-7</v>
      </c>
      <c r="I1948">
        <v>287.27850000000001</v>
      </c>
      <c r="J1948">
        <v>-353.6318</v>
      </c>
      <c r="K1948">
        <v>1.1206050000000001</v>
      </c>
      <c r="L1948">
        <v>284.77199999999999</v>
      </c>
      <c r="M1948">
        <v>-0.99993319999999997</v>
      </c>
      <c r="N1948">
        <v>-1.017385E-2</v>
      </c>
      <c r="O1948">
        <v>-5.4887879999999997E-3</v>
      </c>
      <c r="P1948">
        <v>-0.97476280000000004</v>
      </c>
      <c r="Q1948">
        <v>0.22176580000000001</v>
      </c>
      <c r="R1948">
        <v>2.5640820000000002E-2</v>
      </c>
      <c r="S1948">
        <v>-3.0971679999999999</v>
      </c>
      <c r="T1948">
        <v>-0.11328339999999899</v>
      </c>
      <c r="U1948">
        <v>0.25314330000000002</v>
      </c>
      <c r="V1948">
        <v>3.099965E-2</v>
      </c>
      <c r="W1948">
        <v>0.2316686</v>
      </c>
      <c r="X1948">
        <v>0.97230070000000002</v>
      </c>
      <c r="Y1948">
        <v>8.6856030000000001E-2</v>
      </c>
      <c r="Z1948">
        <v>2.1726710000000002E-3</v>
      </c>
      <c r="AA1948">
        <v>0.99621850000000001</v>
      </c>
      <c r="AB1948">
        <v>42</v>
      </c>
      <c r="AC1948">
        <v>-30.201899999999998</v>
      </c>
      <c r="AD1948">
        <v>-1.1206044966776001</v>
      </c>
      <c r="AE1948">
        <v>2.5065000000000102</v>
      </c>
      <c r="AF1948">
        <v>2.66859394628657</v>
      </c>
      <c r="AG1948">
        <v>-1.1206044966776001</v>
      </c>
      <c r="AH1948">
        <v>30.1464681983934</v>
      </c>
      <c r="AI1948">
        <v>92.120534154984298</v>
      </c>
      <c r="AJ1948">
        <v>84.941309009329302</v>
      </c>
      <c r="AK1948">
        <v>30.285090274339201</v>
      </c>
      <c r="AL1948">
        <v>76.604670665379004</v>
      </c>
      <c r="AM1948">
        <v>88.173869819573497</v>
      </c>
      <c r="AN1948">
        <v>0.99999998487328601</v>
      </c>
    </row>
    <row r="1949" spans="1:40" x14ac:dyDescent="0.25">
      <c r="A1949" t="str">
        <f>"20190303170535883"</f>
        <v>20190303170535883</v>
      </c>
      <c r="B1949" t="str">
        <f>"1551603935877049"</f>
        <v>1551603935877049</v>
      </c>
      <c r="C1949" t="s">
        <v>40</v>
      </c>
      <c r="D1949">
        <v>5.5633589999999904</v>
      </c>
      <c r="E1949">
        <v>0.52484209999999998</v>
      </c>
      <c r="F1949" t="s">
        <v>60</v>
      </c>
      <c r="G1949">
        <v>-383.33089999999999</v>
      </c>
      <c r="H1949" s="1">
        <v>2.357656E-7</v>
      </c>
      <c r="I1949">
        <v>287.17469999999997</v>
      </c>
      <c r="J1949">
        <v>-354.05329999999998</v>
      </c>
      <c r="K1949">
        <v>1.120603</v>
      </c>
      <c r="L1949">
        <v>284.76960000000003</v>
      </c>
      <c r="M1949">
        <v>-0.99993319999999997</v>
      </c>
      <c r="N1949">
        <v>-1.017729E-2</v>
      </c>
      <c r="O1949">
        <v>-5.4895200000000003E-3</v>
      </c>
      <c r="P1949">
        <v>-0.97482809999999998</v>
      </c>
      <c r="Q1949">
        <v>0.22153320000000001</v>
      </c>
      <c r="R1949">
        <v>2.5165449999999999E-2</v>
      </c>
      <c r="S1949">
        <v>-3.0976560000000002</v>
      </c>
      <c r="T1949">
        <v>-0.1168805</v>
      </c>
      <c r="U1949">
        <v>0.25061040000000001</v>
      </c>
      <c r="V1949">
        <v>3.052529E-2</v>
      </c>
      <c r="W1949">
        <v>0.2314399</v>
      </c>
      <c r="X1949">
        <v>0.97237019999999996</v>
      </c>
      <c r="Y1949">
        <v>8.6031049999999998E-2</v>
      </c>
      <c r="Z1949">
        <v>2.20951E-3</v>
      </c>
      <c r="AA1949">
        <v>0.99629000000000001</v>
      </c>
      <c r="AB1949">
        <v>42</v>
      </c>
      <c r="AC1949">
        <v>-29.2776</v>
      </c>
      <c r="AD1949">
        <v>-1.1206027642343901</v>
      </c>
      <c r="AE1949">
        <v>2.4050999999999401</v>
      </c>
      <c r="AF1949">
        <v>2.5620638234036299</v>
      </c>
      <c r="AG1949">
        <v>-1.1206027642343901</v>
      </c>
      <c r="AH1949">
        <v>29.221433349019598</v>
      </c>
      <c r="AI1949">
        <v>92.187755410151098</v>
      </c>
      <c r="AJ1949">
        <v>84.989259714595505</v>
      </c>
      <c r="AK1949">
        <v>29.354932951066299</v>
      </c>
      <c r="AL1949">
        <v>76.618140674620093</v>
      </c>
      <c r="AM1949">
        <v>88.201923414999698</v>
      </c>
      <c r="AN1949">
        <v>1.0000000132448099</v>
      </c>
    </row>
    <row r="1950" spans="1:40" x14ac:dyDescent="0.25">
      <c r="A1950" t="str">
        <f>"20190303170535905"</f>
        <v>20190303170535905</v>
      </c>
      <c r="B1950" t="str">
        <f>"1551603935896569"</f>
        <v>1551603935896569</v>
      </c>
      <c r="C1950" t="s">
        <v>40</v>
      </c>
      <c r="D1950">
        <v>5.5742979999999998</v>
      </c>
      <c r="E1950">
        <v>0.5249239</v>
      </c>
      <c r="F1950" t="s">
        <v>60</v>
      </c>
      <c r="G1950">
        <v>-383.18150000000003</v>
      </c>
      <c r="H1950" s="1">
        <v>1.562255E-7</v>
      </c>
      <c r="I1950">
        <v>287.11380000000003</v>
      </c>
      <c r="J1950">
        <v>-354.46170000000001</v>
      </c>
      <c r="K1950">
        <v>1.120609</v>
      </c>
      <c r="L1950">
        <v>284.76740000000001</v>
      </c>
      <c r="M1950">
        <v>-0.99993310000000002</v>
      </c>
      <c r="N1950">
        <v>-1.0190289999999999E-2</v>
      </c>
      <c r="O1950">
        <v>-5.4898229999999996E-3</v>
      </c>
      <c r="P1950">
        <v>-0.97488319999999995</v>
      </c>
      <c r="Q1950">
        <v>0.22128400000000001</v>
      </c>
      <c r="R1950">
        <v>2.52269E-2</v>
      </c>
      <c r="S1950">
        <v>-3.0981139999999998</v>
      </c>
      <c r="T1950">
        <v>-0.119189</v>
      </c>
      <c r="U1950">
        <v>0.24932860000000001</v>
      </c>
      <c r="V1950">
        <v>3.05875E-2</v>
      </c>
      <c r="W1950">
        <v>0.2312043</v>
      </c>
      <c r="X1950">
        <v>0.97242430000000002</v>
      </c>
      <c r="Y1950">
        <v>8.5607539999999996E-2</v>
      </c>
      <c r="Z1950">
        <v>2.2355209999999999E-3</v>
      </c>
      <c r="AA1950">
        <v>0.99632639999999995</v>
      </c>
      <c r="AB1950">
        <v>42</v>
      </c>
      <c r="AC1950">
        <v>-28.719799999999999</v>
      </c>
      <c r="AD1950">
        <v>-1.1206088437745001</v>
      </c>
      <c r="AE1950">
        <v>2.3464000000000098</v>
      </c>
      <c r="AF1950">
        <v>2.50025813091148</v>
      </c>
      <c r="AG1950">
        <v>-1.1206088437745001</v>
      </c>
      <c r="AH1950">
        <v>28.6631361152963</v>
      </c>
      <c r="AI1950">
        <v>92.2304244513725</v>
      </c>
      <c r="AJ1950">
        <v>85.014762106106105</v>
      </c>
      <c r="AK1950">
        <v>28.7937914638892</v>
      </c>
      <c r="AL1950">
        <v>76.632016005189001</v>
      </c>
      <c r="AM1950">
        <v>88.198361551761806</v>
      </c>
      <c r="AN1950">
        <v>1.0000000213626099</v>
      </c>
    </row>
    <row r="1951" spans="1:40" x14ac:dyDescent="0.25">
      <c r="A1951" t="str">
        <f>"20190303170535927"</f>
        <v>20190303170535927</v>
      </c>
      <c r="B1951" t="str">
        <f>"1551603935917066"</f>
        <v>1551603935917066</v>
      </c>
      <c r="C1951" t="s">
        <v>40</v>
      </c>
      <c r="D1951">
        <v>5.5926830000000001</v>
      </c>
      <c r="E1951">
        <v>0.52494370000000001</v>
      </c>
      <c r="F1951" t="s">
        <v>60</v>
      </c>
      <c r="G1951">
        <v>-383.37029999999999</v>
      </c>
      <c r="H1951" s="1">
        <v>2.5670210000000001E-7</v>
      </c>
      <c r="I1951">
        <v>287.09649999999999</v>
      </c>
      <c r="J1951">
        <v>-354.8843</v>
      </c>
      <c r="K1951">
        <v>1.1206160000000001</v>
      </c>
      <c r="L1951">
        <v>284.76510000000002</v>
      </c>
      <c r="M1951">
        <v>-0.99993279999999995</v>
      </c>
      <c r="N1951">
        <v>-1.020883E-2</v>
      </c>
      <c r="O1951">
        <v>-5.4902739999999998E-3</v>
      </c>
      <c r="P1951">
        <v>-0.9749331</v>
      </c>
      <c r="Q1951">
        <v>0.22106970000000001</v>
      </c>
      <c r="R1951">
        <v>2.5178559999999999E-2</v>
      </c>
      <c r="S1951">
        <v>-3.0980219999999998</v>
      </c>
      <c r="T1951">
        <v>-0.1200913</v>
      </c>
      <c r="U1951">
        <v>0.2496033</v>
      </c>
      <c r="V1951">
        <v>3.0540020000000001E-2</v>
      </c>
      <c r="W1951">
        <v>0.23100850000000001</v>
      </c>
      <c r="X1951">
        <v>0.97247229999999996</v>
      </c>
      <c r="Y1951">
        <v>8.5696839999999996E-2</v>
      </c>
      <c r="Z1951">
        <v>2.252492E-3</v>
      </c>
      <c r="AA1951">
        <v>0.9963187</v>
      </c>
      <c r="AB1951">
        <v>42</v>
      </c>
      <c r="AC1951">
        <v>-28.485999999999901</v>
      </c>
      <c r="AD1951">
        <v>-1.1206157432979</v>
      </c>
      <c r="AE1951">
        <v>2.3313999999999702</v>
      </c>
      <c r="AF1951">
        <v>2.4839504453316001</v>
      </c>
      <c r="AG1951">
        <v>-1.1206157432979</v>
      </c>
      <c r="AH1951">
        <v>28.429066682517799</v>
      </c>
      <c r="AI1951">
        <v>92.248755466540899</v>
      </c>
      <c r="AJ1951">
        <v>85.0065415517806</v>
      </c>
      <c r="AK1951">
        <v>28.559370124322299</v>
      </c>
      <c r="AL1951">
        <v>76.643546340887497</v>
      </c>
      <c r="AM1951">
        <v>88.201245069128802</v>
      </c>
      <c r="AN1951">
        <v>0.99999999708056997</v>
      </c>
    </row>
    <row r="1952" spans="1:40" x14ac:dyDescent="0.25">
      <c r="A1952" t="str">
        <f>"20190303170535950"</f>
        <v>20190303170535950</v>
      </c>
      <c r="B1952" t="str">
        <f>"1551603935946344"</f>
        <v>1551603935946344</v>
      </c>
      <c r="C1952" t="s">
        <v>40</v>
      </c>
      <c r="D1952">
        <v>5.5715209999999997</v>
      </c>
      <c r="E1952">
        <v>0.52500429999999998</v>
      </c>
      <c r="F1952" t="s">
        <v>60</v>
      </c>
      <c r="G1952">
        <v>-383.58780000000002</v>
      </c>
      <c r="H1952" s="1">
        <v>3.7246370000000002E-7</v>
      </c>
      <c r="I1952">
        <v>287.07510000000002</v>
      </c>
      <c r="J1952">
        <v>-355.30939999999998</v>
      </c>
      <c r="K1952">
        <v>1.1206229999999999</v>
      </c>
      <c r="L1952">
        <v>284.7627</v>
      </c>
      <c r="M1952">
        <v>-0.9999325</v>
      </c>
      <c r="N1952">
        <v>-1.023603E-2</v>
      </c>
      <c r="O1952">
        <v>-5.4910080000000003E-3</v>
      </c>
      <c r="P1952">
        <v>-0.97488980000000003</v>
      </c>
      <c r="Q1952">
        <v>0.2212935</v>
      </c>
      <c r="R1952">
        <v>2.4885290000000001E-2</v>
      </c>
      <c r="S1952">
        <v>-3.0980829999999999</v>
      </c>
      <c r="T1952">
        <v>-0.1209524</v>
      </c>
      <c r="U1952">
        <v>0.24932860000000001</v>
      </c>
      <c r="V1952">
        <v>3.0247059999999999E-2</v>
      </c>
      <c r="W1952">
        <v>0.23125799999999999</v>
      </c>
      <c r="X1952">
        <v>0.97242209999999996</v>
      </c>
      <c r="Y1952">
        <v>8.5607210000000003E-2</v>
      </c>
      <c r="Z1952">
        <v>2.2646950000000002E-3</v>
      </c>
      <c r="AA1952">
        <v>0.99632639999999995</v>
      </c>
      <c r="AB1952">
        <v>42</v>
      </c>
      <c r="AC1952">
        <v>-28.278400000000001</v>
      </c>
      <c r="AD1952">
        <v>-1.1206226275362901</v>
      </c>
      <c r="AE1952">
        <v>2.3124000000000202</v>
      </c>
      <c r="AF1952">
        <v>2.4638067451681001</v>
      </c>
      <c r="AG1952">
        <v>-1.1206226275362901</v>
      </c>
      <c r="AH1952">
        <v>28.2212514124259</v>
      </c>
      <c r="AI1952">
        <v>92.265325339405805</v>
      </c>
      <c r="AJ1952">
        <v>85.010543333064504</v>
      </c>
      <c r="AK1952">
        <v>28.3507525479348</v>
      </c>
      <c r="AL1952">
        <v>76.628852459559198</v>
      </c>
      <c r="AM1952">
        <v>88.218396830214701</v>
      </c>
      <c r="AN1952">
        <v>0.99999994388552504</v>
      </c>
    </row>
    <row r="1953" spans="1:40" x14ac:dyDescent="0.25">
      <c r="A1953" t="str">
        <f>"20190303170535973"</f>
        <v>20190303170535973</v>
      </c>
      <c r="B1953" t="str">
        <f>"1551603935966840"</f>
        <v>1551603935966840</v>
      </c>
      <c r="C1953" t="s">
        <v>40</v>
      </c>
      <c r="D1953">
        <v>5.6121089999999896</v>
      </c>
      <c r="E1953">
        <v>0.52507599999999999</v>
      </c>
      <c r="F1953" t="s">
        <v>60</v>
      </c>
      <c r="G1953">
        <v>-384.1302</v>
      </c>
      <c r="H1953" s="1">
        <v>6.6107969999999996E-7</v>
      </c>
      <c r="I1953">
        <v>287.07859999999999</v>
      </c>
      <c r="J1953">
        <v>-355.7473</v>
      </c>
      <c r="K1953">
        <v>1.1206240000000001</v>
      </c>
      <c r="L1953">
        <v>284.76029999999997</v>
      </c>
      <c r="M1953">
        <v>-0.99993220000000005</v>
      </c>
      <c r="N1953">
        <v>-1.027173E-2</v>
      </c>
      <c r="O1953">
        <v>-5.4916660000000001E-3</v>
      </c>
      <c r="P1953">
        <v>-0.97495940000000003</v>
      </c>
      <c r="Q1953">
        <v>0.22102640000000001</v>
      </c>
      <c r="R1953">
        <v>2.4527210000000001E-2</v>
      </c>
      <c r="S1953">
        <v>-3.0982669999999999</v>
      </c>
      <c r="T1953">
        <v>-0.12046809999999999</v>
      </c>
      <c r="U1953">
        <v>0.2489624</v>
      </c>
      <c r="V1953">
        <v>2.989006E-2</v>
      </c>
      <c r="W1953">
        <v>0.2310266</v>
      </c>
      <c r="X1953">
        <v>0.97248820000000002</v>
      </c>
      <c r="Y1953">
        <v>8.5486839999999994E-2</v>
      </c>
      <c r="Z1953">
        <v>2.2554609999999998E-3</v>
      </c>
      <c r="AA1953">
        <v>0.99633680000000002</v>
      </c>
      <c r="AB1953">
        <v>42</v>
      </c>
      <c r="AC1953">
        <v>-28.382899999999999</v>
      </c>
      <c r="AD1953">
        <v>-1.1206233389203</v>
      </c>
      <c r="AE1953">
        <v>2.3183000000000198</v>
      </c>
      <c r="AF1953">
        <v>2.4703173165008199</v>
      </c>
      <c r="AG1953">
        <v>-1.1206233389203</v>
      </c>
      <c r="AH1953">
        <v>28.325876653566301</v>
      </c>
      <c r="AI1953">
        <v>92.256986255109894</v>
      </c>
      <c r="AJ1953">
        <v>85.015809986719603</v>
      </c>
      <c r="AK1953">
        <v>28.455466127002499</v>
      </c>
      <c r="AL1953">
        <v>76.642480526525603</v>
      </c>
      <c r="AM1953">
        <v>88.239531014962694</v>
      </c>
      <c r="AN1953">
        <v>1.0000000023668001</v>
      </c>
    </row>
    <row r="1954" spans="1:40" x14ac:dyDescent="0.25">
      <c r="A1954" t="str">
        <f>"20190303170535995"</f>
        <v>20190303170535995</v>
      </c>
      <c r="B1954" t="str">
        <f>"1551603935986363"</f>
        <v>1551603935986363</v>
      </c>
      <c r="C1954" t="s">
        <v>40</v>
      </c>
      <c r="D1954">
        <v>5.5932870000000001</v>
      </c>
      <c r="E1954">
        <v>0.52513580000000004</v>
      </c>
      <c r="F1954" t="s">
        <v>60</v>
      </c>
      <c r="G1954">
        <v>-384.23610000000002</v>
      </c>
      <c r="H1954" s="1">
        <v>7.1744959999999898E-7</v>
      </c>
      <c r="I1954">
        <v>287.04129999999998</v>
      </c>
      <c r="J1954">
        <v>-356.15199999999999</v>
      </c>
      <c r="K1954">
        <v>1.1206240000000001</v>
      </c>
      <c r="L1954">
        <v>284.75810000000001</v>
      </c>
      <c r="M1954">
        <v>-0.99993180000000004</v>
      </c>
      <c r="N1954">
        <v>-1.0311539999999999E-2</v>
      </c>
      <c r="O1954">
        <v>-5.4918689999999999E-3</v>
      </c>
      <c r="P1954">
        <v>-0.9750702</v>
      </c>
      <c r="Q1954">
        <v>0.22056600000000001</v>
      </c>
      <c r="R1954">
        <v>2.426965E-2</v>
      </c>
      <c r="S1954">
        <v>-3.0984799999999999</v>
      </c>
      <c r="T1954">
        <v>-0.1218804</v>
      </c>
      <c r="U1954">
        <v>0.2480774</v>
      </c>
      <c r="V1954">
        <v>2.963323E-2</v>
      </c>
      <c r="W1954">
        <v>0.23060620000000001</v>
      </c>
      <c r="X1954">
        <v>0.97259580000000001</v>
      </c>
      <c r="Y1954">
        <v>8.5197229999999999E-2</v>
      </c>
      <c r="Z1954">
        <v>2.2715909999999999E-3</v>
      </c>
      <c r="AA1954">
        <v>0.99636150000000001</v>
      </c>
      <c r="AB1954">
        <v>42</v>
      </c>
      <c r="AC1954">
        <v>-28.084099999999999</v>
      </c>
      <c r="AD1954">
        <v>-1.1206232825503999</v>
      </c>
      <c r="AE1954">
        <v>2.2831999999999599</v>
      </c>
      <c r="AF1954">
        <v>2.43355867989859</v>
      </c>
      <c r="AG1954">
        <v>-1.1206232825503999</v>
      </c>
      <c r="AH1954">
        <v>28.026805394768601</v>
      </c>
      <c r="AI1954">
        <v>92.281119878983404</v>
      </c>
      <c r="AJ1954">
        <v>85.037472030774694</v>
      </c>
      <c r="AK1954">
        <v>28.1545702333765</v>
      </c>
      <c r="AL1954">
        <v>76.667235687006396</v>
      </c>
      <c r="AM1954">
        <v>88.254841399962004</v>
      </c>
      <c r="AN1954">
        <v>0.99999996898815602</v>
      </c>
    </row>
    <row r="1955" spans="1:40" x14ac:dyDescent="0.25">
      <c r="A1955" t="str">
        <f>"20190303170536017"</f>
        <v>20190303170536017</v>
      </c>
      <c r="B1955" t="str">
        <f>"1551603936006856"</f>
        <v>1551603936006856</v>
      </c>
      <c r="C1955" t="s">
        <v>40</v>
      </c>
      <c r="D1955">
        <v>5.6065699999999996</v>
      </c>
      <c r="E1955">
        <v>0.52522000000000002</v>
      </c>
      <c r="F1955" t="s">
        <v>60</v>
      </c>
      <c r="G1955">
        <v>-384.084</v>
      </c>
      <c r="H1955" s="1">
        <v>6.3651689999999996E-7</v>
      </c>
      <c r="I1955">
        <v>286.99299999999999</v>
      </c>
      <c r="J1955">
        <v>-356.57080000000002</v>
      </c>
      <c r="K1955">
        <v>1.1206160000000001</v>
      </c>
      <c r="L1955">
        <v>284.75580000000002</v>
      </c>
      <c r="M1955">
        <v>-0.99993140000000003</v>
      </c>
      <c r="N1955">
        <v>-1.035984E-2</v>
      </c>
      <c r="O1955">
        <v>-5.4922349999999998E-3</v>
      </c>
      <c r="P1955">
        <v>-0.97522660000000005</v>
      </c>
      <c r="Q1955">
        <v>0.21992629999999999</v>
      </c>
      <c r="R1955">
        <v>2.3783950000000002E-2</v>
      </c>
      <c r="S1955">
        <v>-3.098633</v>
      </c>
      <c r="T1955">
        <v>-0.1243163</v>
      </c>
      <c r="U1955">
        <v>0.2479248</v>
      </c>
      <c r="V1955">
        <v>2.9148750000000001E-2</v>
      </c>
      <c r="W1955">
        <v>0.2300151</v>
      </c>
      <c r="X1955">
        <v>0.97275040000000002</v>
      </c>
      <c r="Y1955">
        <v>8.5141809999999998E-2</v>
      </c>
      <c r="Z1955">
        <v>2.309621E-3</v>
      </c>
      <c r="AA1955">
        <v>0.99636610000000003</v>
      </c>
      <c r="AB1955">
        <v>42</v>
      </c>
      <c r="AC1955">
        <v>-27.513199999999902</v>
      </c>
      <c r="AD1955">
        <v>-1.1206153634831</v>
      </c>
      <c r="AE1955">
        <v>2.2371999999999699</v>
      </c>
      <c r="AF1955">
        <v>2.38435378073541</v>
      </c>
      <c r="AG1955">
        <v>-1.1206153634831</v>
      </c>
      <c r="AH1955">
        <v>27.4552496376302</v>
      </c>
      <c r="AI1955">
        <v>92.328536331712002</v>
      </c>
      <c r="AJ1955">
        <v>85.036595665941405</v>
      </c>
      <c r="AK1955">
        <v>27.581364259390298</v>
      </c>
      <c r="AL1955">
        <v>76.702038821776895</v>
      </c>
      <c r="AM1955">
        <v>88.283628821177004</v>
      </c>
      <c r="AN1955">
        <v>0.99999996827736504</v>
      </c>
    </row>
    <row r="1956" spans="1:40" x14ac:dyDescent="0.25">
      <c r="A1956" t="str">
        <f>"20190303170536039"</f>
        <v>20190303170536039</v>
      </c>
      <c r="B1956" t="str">
        <f>"1551603936026376"</f>
        <v>1551603936026376</v>
      </c>
      <c r="C1956" t="s">
        <v>40</v>
      </c>
      <c r="D1956">
        <v>5.9046430000000001</v>
      </c>
      <c r="E1956">
        <v>0.52515330000000005</v>
      </c>
      <c r="F1956" t="s">
        <v>60</v>
      </c>
      <c r="G1956">
        <v>-383.90589999999997</v>
      </c>
      <c r="H1956" s="1">
        <v>5.4173579999999999E-7</v>
      </c>
      <c r="I1956">
        <v>286.93900000000002</v>
      </c>
      <c r="J1956">
        <v>-356.98689999999999</v>
      </c>
      <c r="K1956">
        <v>1.120625</v>
      </c>
      <c r="L1956">
        <v>284.75349999999997</v>
      </c>
      <c r="M1956">
        <v>-0.99993069999999895</v>
      </c>
      <c r="N1956">
        <v>-1.0412859999999999E-2</v>
      </c>
      <c r="O1956">
        <v>-5.4925080000000001E-3</v>
      </c>
      <c r="P1956">
        <v>-0.97546299999999997</v>
      </c>
      <c r="Q1956">
        <v>0.2189701</v>
      </c>
      <c r="R1956">
        <v>2.2897310000000001E-2</v>
      </c>
      <c r="S1956">
        <v>-3.0988159999999998</v>
      </c>
      <c r="T1956">
        <v>-0.12703729999999999</v>
      </c>
      <c r="U1956">
        <v>0.24749760000000001</v>
      </c>
      <c r="V1956">
        <v>2.8263779999999999E-2</v>
      </c>
      <c r="W1956">
        <v>0.22911329999999999</v>
      </c>
      <c r="X1956">
        <v>0.97298929999999995</v>
      </c>
      <c r="Y1956">
        <v>8.4997450000000002E-2</v>
      </c>
      <c r="Z1956">
        <v>2.3498820000000002E-3</v>
      </c>
      <c r="AA1956">
        <v>0.9963784</v>
      </c>
      <c r="AB1956">
        <v>42</v>
      </c>
      <c r="AC1956">
        <v>-26.918999999999901</v>
      </c>
      <c r="AD1956">
        <v>-1.1206244582642</v>
      </c>
      <c r="AE1956">
        <v>2.1855000000000402</v>
      </c>
      <c r="AF1956">
        <v>2.3293175610410399</v>
      </c>
      <c r="AG1956">
        <v>-1.1206244582642</v>
      </c>
      <c r="AH1956">
        <v>26.8603448217352</v>
      </c>
      <c r="AI1956">
        <v>92.380095251277297</v>
      </c>
      <c r="AJ1956">
        <v>85.043733978569705</v>
      </c>
      <c r="AK1956">
        <v>26.984433353679201</v>
      </c>
      <c r="AL1956">
        <v>76.755125840724702</v>
      </c>
      <c r="AM1956">
        <v>88.336117313356297</v>
      </c>
      <c r="AN1956">
        <v>0.99999996170563299</v>
      </c>
    </row>
    <row r="1957" spans="1:40" x14ac:dyDescent="0.25">
      <c r="A1957" t="str">
        <f>"20190303170536063"</f>
        <v>20190303170536063</v>
      </c>
      <c r="B1957" t="str">
        <f>"1551603936056633"</f>
        <v>1551603936056633</v>
      </c>
      <c r="C1957" t="s">
        <v>40</v>
      </c>
      <c r="D1957">
        <v>5.6853809999999996</v>
      </c>
      <c r="E1957">
        <v>0.46706920000000002</v>
      </c>
      <c r="F1957" t="s">
        <v>60</v>
      </c>
      <c r="G1957">
        <v>-383.65800000000002</v>
      </c>
      <c r="H1957" s="1">
        <v>4.0979529999999997E-7</v>
      </c>
      <c r="I1957">
        <v>286.85989999999998</v>
      </c>
      <c r="J1957">
        <v>-357.43920000000003</v>
      </c>
      <c r="K1957">
        <v>1.120635</v>
      </c>
      <c r="L1957">
        <v>284.75099999999998</v>
      </c>
      <c r="M1957">
        <v>-0.99993019999999999</v>
      </c>
      <c r="N1957">
        <v>-1.047385E-2</v>
      </c>
      <c r="O1957">
        <v>-5.4930619999999999E-3</v>
      </c>
      <c r="P1957">
        <v>-0.97554890000000005</v>
      </c>
      <c r="Q1957">
        <v>0.2186998</v>
      </c>
      <c r="R1957">
        <v>2.1798629999999999E-2</v>
      </c>
      <c r="S1957">
        <v>-3.0989689999999999</v>
      </c>
      <c r="T1957">
        <v>-0.13020799999999999</v>
      </c>
      <c r="U1957">
        <v>0.244751</v>
      </c>
      <c r="V1957">
        <v>2.7165970000000001E-2</v>
      </c>
      <c r="W1957">
        <v>0.22890350000000001</v>
      </c>
      <c r="X1957">
        <v>0.97306999999999999</v>
      </c>
      <c r="Y1957">
        <v>8.4113190000000004E-2</v>
      </c>
      <c r="Z1957">
        <v>2.3779119999999998E-3</v>
      </c>
      <c r="AA1957">
        <v>0.99645329999999999</v>
      </c>
      <c r="AB1957">
        <v>42</v>
      </c>
      <c r="AC1957">
        <v>-26.218799999999899</v>
      </c>
      <c r="AD1957">
        <v>-1.1206345902046999</v>
      </c>
      <c r="AE1957">
        <v>2.1089000000000002</v>
      </c>
      <c r="AF1957">
        <v>2.24881571750204</v>
      </c>
      <c r="AG1957">
        <v>-1.1206345902046999</v>
      </c>
      <c r="AH1957">
        <v>26.159337502733401</v>
      </c>
      <c r="AI1957">
        <v>92.443979456429801</v>
      </c>
      <c r="AJ1957">
        <v>85.086586285922095</v>
      </c>
      <c r="AK1957">
        <v>26.279724743572999</v>
      </c>
      <c r="AL1957">
        <v>76.767475371582805</v>
      </c>
      <c r="AM1957">
        <v>88.400843477725502</v>
      </c>
      <c r="AN1957">
        <v>1.00000001356914</v>
      </c>
    </row>
    <row r="1958" spans="1:40" x14ac:dyDescent="0.25">
      <c r="A1958" t="str">
        <f>"20190303170536084"</f>
        <v>20190303170536084</v>
      </c>
      <c r="B1958" t="str">
        <f>"1551603936076709"</f>
        <v>1551603936076709</v>
      </c>
      <c r="C1958" t="s">
        <v>40</v>
      </c>
      <c r="D1958">
        <v>5.7164720000000004</v>
      </c>
      <c r="E1958">
        <v>0.45561069999999998</v>
      </c>
      <c r="F1958" t="s">
        <v>64</v>
      </c>
      <c r="G1958">
        <v>-402.255</v>
      </c>
      <c r="H1958" s="1">
        <v>8.0342409999999904E-6</v>
      </c>
      <c r="I1958">
        <v>281.55779999999999</v>
      </c>
      <c r="J1958">
        <v>-357.84730000000002</v>
      </c>
      <c r="K1958">
        <v>1.120644</v>
      </c>
      <c r="L1958">
        <v>284.74880000000002</v>
      </c>
      <c r="M1958">
        <v>-0.99992950000000003</v>
      </c>
      <c r="N1958">
        <v>-1.053341E-2</v>
      </c>
      <c r="O1958">
        <v>-5.4933710000000004E-3</v>
      </c>
      <c r="P1958">
        <v>-0.97544850000000005</v>
      </c>
      <c r="Q1958">
        <v>0.21926119999999999</v>
      </c>
      <c r="R1958">
        <v>2.0609720000000002E-2</v>
      </c>
      <c r="S1958">
        <v>-3.0974729999999999</v>
      </c>
      <c r="T1958">
        <v>-7.7452779999999999E-2</v>
      </c>
      <c r="U1958">
        <v>-0.22070310000000001</v>
      </c>
      <c r="V1958">
        <v>2.5976869999999999E-2</v>
      </c>
      <c r="W1958">
        <v>0.22952130000000001</v>
      </c>
      <c r="X1958">
        <v>0.97295699999999996</v>
      </c>
      <c r="Y1958">
        <v>-6.5563159999999995E-2</v>
      </c>
      <c r="Z1958">
        <v>-1.084998E-3</v>
      </c>
      <c r="AA1958">
        <v>0.99784790000000001</v>
      </c>
      <c r="AB1958">
        <v>42</v>
      </c>
      <c r="AC1958">
        <v>-44.407699999999899</v>
      </c>
      <c r="AD1958">
        <v>-1.1206359657589999</v>
      </c>
      <c r="AE1958">
        <v>-3.19100000000003</v>
      </c>
      <c r="AF1958">
        <v>-2.9451244952426401</v>
      </c>
      <c r="AG1958">
        <v>-1.1206359657589999</v>
      </c>
      <c r="AH1958">
        <v>44.396433155193101</v>
      </c>
      <c r="AI1958">
        <v>91.442759103370705</v>
      </c>
      <c r="AJ1958">
        <v>93.7952673195974</v>
      </c>
      <c r="AK1958">
        <v>44.508121283241799</v>
      </c>
      <c r="AL1958">
        <v>76.731110680821502</v>
      </c>
      <c r="AM1958">
        <v>88.470629723185198</v>
      </c>
      <c r="AN1958">
        <v>1.00000007438884</v>
      </c>
    </row>
    <row r="1959" spans="1:40" x14ac:dyDescent="0.25">
      <c r="A1959" t="str">
        <f>"20190303170536105"</f>
        <v>20190303170536105</v>
      </c>
      <c r="B1959" t="str">
        <f>"1551603936096230"</f>
        <v>1551603936096230</v>
      </c>
      <c r="C1959" t="s">
        <v>40</v>
      </c>
      <c r="D1959">
        <v>5.7103099999999998</v>
      </c>
      <c r="E1959">
        <v>0.45017420000000002</v>
      </c>
      <c r="F1959" t="s">
        <v>64</v>
      </c>
      <c r="G1959">
        <v>-423.53680000000003</v>
      </c>
      <c r="H1959" s="1">
        <v>4.1894619999999997E-6</v>
      </c>
      <c r="I1959">
        <v>278.0487</v>
      </c>
      <c r="J1959">
        <v>-358.2534</v>
      </c>
      <c r="K1959">
        <v>1.1206449999999999</v>
      </c>
      <c r="L1959">
        <v>284.7466</v>
      </c>
      <c r="M1959">
        <v>-0.99992899999999996</v>
      </c>
      <c r="N1959">
        <v>-1.0597000000000001E-2</v>
      </c>
      <c r="O1959">
        <v>-5.4939419999999999E-3</v>
      </c>
      <c r="P1959">
        <v>-0.97557389999999999</v>
      </c>
      <c r="Q1959">
        <v>0.21877260000000001</v>
      </c>
      <c r="R1959">
        <v>1.9858939999999999E-2</v>
      </c>
      <c r="S1959">
        <v>-3.094055</v>
      </c>
      <c r="T1959">
        <v>-5.2783490000000002E-2</v>
      </c>
      <c r="U1959">
        <v>-0.31558229999999998</v>
      </c>
      <c r="V1959">
        <v>2.5227329999999999E-2</v>
      </c>
      <c r="W1959">
        <v>0.2290961</v>
      </c>
      <c r="X1959">
        <v>0.97307679999999996</v>
      </c>
      <c r="Y1959">
        <v>-9.5980099999999999E-2</v>
      </c>
      <c r="Z1959">
        <v>-1.291061E-3</v>
      </c>
      <c r="AA1959">
        <v>0.9953824</v>
      </c>
      <c r="AB1959">
        <v>42</v>
      </c>
      <c r="AC1959">
        <v>-65.2834</v>
      </c>
      <c r="AD1959">
        <v>-1.1206408105379999</v>
      </c>
      <c r="AE1959">
        <v>-6.6978999999999997</v>
      </c>
      <c r="AF1959">
        <v>-6.3372677248013103</v>
      </c>
      <c r="AG1959">
        <v>-1.1206408105379999</v>
      </c>
      <c r="AH1959">
        <v>65.300173386142603</v>
      </c>
      <c r="AI1959">
        <v>90.978581271157196</v>
      </c>
      <c r="AJ1959">
        <v>95.543096479673494</v>
      </c>
      <c r="AK1959">
        <v>65.616533299941594</v>
      </c>
      <c r="AL1959">
        <v>76.756138098187407</v>
      </c>
      <c r="AM1959">
        <v>88.514921088462003</v>
      </c>
      <c r="AN1959">
        <v>0.99999994995618802</v>
      </c>
    </row>
    <row r="1960" spans="1:40" x14ac:dyDescent="0.25">
      <c r="A1960" t="str">
        <f>"20190303170536129"</f>
        <v>20190303170536129</v>
      </c>
      <c r="B1960" t="str">
        <f>"1551603936116726"</f>
        <v>1551603936116726</v>
      </c>
      <c r="C1960" t="s">
        <v>40</v>
      </c>
      <c r="D1960">
        <v>5.6833320000000001</v>
      </c>
      <c r="E1960">
        <v>0.44684829999999998</v>
      </c>
      <c r="F1960" t="s">
        <v>64</v>
      </c>
      <c r="G1960">
        <v>-431.74849999999998</v>
      </c>
      <c r="H1960">
        <v>8.0001409999999995E-2</v>
      </c>
      <c r="I1960">
        <v>276.15800000000002</v>
      </c>
      <c r="J1960">
        <v>-358.69380000000001</v>
      </c>
      <c r="K1960">
        <v>1.1206499999999999</v>
      </c>
      <c r="L1960">
        <v>284.74419999999998</v>
      </c>
      <c r="M1960">
        <v>-0.99992809999999999</v>
      </c>
      <c r="N1960">
        <v>-1.0667609999999999E-2</v>
      </c>
      <c r="O1960">
        <v>-5.4941950000000003E-3</v>
      </c>
      <c r="P1960">
        <v>-0.97582769999999996</v>
      </c>
      <c r="Q1960">
        <v>0.21766269999999999</v>
      </c>
      <c r="R1960">
        <v>1.958437E-2</v>
      </c>
      <c r="S1960">
        <v>-3.0922550000000002</v>
      </c>
      <c r="T1960">
        <v>-4.3784379999999998E-2</v>
      </c>
      <c r="U1960">
        <v>-0.36135859999999997</v>
      </c>
      <c r="V1960">
        <v>2.4954500000000001E-2</v>
      </c>
      <c r="W1960">
        <v>0.2280577</v>
      </c>
      <c r="X1960">
        <v>0.97332779999999997</v>
      </c>
      <c r="Y1960">
        <v>-0.1105911</v>
      </c>
      <c r="Z1960">
        <v>-1.3530930000000001E-3</v>
      </c>
      <c r="AA1960">
        <v>0.99386509999999995</v>
      </c>
      <c r="AB1960">
        <v>42</v>
      </c>
      <c r="AC1960">
        <v>-73.054699999999897</v>
      </c>
      <c r="AD1960">
        <v>-1.04064859</v>
      </c>
      <c r="AE1960">
        <v>-8.5861999999999608</v>
      </c>
      <c r="AF1960">
        <v>-8.1830329954545302</v>
      </c>
      <c r="AG1960">
        <v>-1.04064859</v>
      </c>
      <c r="AH1960">
        <v>73.086146051289205</v>
      </c>
      <c r="AI1960">
        <v>90.810694924319705</v>
      </c>
      <c r="AJ1960">
        <v>96.388470397570899</v>
      </c>
      <c r="AK1960">
        <v>73.550185065184806</v>
      </c>
      <c r="AL1960">
        <v>76.817252972196997</v>
      </c>
      <c r="AM1960">
        <v>88.531353593855897</v>
      </c>
      <c r="AN1960">
        <v>1.0000000239261799</v>
      </c>
    </row>
    <row r="1961" spans="1:40" x14ac:dyDescent="0.25">
      <c r="A1961" t="str">
        <f>"20190303170536151"</f>
        <v>20190303170536151</v>
      </c>
      <c r="B1961" t="str">
        <f>"1551603936146981"</f>
        <v>1551603936146981</v>
      </c>
      <c r="C1961" t="s">
        <v>40</v>
      </c>
      <c r="D1961">
        <v>5.7092000000000001</v>
      </c>
      <c r="E1961">
        <v>0.44414320000000002</v>
      </c>
      <c r="F1961" t="s">
        <v>64</v>
      </c>
      <c r="G1961">
        <v>-436.92099999999999</v>
      </c>
      <c r="H1961">
        <v>8.0001000000000003E-2</v>
      </c>
      <c r="I1961">
        <v>274.9101</v>
      </c>
      <c r="J1961">
        <v>-359.12090000000001</v>
      </c>
      <c r="K1961">
        <v>1.120654</v>
      </c>
      <c r="L1961">
        <v>284.74180000000001</v>
      </c>
      <c r="M1961">
        <v>-0.99992729999999996</v>
      </c>
      <c r="N1961">
        <v>-1.0737719999999999E-2</v>
      </c>
      <c r="O1961">
        <v>-5.4945669999999997E-3</v>
      </c>
      <c r="P1961">
        <v>-0.97592179999999995</v>
      </c>
      <c r="Q1961">
        <v>0.2172047</v>
      </c>
      <c r="R1961">
        <v>1.997724E-2</v>
      </c>
      <c r="S1961">
        <v>-3.091278</v>
      </c>
      <c r="T1961">
        <v>-4.1123029999999998E-2</v>
      </c>
      <c r="U1961">
        <v>-0.38861079999999998</v>
      </c>
      <c r="V1961">
        <v>2.534836E-2</v>
      </c>
      <c r="W1961">
        <v>0.22766910000000001</v>
      </c>
      <c r="X1961">
        <v>0.97340859999999996</v>
      </c>
      <c r="Y1961">
        <v>-0.11925760000000001</v>
      </c>
      <c r="Z1961">
        <v>-1.4189269999999999E-3</v>
      </c>
      <c r="AA1961">
        <v>0.99286229999999998</v>
      </c>
      <c r="AB1961">
        <v>42</v>
      </c>
      <c r="AC1961">
        <v>-77.800099999999901</v>
      </c>
      <c r="AD1961">
        <v>-1.0406530000000001</v>
      </c>
      <c r="AE1961">
        <v>-9.8317000000000103</v>
      </c>
      <c r="AF1961">
        <v>-9.4023932779643093</v>
      </c>
      <c r="AG1961">
        <v>-1.0406530000000001</v>
      </c>
      <c r="AH1961">
        <v>77.839241647266206</v>
      </c>
      <c r="AI1961">
        <v>90.760429597643096</v>
      </c>
      <c r="AJ1961">
        <v>96.887529127493806</v>
      </c>
      <c r="AK1961">
        <v>78.411960173441798</v>
      </c>
      <c r="AL1961">
        <v>76.840119751358401</v>
      </c>
      <c r="AM1961">
        <v>88.508307932716093</v>
      </c>
      <c r="AN1961">
        <v>1.00000003050172</v>
      </c>
    </row>
    <row r="1962" spans="1:40" x14ac:dyDescent="0.25">
      <c r="A1962" t="str">
        <f>"20190303170536173"</f>
        <v>20190303170536173</v>
      </c>
      <c r="B1962" t="str">
        <f>"1551603936167062"</f>
        <v>1551603936167062</v>
      </c>
      <c r="C1962" t="s">
        <v>40</v>
      </c>
      <c r="D1962">
        <v>5.7281360000000001</v>
      </c>
      <c r="E1962">
        <v>0.44286809999999899</v>
      </c>
      <c r="F1962" t="s">
        <v>43</v>
      </c>
      <c r="G1962">
        <v>-451.53289999999998</v>
      </c>
      <c r="H1962">
        <v>-0.05</v>
      </c>
      <c r="I1962">
        <v>272.52519999999998</v>
      </c>
      <c r="J1962">
        <v>-359.54129999999998</v>
      </c>
      <c r="K1962">
        <v>1.1206609999999999</v>
      </c>
      <c r="L1962">
        <v>284.73950000000002</v>
      </c>
      <c r="M1962">
        <v>-0.99992639999999999</v>
      </c>
      <c r="N1962">
        <v>-1.081007E-2</v>
      </c>
      <c r="O1962">
        <v>-5.4945970000000004E-3</v>
      </c>
      <c r="P1962">
        <v>-0.97594840000000005</v>
      </c>
      <c r="Q1962">
        <v>0.21698229999999999</v>
      </c>
      <c r="R1962">
        <v>2.1049669999999999E-2</v>
      </c>
      <c r="S1962">
        <v>-3.0910639999999998</v>
      </c>
      <c r="T1962">
        <v>-3.9156910000000003E-2</v>
      </c>
      <c r="U1962">
        <v>-0.4086304</v>
      </c>
      <c r="V1962">
        <v>2.6420590000000001E-2</v>
      </c>
      <c r="W1962">
        <v>0.22751730000000001</v>
      </c>
      <c r="X1962">
        <v>0.97341560000000005</v>
      </c>
      <c r="Y1962">
        <v>-0.12558910000000001</v>
      </c>
      <c r="Z1962">
        <v>-1.4636670000000001E-3</v>
      </c>
      <c r="AA1962">
        <v>0.99208130000000005</v>
      </c>
      <c r="AB1962">
        <v>42</v>
      </c>
      <c r="AC1962">
        <v>-91.991600000000005</v>
      </c>
      <c r="AD1962">
        <v>-1.170661</v>
      </c>
      <c r="AE1962">
        <v>-12.2143</v>
      </c>
      <c r="AF1962">
        <v>-11.706766254843799</v>
      </c>
      <c r="AG1962">
        <v>-1.170661</v>
      </c>
      <c r="AH1962">
        <v>92.042680201556607</v>
      </c>
      <c r="AI1962">
        <v>90.722864376932407</v>
      </c>
      <c r="AJ1962">
        <v>97.248443062282604</v>
      </c>
      <c r="AK1962">
        <v>92.791561049529193</v>
      </c>
      <c r="AL1962">
        <v>76.849051915648801</v>
      </c>
      <c r="AM1962">
        <v>88.445251206728301</v>
      </c>
      <c r="AN1962">
        <v>1.00000004984929</v>
      </c>
    </row>
    <row r="1963" spans="1:40" x14ac:dyDescent="0.25">
      <c r="A1963" t="str">
        <f>"20190303170536195"</f>
        <v>20190303170536195</v>
      </c>
      <c r="B1963" t="str">
        <f>"1551603936186581"</f>
        <v>1551603936186581</v>
      </c>
      <c r="C1963" t="s">
        <v>40</v>
      </c>
      <c r="D1963">
        <v>5.7344280000000003</v>
      </c>
      <c r="E1963">
        <v>0.44185180000000002</v>
      </c>
      <c r="F1963" t="s">
        <v>43</v>
      </c>
      <c r="G1963">
        <v>-457.1497</v>
      </c>
      <c r="H1963">
        <v>-0.05</v>
      </c>
      <c r="I1963">
        <v>271.6223</v>
      </c>
      <c r="J1963">
        <v>-359.95420000000001</v>
      </c>
      <c r="K1963">
        <v>1.1206700000000001</v>
      </c>
      <c r="L1963">
        <v>284.7373</v>
      </c>
      <c r="M1963">
        <v>-0.99992579999999998</v>
      </c>
      <c r="N1963">
        <v>-1.088707E-2</v>
      </c>
      <c r="O1963">
        <v>-5.4950099999999998E-3</v>
      </c>
      <c r="P1963">
        <v>-0.975966</v>
      </c>
      <c r="Q1963">
        <v>0.21687970000000001</v>
      </c>
      <c r="R1963">
        <v>2.1307079999999999E-2</v>
      </c>
      <c r="S1963">
        <v>-3.0911249999999999</v>
      </c>
      <c r="T1963">
        <v>-3.7073250000000002E-2</v>
      </c>
      <c r="U1963">
        <v>-0.41540529999999998</v>
      </c>
      <c r="V1963">
        <v>2.667872E-2</v>
      </c>
      <c r="W1963">
        <v>0.22748989999999999</v>
      </c>
      <c r="X1963">
        <v>0.97341489999999997</v>
      </c>
      <c r="Y1963">
        <v>-0.12772339999999999</v>
      </c>
      <c r="Z1963">
        <v>-1.454877E-3</v>
      </c>
      <c r="AA1963">
        <v>0.99180880000000005</v>
      </c>
      <c r="AB1963">
        <v>42</v>
      </c>
      <c r="AC1963">
        <v>-97.195499999999896</v>
      </c>
      <c r="AD1963">
        <v>-1.1706700000000001</v>
      </c>
      <c r="AE1963">
        <v>-13.115</v>
      </c>
      <c r="AF1963">
        <v>-12.578887974141301</v>
      </c>
      <c r="AG1963">
        <v>-1.1706700000000001</v>
      </c>
      <c r="AH1963">
        <v>97.252247643690794</v>
      </c>
      <c r="AI1963">
        <v>90.683965369969599</v>
      </c>
      <c r="AJ1963">
        <v>97.369885796058</v>
      </c>
      <c r="AK1963">
        <v>98.069355879727595</v>
      </c>
      <c r="AL1963">
        <v>76.850663269513305</v>
      </c>
      <c r="AM1963">
        <v>88.4300676984803</v>
      </c>
      <c r="AN1963">
        <v>0.99999998812242896</v>
      </c>
    </row>
    <row r="1964" spans="1:40" x14ac:dyDescent="0.25">
      <c r="A1964" t="str">
        <f>"20190303170536218"</f>
        <v>20190303170536218</v>
      </c>
      <c r="B1964" t="str">
        <f>"1551603936207079"</f>
        <v>1551603936207079</v>
      </c>
      <c r="C1964" t="s">
        <v>40</v>
      </c>
      <c r="D1964">
        <v>5.7334750000000003</v>
      </c>
      <c r="E1964">
        <v>0.44129760000000001</v>
      </c>
      <c r="F1964" t="s">
        <v>43</v>
      </c>
      <c r="G1964">
        <v>-462.78899999999999</v>
      </c>
      <c r="H1964">
        <v>-0.05</v>
      </c>
      <c r="I1964">
        <v>270.66910000000001</v>
      </c>
      <c r="J1964">
        <v>-360.38150000000002</v>
      </c>
      <c r="K1964">
        <v>1.120684</v>
      </c>
      <c r="L1964">
        <v>284.73489999999998</v>
      </c>
      <c r="M1964">
        <v>-0.9999247</v>
      </c>
      <c r="N1964">
        <v>-1.09791E-2</v>
      </c>
      <c r="O1964">
        <v>-5.4951519999999997E-3</v>
      </c>
      <c r="P1964">
        <v>-0.97594669999999895</v>
      </c>
      <c r="Q1964">
        <v>0.21694479999999999</v>
      </c>
      <c r="R1964">
        <v>2.1521749999999999E-2</v>
      </c>
      <c r="S1964">
        <v>-3.0909420000000001</v>
      </c>
      <c r="T1964">
        <v>-3.5187240000000002E-2</v>
      </c>
      <c r="U1964">
        <v>-0.42285159999999999</v>
      </c>
      <c r="V1964">
        <v>2.6893340000000002E-2</v>
      </c>
      <c r="W1964">
        <v>0.2276445</v>
      </c>
      <c r="X1964">
        <v>0.97337289999999999</v>
      </c>
      <c r="Y1964">
        <v>-0.13007779999999999</v>
      </c>
      <c r="Z1964">
        <v>-1.4521929999999901E-3</v>
      </c>
      <c r="AA1964">
        <v>0.99150269999999996</v>
      </c>
      <c r="AB1964">
        <v>42</v>
      </c>
      <c r="AC1964">
        <v>-102.407499999999</v>
      </c>
      <c r="AD1964">
        <v>-1.1706840000000001</v>
      </c>
      <c r="AE1964">
        <v>-14.0657999999999</v>
      </c>
      <c r="AF1964">
        <v>-13.5010772651443</v>
      </c>
      <c r="AG1964">
        <v>-1.1706840000000001</v>
      </c>
      <c r="AH1964">
        <v>102.47010892828899</v>
      </c>
      <c r="AI1964">
        <v>90.648947074028897</v>
      </c>
      <c r="AJ1964">
        <v>97.505843205258699</v>
      </c>
      <c r="AK1964">
        <v>103.362337493512</v>
      </c>
      <c r="AL1964">
        <v>76.841567313841196</v>
      </c>
      <c r="AM1964">
        <v>88.417376345372205</v>
      </c>
      <c r="AN1964">
        <v>1.0000000362854999</v>
      </c>
    </row>
    <row r="1965" spans="1:40" x14ac:dyDescent="0.25">
      <c r="A1965" t="str">
        <f>"20190303170536241"</f>
        <v>20190303170536241</v>
      </c>
      <c r="B1965" t="str">
        <f>"1551603936236359"</f>
        <v>1551603936236359</v>
      </c>
      <c r="C1965" t="s">
        <v>40</v>
      </c>
      <c r="D1965">
        <v>5.760478</v>
      </c>
      <c r="E1965">
        <v>0.44035000000000002</v>
      </c>
      <c r="F1965" t="s">
        <v>43</v>
      </c>
      <c r="G1965">
        <v>-460.92680000000001</v>
      </c>
      <c r="H1965">
        <v>-0.05</v>
      </c>
      <c r="I1965">
        <v>270.84879999999998</v>
      </c>
      <c r="J1965">
        <v>-360.81490000000002</v>
      </c>
      <c r="K1965">
        <v>1.1206989999999999</v>
      </c>
      <c r="L1965">
        <v>284.73250000000002</v>
      </c>
      <c r="M1965">
        <v>-0.99992349999999997</v>
      </c>
      <c r="N1965">
        <v>-1.109161E-2</v>
      </c>
      <c r="O1965">
        <v>-5.4955300000000002E-3</v>
      </c>
      <c r="P1965">
        <v>-0.97621760000000002</v>
      </c>
      <c r="Q1965">
        <v>0.2157493</v>
      </c>
      <c r="R1965">
        <v>2.125326E-2</v>
      </c>
      <c r="S1965">
        <v>-3.0913390000000001</v>
      </c>
      <c r="T1965">
        <v>-3.5993579999999997E-2</v>
      </c>
      <c r="U1965">
        <v>-0.42694090000000001</v>
      </c>
      <c r="V1965">
        <v>2.662664E-2</v>
      </c>
      <c r="W1965">
        <v>0.2265615</v>
      </c>
      <c r="X1965">
        <v>0.97363279999999996</v>
      </c>
      <c r="Y1965">
        <v>-0.13134670000000001</v>
      </c>
      <c r="Z1965">
        <v>-1.4899539999999999E-3</v>
      </c>
      <c r="AA1965">
        <v>0.99133539999999998</v>
      </c>
      <c r="AB1965">
        <v>42</v>
      </c>
      <c r="AC1965">
        <v>-100.11190000000001</v>
      </c>
      <c r="AD1965">
        <v>-1.1706989999999999</v>
      </c>
      <c r="AE1965">
        <v>-13.883699999999999</v>
      </c>
      <c r="AF1965">
        <v>-13.331499943943401</v>
      </c>
      <c r="AG1965">
        <v>-1.1706989999999999</v>
      </c>
      <c r="AH1965">
        <v>100.173251099238</v>
      </c>
      <c r="AI1965">
        <v>90.663719153337595</v>
      </c>
      <c r="AJ1965">
        <v>97.580630858946407</v>
      </c>
      <c r="AK1965">
        <v>101.063245854736</v>
      </c>
      <c r="AL1965">
        <v>76.905282487386998</v>
      </c>
      <c r="AM1965">
        <v>88.433481353927107</v>
      </c>
      <c r="AN1965">
        <v>0.99999996023788895</v>
      </c>
    </row>
    <row r="1966" spans="1:40" x14ac:dyDescent="0.25">
      <c r="A1966" t="str">
        <f>"20190303170536256"</f>
        <v>20190303170536256</v>
      </c>
      <c r="B1966" t="str">
        <f>"1551603936247094"</f>
        <v>1551603936247094</v>
      </c>
      <c r="C1966" t="s">
        <v>40</v>
      </c>
      <c r="D1966">
        <v>5.7477479999999996</v>
      </c>
      <c r="E1966">
        <v>0.44009860000000001</v>
      </c>
      <c r="F1966" t="s">
        <v>43</v>
      </c>
      <c r="G1966">
        <v>-458.30239999999998</v>
      </c>
      <c r="H1966">
        <v>-0.05</v>
      </c>
      <c r="I1966">
        <v>270.99099999999999</v>
      </c>
      <c r="J1966">
        <v>-361.10969999999998</v>
      </c>
      <c r="K1966">
        <v>1.1207129999999901</v>
      </c>
      <c r="L1966">
        <v>284.73099999999999</v>
      </c>
      <c r="M1966">
        <v>-0.99992230000000004</v>
      </c>
      <c r="N1966">
        <v>-1.1183E-2</v>
      </c>
      <c r="O1966">
        <v>-5.4957959999999998E-3</v>
      </c>
      <c r="P1966">
        <v>-0.97629529999999998</v>
      </c>
      <c r="Q1966">
        <v>0.21545159999999999</v>
      </c>
      <c r="R1966">
        <v>2.069584E-2</v>
      </c>
      <c r="S1966">
        <v>-3.0907900000000001</v>
      </c>
      <c r="T1966">
        <v>-3.7116410000000002E-2</v>
      </c>
      <c r="U1966">
        <v>-0.43566890000000003</v>
      </c>
      <c r="V1966">
        <v>2.6069999999999999E-2</v>
      </c>
      <c r="W1966">
        <v>0.22635350000000001</v>
      </c>
      <c r="X1966">
        <v>0.97369629999999996</v>
      </c>
      <c r="Y1966">
        <v>-0.13411439999999999</v>
      </c>
      <c r="Z1966">
        <v>-1.5504479999999901E-3</v>
      </c>
      <c r="AA1966">
        <v>0.99096470000000003</v>
      </c>
      <c r="AB1966">
        <v>42</v>
      </c>
      <c r="AC1966">
        <v>-97.192700000000002</v>
      </c>
      <c r="AD1966">
        <v>-1.1707129999999999</v>
      </c>
      <c r="AE1966">
        <v>-13.74</v>
      </c>
      <c r="AF1966">
        <v>-13.203729605823399</v>
      </c>
      <c r="AG1966">
        <v>-1.1707129999999999</v>
      </c>
      <c r="AH1966">
        <v>97.252915147527006</v>
      </c>
      <c r="AI1966">
        <v>90.683413714067598</v>
      </c>
      <c r="AJ1966">
        <v>97.731598652193497</v>
      </c>
      <c r="AK1966">
        <v>98.152119432665103</v>
      </c>
      <c r="AL1966">
        <v>76.917518644928805</v>
      </c>
      <c r="AM1966">
        <v>88.466314188555401</v>
      </c>
      <c r="AN1966">
        <v>1.00000001824796</v>
      </c>
    </row>
    <row r="1967" spans="1:40" x14ac:dyDescent="0.25">
      <c r="A1967" t="str">
        <f>"20190303170536274"</f>
        <v>20190303170536274</v>
      </c>
      <c r="B1967" t="str">
        <f>"1551603936266650"</f>
        <v>1551603936266650</v>
      </c>
      <c r="C1967" t="s">
        <v>40</v>
      </c>
      <c r="D1967">
        <v>5.7503529999999996</v>
      </c>
      <c r="E1967">
        <v>0.43950850000000002</v>
      </c>
      <c r="F1967" t="s">
        <v>43</v>
      </c>
      <c r="G1967">
        <v>-457.8673</v>
      </c>
      <c r="H1967">
        <v>-0.05</v>
      </c>
      <c r="I1967">
        <v>270.98079999999999</v>
      </c>
      <c r="J1967">
        <v>-361.44450000000001</v>
      </c>
      <c r="K1967">
        <v>1.120722</v>
      </c>
      <c r="L1967">
        <v>284.72910000000002</v>
      </c>
      <c r="M1967">
        <v>-0.99992099999999995</v>
      </c>
      <c r="N1967">
        <v>-1.1301759999999999E-2</v>
      </c>
      <c r="O1967">
        <v>-5.4960989999999999E-3</v>
      </c>
      <c r="P1967">
        <v>-0.97638550000000002</v>
      </c>
      <c r="Q1967">
        <v>0.2151207</v>
      </c>
      <c r="R1967">
        <v>1.985719E-2</v>
      </c>
      <c r="S1967">
        <v>-3.0904240000000001</v>
      </c>
      <c r="T1967">
        <v>-3.7392380000000003E-2</v>
      </c>
      <c r="U1967">
        <v>-0.43917850000000003</v>
      </c>
      <c r="V1967">
        <v>2.5232040000000001E-2</v>
      </c>
      <c r="W1967">
        <v>0.22613939999999999</v>
      </c>
      <c r="X1967">
        <v>0.97376810000000003</v>
      </c>
      <c r="Y1967">
        <v>-0.13523309999999999</v>
      </c>
      <c r="Z1967">
        <v>-1.577742E-3</v>
      </c>
      <c r="AA1967">
        <v>0.99081249999999998</v>
      </c>
      <c r="AB1967">
        <v>42</v>
      </c>
      <c r="AC1967">
        <v>-96.422799999999995</v>
      </c>
      <c r="AD1967">
        <v>-1.170722</v>
      </c>
      <c r="AE1967">
        <v>-13.7483</v>
      </c>
      <c r="AF1967">
        <v>-13.216199730517999</v>
      </c>
      <c r="AG1967">
        <v>-1.170722</v>
      </c>
      <c r="AH1967">
        <v>96.482970473364603</v>
      </c>
      <c r="AI1967">
        <v>90.688760378183304</v>
      </c>
      <c r="AJ1967">
        <v>97.799811595406695</v>
      </c>
      <c r="AK1967">
        <v>97.390975540254104</v>
      </c>
      <c r="AL1967">
        <v>76.930111956409505</v>
      </c>
      <c r="AM1967">
        <v>88.515697961011696</v>
      </c>
      <c r="AN1967">
        <v>0.99999999832626496</v>
      </c>
    </row>
    <row r="1968" spans="1:40" x14ac:dyDescent="0.25">
      <c r="A1968" t="str">
        <f>"20190303170536295"</f>
        <v>20190303170536295</v>
      </c>
      <c r="B1968" t="str">
        <f>"1551603936287133"</f>
        <v>1551603936287133</v>
      </c>
      <c r="C1968" t="s">
        <v>40</v>
      </c>
      <c r="D1968">
        <v>5.7696110000000003</v>
      </c>
      <c r="E1968">
        <v>0.43905889999999997</v>
      </c>
      <c r="F1968" t="s">
        <v>43</v>
      </c>
      <c r="G1968">
        <v>-460.01299999999998</v>
      </c>
      <c r="H1968">
        <v>-0.05</v>
      </c>
      <c r="I1968">
        <v>270.49549999999999</v>
      </c>
      <c r="J1968">
        <v>-361.85789999999997</v>
      </c>
      <c r="K1968">
        <v>1.1207510000000001</v>
      </c>
      <c r="L1968">
        <v>284.7269</v>
      </c>
      <c r="M1968">
        <v>-0.99991920000000001</v>
      </c>
      <c r="N1968">
        <v>-1.147229E-2</v>
      </c>
      <c r="O1968">
        <v>-5.4965860000000004E-3</v>
      </c>
      <c r="P1968">
        <v>-0.97644160000000002</v>
      </c>
      <c r="Q1968">
        <v>0.21499499999999999</v>
      </c>
      <c r="R1968">
        <v>1.8417030000000001E-2</v>
      </c>
      <c r="S1968">
        <v>-3.0897220000000001</v>
      </c>
      <c r="T1968">
        <v>-3.6697390000000003E-2</v>
      </c>
      <c r="U1968">
        <v>-0.44616699999999998</v>
      </c>
      <c r="V1968">
        <v>2.379264E-2</v>
      </c>
      <c r="W1968">
        <v>0.22618070000000001</v>
      </c>
      <c r="X1968">
        <v>0.97379479999999996</v>
      </c>
      <c r="Y1968">
        <v>-0.13745969999999999</v>
      </c>
      <c r="Z1968">
        <v>-1.602521E-3</v>
      </c>
      <c r="AA1968">
        <v>0.99050609999999994</v>
      </c>
      <c r="AB1968">
        <v>42</v>
      </c>
      <c r="AC1968">
        <v>-98.155100000000004</v>
      </c>
      <c r="AD1968">
        <v>-1.1707510000000001</v>
      </c>
      <c r="AE1968">
        <v>-14.231400000000001</v>
      </c>
      <c r="AF1968">
        <v>-13.6897241008422</v>
      </c>
      <c r="AG1968">
        <v>-1.1707510000000001</v>
      </c>
      <c r="AH1968">
        <v>98.218160810773497</v>
      </c>
      <c r="AI1968">
        <v>90.676389925362798</v>
      </c>
      <c r="AJ1968">
        <v>97.934810897624004</v>
      </c>
      <c r="AK1968">
        <v>99.174524535851106</v>
      </c>
      <c r="AL1968">
        <v>76.927683461515898</v>
      </c>
      <c r="AM1968">
        <v>88.600375882874303</v>
      </c>
      <c r="AN1968">
        <v>1.00000005563884</v>
      </c>
    </row>
    <row r="1969" spans="1:40" x14ac:dyDescent="0.25">
      <c r="A1969" t="str">
        <f>"20190303170536319"</f>
        <v>20190303170536319</v>
      </c>
      <c r="B1969" t="str">
        <f>"1551603936306652"</f>
        <v>1551603936306652</v>
      </c>
      <c r="C1969" t="s">
        <v>40</v>
      </c>
      <c r="D1969">
        <v>5.7741309999999997</v>
      </c>
      <c r="E1969">
        <v>0.43860389999999999</v>
      </c>
      <c r="F1969" t="s">
        <v>43</v>
      </c>
      <c r="G1969">
        <v>-466.35239999999999</v>
      </c>
      <c r="H1969">
        <v>-0.05</v>
      </c>
      <c r="I1969">
        <v>269.30770000000001</v>
      </c>
      <c r="J1969">
        <v>-362.28149999999999</v>
      </c>
      <c r="K1969">
        <v>1.1207769999999999</v>
      </c>
      <c r="L1969">
        <v>284.72449999999998</v>
      </c>
      <c r="M1969">
        <v>-0.99991669999999999</v>
      </c>
      <c r="N1969">
        <v>-1.167378E-2</v>
      </c>
      <c r="O1969">
        <v>-5.4965489999999999E-3</v>
      </c>
      <c r="P1969">
        <v>-0.97643120000000005</v>
      </c>
      <c r="Q1969">
        <v>0.21515239999999999</v>
      </c>
      <c r="R1969">
        <v>1.7072779999999999E-2</v>
      </c>
      <c r="S1969">
        <v>-3.0885929999999999</v>
      </c>
      <c r="T1969">
        <v>-3.4604429999999999E-2</v>
      </c>
      <c r="U1969">
        <v>-0.45574949999999997</v>
      </c>
      <c r="V1969">
        <v>2.2448329999999999E-2</v>
      </c>
      <c r="W1969">
        <v>0.22653409999999999</v>
      </c>
      <c r="X1969">
        <v>0.97374450000000001</v>
      </c>
      <c r="Y1969">
        <v>-0.14052020000000001</v>
      </c>
      <c r="Z1969">
        <v>-1.610212E-3</v>
      </c>
      <c r="AA1969">
        <v>0.99007650000000003</v>
      </c>
      <c r="AB1969">
        <v>42</v>
      </c>
      <c r="AC1969">
        <v>-104.07089999999999</v>
      </c>
      <c r="AD1969">
        <v>-1.170777</v>
      </c>
      <c r="AE1969">
        <v>-15.416799999999901</v>
      </c>
      <c r="AF1969">
        <v>-14.8426591466835</v>
      </c>
      <c r="AG1969">
        <v>-1.170777</v>
      </c>
      <c r="AH1969">
        <v>104.141175766864</v>
      </c>
      <c r="AI1969">
        <v>90.637660701738</v>
      </c>
      <c r="AJ1969">
        <v>98.111418317661702</v>
      </c>
      <c r="AK1969">
        <v>105.20009381855699</v>
      </c>
      <c r="AL1969">
        <v>76.906894677199901</v>
      </c>
      <c r="AM1969">
        <v>88.679359132522407</v>
      </c>
      <c r="AN1969">
        <v>0.99999998863142403</v>
      </c>
    </row>
    <row r="1970" spans="1:40" x14ac:dyDescent="0.25">
      <c r="A1970" t="str">
        <f>"20190303170536333"</f>
        <v>20190303170536333</v>
      </c>
      <c r="B1970" t="str">
        <f>"1551603936327148"</f>
        <v>1551603936327148</v>
      </c>
      <c r="C1970" t="s">
        <v>40</v>
      </c>
      <c r="D1970">
        <v>5.7587529999999996</v>
      </c>
      <c r="E1970">
        <v>0.43818360000000001</v>
      </c>
      <c r="F1970" t="s">
        <v>43</v>
      </c>
      <c r="G1970">
        <v>-472.96350000000001</v>
      </c>
      <c r="H1970">
        <v>-0.05</v>
      </c>
      <c r="I1970">
        <v>268.10419999999999</v>
      </c>
      <c r="J1970">
        <v>-362.55829999999997</v>
      </c>
      <c r="K1970">
        <v>1.1208039999999999</v>
      </c>
      <c r="L1970">
        <v>284.72300000000001</v>
      </c>
      <c r="M1970">
        <v>-0.99991509999999995</v>
      </c>
      <c r="N1970">
        <v>-1.182357E-2</v>
      </c>
      <c r="O1970">
        <v>-5.4967050000000002E-3</v>
      </c>
      <c r="P1970">
        <v>-0.97644730000000002</v>
      </c>
      <c r="Q1970">
        <v>0.21513930000000001</v>
      </c>
      <c r="R1970">
        <v>1.630067E-2</v>
      </c>
      <c r="S1970">
        <v>-3.0876769999999998</v>
      </c>
      <c r="T1970">
        <v>-3.2660960000000003E-2</v>
      </c>
      <c r="U1970">
        <v>-0.4636536</v>
      </c>
      <c r="V1970">
        <v>2.1676620000000001E-2</v>
      </c>
      <c r="W1970">
        <v>0.22666739999999999</v>
      </c>
      <c r="X1970">
        <v>0.97373100000000001</v>
      </c>
      <c r="Y1970">
        <v>-0.14304249999999999</v>
      </c>
      <c r="Z1970">
        <v>-1.609559E-3</v>
      </c>
      <c r="AA1970">
        <v>0.98971520000000002</v>
      </c>
      <c r="AB1970">
        <v>42</v>
      </c>
      <c r="AC1970">
        <v>-110.40519999999999</v>
      </c>
      <c r="AD1970">
        <v>-1.170804</v>
      </c>
      <c r="AE1970">
        <v>-16.6188</v>
      </c>
      <c r="AF1970">
        <v>-16.0098811879935</v>
      </c>
      <c r="AG1970">
        <v>-1.170804</v>
      </c>
      <c r="AH1970">
        <v>110.482737533815</v>
      </c>
      <c r="AI1970">
        <v>90.600874728136901</v>
      </c>
      <c r="AJ1970">
        <v>98.245249209352295</v>
      </c>
      <c r="AK1970">
        <v>111.64283394211201</v>
      </c>
      <c r="AL1970">
        <v>76.8990536356105</v>
      </c>
      <c r="AM1970">
        <v>88.724726091142301</v>
      </c>
      <c r="AN1970">
        <v>1.0000000232191899</v>
      </c>
    </row>
    <row r="1971" spans="1:40" x14ac:dyDescent="0.25">
      <c r="A1971" t="str">
        <f>"20190303170536353"</f>
        <v>20190303170536353</v>
      </c>
      <c r="B1971" t="str">
        <f>"1551603936346667"</f>
        <v>1551603936346667</v>
      </c>
      <c r="C1971" t="s">
        <v>40</v>
      </c>
      <c r="D1971">
        <v>5.77264</v>
      </c>
      <c r="E1971">
        <v>0.43791219999999997</v>
      </c>
      <c r="F1971" t="s">
        <v>43</v>
      </c>
      <c r="G1971">
        <v>-477.94580000000002</v>
      </c>
      <c r="H1971">
        <v>-0.05</v>
      </c>
      <c r="I1971">
        <v>267.17959999999999</v>
      </c>
      <c r="J1971">
        <v>-362.93860000000001</v>
      </c>
      <c r="K1971">
        <v>1.120835</v>
      </c>
      <c r="L1971">
        <v>284.72089999999997</v>
      </c>
      <c r="M1971">
        <v>-0.99991240000000003</v>
      </c>
      <c r="N1971">
        <v>-1.205269E-2</v>
      </c>
      <c r="O1971">
        <v>-5.4968669999999999E-3</v>
      </c>
      <c r="P1971">
        <v>-0.97651960000000004</v>
      </c>
      <c r="Q1971">
        <v>0.21492729999999999</v>
      </c>
      <c r="R1971">
        <v>1.4710020000000001E-2</v>
      </c>
      <c r="S1971">
        <v>-3.087097</v>
      </c>
      <c r="T1971">
        <v>-3.1323910000000003E-2</v>
      </c>
      <c r="U1971">
        <v>-0.46936040000000001</v>
      </c>
      <c r="V1971">
        <v>2.0086949999999999E-2</v>
      </c>
      <c r="W1971">
        <v>0.22667950000000001</v>
      </c>
      <c r="X1971">
        <v>0.97376229999999997</v>
      </c>
      <c r="Y1971">
        <v>-0.14485880000000001</v>
      </c>
      <c r="Z1971">
        <v>-1.619175E-3</v>
      </c>
      <c r="AA1971">
        <v>0.98945099999999997</v>
      </c>
      <c r="AB1971">
        <v>42</v>
      </c>
      <c r="AC1971">
        <v>-115.0072</v>
      </c>
      <c r="AD1971">
        <v>-1.1708350000000001</v>
      </c>
      <c r="AE1971">
        <v>-17.5412999999999</v>
      </c>
      <c r="AF1971">
        <v>-16.9070973666329</v>
      </c>
      <c r="AG1971">
        <v>-1.1708350000000001</v>
      </c>
      <c r="AH1971">
        <v>115.090234266265</v>
      </c>
      <c r="AI1971">
        <v>90.576672041176394</v>
      </c>
      <c r="AJ1971">
        <v>98.357145273707999</v>
      </c>
      <c r="AK1971">
        <v>116.33134925472901</v>
      </c>
      <c r="AL1971">
        <v>76.8983421739443</v>
      </c>
      <c r="AM1971">
        <v>88.818259593877599</v>
      </c>
      <c r="AN1971">
        <v>1.00000004909092</v>
      </c>
    </row>
    <row r="1972" spans="1:40" x14ac:dyDescent="0.25">
      <c r="A1972" t="str">
        <f>"20190303170536374"</f>
        <v>20190303170536374</v>
      </c>
      <c r="B1972" t="str">
        <f>"1551603936367165"</f>
        <v>1551603936367165</v>
      </c>
      <c r="C1972" t="s">
        <v>40</v>
      </c>
      <c r="D1972">
        <v>5.786594</v>
      </c>
      <c r="E1972">
        <v>0.43764130000000001</v>
      </c>
      <c r="F1972" t="s">
        <v>69</v>
      </c>
      <c r="G1972">
        <v>-456.09629999999999</v>
      </c>
      <c r="H1972">
        <v>0.1763372</v>
      </c>
      <c r="I1972">
        <v>270.3322</v>
      </c>
      <c r="J1972">
        <v>-363.35890000000001</v>
      </c>
      <c r="K1972">
        <v>1.1208819999999999</v>
      </c>
      <c r="L1972">
        <v>284.71859999999998</v>
      </c>
      <c r="M1972">
        <v>-0.99990889999999999</v>
      </c>
      <c r="N1972">
        <v>-1.233574E-2</v>
      </c>
      <c r="O1972">
        <v>-5.497264E-3</v>
      </c>
      <c r="P1972">
        <v>-0.97684380000000004</v>
      </c>
      <c r="Q1972">
        <v>0.21352869999999999</v>
      </c>
      <c r="R1972">
        <v>1.3472410000000001E-2</v>
      </c>
      <c r="S1972">
        <v>-3.0862120000000002</v>
      </c>
      <c r="T1972">
        <v>-3.1289940000000002E-2</v>
      </c>
      <c r="U1972">
        <v>-0.47668460000000001</v>
      </c>
      <c r="V1972">
        <v>1.8851260000000002E-2</v>
      </c>
      <c r="W1972">
        <v>0.22556100000000001</v>
      </c>
      <c r="X1972">
        <v>0.97404659999999998</v>
      </c>
      <c r="Y1972">
        <v>-0.14719399999999999</v>
      </c>
      <c r="Z1972">
        <v>-1.6670910000000001E-3</v>
      </c>
      <c r="AA1972">
        <v>0.98910620000000005</v>
      </c>
      <c r="AB1972">
        <v>42</v>
      </c>
      <c r="AC1972">
        <v>-92.737399999999894</v>
      </c>
      <c r="AD1972">
        <v>-0.94454479999999996</v>
      </c>
      <c r="AE1972">
        <v>-14.386399999999901</v>
      </c>
      <c r="AF1972">
        <v>-13.874936349828801</v>
      </c>
      <c r="AG1972">
        <v>-0.94454479999999996</v>
      </c>
      <c r="AH1972">
        <v>92.805689191670197</v>
      </c>
      <c r="AI1972">
        <v>90.576707687336196</v>
      </c>
      <c r="AJ1972">
        <v>98.503039433439895</v>
      </c>
      <c r="AK1972">
        <v>93.841898797562195</v>
      </c>
      <c r="AL1972">
        <v>76.964130263422902</v>
      </c>
      <c r="AM1972">
        <v>88.891261657252599</v>
      </c>
      <c r="AN1972">
        <v>0.99999995684807197</v>
      </c>
    </row>
    <row r="1973" spans="1:40" x14ac:dyDescent="0.25">
      <c r="A1973" t="str">
        <f>"20190303170536397"</f>
        <v>20190303170536397</v>
      </c>
      <c r="B1973" t="str">
        <f>"1551603936386684"</f>
        <v>1551603936386684</v>
      </c>
      <c r="C1973" t="s">
        <v>40</v>
      </c>
      <c r="D1973">
        <v>5.7702939999999998</v>
      </c>
      <c r="E1973">
        <v>0.43743979999999999</v>
      </c>
      <c r="F1973" t="s">
        <v>43</v>
      </c>
      <c r="G1973">
        <v>-464.98160000000001</v>
      </c>
      <c r="H1973">
        <v>-0.05</v>
      </c>
      <c r="I1973">
        <v>268.82580000000002</v>
      </c>
      <c r="J1973">
        <v>-363.76889999999997</v>
      </c>
      <c r="K1973">
        <v>1.1209249999999999</v>
      </c>
      <c r="L1973">
        <v>284.71640000000002</v>
      </c>
      <c r="M1973">
        <v>-0.9999053</v>
      </c>
      <c r="N1973">
        <v>-1.2626979999999999E-2</v>
      </c>
      <c r="O1973">
        <v>-5.4975140000000002E-3</v>
      </c>
      <c r="P1973">
        <v>-0.97689159999999997</v>
      </c>
      <c r="Q1973">
        <v>0.21338360000000001</v>
      </c>
      <c r="R1973">
        <v>1.227612E-2</v>
      </c>
      <c r="S1973">
        <v>-3.0855100000000002</v>
      </c>
      <c r="T1973">
        <v>-3.5550829999999999E-2</v>
      </c>
      <c r="U1973">
        <v>-0.48254390000000003</v>
      </c>
      <c r="V1973">
        <v>1.765568E-2</v>
      </c>
      <c r="W1973">
        <v>0.22569990000000001</v>
      </c>
      <c r="X1973">
        <v>0.97403689999999998</v>
      </c>
      <c r="Y1973">
        <v>-0.14905750000000001</v>
      </c>
      <c r="Z1973">
        <v>-1.8064139999999999E-3</v>
      </c>
      <c r="AA1973">
        <v>0.98882689999999995</v>
      </c>
      <c r="AB1973">
        <v>42</v>
      </c>
      <c r="AC1973">
        <v>-101.2127</v>
      </c>
      <c r="AD1973">
        <v>-1.170925</v>
      </c>
      <c r="AE1973">
        <v>-15.890599999999999</v>
      </c>
      <c r="AF1973">
        <v>-15.3318946430363</v>
      </c>
      <c r="AG1973">
        <v>-1.170925</v>
      </c>
      <c r="AH1973">
        <v>101.285306055565</v>
      </c>
      <c r="AI1973">
        <v>90.654887673060003</v>
      </c>
      <c r="AJ1973">
        <v>98.607704922586393</v>
      </c>
      <c r="AK1973">
        <v>102.445845603764</v>
      </c>
      <c r="AL1973">
        <v>76.955962131666794</v>
      </c>
      <c r="AM1973">
        <v>88.961553531065505</v>
      </c>
      <c r="AN1973">
        <v>1.00000002522894</v>
      </c>
    </row>
    <row r="1974" spans="1:40" x14ac:dyDescent="0.25">
      <c r="A1974" t="str">
        <f>"20190303170536419"</f>
        <v>20190303170536419</v>
      </c>
      <c r="B1974" t="str">
        <f>"1551603936407181"</f>
        <v>1551603936407181</v>
      </c>
      <c r="C1974" t="s">
        <v>40</v>
      </c>
      <c r="D1974">
        <v>5.8100269999999998</v>
      </c>
      <c r="E1974">
        <v>0.43726100000000001</v>
      </c>
      <c r="F1974" t="s">
        <v>43</v>
      </c>
      <c r="G1974">
        <v>-465.05489999999998</v>
      </c>
      <c r="H1974">
        <v>-0.05</v>
      </c>
      <c r="I1974">
        <v>268.70179999999999</v>
      </c>
      <c r="J1974">
        <v>-364.18889999999999</v>
      </c>
      <c r="K1974">
        <v>1.1209639999999901</v>
      </c>
      <c r="L1974">
        <v>284.714</v>
      </c>
      <c r="M1974">
        <v>-0.9999015</v>
      </c>
      <c r="N1974">
        <v>-1.292221E-2</v>
      </c>
      <c r="O1974">
        <v>-5.4975939999999997E-3</v>
      </c>
      <c r="P1974">
        <v>-0.97690840000000001</v>
      </c>
      <c r="Q1974">
        <v>0.21342050000000001</v>
      </c>
      <c r="R1974">
        <v>1.009851E-2</v>
      </c>
      <c r="S1974">
        <v>-3.0849000000000002</v>
      </c>
      <c r="T1974">
        <v>-3.5663250000000001E-2</v>
      </c>
      <c r="U1974">
        <v>-0.48776249999999999</v>
      </c>
      <c r="V1974">
        <v>1.547837E-2</v>
      </c>
      <c r="W1974">
        <v>0.22602510000000001</v>
      </c>
      <c r="X1974">
        <v>0.97399849999999999</v>
      </c>
      <c r="Y1974">
        <v>-0.15071879999999999</v>
      </c>
      <c r="Z1974">
        <v>-1.853183E-3</v>
      </c>
      <c r="AA1974">
        <v>0.98857490000000003</v>
      </c>
      <c r="AB1974">
        <v>42</v>
      </c>
      <c r="AC1974">
        <v>-100.866</v>
      </c>
      <c r="AD1974">
        <v>-1.1709639999999999</v>
      </c>
      <c r="AE1974">
        <v>-16.0122</v>
      </c>
      <c r="AF1974">
        <v>-15.4553596871</v>
      </c>
      <c r="AG1974">
        <v>-1.1709639999999999</v>
      </c>
      <c r="AH1974">
        <v>100.93924206699501</v>
      </c>
      <c r="AI1974">
        <v>90.656984291960498</v>
      </c>
      <c r="AJ1974">
        <v>98.705260765624999</v>
      </c>
      <c r="AK1974">
        <v>102.122328062018</v>
      </c>
      <c r="AL1974">
        <v>76.936834981217501</v>
      </c>
      <c r="AM1974">
        <v>89.089556471820501</v>
      </c>
      <c r="AN1974">
        <v>1.0000000018850499</v>
      </c>
    </row>
    <row r="1975" spans="1:40" x14ac:dyDescent="0.25">
      <c r="A1975" t="str">
        <f>"20190303170536432"</f>
        <v>20190303170536432</v>
      </c>
      <c r="B1975" t="str">
        <f>"1551603936426700"</f>
        <v>1551603936426700</v>
      </c>
      <c r="C1975" t="s">
        <v>40</v>
      </c>
      <c r="D1975">
        <v>5.7907849999999996</v>
      </c>
      <c r="E1975">
        <v>0.43711060000000002</v>
      </c>
      <c r="F1975" t="s">
        <v>43</v>
      </c>
      <c r="G1975">
        <v>-464.9409</v>
      </c>
      <c r="H1975">
        <v>-0.05</v>
      </c>
      <c r="I1975">
        <v>268.51339999999999</v>
      </c>
      <c r="J1975">
        <v>-364.42439999999999</v>
      </c>
      <c r="K1975">
        <v>1.1209830000000001</v>
      </c>
      <c r="L1975">
        <v>284.71269999999998</v>
      </c>
      <c r="M1975">
        <v>-0.99989939999999999</v>
      </c>
      <c r="N1975">
        <v>-1.307966E-2</v>
      </c>
      <c r="O1975">
        <v>-5.4977749999999999E-3</v>
      </c>
      <c r="P1975">
        <v>-0.97687040000000003</v>
      </c>
      <c r="Q1975">
        <v>0.21364839999999999</v>
      </c>
      <c r="R1975">
        <v>8.8821709999999995E-3</v>
      </c>
      <c r="S1975">
        <v>-3.0838930000000002</v>
      </c>
      <c r="T1975">
        <v>-3.5841699999999997E-2</v>
      </c>
      <c r="U1975">
        <v>-0.49588009999999899</v>
      </c>
      <c r="V1975">
        <v>1.426203E-2</v>
      </c>
      <c r="W1975">
        <v>0.226406</v>
      </c>
      <c r="X1975">
        <v>0.97392860000000003</v>
      </c>
      <c r="Y1975">
        <v>-0.15330489999999999</v>
      </c>
      <c r="Z1975">
        <v>-1.902241E-3</v>
      </c>
      <c r="AA1975">
        <v>0.98817710000000003</v>
      </c>
      <c r="AB1975">
        <v>42</v>
      </c>
      <c r="AC1975">
        <v>-100.51649999999999</v>
      </c>
      <c r="AD1975">
        <v>-1.1709829999999899</v>
      </c>
      <c r="AE1975">
        <v>-16.199299999999901</v>
      </c>
      <c r="AF1975">
        <v>-15.644321380371499</v>
      </c>
      <c r="AG1975">
        <v>-1.1709829999999899</v>
      </c>
      <c r="AH1975">
        <v>100.590742332294</v>
      </c>
      <c r="AI1975">
        <v>90.659031608040294</v>
      </c>
      <c r="AJ1975">
        <v>98.8400752777641</v>
      </c>
      <c r="AK1975">
        <v>101.806745530936</v>
      </c>
      <c r="AL1975">
        <v>76.914430202685196</v>
      </c>
      <c r="AM1975">
        <v>89.161031185171794</v>
      </c>
      <c r="AN1975">
        <v>1.0000000001168401</v>
      </c>
    </row>
    <row r="1976" spans="1:40" x14ac:dyDescent="0.25">
      <c r="A1976" t="str">
        <f>"20190303170536446"</f>
        <v>20190303170536446</v>
      </c>
      <c r="B1976" t="str">
        <f>"1551603936436460"</f>
        <v>1551603936436460</v>
      </c>
      <c r="C1976" t="s">
        <v>40</v>
      </c>
      <c r="D1976">
        <v>5.7896390000000002</v>
      </c>
      <c r="E1976">
        <v>0.43704399999999899</v>
      </c>
      <c r="F1976" t="s">
        <v>43</v>
      </c>
      <c r="G1976">
        <v>-469.13459999999998</v>
      </c>
      <c r="H1976">
        <v>-0.05</v>
      </c>
      <c r="I1976">
        <v>267.69929999999999</v>
      </c>
      <c r="J1976">
        <v>-364.6814</v>
      </c>
      <c r="K1976">
        <v>1.121005</v>
      </c>
      <c r="L1976">
        <v>284.71129999999999</v>
      </c>
      <c r="M1976">
        <v>-0.99989720000000004</v>
      </c>
      <c r="N1976">
        <v>-1.32458E-2</v>
      </c>
      <c r="O1976">
        <v>-5.4980239999999998E-3</v>
      </c>
      <c r="P1976">
        <v>-0.97686519999999999</v>
      </c>
      <c r="Q1976">
        <v>0.2137339</v>
      </c>
      <c r="R1976">
        <v>7.2388130000000002E-3</v>
      </c>
      <c r="S1976">
        <v>-3.0830989999999998</v>
      </c>
      <c r="T1976">
        <v>-3.4478549999999997E-2</v>
      </c>
      <c r="U1976">
        <v>-0.500946</v>
      </c>
      <c r="V1976">
        <v>1.261895E-2</v>
      </c>
      <c r="W1976">
        <v>0.22665299999999999</v>
      </c>
      <c r="X1976">
        <v>0.97389380000000003</v>
      </c>
      <c r="Y1976">
        <v>-0.15492739999999999</v>
      </c>
      <c r="Z1976">
        <v>-1.904769E-3</v>
      </c>
      <c r="AA1976">
        <v>0.98792400000000002</v>
      </c>
      <c r="AB1976">
        <v>42</v>
      </c>
      <c r="AC1976">
        <v>-104.453199999999</v>
      </c>
      <c r="AD1976">
        <v>-1.1710049999999901</v>
      </c>
      <c r="AE1976">
        <v>-17.012</v>
      </c>
      <c r="AF1976">
        <v>-16.435394009589501</v>
      </c>
      <c r="AG1976">
        <v>-1.1710049999999901</v>
      </c>
      <c r="AH1976">
        <v>104.53236319988901</v>
      </c>
      <c r="AI1976">
        <v>90.634030508161501</v>
      </c>
      <c r="AJ1976">
        <v>98.935339895565505</v>
      </c>
      <c r="AK1976">
        <v>105.823004990002</v>
      </c>
      <c r="AL1976">
        <v>76.899900125342697</v>
      </c>
      <c r="AM1976">
        <v>89.257647888387297</v>
      </c>
      <c r="AN1976">
        <v>0.99999997699327103</v>
      </c>
    </row>
    <row r="1977" spans="1:40" x14ac:dyDescent="0.25">
      <c r="A1977" t="str">
        <f>"20190303170536464"</f>
        <v>20190303170536464</v>
      </c>
      <c r="B1977" t="str">
        <f>"1551603936456957"</f>
        <v>1551603936456957</v>
      </c>
      <c r="C1977" t="s">
        <v>40</v>
      </c>
      <c r="D1977">
        <v>5.7945039999999999</v>
      </c>
      <c r="E1977">
        <v>0.43691089999999999</v>
      </c>
      <c r="F1977" t="s">
        <v>43</v>
      </c>
      <c r="G1977">
        <v>-470.762</v>
      </c>
      <c r="H1977">
        <v>-0.05</v>
      </c>
      <c r="I1977">
        <v>267.27190000000002</v>
      </c>
      <c r="J1977">
        <v>-365.0444</v>
      </c>
      <c r="K1977">
        <v>1.1210279999999999</v>
      </c>
      <c r="L1977">
        <v>284.70929999999998</v>
      </c>
      <c r="M1977">
        <v>-0.99989430000000001</v>
      </c>
      <c r="N1977">
        <v>-1.346286E-2</v>
      </c>
      <c r="O1977">
        <v>-5.4980309999999996E-3</v>
      </c>
      <c r="P1977">
        <v>-0.97687100000000004</v>
      </c>
      <c r="Q1977">
        <v>0.21379090000000001</v>
      </c>
      <c r="R1977">
        <v>4.0533110000000004E-3</v>
      </c>
      <c r="S1977">
        <v>-3.0822449999999999</v>
      </c>
      <c r="T1977">
        <v>-3.4024359999999997E-2</v>
      </c>
      <c r="U1977">
        <v>-0.50671390000000005</v>
      </c>
      <c r="V1977">
        <v>9.4334689999999999E-3</v>
      </c>
      <c r="W1977">
        <v>0.2269224</v>
      </c>
      <c r="X1977">
        <v>0.97386719999999904</v>
      </c>
      <c r="Y1977">
        <v>-0.1567711</v>
      </c>
      <c r="Z1977">
        <v>-1.935197E-3</v>
      </c>
      <c r="AA1977">
        <v>0.98763299999999998</v>
      </c>
      <c r="AB1977">
        <v>42</v>
      </c>
      <c r="AC1977">
        <v>-105.717599999999</v>
      </c>
      <c r="AD1977">
        <v>-1.171028</v>
      </c>
      <c r="AE1977">
        <v>-17.437399999999901</v>
      </c>
      <c r="AF1977">
        <v>-16.853831928040499</v>
      </c>
      <c r="AG1977">
        <v>-1.171028</v>
      </c>
      <c r="AH1977">
        <v>105.79924430747501</v>
      </c>
      <c r="AI1977">
        <v>90.626250903252895</v>
      </c>
      <c r="AJ1977">
        <v>99.051173223580193</v>
      </c>
      <c r="AK1977">
        <v>107.139642771797</v>
      </c>
      <c r="AL1977">
        <v>76.884052601270298</v>
      </c>
      <c r="AM1977">
        <v>89.445015649176696</v>
      </c>
      <c r="AN1977">
        <v>1.0000000445974799</v>
      </c>
    </row>
    <row r="1978" spans="1:40" x14ac:dyDescent="0.25">
      <c r="A1978" t="str">
        <f>"20190303170536485"</f>
        <v>20190303170536485</v>
      </c>
      <c r="B1978" t="str">
        <f>"1551603936476476"</f>
        <v>1551603936476476</v>
      </c>
      <c r="C1978" t="s">
        <v>40</v>
      </c>
      <c r="D1978">
        <v>5.7932639999999997</v>
      </c>
      <c r="E1978">
        <v>0.43683470000000002</v>
      </c>
      <c r="F1978" t="s">
        <v>69</v>
      </c>
      <c r="G1978">
        <v>-452.09269999999998</v>
      </c>
      <c r="H1978">
        <v>0.1807222</v>
      </c>
      <c r="I1978">
        <v>270.08679999999998</v>
      </c>
      <c r="J1978">
        <v>-365.43360000000001</v>
      </c>
      <c r="K1978">
        <v>1.12104</v>
      </c>
      <c r="L1978">
        <v>284.7072</v>
      </c>
      <c r="M1978">
        <v>-0.99989139999999999</v>
      </c>
      <c r="N1978">
        <v>-1.367374E-2</v>
      </c>
      <c r="O1978">
        <v>-5.4981379999999996E-3</v>
      </c>
      <c r="P1978">
        <v>-0.97682550000000001</v>
      </c>
      <c r="Q1978">
        <v>0.21403140000000001</v>
      </c>
      <c r="R1978">
        <v>1.514346E-3</v>
      </c>
      <c r="S1978">
        <v>-3.080444</v>
      </c>
      <c r="T1978">
        <v>-3.3274890000000001E-2</v>
      </c>
      <c r="U1978">
        <v>-0.51745609999999997</v>
      </c>
      <c r="V1978">
        <v>6.8944119999999999E-3</v>
      </c>
      <c r="W1978">
        <v>0.22736770000000001</v>
      </c>
      <c r="X1978">
        <v>0.9737846</v>
      </c>
      <c r="Y1978">
        <v>-0.16021389999999999</v>
      </c>
      <c r="Z1978">
        <v>-1.9780750000000001E-3</v>
      </c>
      <c r="AA1978">
        <v>0.98708030000000002</v>
      </c>
      <c r="AB1978">
        <v>42</v>
      </c>
      <c r="AC1978">
        <v>-86.659099999999896</v>
      </c>
      <c r="AD1978">
        <v>-0.94031779999999998</v>
      </c>
      <c r="AE1978">
        <v>-14.6204</v>
      </c>
      <c r="AF1978">
        <v>-14.1420517455749</v>
      </c>
      <c r="AG1978">
        <v>-0.94031779999999998</v>
      </c>
      <c r="AH1978">
        <v>86.728253700219398</v>
      </c>
      <c r="AI1978">
        <v>90.613086548739005</v>
      </c>
      <c r="AJ1978">
        <v>99.261235471218001</v>
      </c>
      <c r="AK1978">
        <v>87.878733576611907</v>
      </c>
      <c r="AL1978">
        <v>76.857853729623699</v>
      </c>
      <c r="AM1978">
        <v>89.594351656754199</v>
      </c>
      <c r="AN1978">
        <v>1.0000000255586301</v>
      </c>
    </row>
    <row r="1979" spans="1:40" x14ac:dyDescent="0.25">
      <c r="A1979" t="str">
        <f>"20190303170536508"</f>
        <v>20190303170536508</v>
      </c>
      <c r="B1979" t="str">
        <f>"1551603936496972"</f>
        <v>1551603936496972</v>
      </c>
      <c r="C1979" t="s">
        <v>40</v>
      </c>
      <c r="D1979">
        <v>5.8147409999999997</v>
      </c>
      <c r="E1979">
        <v>0.43676759999999898</v>
      </c>
      <c r="F1979" t="s">
        <v>69</v>
      </c>
      <c r="G1979">
        <v>-451.06110000000001</v>
      </c>
      <c r="H1979">
        <v>0.2280817</v>
      </c>
      <c r="I1979">
        <v>270.08679999999998</v>
      </c>
      <c r="J1979">
        <v>-365.86660000000001</v>
      </c>
      <c r="K1979">
        <v>1.1210610000000001</v>
      </c>
      <c r="L1979">
        <v>284.7047</v>
      </c>
      <c r="M1979">
        <v>-0.99988860000000002</v>
      </c>
      <c r="N1979">
        <v>-1.38829E-2</v>
      </c>
      <c r="O1979">
        <v>-5.4982549999999996E-3</v>
      </c>
      <c r="P1979">
        <v>-0.97673520000000003</v>
      </c>
      <c r="Q1979">
        <v>0.21444830000000001</v>
      </c>
      <c r="R1979">
        <v>-5.0369089999999998E-4</v>
      </c>
      <c r="S1979">
        <v>-3.0790410000000001</v>
      </c>
      <c r="T1979">
        <v>-3.2109020000000002E-2</v>
      </c>
      <c r="U1979">
        <v>-0.52572629999999998</v>
      </c>
      <c r="V1979">
        <v>4.8761300000000002E-3</v>
      </c>
      <c r="W1979">
        <v>0.2279871</v>
      </c>
      <c r="X1979">
        <v>0.97365190000000001</v>
      </c>
      <c r="Y1979">
        <v>-0.1628645</v>
      </c>
      <c r="Z1979">
        <v>-2.0007169999999999E-3</v>
      </c>
      <c r="AA1979">
        <v>0.98664640000000003</v>
      </c>
      <c r="AB1979">
        <v>42</v>
      </c>
      <c r="AC1979">
        <v>-85.194500000000005</v>
      </c>
      <c r="AD1979">
        <v>-0.89297930000000003</v>
      </c>
      <c r="AE1979">
        <v>-14.617900000000001</v>
      </c>
      <c r="AF1979">
        <v>-14.1477029228764</v>
      </c>
      <c r="AG1979">
        <v>-0.89297930000000003</v>
      </c>
      <c r="AH1979">
        <v>85.264492984337096</v>
      </c>
      <c r="AI1979">
        <v>90.591946846271398</v>
      </c>
      <c r="AJ1979">
        <v>99.421096881856897</v>
      </c>
      <c r="AK1979">
        <v>86.434881118101003</v>
      </c>
      <c r="AL1979">
        <v>76.821406622312693</v>
      </c>
      <c r="AM1979">
        <v>89.713060351776903</v>
      </c>
      <c r="AN1979">
        <v>0.99999995839189704</v>
      </c>
    </row>
    <row r="1980" spans="1:40" x14ac:dyDescent="0.25">
      <c r="A1980" t="str">
        <f>"20190303170536521"</f>
        <v>20190303170536521</v>
      </c>
      <c r="B1980" t="str">
        <f>"1551603936516494"</f>
        <v>1551603936516494</v>
      </c>
      <c r="C1980" t="s">
        <v>40</v>
      </c>
      <c r="D1980">
        <v>5.795617</v>
      </c>
      <c r="E1980">
        <v>0.43670809999999999</v>
      </c>
      <c r="F1980" t="s">
        <v>69</v>
      </c>
      <c r="G1980">
        <v>-448.94479999999999</v>
      </c>
      <c r="H1980">
        <v>0.29754350000000002</v>
      </c>
      <c r="I1980">
        <v>270.33210000000003</v>
      </c>
      <c r="J1980">
        <v>-366.11189999999999</v>
      </c>
      <c r="K1980">
        <v>1.1210709999999999</v>
      </c>
      <c r="L1980">
        <v>284.70339999999999</v>
      </c>
      <c r="M1980">
        <v>-0.99988719999999998</v>
      </c>
      <c r="N1980">
        <v>-1.3991780000000001E-2</v>
      </c>
      <c r="O1980">
        <v>-5.4984109999999999E-3</v>
      </c>
      <c r="P1980">
        <v>-0.9767266</v>
      </c>
      <c r="Q1980">
        <v>0.21448429999999999</v>
      </c>
      <c r="R1980">
        <v>-1.4125800000000001E-3</v>
      </c>
      <c r="S1980">
        <v>-3.0778500000000002</v>
      </c>
      <c r="T1980">
        <v>-3.051162E-2</v>
      </c>
      <c r="U1980">
        <v>-0.53247069999999996</v>
      </c>
      <c r="V1980">
        <v>3.9674740000000003E-3</v>
      </c>
      <c r="W1980">
        <v>0.2281292</v>
      </c>
      <c r="X1980">
        <v>0.97362280000000001</v>
      </c>
      <c r="Y1980">
        <v>-0.16502829999999999</v>
      </c>
      <c r="Z1980">
        <v>-1.997375E-3</v>
      </c>
      <c r="AA1980">
        <v>0.98628680000000002</v>
      </c>
      <c r="AB1980">
        <v>42</v>
      </c>
      <c r="AC1980">
        <v>-82.832899999999995</v>
      </c>
      <c r="AD1980">
        <v>-0.82352749999999997</v>
      </c>
      <c r="AE1980">
        <v>-14.3712999999999</v>
      </c>
      <c r="AF1980">
        <v>-13.9142537423029</v>
      </c>
      <c r="AG1980">
        <v>-0.82352749999999997</v>
      </c>
      <c r="AH1980">
        <v>82.902719671998398</v>
      </c>
      <c r="AI1980">
        <v>90.561287881896803</v>
      </c>
      <c r="AJ1980">
        <v>99.527626586582599</v>
      </c>
      <c r="AK1980">
        <v>84.066316582579006</v>
      </c>
      <c r="AL1980">
        <v>76.813045285823094</v>
      </c>
      <c r="AM1980">
        <v>89.766523280572002</v>
      </c>
      <c r="AN1980">
        <v>1.00000001471121</v>
      </c>
    </row>
    <row r="1981" spans="1:40" x14ac:dyDescent="0.25">
      <c r="A1981" t="str">
        <f>"20190303170536543"</f>
        <v>20190303170536543</v>
      </c>
      <c r="B1981" t="str">
        <f>"1551603936536989"</f>
        <v>1551603936536989</v>
      </c>
      <c r="C1981" t="s">
        <v>40</v>
      </c>
      <c r="D1981">
        <v>5.8201580000000002</v>
      </c>
      <c r="E1981">
        <v>0.4366719</v>
      </c>
      <c r="F1981" t="s">
        <v>69</v>
      </c>
      <c r="G1981">
        <v>-448.66520000000003</v>
      </c>
      <c r="H1981">
        <v>0.32143880000000002</v>
      </c>
      <c r="I1981">
        <v>270.33210000000003</v>
      </c>
      <c r="J1981">
        <v>-366.51639999999998</v>
      </c>
      <c r="K1981">
        <v>1.121084</v>
      </c>
      <c r="L1981">
        <v>284.7011</v>
      </c>
      <c r="M1981">
        <v>-0.99988480000000002</v>
      </c>
      <c r="N1981">
        <v>-1.415366E-2</v>
      </c>
      <c r="O1981">
        <v>-5.4983480000000001E-3</v>
      </c>
      <c r="P1981">
        <v>-0.97661319999999996</v>
      </c>
      <c r="Q1981">
        <v>0.21497729999999901</v>
      </c>
      <c r="R1981">
        <v>-3.3874E-3</v>
      </c>
      <c r="S1981">
        <v>-3.0772710000000001</v>
      </c>
      <c r="T1981">
        <v>-2.980733E-2</v>
      </c>
      <c r="U1981">
        <v>-0.5357056</v>
      </c>
      <c r="V1981">
        <v>1.9919899999999999E-3</v>
      </c>
      <c r="W1981">
        <v>0.22877819999999999</v>
      </c>
      <c r="X1981">
        <v>0.97347649999999997</v>
      </c>
      <c r="Y1981">
        <v>-0.166066299999999</v>
      </c>
      <c r="Z1981">
        <v>-2.0067850000000001E-3</v>
      </c>
      <c r="AA1981">
        <v>0.98611249999999995</v>
      </c>
      <c r="AB1981">
        <v>42</v>
      </c>
      <c r="AC1981">
        <v>-82.148799999999994</v>
      </c>
      <c r="AD1981">
        <v>-0.79964519999999994</v>
      </c>
      <c r="AE1981">
        <v>-14.3689999999999</v>
      </c>
      <c r="AF1981">
        <v>-13.915775438598599</v>
      </c>
      <c r="AG1981">
        <v>-0.79964519999999994</v>
      </c>
      <c r="AH1981">
        <v>82.219012447470007</v>
      </c>
      <c r="AI1981">
        <v>90.549416047871901</v>
      </c>
      <c r="AJ1981">
        <v>99.606415945055502</v>
      </c>
      <c r="AK1981">
        <v>83.392171373220805</v>
      </c>
      <c r="AL1981">
        <v>76.774849571510302</v>
      </c>
      <c r="AM1981">
        <v>89.882757867771701</v>
      </c>
      <c r="AN1981">
        <v>0.99999996443582395</v>
      </c>
    </row>
    <row r="1982" spans="1:40" x14ac:dyDescent="0.25">
      <c r="A1982" t="str">
        <f>"20190303170536566"</f>
        <v>20190303170536566</v>
      </c>
      <c r="B1982" t="str">
        <f>"1551603936556507"</f>
        <v>1551603936556507</v>
      </c>
      <c r="C1982" t="s">
        <v>40</v>
      </c>
      <c r="D1982">
        <v>5.8100990000000001</v>
      </c>
      <c r="E1982">
        <v>0.4366525</v>
      </c>
      <c r="F1982" t="s">
        <v>69</v>
      </c>
      <c r="G1982">
        <v>-448.28190000000001</v>
      </c>
      <c r="H1982">
        <v>0.37525839999999999</v>
      </c>
      <c r="I1982">
        <v>270.28750000000002</v>
      </c>
      <c r="J1982">
        <v>-366.93830000000003</v>
      </c>
      <c r="K1982">
        <v>1.121097</v>
      </c>
      <c r="L1982">
        <v>284.69880000000001</v>
      </c>
      <c r="M1982">
        <v>-0.99988279999999996</v>
      </c>
      <c r="N1982">
        <v>-1.430062E-2</v>
      </c>
      <c r="O1982">
        <v>-5.4985499999999996E-3</v>
      </c>
      <c r="P1982">
        <v>-0.97646390000000005</v>
      </c>
      <c r="Q1982">
        <v>0.21560869999999999</v>
      </c>
      <c r="R1982">
        <v>-5.5929780000000002E-3</v>
      </c>
      <c r="S1982">
        <v>-3.0761720000000001</v>
      </c>
      <c r="T1982">
        <v>-2.8059009999999999E-2</v>
      </c>
      <c r="U1982">
        <v>-0.54226680000000005</v>
      </c>
      <c r="V1982">
        <v>-2.1424559999999999E-4</v>
      </c>
      <c r="W1982">
        <v>0.22955100000000001</v>
      </c>
      <c r="X1982">
        <v>0.97329659999999996</v>
      </c>
      <c r="Y1982">
        <v>-0.16816710000000001</v>
      </c>
      <c r="Z1982">
        <v>-2.0011310000000002E-3</v>
      </c>
      <c r="AA1982">
        <v>0.98575650000000004</v>
      </c>
      <c r="AB1982">
        <v>42</v>
      </c>
      <c r="AC1982">
        <v>-81.343599999999896</v>
      </c>
      <c r="AD1982">
        <v>-0.74583859999999902</v>
      </c>
      <c r="AE1982">
        <v>-14.411299999999899</v>
      </c>
      <c r="AF1982">
        <v>-13.9626264632002</v>
      </c>
      <c r="AG1982">
        <v>-0.74583859999999902</v>
      </c>
      <c r="AH1982">
        <v>81.4149831203015</v>
      </c>
      <c r="AI1982">
        <v>90.517316966208895</v>
      </c>
      <c r="AJ1982">
        <v>99.731524728694296</v>
      </c>
      <c r="AK1982">
        <v>82.606965138825203</v>
      </c>
      <c r="AL1982">
        <v>76.729361168562306</v>
      </c>
      <c r="AM1982">
        <v>90.012612155904904</v>
      </c>
      <c r="AN1982">
        <v>0.99999998953686797</v>
      </c>
    </row>
    <row r="1983" spans="1:40" x14ac:dyDescent="0.25">
      <c r="A1983" t="str">
        <f>"20190303170536586"</f>
        <v>20190303170536586</v>
      </c>
      <c r="B1983" t="str">
        <f>"1551603936577005"</f>
        <v>1551603936577005</v>
      </c>
      <c r="C1983" t="s">
        <v>40</v>
      </c>
      <c r="D1983">
        <v>5.820227</v>
      </c>
      <c r="E1983">
        <v>0.43665169999999998</v>
      </c>
      <c r="F1983" t="s">
        <v>69</v>
      </c>
      <c r="G1983">
        <v>-448.28190000000001</v>
      </c>
      <c r="H1983">
        <v>0.42789939999999999</v>
      </c>
      <c r="I1983">
        <v>270.17630000000003</v>
      </c>
      <c r="J1983">
        <v>-367.33049999999997</v>
      </c>
      <c r="K1983">
        <v>1.1211059999999999</v>
      </c>
      <c r="L1983">
        <v>284.69670000000002</v>
      </c>
      <c r="M1983">
        <v>-0.99988100000000002</v>
      </c>
      <c r="N1983">
        <v>-1.442068E-2</v>
      </c>
      <c r="O1983">
        <v>-5.4985700000000004E-3</v>
      </c>
      <c r="P1983">
        <v>-0.97636319999999999</v>
      </c>
      <c r="Q1983">
        <v>0.21599119999999999</v>
      </c>
      <c r="R1983">
        <v>-7.9535259999999903E-3</v>
      </c>
      <c r="S1983">
        <v>-3.074951</v>
      </c>
      <c r="T1983">
        <v>-2.6203629999999999E-2</v>
      </c>
      <c r="U1983">
        <v>-0.54898069999999999</v>
      </c>
      <c r="V1983">
        <v>-2.5752930000000002E-3</v>
      </c>
      <c r="W1983">
        <v>0.230049</v>
      </c>
      <c r="X1983">
        <v>0.97317560000000003</v>
      </c>
      <c r="Y1983">
        <v>-0.17032149999999999</v>
      </c>
      <c r="Z1983">
        <v>-1.9900400000000002E-3</v>
      </c>
      <c r="AA1983">
        <v>0.9853866</v>
      </c>
      <c r="AB1983">
        <v>42</v>
      </c>
      <c r="AC1983">
        <v>-80.951400000000007</v>
      </c>
      <c r="AD1983">
        <v>-0.69320659999999901</v>
      </c>
      <c r="AE1983">
        <v>-14.520399999999899</v>
      </c>
      <c r="AF1983">
        <v>-14.074017396493</v>
      </c>
      <c r="AG1983">
        <v>-0.69320659999999901</v>
      </c>
      <c r="AH1983">
        <v>81.024269475691796</v>
      </c>
      <c r="AI1983">
        <v>90.482953162318395</v>
      </c>
      <c r="AJ1983">
        <v>99.854028251689897</v>
      </c>
      <c r="AK1983">
        <v>82.2404447041514</v>
      </c>
      <c r="AL1983">
        <v>76.700042880201394</v>
      </c>
      <c r="AM1983">
        <v>90.151620196275601</v>
      </c>
      <c r="AN1983">
        <v>0.99999996148519699</v>
      </c>
    </row>
    <row r="1984" spans="1:40" x14ac:dyDescent="0.25">
      <c r="A1984" t="str">
        <f>"20190303170536609"</f>
        <v>20190303170536609</v>
      </c>
      <c r="B1984" t="str">
        <f>"1551603936596523"</f>
        <v>1551603936596523</v>
      </c>
      <c r="C1984" t="s">
        <v>40</v>
      </c>
      <c r="D1984">
        <v>5.8424209999999999</v>
      </c>
      <c r="E1984">
        <v>0.43664560000000002</v>
      </c>
      <c r="F1984" t="s">
        <v>69</v>
      </c>
      <c r="G1984">
        <v>-448.0052</v>
      </c>
      <c r="H1984">
        <v>0.4746532</v>
      </c>
      <c r="I1984">
        <v>270.08670000000001</v>
      </c>
      <c r="J1984">
        <v>-367.74790000000002</v>
      </c>
      <c r="K1984">
        <v>1.1211100000000001</v>
      </c>
      <c r="L1984">
        <v>284.6943</v>
      </c>
      <c r="M1984">
        <v>-0.99987930000000003</v>
      </c>
      <c r="N1984">
        <v>-1.453198E-2</v>
      </c>
      <c r="O1984">
        <v>-5.4987730000000002E-3</v>
      </c>
      <c r="P1984">
        <v>-0.97635260000000001</v>
      </c>
      <c r="Q1984">
        <v>0.21598200000000001</v>
      </c>
      <c r="R1984">
        <v>-9.3529700000000004E-3</v>
      </c>
      <c r="S1984">
        <v>-3.073547</v>
      </c>
      <c r="T1984">
        <v>-2.462816E-2</v>
      </c>
      <c r="U1984">
        <v>-0.5566101</v>
      </c>
      <c r="V1984">
        <v>-3.9747580000000001E-3</v>
      </c>
      <c r="W1984">
        <v>0.2301483</v>
      </c>
      <c r="X1984">
        <v>0.97314750000000005</v>
      </c>
      <c r="Y1984">
        <v>-0.17276900000000001</v>
      </c>
      <c r="Z1984">
        <v>-1.9877670000000001E-3</v>
      </c>
      <c r="AA1984">
        <v>0.98496039999999996</v>
      </c>
      <c r="AB1984">
        <v>42</v>
      </c>
      <c r="AC1984">
        <v>-80.257299999999901</v>
      </c>
      <c r="AD1984">
        <v>-0.64645680000000005</v>
      </c>
      <c r="AE1984">
        <v>-14.6075999999999</v>
      </c>
      <c r="AF1984">
        <v>-14.1651262743885</v>
      </c>
      <c r="AG1984">
        <v>-0.64645680000000005</v>
      </c>
      <c r="AH1984">
        <v>80.331373974421695</v>
      </c>
      <c r="AI1984">
        <v>90.454065823975299</v>
      </c>
      <c r="AJ1984">
        <v>100.000371908175</v>
      </c>
      <c r="AK1984">
        <v>81.573269846084003</v>
      </c>
      <c r="AL1984">
        <v>76.694197704486598</v>
      </c>
      <c r="AM1984">
        <v>90.234019602972097</v>
      </c>
      <c r="AN1984">
        <v>1.0000000477251401</v>
      </c>
    </row>
    <row r="1985" spans="1:40" x14ac:dyDescent="0.25">
      <c r="A1985" t="str">
        <f>"20190303170536631"</f>
        <v>20190303170536631</v>
      </c>
      <c r="B1985" t="str">
        <f>"1551603936626780"</f>
        <v>1551603936626780</v>
      </c>
      <c r="C1985" t="s">
        <v>40</v>
      </c>
      <c r="D1985">
        <v>5.8328629999999997</v>
      </c>
      <c r="E1985">
        <v>0.43666860000000002</v>
      </c>
      <c r="F1985" t="s">
        <v>69</v>
      </c>
      <c r="G1985">
        <v>-447.74340000000001</v>
      </c>
      <c r="H1985">
        <v>0.48337170000000002</v>
      </c>
      <c r="I1985">
        <v>270.08670000000001</v>
      </c>
      <c r="J1985">
        <v>-368.17239999999998</v>
      </c>
      <c r="K1985">
        <v>1.1211139999999999</v>
      </c>
      <c r="L1985">
        <v>284.69200000000001</v>
      </c>
      <c r="M1985">
        <v>-0.99987789999999999</v>
      </c>
      <c r="N1985">
        <v>-1.4629919999999999E-2</v>
      </c>
      <c r="O1985">
        <v>-5.4987660000000004E-3</v>
      </c>
      <c r="P1985">
        <v>-0.97631349999999995</v>
      </c>
      <c r="Q1985">
        <v>0.21606939999999999</v>
      </c>
      <c r="R1985">
        <v>-1.122303E-2</v>
      </c>
      <c r="S1985">
        <v>-3.0727229999999999</v>
      </c>
      <c r="T1985">
        <v>-2.4495840000000001E-2</v>
      </c>
      <c r="U1985">
        <v>-0.56109619999999905</v>
      </c>
      <c r="V1985">
        <v>-5.8445429999999998E-3</v>
      </c>
      <c r="W1985">
        <v>0.2303306</v>
      </c>
      <c r="X1985">
        <v>0.97309489999999998</v>
      </c>
      <c r="Y1985">
        <v>-0.174207</v>
      </c>
      <c r="Z1985">
        <v>-2.009912E-3</v>
      </c>
      <c r="AA1985">
        <v>0.984707</v>
      </c>
      <c r="AB1985">
        <v>42</v>
      </c>
      <c r="AC1985">
        <v>-79.570999999999998</v>
      </c>
      <c r="AD1985">
        <v>-0.63774229999999898</v>
      </c>
      <c r="AE1985">
        <v>-14.6053</v>
      </c>
      <c r="AF1985">
        <v>-14.166609670870599</v>
      </c>
      <c r="AG1985">
        <v>-0.63774229999999898</v>
      </c>
      <c r="AH1985">
        <v>79.645167115510802</v>
      </c>
      <c r="AI1985">
        <v>90.451685038018795</v>
      </c>
      <c r="AJ1985">
        <v>100.08580629398899</v>
      </c>
      <c r="AK1985">
        <v>80.897788533838593</v>
      </c>
      <c r="AL1985">
        <v>76.683463866640395</v>
      </c>
      <c r="AM1985">
        <v>90.344122264468893</v>
      </c>
      <c r="AN1985">
        <v>1.00000001419262</v>
      </c>
    </row>
    <row r="1986" spans="1:40" x14ac:dyDescent="0.25">
      <c r="A1986" t="str">
        <f>"20190303170536644"</f>
        <v>20190303170536644</v>
      </c>
      <c r="B1986" t="str">
        <f>"1551603936636540"</f>
        <v>1551603936636540</v>
      </c>
      <c r="C1986" t="s">
        <v>40</v>
      </c>
      <c r="D1986">
        <v>5.8525919999999996</v>
      </c>
      <c r="E1986">
        <v>0.43668620000000002</v>
      </c>
      <c r="F1986" t="s">
        <v>69</v>
      </c>
      <c r="G1986">
        <v>-447.3802</v>
      </c>
      <c r="H1986">
        <v>0.48433300000000001</v>
      </c>
      <c r="I1986">
        <v>270.08670000000001</v>
      </c>
      <c r="J1986">
        <v>-368.4083</v>
      </c>
      <c r="K1986">
        <v>1.1211180000000001</v>
      </c>
      <c r="L1986">
        <v>284.69069999999999</v>
      </c>
      <c r="M1986">
        <v>-0.99987720000000002</v>
      </c>
      <c r="N1986">
        <v>-1.4679279999999999E-2</v>
      </c>
      <c r="O1986">
        <v>-5.4987669999999999E-3</v>
      </c>
      <c r="P1986">
        <v>-0.97627920000000001</v>
      </c>
      <c r="Q1986">
        <v>0.2161785</v>
      </c>
      <c r="R1986">
        <v>-1.2095170000000001E-2</v>
      </c>
      <c r="S1986">
        <v>-3.0717469999999998</v>
      </c>
      <c r="T1986">
        <v>-2.4694440000000002E-2</v>
      </c>
      <c r="U1986">
        <v>-0.56640630000000003</v>
      </c>
      <c r="V1986">
        <v>-6.7170839999999999E-3</v>
      </c>
      <c r="W1986">
        <v>0.230487</v>
      </c>
      <c r="X1986">
        <v>0.97305220000000003</v>
      </c>
      <c r="Y1986">
        <v>-0.1759085</v>
      </c>
      <c r="Z1986">
        <v>-2.039417E-3</v>
      </c>
      <c r="AA1986">
        <v>0.98440439999999996</v>
      </c>
      <c r="AB1986">
        <v>42</v>
      </c>
      <c r="AC1986">
        <v>-78.971900000000005</v>
      </c>
      <c r="AD1986">
        <v>-0.63678500000000005</v>
      </c>
      <c r="AE1986">
        <v>-14.6039999999999</v>
      </c>
      <c r="AF1986">
        <v>-14.1685935558369</v>
      </c>
      <c r="AG1986">
        <v>-0.63678500000000005</v>
      </c>
      <c r="AH1986">
        <v>79.046048911124601</v>
      </c>
      <c r="AI1986">
        <v>90.454317285707504</v>
      </c>
      <c r="AJ1986">
        <v>100.162056610869</v>
      </c>
      <c r="AK1986">
        <v>80.308358138780505</v>
      </c>
      <c r="AL1986">
        <v>76.674254571349906</v>
      </c>
      <c r="AM1986">
        <v>90.395512646464098</v>
      </c>
      <c r="AN1986">
        <v>0.99999998015565095</v>
      </c>
    </row>
    <row r="1987" spans="1:40" x14ac:dyDescent="0.25">
      <c r="A1987" t="str">
        <f>"20190303170536663"</f>
        <v>20190303170536663</v>
      </c>
      <c r="B1987" t="str">
        <f>"1551603936657040"</f>
        <v>1551603936657040</v>
      </c>
      <c r="C1987" t="s">
        <v>40</v>
      </c>
      <c r="D1987">
        <v>5.8400670000000003</v>
      </c>
      <c r="E1987">
        <v>0.43674069999999998</v>
      </c>
      <c r="F1987" t="s">
        <v>69</v>
      </c>
      <c r="G1987">
        <v>-447.26560000000001</v>
      </c>
      <c r="H1987">
        <v>0.4878035</v>
      </c>
      <c r="I1987">
        <v>270.08670000000001</v>
      </c>
      <c r="J1987">
        <v>-368.78320000000002</v>
      </c>
      <c r="K1987">
        <v>1.1211279999999999</v>
      </c>
      <c r="L1987">
        <v>284.68860000000001</v>
      </c>
      <c r="M1987">
        <v>-0.99987630000000005</v>
      </c>
      <c r="N1987">
        <v>-1.474836E-2</v>
      </c>
      <c r="O1987">
        <v>-5.4987940000000004E-3</v>
      </c>
      <c r="P1987">
        <v>-0.97628879999999996</v>
      </c>
      <c r="Q1987">
        <v>0.21604400000000001</v>
      </c>
      <c r="R1987">
        <v>-1.362172E-2</v>
      </c>
      <c r="S1987">
        <v>-3.0712890000000002</v>
      </c>
      <c r="T1987">
        <v>-2.4665469999999998E-2</v>
      </c>
      <c r="U1987">
        <v>-0.56878660000000003</v>
      </c>
      <c r="V1987">
        <v>-8.2437269999999993E-3</v>
      </c>
      <c r="W1987">
        <v>0.23042019999999999</v>
      </c>
      <c r="X1987">
        <v>0.97305629999999999</v>
      </c>
      <c r="Y1987">
        <v>-0.1766722</v>
      </c>
      <c r="Z1987">
        <v>-2.0540100000000002E-3</v>
      </c>
      <c r="AA1987">
        <v>0.98426760000000002</v>
      </c>
      <c r="AB1987">
        <v>42</v>
      </c>
      <c r="AC1987">
        <v>-78.482399999999899</v>
      </c>
      <c r="AD1987">
        <v>-0.63332449999999996</v>
      </c>
      <c r="AE1987">
        <v>-14.601900000000001</v>
      </c>
      <c r="AF1987">
        <v>-14.169181966794699</v>
      </c>
      <c r="AG1987">
        <v>-0.63332449999999996</v>
      </c>
      <c r="AH1987">
        <v>78.556570391323504</v>
      </c>
      <c r="AI1987">
        <v>90.454574759046096</v>
      </c>
      <c r="AJ1987">
        <v>100.22445945964699</v>
      </c>
      <c r="AK1987">
        <v>79.8266970955044</v>
      </c>
      <c r="AL1987">
        <v>76.678188004230293</v>
      </c>
      <c r="AM1987">
        <v>90.485397879425307</v>
      </c>
      <c r="AN1987">
        <v>0.99999999528629002</v>
      </c>
    </row>
    <row r="1988" spans="1:40" x14ac:dyDescent="0.25">
      <c r="A1988" t="str">
        <f>"20190303170536687"</f>
        <v>20190303170536687</v>
      </c>
      <c r="B1988" t="str">
        <f>"1551603936676556"</f>
        <v>1551603936676556</v>
      </c>
      <c r="C1988" t="s">
        <v>40</v>
      </c>
      <c r="D1988">
        <v>5.8343439999999998</v>
      </c>
      <c r="E1988">
        <v>0.43675199999999997</v>
      </c>
      <c r="F1988" t="s">
        <v>69</v>
      </c>
      <c r="G1988">
        <v>-447.00810000000001</v>
      </c>
      <c r="H1988">
        <v>0.4767227</v>
      </c>
      <c r="I1988">
        <v>270.08670000000001</v>
      </c>
      <c r="J1988">
        <v>-369.19940000000003</v>
      </c>
      <c r="K1988">
        <v>1.1211310000000001</v>
      </c>
      <c r="L1988">
        <v>284.68639999999999</v>
      </c>
      <c r="M1988">
        <v>-0.99987519999999996</v>
      </c>
      <c r="N1988">
        <v>-1.4813939999999999E-2</v>
      </c>
      <c r="O1988">
        <v>-5.4989169999999999E-3</v>
      </c>
      <c r="P1988">
        <v>-0.97623930000000003</v>
      </c>
      <c r="Q1988">
        <v>0.2161382</v>
      </c>
      <c r="R1988">
        <v>-1.552449E-2</v>
      </c>
      <c r="S1988">
        <v>-3.070465</v>
      </c>
      <c r="T1988">
        <v>-2.5293590000000001E-2</v>
      </c>
      <c r="U1988">
        <v>-0.57315059999999995</v>
      </c>
      <c r="V1988">
        <v>-1.014614E-2</v>
      </c>
      <c r="W1988">
        <v>0.23057839999999999</v>
      </c>
      <c r="X1988">
        <v>0.97300089999999995</v>
      </c>
      <c r="Y1988">
        <v>-0.1780707</v>
      </c>
      <c r="Z1988">
        <v>-2.093424E-3</v>
      </c>
      <c r="AA1988">
        <v>0.98401550000000004</v>
      </c>
      <c r="AB1988">
        <v>42</v>
      </c>
      <c r="AC1988">
        <v>-77.808699999999902</v>
      </c>
      <c r="AD1988">
        <v>-0.64440829999999905</v>
      </c>
      <c r="AE1988">
        <v>-14.599699999999901</v>
      </c>
      <c r="AF1988">
        <v>-14.1706297820527</v>
      </c>
      <c r="AG1988">
        <v>-0.64440829999999905</v>
      </c>
      <c r="AH1988">
        <v>77.882654331897498</v>
      </c>
      <c r="AI1988">
        <v>90.466402787507405</v>
      </c>
      <c r="AJ1988">
        <v>100.312072377775</v>
      </c>
      <c r="AK1988">
        <v>79.163942904954794</v>
      </c>
      <c r="AL1988">
        <v>76.668873684321596</v>
      </c>
      <c r="AM1988">
        <v>90.597440280987499</v>
      </c>
      <c r="AN1988">
        <v>1.00000004705213</v>
      </c>
    </row>
    <row r="1989" spans="1:40" x14ac:dyDescent="0.25">
      <c r="A1989" t="str">
        <f>"20190303170536709"</f>
        <v>20190303170536709</v>
      </c>
      <c r="B1989" t="str">
        <f>"1551603936697052"</f>
        <v>1551603936697052</v>
      </c>
      <c r="C1989" t="s">
        <v>40</v>
      </c>
      <c r="D1989">
        <v>5.8465870000000004</v>
      </c>
      <c r="E1989">
        <v>0.43675799999999998</v>
      </c>
      <c r="F1989" t="s">
        <v>69</v>
      </c>
      <c r="G1989">
        <v>-446.57670000000002</v>
      </c>
      <c r="H1989">
        <v>0.487155</v>
      </c>
      <c r="I1989">
        <v>270.08670000000001</v>
      </c>
      <c r="J1989">
        <v>-369.61399999999998</v>
      </c>
      <c r="K1989">
        <v>1.12114</v>
      </c>
      <c r="L1989">
        <v>284.6841</v>
      </c>
      <c r="M1989">
        <v>-0.99987440000000005</v>
      </c>
      <c r="N1989">
        <v>-1.4870019999999999E-2</v>
      </c>
      <c r="O1989">
        <v>-5.4989720000000004E-3</v>
      </c>
      <c r="P1989">
        <v>-0.97625309999999998</v>
      </c>
      <c r="Q1989">
        <v>0.21596009999999999</v>
      </c>
      <c r="R1989">
        <v>-1.706355E-2</v>
      </c>
      <c r="S1989">
        <v>-3.069366</v>
      </c>
      <c r="T1989">
        <v>-2.5147800000000001E-2</v>
      </c>
      <c r="U1989">
        <v>-0.57913210000000004</v>
      </c>
      <c r="V1989">
        <v>-1.168544E-2</v>
      </c>
      <c r="W1989">
        <v>0.23045499999999999</v>
      </c>
      <c r="X1989">
        <v>0.97301280000000001</v>
      </c>
      <c r="Y1989">
        <v>-0.17998599999999901</v>
      </c>
      <c r="Z1989">
        <v>-2.1173229999999999E-3</v>
      </c>
      <c r="AA1989">
        <v>0.98366690000000001</v>
      </c>
      <c r="AB1989">
        <v>42</v>
      </c>
      <c r="AC1989">
        <v>-76.962699999999899</v>
      </c>
      <c r="AD1989">
        <v>-0.63398500000000002</v>
      </c>
      <c r="AE1989">
        <v>-14.597399999999899</v>
      </c>
      <c r="AF1989">
        <v>-14.172988406456</v>
      </c>
      <c r="AG1989">
        <v>-0.63398500000000002</v>
      </c>
      <c r="AH1989">
        <v>77.036769679777095</v>
      </c>
      <c r="AI1989">
        <v>90.463730675352195</v>
      </c>
      <c r="AJ1989">
        <v>100.424530009855</v>
      </c>
      <c r="AK1989">
        <v>78.332237425243903</v>
      </c>
      <c r="AL1989">
        <v>76.676138795397506</v>
      </c>
      <c r="AM1989">
        <v>90.688063104752402</v>
      </c>
      <c r="AN1989">
        <v>0.99999998274841595</v>
      </c>
    </row>
    <row r="1990" spans="1:40" x14ac:dyDescent="0.25">
      <c r="A1990" t="str">
        <f>"20190303170536732"</f>
        <v>20190303170536732</v>
      </c>
      <c r="B1990" t="str">
        <f>"1551603936726332"</f>
        <v>1551603936726332</v>
      </c>
      <c r="C1990" t="s">
        <v>40</v>
      </c>
      <c r="D1990">
        <v>5.8298249999999996</v>
      </c>
      <c r="E1990">
        <v>0.4368052</v>
      </c>
      <c r="F1990" t="s">
        <v>69</v>
      </c>
      <c r="G1990">
        <v>-446.29259999999999</v>
      </c>
      <c r="H1990">
        <v>0.48115730000000001</v>
      </c>
      <c r="I1990">
        <v>270.08670000000001</v>
      </c>
      <c r="J1990">
        <v>-370.03719999999998</v>
      </c>
      <c r="K1990">
        <v>1.121149</v>
      </c>
      <c r="L1990">
        <v>284.68169999999998</v>
      </c>
      <c r="M1990">
        <v>-0.99987349999999997</v>
      </c>
      <c r="N1990">
        <v>-1.491923E-2</v>
      </c>
      <c r="O1990">
        <v>-5.4989779999999999E-3</v>
      </c>
      <c r="P1990">
        <v>-0.97618479999999996</v>
      </c>
      <c r="Q1990">
        <v>0.21618589999999999</v>
      </c>
      <c r="R1990">
        <v>-1.8072499999999998E-2</v>
      </c>
      <c r="S1990">
        <v>-3.0684200000000001</v>
      </c>
      <c r="T1990">
        <v>-2.5609489999999999E-2</v>
      </c>
      <c r="U1990">
        <v>-0.58413700000000002</v>
      </c>
      <c r="V1990">
        <v>-1.269465E-2</v>
      </c>
      <c r="W1990">
        <v>0.2307273</v>
      </c>
      <c r="X1990">
        <v>0.97293560000000001</v>
      </c>
      <c r="Y1990">
        <v>-0.18158930000000001</v>
      </c>
      <c r="Z1990">
        <v>-2.153659E-3</v>
      </c>
      <c r="AA1990">
        <v>0.98337209999999997</v>
      </c>
      <c r="AB1990">
        <v>42</v>
      </c>
      <c r="AC1990">
        <v>-76.255399999999995</v>
      </c>
      <c r="AD1990">
        <v>-0.63999169999999905</v>
      </c>
      <c r="AE1990">
        <v>-14.594999999999899</v>
      </c>
      <c r="AF1990">
        <v>-14.1744426672652</v>
      </c>
      <c r="AG1990">
        <v>-0.63999169999999905</v>
      </c>
      <c r="AH1990">
        <v>76.329326827676098</v>
      </c>
      <c r="AI1990">
        <v>90.472317050600196</v>
      </c>
      <c r="AJ1990">
        <v>100.520055982868</v>
      </c>
      <c r="AK1990">
        <v>77.636914855433602</v>
      </c>
      <c r="AL1990">
        <v>76.660104767029296</v>
      </c>
      <c r="AM1990">
        <v>90.747540326227593</v>
      </c>
      <c r="AN1990">
        <v>0.99999996142563496</v>
      </c>
    </row>
    <row r="1991" spans="1:40" x14ac:dyDescent="0.25">
      <c r="A1991" t="str">
        <f>"20190303170536755"</f>
        <v>20190303170536755</v>
      </c>
      <c r="B1991" t="str">
        <f>"1551603936746830"</f>
        <v>1551603936746830</v>
      </c>
      <c r="C1991" t="s">
        <v>40</v>
      </c>
      <c r="D1991">
        <v>5.8217249999999998</v>
      </c>
      <c r="E1991">
        <v>0.43685930000000001</v>
      </c>
      <c r="F1991" t="s">
        <v>69</v>
      </c>
      <c r="G1991">
        <v>-446.24610000000001</v>
      </c>
      <c r="H1991">
        <v>0.50334069999999997</v>
      </c>
      <c r="I1991">
        <v>270.08670000000001</v>
      </c>
      <c r="J1991">
        <v>-370.46499999999997</v>
      </c>
      <c r="K1991">
        <v>1.121162</v>
      </c>
      <c r="L1991">
        <v>284.67939999999999</v>
      </c>
      <c r="M1991">
        <v>-0.99987300000000001</v>
      </c>
      <c r="N1991">
        <v>-1.496162E-2</v>
      </c>
      <c r="O1991">
        <v>-5.4991730000000004E-3</v>
      </c>
      <c r="P1991">
        <v>-0.97621230000000003</v>
      </c>
      <c r="Q1991">
        <v>0.21610109999999999</v>
      </c>
      <c r="R1991">
        <v>-1.7604359999999999E-2</v>
      </c>
      <c r="S1991">
        <v>-3.0678100000000001</v>
      </c>
      <c r="T1991">
        <v>-2.4869559999999999E-2</v>
      </c>
      <c r="U1991">
        <v>-0.58752439999999995</v>
      </c>
      <c r="V1991">
        <v>-1.2225750000000001E-2</v>
      </c>
      <c r="W1991">
        <v>0.23068469999999999</v>
      </c>
      <c r="X1991">
        <v>0.97295180000000003</v>
      </c>
      <c r="Y1991">
        <v>-0.182673</v>
      </c>
      <c r="Z1991">
        <v>-2.1501210000000001E-3</v>
      </c>
      <c r="AA1991">
        <v>0.98317129999999997</v>
      </c>
      <c r="AB1991">
        <v>41</v>
      </c>
      <c r="AC1991">
        <v>-75.781099999999995</v>
      </c>
      <c r="AD1991">
        <v>-0.61782130000000002</v>
      </c>
      <c r="AE1991">
        <v>-14.592699999999899</v>
      </c>
      <c r="AF1991">
        <v>-14.1747908287277</v>
      </c>
      <c r="AG1991">
        <v>-0.61782130000000002</v>
      </c>
      <c r="AH1991">
        <v>75.855349069978701</v>
      </c>
      <c r="AI1991">
        <v>90.458708570270005</v>
      </c>
      <c r="AJ1991">
        <v>100.58456319592101</v>
      </c>
      <c r="AK1991">
        <v>77.170851885444705</v>
      </c>
      <c r="AL1991">
        <v>76.662614473509095</v>
      </c>
      <c r="AM1991">
        <v>90.719919539941401</v>
      </c>
      <c r="AN1991">
        <v>1.00000005245019</v>
      </c>
    </row>
    <row r="1992" spans="1:40" x14ac:dyDescent="0.25">
      <c r="A1992" t="str">
        <f>"20190303170536778"</f>
        <v>20190303170536778</v>
      </c>
      <c r="B1992" t="str">
        <f>"1551603936766348"</f>
        <v>1551603936766348</v>
      </c>
      <c r="C1992" t="s">
        <v>40</v>
      </c>
      <c r="D1992">
        <v>5.8428879999999896</v>
      </c>
      <c r="E1992">
        <v>0.43685259999999998</v>
      </c>
      <c r="F1992" t="s">
        <v>69</v>
      </c>
      <c r="G1992">
        <v>-446.899</v>
      </c>
      <c r="H1992">
        <v>0.4973707</v>
      </c>
      <c r="I1992">
        <v>270.08670000000001</v>
      </c>
      <c r="J1992">
        <v>-370.86680000000001</v>
      </c>
      <c r="K1992">
        <v>1.12117</v>
      </c>
      <c r="L1992">
        <v>284.67720000000003</v>
      </c>
      <c r="M1992">
        <v>-0.9998726</v>
      </c>
      <c r="N1992">
        <v>-1.4995369999999999E-2</v>
      </c>
      <c r="O1992">
        <v>-5.4994229999999998E-3</v>
      </c>
      <c r="P1992">
        <v>-0.97632680000000005</v>
      </c>
      <c r="Q1992">
        <v>0.215674</v>
      </c>
      <c r="R1992">
        <v>-1.6469259999999999E-2</v>
      </c>
      <c r="S1992">
        <v>-3.068085</v>
      </c>
      <c r="T1992">
        <v>-2.503872E-2</v>
      </c>
      <c r="U1992">
        <v>-0.58575440000000001</v>
      </c>
      <c r="V1992">
        <v>-1.1089679999999999E-2</v>
      </c>
      <c r="W1992">
        <v>0.23029160000000001</v>
      </c>
      <c r="X1992">
        <v>0.97305850000000005</v>
      </c>
      <c r="Y1992">
        <v>-0.1821092</v>
      </c>
      <c r="Z1992">
        <v>-2.1514680000000001E-3</v>
      </c>
      <c r="AA1992">
        <v>0.98327589999999998</v>
      </c>
      <c r="AB1992">
        <v>41</v>
      </c>
      <c r="AC1992">
        <v>-76.032199999999904</v>
      </c>
      <c r="AD1992">
        <v>-0.62379929999999995</v>
      </c>
      <c r="AE1992">
        <v>-14.5905</v>
      </c>
      <c r="AF1992">
        <v>-14.1711791172097</v>
      </c>
      <c r="AG1992">
        <v>-0.62379929999999995</v>
      </c>
      <c r="AH1992">
        <v>76.106357383374799</v>
      </c>
      <c r="AI1992">
        <v>90.461674597325398</v>
      </c>
      <c r="AJ1992">
        <v>100.547811119009</v>
      </c>
      <c r="AK1992">
        <v>77.416981840579993</v>
      </c>
      <c r="AL1992">
        <v>76.685760254908402</v>
      </c>
      <c r="AM1992">
        <v>90.652955966092605</v>
      </c>
      <c r="AN1992">
        <v>1.00000002322765</v>
      </c>
    </row>
    <row r="1993" spans="1:40" x14ac:dyDescent="0.25">
      <c r="A1993" t="str">
        <f>"20190303170536798"</f>
        <v>20190303170536798</v>
      </c>
      <c r="B1993" t="str">
        <f>"1551603936786844"</f>
        <v>1551603936786844</v>
      </c>
      <c r="C1993" t="s">
        <v>40</v>
      </c>
      <c r="D1993">
        <v>5.8220929999999997</v>
      </c>
      <c r="E1993">
        <v>0.4368804</v>
      </c>
      <c r="F1993" t="s">
        <v>69</v>
      </c>
      <c r="G1993">
        <v>-447.81310000000002</v>
      </c>
      <c r="H1993">
        <v>0.44845580000000002</v>
      </c>
      <c r="I1993">
        <v>270.08670000000001</v>
      </c>
      <c r="J1993">
        <v>-371.2706</v>
      </c>
      <c r="K1993">
        <v>1.1211739999999999</v>
      </c>
      <c r="L1993">
        <v>284.67489999999998</v>
      </c>
      <c r="M1993">
        <v>-0.99987199999999998</v>
      </c>
      <c r="N1993">
        <v>-1.5024249999999999E-2</v>
      </c>
      <c r="O1993">
        <v>-5.499281E-3</v>
      </c>
      <c r="P1993">
        <v>-0.97640439999999995</v>
      </c>
      <c r="Q1993">
        <v>0.2154298</v>
      </c>
      <c r="R1993">
        <v>-1.498379E-2</v>
      </c>
      <c r="S1993">
        <v>-3.068848</v>
      </c>
      <c r="T1993">
        <v>-2.682936E-2</v>
      </c>
      <c r="U1993">
        <v>-0.58190920000000002</v>
      </c>
      <c r="V1993">
        <v>-9.6044749999999995E-3</v>
      </c>
      <c r="W1993">
        <v>0.23007630000000001</v>
      </c>
      <c r="X1993">
        <v>0.97312520000000002</v>
      </c>
      <c r="Y1993">
        <v>-0.1808736</v>
      </c>
      <c r="Z1993">
        <v>-2.1888020000000001E-3</v>
      </c>
      <c r="AA1993">
        <v>0.98350389999999999</v>
      </c>
      <c r="AB1993">
        <v>41</v>
      </c>
      <c r="AC1993">
        <v>-76.542500000000004</v>
      </c>
      <c r="AD1993">
        <v>-0.67271819999999904</v>
      </c>
      <c r="AE1993">
        <v>-14.588199999999899</v>
      </c>
      <c r="AF1993">
        <v>-14.1659472538717</v>
      </c>
      <c r="AG1993">
        <v>-0.67271819999999904</v>
      </c>
      <c r="AH1993">
        <v>76.615865364301797</v>
      </c>
      <c r="AI1993">
        <v>90.494682889170306</v>
      </c>
      <c r="AJ1993">
        <v>100.475442156368</v>
      </c>
      <c r="AK1993">
        <v>77.917375705916299</v>
      </c>
      <c r="AL1993">
        <v>76.698436144264505</v>
      </c>
      <c r="AM1993">
        <v>90.565475043311494</v>
      </c>
      <c r="AN1993">
        <v>1.0000000023183699</v>
      </c>
    </row>
    <row r="1994" spans="1:40" x14ac:dyDescent="0.25">
      <c r="A1994" t="str">
        <f>"20190303170536821"</f>
        <v>20190303170536821</v>
      </c>
      <c r="B1994" t="str">
        <f>"1551603936817100"</f>
        <v>1551603936817100</v>
      </c>
      <c r="C1994" t="s">
        <v>40</v>
      </c>
      <c r="D1994">
        <v>5.7611840000000001</v>
      </c>
      <c r="E1994">
        <v>0.48502459999999997</v>
      </c>
      <c r="F1994" t="s">
        <v>69</v>
      </c>
      <c r="G1994">
        <v>-448.28190000000001</v>
      </c>
      <c r="H1994">
        <v>0.40734860000000001</v>
      </c>
      <c r="I1994">
        <v>270.20659999999998</v>
      </c>
      <c r="J1994">
        <v>-371.69529999999997</v>
      </c>
      <c r="K1994">
        <v>1.1211789999999999</v>
      </c>
      <c r="L1994">
        <v>284.67259999999999</v>
      </c>
      <c r="M1994">
        <v>-0.99987170000000003</v>
      </c>
      <c r="N1994">
        <v>-1.504981E-2</v>
      </c>
      <c r="O1994">
        <v>-5.4995919999999898E-3</v>
      </c>
      <c r="P1994">
        <v>-0.97643069999999998</v>
      </c>
      <c r="Q1994">
        <v>0.21541270000000001</v>
      </c>
      <c r="R1994">
        <v>-1.3440769999999999E-2</v>
      </c>
      <c r="S1994">
        <v>-3.0699160000000001</v>
      </c>
      <c r="T1994">
        <v>-2.8454900000000002E-2</v>
      </c>
      <c r="U1994">
        <v>-0.57675169999999998</v>
      </c>
      <c r="V1994">
        <v>-8.0606440000000005E-3</v>
      </c>
      <c r="W1994">
        <v>0.2300847</v>
      </c>
      <c r="X1994">
        <v>0.97313720000000004</v>
      </c>
      <c r="Y1994">
        <v>-0.1792135</v>
      </c>
      <c r="Z1994">
        <v>-2.215294E-3</v>
      </c>
      <c r="AA1994">
        <v>0.98380769999999995</v>
      </c>
      <c r="AB1994">
        <v>41</v>
      </c>
      <c r="AC1994">
        <v>-76.586600000000004</v>
      </c>
      <c r="AD1994">
        <v>-0.71383039999999998</v>
      </c>
      <c r="AE1994">
        <v>-14.465999999999999</v>
      </c>
      <c r="AF1994">
        <v>-14.0433604945088</v>
      </c>
      <c r="AG1994">
        <v>-0.71383039999999998</v>
      </c>
      <c r="AH1994">
        <v>76.658577485573105</v>
      </c>
      <c r="AI1994">
        <v>90.524779603374597</v>
      </c>
      <c r="AJ1994">
        <v>100.381111630959</v>
      </c>
      <c r="AK1994">
        <v>77.937558532008893</v>
      </c>
      <c r="AL1994">
        <v>76.697941243135404</v>
      </c>
      <c r="AM1994">
        <v>90.474578835744893</v>
      </c>
      <c r="AN1994">
        <v>0.99999997658981199</v>
      </c>
    </row>
    <row r="1995" spans="1:40" x14ac:dyDescent="0.25">
      <c r="A1995" t="str">
        <f>"20190303170536844"</f>
        <v>20190303170536844</v>
      </c>
      <c r="B1995" t="str">
        <f>"1551603936836620"</f>
        <v>1551603936836620</v>
      </c>
      <c r="C1995" t="s">
        <v>40</v>
      </c>
      <c r="D1995">
        <v>5.7582930000000001</v>
      </c>
      <c r="E1995">
        <v>0.48930240000000003</v>
      </c>
      <c r="F1995" t="s">
        <v>60</v>
      </c>
      <c r="G1995">
        <v>-394.87130000000002</v>
      </c>
      <c r="H1995" s="1">
        <v>1.055473E-6</v>
      </c>
      <c r="I1995">
        <v>283.23180000000002</v>
      </c>
      <c r="J1995">
        <v>-372.10410000000002</v>
      </c>
      <c r="K1995">
        <v>1.121186</v>
      </c>
      <c r="L1995">
        <v>284.6703</v>
      </c>
      <c r="M1995">
        <v>-0.99987139999999997</v>
      </c>
      <c r="N1995">
        <v>-1.5070200000000001E-2</v>
      </c>
      <c r="O1995">
        <v>-5.4996250000000002E-3</v>
      </c>
      <c r="P1995">
        <v>-0.97667519999999997</v>
      </c>
      <c r="Q1995">
        <v>0.21437030000000001</v>
      </c>
      <c r="R1995">
        <v>-1.229975E-2</v>
      </c>
      <c r="S1995">
        <v>-3.102875</v>
      </c>
      <c r="T1995">
        <v>-0.150106399999999</v>
      </c>
      <c r="U1995">
        <v>-0.19290160000000001</v>
      </c>
      <c r="V1995">
        <v>-6.9185189999999997E-3</v>
      </c>
      <c r="W1995">
        <v>0.22906550000000001</v>
      </c>
      <c r="X1995">
        <v>0.97338639999999998</v>
      </c>
      <c r="Y1995">
        <v>-5.6474959999999998E-2</v>
      </c>
      <c r="Z1995">
        <v>-1.607371E-3</v>
      </c>
      <c r="AA1995">
        <v>0.99840269999999998</v>
      </c>
      <c r="AB1995">
        <v>41</v>
      </c>
      <c r="AC1995">
        <v>-22.767199999999999</v>
      </c>
      <c r="AD1995">
        <v>-1.1211849445269999</v>
      </c>
      <c r="AE1995">
        <v>-1.4384999999999699</v>
      </c>
      <c r="AF1995">
        <v>-1.31008846464023</v>
      </c>
      <c r="AG1995">
        <v>-1.1211849445269999</v>
      </c>
      <c r="AH1995">
        <v>22.719888091858301</v>
      </c>
      <c r="AI1995">
        <v>92.820472628812198</v>
      </c>
      <c r="AJ1995">
        <v>93.300170815299694</v>
      </c>
      <c r="AK1995">
        <v>22.785229917022601</v>
      </c>
      <c r="AL1995">
        <v>76.757939603544102</v>
      </c>
      <c r="AM1995">
        <v>90.407233205735906</v>
      </c>
      <c r="AN1995">
        <v>0.99999997645018102</v>
      </c>
    </row>
    <row r="1996" spans="1:40" x14ac:dyDescent="0.25">
      <c r="A1996" t="str">
        <f>"20190303170536865"</f>
        <v>20190303170536865</v>
      </c>
      <c r="B1996" t="str">
        <f>"1551603936857117"</f>
        <v>1551603936857117</v>
      </c>
      <c r="C1996" t="s">
        <v>40</v>
      </c>
      <c r="D1996">
        <v>5.7119030000000004</v>
      </c>
      <c r="E1996">
        <v>0.4917897</v>
      </c>
      <c r="F1996" t="s">
        <v>60</v>
      </c>
      <c r="G1996">
        <v>-395.29399999999998</v>
      </c>
      <c r="H1996" s="1">
        <v>1.280404E-6</v>
      </c>
      <c r="I1996">
        <v>283.51</v>
      </c>
      <c r="J1996">
        <v>-372.50389999999999</v>
      </c>
      <c r="K1996">
        <v>1.121186</v>
      </c>
      <c r="L1996">
        <v>284.66820000000001</v>
      </c>
      <c r="M1996">
        <v>-0.99987130000000002</v>
      </c>
      <c r="N1996">
        <v>-1.5086810000000001E-2</v>
      </c>
      <c r="O1996">
        <v>-5.499749E-3</v>
      </c>
      <c r="P1996">
        <v>-0.97683790000000004</v>
      </c>
      <c r="Q1996">
        <v>0.21366579999999999</v>
      </c>
      <c r="R1996">
        <v>-1.1634490000000001E-2</v>
      </c>
      <c r="S1996">
        <v>-3.1025999999999998</v>
      </c>
      <c r="T1996">
        <v>-0.15000439999999901</v>
      </c>
      <c r="U1996">
        <v>-0.15524289999999999</v>
      </c>
      <c r="V1996">
        <v>-6.2521089999999996E-3</v>
      </c>
      <c r="W1996">
        <v>0.22837940000000001</v>
      </c>
      <c r="X1996">
        <v>0.97355210000000003</v>
      </c>
      <c r="Y1996">
        <v>-4.4414700000000001E-2</v>
      </c>
      <c r="Z1996">
        <v>-1.2252330000000001E-3</v>
      </c>
      <c r="AA1996">
        <v>0.99901240000000002</v>
      </c>
      <c r="AB1996">
        <v>41</v>
      </c>
      <c r="AC1996">
        <v>-22.790099999999999</v>
      </c>
      <c r="AD1996">
        <v>-1.1211847195960001</v>
      </c>
      <c r="AE1996">
        <v>-1.1582000000000201</v>
      </c>
      <c r="AF1996">
        <v>-1.03034114424621</v>
      </c>
      <c r="AG1996">
        <v>-1.1211847195960001</v>
      </c>
      <c r="AH1996">
        <v>22.741227902151898</v>
      </c>
      <c r="AI1996">
        <v>92.819615019391406</v>
      </c>
      <c r="AJ1996">
        <v>92.594136735819006</v>
      </c>
      <c r="AK1996">
        <v>22.792150064146998</v>
      </c>
      <c r="AL1996">
        <v>76.798320524661094</v>
      </c>
      <c r="AM1996">
        <v>90.367945931576003</v>
      </c>
      <c r="AN1996">
        <v>0.99999996531285795</v>
      </c>
    </row>
    <row r="1997" spans="1:40" x14ac:dyDescent="0.25">
      <c r="A1997" t="str">
        <f>"20190303170536888"</f>
        <v>20190303170536888</v>
      </c>
      <c r="B1997" t="str">
        <f>"1551603936876637"</f>
        <v>1551603936876637</v>
      </c>
      <c r="C1997" t="s">
        <v>40</v>
      </c>
      <c r="D1997">
        <v>5.7344400000000002</v>
      </c>
      <c r="E1997">
        <v>0.4930427</v>
      </c>
      <c r="F1997" t="s">
        <v>60</v>
      </c>
      <c r="G1997">
        <v>-395.38029999999998</v>
      </c>
      <c r="H1997" s="1">
        <v>1.326335E-6</v>
      </c>
      <c r="I1997">
        <v>283.68630000000002</v>
      </c>
      <c r="J1997">
        <v>-372.9092</v>
      </c>
      <c r="K1997">
        <v>1.1211880000000001</v>
      </c>
      <c r="L1997">
        <v>284.666</v>
      </c>
      <c r="M1997">
        <v>-0.99987099999999995</v>
      </c>
      <c r="N1997">
        <v>-1.5100840000000001E-2</v>
      </c>
      <c r="O1997">
        <v>-5.4998540000000002E-3</v>
      </c>
      <c r="P1997">
        <v>-0.97687769999999996</v>
      </c>
      <c r="Q1997">
        <v>0.21353369999999999</v>
      </c>
      <c r="R1997">
        <v>-1.0665869999999999E-2</v>
      </c>
      <c r="S1997">
        <v>-3.1027830000000001</v>
      </c>
      <c r="T1997">
        <v>-0.15206910000000001</v>
      </c>
      <c r="U1997">
        <v>-0.13317870000000001</v>
      </c>
      <c r="V1997">
        <v>-5.2834170000000003E-3</v>
      </c>
      <c r="W1997">
        <v>0.22826199999999999</v>
      </c>
      <c r="X1997">
        <v>0.97358540000000005</v>
      </c>
      <c r="Y1997">
        <v>-3.7331389999999999E-2</v>
      </c>
      <c r="Z1997">
        <v>-1.009813E-3</v>
      </c>
      <c r="AA1997">
        <v>0.99930240000000004</v>
      </c>
      <c r="AB1997">
        <v>41</v>
      </c>
      <c r="AC1997">
        <v>-22.4710999999999</v>
      </c>
      <c r="AD1997">
        <v>-1.12118667366499</v>
      </c>
      <c r="AE1997">
        <v>-0.97969999999997903</v>
      </c>
      <c r="AF1997">
        <v>-0.85396145550872105</v>
      </c>
      <c r="AG1997">
        <v>-1.12118667366499</v>
      </c>
      <c r="AH1997">
        <v>22.4204397258647</v>
      </c>
      <c r="AI1997">
        <v>92.860754140124897</v>
      </c>
      <c r="AJ1997">
        <v>92.181257268846096</v>
      </c>
      <c r="AK1997">
        <v>22.464692902994098</v>
      </c>
      <c r="AL1997">
        <v>76.805229917906303</v>
      </c>
      <c r="AM1997">
        <v>90.310927550791305</v>
      </c>
      <c r="AN1997">
        <v>0.99999999311617704</v>
      </c>
    </row>
    <row r="1998" spans="1:40" x14ac:dyDescent="0.25">
      <c r="A1998" t="str">
        <f>"20190303170536910"</f>
        <v>20190303170536910</v>
      </c>
      <c r="B1998" t="str">
        <f>"1551603936897133"</f>
        <v>1551603936897133</v>
      </c>
      <c r="C1998" t="s">
        <v>40</v>
      </c>
      <c r="D1998">
        <v>5.7270519999999996</v>
      </c>
      <c r="E1998">
        <v>0.49397829999999898</v>
      </c>
      <c r="F1998" t="s">
        <v>60</v>
      </c>
      <c r="G1998">
        <v>-395.96370000000002</v>
      </c>
      <c r="H1998" s="1">
        <v>1.6368149999999999E-6</v>
      </c>
      <c r="I1998">
        <v>283.77190000000002</v>
      </c>
      <c r="J1998">
        <v>-373.32729999999998</v>
      </c>
      <c r="K1998">
        <v>1.1211799999999901</v>
      </c>
      <c r="L1998">
        <v>284.66370000000001</v>
      </c>
      <c r="M1998">
        <v>-0.9998707</v>
      </c>
      <c r="N1998">
        <v>-1.511267E-2</v>
      </c>
      <c r="O1998">
        <v>-5.4999430000000002E-3</v>
      </c>
      <c r="P1998">
        <v>-0.97692659999999998</v>
      </c>
      <c r="Q1998">
        <v>0.21333489999999999</v>
      </c>
      <c r="R1998">
        <v>-1.012834E-2</v>
      </c>
      <c r="S1998">
        <v>-3.1026919999999998</v>
      </c>
      <c r="T1998">
        <v>-0.1508901</v>
      </c>
      <c r="U1998">
        <v>-0.1203308</v>
      </c>
      <c r="V1998">
        <v>-4.7455730000000003E-3</v>
      </c>
      <c r="W1998">
        <v>0.22807530000000001</v>
      </c>
      <c r="X1998">
        <v>0.97363189999999999</v>
      </c>
      <c r="Y1998">
        <v>-3.320824E-2</v>
      </c>
      <c r="Z1998">
        <v>-8.7380189999999999E-4</v>
      </c>
      <c r="AA1998">
        <v>0.99944809999999995</v>
      </c>
      <c r="AB1998">
        <v>41</v>
      </c>
      <c r="AC1998">
        <v>-22.636399999999998</v>
      </c>
      <c r="AD1998">
        <v>-1.1211783631850001</v>
      </c>
      <c r="AE1998">
        <v>-0.89179999999998905</v>
      </c>
      <c r="AF1998">
        <v>-0.76539860924561298</v>
      </c>
      <c r="AG1998">
        <v>-1.1211783631850001</v>
      </c>
      <c r="AH1998">
        <v>22.585641506687299</v>
      </c>
      <c r="AI1998">
        <v>92.840270632811695</v>
      </c>
      <c r="AJ1998">
        <v>91.940938161036101</v>
      </c>
      <c r="AK1998">
        <v>22.626402237689199</v>
      </c>
      <c r="AL1998">
        <v>76.816216544932402</v>
      </c>
      <c r="AM1998">
        <v>90.279262780045102</v>
      </c>
      <c r="AN1998">
        <v>0.99999996981539796</v>
      </c>
    </row>
    <row r="1999" spans="1:40" x14ac:dyDescent="0.25">
      <c r="A1999" t="str">
        <f>"20190303170536933"</f>
        <v>20190303170536933</v>
      </c>
      <c r="B1999" t="str">
        <f>"1551603936926416"</f>
        <v>1551603936926416</v>
      </c>
      <c r="C1999" t="s">
        <v>40</v>
      </c>
      <c r="D1999">
        <v>5.8036469999999998</v>
      </c>
      <c r="E1999">
        <v>0.49514419999999998</v>
      </c>
      <c r="F1999" t="s">
        <v>60</v>
      </c>
      <c r="G1999">
        <v>-396.52839999999998</v>
      </c>
      <c r="H1999" s="1">
        <v>1.9372720000000001E-6</v>
      </c>
      <c r="I1999">
        <v>283.83870000000002</v>
      </c>
      <c r="J1999">
        <v>-373.74959999999999</v>
      </c>
      <c r="K1999">
        <v>1.1211880000000001</v>
      </c>
      <c r="L1999">
        <v>284.66140000000001</v>
      </c>
      <c r="M1999">
        <v>-0.9998707</v>
      </c>
      <c r="N1999">
        <v>-1.5122180000000001E-2</v>
      </c>
      <c r="O1999">
        <v>-5.5001340000000003E-3</v>
      </c>
      <c r="P1999">
        <v>-0.9767979</v>
      </c>
      <c r="Q1999">
        <v>0.2139924</v>
      </c>
      <c r="R1999">
        <v>-8.5823310000000003E-3</v>
      </c>
      <c r="S1999">
        <v>-3.1024479999999999</v>
      </c>
      <c r="T1999">
        <v>-0.149924</v>
      </c>
      <c r="U1999">
        <v>-0.110321</v>
      </c>
      <c r="V1999">
        <v>-3.1999860000000001E-3</v>
      </c>
      <c r="W1999">
        <v>0.2287401</v>
      </c>
      <c r="X1999">
        <v>0.97348230000000002</v>
      </c>
      <c r="Y1999">
        <v>-2.9996180000000001E-2</v>
      </c>
      <c r="Z1999">
        <v>-7.6876229999999998E-4</v>
      </c>
      <c r="AA1999">
        <v>0.99954969999999999</v>
      </c>
      <c r="AB1999">
        <v>41</v>
      </c>
      <c r="AC1999">
        <v>-22.778799999999901</v>
      </c>
      <c r="AD1999">
        <v>-1.1211860627279999</v>
      </c>
      <c r="AE1999">
        <v>-0.82269999999999699</v>
      </c>
      <c r="AF1999">
        <v>-0.69570353267934304</v>
      </c>
      <c r="AG1999">
        <v>-1.1211860627279999</v>
      </c>
      <c r="AH1999">
        <v>22.727990232330299</v>
      </c>
      <c r="AI1999">
        <v>92.822827479576105</v>
      </c>
      <c r="AJ1999">
        <v>91.753275731861905</v>
      </c>
      <c r="AK1999">
        <v>22.7662601582592</v>
      </c>
      <c r="AL1999">
        <v>76.777092897167293</v>
      </c>
      <c r="AM1999">
        <v>90.188339358539906</v>
      </c>
      <c r="AN1999">
        <v>1.0000000308358401</v>
      </c>
    </row>
    <row r="2000" spans="1:40" x14ac:dyDescent="0.25">
      <c r="A2000" t="str">
        <f>"20190303170536956"</f>
        <v>20190303170536956</v>
      </c>
      <c r="B2000" t="str">
        <f>"1551603936946909"</f>
        <v>1551603936946909</v>
      </c>
      <c r="C2000" t="s">
        <v>40</v>
      </c>
      <c r="D2000">
        <v>5.641343</v>
      </c>
      <c r="E2000">
        <v>0.49548039999999999</v>
      </c>
      <c r="F2000" t="s">
        <v>60</v>
      </c>
      <c r="G2000">
        <v>-397.58229999999998</v>
      </c>
      <c r="H2000" s="1">
        <v>2.4981190000000002E-6</v>
      </c>
      <c r="I2000">
        <v>283.9126</v>
      </c>
      <c r="J2000">
        <v>-374.15890000000002</v>
      </c>
      <c r="K2000">
        <v>1.1211960000000001</v>
      </c>
      <c r="L2000">
        <v>284.65910000000002</v>
      </c>
      <c r="M2000">
        <v>-0.9998705</v>
      </c>
      <c r="N2000">
        <v>-1.5129409999999999E-2</v>
      </c>
      <c r="O2000">
        <v>-5.5001879999999996E-3</v>
      </c>
      <c r="P2000">
        <v>-0.97687579999999996</v>
      </c>
      <c r="Q2000">
        <v>0.2136835</v>
      </c>
      <c r="R2000">
        <v>-7.3216660000000001E-3</v>
      </c>
      <c r="S2000">
        <v>-3.1023860000000001</v>
      </c>
      <c r="T2000">
        <v>-0.14594860000000001</v>
      </c>
      <c r="U2000">
        <v>-9.747314E-2</v>
      </c>
      <c r="V2000">
        <v>-1.9389120000000001E-3</v>
      </c>
      <c r="W2000">
        <v>0.22843930000000001</v>
      </c>
      <c r="X2000">
        <v>0.97355619999999998</v>
      </c>
      <c r="Y2000">
        <v>-2.5869690000000001E-2</v>
      </c>
      <c r="Z2000">
        <v>-6.2855180000000004E-4</v>
      </c>
      <c r="AA2000">
        <v>0.99966509999999997</v>
      </c>
      <c r="AB2000">
        <v>41</v>
      </c>
      <c r="AC2000">
        <v>-23.423399999999901</v>
      </c>
      <c r="AD2000">
        <v>-1.12119350188099</v>
      </c>
      <c r="AE2000">
        <v>-0.74650000000002503</v>
      </c>
      <c r="AF2000">
        <v>-0.61623039666873203</v>
      </c>
      <c r="AG2000">
        <v>-1.12119350188099</v>
      </c>
      <c r="AH2000">
        <v>23.373652811049901</v>
      </c>
      <c r="AI2000">
        <v>92.745321424486605</v>
      </c>
      <c r="AJ2000">
        <v>91.5102142645556</v>
      </c>
      <c r="AK2000">
        <v>23.408640723073599</v>
      </c>
      <c r="AL2000">
        <v>76.794795434112899</v>
      </c>
      <c r="AM2000">
        <v>90.114108797797797</v>
      </c>
      <c r="AN2000">
        <v>0.99999997386133599</v>
      </c>
    </row>
    <row r="2001" spans="1:40" x14ac:dyDescent="0.25">
      <c r="A2001" t="str">
        <f>"20190303170536978"</f>
        <v>20190303170536978</v>
      </c>
      <c r="B2001" t="str">
        <f>"1551603936966428"</f>
        <v>1551603936966428</v>
      </c>
      <c r="C2001" t="s">
        <v>40</v>
      </c>
      <c r="D2001">
        <v>5.7742789999999999</v>
      </c>
      <c r="E2001">
        <v>0.49596810000000002</v>
      </c>
      <c r="F2001" t="s">
        <v>60</v>
      </c>
      <c r="G2001">
        <v>-398.59010000000001</v>
      </c>
      <c r="H2001" s="1">
        <v>3.0344219999999999E-6</v>
      </c>
      <c r="I2001">
        <v>283.93790000000001</v>
      </c>
      <c r="J2001">
        <v>-374.5591</v>
      </c>
      <c r="K2001">
        <v>1.1212029999999999</v>
      </c>
      <c r="L2001">
        <v>284.65690000000001</v>
      </c>
      <c r="M2001">
        <v>-0.99987040000000005</v>
      </c>
      <c r="N2001">
        <v>-1.513482E-2</v>
      </c>
      <c r="O2001">
        <v>-5.5002289999999997E-3</v>
      </c>
      <c r="P2001">
        <v>-0.9770934</v>
      </c>
      <c r="Q2001">
        <v>0.21273329999999999</v>
      </c>
      <c r="R2001">
        <v>-5.7604559999999997E-3</v>
      </c>
      <c r="S2001">
        <v>-3.1014710000000001</v>
      </c>
      <c r="T2001">
        <v>-0.1423324</v>
      </c>
      <c r="U2001">
        <v>-9.1552729999999999E-2</v>
      </c>
      <c r="V2001">
        <v>-3.7640429999999999E-4</v>
      </c>
      <c r="W2001">
        <v>0.22749730000000001</v>
      </c>
      <c r="X2001">
        <v>0.9737787</v>
      </c>
      <c r="Y2001">
        <v>-2.3976419999999998E-2</v>
      </c>
      <c r="Z2001">
        <v>-5.6235129999999999E-4</v>
      </c>
      <c r="AA2001">
        <v>0.9997123</v>
      </c>
      <c r="AB2001">
        <v>41</v>
      </c>
      <c r="AC2001">
        <v>-24.030999999999999</v>
      </c>
      <c r="AD2001">
        <v>-1.1211999655780001</v>
      </c>
      <c r="AE2001">
        <v>-0.71899999999999398</v>
      </c>
      <c r="AF2001">
        <v>-0.585524544966608</v>
      </c>
      <c r="AG2001">
        <v>-1.1211999655780001</v>
      </c>
      <c r="AH2001">
        <v>23.982432791316899</v>
      </c>
      <c r="AI2001">
        <v>92.675883222690402</v>
      </c>
      <c r="AJ2001">
        <v>91.398582960049396</v>
      </c>
      <c r="AK2001">
        <v>24.0157658829696</v>
      </c>
      <c r="AL2001">
        <v>76.850228824755803</v>
      </c>
      <c r="AM2001">
        <v>90.022147102525906</v>
      </c>
      <c r="AN2001">
        <v>1.0000000598805801</v>
      </c>
    </row>
    <row r="2002" spans="1:40" x14ac:dyDescent="0.25">
      <c r="A2002" t="str">
        <f>"20190303170536999"</f>
        <v>20190303170536999</v>
      </c>
      <c r="B2002" t="str">
        <f>"1551603936986924"</f>
        <v>1551603936986924</v>
      </c>
      <c r="C2002" t="s">
        <v>40</v>
      </c>
      <c r="D2002">
        <v>5.6102059999999998</v>
      </c>
      <c r="E2002">
        <v>0.54141930000000005</v>
      </c>
      <c r="F2002" t="s">
        <v>60</v>
      </c>
      <c r="G2002">
        <v>-398.78539999999998</v>
      </c>
      <c r="H2002" s="1">
        <v>3.1383749999999998E-6</v>
      </c>
      <c r="I2002">
        <v>284.01420000000002</v>
      </c>
      <c r="J2002">
        <v>-374.9511</v>
      </c>
      <c r="K2002">
        <v>1.121192</v>
      </c>
      <c r="L2002">
        <v>284.65480000000002</v>
      </c>
      <c r="M2002">
        <v>-0.99987040000000005</v>
      </c>
      <c r="N2002">
        <v>-1.5138769999999999E-2</v>
      </c>
      <c r="O2002">
        <v>-5.5002580000000001E-3</v>
      </c>
      <c r="P2002">
        <v>-0.97740689999999997</v>
      </c>
      <c r="Q2002">
        <v>0.2113275</v>
      </c>
      <c r="R2002">
        <v>-4.0883409999999997E-3</v>
      </c>
      <c r="S2002">
        <v>-3.101105</v>
      </c>
      <c r="T2002">
        <v>-0.14351989999999901</v>
      </c>
      <c r="U2002">
        <v>-8.2275390000000004E-2</v>
      </c>
      <c r="V2002">
        <v>1.297274E-3</v>
      </c>
      <c r="W2002">
        <v>0.22609989999999999</v>
      </c>
      <c r="X2002">
        <v>0.97410330000000001</v>
      </c>
      <c r="Y2002">
        <v>-2.0995150000000001E-2</v>
      </c>
      <c r="Z2002">
        <v>-4.7341789999999999E-4</v>
      </c>
      <c r="AA2002">
        <v>0.99977950000000004</v>
      </c>
      <c r="AB2002">
        <v>41</v>
      </c>
      <c r="AC2002">
        <v>-23.834299999999899</v>
      </c>
      <c r="AD2002">
        <v>-1.1211888616250001</v>
      </c>
      <c r="AE2002">
        <v>-0.64060000000000605</v>
      </c>
      <c r="AF2002">
        <v>-0.50835639370406704</v>
      </c>
      <c r="AG2002">
        <v>-1.1211888616250001</v>
      </c>
      <c r="AH2002">
        <v>23.784868808919502</v>
      </c>
      <c r="AI2002">
        <v>92.698237998782403</v>
      </c>
      <c r="AJ2002">
        <v>91.224402042471098</v>
      </c>
      <c r="AK2002">
        <v>23.816705795385801</v>
      </c>
      <c r="AL2002">
        <v>76.932435915032102</v>
      </c>
      <c r="AM2002">
        <v>89.923695689020406</v>
      </c>
      <c r="AN2002">
        <v>1.00000004338536</v>
      </c>
    </row>
    <row r="2003" spans="1:40" x14ac:dyDescent="0.25">
      <c r="A2003" t="str">
        <f>"20190303170537023"</f>
        <v>20190303170537023</v>
      </c>
      <c r="B2003" t="str">
        <f>"1551603937016207"</f>
        <v>1551603937016207</v>
      </c>
      <c r="C2003" t="s">
        <v>40</v>
      </c>
      <c r="D2003">
        <v>5.5085220000000001</v>
      </c>
      <c r="E2003">
        <v>0.54937329999999995</v>
      </c>
      <c r="F2003" t="s">
        <v>64</v>
      </c>
      <c r="G2003">
        <v>-401.75599999999997</v>
      </c>
      <c r="H2003" s="1">
        <v>7.102952E-6</v>
      </c>
      <c r="I2003">
        <v>287.13589999999999</v>
      </c>
      <c r="J2003">
        <v>-375.38139999999999</v>
      </c>
      <c r="K2003">
        <v>1.121189</v>
      </c>
      <c r="L2003">
        <v>284.6524</v>
      </c>
      <c r="M2003">
        <v>-0.99987029999999999</v>
      </c>
      <c r="N2003">
        <v>-1.5141899999999899E-2</v>
      </c>
      <c r="O2003">
        <v>-5.5005200000000001E-3</v>
      </c>
      <c r="P2003">
        <v>-0.97760860000000005</v>
      </c>
      <c r="Q2003">
        <v>0.21040809999999999</v>
      </c>
      <c r="R2003">
        <v>-3.1691699999999998E-3</v>
      </c>
      <c r="S2003">
        <v>-3.098541</v>
      </c>
      <c r="T2003">
        <v>-0.1296051</v>
      </c>
      <c r="U2003">
        <v>0.28680420000000001</v>
      </c>
      <c r="V2003">
        <v>2.2176629999999999E-3</v>
      </c>
      <c r="W2003">
        <v>0.22518659999999999</v>
      </c>
      <c r="X2003">
        <v>0.97431310000000004</v>
      </c>
      <c r="Y2003">
        <v>9.7526039999999994E-2</v>
      </c>
      <c r="Z2003">
        <v>2.921243E-3</v>
      </c>
      <c r="AA2003">
        <v>0.99522869999999997</v>
      </c>
      <c r="AB2003">
        <v>41</v>
      </c>
      <c r="AC2003">
        <v>-26.374599999999901</v>
      </c>
      <c r="AD2003">
        <v>-1.1211818970479901</v>
      </c>
      <c r="AE2003">
        <v>2.48349999999999</v>
      </c>
      <c r="AF2003">
        <v>2.6238531852943798</v>
      </c>
      <c r="AG2003">
        <v>-1.1211818970479901</v>
      </c>
      <c r="AH2003">
        <v>26.313405955910401</v>
      </c>
      <c r="AI2003">
        <v>92.427801319948102</v>
      </c>
      <c r="AJ2003">
        <v>84.305549260433096</v>
      </c>
      <c r="AK2003">
        <v>26.4676592728709</v>
      </c>
      <c r="AL2003">
        <v>76.986148447727501</v>
      </c>
      <c r="AM2003">
        <v>89.869587598837001</v>
      </c>
      <c r="AN2003">
        <v>0.99999996984017503</v>
      </c>
    </row>
    <row r="2004" spans="1:40" x14ac:dyDescent="0.25">
      <c r="A2004" t="str">
        <f>"20190303170537044"</f>
        <v>20190303170537044</v>
      </c>
      <c r="B2004" t="str">
        <f>"1551603937036700"</f>
        <v>1551603937036700</v>
      </c>
      <c r="C2004" t="s">
        <v>40</v>
      </c>
      <c r="D2004">
        <v>5.4738930000000003</v>
      </c>
      <c r="E2004">
        <v>0.55154440000000005</v>
      </c>
      <c r="F2004" t="s">
        <v>64</v>
      </c>
      <c r="G2004">
        <v>-407.62020000000001</v>
      </c>
      <c r="H2004" s="1">
        <v>4.252792E-6</v>
      </c>
      <c r="I2004">
        <v>288.34379999999999</v>
      </c>
      <c r="J2004">
        <v>-375.77269999999999</v>
      </c>
      <c r="K2004">
        <v>1.1211930000000001</v>
      </c>
      <c r="L2004">
        <v>284.65019999999998</v>
      </c>
      <c r="M2004">
        <v>-0.99987020000000004</v>
      </c>
      <c r="N2004">
        <v>-1.514367E-2</v>
      </c>
      <c r="O2004">
        <v>-5.5002949999999997E-3</v>
      </c>
      <c r="P2004">
        <v>-0.97765179999999996</v>
      </c>
      <c r="Q2004">
        <v>0.21022109999999999</v>
      </c>
      <c r="R2004">
        <v>-2.0529419999999999E-3</v>
      </c>
      <c r="S2004">
        <v>-3.093048</v>
      </c>
      <c r="T2004">
        <v>-0.10756839999999999</v>
      </c>
      <c r="U2004">
        <v>0.35415649999999999</v>
      </c>
      <c r="V2004">
        <v>3.3340259999999999E-3</v>
      </c>
      <c r="W2004">
        <v>0.22500210000000001</v>
      </c>
      <c r="X2004">
        <v>0.97435249999999995</v>
      </c>
      <c r="Y2004">
        <v>0.1191176</v>
      </c>
      <c r="Z2004">
        <v>3.0768700000000002E-3</v>
      </c>
      <c r="AA2004">
        <v>0.99287539999999996</v>
      </c>
      <c r="AB2004">
        <v>41</v>
      </c>
      <c r="AC2004">
        <v>-31.8475</v>
      </c>
      <c r="AD2004">
        <v>-1.121188747208</v>
      </c>
      <c r="AE2004">
        <v>3.6936</v>
      </c>
      <c r="AF2004">
        <v>3.8640094093808401</v>
      </c>
      <c r="AG2004">
        <v>-1.121188747208</v>
      </c>
      <c r="AH2004">
        <v>31.787825413243201</v>
      </c>
      <c r="AI2004">
        <v>92.005294157178994</v>
      </c>
      <c r="AJ2004">
        <v>83.0693410617626</v>
      </c>
      <c r="AK2004">
        <v>32.041433760452698</v>
      </c>
      <c r="AL2004">
        <v>76.996997390236999</v>
      </c>
      <c r="AM2004">
        <v>89.803946853891901</v>
      </c>
      <c r="AN2004">
        <v>0.99999992749501099</v>
      </c>
    </row>
    <row r="2005" spans="1:40" x14ac:dyDescent="0.25">
      <c r="A2005" t="str">
        <f>"20190303170537065"</f>
        <v>20190303170537065</v>
      </c>
      <c r="B2005" t="str">
        <f>"1551603937056221"</f>
        <v>1551603937056221</v>
      </c>
      <c r="C2005" t="s">
        <v>40</v>
      </c>
      <c r="D2005">
        <v>5.4436239999999998</v>
      </c>
      <c r="E2005">
        <v>0.5525101</v>
      </c>
      <c r="F2005" t="s">
        <v>64</v>
      </c>
      <c r="G2005">
        <v>-410.541</v>
      </c>
      <c r="H2005" s="1">
        <v>1.9298710000000002E-6</v>
      </c>
      <c r="I2005">
        <v>288.86959999999999</v>
      </c>
      <c r="J2005">
        <v>-376.17579999999998</v>
      </c>
      <c r="K2005">
        <v>1.1212040000000001</v>
      </c>
      <c r="L2005">
        <v>284.64800000000002</v>
      </c>
      <c r="M2005">
        <v>-0.99987020000000004</v>
      </c>
      <c r="N2005">
        <v>-1.5144650000000001E-2</v>
      </c>
      <c r="O2005">
        <v>-5.5003020000000003E-3</v>
      </c>
      <c r="P2005">
        <v>-0.97766940000000002</v>
      </c>
      <c r="Q2005">
        <v>0.210149</v>
      </c>
      <c r="R2005">
        <v>-3.2547629999999999E-4</v>
      </c>
      <c r="S2005">
        <v>-3.0907900000000001</v>
      </c>
      <c r="T2005">
        <v>-9.9670529999999993E-2</v>
      </c>
      <c r="U2005">
        <v>0.37509160000000002</v>
      </c>
      <c r="V2005">
        <v>5.0616230000000003E-3</v>
      </c>
      <c r="W2005">
        <v>0.22493109999999999</v>
      </c>
      <c r="X2005">
        <v>0.97436149999999999</v>
      </c>
      <c r="Y2005">
        <v>0.12583699999999901</v>
      </c>
      <c r="Z2005">
        <v>3.0715209999999998E-3</v>
      </c>
      <c r="AA2005">
        <v>0.99204619999999999</v>
      </c>
      <c r="AB2005">
        <v>41</v>
      </c>
      <c r="AC2005">
        <v>-34.365200000000002</v>
      </c>
      <c r="AD2005">
        <v>-1.121202070129</v>
      </c>
      <c r="AE2005">
        <v>4.22160000000002</v>
      </c>
      <c r="AF2005">
        <v>4.4059565340450098</v>
      </c>
      <c r="AG2005">
        <v>-1.121202070129</v>
      </c>
      <c r="AH2005">
        <v>34.305483317379597</v>
      </c>
      <c r="AI2005">
        <v>91.856685280513801</v>
      </c>
      <c r="AJ2005">
        <v>82.681395221695198</v>
      </c>
      <c r="AK2005">
        <v>34.605429237346002</v>
      </c>
      <c r="AL2005">
        <v>77.001173055975201</v>
      </c>
      <c r="AM2005">
        <v>89.702361980958599</v>
      </c>
      <c r="AN2005">
        <v>0.99999997622842596</v>
      </c>
    </row>
    <row r="2006" spans="1:40" x14ac:dyDescent="0.25">
      <c r="A2006" t="str">
        <f>"20190303170537089"</f>
        <v>20190303170537089</v>
      </c>
      <c r="B2006" t="str">
        <f>"1551603937076716"</f>
        <v>1551603937076716</v>
      </c>
      <c r="C2006" t="s">
        <v>40</v>
      </c>
      <c r="D2006">
        <v>5.4083350000000001</v>
      </c>
      <c r="E2006">
        <v>0.55326489999999995</v>
      </c>
      <c r="F2006" t="s">
        <v>64</v>
      </c>
      <c r="G2006">
        <v>-413.94659999999999</v>
      </c>
      <c r="H2006" s="1">
        <v>2.487182E-6</v>
      </c>
      <c r="I2006">
        <v>289.4049</v>
      </c>
      <c r="J2006">
        <v>-376.5829</v>
      </c>
      <c r="K2006">
        <v>1.1212040000000001</v>
      </c>
      <c r="L2006">
        <v>284.64580000000001</v>
      </c>
      <c r="M2006">
        <v>-0.99987029999999999</v>
      </c>
      <c r="N2006">
        <v>-1.514485E-2</v>
      </c>
      <c r="O2006">
        <v>-5.5005419999999998E-3</v>
      </c>
      <c r="P2006">
        <v>-0.97787500000000005</v>
      </c>
      <c r="Q2006">
        <v>0.20918110000000001</v>
      </c>
      <c r="R2006">
        <v>2.0086230000000002E-3</v>
      </c>
      <c r="S2006">
        <v>-3.0883180000000001</v>
      </c>
      <c r="T2006">
        <v>-9.1674690000000003E-2</v>
      </c>
      <c r="U2006">
        <v>0.38894649999999997</v>
      </c>
      <c r="V2006">
        <v>7.3968530000000001E-3</v>
      </c>
      <c r="W2006">
        <v>0.2239659</v>
      </c>
      <c r="X2006">
        <v>0.97456889999999996</v>
      </c>
      <c r="Y2006">
        <v>0.130324</v>
      </c>
      <c r="Z2006">
        <v>2.9970439999999999E-3</v>
      </c>
      <c r="AA2006">
        <v>0.99146690000000004</v>
      </c>
      <c r="AB2006">
        <v>41</v>
      </c>
      <c r="AC2006">
        <v>-37.363700000000001</v>
      </c>
      <c r="AD2006">
        <v>-1.121201512818</v>
      </c>
      <c r="AE2006">
        <v>4.7590999999999797</v>
      </c>
      <c r="AF2006">
        <v>4.9601769700407798</v>
      </c>
      <c r="AG2006">
        <v>-1.121201512818</v>
      </c>
      <c r="AH2006">
        <v>37.303899353996002</v>
      </c>
      <c r="AI2006">
        <v>91.706545895824505</v>
      </c>
      <c r="AJ2006">
        <v>82.425996368986006</v>
      </c>
      <c r="AK2006">
        <v>37.6489223673073</v>
      </c>
      <c r="AL2006">
        <v>77.057923036079998</v>
      </c>
      <c r="AM2006">
        <v>89.565140729538697</v>
      </c>
      <c r="AN2006">
        <v>0.99999998932216105</v>
      </c>
    </row>
    <row r="2007" spans="1:40" x14ac:dyDescent="0.25">
      <c r="A2007" t="str">
        <f>"20190303170537111"</f>
        <v>20190303170537111</v>
      </c>
      <c r="B2007" t="str">
        <f>"1551603937106972"</f>
        <v>1551603937106972</v>
      </c>
      <c r="C2007" t="s">
        <v>40</v>
      </c>
      <c r="D2007">
        <v>5.3511709999999999</v>
      </c>
      <c r="E2007">
        <v>0.55413679999999998</v>
      </c>
      <c r="F2007" t="s">
        <v>64</v>
      </c>
      <c r="G2007">
        <v>-415.62759999999997</v>
      </c>
      <c r="H2007" s="1">
        <v>2.7435699999999999E-6</v>
      </c>
      <c r="I2007">
        <v>289.74869999999999</v>
      </c>
      <c r="J2007">
        <v>-377.00400000000002</v>
      </c>
      <c r="K2007">
        <v>1.1211949999999999</v>
      </c>
      <c r="L2007">
        <v>284.64350000000002</v>
      </c>
      <c r="M2007">
        <v>-0.99987029999999999</v>
      </c>
      <c r="N2007">
        <v>-1.5144360000000001E-2</v>
      </c>
      <c r="O2007">
        <v>-5.5005380000000001E-3</v>
      </c>
      <c r="P2007">
        <v>-0.97800860000000001</v>
      </c>
      <c r="Q2007">
        <v>0.20852999999999999</v>
      </c>
      <c r="R2007">
        <v>3.8330840000000001E-3</v>
      </c>
      <c r="S2007">
        <v>-3.0859679999999998</v>
      </c>
      <c r="T2007">
        <v>-8.8616130000000001E-2</v>
      </c>
      <c r="U2007">
        <v>0.40332030000000002</v>
      </c>
      <c r="V2007">
        <v>9.2220329999999993E-3</v>
      </c>
      <c r="W2007">
        <v>0.22331670000000001</v>
      </c>
      <c r="X2007">
        <v>0.97470230000000002</v>
      </c>
      <c r="Y2007">
        <v>0.1349611</v>
      </c>
      <c r="Z2007">
        <v>3.0301429999999999E-3</v>
      </c>
      <c r="AA2007">
        <v>0.99084629999999996</v>
      </c>
      <c r="AB2007">
        <v>41</v>
      </c>
      <c r="AC2007">
        <v>-38.623599999999897</v>
      </c>
      <c r="AD2007">
        <v>-1.1211922564299901</v>
      </c>
      <c r="AE2007">
        <v>5.10519999999996</v>
      </c>
      <c r="AF2007">
        <v>5.31319730985284</v>
      </c>
      <c r="AG2007">
        <v>-1.1211922564299901</v>
      </c>
      <c r="AH2007">
        <v>38.5629933232863</v>
      </c>
      <c r="AI2007">
        <v>91.649789041977797</v>
      </c>
      <c r="AJ2007">
        <v>82.155196314688993</v>
      </c>
      <c r="AK2007">
        <v>38.9434409340152</v>
      </c>
      <c r="AL2007">
        <v>77.096085999277605</v>
      </c>
      <c r="AM2007">
        <v>89.457918788433801</v>
      </c>
      <c r="AN2007">
        <v>0.99999998400841605</v>
      </c>
    </row>
    <row r="2008" spans="1:40" x14ac:dyDescent="0.25">
      <c r="A2008" t="str">
        <f>"20190303170537134"</f>
        <v>20190303170537134</v>
      </c>
      <c r="B2008" t="str">
        <f>"1551603937126492"</f>
        <v>1551603937126492</v>
      </c>
      <c r="C2008" t="s">
        <v>40</v>
      </c>
      <c r="D2008">
        <v>5.3030520000000001</v>
      </c>
      <c r="E2008">
        <v>0.55461099999999997</v>
      </c>
      <c r="F2008" t="s">
        <v>64</v>
      </c>
      <c r="G2008">
        <v>-417.36130000000003</v>
      </c>
      <c r="H2008" s="1">
        <v>2.990486E-6</v>
      </c>
      <c r="I2008">
        <v>290.09289999999999</v>
      </c>
      <c r="J2008">
        <v>-377.4008</v>
      </c>
      <c r="K2008">
        <v>1.1212070000000001</v>
      </c>
      <c r="L2008">
        <v>284.6413</v>
      </c>
      <c r="M2008">
        <v>-0.99987020000000004</v>
      </c>
      <c r="N2008">
        <v>-1.514336E-2</v>
      </c>
      <c r="O2008">
        <v>-5.50053E-3</v>
      </c>
      <c r="P2008">
        <v>-0.97803689999999999</v>
      </c>
      <c r="Q2008">
        <v>0.2083863</v>
      </c>
      <c r="R2008">
        <v>4.3898979999999997E-3</v>
      </c>
      <c r="S2008">
        <v>-3.0841059999999998</v>
      </c>
      <c r="T2008">
        <v>-8.5681560000000004E-2</v>
      </c>
      <c r="U2008">
        <v>0.4164429</v>
      </c>
      <c r="V2008">
        <v>9.7791739999999999E-3</v>
      </c>
      <c r="W2008">
        <v>0.22317210000000001</v>
      </c>
      <c r="X2008">
        <v>0.97472999999999999</v>
      </c>
      <c r="Y2008">
        <v>0.13918159999999999</v>
      </c>
      <c r="Z2008">
        <v>3.0524150000000002E-3</v>
      </c>
      <c r="AA2008">
        <v>0.99026219999999998</v>
      </c>
      <c r="AB2008">
        <v>41</v>
      </c>
      <c r="AC2008">
        <v>-39.960500000000003</v>
      </c>
      <c r="AD2008">
        <v>-1.1212040095139999</v>
      </c>
      <c r="AE2008">
        <v>5.4515999999999796</v>
      </c>
      <c r="AF2008">
        <v>5.6669668945344203</v>
      </c>
      <c r="AG2008">
        <v>-1.1212040095139999</v>
      </c>
      <c r="AH2008">
        <v>39.899068959480402</v>
      </c>
      <c r="AI2008">
        <v>91.593659477015905</v>
      </c>
      <c r="AJ2008">
        <v>81.916203212614803</v>
      </c>
      <c r="AK2008">
        <v>40.315100347736603</v>
      </c>
      <c r="AL2008">
        <v>77.104585627744797</v>
      </c>
      <c r="AM2008">
        <v>89.425187898941005</v>
      </c>
      <c r="AN2008">
        <v>0.99999999568126596</v>
      </c>
    </row>
    <row r="2009" spans="1:40" x14ac:dyDescent="0.25">
      <c r="A2009" t="str">
        <f>"20190303170537156"</f>
        <v>20190303170537156</v>
      </c>
      <c r="B2009" t="str">
        <f>"1551603937146988"</f>
        <v>1551603937146988</v>
      </c>
      <c r="C2009" t="s">
        <v>40</v>
      </c>
      <c r="D2009">
        <v>5.2581699999999998</v>
      </c>
      <c r="E2009">
        <v>0.55493950000000003</v>
      </c>
      <c r="F2009" t="s">
        <v>64</v>
      </c>
      <c r="G2009">
        <v>-419.00049999999999</v>
      </c>
      <c r="H2009" s="1">
        <v>3.1970090000000001E-6</v>
      </c>
      <c r="I2009">
        <v>290.3322</v>
      </c>
      <c r="J2009">
        <v>-377.80309999999997</v>
      </c>
      <c r="K2009">
        <v>1.1212169999999999</v>
      </c>
      <c r="L2009">
        <v>284.63909999999998</v>
      </c>
      <c r="M2009">
        <v>-0.99987020000000004</v>
      </c>
      <c r="N2009">
        <v>-1.514191E-2</v>
      </c>
      <c r="O2009">
        <v>-5.5006389999999999E-3</v>
      </c>
      <c r="P2009">
        <v>-0.9778637</v>
      </c>
      <c r="Q2009">
        <v>0.2091788</v>
      </c>
      <c r="R2009">
        <v>5.1846160000000004E-3</v>
      </c>
      <c r="S2009">
        <v>-3.0831599999999999</v>
      </c>
      <c r="T2009">
        <v>-8.3098050000000007E-2</v>
      </c>
      <c r="U2009">
        <v>0.42178339999999998</v>
      </c>
      <c r="V2009">
        <v>1.0572959999999999E-2</v>
      </c>
      <c r="W2009">
        <v>0.22396079999999999</v>
      </c>
      <c r="X2009">
        <v>0.97454079999999998</v>
      </c>
      <c r="Y2009">
        <v>0.14090899999999901</v>
      </c>
      <c r="Z2009">
        <v>3.0265460000000002E-3</v>
      </c>
      <c r="AA2009">
        <v>0.99001799999999995</v>
      </c>
      <c r="AB2009">
        <v>41</v>
      </c>
      <c r="AC2009">
        <v>-41.197400000000002</v>
      </c>
      <c r="AD2009">
        <v>-1.1212138029909999</v>
      </c>
      <c r="AE2009">
        <v>5.69310000000001</v>
      </c>
      <c r="AF2009">
        <v>5.9153525181020701</v>
      </c>
      <c r="AG2009">
        <v>-1.1212138029909999</v>
      </c>
      <c r="AH2009">
        <v>41.135559514704298</v>
      </c>
      <c r="AI2009">
        <v>91.545410163935699</v>
      </c>
      <c r="AJ2009">
        <v>81.816882752832001</v>
      </c>
      <c r="AK2009">
        <v>41.573823163058002</v>
      </c>
      <c r="AL2009">
        <v>77.058222990132506</v>
      </c>
      <c r="AM2009">
        <v>89.378412664997001</v>
      </c>
      <c r="AN2009">
        <v>0.99999999914222004</v>
      </c>
    </row>
    <row r="2010" spans="1:40" x14ac:dyDescent="0.25">
      <c r="A2010" t="str">
        <f>"20190303170537179"</f>
        <v>20190303170537179</v>
      </c>
      <c r="B2010" t="str">
        <f>"1551603937166508"</f>
        <v>1551603937166508</v>
      </c>
      <c r="C2010" t="s">
        <v>40</v>
      </c>
      <c r="D2010">
        <v>5.256113</v>
      </c>
      <c r="E2010">
        <v>0.555288</v>
      </c>
      <c r="F2010" t="s">
        <v>64</v>
      </c>
      <c r="G2010">
        <v>-421.55669999999998</v>
      </c>
      <c r="H2010" s="1">
        <v>2.872459E-6</v>
      </c>
      <c r="I2010">
        <v>290.68819999999999</v>
      </c>
      <c r="J2010">
        <v>-378.21390000000002</v>
      </c>
      <c r="K2010">
        <v>1.1212260000000001</v>
      </c>
      <c r="L2010">
        <v>284.63690000000003</v>
      </c>
      <c r="M2010">
        <v>-0.99987040000000005</v>
      </c>
      <c r="N2010">
        <v>-1.513989E-2</v>
      </c>
      <c r="O2010">
        <v>-5.5009809999999899E-3</v>
      </c>
      <c r="P2010">
        <v>-0.97774870000000003</v>
      </c>
      <c r="Q2010">
        <v>0.20968439999999999</v>
      </c>
      <c r="R2010">
        <v>6.3261519999999998E-3</v>
      </c>
      <c r="S2010">
        <v>-3.0825809999999998</v>
      </c>
      <c r="T2010">
        <v>-7.89932E-2</v>
      </c>
      <c r="U2010">
        <v>0.426178</v>
      </c>
      <c r="V2010">
        <v>1.171411E-2</v>
      </c>
      <c r="W2010">
        <v>0.2244622</v>
      </c>
      <c r="X2010">
        <v>0.97441239999999996</v>
      </c>
      <c r="Y2010">
        <v>0.14232500000000001</v>
      </c>
      <c r="Z2010">
        <v>2.9549020000000001E-3</v>
      </c>
      <c r="AA2010">
        <v>0.98981560000000002</v>
      </c>
      <c r="AB2010">
        <v>41</v>
      </c>
      <c r="AC2010">
        <v>-43.342799999999897</v>
      </c>
      <c r="AD2010">
        <v>-1.1212231275409901</v>
      </c>
      <c r="AE2010">
        <v>6.0512999999999604</v>
      </c>
      <c r="AF2010">
        <v>6.2855378299058398</v>
      </c>
      <c r="AG2010">
        <v>-1.1212231275409901</v>
      </c>
      <c r="AH2010">
        <v>43.2804430256868</v>
      </c>
      <c r="AI2010">
        <v>91.468573179976005</v>
      </c>
      <c r="AJ2010">
        <v>81.736811425484902</v>
      </c>
      <c r="AK2010">
        <v>43.748849991886999</v>
      </c>
      <c r="AL2010">
        <v>77.028744550826701</v>
      </c>
      <c r="AM2010">
        <v>89.311239539101507</v>
      </c>
      <c r="AN2010">
        <v>1.0000000124378401</v>
      </c>
    </row>
    <row r="2011" spans="1:40" x14ac:dyDescent="0.25">
      <c r="A2011" t="str">
        <f>"20190303170537201"</f>
        <v>20190303170537201</v>
      </c>
      <c r="B2011" t="str">
        <f>"1551603937187005"</f>
        <v>1551603937187005</v>
      </c>
      <c r="C2011" t="s">
        <v>40</v>
      </c>
      <c r="D2011">
        <v>5.2393090000000004</v>
      </c>
      <c r="E2011">
        <v>0.55556549999999905</v>
      </c>
      <c r="F2011" t="s">
        <v>64</v>
      </c>
      <c r="G2011">
        <v>-424.10879999999997</v>
      </c>
      <c r="H2011" s="1">
        <v>2.2861320000000001E-6</v>
      </c>
      <c r="I2011">
        <v>291.06619999999998</v>
      </c>
      <c r="J2011">
        <v>-378.61540000000002</v>
      </c>
      <c r="K2011">
        <v>1.1212249999999999</v>
      </c>
      <c r="L2011">
        <v>284.63470000000001</v>
      </c>
      <c r="M2011">
        <v>-0.99987040000000005</v>
      </c>
      <c r="N2011">
        <v>-1.5137589999999999E-2</v>
      </c>
      <c r="O2011">
        <v>-5.5009639999999997E-3</v>
      </c>
      <c r="P2011">
        <v>-0.97771669999999999</v>
      </c>
      <c r="Q2011">
        <v>0.20980019999999999</v>
      </c>
      <c r="R2011">
        <v>7.3777130000000002E-3</v>
      </c>
      <c r="S2011">
        <v>-3.0816349999999999</v>
      </c>
      <c r="T2011">
        <v>-7.5285199999999997E-2</v>
      </c>
      <c r="U2011">
        <v>0.43170170000000002</v>
      </c>
      <c r="V2011">
        <v>1.276564E-2</v>
      </c>
      <c r="W2011">
        <v>0.22457469999999999</v>
      </c>
      <c r="X2011">
        <v>0.9743733</v>
      </c>
      <c r="Y2011">
        <v>0.14411109999999999</v>
      </c>
      <c r="Z2011">
        <v>2.8987689999999998E-3</v>
      </c>
      <c r="AA2011">
        <v>0.98955729999999997</v>
      </c>
      <c r="AB2011">
        <v>40</v>
      </c>
      <c r="AC2011">
        <v>-45.493399999999902</v>
      </c>
      <c r="AD2011">
        <v>-1.121222713868</v>
      </c>
      <c r="AE2011">
        <v>6.4314999999999696</v>
      </c>
      <c r="AF2011">
        <v>6.6777121937452604</v>
      </c>
      <c r="AG2011">
        <v>-1.121222713868</v>
      </c>
      <c r="AH2011">
        <v>45.430273596747398</v>
      </c>
      <c r="AI2011">
        <v>91.398753744498606</v>
      </c>
      <c r="AJ2011">
        <v>81.6380770940454</v>
      </c>
      <c r="AK2011">
        <v>45.932110114732502</v>
      </c>
      <c r="AL2011">
        <v>77.022130300933497</v>
      </c>
      <c r="AM2011">
        <v>89.249388862834905</v>
      </c>
      <c r="AN2011">
        <v>1.0000000425987901</v>
      </c>
    </row>
    <row r="2012" spans="1:40" x14ac:dyDescent="0.25">
      <c r="A2012" t="str">
        <f>"20190303170537225"</f>
        <v>20190303170537225</v>
      </c>
      <c r="B2012" t="str">
        <f>"1551603937216285"</f>
        <v>1551603937216285</v>
      </c>
      <c r="C2012" t="s">
        <v>40</v>
      </c>
      <c r="D2012">
        <v>5.1599969999999997</v>
      </c>
      <c r="E2012">
        <v>0.55590299999999904</v>
      </c>
      <c r="F2012" t="s">
        <v>64</v>
      </c>
      <c r="G2012">
        <v>-425.54520000000002</v>
      </c>
      <c r="H2012" s="1">
        <v>1.9543129999999998E-6</v>
      </c>
      <c r="I2012">
        <v>291.28410000000002</v>
      </c>
      <c r="J2012">
        <v>-379.0335</v>
      </c>
      <c r="K2012">
        <v>1.121227</v>
      </c>
      <c r="L2012">
        <v>284.63240000000002</v>
      </c>
      <c r="M2012">
        <v>-0.9998705</v>
      </c>
      <c r="N2012">
        <v>-1.513453E-2</v>
      </c>
      <c r="O2012">
        <v>-5.5009409999999996E-3</v>
      </c>
      <c r="P2012">
        <v>-0.97781459999999998</v>
      </c>
      <c r="Q2012">
        <v>0.20929819999999999</v>
      </c>
      <c r="R2012">
        <v>8.5712169999999904E-3</v>
      </c>
      <c r="S2012">
        <v>-3.0808719999999998</v>
      </c>
      <c r="T2012">
        <v>-7.3606610000000003E-2</v>
      </c>
      <c r="U2012">
        <v>0.43652340000000001</v>
      </c>
      <c r="V2012">
        <v>1.3959569999999999E-2</v>
      </c>
      <c r="W2012">
        <v>0.2240714</v>
      </c>
      <c r="X2012">
        <v>0.97447280000000003</v>
      </c>
      <c r="Y2012">
        <v>0.14566490000000001</v>
      </c>
      <c r="Z2012">
        <v>2.887199E-3</v>
      </c>
      <c r="AA2012">
        <v>0.98932980000000004</v>
      </c>
      <c r="AB2012">
        <v>40</v>
      </c>
      <c r="AC2012">
        <v>-46.511699999999998</v>
      </c>
      <c r="AD2012">
        <v>-1.1212250456870001</v>
      </c>
      <c r="AE2012">
        <v>6.6516999999999999</v>
      </c>
      <c r="AF2012">
        <v>6.9035553715152096</v>
      </c>
      <c r="AG2012">
        <v>-1.1212250456870001</v>
      </c>
      <c r="AH2012">
        <v>46.447950739349601</v>
      </c>
      <c r="AI2012">
        <v>91.367796857110704</v>
      </c>
      <c r="AJ2012">
        <v>81.546021995828795</v>
      </c>
      <c r="AK2012">
        <v>46.971569595402102</v>
      </c>
      <c r="AL2012">
        <v>77.051721496186602</v>
      </c>
      <c r="AM2012">
        <v>89.179279565192502</v>
      </c>
      <c r="AN2012">
        <v>1.0000000499161901</v>
      </c>
    </row>
    <row r="2013" spans="1:40" x14ac:dyDescent="0.25">
      <c r="A2013" t="str">
        <f>"20190303170537246"</f>
        <v>20190303170537246</v>
      </c>
      <c r="B2013" t="str">
        <f>"1551603937236780"</f>
        <v>1551603937236780</v>
      </c>
      <c r="C2013" t="s">
        <v>40</v>
      </c>
      <c r="D2013">
        <v>5.152298</v>
      </c>
      <c r="E2013">
        <v>0.55609350000000002</v>
      </c>
      <c r="F2013" t="s">
        <v>64</v>
      </c>
      <c r="G2013">
        <v>-426.60750000000002</v>
      </c>
      <c r="H2013" s="1">
        <v>1.7305279999999999E-6</v>
      </c>
      <c r="I2013">
        <v>291.47739999999999</v>
      </c>
      <c r="J2013">
        <v>-379.42860000000002</v>
      </c>
      <c r="K2013">
        <v>1.1212310000000001</v>
      </c>
      <c r="L2013">
        <v>284.6302</v>
      </c>
      <c r="M2013">
        <v>-0.9998705</v>
      </c>
      <c r="N2013">
        <v>-1.513158E-2</v>
      </c>
      <c r="O2013">
        <v>-5.5011579999999999E-3</v>
      </c>
      <c r="P2013">
        <v>-0.977773</v>
      </c>
      <c r="Q2013">
        <v>0.209483</v>
      </c>
      <c r="R2013">
        <v>8.7841320000000001E-3</v>
      </c>
      <c r="S2013">
        <v>-3.079742</v>
      </c>
      <c r="T2013">
        <v>-7.2583439999999999E-2</v>
      </c>
      <c r="U2013">
        <v>0.44311519999999999</v>
      </c>
      <c r="V2013">
        <v>1.417237E-2</v>
      </c>
      <c r="W2013">
        <v>0.22425310000000001</v>
      </c>
      <c r="X2013">
        <v>0.97442790000000001</v>
      </c>
      <c r="Y2013">
        <v>0.147790899999999</v>
      </c>
      <c r="Z2013">
        <v>2.9027850000000002E-3</v>
      </c>
      <c r="AA2013">
        <v>0.98901439999999996</v>
      </c>
      <c r="AB2013">
        <v>40</v>
      </c>
      <c r="AC2013">
        <v>-47.178899999999999</v>
      </c>
      <c r="AD2013">
        <v>-1.1212292694720001</v>
      </c>
      <c r="AE2013">
        <v>6.8471999999999804</v>
      </c>
      <c r="AF2013">
        <v>7.1027357808814404</v>
      </c>
      <c r="AG2013">
        <v>-1.1212292694720001</v>
      </c>
      <c r="AH2013">
        <v>47.1144528989172</v>
      </c>
      <c r="AI2013">
        <v>91.348040344519902</v>
      </c>
      <c r="AJ2013">
        <v>81.426936903999902</v>
      </c>
      <c r="AK2013">
        <v>47.660021848631402</v>
      </c>
      <c r="AL2013">
        <v>77.041038617458696</v>
      </c>
      <c r="AM2013">
        <v>89.166731846597699</v>
      </c>
      <c r="AN2013">
        <v>1.0000000206147099</v>
      </c>
    </row>
    <row r="2014" spans="1:40" x14ac:dyDescent="0.25">
      <c r="A2014" t="str">
        <f>"20190303170537268"</f>
        <v>20190303170537268</v>
      </c>
      <c r="B2014" t="str">
        <f>"1551603937256301"</f>
        <v>1551603937256301</v>
      </c>
      <c r="C2014" t="s">
        <v>40</v>
      </c>
      <c r="D2014">
        <v>5.2668499999999998</v>
      </c>
      <c r="E2014">
        <v>0.55621109999999996</v>
      </c>
      <c r="F2014" t="s">
        <v>64</v>
      </c>
      <c r="G2014">
        <v>-428.0403</v>
      </c>
      <c r="H2014" s="1">
        <v>1.5712139999999901E-6</v>
      </c>
      <c r="I2014">
        <v>291.66039999999998</v>
      </c>
      <c r="J2014">
        <v>-379.81279999999998</v>
      </c>
      <c r="K2014">
        <v>1.121237</v>
      </c>
      <c r="L2014">
        <v>284.62810000000002</v>
      </c>
      <c r="M2014">
        <v>-0.99987040000000005</v>
      </c>
      <c r="N2014">
        <v>-1.512875E-2</v>
      </c>
      <c r="O2014">
        <v>-5.5011359999999898E-3</v>
      </c>
      <c r="P2014">
        <v>-0.97770409999999996</v>
      </c>
      <c r="Q2014">
        <v>0.20981639999999999</v>
      </c>
      <c r="R2014">
        <v>8.4835069999999995E-3</v>
      </c>
      <c r="S2014">
        <v>-3.0794069999999998</v>
      </c>
      <c r="T2014">
        <v>-7.1026560000000002E-2</v>
      </c>
      <c r="U2014">
        <v>0.44534299999999999</v>
      </c>
      <c r="V2014">
        <v>1.3871390000000001E-2</v>
      </c>
      <c r="W2014">
        <v>0.22458259999999999</v>
      </c>
      <c r="X2014">
        <v>0.97435640000000001</v>
      </c>
      <c r="Y2014">
        <v>0.148509</v>
      </c>
      <c r="Z2014">
        <v>2.8765290000000001E-3</v>
      </c>
      <c r="AA2014">
        <v>0.98890690000000003</v>
      </c>
      <c r="AB2014">
        <v>40</v>
      </c>
      <c r="AC2014">
        <v>-48.227499999999999</v>
      </c>
      <c r="AD2014">
        <v>-1.121235428786</v>
      </c>
      <c r="AE2014">
        <v>7.0322999999999602</v>
      </c>
      <c r="AF2014">
        <v>7.2936697474382601</v>
      </c>
      <c r="AG2014">
        <v>-1.121235428786</v>
      </c>
      <c r="AH2014">
        <v>48.1625896113556</v>
      </c>
      <c r="AI2014">
        <v>91.318588269380498</v>
      </c>
      <c r="AJ2014">
        <v>81.388645787293996</v>
      </c>
      <c r="AK2014">
        <v>48.724632634257198</v>
      </c>
      <c r="AL2014">
        <v>77.021666252677804</v>
      </c>
      <c r="AM2014">
        <v>89.184365786971597</v>
      </c>
      <c r="AN2014">
        <v>1.00000007695212</v>
      </c>
    </row>
    <row r="2015" spans="1:40" x14ac:dyDescent="0.25">
      <c r="A2015" t="str">
        <f>"20190303170537281"</f>
        <v>20190303170537281</v>
      </c>
      <c r="B2015" t="str">
        <f>"1551603937267037"</f>
        <v>1551603937267037</v>
      </c>
      <c r="C2015" t="s">
        <v>40</v>
      </c>
      <c r="D2015">
        <v>5.2508010000000001</v>
      </c>
      <c r="E2015">
        <v>0.55415249999999905</v>
      </c>
      <c r="F2015" t="s">
        <v>64</v>
      </c>
      <c r="G2015">
        <v>-429.66489999999999</v>
      </c>
      <c r="H2015" s="1">
        <v>1.3966999999999999E-6</v>
      </c>
      <c r="I2015">
        <v>291.83319999999998</v>
      </c>
      <c r="J2015">
        <v>-380.06380000000001</v>
      </c>
      <c r="K2015">
        <v>1.12124</v>
      </c>
      <c r="L2015">
        <v>284.62670000000003</v>
      </c>
      <c r="M2015">
        <v>-0.9998705</v>
      </c>
      <c r="N2015">
        <v>-1.512689E-2</v>
      </c>
      <c r="O2015">
        <v>-5.5012409999999996E-3</v>
      </c>
      <c r="P2015">
        <v>-0.97761659999999995</v>
      </c>
      <c r="Q2015">
        <v>0.21023929999999999</v>
      </c>
      <c r="R2015">
        <v>8.0903139999999995E-3</v>
      </c>
      <c r="S2015">
        <v>-3.079437</v>
      </c>
      <c r="T2015">
        <v>-6.9260360000000007E-2</v>
      </c>
      <c r="U2015">
        <v>0.44506839999999998</v>
      </c>
      <c r="V2015">
        <v>1.3477889999999999E-2</v>
      </c>
      <c r="W2015">
        <v>0.22500220000000001</v>
      </c>
      <c r="X2015">
        <v>0.97426500000000005</v>
      </c>
      <c r="Y2015">
        <v>0.1484239</v>
      </c>
      <c r="Z2015">
        <v>2.829289E-3</v>
      </c>
      <c r="AA2015">
        <v>0.98891980000000002</v>
      </c>
      <c r="AB2015">
        <v>40</v>
      </c>
      <c r="AC2015">
        <v>-49.601099999999903</v>
      </c>
      <c r="AD2015">
        <v>-1.1212386032999999</v>
      </c>
      <c r="AE2015">
        <v>7.2064999999999397</v>
      </c>
      <c r="AF2015">
        <v>7.4755487699846599</v>
      </c>
      <c r="AG2015">
        <v>-1.1212386032999999</v>
      </c>
      <c r="AH2015">
        <v>49.535910894575203</v>
      </c>
      <c r="AI2015">
        <v>91.282147846254801</v>
      </c>
      <c r="AJ2015">
        <v>81.418153854959201</v>
      </c>
      <c r="AK2015">
        <v>50.109355150243601</v>
      </c>
      <c r="AL2015">
        <v>76.996992030901694</v>
      </c>
      <c r="AM2015">
        <v>89.207426154793595</v>
      </c>
      <c r="AN2015">
        <v>0.999999966874345</v>
      </c>
    </row>
    <row r="2016" spans="1:40" x14ac:dyDescent="0.25">
      <c r="A2016" t="str">
        <f>"20190303170537302"</f>
        <v>20190303170537302</v>
      </c>
      <c r="B2016" t="str">
        <f>"1551603937286557"</f>
        <v>1551603937286557</v>
      </c>
      <c r="C2016" t="s">
        <v>40</v>
      </c>
      <c r="D2016">
        <v>5.2475339999999999</v>
      </c>
      <c r="E2016">
        <v>0.487234</v>
      </c>
      <c r="F2016" t="s">
        <v>64</v>
      </c>
      <c r="G2016">
        <v>-430.25439999999998</v>
      </c>
      <c r="H2016">
        <v>1.1200379999999999E-2</v>
      </c>
      <c r="I2016">
        <v>291.58780000000002</v>
      </c>
      <c r="J2016">
        <v>-380.42340000000002</v>
      </c>
      <c r="K2016">
        <v>1.121245</v>
      </c>
      <c r="L2016">
        <v>284.62470000000002</v>
      </c>
      <c r="M2016">
        <v>-0.9998707</v>
      </c>
      <c r="N2016">
        <v>-1.51241E-2</v>
      </c>
      <c r="O2016">
        <v>-5.5013390000000001E-3</v>
      </c>
      <c r="P2016">
        <v>-0.97748500000000005</v>
      </c>
      <c r="Q2016">
        <v>0.2108458</v>
      </c>
      <c r="R2016">
        <v>8.2310590000000006E-3</v>
      </c>
      <c r="S2016">
        <v>-3.079834</v>
      </c>
      <c r="T2016">
        <v>-6.8115120000000001E-2</v>
      </c>
      <c r="U2016">
        <v>0.42715449999999999</v>
      </c>
      <c r="V2016">
        <v>1.3618079999999999E-2</v>
      </c>
      <c r="W2016">
        <v>0.22560379999999999</v>
      </c>
      <c r="X2016">
        <v>0.97412399999999999</v>
      </c>
      <c r="Y2016">
        <v>0.14276849999999999</v>
      </c>
      <c r="Z2016">
        <v>2.6943929999999998E-3</v>
      </c>
      <c r="AA2016">
        <v>0.98975250000000004</v>
      </c>
      <c r="AB2016">
        <v>40</v>
      </c>
      <c r="AC2016">
        <v>-49.830999999999896</v>
      </c>
      <c r="AD2016">
        <v>-1.11004462</v>
      </c>
      <c r="AE2016">
        <v>6.9630999999999901</v>
      </c>
      <c r="AF2016">
        <v>7.2336423380206698</v>
      </c>
      <c r="AG2016">
        <v>-1.11004462</v>
      </c>
      <c r="AH2016">
        <v>49.767711832849002</v>
      </c>
      <c r="AI2016">
        <v>91.2644603004196</v>
      </c>
      <c r="AJ2016">
        <v>81.730079798669095</v>
      </c>
      <c r="AK2016">
        <v>50.302911661357101</v>
      </c>
      <c r="AL2016">
        <v>76.961614318859105</v>
      </c>
      <c r="AM2016">
        <v>89.199067382611005</v>
      </c>
      <c r="AN2016">
        <v>1.0000000470266599</v>
      </c>
    </row>
    <row r="2017" spans="1:40" x14ac:dyDescent="0.25">
      <c r="A2017" t="str">
        <f>"20190303170537324"</f>
        <v>20190303170537324</v>
      </c>
      <c r="B2017" t="str">
        <f>"1551603937316813"</f>
        <v>1551603937316813</v>
      </c>
      <c r="C2017" t="s">
        <v>40</v>
      </c>
      <c r="D2017">
        <v>5.1921809999999997</v>
      </c>
      <c r="E2017">
        <v>0.4776628</v>
      </c>
      <c r="F2017" t="s">
        <v>64</v>
      </c>
      <c r="G2017">
        <v>-436.64519999999999</v>
      </c>
      <c r="H2017" s="1">
        <v>5.3335109999999999E-6</v>
      </c>
      <c r="I2017">
        <v>282.67590000000001</v>
      </c>
      <c r="J2017">
        <v>-380.82470000000001</v>
      </c>
      <c r="K2017">
        <v>1.121248</v>
      </c>
      <c r="L2017">
        <v>284.6225</v>
      </c>
      <c r="M2017">
        <v>-0.9998705</v>
      </c>
      <c r="N2017">
        <v>-1.512079E-2</v>
      </c>
      <c r="O2017">
        <v>-5.5013149999999997E-3</v>
      </c>
      <c r="P2017">
        <v>-0.97747019999999996</v>
      </c>
      <c r="Q2017">
        <v>0.2109087</v>
      </c>
      <c r="R2017">
        <v>8.3218389999999993E-3</v>
      </c>
      <c r="S2017">
        <v>-3.083221</v>
      </c>
      <c r="T2017">
        <v>-6.148911E-2</v>
      </c>
      <c r="U2017">
        <v>-0.1068726</v>
      </c>
      <c r="V2017">
        <v>1.3708619999999999E-2</v>
      </c>
      <c r="W2017">
        <v>0.22566320000000001</v>
      </c>
      <c r="X2017">
        <v>0.97410890000000006</v>
      </c>
      <c r="Y2017">
        <v>-2.9132539999999998E-2</v>
      </c>
      <c r="Z2017">
        <v>-4.8424960000000001E-4</v>
      </c>
      <c r="AA2017">
        <v>0.9995754</v>
      </c>
      <c r="AB2017">
        <v>40</v>
      </c>
      <c r="AC2017">
        <v>-55.820499999999903</v>
      </c>
      <c r="AD2017">
        <v>-1.1212426664890001</v>
      </c>
      <c r="AE2017">
        <v>-1.9465999999999799</v>
      </c>
      <c r="AF2017">
        <v>-1.63878885861324</v>
      </c>
      <c r="AG2017">
        <v>-1.1212426664890001</v>
      </c>
      <c r="AH2017">
        <v>55.807875713911301</v>
      </c>
      <c r="AI2017">
        <v>91.150485681768004</v>
      </c>
      <c r="AJ2017">
        <v>91.681997555447694</v>
      </c>
      <c r="AK2017">
        <v>55.843189430221898</v>
      </c>
      <c r="AL2017">
        <v>76.9581199396263</v>
      </c>
      <c r="AM2017">
        <v>89.193730574821998</v>
      </c>
      <c r="AN2017">
        <v>0.99999997757787695</v>
      </c>
    </row>
    <row r="2018" spans="1:40" x14ac:dyDescent="0.25">
      <c r="A2018" t="str">
        <f>"20190303170537347"</f>
        <v>20190303170537347</v>
      </c>
      <c r="B2018" t="str">
        <f>"1551603937336336"</f>
        <v>1551603937336336</v>
      </c>
      <c r="C2018" t="s">
        <v>40</v>
      </c>
      <c r="D2018">
        <v>4.9592289999999997</v>
      </c>
      <c r="E2018">
        <v>0.47611500000000001</v>
      </c>
      <c r="F2018" t="s">
        <v>60</v>
      </c>
      <c r="G2018">
        <v>-441.36880000000002</v>
      </c>
      <c r="H2018" s="1">
        <v>-6.5171929999999996E-7</v>
      </c>
      <c r="I2018">
        <v>281.03269999999998</v>
      </c>
      <c r="J2018">
        <v>-381.22649999999999</v>
      </c>
      <c r="K2018">
        <v>1.121248</v>
      </c>
      <c r="L2018">
        <v>284.62029999999999</v>
      </c>
      <c r="M2018">
        <v>-0.99987060000000005</v>
      </c>
      <c r="N2018">
        <v>-1.511728E-2</v>
      </c>
      <c r="O2018">
        <v>-5.501288E-3</v>
      </c>
      <c r="P2018">
        <v>-0.97759090000000004</v>
      </c>
      <c r="Q2018">
        <v>0.21034430000000001</v>
      </c>
      <c r="R2018">
        <v>8.4363670000000002E-3</v>
      </c>
      <c r="S2018">
        <v>-3.0830380000000002</v>
      </c>
      <c r="T2018">
        <v>-5.7096359999999999E-2</v>
      </c>
      <c r="U2018">
        <v>-0.1828003</v>
      </c>
      <c r="V2018">
        <v>1.382363E-2</v>
      </c>
      <c r="W2018">
        <v>0.2250974</v>
      </c>
      <c r="X2018">
        <v>0.97423820000000005</v>
      </c>
      <c r="Y2018">
        <v>-5.3678490000000002E-2</v>
      </c>
      <c r="Z2018">
        <v>-8.840699E-4</v>
      </c>
      <c r="AA2018">
        <v>0.9985579</v>
      </c>
      <c r="AB2018">
        <v>40</v>
      </c>
      <c r="AC2018">
        <v>-60.142299999999999</v>
      </c>
      <c r="AD2018">
        <v>-1.1212486517193001</v>
      </c>
      <c r="AE2018">
        <v>-3.5876000000000001</v>
      </c>
      <c r="AF2018">
        <v>-3.25552026257047</v>
      </c>
      <c r="AG2018">
        <v>-1.1212486517193001</v>
      </c>
      <c r="AH2018">
        <v>60.140299462499101</v>
      </c>
      <c r="AI2018">
        <v>91.0665309000142</v>
      </c>
      <c r="AJ2018">
        <v>93.098516296094104</v>
      </c>
      <c r="AK2018">
        <v>60.238785098622799</v>
      </c>
      <c r="AL2018">
        <v>76.991394319701001</v>
      </c>
      <c r="AM2018">
        <v>89.187075082052104</v>
      </c>
      <c r="AN2018">
        <v>1.0000000012861801</v>
      </c>
    </row>
    <row r="2019" spans="1:40" x14ac:dyDescent="0.25">
      <c r="A2019" t="str">
        <f>"20190303170537369"</f>
        <v>20190303170537369</v>
      </c>
      <c r="B2019" t="str">
        <f>"1551603937356828"</f>
        <v>1551603937356828</v>
      </c>
      <c r="C2019" t="s">
        <v>40</v>
      </c>
      <c r="D2019">
        <v>5.1730799999999997</v>
      </c>
      <c r="E2019">
        <v>0.47535509999999997</v>
      </c>
      <c r="F2019" t="s">
        <v>64</v>
      </c>
      <c r="G2019">
        <v>-439.00979999999998</v>
      </c>
      <c r="H2019" s="1">
        <v>6.5309479999999899E-6</v>
      </c>
      <c r="I2019">
        <v>280.97320000000002</v>
      </c>
      <c r="J2019">
        <v>-381.62279999999998</v>
      </c>
      <c r="K2019">
        <v>1.1212470000000001</v>
      </c>
      <c r="L2019">
        <v>284.61810000000003</v>
      </c>
      <c r="M2019">
        <v>-0.9998707</v>
      </c>
      <c r="N2019">
        <v>-1.511352E-2</v>
      </c>
      <c r="O2019">
        <v>-5.5002979999999998E-3</v>
      </c>
      <c r="P2019">
        <v>-0.97761010000000004</v>
      </c>
      <c r="Q2019">
        <v>0.210254</v>
      </c>
      <c r="R2019">
        <v>8.4617640000000001E-3</v>
      </c>
      <c r="S2019">
        <v>-3.0833439999999999</v>
      </c>
      <c r="T2019">
        <v>-5.982995E-2</v>
      </c>
      <c r="U2019">
        <v>-0.19461059999999999</v>
      </c>
      <c r="V2019">
        <v>1.384847E-2</v>
      </c>
      <c r="W2019">
        <v>0.2250035</v>
      </c>
      <c r="X2019">
        <v>0.9742596</v>
      </c>
      <c r="Y2019">
        <v>-5.7481289999999997E-2</v>
      </c>
      <c r="Z2019">
        <v>-9.684305E-4</v>
      </c>
      <c r="AA2019">
        <v>0.99834610000000001</v>
      </c>
      <c r="AB2019">
        <v>40</v>
      </c>
      <c r="AC2019">
        <v>-57.387</v>
      </c>
      <c r="AD2019">
        <v>-1.1212404690519999</v>
      </c>
      <c r="AE2019">
        <v>-3.6448999999999998</v>
      </c>
      <c r="AF2019">
        <v>-3.3278979130394499</v>
      </c>
      <c r="AG2019">
        <v>-1.1212404690519999</v>
      </c>
      <c r="AH2019">
        <v>57.3843640145761</v>
      </c>
      <c r="AI2019">
        <v>91.117490052588096</v>
      </c>
      <c r="AJ2019">
        <v>93.319043083375703</v>
      </c>
      <c r="AK2019">
        <v>57.491715212423699</v>
      </c>
      <c r="AL2019">
        <v>76.996916840347694</v>
      </c>
      <c r="AM2019">
        <v>89.185632400945593</v>
      </c>
      <c r="AN2019">
        <v>1.0000000616628699</v>
      </c>
    </row>
    <row r="2020" spans="1:40" x14ac:dyDescent="0.25">
      <c r="A2020" t="str">
        <f>"20190303170537391"</f>
        <v>20190303170537391</v>
      </c>
      <c r="B2020" t="str">
        <f>"1551603937376763"</f>
        <v>1551603937376763</v>
      </c>
      <c r="C2020" t="s">
        <v>40</v>
      </c>
      <c r="D2020">
        <v>5.1126529999999999</v>
      </c>
      <c r="E2020">
        <v>0.47492380000000001</v>
      </c>
      <c r="F2020" t="s">
        <v>60</v>
      </c>
      <c r="G2020">
        <v>-441.39510000000001</v>
      </c>
      <c r="H2020" s="1">
        <v>-6.2485449999999995E-7</v>
      </c>
      <c r="I2020">
        <v>280.73719999999997</v>
      </c>
      <c r="J2020">
        <v>-382.02170000000001</v>
      </c>
      <c r="K2020">
        <v>1.121246</v>
      </c>
      <c r="L2020">
        <v>284.61590000000001</v>
      </c>
      <c r="M2020">
        <v>-0.99987079999999995</v>
      </c>
      <c r="N2020">
        <v>-1.510919E-2</v>
      </c>
      <c r="O2020">
        <v>-5.4917339999999999E-3</v>
      </c>
      <c r="P2020">
        <v>-0.97756399999999999</v>
      </c>
      <c r="Q2020">
        <v>0.21044550000000001</v>
      </c>
      <c r="R2020">
        <v>9.0367639999999992E-3</v>
      </c>
      <c r="S2020">
        <v>-3.082916</v>
      </c>
      <c r="T2020">
        <v>-5.783141E-2</v>
      </c>
      <c r="U2020">
        <v>-0.2001648</v>
      </c>
      <c r="V2020">
        <v>1.4416969999999999E-2</v>
      </c>
      <c r="W2020">
        <v>0.2251898</v>
      </c>
      <c r="X2020">
        <v>0.97420819999999997</v>
      </c>
      <c r="Y2020">
        <v>-5.9290130000000003E-2</v>
      </c>
      <c r="Z2020">
        <v>-9.8394939999999994E-4</v>
      </c>
      <c r="AA2020">
        <v>0.99824029999999997</v>
      </c>
      <c r="AB2020">
        <v>40</v>
      </c>
      <c r="AC2020">
        <v>-59.373399999999997</v>
      </c>
      <c r="AD2020">
        <v>-1.1212466248545001</v>
      </c>
      <c r="AE2020">
        <v>-3.87870000000003</v>
      </c>
      <c r="AF2020">
        <v>-3.5512802507127299</v>
      </c>
      <c r="AG2020">
        <v>-1.1212466248545001</v>
      </c>
      <c r="AH2020">
        <v>59.3727235399788</v>
      </c>
      <c r="AI2020">
        <v>91.079965510176706</v>
      </c>
      <c r="AJ2020">
        <v>93.422973152558797</v>
      </c>
      <c r="AK2020">
        <v>59.489403140119101</v>
      </c>
      <c r="AL2020">
        <v>76.985960084570806</v>
      </c>
      <c r="AM2020">
        <v>89.152161476424098</v>
      </c>
      <c r="AN2020">
        <v>0.99999995599762903</v>
      </c>
    </row>
    <row r="2021" spans="1:40" x14ac:dyDescent="0.25">
      <c r="A2021" t="str">
        <f>"20190303170537413"</f>
        <v>20190303170537413</v>
      </c>
      <c r="B2021" t="str">
        <f>"1551603937407020"</f>
        <v>1551603937407020</v>
      </c>
      <c r="C2021" t="s">
        <v>40</v>
      </c>
      <c r="D2021">
        <v>5.0251130000000002</v>
      </c>
      <c r="E2021">
        <v>0.47472219999999998</v>
      </c>
      <c r="F2021" t="s">
        <v>60</v>
      </c>
      <c r="G2021">
        <v>-443.03840000000002</v>
      </c>
      <c r="H2021" s="1">
        <v>2.5486240000000002E-7</v>
      </c>
      <c r="I2021">
        <v>280.61810000000003</v>
      </c>
      <c r="J2021">
        <v>-382.43130000000002</v>
      </c>
      <c r="K2021">
        <v>1.121235</v>
      </c>
      <c r="L2021">
        <v>284.61369999999999</v>
      </c>
      <c r="M2021">
        <v>-0.99987119999999996</v>
      </c>
      <c r="N2021">
        <v>-1.510133E-2</v>
      </c>
      <c r="O2021">
        <v>-5.4645429999999997E-3</v>
      </c>
      <c r="P2021">
        <v>-0.97754189999999996</v>
      </c>
      <c r="Q2021">
        <v>0.21053040000000001</v>
      </c>
      <c r="R2021">
        <v>9.4364470000000006E-3</v>
      </c>
      <c r="S2021">
        <v>-3.0829469999999999</v>
      </c>
      <c r="T2021">
        <v>-5.6652429999999997E-2</v>
      </c>
      <c r="U2021">
        <v>-0.2019958</v>
      </c>
      <c r="V2021">
        <v>1.47958E-2</v>
      </c>
      <c r="W2021">
        <v>0.22526650000000001</v>
      </c>
      <c r="X2021">
        <v>0.97418479999999996</v>
      </c>
      <c r="Y2021">
        <v>-5.99074E-2</v>
      </c>
      <c r="Z2021">
        <v>-9.848604999999999E-4</v>
      </c>
      <c r="AA2021">
        <v>0.99820350000000002</v>
      </c>
      <c r="AB2021">
        <v>40</v>
      </c>
      <c r="AC2021">
        <v>-60.607100000000003</v>
      </c>
      <c r="AD2021">
        <v>-1.1212347451375999</v>
      </c>
      <c r="AE2021">
        <v>-3.9955999999999601</v>
      </c>
      <c r="AF2021">
        <v>-3.6630642430124301</v>
      </c>
      <c r="AG2021">
        <v>-1.1212347451375999</v>
      </c>
      <c r="AH2021">
        <v>60.607378264110203</v>
      </c>
      <c r="AI2021">
        <v>91.057919327514099</v>
      </c>
      <c r="AJ2021">
        <v>93.458706367087103</v>
      </c>
      <c r="AK2021">
        <v>60.728325409573699</v>
      </c>
      <c r="AL2021">
        <v>76.981449766864898</v>
      </c>
      <c r="AM2021">
        <v>89.129865585476097</v>
      </c>
      <c r="AN2021">
        <v>0.99999996813546399</v>
      </c>
    </row>
    <row r="2022" spans="1:40" x14ac:dyDescent="0.25">
      <c r="A2022" t="str">
        <f>"20190303170537435"</f>
        <v>20190303170537435</v>
      </c>
      <c r="B2022" t="str">
        <f>"1551603937426539"</f>
        <v>1551603937426539</v>
      </c>
      <c r="C2022" t="s">
        <v>40</v>
      </c>
      <c r="D2022">
        <v>5.0691550000000003</v>
      </c>
      <c r="E2022">
        <v>0.47445029999999999</v>
      </c>
      <c r="F2022" t="s">
        <v>60</v>
      </c>
      <c r="G2022">
        <v>-442.76339999999999</v>
      </c>
      <c r="H2022" s="1">
        <v>1.069724E-7</v>
      </c>
      <c r="I2022">
        <v>280.65390000000002</v>
      </c>
      <c r="J2022">
        <v>-382.80799999999999</v>
      </c>
      <c r="K2022">
        <v>1.121219</v>
      </c>
      <c r="L2022">
        <v>284.61160000000001</v>
      </c>
      <c r="M2022">
        <v>-0.99987159999999997</v>
      </c>
      <c r="N2022">
        <v>-1.508923E-2</v>
      </c>
      <c r="O2022">
        <v>-5.4155000000000002E-3</v>
      </c>
      <c r="P2022">
        <v>-0.97757550000000004</v>
      </c>
      <c r="Q2022">
        <v>0.21036009999999999</v>
      </c>
      <c r="R2022">
        <v>9.7512069999999996E-3</v>
      </c>
      <c r="S2022">
        <v>-3.0832519999999999</v>
      </c>
      <c r="T2022">
        <v>-5.7300329999999997E-2</v>
      </c>
      <c r="U2022">
        <v>-0.20236209999999999</v>
      </c>
      <c r="V2022">
        <v>1.507235E-2</v>
      </c>
      <c r="W2022">
        <v>0.22508439999999999</v>
      </c>
      <c r="X2022">
        <v>0.9742227</v>
      </c>
      <c r="Y2022">
        <v>-6.006761E-2</v>
      </c>
      <c r="Z2022">
        <v>-9.923954E-4</v>
      </c>
      <c r="AA2022">
        <v>0.99819380000000002</v>
      </c>
      <c r="AB2022">
        <v>40</v>
      </c>
      <c r="AC2022">
        <v>-59.955399999999898</v>
      </c>
      <c r="AD2022">
        <v>-1.1212188930275999</v>
      </c>
      <c r="AE2022">
        <v>-3.95769999999998</v>
      </c>
      <c r="AF2022">
        <v>-3.6316519881876199</v>
      </c>
      <c r="AG2022">
        <v>-1.1212188930275999</v>
      </c>
      <c r="AH2022">
        <v>59.955079278461298</v>
      </c>
      <c r="AI2022">
        <v>91.069402884850007</v>
      </c>
      <c r="AJ2022">
        <v>93.466335261566797</v>
      </c>
      <c r="AK2022">
        <v>60.075432243605</v>
      </c>
      <c r="AL2022">
        <v>76.992158977763594</v>
      </c>
      <c r="AM2022">
        <v>89.113638851900404</v>
      </c>
      <c r="AN2022">
        <v>1.0000000160265801</v>
      </c>
    </row>
    <row r="2023" spans="1:40" x14ac:dyDescent="0.25">
      <c r="A2023" t="str">
        <f>"20190303170537457"</f>
        <v>20190303170537457</v>
      </c>
      <c r="B2023" t="str">
        <f>"1551603937447035"</f>
        <v>1551603937447035</v>
      </c>
      <c r="C2023" t="s">
        <v>40</v>
      </c>
      <c r="D2023">
        <v>5.0715789999999998</v>
      </c>
      <c r="E2023">
        <v>0.4742074</v>
      </c>
      <c r="F2023" t="s">
        <v>60</v>
      </c>
      <c r="G2023">
        <v>-443.26600000000002</v>
      </c>
      <c r="H2023" s="1">
        <v>3.7545539999999999E-7</v>
      </c>
      <c r="I2023">
        <v>280.63029999999998</v>
      </c>
      <c r="J2023">
        <v>-383.20530000000002</v>
      </c>
      <c r="K2023">
        <v>1.121189</v>
      </c>
      <c r="L2023">
        <v>284.60950000000003</v>
      </c>
      <c r="M2023">
        <v>-0.99987219999999999</v>
      </c>
      <c r="N2023">
        <v>-1.5068689999999999E-2</v>
      </c>
      <c r="O2023">
        <v>-5.3314340000000003E-3</v>
      </c>
      <c r="P2023">
        <v>-0.97757349999999998</v>
      </c>
      <c r="Q2023">
        <v>0.21036009999999999</v>
      </c>
      <c r="R2023">
        <v>9.9459049999999997E-3</v>
      </c>
      <c r="S2023">
        <v>-3.0831599999999999</v>
      </c>
      <c r="T2023">
        <v>-5.71785E-2</v>
      </c>
      <c r="U2023">
        <v>-0.2030334</v>
      </c>
      <c r="V2023">
        <v>1.5199020000000001E-2</v>
      </c>
      <c r="W2023">
        <v>0.22506300000000001</v>
      </c>
      <c r="X2023">
        <v>0.97422560000000002</v>
      </c>
      <c r="Y2023">
        <v>-6.0369869999999999E-2</v>
      </c>
      <c r="Z2023">
        <v>-9.9607920000000004E-4</v>
      </c>
      <c r="AA2023">
        <v>0.99817560000000005</v>
      </c>
      <c r="AB2023">
        <v>40</v>
      </c>
      <c r="AC2023">
        <v>-60.060699999999898</v>
      </c>
      <c r="AD2023">
        <v>-1.1211886245446001</v>
      </c>
      <c r="AE2023">
        <v>-3.97920000000004</v>
      </c>
      <c r="AF2023">
        <v>-3.6576283641913201</v>
      </c>
      <c r="AG2023">
        <v>-1.1211886245446001</v>
      </c>
      <c r="AH2023">
        <v>60.060225206442098</v>
      </c>
      <c r="AI2023">
        <v>91.067481245658499</v>
      </c>
      <c r="AJ2023">
        <v>93.484971412399702</v>
      </c>
      <c r="AK2023">
        <v>60.181940489077697</v>
      </c>
      <c r="AL2023">
        <v>76.993416415692707</v>
      </c>
      <c r="AM2023">
        <v>89.106193620551096</v>
      </c>
      <c r="AN2023">
        <v>0.99999994193665798</v>
      </c>
    </row>
    <row r="2024" spans="1:40" x14ac:dyDescent="0.25">
      <c r="A2024" t="str">
        <f>"20190303170537480"</f>
        <v>20190303170537480</v>
      </c>
      <c r="B2024" t="str">
        <f>"1551603937466555"</f>
        <v>1551603937466555</v>
      </c>
      <c r="C2024" t="s">
        <v>40</v>
      </c>
      <c r="D2024">
        <v>5.0455819999999996</v>
      </c>
      <c r="E2024">
        <v>0.47412510000000002</v>
      </c>
      <c r="F2024" t="s">
        <v>60</v>
      </c>
      <c r="G2024">
        <v>-444.57150000000001</v>
      </c>
      <c r="H2024" s="1">
        <v>1.073854E-6</v>
      </c>
      <c r="I2024">
        <v>280.54640000000001</v>
      </c>
      <c r="J2024">
        <v>-383.6046</v>
      </c>
      <c r="K2024">
        <v>1.121156</v>
      </c>
      <c r="L2024">
        <v>284.60750000000002</v>
      </c>
      <c r="M2024">
        <v>-0.99987329999999996</v>
      </c>
      <c r="N2024">
        <v>-1.503645E-2</v>
      </c>
      <c r="O2024">
        <v>-5.2090369999999997E-3</v>
      </c>
      <c r="P2024">
        <v>-0.97747030000000001</v>
      </c>
      <c r="Q2024">
        <v>0.2108119</v>
      </c>
      <c r="R2024">
        <v>1.0505560000000001E-2</v>
      </c>
      <c r="S2024">
        <v>-3.083008</v>
      </c>
      <c r="T2024">
        <v>-5.632794E-2</v>
      </c>
      <c r="U2024">
        <v>-0.20413210000000001</v>
      </c>
      <c r="V2024">
        <v>1.565598E-2</v>
      </c>
      <c r="W2024">
        <v>0.22548109999999999</v>
      </c>
      <c r="X2024">
        <v>0.97412169999999998</v>
      </c>
      <c r="Y2024">
        <v>-6.0849750000000001E-2</v>
      </c>
      <c r="Z2024">
        <v>-9.9649159999999994E-4</v>
      </c>
      <c r="AA2024">
        <v>0.99814639999999999</v>
      </c>
      <c r="AB2024">
        <v>40</v>
      </c>
      <c r="AC2024">
        <v>-60.966900000000003</v>
      </c>
      <c r="AD2024">
        <v>-1.1211549261460001</v>
      </c>
      <c r="AE2024">
        <v>-4.0610999999999997</v>
      </c>
      <c r="AF2024">
        <v>-3.7421701975423298</v>
      </c>
      <c r="AG2024">
        <v>-1.1211549261460001</v>
      </c>
      <c r="AH2024">
        <v>60.9667030709656</v>
      </c>
      <c r="AI2024">
        <v>91.051550672837195</v>
      </c>
      <c r="AJ2024">
        <v>93.512440162991297</v>
      </c>
      <c r="AK2024">
        <v>61.091731924206201</v>
      </c>
      <c r="AL2024">
        <v>76.968829309217298</v>
      </c>
      <c r="AM2024">
        <v>89.079227621321806</v>
      </c>
      <c r="AN2024">
        <v>0.99999996128892898</v>
      </c>
    </row>
    <row r="2025" spans="1:40" x14ac:dyDescent="0.25">
      <c r="A2025" t="str">
        <f>"20190303170537492"</f>
        <v>20190303170537492</v>
      </c>
      <c r="B2025" t="str">
        <f>"1551603937487051"</f>
        <v>1551603937487051</v>
      </c>
      <c r="C2025" t="s">
        <v>40</v>
      </c>
      <c r="D2025">
        <v>5.0416509999999999</v>
      </c>
      <c r="E2025">
        <v>0.47416979999999997</v>
      </c>
      <c r="F2025" t="s">
        <v>60</v>
      </c>
      <c r="G2025">
        <v>-448.44319999999999</v>
      </c>
      <c r="H2025" s="1">
        <v>3.1436669999999998E-6</v>
      </c>
      <c r="I2025">
        <v>280.32960000000003</v>
      </c>
      <c r="J2025">
        <v>-383.83359999999999</v>
      </c>
      <c r="K2025">
        <v>1.121135</v>
      </c>
      <c r="L2025">
        <v>284.60640000000001</v>
      </c>
      <c r="M2025">
        <v>-0.99987429999999999</v>
      </c>
      <c r="N2025">
        <v>-1.5012080000000001E-2</v>
      </c>
      <c r="O2025">
        <v>-5.1191120000000003E-3</v>
      </c>
      <c r="P2025">
        <v>-0.9773849</v>
      </c>
      <c r="Q2025">
        <v>0.2111895</v>
      </c>
      <c r="R2025">
        <v>1.085973E-2</v>
      </c>
      <c r="S2025">
        <v>-3.0827939999999998</v>
      </c>
      <c r="T2025">
        <v>-5.3305859999999997E-2</v>
      </c>
      <c r="U2025">
        <v>-0.20339969999999999</v>
      </c>
      <c r="V2025">
        <v>1.5932399999999999E-2</v>
      </c>
      <c r="W2025">
        <v>0.22583230000000001</v>
      </c>
      <c r="X2025">
        <v>0.97403589999999995</v>
      </c>
      <c r="Y2025">
        <v>-6.07095E-2</v>
      </c>
      <c r="Z2025">
        <v>-9.6890140000000001E-4</v>
      </c>
      <c r="AA2025">
        <v>0.99815500000000001</v>
      </c>
      <c r="AB2025">
        <v>40</v>
      </c>
      <c r="AC2025">
        <v>-64.6096</v>
      </c>
      <c r="AD2025">
        <v>-1.1211318563329999</v>
      </c>
      <c r="AE2025">
        <v>-4.2767999999999802</v>
      </c>
      <c r="AF2025">
        <v>-3.9447803115644899</v>
      </c>
      <c r="AG2025">
        <v>-1.1211318563329999</v>
      </c>
      <c r="AH2025">
        <v>64.611279165661301</v>
      </c>
      <c r="AI2025">
        <v>90.992246632934496</v>
      </c>
      <c r="AJ2025">
        <v>93.493802569197797</v>
      </c>
      <c r="AK2025">
        <v>64.741297668248905</v>
      </c>
      <c r="AL2025">
        <v>76.948174810726101</v>
      </c>
      <c r="AM2025">
        <v>89.062890929031994</v>
      </c>
      <c r="AN2025">
        <v>1.0000000017909201</v>
      </c>
    </row>
    <row r="2026" spans="1:40" x14ac:dyDescent="0.25">
      <c r="A2026" t="str">
        <f>"20190303170537513"</f>
        <v>20190303170537513</v>
      </c>
      <c r="B2026" t="str">
        <f>"1551603937506571"</f>
        <v>1551603937506571</v>
      </c>
      <c r="C2026" t="s">
        <v>40</v>
      </c>
      <c r="D2026">
        <v>4.8516890000000004</v>
      </c>
      <c r="E2026">
        <v>0.4741167</v>
      </c>
      <c r="F2026" t="s">
        <v>60</v>
      </c>
      <c r="G2026">
        <v>-451.76600000000002</v>
      </c>
      <c r="H2026" s="1">
        <v>-4.0174689999999999E-7</v>
      </c>
      <c r="I2026">
        <v>280.149</v>
      </c>
      <c r="J2026">
        <v>-384.2029</v>
      </c>
      <c r="K2026">
        <v>1.1210960000000001</v>
      </c>
      <c r="L2026">
        <v>284.60469999999998</v>
      </c>
      <c r="M2026">
        <v>-0.99987570000000003</v>
      </c>
      <c r="N2026">
        <v>-1.4966449999999999E-2</v>
      </c>
      <c r="O2026">
        <v>-4.9512330000000002E-3</v>
      </c>
      <c r="P2026">
        <v>-0.97742329999999999</v>
      </c>
      <c r="Q2026">
        <v>0.21098320000000001</v>
      </c>
      <c r="R2026">
        <v>1.141344E-2</v>
      </c>
      <c r="S2026">
        <v>-3.0826419999999999</v>
      </c>
      <c r="T2026">
        <v>-5.0874950000000002E-2</v>
      </c>
      <c r="U2026">
        <v>-0.20227049999999999</v>
      </c>
      <c r="V2026">
        <v>1.6339030000000001E-2</v>
      </c>
      <c r="W2026">
        <v>0.225581</v>
      </c>
      <c r="X2026">
        <v>0.97408740000000005</v>
      </c>
      <c r="Y2026">
        <v>-6.0517540000000002E-2</v>
      </c>
      <c r="Z2026">
        <v>-9.4466090000000003E-4</v>
      </c>
      <c r="AA2026">
        <v>0.99816669999999996</v>
      </c>
      <c r="AB2026">
        <v>40</v>
      </c>
      <c r="AC2026">
        <v>-67.563099999999906</v>
      </c>
      <c r="AD2026">
        <v>-1.1210964017468901</v>
      </c>
      <c r="AE2026">
        <v>-4.45569999999997</v>
      </c>
      <c r="AF2026">
        <v>-4.1199577674946397</v>
      </c>
      <c r="AG2026">
        <v>-1.1210964017468901</v>
      </c>
      <c r="AH2026">
        <v>67.565812443273899</v>
      </c>
      <c r="AI2026">
        <v>90.948840004154604</v>
      </c>
      <c r="AJ2026">
        <v>93.489401918938199</v>
      </c>
      <c r="AK2026">
        <v>67.700590250511198</v>
      </c>
      <c r="AL2026">
        <v>76.962954699816905</v>
      </c>
      <c r="AM2026">
        <v>89.039029067397806</v>
      </c>
      <c r="AN2026">
        <v>1.0000000071505499</v>
      </c>
    </row>
    <row r="2027" spans="1:40" x14ac:dyDescent="0.25">
      <c r="A2027" t="str">
        <f>"20190303170537535"</f>
        <v>20190303170537535</v>
      </c>
      <c r="B2027" t="str">
        <f>"1551603937527068"</f>
        <v>1551603937527068</v>
      </c>
      <c r="C2027" t="s">
        <v>40</v>
      </c>
      <c r="D2027">
        <v>4.8783859999999999</v>
      </c>
      <c r="E2027">
        <v>0.47418070000000001</v>
      </c>
      <c r="F2027" t="s">
        <v>60</v>
      </c>
      <c r="G2027">
        <v>-452.61079999999998</v>
      </c>
      <c r="H2027" s="1">
        <v>4.8241009999999998E-8</v>
      </c>
      <c r="I2027">
        <v>280.13959999999997</v>
      </c>
      <c r="J2027">
        <v>-384.59800000000001</v>
      </c>
      <c r="K2027">
        <v>1.1210560000000001</v>
      </c>
      <c r="L2027">
        <v>284.60289999999998</v>
      </c>
      <c r="M2027">
        <v>-0.99987780000000004</v>
      </c>
      <c r="N2027">
        <v>-1.490939E-2</v>
      </c>
      <c r="O2027">
        <v>-4.7431219999999998E-3</v>
      </c>
      <c r="P2027">
        <v>-0.97748460000000004</v>
      </c>
      <c r="Q2027">
        <v>0.2106442</v>
      </c>
      <c r="R2027">
        <v>1.237865E-2</v>
      </c>
      <c r="S2027">
        <v>-3.0825499999999999</v>
      </c>
      <c r="T2027">
        <v>-5.051804E-2</v>
      </c>
      <c r="U2027">
        <v>-0.2012024</v>
      </c>
      <c r="V2027">
        <v>1.711704E-2</v>
      </c>
      <c r="W2027">
        <v>0.22518569999999999</v>
      </c>
      <c r="X2027">
        <v>0.97416550000000002</v>
      </c>
      <c r="Y2027">
        <v>-6.0383060000000002E-2</v>
      </c>
      <c r="Z2027">
        <v>-9.3793719999999998E-4</v>
      </c>
      <c r="AA2027">
        <v>0.99817480000000003</v>
      </c>
      <c r="AB2027">
        <v>40</v>
      </c>
      <c r="AC2027">
        <v>-68.012799999999899</v>
      </c>
      <c r="AD2027">
        <v>-1.12105595175899</v>
      </c>
      <c r="AE2027">
        <v>-4.4633000000000003</v>
      </c>
      <c r="AF2027">
        <v>-4.1395011416135201</v>
      </c>
      <c r="AG2027">
        <v>-1.12105595175899</v>
      </c>
      <c r="AH2027">
        <v>68.014807415194895</v>
      </c>
      <c r="AI2027">
        <v>90.942550023389401</v>
      </c>
      <c r="AJ2027">
        <v>93.4828261286805</v>
      </c>
      <c r="AK2027">
        <v>68.149880879385606</v>
      </c>
      <c r="AL2027">
        <v>76.986201864922293</v>
      </c>
      <c r="AM2027">
        <v>88.993360739961702</v>
      </c>
      <c r="AN2027">
        <v>1.00000000696655</v>
      </c>
    </row>
    <row r="2028" spans="1:40" x14ac:dyDescent="0.25">
      <c r="A2028" t="str">
        <f>"20190303170537549"</f>
        <v>20190303170537549</v>
      </c>
      <c r="B2028" t="str">
        <f>"1551603937536827"</f>
        <v>1551603937536827</v>
      </c>
      <c r="C2028" t="s">
        <v>40</v>
      </c>
      <c r="D2028">
        <v>4.9634989999999997</v>
      </c>
      <c r="E2028">
        <v>0.47418979999999999</v>
      </c>
      <c r="F2028" t="s">
        <v>60</v>
      </c>
      <c r="G2028">
        <v>-451.81040000000002</v>
      </c>
      <c r="H2028" s="1">
        <v>-3.8461909999999998E-7</v>
      </c>
      <c r="I2028">
        <v>280.29790000000003</v>
      </c>
      <c r="J2028">
        <v>-384.83210000000003</v>
      </c>
      <c r="K2028">
        <v>1.121035</v>
      </c>
      <c r="L2028">
        <v>284.6019</v>
      </c>
      <c r="M2028">
        <v>-0.99987890000000001</v>
      </c>
      <c r="N2028">
        <v>-1.4873000000000001E-2</v>
      </c>
      <c r="O2028">
        <v>-4.6086110000000003E-3</v>
      </c>
      <c r="P2028">
        <v>-0.97739960000000004</v>
      </c>
      <c r="Q2028">
        <v>0.21100140000000001</v>
      </c>
      <c r="R2028">
        <v>1.299258E-2</v>
      </c>
      <c r="S2028">
        <v>-3.0826720000000001</v>
      </c>
      <c r="T2028">
        <v>-5.1416870000000003E-2</v>
      </c>
      <c r="U2028">
        <v>-0.1974487</v>
      </c>
      <c r="V2028">
        <v>1.7607660000000001E-2</v>
      </c>
      <c r="W2028">
        <v>0.22550529999999999</v>
      </c>
      <c r="X2028">
        <v>0.97408280000000003</v>
      </c>
      <c r="Y2028">
        <v>-5.9304250000000003E-2</v>
      </c>
      <c r="Z2028">
        <v>-9.2728479999999996E-4</v>
      </c>
      <c r="AA2028">
        <v>0.99823949999999995</v>
      </c>
      <c r="AB2028">
        <v>40</v>
      </c>
      <c r="AC2028">
        <v>-66.978299999999905</v>
      </c>
      <c r="AD2028">
        <v>-1.1210353846190999</v>
      </c>
      <c r="AE2028">
        <v>-4.3039999999999701</v>
      </c>
      <c r="AF2028">
        <v>-3.9941289445977</v>
      </c>
      <c r="AG2028">
        <v>-1.1210353846190999</v>
      </c>
      <c r="AH2028">
        <v>66.978740146585395</v>
      </c>
      <c r="AI2028">
        <v>90.957180303593702</v>
      </c>
      <c r="AJ2028">
        <v>93.412665619391902</v>
      </c>
      <c r="AK2028">
        <v>67.107089178293606</v>
      </c>
      <c r="AL2028">
        <v>76.967406418985107</v>
      </c>
      <c r="AM2028">
        <v>88.964426075819006</v>
      </c>
      <c r="AN2028">
        <v>0.99999998563730197</v>
      </c>
    </row>
    <row r="2029" spans="1:40" x14ac:dyDescent="0.25">
      <c r="A2029" t="str">
        <f>"20190303170537570"</f>
        <v>20190303170537570</v>
      </c>
      <c r="B2029" t="str">
        <f>"1551603937556347"</f>
        <v>1551603937556347</v>
      </c>
      <c r="C2029" t="s">
        <v>40</v>
      </c>
      <c r="D2029">
        <v>4.9577499999999999</v>
      </c>
      <c r="E2029">
        <v>0.47408410000000001</v>
      </c>
      <c r="F2029" t="s">
        <v>60</v>
      </c>
      <c r="G2029">
        <v>-455.02050000000003</v>
      </c>
      <c r="H2029" s="1">
        <v>1.3309550000000001E-6</v>
      </c>
      <c r="I2029">
        <v>280.13049999999998</v>
      </c>
      <c r="J2029">
        <v>-385.19900000000001</v>
      </c>
      <c r="K2029">
        <v>1.1210020000000001</v>
      </c>
      <c r="L2029">
        <v>284.60050000000001</v>
      </c>
      <c r="M2029">
        <v>-0.99988060000000001</v>
      </c>
      <c r="N2029">
        <v>-1.4813679999999999E-2</v>
      </c>
      <c r="O2029">
        <v>-4.3842220000000001E-3</v>
      </c>
      <c r="P2029">
        <v>-0.97744549999999997</v>
      </c>
      <c r="Q2029">
        <v>0.2107356</v>
      </c>
      <c r="R2029">
        <v>1.380806E-2</v>
      </c>
      <c r="S2029">
        <v>-3.0825809999999998</v>
      </c>
      <c r="T2029">
        <v>-4.9234269999999997E-2</v>
      </c>
      <c r="U2029">
        <v>-0.19638059999999999</v>
      </c>
      <c r="V2029">
        <v>1.8214379999999999E-2</v>
      </c>
      <c r="W2029">
        <v>0.22518150000000001</v>
      </c>
      <c r="X2029">
        <v>0.97414650000000003</v>
      </c>
      <c r="Y2029">
        <v>-5.9186719999999998E-2</v>
      </c>
      <c r="Z2029">
        <v>-9.0599859999999997E-4</v>
      </c>
      <c r="AA2029">
        <v>0.99824650000000004</v>
      </c>
      <c r="AB2029">
        <v>40</v>
      </c>
      <c r="AC2029">
        <v>-69.8215</v>
      </c>
      <c r="AD2029">
        <v>-1.1210006690449901</v>
      </c>
      <c r="AE2029">
        <v>-4.4700000000000202</v>
      </c>
      <c r="AF2029">
        <v>-4.1627418103790799</v>
      </c>
      <c r="AG2029">
        <v>-1.1210006690449901</v>
      </c>
      <c r="AH2029">
        <v>69.822503717274202</v>
      </c>
      <c r="AI2029">
        <v>90.918174959971395</v>
      </c>
      <c r="AJ2029">
        <v>93.411873543238997</v>
      </c>
      <c r="AK2029">
        <v>69.955465027606294</v>
      </c>
      <c r="AL2029">
        <v>76.986447931098198</v>
      </c>
      <c r="AM2029">
        <v>88.928820759023196</v>
      </c>
      <c r="AN2029">
        <v>0.99999993752163996</v>
      </c>
    </row>
    <row r="2030" spans="1:40" x14ac:dyDescent="0.25">
      <c r="A2030" t="str">
        <f>"20190303170537592"</f>
        <v>20190303170537592</v>
      </c>
      <c r="B2030" t="str">
        <f>"1551603937586603"</f>
        <v>1551603937586603</v>
      </c>
      <c r="C2030" t="s">
        <v>40</v>
      </c>
      <c r="D2030">
        <v>4.9474619999999998</v>
      </c>
      <c r="E2030">
        <v>0.44923940000000001</v>
      </c>
      <c r="F2030" t="s">
        <v>60</v>
      </c>
      <c r="G2030">
        <v>-457.2713</v>
      </c>
      <c r="H2030" s="1">
        <v>2.5329790000000002E-6</v>
      </c>
      <c r="I2030">
        <v>280.0335</v>
      </c>
      <c r="J2030">
        <v>-385.59899999999999</v>
      </c>
      <c r="K2030">
        <v>1.120978</v>
      </c>
      <c r="L2030">
        <v>284.59890000000001</v>
      </c>
      <c r="M2030">
        <v>-0.99988279999999996</v>
      </c>
      <c r="N2030">
        <v>-1.474732E-2</v>
      </c>
      <c r="O2030">
        <v>-4.1275419999999997E-3</v>
      </c>
      <c r="P2030">
        <v>-0.97754700000000005</v>
      </c>
      <c r="Q2030">
        <v>0.2102329</v>
      </c>
      <c r="R2030">
        <v>1.428402E-2</v>
      </c>
      <c r="S2030">
        <v>-3.082306</v>
      </c>
      <c r="T2030">
        <v>-4.7941570000000003E-2</v>
      </c>
      <c r="U2030">
        <v>-0.1953125</v>
      </c>
      <c r="V2030">
        <v>1.844844E-2</v>
      </c>
      <c r="W2030">
        <v>0.2246146</v>
      </c>
      <c r="X2030">
        <v>0.97427299999999994</v>
      </c>
      <c r="Y2030">
        <v>-5.9104709999999998E-2</v>
      </c>
      <c r="Z2030">
        <v>-8.9217880000000004E-4</v>
      </c>
      <c r="AA2030">
        <v>0.99825140000000001</v>
      </c>
      <c r="AB2030">
        <v>40</v>
      </c>
      <c r="AC2030">
        <v>-71.672300000000007</v>
      </c>
      <c r="AD2030">
        <v>-1.1209754670209999</v>
      </c>
      <c r="AE2030">
        <v>-4.5654000000000101</v>
      </c>
      <c r="AF2030">
        <v>-4.2684585938356303</v>
      </c>
      <c r="AG2030">
        <v>-1.1209754670209999</v>
      </c>
      <c r="AH2030">
        <v>71.673073547990697</v>
      </c>
      <c r="AI2030">
        <v>90.894455266826398</v>
      </c>
      <c r="AJ2030">
        <v>93.408199590939702</v>
      </c>
      <c r="AK2030">
        <v>71.808814198402104</v>
      </c>
      <c r="AL2030">
        <v>77.019783317926297</v>
      </c>
      <c r="AM2030">
        <v>88.915199903786302</v>
      </c>
      <c r="AN2030">
        <v>0.99999997100029603</v>
      </c>
    </row>
    <row r="2031" spans="1:40" x14ac:dyDescent="0.25">
      <c r="A2031" t="str">
        <f>"20190303170537614"</f>
        <v>20190303170537614</v>
      </c>
      <c r="B2031" t="str">
        <f>"1551603937607100"</f>
        <v>1551603937607100</v>
      </c>
      <c r="C2031" t="s">
        <v>40</v>
      </c>
      <c r="D2031">
        <v>4.9324399999999997</v>
      </c>
      <c r="E2031">
        <v>0.44729679999999999</v>
      </c>
      <c r="F2031" t="s">
        <v>68</v>
      </c>
      <c r="G2031">
        <v>-512.82560000000001</v>
      </c>
      <c r="H2031">
        <v>1.40195</v>
      </c>
      <c r="I2031">
        <v>268.45760000000001</v>
      </c>
      <c r="J2031">
        <v>-385.99439999999998</v>
      </c>
      <c r="K2031">
        <v>1.1209610000000001</v>
      </c>
      <c r="L2031">
        <v>284.59750000000003</v>
      </c>
      <c r="M2031">
        <v>-0.99988489999999997</v>
      </c>
      <c r="N2031">
        <v>-1.468327E-2</v>
      </c>
      <c r="O2031">
        <v>-3.8672540000000001E-3</v>
      </c>
      <c r="P2031">
        <v>-0.97768829999999995</v>
      </c>
      <c r="Q2031">
        <v>0.20958019999999999</v>
      </c>
      <c r="R2031">
        <v>1.422459E-2</v>
      </c>
      <c r="S2031">
        <v>-3.0731510000000002</v>
      </c>
      <c r="T2031">
        <v>6.7887310000000001E-3</v>
      </c>
      <c r="U2031">
        <v>-0.38989259999999998</v>
      </c>
      <c r="V2031">
        <v>1.814166E-2</v>
      </c>
      <c r="W2031">
        <v>0.22390180000000001</v>
      </c>
      <c r="X2031">
        <v>0.97444280000000005</v>
      </c>
      <c r="Y2031">
        <v>-0.1220261</v>
      </c>
      <c r="Z2031">
        <v>-8.3031890000000001E-4</v>
      </c>
      <c r="AA2031">
        <v>0.99252649999999998</v>
      </c>
      <c r="AB2031">
        <v>40</v>
      </c>
      <c r="AC2031">
        <v>-126.8312</v>
      </c>
      <c r="AD2031">
        <v>0.28098899999999899</v>
      </c>
      <c r="AE2031">
        <v>-16.139900000000001</v>
      </c>
      <c r="AF2031">
        <v>-15.649162438024399</v>
      </c>
      <c r="AG2031">
        <v>0.28098899999999899</v>
      </c>
      <c r="AH2031">
        <v>126.892062288963</v>
      </c>
      <c r="AI2031">
        <v>89.874078765716206</v>
      </c>
      <c r="AJ2031">
        <v>97.030591432500799</v>
      </c>
      <c r="AK2031">
        <v>127.853708244133</v>
      </c>
      <c r="AL2031">
        <v>77.061690919696005</v>
      </c>
      <c r="AM2031">
        <v>88.933420737714798</v>
      </c>
      <c r="AN2031">
        <v>0.99999995317131596</v>
      </c>
    </row>
    <row r="2032" spans="1:40" x14ac:dyDescent="0.25">
      <c r="A2032" t="str">
        <f>"20190303170537627"</f>
        <v>20190303170537627</v>
      </c>
      <c r="B2032" t="str">
        <f>"1551603937616859"</f>
        <v>1551603937616859</v>
      </c>
      <c r="C2032" t="s">
        <v>40</v>
      </c>
      <c r="D2032">
        <v>4.9161919999999997</v>
      </c>
      <c r="E2032">
        <v>0.44687090000000002</v>
      </c>
      <c r="F2032" t="s">
        <v>68</v>
      </c>
      <c r="G2032">
        <v>-512.82560000000001</v>
      </c>
      <c r="H2032">
        <v>1.3684069999999999</v>
      </c>
      <c r="I2032">
        <v>267.85359999999997</v>
      </c>
      <c r="J2032">
        <v>-386.226</v>
      </c>
      <c r="K2032">
        <v>1.120949</v>
      </c>
      <c r="L2032">
        <v>284.59679999999997</v>
      </c>
      <c r="M2032">
        <v>-0.99988589999999999</v>
      </c>
      <c r="N2032">
        <v>-1.46474E-2</v>
      </c>
      <c r="O2032">
        <v>-3.7130079999999998E-3</v>
      </c>
      <c r="P2032">
        <v>-0.97770400000000002</v>
      </c>
      <c r="Q2032">
        <v>0.20948079999999999</v>
      </c>
      <c r="R2032">
        <v>1.4587040000000001E-2</v>
      </c>
      <c r="S2032">
        <v>-3.0730900000000001</v>
      </c>
      <c r="T2032">
        <v>5.9974190000000004E-3</v>
      </c>
      <c r="U2032">
        <v>-0.40570070000000003</v>
      </c>
      <c r="V2032">
        <v>1.835647E-2</v>
      </c>
      <c r="W2032">
        <v>0.22376699999999999</v>
      </c>
      <c r="X2032">
        <v>0.97446980000000005</v>
      </c>
      <c r="Y2032">
        <v>-0.12720119999999999</v>
      </c>
      <c r="Z2032">
        <v>-8.7343749999999997E-4</v>
      </c>
      <c r="AA2032">
        <v>0.99187650000000005</v>
      </c>
      <c r="AB2032">
        <v>40</v>
      </c>
      <c r="AC2032">
        <v>-126.5996</v>
      </c>
      <c r="AD2032">
        <v>0.24745800000000001</v>
      </c>
      <c r="AE2032">
        <v>-16.743200000000002</v>
      </c>
      <c r="AF2032">
        <v>-16.272907729086999</v>
      </c>
      <c r="AG2032">
        <v>0.24745800000000001</v>
      </c>
      <c r="AH2032">
        <v>126.660425825144</v>
      </c>
      <c r="AI2032">
        <v>89.888973252657294</v>
      </c>
      <c r="AJ2032">
        <v>97.321064728785004</v>
      </c>
      <c r="AK2032">
        <v>127.701731513821</v>
      </c>
      <c r="AL2032">
        <v>77.069616215690203</v>
      </c>
      <c r="AM2032">
        <v>88.920824554155701</v>
      </c>
      <c r="AN2032">
        <v>1.0000000106959499</v>
      </c>
    </row>
    <row r="2033" spans="1:40" x14ac:dyDescent="0.25">
      <c r="A2033" t="str">
        <f>"20190303170537647"</f>
        <v>20190303170537647</v>
      </c>
      <c r="B2033" t="str">
        <f>"1551603937636379"</f>
        <v>1551603937636379</v>
      </c>
      <c r="C2033" t="s">
        <v>40</v>
      </c>
      <c r="D2033">
        <v>4.8975379999999999</v>
      </c>
      <c r="E2033">
        <v>0.44644410000000001</v>
      </c>
      <c r="F2033" t="s">
        <v>68</v>
      </c>
      <c r="G2033">
        <v>-512.82560000000001</v>
      </c>
      <c r="H2033">
        <v>1.258626</v>
      </c>
      <c r="I2033">
        <v>267.79570000000001</v>
      </c>
      <c r="J2033">
        <v>-386.57389999999998</v>
      </c>
      <c r="K2033">
        <v>1.120935</v>
      </c>
      <c r="L2033">
        <v>284.59570000000002</v>
      </c>
      <c r="M2033">
        <v>-0.99988750000000004</v>
      </c>
      <c r="N2033">
        <v>-1.459596E-2</v>
      </c>
      <c r="O2033">
        <v>-3.4813829999999998E-3</v>
      </c>
      <c r="P2033">
        <v>-0.97769870000000003</v>
      </c>
      <c r="Q2033">
        <v>0.20949090000000001</v>
      </c>
      <c r="R2033">
        <v>1.4814859999999999E-2</v>
      </c>
      <c r="S2033">
        <v>-3.0738219999999998</v>
      </c>
      <c r="T2033">
        <v>3.3446550000000002E-3</v>
      </c>
      <c r="U2033">
        <v>-0.40792850000000003</v>
      </c>
      <c r="V2033">
        <v>1.8362110000000001E-2</v>
      </c>
      <c r="W2033">
        <v>0.2237266</v>
      </c>
      <c r="X2033">
        <v>0.97447899999999998</v>
      </c>
      <c r="Y2033">
        <v>-0.1281061</v>
      </c>
      <c r="Z2033">
        <v>-9.2401950000000005E-4</v>
      </c>
      <c r="AA2033">
        <v>0.99175999999999997</v>
      </c>
      <c r="AB2033">
        <v>40</v>
      </c>
      <c r="AC2033">
        <v>-126.2517</v>
      </c>
      <c r="AD2033">
        <v>0.13769100000000001</v>
      </c>
      <c r="AE2033">
        <v>-16.8</v>
      </c>
      <c r="AF2033">
        <v>-16.360301738608701</v>
      </c>
      <c r="AG2033">
        <v>0.13769100000000001</v>
      </c>
      <c r="AH2033">
        <v>126.3092805868</v>
      </c>
      <c r="AI2033">
        <v>89.938058756881105</v>
      </c>
      <c r="AJ2033">
        <v>97.380188428045898</v>
      </c>
      <c r="AK2033">
        <v>127.364487963266</v>
      </c>
      <c r="AL2033">
        <v>77.071991562702095</v>
      </c>
      <c r="AM2033">
        <v>88.9205032465958</v>
      </c>
      <c r="AN2033">
        <v>1.0000000400361</v>
      </c>
    </row>
    <row r="2034" spans="1:40" x14ac:dyDescent="0.25">
      <c r="A2034" t="str">
        <f>"20190303170537659"</f>
        <v>20190303170537659</v>
      </c>
      <c r="B2034" t="str">
        <f>"1551603937647115"</f>
        <v>1551603937647115</v>
      </c>
      <c r="C2034" t="s">
        <v>40</v>
      </c>
      <c r="D2034">
        <v>4.8740769999999998</v>
      </c>
      <c r="E2034">
        <v>0.44630219999999998</v>
      </c>
      <c r="F2034" t="s">
        <v>68</v>
      </c>
      <c r="G2034">
        <v>-512.82560000000001</v>
      </c>
      <c r="H2034">
        <v>1.317461</v>
      </c>
      <c r="I2034">
        <v>267.73570000000001</v>
      </c>
      <c r="J2034">
        <v>-386.798</v>
      </c>
      <c r="K2034">
        <v>1.12093</v>
      </c>
      <c r="L2034">
        <v>284.5951</v>
      </c>
      <c r="M2034">
        <v>-0.99988849999999996</v>
      </c>
      <c r="N2034">
        <v>-1.4563110000000001E-2</v>
      </c>
      <c r="O2034">
        <v>-3.332078E-3</v>
      </c>
      <c r="P2034">
        <v>-0.97767859999999995</v>
      </c>
      <c r="Q2034">
        <v>0.20957290000000001</v>
      </c>
      <c r="R2034">
        <v>1.496722E-2</v>
      </c>
      <c r="S2034">
        <v>-3.073639</v>
      </c>
      <c r="T2034">
        <v>4.7863719999999997E-3</v>
      </c>
      <c r="U2034">
        <v>-0.41046139999999998</v>
      </c>
      <c r="V2034">
        <v>1.8370689999999999E-2</v>
      </c>
      <c r="W2034">
        <v>0.2237758</v>
      </c>
      <c r="X2034">
        <v>0.97446750000000004</v>
      </c>
      <c r="Y2034">
        <v>-0.12906529999999999</v>
      </c>
      <c r="Z2034">
        <v>-8.9742740000000004E-4</v>
      </c>
      <c r="AA2034">
        <v>0.99163570000000001</v>
      </c>
      <c r="AB2034">
        <v>40</v>
      </c>
      <c r="AC2034">
        <v>-126.02760000000001</v>
      </c>
      <c r="AD2034">
        <v>0.19653099999999901</v>
      </c>
      <c r="AE2034">
        <v>-16.859399999999901</v>
      </c>
      <c r="AF2034">
        <v>-16.439288823400499</v>
      </c>
      <c r="AG2034">
        <v>0.19653099999999901</v>
      </c>
      <c r="AH2034">
        <v>126.082781792399</v>
      </c>
      <c r="AI2034">
        <v>89.911440114707602</v>
      </c>
      <c r="AJ2034">
        <v>97.428596775724799</v>
      </c>
      <c r="AK2034">
        <v>127.150134510203</v>
      </c>
      <c r="AL2034">
        <v>77.069098750254398</v>
      </c>
      <c r="AM2034">
        <v>88.919986210888098</v>
      </c>
      <c r="AN2034">
        <v>0.99999999973648301</v>
      </c>
    </row>
    <row r="2035" spans="1:40" x14ac:dyDescent="0.25">
      <c r="A2035" t="str">
        <f>"20190303170537672"</f>
        <v>20190303170537672</v>
      </c>
      <c r="B2035" t="str">
        <f>"1551603937666635"</f>
        <v>1551603937666635</v>
      </c>
      <c r="C2035" t="s">
        <v>40</v>
      </c>
      <c r="D2035">
        <v>4.8336589999999999</v>
      </c>
      <c r="E2035">
        <v>0.44617820000000002</v>
      </c>
      <c r="F2035" t="s">
        <v>68</v>
      </c>
      <c r="G2035">
        <v>-512.82560000000001</v>
      </c>
      <c r="H2035">
        <v>1.3530519999999999</v>
      </c>
      <c r="I2035">
        <v>267.7484</v>
      </c>
      <c r="J2035">
        <v>-387.0197</v>
      </c>
      <c r="K2035">
        <v>1.1209290000000001</v>
      </c>
      <c r="L2035">
        <v>284.59449999999998</v>
      </c>
      <c r="M2035">
        <v>-0.99988940000000004</v>
      </c>
      <c r="N2035">
        <v>-1.453106E-2</v>
      </c>
      <c r="O2035">
        <v>-3.1845760000000002E-3</v>
      </c>
      <c r="P2035">
        <v>-0.97750879999999996</v>
      </c>
      <c r="Q2035">
        <v>0.21035809999999999</v>
      </c>
      <c r="R2035">
        <v>1.503373E-2</v>
      </c>
      <c r="S2035">
        <v>-3.0735779999999999</v>
      </c>
      <c r="T2035">
        <v>5.6629180000000003E-3</v>
      </c>
      <c r="U2035">
        <v>-0.41085820000000001</v>
      </c>
      <c r="V2035">
        <v>1.8294979999999999E-2</v>
      </c>
      <c r="W2035">
        <v>0.2245277</v>
      </c>
      <c r="X2035">
        <v>0.97429600000000005</v>
      </c>
      <c r="Y2035">
        <v>-0.12934010000000001</v>
      </c>
      <c r="Z2035">
        <v>-8.7722179999999905E-4</v>
      </c>
      <c r="AA2035">
        <v>0.99159989999999998</v>
      </c>
      <c r="AB2035">
        <v>40</v>
      </c>
      <c r="AC2035">
        <v>-125.80589999999999</v>
      </c>
      <c r="AD2035">
        <v>0.232123</v>
      </c>
      <c r="AE2035">
        <v>-16.8460999999999</v>
      </c>
      <c r="AF2035">
        <v>-16.4452788267476</v>
      </c>
      <c r="AG2035">
        <v>0.232123</v>
      </c>
      <c r="AH2035">
        <v>125.858494360519</v>
      </c>
      <c r="AI2035">
        <v>89.895219210892805</v>
      </c>
      <c r="AJ2035">
        <v>97.444367863009205</v>
      </c>
      <c r="AK2035">
        <v>126.928569201237</v>
      </c>
      <c r="AL2035">
        <v>77.024893806794694</v>
      </c>
      <c r="AM2035">
        <v>88.924246876703094</v>
      </c>
      <c r="AN2035">
        <v>1.00000004498824</v>
      </c>
    </row>
    <row r="2036" spans="1:40" x14ac:dyDescent="0.25">
      <c r="A2036" t="str">
        <f>"20190303170537692"</f>
        <v>20190303170537692</v>
      </c>
      <c r="B2036" t="str">
        <f>"1551603937687130"</f>
        <v>1551603937687130</v>
      </c>
      <c r="C2036" t="s">
        <v>40</v>
      </c>
      <c r="D2036">
        <v>4.8576129999999997</v>
      </c>
      <c r="E2036">
        <v>0.4461138</v>
      </c>
      <c r="F2036" t="s">
        <v>68</v>
      </c>
      <c r="G2036">
        <v>-512.82569999999998</v>
      </c>
      <c r="H2036">
        <v>1.508805</v>
      </c>
      <c r="I2036">
        <v>267.7534</v>
      </c>
      <c r="J2036">
        <v>-387.37630000000001</v>
      </c>
      <c r="K2036">
        <v>1.1209199999999999</v>
      </c>
      <c r="L2036">
        <v>284.59350000000001</v>
      </c>
      <c r="M2036">
        <v>-0.99989079999999997</v>
      </c>
      <c r="N2036">
        <v>-1.447941E-2</v>
      </c>
      <c r="O2036">
        <v>-2.9477510000000002E-3</v>
      </c>
      <c r="P2036">
        <v>-0.97746909999999998</v>
      </c>
      <c r="Q2036">
        <v>0.21054419999999999</v>
      </c>
      <c r="R2036">
        <v>1.500458E-2</v>
      </c>
      <c r="S2036">
        <v>-3.0733030000000001</v>
      </c>
      <c r="T2036">
        <v>9.4772580000000006E-3</v>
      </c>
      <c r="U2036">
        <v>-0.41140749999999998</v>
      </c>
      <c r="V2036">
        <v>1.8037149999999998E-2</v>
      </c>
      <c r="W2036">
        <v>0.22466249999999999</v>
      </c>
      <c r="X2036">
        <v>0.97426970000000002</v>
      </c>
      <c r="Y2036">
        <v>-0.1297615</v>
      </c>
      <c r="Z2036">
        <v>-7.9600639999999996E-4</v>
      </c>
      <c r="AA2036">
        <v>0.99154489999999995</v>
      </c>
      <c r="AB2036">
        <v>39</v>
      </c>
      <c r="AC2036">
        <v>-125.449399999999</v>
      </c>
      <c r="AD2036">
        <v>0.38788499999999898</v>
      </c>
      <c r="AE2036">
        <v>-16.8401</v>
      </c>
      <c r="AF2036">
        <v>-16.470039777263001</v>
      </c>
      <c r="AG2036">
        <v>0.38788499999999898</v>
      </c>
      <c r="AH2036">
        <v>125.49732193476299</v>
      </c>
      <c r="AI2036">
        <v>89.824417343186795</v>
      </c>
      <c r="AJ2036">
        <v>97.476664382075398</v>
      </c>
      <c r="AK2036">
        <v>126.57405136059801</v>
      </c>
      <c r="AL2036">
        <v>77.016967422588706</v>
      </c>
      <c r="AM2036">
        <v>88.939375286155496</v>
      </c>
      <c r="AN2036">
        <v>1.00000001301223</v>
      </c>
    </row>
    <row r="2037" spans="1:40" x14ac:dyDescent="0.25">
      <c r="A2037" t="str">
        <f>"20190303170537714"</f>
        <v>20190303170537714</v>
      </c>
      <c r="B2037" t="str">
        <f>"1551603937706651"</f>
        <v>1551603937706651</v>
      </c>
      <c r="C2037" t="s">
        <v>40</v>
      </c>
      <c r="D2037">
        <v>4.8485889999999996</v>
      </c>
      <c r="E2037">
        <v>0.44598490000000002</v>
      </c>
      <c r="F2037" t="s">
        <v>68</v>
      </c>
      <c r="G2037">
        <v>-512.82569999999998</v>
      </c>
      <c r="H2037">
        <v>1.55704</v>
      </c>
      <c r="I2037">
        <v>267.78089999999997</v>
      </c>
      <c r="J2037">
        <v>-387.7559</v>
      </c>
      <c r="K2037">
        <v>1.1209039999999999</v>
      </c>
      <c r="L2037">
        <v>284.59269999999998</v>
      </c>
      <c r="M2037">
        <v>-0.99989240000000001</v>
      </c>
      <c r="N2037">
        <v>-1.442423E-2</v>
      </c>
      <c r="O2037">
        <v>-2.696253E-3</v>
      </c>
      <c r="P2037">
        <v>-0.97752640000000002</v>
      </c>
      <c r="Q2037">
        <v>0.21028620000000001</v>
      </c>
      <c r="R2037">
        <v>1.4899300000000001E-2</v>
      </c>
      <c r="S2037">
        <v>-3.0731809999999999</v>
      </c>
      <c r="T2037">
        <v>1.0685679999999999E-2</v>
      </c>
      <c r="U2037">
        <v>-0.41186519999999999</v>
      </c>
      <c r="V2037">
        <v>1.7688679999999998E-2</v>
      </c>
      <c r="W2037">
        <v>0.22435160000000001</v>
      </c>
      <c r="X2037">
        <v>0.97434770000000004</v>
      </c>
      <c r="Y2037">
        <v>-0.13016130000000001</v>
      </c>
      <c r="Z2037">
        <v>-7.6572830000000002E-4</v>
      </c>
      <c r="AA2037">
        <v>0.9914925</v>
      </c>
      <c r="AB2037">
        <v>39</v>
      </c>
      <c r="AC2037">
        <v>-125.0698</v>
      </c>
      <c r="AD2037">
        <v>0.43613599999999902</v>
      </c>
      <c r="AE2037">
        <v>-16.811800000000002</v>
      </c>
      <c r="AF2037">
        <v>-16.4742872176761</v>
      </c>
      <c r="AG2037">
        <v>0.43613599999999902</v>
      </c>
      <c r="AH2037">
        <v>125.11318447527501</v>
      </c>
      <c r="AI2037">
        <v>89.801980910765906</v>
      </c>
      <c r="AJ2037">
        <v>97.5012712184013</v>
      </c>
      <c r="AK2037">
        <v>126.193903511561</v>
      </c>
      <c r="AL2037">
        <v>77.035246953632907</v>
      </c>
      <c r="AM2037">
        <v>88.959944803083204</v>
      </c>
      <c r="AN2037">
        <v>0.99999998515899602</v>
      </c>
    </row>
    <row r="2038" spans="1:40" x14ac:dyDescent="0.25">
      <c r="A2038" t="str">
        <f>"20190303170537735"</f>
        <v>20190303170537735</v>
      </c>
      <c r="B2038" t="str">
        <f>"1551603937727148"</f>
        <v>1551603937727148</v>
      </c>
      <c r="C2038" t="s">
        <v>40</v>
      </c>
      <c r="D2038">
        <v>4.8193619999999999</v>
      </c>
      <c r="E2038">
        <v>0.44590429999999998</v>
      </c>
      <c r="F2038" t="s">
        <v>68</v>
      </c>
      <c r="G2038">
        <v>-512.82569999999998</v>
      </c>
      <c r="H2038">
        <v>1.5709770000000001</v>
      </c>
      <c r="I2038">
        <v>267.76100000000002</v>
      </c>
      <c r="J2038">
        <v>-388.1454</v>
      </c>
      <c r="K2038">
        <v>1.1208990000000001</v>
      </c>
      <c r="L2038">
        <v>284.59190000000001</v>
      </c>
      <c r="M2038">
        <v>-0.99989380000000005</v>
      </c>
      <c r="N2038">
        <v>-1.4369639999999999E-2</v>
      </c>
      <c r="O2038">
        <v>-2.4389329999999999E-3</v>
      </c>
      <c r="P2038">
        <v>-0.97769779999999995</v>
      </c>
      <c r="Q2038">
        <v>0.2095042</v>
      </c>
      <c r="R2038">
        <v>1.4654789999999999E-2</v>
      </c>
      <c r="S2038">
        <v>-3.0729060000000001</v>
      </c>
      <c r="T2038">
        <v>1.106E-2</v>
      </c>
      <c r="U2038">
        <v>-0.41354370000000001</v>
      </c>
      <c r="V2038">
        <v>1.7194259999999999E-2</v>
      </c>
      <c r="W2038">
        <v>0.2235193</v>
      </c>
      <c r="X2038">
        <v>0.97454790000000002</v>
      </c>
      <c r="Y2038">
        <v>-0.1309601</v>
      </c>
      <c r="Z2038">
        <v>-7.5420039999999895E-4</v>
      </c>
      <c r="AA2038">
        <v>0.99138740000000003</v>
      </c>
      <c r="AB2038">
        <v>39</v>
      </c>
      <c r="AC2038">
        <v>-124.6803</v>
      </c>
      <c r="AD2038">
        <v>0.45007799999999998</v>
      </c>
      <c r="AE2038">
        <v>-16.8309</v>
      </c>
      <c r="AF2038">
        <v>-16.526520136374799</v>
      </c>
      <c r="AG2038">
        <v>0.45007799999999998</v>
      </c>
      <c r="AH2038">
        <v>124.719386634344</v>
      </c>
      <c r="AI2038">
        <v>89.795027857589005</v>
      </c>
      <c r="AJ2038">
        <v>97.548268174204694</v>
      </c>
      <c r="AK2038">
        <v>125.810388444162</v>
      </c>
      <c r="AL2038">
        <v>77.084177903660802</v>
      </c>
      <c r="AM2038">
        <v>88.989217126545</v>
      </c>
      <c r="AN2038">
        <v>1.00000006472192</v>
      </c>
    </row>
    <row r="2039" spans="1:40" x14ac:dyDescent="0.25">
      <c r="A2039" t="str">
        <f>"20190303170537759"</f>
        <v>20190303170537759</v>
      </c>
      <c r="B2039" t="str">
        <f>"1551603937746667"</f>
        <v>1551603937746667</v>
      </c>
      <c r="C2039" t="s">
        <v>40</v>
      </c>
      <c r="D2039">
        <v>4.8295649999999997</v>
      </c>
      <c r="E2039">
        <v>0.44581709999999902</v>
      </c>
      <c r="F2039" t="s">
        <v>68</v>
      </c>
      <c r="G2039">
        <v>-512.82560000000001</v>
      </c>
      <c r="H2039">
        <v>1.495463</v>
      </c>
      <c r="I2039">
        <v>267.76690000000002</v>
      </c>
      <c r="J2039">
        <v>-388.5471</v>
      </c>
      <c r="K2039">
        <v>1.120895</v>
      </c>
      <c r="L2039">
        <v>284.59109999999998</v>
      </c>
      <c r="M2039">
        <v>-0.99989530000000004</v>
      </c>
      <c r="N2039">
        <v>-1.4314779999999999E-2</v>
      </c>
      <c r="O2039">
        <v>-2.173524E-3</v>
      </c>
      <c r="P2039">
        <v>-0.97750490000000001</v>
      </c>
      <c r="Q2039">
        <v>0.21039949999999999</v>
      </c>
      <c r="R2039">
        <v>1.472327E-2</v>
      </c>
      <c r="S2039">
        <v>-3.0726930000000001</v>
      </c>
      <c r="T2039">
        <v>9.2328789999999994E-3</v>
      </c>
      <c r="U2039">
        <v>-0.41464230000000002</v>
      </c>
      <c r="V2039">
        <v>1.7005280000000001E-2</v>
      </c>
      <c r="W2039">
        <v>0.22435859999999999</v>
      </c>
      <c r="X2039">
        <v>0.97435830000000001</v>
      </c>
      <c r="Y2039">
        <v>-0.13158010000000001</v>
      </c>
      <c r="Z2039">
        <v>-7.8674159999999997E-4</v>
      </c>
      <c r="AA2039">
        <v>0.9913052</v>
      </c>
      <c r="AB2039">
        <v>39</v>
      </c>
      <c r="AC2039">
        <v>-124.27849999999999</v>
      </c>
      <c r="AD2039">
        <v>0.37456799999999901</v>
      </c>
      <c r="AE2039">
        <v>-16.824199999999902</v>
      </c>
      <c r="AF2039">
        <v>-16.553862635973701</v>
      </c>
      <c r="AG2039">
        <v>0.37456799999999901</v>
      </c>
      <c r="AH2039">
        <v>124.313669003455</v>
      </c>
      <c r="AI2039">
        <v>89.828873847606303</v>
      </c>
      <c r="AJ2039">
        <v>97.5850005922495</v>
      </c>
      <c r="AK2039">
        <v>125.411558360694</v>
      </c>
      <c r="AL2039">
        <v>77.034835967871899</v>
      </c>
      <c r="AM2039">
        <v>89.000129762947196</v>
      </c>
      <c r="AN2039">
        <v>1.0000000288603601</v>
      </c>
    </row>
    <row r="2040" spans="1:40" x14ac:dyDescent="0.25">
      <c r="A2040" t="str">
        <f>"20190303170537782"</f>
        <v>20190303170537782</v>
      </c>
      <c r="B2040" t="str">
        <f>"1551603937776923"</f>
        <v>1551603937776923</v>
      </c>
      <c r="C2040" t="s">
        <v>40</v>
      </c>
      <c r="D2040">
        <v>4.8159400000000003</v>
      </c>
      <c r="E2040">
        <v>0.44572590000000001</v>
      </c>
      <c r="F2040" t="s">
        <v>68</v>
      </c>
      <c r="G2040">
        <v>-512.82569999999998</v>
      </c>
      <c r="H2040">
        <v>1.624671</v>
      </c>
      <c r="I2040">
        <v>267.78160000000003</v>
      </c>
      <c r="J2040">
        <v>-388.95679999999999</v>
      </c>
      <c r="K2040">
        <v>1.120895</v>
      </c>
      <c r="L2040">
        <v>284.59050000000002</v>
      </c>
      <c r="M2040">
        <v>-0.99989660000000002</v>
      </c>
      <c r="N2040">
        <v>-1.425585E-2</v>
      </c>
      <c r="O2040">
        <v>-1.90226E-3</v>
      </c>
      <c r="P2040">
        <v>-0.97743139999999995</v>
      </c>
      <c r="Q2040">
        <v>0.2106941</v>
      </c>
      <c r="R2040">
        <v>1.536096E-2</v>
      </c>
      <c r="S2040">
        <v>-3.0726010000000001</v>
      </c>
      <c r="T2040">
        <v>1.2457009999999999E-2</v>
      </c>
      <c r="U2040">
        <v>-0.41558840000000002</v>
      </c>
      <c r="V2040">
        <v>1.7378930000000001E-2</v>
      </c>
      <c r="W2040">
        <v>0.22459419999999999</v>
      </c>
      <c r="X2040">
        <v>0.97429739999999998</v>
      </c>
      <c r="Y2040">
        <v>-0.1321532</v>
      </c>
      <c r="Z2040">
        <v>-7.1428599999999996E-4</v>
      </c>
      <c r="AA2040">
        <v>0.99122909999999997</v>
      </c>
      <c r="AB2040">
        <v>39</v>
      </c>
      <c r="AC2040">
        <v>-123.8689</v>
      </c>
      <c r="AD2040">
        <v>0.503776</v>
      </c>
      <c r="AE2040">
        <v>-16.808899999999898</v>
      </c>
      <c r="AF2040">
        <v>-16.572945618139801</v>
      </c>
      <c r="AG2040">
        <v>0.503776</v>
      </c>
      <c r="AH2040">
        <v>123.898641686692</v>
      </c>
      <c r="AI2040">
        <v>89.769091301253198</v>
      </c>
      <c r="AJ2040">
        <v>97.618780839293805</v>
      </c>
      <c r="AK2040">
        <v>125.00315887419499</v>
      </c>
      <c r="AL2040">
        <v>77.020983218020007</v>
      </c>
      <c r="AM2040">
        <v>88.978100777132994</v>
      </c>
      <c r="AN2040">
        <v>1.00000000276417</v>
      </c>
    </row>
    <row r="2041" spans="1:40" x14ac:dyDescent="0.25">
      <c r="A2041" t="str">
        <f>"20190303170537804"</f>
        <v>20190303170537804</v>
      </c>
      <c r="B2041" t="str">
        <f>"1551603937796443"</f>
        <v>1551603937796443</v>
      </c>
      <c r="C2041" t="s">
        <v>40</v>
      </c>
      <c r="D2041">
        <v>4.79284</v>
      </c>
      <c r="E2041">
        <v>0.4455595</v>
      </c>
      <c r="F2041" t="s">
        <v>68</v>
      </c>
      <c r="G2041">
        <v>-512.82569999999998</v>
      </c>
      <c r="H2041">
        <v>1.729311</v>
      </c>
      <c r="I2041">
        <v>267.86439999999999</v>
      </c>
      <c r="J2041">
        <v>-389.33330000000001</v>
      </c>
      <c r="K2041">
        <v>1.1208929999999999</v>
      </c>
      <c r="L2041">
        <v>284.58999999999997</v>
      </c>
      <c r="M2041">
        <v>-0.99989790000000001</v>
      </c>
      <c r="N2041">
        <v>-1.420048E-2</v>
      </c>
      <c r="O2041">
        <v>-1.6527309999999999E-3</v>
      </c>
      <c r="P2041">
        <v>-0.97731400000000002</v>
      </c>
      <c r="Q2041">
        <v>0.21117849999999999</v>
      </c>
      <c r="R2041">
        <v>1.6170629999999998E-2</v>
      </c>
      <c r="S2041">
        <v>-3.07254</v>
      </c>
      <c r="T2041">
        <v>1.5093560000000001E-2</v>
      </c>
      <c r="U2041">
        <v>-0.41488649999999999</v>
      </c>
      <c r="V2041">
        <v>1.7945429999999998E-2</v>
      </c>
      <c r="W2041">
        <v>0.22502259999999999</v>
      </c>
      <c r="X2041">
        <v>0.97418830000000001</v>
      </c>
      <c r="Y2041">
        <v>-0.1321811</v>
      </c>
      <c r="Z2041">
        <v>-6.5104509999999998E-4</v>
      </c>
      <c r="AA2041">
        <v>0.99122540000000003</v>
      </c>
      <c r="AB2041">
        <v>39</v>
      </c>
      <c r="AC2041">
        <v>-123.49239999999899</v>
      </c>
      <c r="AD2041">
        <v>0.60841799999999902</v>
      </c>
      <c r="AE2041">
        <v>-16.725599999999901</v>
      </c>
      <c r="AF2041">
        <v>-16.521063080213899</v>
      </c>
      <c r="AG2041">
        <v>0.60841799999999902</v>
      </c>
      <c r="AH2041">
        <v>123.516932885185</v>
      </c>
      <c r="AI2041">
        <v>89.720266678597895</v>
      </c>
      <c r="AJ2041">
        <v>97.618405166068101</v>
      </c>
      <c r="AK2041">
        <v>124.61841118842101</v>
      </c>
      <c r="AL2041">
        <v>76.995793222210395</v>
      </c>
      <c r="AM2041">
        <v>88.944679252560903</v>
      </c>
      <c r="AN2041">
        <v>1.00000002641276</v>
      </c>
    </row>
    <row r="2042" spans="1:40" x14ac:dyDescent="0.25">
      <c r="A2042" t="str">
        <f>"20190303170537826"</f>
        <v>20190303170537826</v>
      </c>
      <c r="B2042" t="str">
        <f>"1551603937816939"</f>
        <v>1551603937816939</v>
      </c>
      <c r="C2042" t="s">
        <v>40</v>
      </c>
      <c r="D2042">
        <v>4.8569040000000001</v>
      </c>
      <c r="E2042">
        <v>0.4455056</v>
      </c>
      <c r="F2042" t="s">
        <v>68</v>
      </c>
      <c r="G2042">
        <v>-512.82569999999998</v>
      </c>
      <c r="H2042">
        <v>1.820524</v>
      </c>
      <c r="I2042">
        <v>267.96109999999999</v>
      </c>
      <c r="J2042">
        <v>-389.71969999999999</v>
      </c>
      <c r="K2042">
        <v>1.120889</v>
      </c>
      <c r="L2042">
        <v>284.58969999999999</v>
      </c>
      <c r="M2042">
        <v>-0.99989899999999998</v>
      </c>
      <c r="N2042">
        <v>-1.414224E-2</v>
      </c>
      <c r="O2042">
        <v>-1.397223E-3</v>
      </c>
      <c r="P2042">
        <v>-0.97732989999999997</v>
      </c>
      <c r="Q2042">
        <v>0.21105699999999999</v>
      </c>
      <c r="R2042">
        <v>1.6773440000000001E-2</v>
      </c>
      <c r="S2042">
        <v>-3.0727229999999999</v>
      </c>
      <c r="T2042">
        <v>1.7410040000000002E-2</v>
      </c>
      <c r="U2042">
        <v>-0.41375729999999999</v>
      </c>
      <c r="V2042">
        <v>1.8298999999999999E-2</v>
      </c>
      <c r="W2042">
        <v>0.22484419999999999</v>
      </c>
      <c r="X2042">
        <v>0.9742229</v>
      </c>
      <c r="Y2042">
        <v>-0.13206889999999999</v>
      </c>
      <c r="Z2042">
        <v>-5.9319120000000003E-4</v>
      </c>
      <c r="AA2042">
        <v>0.99124040000000002</v>
      </c>
      <c r="AB2042">
        <v>39</v>
      </c>
      <c r="AC2042">
        <v>-123.10599999999999</v>
      </c>
      <c r="AD2042">
        <v>0.69963500000000001</v>
      </c>
      <c r="AE2042">
        <v>-16.628599999999999</v>
      </c>
      <c r="AF2042">
        <v>-16.456038039888199</v>
      </c>
      <c r="AG2042">
        <v>0.69963500000000001</v>
      </c>
      <c r="AH2042">
        <v>123.125210474138</v>
      </c>
      <c r="AI2042">
        <v>89.677300792673805</v>
      </c>
      <c r="AJ2042">
        <v>97.612631058132905</v>
      </c>
      <c r="AK2042">
        <v>124.22201146095</v>
      </c>
      <c r="AL2042">
        <v>77.006283440686005</v>
      </c>
      <c r="AM2042">
        <v>88.923929837460804</v>
      </c>
      <c r="AN2042">
        <v>1.0000000132795199</v>
      </c>
    </row>
    <row r="2043" spans="1:40" x14ac:dyDescent="0.25">
      <c r="A2043" t="str">
        <f>"20190303170537848"</f>
        <v>20190303170537848</v>
      </c>
      <c r="B2043" t="str">
        <f>"1551603937836458"</f>
        <v>1551603937836458</v>
      </c>
      <c r="C2043" t="s">
        <v>40</v>
      </c>
      <c r="D2043">
        <v>4.854565</v>
      </c>
      <c r="E2043">
        <v>0.4453877</v>
      </c>
      <c r="F2043" t="s">
        <v>68</v>
      </c>
      <c r="G2043">
        <v>-512.82569999999998</v>
      </c>
      <c r="H2043">
        <v>1.8202419999999999</v>
      </c>
      <c r="I2043">
        <v>268.04430000000002</v>
      </c>
      <c r="J2043">
        <v>-390.10939999999999</v>
      </c>
      <c r="K2043">
        <v>1.120879</v>
      </c>
      <c r="L2043">
        <v>284.58940000000001</v>
      </c>
      <c r="M2043">
        <v>-0.99990029999999996</v>
      </c>
      <c r="N2043">
        <v>-1.408481E-2</v>
      </c>
      <c r="O2043">
        <v>-1.1404119999999999E-3</v>
      </c>
      <c r="P2043">
        <v>-0.97733809999999999</v>
      </c>
      <c r="Q2043">
        <v>0.21097189999999999</v>
      </c>
      <c r="R2043">
        <v>1.7361700000000001E-2</v>
      </c>
      <c r="S2043">
        <v>-3.0729060000000001</v>
      </c>
      <c r="T2043">
        <v>1.74588E-2</v>
      </c>
      <c r="U2043">
        <v>-0.41299439999999998</v>
      </c>
      <c r="V2043">
        <v>1.863683E-2</v>
      </c>
      <c r="W2043">
        <v>0.22470290000000001</v>
      </c>
      <c r="X2043">
        <v>0.97424909999999998</v>
      </c>
      <c r="Y2043">
        <v>-0.13207389999999999</v>
      </c>
      <c r="Z2043">
        <v>-5.8324889999999995E-4</v>
      </c>
      <c r="AA2043">
        <v>0.99123969999999995</v>
      </c>
      <c r="AB2043">
        <v>39</v>
      </c>
      <c r="AC2043">
        <v>-122.7163</v>
      </c>
      <c r="AD2043">
        <v>0.69936299999999896</v>
      </c>
      <c r="AE2043">
        <v>-16.545099999999898</v>
      </c>
      <c r="AF2043">
        <v>-16.404604944106801</v>
      </c>
      <c r="AG2043">
        <v>0.69936299999999896</v>
      </c>
      <c r="AH2043">
        <v>122.731175281264</v>
      </c>
      <c r="AI2043">
        <v>89.676391054484199</v>
      </c>
      <c r="AJ2043">
        <v>97.613195578020793</v>
      </c>
      <c r="AK2043">
        <v>123.82464035037</v>
      </c>
      <c r="AL2043">
        <v>77.014591986383195</v>
      </c>
      <c r="AM2043">
        <v>88.904098057500804</v>
      </c>
      <c r="AN2043">
        <v>1.0000000167758301</v>
      </c>
    </row>
    <row r="2044" spans="1:40" x14ac:dyDescent="0.25">
      <c r="A2044" t="str">
        <f>"20190303170537871"</f>
        <v>20190303170537871</v>
      </c>
      <c r="B2044" t="str">
        <f>"1551603937866715"</f>
        <v>1551603937866715</v>
      </c>
      <c r="C2044" t="s">
        <v>40</v>
      </c>
      <c r="D2044">
        <v>4.8757330000000003</v>
      </c>
      <c r="E2044">
        <v>0.44522149999999999</v>
      </c>
      <c r="F2044" t="s">
        <v>68</v>
      </c>
      <c r="G2044">
        <v>-512.82569999999998</v>
      </c>
      <c r="H2044">
        <v>1.820832</v>
      </c>
      <c r="I2044">
        <v>268.1266</v>
      </c>
      <c r="J2044">
        <v>-390.51260000000002</v>
      </c>
      <c r="K2044">
        <v>1.1208739999999999</v>
      </c>
      <c r="L2044">
        <v>284.58920000000001</v>
      </c>
      <c r="M2044">
        <v>-0.99990129999999999</v>
      </c>
      <c r="N2044">
        <v>-1.40293999999999E-2</v>
      </c>
      <c r="O2044">
        <v>-8.7456909999999999E-4</v>
      </c>
      <c r="P2044">
        <v>-0.97730110000000003</v>
      </c>
      <c r="Q2044">
        <v>0.21108080000000001</v>
      </c>
      <c r="R2044">
        <v>1.8098969999999999E-2</v>
      </c>
      <c r="S2044">
        <v>-3.0730900000000001</v>
      </c>
      <c r="T2044">
        <v>1.7530319999999999E-2</v>
      </c>
      <c r="U2044">
        <v>-0.41226200000000002</v>
      </c>
      <c r="V2044">
        <v>1.9114450000000002E-2</v>
      </c>
      <c r="W2044">
        <v>0.22475680000000001</v>
      </c>
      <c r="X2044">
        <v>0.97422739999999997</v>
      </c>
      <c r="Y2044">
        <v>-0.13209749999999901</v>
      </c>
      <c r="Z2044">
        <v>-5.7288390000000003E-4</v>
      </c>
      <c r="AA2044">
        <v>0.99123660000000002</v>
      </c>
      <c r="AB2044">
        <v>39</v>
      </c>
      <c r="AC2044">
        <v>-122.313099999999</v>
      </c>
      <c r="AD2044">
        <v>0.69995799999999997</v>
      </c>
      <c r="AE2044">
        <v>-16.462599999999998</v>
      </c>
      <c r="AF2044">
        <v>-16.3550858444938</v>
      </c>
      <c r="AG2044">
        <v>0.69995799999999997</v>
      </c>
      <c r="AH2044">
        <v>122.323517617269</v>
      </c>
      <c r="AI2044">
        <v>89.675038116406398</v>
      </c>
      <c r="AJ2044">
        <v>97.615482449921501</v>
      </c>
      <c r="AK2044">
        <v>123.41402568770199</v>
      </c>
      <c r="AL2044">
        <v>77.011422509332107</v>
      </c>
      <c r="AM2044">
        <v>88.875994643436499</v>
      </c>
      <c r="AN2044">
        <v>1.0000000041279</v>
      </c>
    </row>
    <row r="2045" spans="1:40" x14ac:dyDescent="0.25">
      <c r="A2045" t="str">
        <f>"20190303170537893"</f>
        <v>20190303170537893</v>
      </c>
      <c r="B2045" t="str">
        <f>"1551603937886811"</f>
        <v>1551603937886811</v>
      </c>
      <c r="C2045" t="s">
        <v>40</v>
      </c>
      <c r="D2045">
        <v>4.9104519999999896</v>
      </c>
      <c r="E2045">
        <v>0.4450807</v>
      </c>
      <c r="F2045" t="s">
        <v>68</v>
      </c>
      <c r="G2045">
        <v>-512.82569999999998</v>
      </c>
      <c r="H2045">
        <v>1.8418620000000001</v>
      </c>
      <c r="I2045">
        <v>268.20890000000003</v>
      </c>
      <c r="J2045">
        <v>-390.9015</v>
      </c>
      <c r="K2045">
        <v>1.120873</v>
      </c>
      <c r="L2045">
        <v>284.58909999999997</v>
      </c>
      <c r="M2045">
        <v>-0.99990219999999996</v>
      </c>
      <c r="N2045">
        <v>-1.3978920000000001E-2</v>
      </c>
      <c r="O2045">
        <v>-6.175935E-4</v>
      </c>
      <c r="P2045">
        <v>-0.97717120000000002</v>
      </c>
      <c r="Q2045">
        <v>0.21161830000000001</v>
      </c>
      <c r="R2045">
        <v>1.8819570000000001E-2</v>
      </c>
      <c r="S2045">
        <v>-3.0733950000000001</v>
      </c>
      <c r="T2045">
        <v>1.811838E-2</v>
      </c>
      <c r="U2045">
        <v>-0.41159059999999997</v>
      </c>
      <c r="V2045">
        <v>1.9583929999999999E-2</v>
      </c>
      <c r="W2045">
        <v>0.22524330000000001</v>
      </c>
      <c r="X2045">
        <v>0.97410569999999996</v>
      </c>
      <c r="Y2045">
        <v>-0.13212650000000001</v>
      </c>
      <c r="Z2045">
        <v>-5.5212659999999999E-4</v>
      </c>
      <c r="AA2045">
        <v>0.99123269999999997</v>
      </c>
      <c r="AB2045">
        <v>39</v>
      </c>
      <c r="AC2045">
        <v>-121.924199999999</v>
      </c>
      <c r="AD2045">
        <v>0.72098899999999899</v>
      </c>
      <c r="AE2045">
        <v>-16.380199999999899</v>
      </c>
      <c r="AF2045">
        <v>-16.304329901010199</v>
      </c>
      <c r="AG2045">
        <v>0.72098899999999899</v>
      </c>
      <c r="AH2045">
        <v>121.930105910911</v>
      </c>
      <c r="AI2045">
        <v>89.664195190429595</v>
      </c>
      <c r="AJ2045">
        <v>97.616334010245396</v>
      </c>
      <c r="AK2045">
        <v>123.017485448635</v>
      </c>
      <c r="AL2045">
        <v>76.9828144434276</v>
      </c>
      <c r="AM2045">
        <v>88.848250868589204</v>
      </c>
      <c r="AN2045">
        <v>0.99999999464081202</v>
      </c>
    </row>
    <row r="2046" spans="1:40" x14ac:dyDescent="0.25">
      <c r="A2046" t="str">
        <f>"20190303170537914"</f>
        <v>20190303170537914</v>
      </c>
      <c r="B2046" t="str">
        <f>"1551603937906334"</f>
        <v>1551603937906334</v>
      </c>
      <c r="C2046" t="s">
        <v>40</v>
      </c>
      <c r="D2046">
        <v>4.9187079999999996</v>
      </c>
      <c r="E2046">
        <v>0.44491059999999999</v>
      </c>
      <c r="F2046" t="s">
        <v>68</v>
      </c>
      <c r="G2046">
        <v>-512.82579999999996</v>
      </c>
      <c r="H2046">
        <v>1.9114580000000001</v>
      </c>
      <c r="I2046">
        <v>268.29759999999999</v>
      </c>
      <c r="J2046">
        <v>-391.27449999999999</v>
      </c>
      <c r="K2046">
        <v>1.120862</v>
      </c>
      <c r="L2046">
        <v>284.58909999999997</v>
      </c>
      <c r="M2046">
        <v>-0.99990290000000004</v>
      </c>
      <c r="N2046">
        <v>-1.3930929999999999E-2</v>
      </c>
      <c r="O2046">
        <v>-3.7005700000000002E-4</v>
      </c>
      <c r="P2046">
        <v>-0.97707540000000004</v>
      </c>
      <c r="Q2046">
        <v>0.21197260000000001</v>
      </c>
      <c r="R2046">
        <v>1.9783309999999998E-2</v>
      </c>
      <c r="S2046">
        <v>-3.0737000000000001</v>
      </c>
      <c r="T2046">
        <v>1.9932510000000001E-2</v>
      </c>
      <c r="U2046">
        <v>-0.4107056</v>
      </c>
      <c r="V2046">
        <v>2.0305819999999999E-2</v>
      </c>
      <c r="W2046">
        <v>0.225549</v>
      </c>
      <c r="X2046">
        <v>0.9740202</v>
      </c>
      <c r="Y2046">
        <v>-0.13207859999999999</v>
      </c>
      <c r="Z2046">
        <v>-5.0525750000000001E-4</v>
      </c>
      <c r="AA2046">
        <v>0.99123910000000004</v>
      </c>
      <c r="AB2046">
        <v>39</v>
      </c>
      <c r="AC2046">
        <v>-121.551299999999</v>
      </c>
      <c r="AD2046">
        <v>0.79059599999999997</v>
      </c>
      <c r="AE2046">
        <v>-16.2914999999999</v>
      </c>
      <c r="AF2046">
        <v>-16.2458384607272</v>
      </c>
      <c r="AG2046">
        <v>0.79059599999999997</v>
      </c>
      <c r="AH2046">
        <v>121.552269540721</v>
      </c>
      <c r="AI2046">
        <v>89.630628434617904</v>
      </c>
      <c r="AJ2046">
        <v>97.612644253862797</v>
      </c>
      <c r="AK2046">
        <v>122.63566585552201</v>
      </c>
      <c r="AL2046">
        <v>76.964836755666397</v>
      </c>
      <c r="AM2046">
        <v>88.805703125915699</v>
      </c>
      <c r="AN2046">
        <v>1.0000000138674501</v>
      </c>
    </row>
    <row r="2047" spans="1:40" x14ac:dyDescent="0.25">
      <c r="A2047" t="str">
        <f>"20190303170537937"</f>
        <v>20190303170537937</v>
      </c>
      <c r="B2047" t="str">
        <f>"1551603937926827"</f>
        <v>1551603937926827</v>
      </c>
      <c r="C2047" t="s">
        <v>40</v>
      </c>
      <c r="D2047">
        <v>4.9114170000000001</v>
      </c>
      <c r="E2047">
        <v>0.4448242</v>
      </c>
      <c r="F2047" t="s">
        <v>68</v>
      </c>
      <c r="G2047">
        <v>-512.82579999999996</v>
      </c>
      <c r="H2047">
        <v>1.970186</v>
      </c>
      <c r="I2047">
        <v>268.39600000000002</v>
      </c>
      <c r="J2047">
        <v>-391.66930000000002</v>
      </c>
      <c r="K2047">
        <v>1.1208549999999999</v>
      </c>
      <c r="L2047">
        <v>284.58929999999998</v>
      </c>
      <c r="M2047">
        <v>-0.99990380000000001</v>
      </c>
      <c r="N2047">
        <v>-1.388173E-2</v>
      </c>
      <c r="O2047">
        <v>-1.0820589999999999E-4</v>
      </c>
      <c r="P2047">
        <v>-0.97714840000000003</v>
      </c>
      <c r="Q2047">
        <v>0.21156449999999999</v>
      </c>
      <c r="R2047">
        <v>2.0538549999999999E-2</v>
      </c>
      <c r="S2047">
        <v>-3.0739749999999999</v>
      </c>
      <c r="T2047">
        <v>2.1480920000000001E-2</v>
      </c>
      <c r="U2047">
        <v>-0.40951539999999997</v>
      </c>
      <c r="V2047">
        <v>2.0804570000000001E-2</v>
      </c>
      <c r="W2047">
        <v>0.22509370000000001</v>
      </c>
      <c r="X2047">
        <v>0.97411499999999995</v>
      </c>
      <c r="Y2047">
        <v>-0.13194939999999999</v>
      </c>
      <c r="Z2047">
        <v>-4.6315419999999998E-4</v>
      </c>
      <c r="AA2047">
        <v>0.99125640000000004</v>
      </c>
      <c r="AB2047">
        <v>39</v>
      </c>
      <c r="AC2047">
        <v>-121.156499999999</v>
      </c>
      <c r="AD2047">
        <v>0.84933099999999995</v>
      </c>
      <c r="AE2047">
        <v>-16.193300000000001</v>
      </c>
      <c r="AF2047">
        <v>-16.179407647708601</v>
      </c>
      <c r="AG2047">
        <v>0.84933099999999995</v>
      </c>
      <c r="AH2047">
        <v>121.152402384312</v>
      </c>
      <c r="AI2047">
        <v>89.601872660003906</v>
      </c>
      <c r="AJ2047">
        <v>97.606609951912901</v>
      </c>
      <c r="AK2047">
        <v>122.230925704049</v>
      </c>
      <c r="AL2047">
        <v>76.991612126622798</v>
      </c>
      <c r="AM2047">
        <v>88.776496754613405</v>
      </c>
      <c r="AN2047">
        <v>1.0000000185687801</v>
      </c>
    </row>
    <row r="2048" spans="1:40" x14ac:dyDescent="0.25">
      <c r="A2048" t="str">
        <f>"20190303170537960"</f>
        <v>20190303170537960</v>
      </c>
      <c r="B2048" t="str">
        <f>"1551603937946350"</f>
        <v>1551603937946350</v>
      </c>
      <c r="C2048" t="s">
        <v>40</v>
      </c>
      <c r="D2048">
        <v>4.9174899999999999</v>
      </c>
      <c r="E2048">
        <v>0.44099339999999998</v>
      </c>
      <c r="F2048" t="s">
        <v>68</v>
      </c>
      <c r="G2048">
        <v>-512.82579999999996</v>
      </c>
      <c r="H2048">
        <v>1.9131720000000001</v>
      </c>
      <c r="I2048">
        <v>268.5206</v>
      </c>
      <c r="J2048">
        <v>-392.07839999999999</v>
      </c>
      <c r="K2048">
        <v>1.1208499999999999</v>
      </c>
      <c r="L2048">
        <v>284.58949999999999</v>
      </c>
      <c r="M2048">
        <v>-0.99990440000000003</v>
      </c>
      <c r="N2048">
        <v>-1.383472E-2</v>
      </c>
      <c r="O2048">
        <v>1.626323E-4</v>
      </c>
      <c r="P2048">
        <v>-0.97728210000000004</v>
      </c>
      <c r="Q2048">
        <v>0.2109307</v>
      </c>
      <c r="R2048">
        <v>2.0700099999999999E-2</v>
      </c>
      <c r="S2048">
        <v>-3.0743710000000002</v>
      </c>
      <c r="T2048">
        <v>2.0107150000000001E-2</v>
      </c>
      <c r="U2048">
        <v>-0.40774539999999998</v>
      </c>
      <c r="V2048">
        <v>2.0700949999999999E-2</v>
      </c>
      <c r="W2048">
        <v>0.2244167</v>
      </c>
      <c r="X2048">
        <v>0.97427339999999996</v>
      </c>
      <c r="Y2048">
        <v>-0.13164020000000001</v>
      </c>
      <c r="Z2048">
        <v>-4.8270730000000002E-4</v>
      </c>
      <c r="AA2048">
        <v>0.9912974</v>
      </c>
      <c r="AB2048">
        <v>39</v>
      </c>
      <c r="AC2048">
        <v>-120.747399999999</v>
      </c>
      <c r="AD2048">
        <v>0.79232199999999997</v>
      </c>
      <c r="AE2048">
        <v>-16.0688999999999</v>
      </c>
      <c r="AF2048">
        <v>-16.0878584448648</v>
      </c>
      <c r="AG2048">
        <v>0.79232199999999997</v>
      </c>
      <c r="AH2048">
        <v>120.739676560772</v>
      </c>
      <c r="AI2048">
        <v>89.627310804026195</v>
      </c>
      <c r="AJ2048">
        <v>97.589624074279001</v>
      </c>
      <c r="AK2048">
        <v>121.80934471334101</v>
      </c>
      <c r="AL2048">
        <v>77.031419874950899</v>
      </c>
      <c r="AM2048">
        <v>88.782786611406493</v>
      </c>
      <c r="AN2048">
        <v>1.0000000212586699</v>
      </c>
    </row>
    <row r="2049" spans="1:40" x14ac:dyDescent="0.25">
      <c r="A2049" t="str">
        <f>"20190303170537985"</f>
        <v>20190303170537985</v>
      </c>
      <c r="B2049" t="str">
        <f>"1551603937976263"</f>
        <v>1551603937976263</v>
      </c>
      <c r="C2049" t="s">
        <v>40</v>
      </c>
      <c r="D2049">
        <v>4.961773</v>
      </c>
      <c r="E2049">
        <v>0.41680220000000001</v>
      </c>
      <c r="F2049" t="s">
        <v>68</v>
      </c>
      <c r="G2049">
        <v>-512.82590000000005</v>
      </c>
      <c r="H2049">
        <v>2.1157699999999999</v>
      </c>
      <c r="I2049">
        <v>267.41860000000003</v>
      </c>
      <c r="J2049">
        <v>-392.48469999999998</v>
      </c>
      <c r="K2049">
        <v>1.120849</v>
      </c>
      <c r="L2049">
        <v>284.58980000000003</v>
      </c>
      <c r="M2049">
        <v>-0.99990489999999999</v>
      </c>
      <c r="N2049">
        <v>-1.379318E-2</v>
      </c>
      <c r="O2049">
        <v>4.3039789999999999E-4</v>
      </c>
      <c r="P2049">
        <v>-0.97731630000000003</v>
      </c>
      <c r="Q2049">
        <v>0.210753</v>
      </c>
      <c r="R2049">
        <v>2.087992E-2</v>
      </c>
      <c r="S2049">
        <v>-3.073547</v>
      </c>
      <c r="T2049">
        <v>2.5326970000000001E-2</v>
      </c>
      <c r="U2049">
        <v>-0.43707279999999998</v>
      </c>
      <c r="V2049">
        <v>2.06188E-2</v>
      </c>
      <c r="W2049">
        <v>0.22419919999999999</v>
      </c>
      <c r="X2049">
        <v>0.9743252</v>
      </c>
      <c r="Y2049">
        <v>-0.1412175</v>
      </c>
      <c r="Z2049">
        <v>-3.9047719999999998E-4</v>
      </c>
      <c r="AA2049">
        <v>0.98997849999999998</v>
      </c>
      <c r="AB2049">
        <v>39</v>
      </c>
      <c r="AC2049">
        <v>-120.3412</v>
      </c>
      <c r="AD2049">
        <v>0.99492100000000006</v>
      </c>
      <c r="AE2049">
        <v>-17.171199999999999</v>
      </c>
      <c r="AF2049">
        <v>-17.221844278295102</v>
      </c>
      <c r="AG2049">
        <v>0.99492100000000006</v>
      </c>
      <c r="AH2049">
        <v>120.325737354278</v>
      </c>
      <c r="AI2049">
        <v>89.531035871798494</v>
      </c>
      <c r="AJ2049">
        <v>98.145246042541501</v>
      </c>
      <c r="AK2049">
        <v>121.55601530978601</v>
      </c>
      <c r="AL2049">
        <v>77.044207354388007</v>
      </c>
      <c r="AM2049">
        <v>88.787680014162206</v>
      </c>
      <c r="AN2049">
        <v>1.0000000057745599</v>
      </c>
    </row>
    <row r="2050" spans="1:40" x14ac:dyDescent="0.25">
      <c r="A2050" t="str">
        <f>"20190303170538015"</f>
        <v>20190303170538015</v>
      </c>
      <c r="B2050" t="str">
        <f>"1551603938006481"</f>
        <v>1551603938006481</v>
      </c>
      <c r="C2050" t="s">
        <v>40</v>
      </c>
      <c r="D2050">
        <v>4.9096590000000004</v>
      </c>
      <c r="E2050">
        <v>0.40826420000000002</v>
      </c>
      <c r="F2050" t="s">
        <v>68</v>
      </c>
      <c r="G2050">
        <v>-512.8261</v>
      </c>
      <c r="H2050">
        <v>2.9127689999999999</v>
      </c>
      <c r="I2050">
        <v>259.96289999999999</v>
      </c>
      <c r="J2050">
        <v>-393.04230000000001</v>
      </c>
      <c r="K2050">
        <v>1.1208480000000001</v>
      </c>
      <c r="L2050">
        <v>284.59050000000002</v>
      </c>
      <c r="M2050">
        <v>-0.9999053</v>
      </c>
      <c r="N2050">
        <v>-1.3743709999999999E-2</v>
      </c>
      <c r="O2050">
        <v>7.9928099999999999E-4</v>
      </c>
      <c r="P2050">
        <v>-0.97707829999999996</v>
      </c>
      <c r="Q2050">
        <v>0.2118051</v>
      </c>
      <c r="R2050">
        <v>2.1369929999999999E-2</v>
      </c>
      <c r="S2050">
        <v>-3.0732119999999998</v>
      </c>
      <c r="T2050">
        <v>4.5762900000000002E-2</v>
      </c>
      <c r="U2050">
        <v>-0.62890630000000003</v>
      </c>
      <c r="V2050">
        <v>2.0748590000000001E-2</v>
      </c>
      <c r="W2050">
        <v>0.22519910000000001</v>
      </c>
      <c r="X2050">
        <v>0.97409179999999995</v>
      </c>
      <c r="Y2050">
        <v>-0.201268</v>
      </c>
      <c r="Z2050">
        <v>1.083962E-4</v>
      </c>
      <c r="AA2050">
        <v>0.97953619999999997</v>
      </c>
      <c r="AB2050">
        <v>39</v>
      </c>
      <c r="AC2050">
        <v>-119.7838</v>
      </c>
      <c r="AD2050">
        <v>1.7919210000000001</v>
      </c>
      <c r="AE2050">
        <v>-24.627600000000001</v>
      </c>
      <c r="AF2050">
        <v>-24.718034772364899</v>
      </c>
      <c r="AG2050">
        <v>1.7919210000000001</v>
      </c>
      <c r="AH2050">
        <v>119.738365978448</v>
      </c>
      <c r="AI2050">
        <v>89.160317480101298</v>
      </c>
      <c r="AJ2050">
        <v>101.663936379728</v>
      </c>
      <c r="AK2050">
        <v>122.276197647239</v>
      </c>
      <c r="AL2050">
        <v>76.985413593034707</v>
      </c>
      <c r="AM2050">
        <v>88.7797588522822</v>
      </c>
      <c r="AN2050">
        <v>0.999999986727518</v>
      </c>
    </row>
    <row r="2051" spans="1:40" x14ac:dyDescent="0.25">
      <c r="A2051" t="str">
        <f>"20190303170538037"</f>
        <v>20190303170538037</v>
      </c>
      <c r="B2051" t="str">
        <f>"1551603938026977"</f>
        <v>1551603938026977</v>
      </c>
      <c r="C2051" t="s">
        <v>40</v>
      </c>
      <c r="D2051">
        <v>4.9502050000000004</v>
      </c>
      <c r="E2051">
        <v>0.40575489999999997</v>
      </c>
      <c r="F2051" t="s">
        <v>69</v>
      </c>
      <c r="G2051">
        <v>-456.08100000000002</v>
      </c>
      <c r="H2051">
        <v>2.4203920000000001</v>
      </c>
      <c r="I2051">
        <v>270.32709999999997</v>
      </c>
      <c r="J2051">
        <v>-393.4325</v>
      </c>
      <c r="K2051">
        <v>1.1208450000000001</v>
      </c>
      <c r="L2051">
        <v>284.59109999999998</v>
      </c>
      <c r="M2051">
        <v>-0.99990540000000006</v>
      </c>
      <c r="N2051">
        <v>-1.3713370000000001E-2</v>
      </c>
      <c r="O2051">
        <v>1.0576019999999999E-3</v>
      </c>
      <c r="P2051">
        <v>-0.97714920000000005</v>
      </c>
      <c r="Q2051">
        <v>0.21143880000000001</v>
      </c>
      <c r="R2051">
        <v>2.174535E-2</v>
      </c>
      <c r="S2051">
        <v>-3.0718079999999999</v>
      </c>
      <c r="T2051">
        <v>6.332612E-2</v>
      </c>
      <c r="U2051">
        <v>-0.69503780000000004</v>
      </c>
      <c r="V2051">
        <v>2.0870759999999999E-2</v>
      </c>
      <c r="W2051">
        <v>0.2248047</v>
      </c>
      <c r="X2051">
        <v>0.9741803</v>
      </c>
      <c r="Y2051">
        <v>-0.2217018</v>
      </c>
      <c r="Z2051">
        <v>7.5308369999999903E-4</v>
      </c>
      <c r="AA2051">
        <v>0.97511420000000004</v>
      </c>
      <c r="AB2051">
        <v>39</v>
      </c>
      <c r="AC2051">
        <v>-62.648499999999899</v>
      </c>
      <c r="AD2051">
        <v>1.29954699999999</v>
      </c>
      <c r="AE2051">
        <v>-14.263999999999999</v>
      </c>
      <c r="AF2051">
        <v>-14.3243955419806</v>
      </c>
      <c r="AG2051">
        <v>1.29954699999999</v>
      </c>
      <c r="AH2051">
        <v>62.607766030103903</v>
      </c>
      <c r="AI2051">
        <v>88.8408288496111</v>
      </c>
      <c r="AJ2051">
        <v>102.88721962589101</v>
      </c>
      <c r="AK2051">
        <v>64.238691591038503</v>
      </c>
      <c r="AL2051">
        <v>77.008605901000493</v>
      </c>
      <c r="AM2051">
        <v>88.772687600579204</v>
      </c>
      <c r="AN2051">
        <v>0.99999999933657802</v>
      </c>
    </row>
    <row r="2052" spans="1:40" x14ac:dyDescent="0.25">
      <c r="A2052" t="str">
        <f>"20190303170538072"</f>
        <v>20190303170538072</v>
      </c>
      <c r="B2052" t="str">
        <f>"1551603938066994"</f>
        <v>1551603938066994</v>
      </c>
      <c r="C2052" t="s">
        <v>40</v>
      </c>
      <c r="D2052">
        <v>4.9564009999999996</v>
      </c>
      <c r="E2052">
        <v>0.40277560000000001</v>
      </c>
      <c r="F2052" t="s">
        <v>69</v>
      </c>
      <c r="G2052">
        <v>-455.8723</v>
      </c>
      <c r="H2052">
        <v>2.4905390000000001</v>
      </c>
      <c r="I2052">
        <v>270.08609999999999</v>
      </c>
      <c r="J2052">
        <v>-394.03359999999998</v>
      </c>
      <c r="K2052">
        <v>1.120835</v>
      </c>
      <c r="L2052">
        <v>284.59219999999999</v>
      </c>
      <c r="M2052">
        <v>-0.9999055</v>
      </c>
      <c r="N2052">
        <v>-1.3673070000000001E-2</v>
      </c>
      <c r="O2052">
        <v>1.45610799999999E-3</v>
      </c>
      <c r="P2052">
        <v>-0.97736990000000001</v>
      </c>
      <c r="Q2052">
        <v>0.2104306</v>
      </c>
      <c r="R2052">
        <v>2.1616079999999999E-2</v>
      </c>
      <c r="S2052">
        <v>-3.0714109999999999</v>
      </c>
      <c r="T2052">
        <v>6.7375779999999996E-2</v>
      </c>
      <c r="U2052">
        <v>-0.71350100000000005</v>
      </c>
      <c r="V2052">
        <v>2.0350500000000001E-2</v>
      </c>
      <c r="W2052">
        <v>0.22376099999999999</v>
      </c>
      <c r="X2052">
        <v>0.97443159999999895</v>
      </c>
      <c r="Y2052">
        <v>-0.2276775</v>
      </c>
      <c r="Z2052">
        <v>9.3817110000000005E-4</v>
      </c>
      <c r="AA2052">
        <v>0.97373620000000005</v>
      </c>
      <c r="AB2052">
        <v>39</v>
      </c>
      <c r="AC2052">
        <v>-61.838700000000003</v>
      </c>
      <c r="AD2052">
        <v>1.369704</v>
      </c>
      <c r="AE2052">
        <v>-14.5061</v>
      </c>
      <c r="AF2052">
        <v>-14.589352560683899</v>
      </c>
      <c r="AG2052">
        <v>1.369704</v>
      </c>
      <c r="AH2052">
        <v>61.788777170967599</v>
      </c>
      <c r="AI2052">
        <v>88.764076376299101</v>
      </c>
      <c r="AJ2052">
        <v>103.28516136159899</v>
      </c>
      <c r="AK2052">
        <v>63.5025848408632</v>
      </c>
      <c r="AL2052">
        <v>77.069969260721294</v>
      </c>
      <c r="AM2052">
        <v>88.803581201418297</v>
      </c>
      <c r="AN2052">
        <v>1.0000000355248999</v>
      </c>
    </row>
    <row r="2053" spans="1:40" x14ac:dyDescent="0.25">
      <c r="A2053" t="str">
        <f>"20190303170538093"</f>
        <v>20190303170538093</v>
      </c>
      <c r="B2053" t="str">
        <f>"1551603938087093"</f>
        <v>1551603938087093</v>
      </c>
      <c r="C2053" t="s">
        <v>40</v>
      </c>
      <c r="D2053">
        <v>4.9599440000000001</v>
      </c>
      <c r="E2053">
        <v>0.40182509999999999</v>
      </c>
      <c r="F2053" t="s">
        <v>69</v>
      </c>
      <c r="G2053">
        <v>-454.47660000000002</v>
      </c>
      <c r="H2053">
        <v>2.5125510000000002</v>
      </c>
      <c r="I2053">
        <v>270.08609999999999</v>
      </c>
      <c r="J2053">
        <v>-394.41039999999998</v>
      </c>
      <c r="K2053">
        <v>1.1208359999999999</v>
      </c>
      <c r="L2053">
        <v>284.59300000000002</v>
      </c>
      <c r="M2053">
        <v>-0.9999055</v>
      </c>
      <c r="N2053">
        <v>-1.365136E-2</v>
      </c>
      <c r="O2053">
        <v>1.7056759999999999E-3</v>
      </c>
      <c r="P2053">
        <v>-0.97740749999999998</v>
      </c>
      <c r="Q2053">
        <v>0.21022830000000001</v>
      </c>
      <c r="R2053">
        <v>2.1884959999999998E-2</v>
      </c>
      <c r="S2053">
        <v>-3.0704959999999999</v>
      </c>
      <c r="T2053">
        <v>7.0699570000000003E-2</v>
      </c>
      <c r="U2053">
        <v>-0.73690800000000001</v>
      </c>
      <c r="V2053">
        <v>2.0374980000000001E-2</v>
      </c>
      <c r="W2053">
        <v>0.22353790000000001</v>
      </c>
      <c r="X2053">
        <v>0.97448219999999997</v>
      </c>
      <c r="Y2053">
        <v>-0.2350042</v>
      </c>
      <c r="Z2053">
        <v>1.1023300000000001E-3</v>
      </c>
      <c r="AA2053">
        <v>0.97199369999999996</v>
      </c>
      <c r="AB2053">
        <v>39</v>
      </c>
      <c r="AC2053">
        <v>-60.066200000000002</v>
      </c>
      <c r="AD2053">
        <v>1.39171499999999</v>
      </c>
      <c r="AE2053">
        <v>-14.5069</v>
      </c>
      <c r="AF2053">
        <v>-14.6019351171664</v>
      </c>
      <c r="AG2053">
        <v>1.39171499999999</v>
      </c>
      <c r="AH2053">
        <v>60.010925880410099</v>
      </c>
      <c r="AI2053">
        <v>88.709140241458897</v>
      </c>
      <c r="AJ2053">
        <v>103.675528300068</v>
      </c>
      <c r="AK2053">
        <v>61.777541265667402</v>
      </c>
      <c r="AL2053">
        <v>77.083082968365105</v>
      </c>
      <c r="AM2053">
        <v>88.802204606421995</v>
      </c>
      <c r="AN2053">
        <v>0.99999994533162295</v>
      </c>
    </row>
    <row r="2054" spans="1:40" x14ac:dyDescent="0.25">
      <c r="A2054" t="str">
        <f>"20190303170538115"</f>
        <v>20190303170538115</v>
      </c>
      <c r="B2054" t="str">
        <f>"1551603938106612"</f>
        <v>1551603938106612</v>
      </c>
      <c r="C2054" t="s">
        <v>40</v>
      </c>
      <c r="D2054">
        <v>4.9901819999999999</v>
      </c>
      <c r="E2054">
        <v>0.40109359999999999</v>
      </c>
      <c r="F2054" t="s">
        <v>69</v>
      </c>
      <c r="G2054">
        <v>-454.33</v>
      </c>
      <c r="H2054">
        <v>2.5194869999999998</v>
      </c>
      <c r="I2054">
        <v>270.08609999999999</v>
      </c>
      <c r="J2054">
        <v>-394.79489999999998</v>
      </c>
      <c r="K2054">
        <v>1.120838</v>
      </c>
      <c r="L2054">
        <v>284.59379999999999</v>
      </c>
      <c r="M2054">
        <v>-0.99990520000000005</v>
      </c>
      <c r="N2054">
        <v>-1.362942E-2</v>
      </c>
      <c r="O2054">
        <v>1.960968E-3</v>
      </c>
      <c r="P2054">
        <v>-0.97742989999999996</v>
      </c>
      <c r="Q2054">
        <v>0.21013100000000001</v>
      </c>
      <c r="R2054">
        <v>2.1810099999999999E-2</v>
      </c>
      <c r="S2054">
        <v>-3.0705870000000002</v>
      </c>
      <c r="T2054">
        <v>7.1674699999999994E-2</v>
      </c>
      <c r="U2054">
        <v>-0.74340819999999996</v>
      </c>
      <c r="V2054">
        <v>2.0050189999999999E-2</v>
      </c>
      <c r="W2054">
        <v>0.2234199</v>
      </c>
      <c r="X2054">
        <v>0.9745161</v>
      </c>
      <c r="Y2054">
        <v>-0.23718829999999999</v>
      </c>
      <c r="Z2054">
        <v>1.160407E-3</v>
      </c>
      <c r="AA2054">
        <v>0.97146299999999997</v>
      </c>
      <c r="AB2054">
        <v>39</v>
      </c>
      <c r="AC2054">
        <v>-59.5351</v>
      </c>
      <c r="AD2054">
        <v>1.39864899999999</v>
      </c>
      <c r="AE2054">
        <v>-14.5077</v>
      </c>
      <c r="AF2054">
        <v>-14.616814340179999</v>
      </c>
      <c r="AG2054">
        <v>1.39864899999999</v>
      </c>
      <c r="AH2054">
        <v>59.475548312814297</v>
      </c>
      <c r="AI2054">
        <v>88.691773881257205</v>
      </c>
      <c r="AJ2054">
        <v>103.807466594426</v>
      </c>
      <c r="AK2054">
        <v>61.261311833737302</v>
      </c>
      <c r="AL2054">
        <v>77.090020614567806</v>
      </c>
      <c r="AM2054">
        <v>88.821333779749494</v>
      </c>
      <c r="AN2054">
        <v>1.0000000454971201</v>
      </c>
    </row>
    <row r="2055" spans="1:40" x14ac:dyDescent="0.25">
      <c r="A2055" t="str">
        <f>"20190303170538138"</f>
        <v>20190303170538138</v>
      </c>
      <c r="B2055" t="str">
        <f>"1551603938127109"</f>
        <v>1551603938127109</v>
      </c>
      <c r="C2055" t="s">
        <v>40</v>
      </c>
      <c r="D2055">
        <v>4.9888209999999997</v>
      </c>
      <c r="E2055">
        <v>0.4003159</v>
      </c>
      <c r="F2055" t="s">
        <v>69</v>
      </c>
      <c r="G2055">
        <v>-454.28489999999999</v>
      </c>
      <c r="H2055">
        <v>2.541636</v>
      </c>
      <c r="I2055">
        <v>270.08600000000001</v>
      </c>
      <c r="J2055">
        <v>-395.18920000000003</v>
      </c>
      <c r="K2055">
        <v>1.1208389999999999</v>
      </c>
      <c r="L2055">
        <v>284.59480000000002</v>
      </c>
      <c r="M2055">
        <v>-0.99990520000000005</v>
      </c>
      <c r="N2055">
        <v>-1.360508E-2</v>
      </c>
      <c r="O2055">
        <v>2.2220069999999998E-3</v>
      </c>
      <c r="P2055">
        <v>-0.97741960000000006</v>
      </c>
      <c r="Q2055">
        <v>0.21026210000000001</v>
      </c>
      <c r="R2055">
        <v>2.1001530000000001E-2</v>
      </c>
      <c r="S2055">
        <v>-3.07016</v>
      </c>
      <c r="T2055">
        <v>7.332516E-2</v>
      </c>
      <c r="U2055">
        <v>-0.74871829999999995</v>
      </c>
      <c r="V2055">
        <v>1.8986599999999999E-2</v>
      </c>
      <c r="W2055">
        <v>0.2235277</v>
      </c>
      <c r="X2055">
        <v>0.97451259999999995</v>
      </c>
      <c r="Y2055">
        <v>-0.23905650000000001</v>
      </c>
      <c r="Z2055">
        <v>1.245349E-3</v>
      </c>
      <c r="AA2055">
        <v>0.9710048</v>
      </c>
      <c r="AB2055">
        <v>39</v>
      </c>
      <c r="AC2055">
        <v>-59.095699999999901</v>
      </c>
      <c r="AD2055">
        <v>1.4207969999999901</v>
      </c>
      <c r="AE2055">
        <v>-14.508800000000001</v>
      </c>
      <c r="AF2055">
        <v>-14.632110353784499</v>
      </c>
      <c r="AG2055">
        <v>1.4207969999999901</v>
      </c>
      <c r="AH2055">
        <v>59.031130375838103</v>
      </c>
      <c r="AI2055">
        <v>88.661720470340995</v>
      </c>
      <c r="AJ2055">
        <v>103.921383425901</v>
      </c>
      <c r="AK2055">
        <v>60.834132450210397</v>
      </c>
      <c r="AL2055">
        <v>77.083682823455007</v>
      </c>
      <c r="AM2055">
        <v>88.883837488372507</v>
      </c>
      <c r="AN2055">
        <v>0.99999996560280402</v>
      </c>
    </row>
    <row r="2056" spans="1:40" x14ac:dyDescent="0.25">
      <c r="A2056" t="str">
        <f>"20190303170538162"</f>
        <v>20190303170538162</v>
      </c>
      <c r="B2056" t="str">
        <f>"1551603938156388"</f>
        <v>1551603938156388</v>
      </c>
      <c r="C2056" t="s">
        <v>40</v>
      </c>
      <c r="D2056">
        <v>5.0110679999999999</v>
      </c>
      <c r="E2056">
        <v>0.39939279999999999</v>
      </c>
      <c r="F2056" t="s">
        <v>69</v>
      </c>
      <c r="G2056">
        <v>-453.96730000000002</v>
      </c>
      <c r="H2056">
        <v>2.5662090000000002</v>
      </c>
      <c r="I2056">
        <v>270.08600000000001</v>
      </c>
      <c r="J2056">
        <v>-395.59649999999999</v>
      </c>
      <c r="K2056">
        <v>1.120838</v>
      </c>
      <c r="L2056">
        <v>284.59609999999998</v>
      </c>
      <c r="M2056">
        <v>-0.99990480000000004</v>
      </c>
      <c r="N2056">
        <v>-1.35795E-2</v>
      </c>
      <c r="O2056">
        <v>2.490927E-3</v>
      </c>
      <c r="P2056">
        <v>-0.97753350000000006</v>
      </c>
      <c r="Q2056">
        <v>0.20970710000000001</v>
      </c>
      <c r="R2056">
        <v>2.125322E-2</v>
      </c>
      <c r="S2056">
        <v>-3.0693049999999999</v>
      </c>
      <c r="T2056">
        <v>7.5475810000000004E-2</v>
      </c>
      <c r="U2056">
        <v>-0.75762940000000001</v>
      </c>
      <c r="V2056">
        <v>1.89753E-2</v>
      </c>
      <c r="W2056">
        <v>0.22294949999999999</v>
      </c>
      <c r="X2056">
        <v>0.97464530000000005</v>
      </c>
      <c r="Y2056">
        <v>-0.24203440000000001</v>
      </c>
      <c r="Z2056">
        <v>1.3572860000000001E-3</v>
      </c>
      <c r="AA2056">
        <v>0.97026670000000004</v>
      </c>
      <c r="AB2056">
        <v>39</v>
      </c>
      <c r="AC2056">
        <v>-58.370800000000003</v>
      </c>
      <c r="AD2056">
        <v>1.445371</v>
      </c>
      <c r="AE2056">
        <v>-14.5100999999999</v>
      </c>
      <c r="AF2056">
        <v>-14.647007610960699</v>
      </c>
      <c r="AG2056">
        <v>1.445371</v>
      </c>
      <c r="AH2056">
        <v>58.300805178032299</v>
      </c>
      <c r="AI2056">
        <v>88.622621998578694</v>
      </c>
      <c r="AJ2056">
        <v>104.102641583614</v>
      </c>
      <c r="AK2056">
        <v>60.129924444406697</v>
      </c>
      <c r="AL2056">
        <v>77.117669390164394</v>
      </c>
      <c r="AM2056">
        <v>88.884653451012795</v>
      </c>
      <c r="AN2056">
        <v>1.00000000118621</v>
      </c>
    </row>
    <row r="2057" spans="1:40" x14ac:dyDescent="0.25">
      <c r="A2057" t="str">
        <f>"20190303170538184"</f>
        <v>20190303170538184</v>
      </c>
      <c r="B2057" t="str">
        <f>"1551603938176476"</f>
        <v>1551603938176476</v>
      </c>
      <c r="C2057" t="s">
        <v>40</v>
      </c>
      <c r="D2057">
        <v>4.9997720000000001</v>
      </c>
      <c r="E2057">
        <v>0.39892879999999997</v>
      </c>
      <c r="F2057" t="s">
        <v>69</v>
      </c>
      <c r="G2057">
        <v>-453.8073</v>
      </c>
      <c r="H2057">
        <v>2.5491130000000002</v>
      </c>
      <c r="I2057">
        <v>270.08600000000001</v>
      </c>
      <c r="J2057">
        <v>-395.98099999999999</v>
      </c>
      <c r="K2057">
        <v>1.1208340000000001</v>
      </c>
      <c r="L2057">
        <v>284.59730000000002</v>
      </c>
      <c r="M2057">
        <v>-0.99990440000000003</v>
      </c>
      <c r="N2057">
        <v>-1.3557039999999999E-2</v>
      </c>
      <c r="O2057">
        <v>2.744088E-3</v>
      </c>
      <c r="P2057">
        <v>-0.97765559999999996</v>
      </c>
      <c r="Q2057">
        <v>0.20907980000000001</v>
      </c>
      <c r="R2057">
        <v>2.179977E-2</v>
      </c>
      <c r="S2057">
        <v>-3.0694270000000001</v>
      </c>
      <c r="T2057">
        <v>7.5312850000000001E-2</v>
      </c>
      <c r="U2057">
        <v>-0.76510619999999996</v>
      </c>
      <c r="V2057">
        <v>1.9273559999999999E-2</v>
      </c>
      <c r="W2057">
        <v>0.2223019</v>
      </c>
      <c r="X2057">
        <v>0.97478739999999997</v>
      </c>
      <c r="Y2057">
        <v>-0.2444964</v>
      </c>
      <c r="Z2057">
        <v>1.3743830000000001E-3</v>
      </c>
      <c r="AA2057">
        <v>0.96964919999999999</v>
      </c>
      <c r="AB2057">
        <v>39</v>
      </c>
      <c r="AC2057">
        <v>-57.826300000000003</v>
      </c>
      <c r="AD2057">
        <v>1.4282790000000001</v>
      </c>
      <c r="AE2057">
        <v>-14.5113</v>
      </c>
      <c r="AF2057">
        <v>-14.6615258170287</v>
      </c>
      <c r="AG2057">
        <v>1.4282790000000001</v>
      </c>
      <c r="AH2057">
        <v>57.753112539280202</v>
      </c>
      <c r="AI2057">
        <v>88.626859545935503</v>
      </c>
      <c r="AJ2057">
        <v>104.244504739283</v>
      </c>
      <c r="AK2057">
        <v>59.602200698967501</v>
      </c>
      <c r="AL2057">
        <v>77.155729796602401</v>
      </c>
      <c r="AM2057">
        <v>88.8672917030392</v>
      </c>
      <c r="AN2057">
        <v>1.0000000400287199</v>
      </c>
    </row>
    <row r="2058" spans="1:40" x14ac:dyDescent="0.25">
      <c r="A2058" t="str">
        <f>"20190303170538205"</f>
        <v>20190303170538205</v>
      </c>
      <c r="B2058" t="str">
        <f>"1551603938196951"</f>
        <v>1551603938196951</v>
      </c>
      <c r="C2058" t="s">
        <v>40</v>
      </c>
      <c r="D2058">
        <v>5.0229489999999997</v>
      </c>
      <c r="E2058">
        <v>0.39846179999999998</v>
      </c>
      <c r="F2058" t="s">
        <v>69</v>
      </c>
      <c r="G2058">
        <v>-454.11720000000003</v>
      </c>
      <c r="H2058">
        <v>2.4962689999999998</v>
      </c>
      <c r="I2058">
        <v>270.08609999999999</v>
      </c>
      <c r="J2058">
        <v>-396.36489999999998</v>
      </c>
      <c r="K2058">
        <v>1.12083</v>
      </c>
      <c r="L2058">
        <v>284.59859999999998</v>
      </c>
      <c r="M2058">
        <v>-0.99990389999999996</v>
      </c>
      <c r="N2058">
        <v>-1.353677E-2</v>
      </c>
      <c r="O2058">
        <v>2.9963960000000001E-3</v>
      </c>
      <c r="P2058">
        <v>-0.97771330000000001</v>
      </c>
      <c r="Q2058">
        <v>0.20875389999999999</v>
      </c>
      <c r="R2058">
        <v>2.2324090000000001E-2</v>
      </c>
      <c r="S2058">
        <v>-3.0701290000000001</v>
      </c>
      <c r="T2058">
        <v>7.2636370000000006E-2</v>
      </c>
      <c r="U2058">
        <v>-0.76632690000000003</v>
      </c>
      <c r="V2058">
        <v>1.95509E-2</v>
      </c>
      <c r="W2058">
        <v>0.22195690000000001</v>
      </c>
      <c r="X2058">
        <v>0.97486039999999996</v>
      </c>
      <c r="Y2058">
        <v>-0.2450552</v>
      </c>
      <c r="Z2058">
        <v>1.2806110000000001E-3</v>
      </c>
      <c r="AA2058">
        <v>0.96950829999999999</v>
      </c>
      <c r="AB2058">
        <v>39</v>
      </c>
      <c r="AC2058">
        <v>-57.752299999999998</v>
      </c>
      <c r="AD2058">
        <v>1.3754390000000001</v>
      </c>
      <c r="AE2058">
        <v>-14.5124999999999</v>
      </c>
      <c r="AF2058">
        <v>-14.6776686152508</v>
      </c>
      <c r="AG2058">
        <v>1.3754390000000001</v>
      </c>
      <c r="AH2058">
        <v>57.677779226644702</v>
      </c>
      <c r="AI2058">
        <v>88.676107964522402</v>
      </c>
      <c r="AJ2058">
        <v>104.277412549776</v>
      </c>
      <c r="AK2058">
        <v>59.531941047973703</v>
      </c>
      <c r="AL2058">
        <v>77.176002172543207</v>
      </c>
      <c r="AM2058">
        <v>88.851082770112399</v>
      </c>
      <c r="AN2058">
        <v>0.99999995131828801</v>
      </c>
    </row>
    <row r="2059" spans="1:40" x14ac:dyDescent="0.25">
      <c r="A2059" t="str">
        <f>"20190303170538228"</f>
        <v>20190303170538228</v>
      </c>
      <c r="B2059" t="str">
        <f>"1551603938216471"</f>
        <v>1551603938216471</v>
      </c>
      <c r="C2059" t="s">
        <v>40</v>
      </c>
      <c r="D2059">
        <v>5.0484359999999997</v>
      </c>
      <c r="E2059">
        <v>0.39802029999999999</v>
      </c>
      <c r="F2059" t="s">
        <v>69</v>
      </c>
      <c r="G2059">
        <v>-454.32100000000003</v>
      </c>
      <c r="H2059">
        <v>2.4906959999999998</v>
      </c>
      <c r="I2059">
        <v>270.08609999999999</v>
      </c>
      <c r="J2059">
        <v>-396.7516</v>
      </c>
      <c r="K2059">
        <v>1.1208260000000001</v>
      </c>
      <c r="L2059">
        <v>284.60000000000002</v>
      </c>
      <c r="M2059">
        <v>-0.99990330000000005</v>
      </c>
      <c r="N2059">
        <v>-1.3517380000000001E-2</v>
      </c>
      <c r="O2059">
        <v>3.252198E-3</v>
      </c>
      <c r="P2059">
        <v>-0.97771050000000004</v>
      </c>
      <c r="Q2059">
        <v>0.20866280000000001</v>
      </c>
      <c r="R2059">
        <v>2.3285730000000001E-2</v>
      </c>
      <c r="S2059">
        <v>-3.070465</v>
      </c>
      <c r="T2059">
        <v>7.2574849999999996E-2</v>
      </c>
      <c r="U2059">
        <v>-0.76885990000000004</v>
      </c>
      <c r="V2059">
        <v>2.0261870000000001E-2</v>
      </c>
      <c r="W2059">
        <v>0.2218463</v>
      </c>
      <c r="X2059">
        <v>0.97487109999999999</v>
      </c>
      <c r="Y2059">
        <v>-0.24603079999999999</v>
      </c>
      <c r="Z2059">
        <v>1.29375E-3</v>
      </c>
      <c r="AA2059">
        <v>0.96926120000000004</v>
      </c>
      <c r="AB2059">
        <v>39</v>
      </c>
      <c r="AC2059">
        <v>-57.569399999999902</v>
      </c>
      <c r="AD2059">
        <v>1.3698699999999899</v>
      </c>
      <c r="AE2059">
        <v>-14.5139</v>
      </c>
      <c r="AF2059">
        <v>-14.693245197137401</v>
      </c>
      <c r="AG2059">
        <v>1.3698699999999899</v>
      </c>
      <c r="AH2059">
        <v>57.491282490754102</v>
      </c>
      <c r="AI2059">
        <v>88.677537796103096</v>
      </c>
      <c r="AJ2059">
        <v>104.33639763693</v>
      </c>
      <c r="AK2059">
        <v>59.354996088550102</v>
      </c>
      <c r="AL2059">
        <v>77.182501652838297</v>
      </c>
      <c r="AM2059">
        <v>88.809327187689703</v>
      </c>
      <c r="AN2059">
        <v>0.99999999290739805</v>
      </c>
    </row>
    <row r="2060" spans="1:40" x14ac:dyDescent="0.25">
      <c r="A2060" t="str">
        <f>"20190303170538251"</f>
        <v>20190303170538251</v>
      </c>
      <c r="B2060" t="str">
        <f>"1551603938246728"</f>
        <v>1551603938246728</v>
      </c>
      <c r="C2060" t="s">
        <v>40</v>
      </c>
      <c r="D2060">
        <v>5.0111299999999996</v>
      </c>
      <c r="E2060">
        <v>0.39753139999999998</v>
      </c>
      <c r="F2060" t="s">
        <v>69</v>
      </c>
      <c r="G2060">
        <v>-454.70940000000002</v>
      </c>
      <c r="H2060">
        <v>2.4969899999999998</v>
      </c>
      <c r="I2060">
        <v>270.08609999999999</v>
      </c>
      <c r="J2060">
        <v>-397.1508</v>
      </c>
      <c r="K2060">
        <v>1.120819</v>
      </c>
      <c r="L2060">
        <v>284.60160000000002</v>
      </c>
      <c r="M2060">
        <v>-0.99990270000000003</v>
      </c>
      <c r="N2060">
        <v>-1.349475E-2</v>
      </c>
      <c r="O2060">
        <v>3.516669E-3</v>
      </c>
      <c r="P2060">
        <v>-0.97769430000000002</v>
      </c>
      <c r="Q2060">
        <v>0.20863470000000001</v>
      </c>
      <c r="R2060">
        <v>2.4192620000000001E-2</v>
      </c>
      <c r="S2060">
        <v>-3.0711059999999999</v>
      </c>
      <c r="T2060">
        <v>7.2921749999999994E-2</v>
      </c>
      <c r="U2060">
        <v>-0.76907349999999997</v>
      </c>
      <c r="V2060">
        <v>2.090972E-2</v>
      </c>
      <c r="W2060">
        <v>0.2217961</v>
      </c>
      <c r="X2060">
        <v>0.97486879999999998</v>
      </c>
      <c r="Y2060">
        <v>-0.2463022</v>
      </c>
      <c r="Z2060">
        <v>1.3209329999999901E-3</v>
      </c>
      <c r="AA2060">
        <v>0.9691921</v>
      </c>
      <c r="AB2060">
        <v>39</v>
      </c>
      <c r="AC2060">
        <v>-57.558599999999998</v>
      </c>
      <c r="AD2060">
        <v>1.376171</v>
      </c>
      <c r="AE2060">
        <v>-14.515499999999999</v>
      </c>
      <c r="AF2060">
        <v>-14.709937200751201</v>
      </c>
      <c r="AG2060">
        <v>1.376171</v>
      </c>
      <c r="AH2060">
        <v>57.476301898573603</v>
      </c>
      <c r="AI2060">
        <v>88.671224732984996</v>
      </c>
      <c r="AJ2060">
        <v>104.355597955536</v>
      </c>
      <c r="AK2060">
        <v>59.344767073493998</v>
      </c>
      <c r="AL2060">
        <v>77.185450850783397</v>
      </c>
      <c r="AM2060">
        <v>88.7712653860101</v>
      </c>
      <c r="AN2060">
        <v>0.99999995178956302</v>
      </c>
    </row>
    <row r="2061" spans="1:40" x14ac:dyDescent="0.25">
      <c r="A2061" t="str">
        <f>"20190303170538273"</f>
        <v>20190303170538273</v>
      </c>
      <c r="B2061" t="str">
        <f>"1551603938267224"</f>
        <v>1551603938267224</v>
      </c>
      <c r="C2061" t="s">
        <v>40</v>
      </c>
      <c r="D2061">
        <v>5.061337</v>
      </c>
      <c r="E2061">
        <v>0.38990770000000002</v>
      </c>
      <c r="F2061" t="s">
        <v>69</v>
      </c>
      <c r="G2061">
        <v>-455.03919999999999</v>
      </c>
      <c r="H2061">
        <v>2.5154540000000001</v>
      </c>
      <c r="I2061">
        <v>270.08609999999999</v>
      </c>
      <c r="J2061">
        <v>-397.53210000000001</v>
      </c>
      <c r="K2061">
        <v>1.1208089999999999</v>
      </c>
      <c r="L2061">
        <v>284.60320000000002</v>
      </c>
      <c r="M2061">
        <v>-0.99990230000000002</v>
      </c>
      <c r="N2061">
        <v>-1.3470009999999999E-2</v>
      </c>
      <c r="O2061">
        <v>3.7690660000000002E-3</v>
      </c>
      <c r="P2061">
        <v>-0.9777458</v>
      </c>
      <c r="Q2061">
        <v>0.2083304</v>
      </c>
      <c r="R2061">
        <v>2.4738679999999999E-2</v>
      </c>
      <c r="S2061">
        <v>-3.0717159999999999</v>
      </c>
      <c r="T2061">
        <v>7.4003819999999998E-2</v>
      </c>
      <c r="U2061">
        <v>-0.77023319999999995</v>
      </c>
      <c r="V2061">
        <v>2.1208709999999999E-2</v>
      </c>
      <c r="W2061">
        <v>0.22146779999999999</v>
      </c>
      <c r="X2061">
        <v>0.97493700000000005</v>
      </c>
      <c r="Y2061">
        <v>-0.24684400000000001</v>
      </c>
      <c r="Z2061">
        <v>1.3791439999999999E-3</v>
      </c>
      <c r="AA2061">
        <v>0.96905419999999998</v>
      </c>
      <c r="AB2061">
        <v>39</v>
      </c>
      <c r="AC2061">
        <v>-57.507099999999902</v>
      </c>
      <c r="AD2061">
        <v>1.3946449999999999</v>
      </c>
      <c r="AE2061">
        <v>-14.517099999999999</v>
      </c>
      <c r="AF2061">
        <v>-14.725622613271501</v>
      </c>
      <c r="AG2061">
        <v>1.3946449999999999</v>
      </c>
      <c r="AH2061">
        <v>57.4202223613892</v>
      </c>
      <c r="AI2061">
        <v>88.652248276349894</v>
      </c>
      <c r="AJ2061">
        <v>104.383724653333</v>
      </c>
      <c r="AK2061">
        <v>59.2947799730794</v>
      </c>
      <c r="AL2061">
        <v>77.204741090121104</v>
      </c>
      <c r="AM2061">
        <v>88.753788254990795</v>
      </c>
      <c r="AN2061">
        <v>0.99999997489285097</v>
      </c>
    </row>
    <row r="2062" spans="1:40" x14ac:dyDescent="0.25">
      <c r="A2062" t="str">
        <f>"20190303170538295"</f>
        <v>20190303170538295</v>
      </c>
      <c r="B2062" t="str">
        <f>"1551603938286378"</f>
        <v>1551603938286378</v>
      </c>
      <c r="C2062" t="s">
        <v>40</v>
      </c>
      <c r="D2062">
        <v>5.0995920000000003</v>
      </c>
      <c r="E2062">
        <v>0.3888201</v>
      </c>
      <c r="F2062" t="s">
        <v>69</v>
      </c>
      <c r="G2062">
        <v>-451.35669999999999</v>
      </c>
      <c r="H2062">
        <v>2.7462420000000001</v>
      </c>
      <c r="I2062">
        <v>270.08600000000001</v>
      </c>
      <c r="J2062">
        <v>-397.91759999999999</v>
      </c>
      <c r="K2062">
        <v>1.1208009999999999</v>
      </c>
      <c r="L2062">
        <v>284.60489999999999</v>
      </c>
      <c r="M2062">
        <v>-0.9999015</v>
      </c>
      <c r="N2062">
        <v>-1.344161E-2</v>
      </c>
      <c r="O2062">
        <v>4.02352E-3</v>
      </c>
      <c r="P2062">
        <v>-0.97765489999999999</v>
      </c>
      <c r="Q2062">
        <v>0.20866750000000001</v>
      </c>
      <c r="R2062">
        <v>2.5471899999999999E-2</v>
      </c>
      <c r="S2062">
        <v>-3.0694889999999999</v>
      </c>
      <c r="T2062">
        <v>9.2695120000000006E-2</v>
      </c>
      <c r="U2062">
        <v>-0.82788090000000003</v>
      </c>
      <c r="V2062">
        <v>2.1694049999999999E-2</v>
      </c>
      <c r="W2062">
        <v>0.221776</v>
      </c>
      <c r="X2062">
        <v>0.97485630000000001</v>
      </c>
      <c r="Y2062">
        <v>-0.26422689999999999</v>
      </c>
      <c r="Z2062">
        <v>2.2840030000000002E-3</v>
      </c>
      <c r="AA2062">
        <v>0.96445789999999998</v>
      </c>
      <c r="AB2062">
        <v>39</v>
      </c>
      <c r="AC2062">
        <v>-53.439100000000003</v>
      </c>
      <c r="AD2062">
        <v>1.6254409999999899</v>
      </c>
      <c r="AE2062">
        <v>-14.518899999999901</v>
      </c>
      <c r="AF2062">
        <v>-14.7211317881657</v>
      </c>
      <c r="AG2062">
        <v>1.6254409999999899</v>
      </c>
      <c r="AH2062">
        <v>53.334293369132098</v>
      </c>
      <c r="AI2062">
        <v>88.3172525498602</v>
      </c>
      <c r="AJ2062">
        <v>105.430370333176</v>
      </c>
      <c r="AK2062">
        <v>55.3525123978458</v>
      </c>
      <c r="AL2062">
        <v>77.186632744213696</v>
      </c>
      <c r="AM2062">
        <v>88.725173768526801</v>
      </c>
      <c r="AN2062">
        <v>1.00000001581554</v>
      </c>
    </row>
    <row r="2063" spans="1:40" x14ac:dyDescent="0.25">
      <c r="A2063" t="str">
        <f>"20190303170538308"</f>
        <v>20190303170538308</v>
      </c>
      <c r="B2063" t="str">
        <f>"1551603938297115"</f>
        <v>1551603938297115</v>
      </c>
      <c r="C2063" t="s">
        <v>40</v>
      </c>
      <c r="D2063">
        <v>5.0847819999999997</v>
      </c>
      <c r="E2063">
        <v>0.38850489999999999</v>
      </c>
      <c r="F2063" t="s">
        <v>69</v>
      </c>
      <c r="G2063">
        <v>-451.36279999999999</v>
      </c>
      <c r="H2063">
        <v>2.7755640000000001</v>
      </c>
      <c r="I2063">
        <v>270.08600000000001</v>
      </c>
      <c r="J2063">
        <v>-398.15280000000001</v>
      </c>
      <c r="K2063">
        <v>1.1208009999999999</v>
      </c>
      <c r="L2063">
        <v>284.60599999999999</v>
      </c>
      <c r="M2063">
        <v>-0.99990120000000005</v>
      </c>
      <c r="N2063">
        <v>-1.3422770000000001E-2</v>
      </c>
      <c r="O2063">
        <v>4.1777239999999998E-3</v>
      </c>
      <c r="P2063">
        <v>-0.97761810000000005</v>
      </c>
      <c r="Q2063">
        <v>0.20878569999999999</v>
      </c>
      <c r="R2063">
        <v>2.5913019999999998E-2</v>
      </c>
      <c r="S2063">
        <v>-3.0699459999999998</v>
      </c>
      <c r="T2063">
        <v>9.5051999999999998E-2</v>
      </c>
      <c r="U2063">
        <v>-0.83398439999999996</v>
      </c>
      <c r="V2063">
        <v>2.198497E-2</v>
      </c>
      <c r="W2063">
        <v>0.22187499999999999</v>
      </c>
      <c r="X2063">
        <v>0.9748272</v>
      </c>
      <c r="Y2063">
        <v>-0.26612039999999998</v>
      </c>
      <c r="Z2063">
        <v>2.4095459999999998E-3</v>
      </c>
      <c r="AA2063">
        <v>0.96393680000000004</v>
      </c>
      <c r="AB2063">
        <v>39</v>
      </c>
      <c r="AC2063">
        <v>-53.209999999999901</v>
      </c>
      <c r="AD2063">
        <v>1.654763</v>
      </c>
      <c r="AE2063">
        <v>-14.5199999999999</v>
      </c>
      <c r="AF2063">
        <v>-14.7289323975159</v>
      </c>
      <c r="AG2063">
        <v>1.654763</v>
      </c>
      <c r="AH2063">
        <v>53.101073007101199</v>
      </c>
      <c r="AI2063">
        <v>88.279995924499801</v>
      </c>
      <c r="AJ2063">
        <v>105.502706733856</v>
      </c>
      <c r="AK2063">
        <v>55.130786722685698</v>
      </c>
      <c r="AL2063">
        <v>77.180814835304503</v>
      </c>
      <c r="AM2063">
        <v>88.7080453879488</v>
      </c>
      <c r="AN2063">
        <v>0.99999996219536902</v>
      </c>
    </row>
    <row r="2064" spans="1:40" x14ac:dyDescent="0.25">
      <c r="A2064" t="str">
        <f>"20190303170538329"</f>
        <v>20190303170538329</v>
      </c>
      <c r="B2064" t="str">
        <f>"1551603938316634"</f>
        <v>1551603938316634</v>
      </c>
      <c r="C2064" t="s">
        <v>40</v>
      </c>
      <c r="D2064">
        <v>5.3326849999999997</v>
      </c>
      <c r="E2064">
        <v>0.38884049999999998</v>
      </c>
      <c r="F2064" t="s">
        <v>69</v>
      </c>
      <c r="G2064">
        <v>-451.5247</v>
      </c>
      <c r="H2064">
        <v>2.7978329999999998</v>
      </c>
      <c r="I2064">
        <v>270.08589999999998</v>
      </c>
      <c r="J2064">
        <v>-398.49810000000002</v>
      </c>
      <c r="K2064">
        <v>1.1207959999999999</v>
      </c>
      <c r="L2064">
        <v>284.60770000000002</v>
      </c>
      <c r="M2064">
        <v>-0.99990060000000003</v>
      </c>
      <c r="N2064">
        <v>-1.339272E-2</v>
      </c>
      <c r="O2064">
        <v>4.4028749999999997E-3</v>
      </c>
      <c r="P2064">
        <v>-0.97753449999999997</v>
      </c>
      <c r="Q2064">
        <v>0.20907970000000001</v>
      </c>
      <c r="R2064">
        <v>2.6687200000000001E-2</v>
      </c>
      <c r="S2064">
        <v>-3.0702210000000001</v>
      </c>
      <c r="T2064">
        <v>9.6472139999999998E-2</v>
      </c>
      <c r="U2064">
        <v>-0.83526610000000001</v>
      </c>
      <c r="V2064">
        <v>2.2540459999999998E-2</v>
      </c>
      <c r="W2064">
        <v>0.22213830000000001</v>
      </c>
      <c r="X2064">
        <v>0.97475460000000003</v>
      </c>
      <c r="Y2064">
        <v>-0.26668709999999901</v>
      </c>
      <c r="Z2064">
        <v>2.4899010000000001E-3</v>
      </c>
      <c r="AA2064">
        <v>0.96377999999999997</v>
      </c>
      <c r="AB2064">
        <v>39</v>
      </c>
      <c r="AC2064">
        <v>-53.026599999999902</v>
      </c>
      <c r="AD2064">
        <v>1.6770369999999999</v>
      </c>
      <c r="AE2064">
        <v>-14.521800000000001</v>
      </c>
      <c r="AF2064">
        <v>-14.741433591342799</v>
      </c>
      <c r="AG2064">
        <v>1.6770369999999999</v>
      </c>
      <c r="AH2064">
        <v>52.912910078996802</v>
      </c>
      <c r="AI2064">
        <v>88.251214489646003</v>
      </c>
      <c r="AJ2064">
        <v>105.567733292165</v>
      </c>
      <c r="AK2064">
        <v>54.953601978899897</v>
      </c>
      <c r="AL2064">
        <v>77.165343421387405</v>
      </c>
      <c r="AM2064">
        <v>88.675314685973603</v>
      </c>
      <c r="AN2064">
        <v>1.00000001344253</v>
      </c>
    </row>
    <row r="2065" spans="1:40" x14ac:dyDescent="0.25">
      <c r="A2065" t="str">
        <f>"20190303170538342"</f>
        <v>20190303170538342</v>
      </c>
      <c r="B2065" t="str">
        <f>"1551603938326395"</f>
        <v>1551603938326395</v>
      </c>
      <c r="C2065" t="s">
        <v>40</v>
      </c>
      <c r="D2065">
        <v>4.9420109999999999</v>
      </c>
      <c r="E2065">
        <v>0.42821619999999999</v>
      </c>
      <c r="F2065" t="s">
        <v>69</v>
      </c>
      <c r="G2065">
        <v>-452.20870000000002</v>
      </c>
      <c r="H2065">
        <v>2.8166060000000002</v>
      </c>
      <c r="I2065">
        <v>270.08589999999998</v>
      </c>
      <c r="J2065">
        <v>-398.7276</v>
      </c>
      <c r="K2065">
        <v>1.120795</v>
      </c>
      <c r="L2065">
        <v>284.60890000000001</v>
      </c>
      <c r="M2065">
        <v>-0.99990029999999996</v>
      </c>
      <c r="N2065">
        <v>-1.337175E-2</v>
      </c>
      <c r="O2065">
        <v>4.552202E-3</v>
      </c>
      <c r="P2065">
        <v>-0.97753159999999895</v>
      </c>
      <c r="Q2065">
        <v>0.2090843</v>
      </c>
      <c r="R2065">
        <v>2.6753760000000001E-2</v>
      </c>
      <c r="S2065">
        <v>-3.0708310000000001</v>
      </c>
      <c r="T2065">
        <v>9.6956249999999994E-2</v>
      </c>
      <c r="U2065">
        <v>-0.83026119999999903</v>
      </c>
      <c r="V2065">
        <v>2.2461169999999999E-2</v>
      </c>
      <c r="W2065">
        <v>0.22212290000000001</v>
      </c>
      <c r="X2065">
        <v>0.97475990000000001</v>
      </c>
      <c r="Y2065">
        <v>-0.265318099999999</v>
      </c>
      <c r="Z2065">
        <v>2.5091190000000002E-3</v>
      </c>
      <c r="AA2065">
        <v>0.96415759999999995</v>
      </c>
      <c r="AB2065">
        <v>39</v>
      </c>
      <c r="AC2065">
        <v>-53.481099999999998</v>
      </c>
      <c r="AD2065">
        <v>1.695811</v>
      </c>
      <c r="AE2065">
        <v>-14.523</v>
      </c>
      <c r="AF2065">
        <v>-14.752513983599099</v>
      </c>
      <c r="AG2065">
        <v>1.695811</v>
      </c>
      <c r="AH2065">
        <v>53.364458545949198</v>
      </c>
      <c r="AI2065">
        <v>88.245632390868195</v>
      </c>
      <c r="AJ2065">
        <v>105.453370003578</v>
      </c>
      <c r="AK2065">
        <v>55.3920380531926</v>
      </c>
      <c r="AL2065">
        <v>77.166247880182098</v>
      </c>
      <c r="AM2065">
        <v>88.679980020757796</v>
      </c>
      <c r="AN2065">
        <v>0.99999997475509395</v>
      </c>
    </row>
    <row r="2066" spans="1:40" x14ac:dyDescent="0.25">
      <c r="A2066" t="str">
        <f>"20190303170538364"</f>
        <v>20190303170538364</v>
      </c>
      <c r="B2066" t="str">
        <f>"1551603938356651"</f>
        <v>1551603938356651</v>
      </c>
      <c r="C2066" t="s">
        <v>40</v>
      </c>
      <c r="D2066">
        <v>5.1341029999999996</v>
      </c>
      <c r="E2066">
        <v>0.44647209999999898</v>
      </c>
      <c r="F2066" t="s">
        <v>68</v>
      </c>
      <c r="G2066">
        <v>-512.82569999999998</v>
      </c>
      <c r="H2066">
        <v>1.625011</v>
      </c>
      <c r="I2066">
        <v>265.37240000000003</v>
      </c>
      <c r="J2066">
        <v>-399.09879999999998</v>
      </c>
      <c r="K2066">
        <v>1.1207929999999999</v>
      </c>
      <c r="L2066">
        <v>284.61079999999998</v>
      </c>
      <c r="M2066">
        <v>-0.9998996</v>
      </c>
      <c r="N2066">
        <v>-1.3338829999999999E-2</v>
      </c>
      <c r="O2066">
        <v>4.7922549999999996E-3</v>
      </c>
      <c r="P2066">
        <v>-0.97750729999999997</v>
      </c>
      <c r="Q2066">
        <v>0.20918980000000001</v>
      </c>
      <c r="R2066">
        <v>2.682124E-2</v>
      </c>
      <c r="S2066">
        <v>-3.0802610000000001</v>
      </c>
      <c r="T2066">
        <v>1.361418E-2</v>
      </c>
      <c r="U2066">
        <v>-0.51931759999999905</v>
      </c>
      <c r="V2066">
        <v>2.2294339999999999E-2</v>
      </c>
      <c r="W2066">
        <v>0.2221959</v>
      </c>
      <c r="X2066">
        <v>0.97474709999999998</v>
      </c>
      <c r="Y2066">
        <v>-0.17097570000000001</v>
      </c>
      <c r="Z2066">
        <v>-6.8864209999999998E-4</v>
      </c>
      <c r="AA2066">
        <v>0.98527500000000001</v>
      </c>
      <c r="AB2066">
        <v>39</v>
      </c>
      <c r="AC2066">
        <v>-113.7269</v>
      </c>
      <c r="AD2066">
        <v>0.50421800000000006</v>
      </c>
      <c r="AE2066">
        <v>-19.238399999999899</v>
      </c>
      <c r="AF2066">
        <v>-19.7828577700102</v>
      </c>
      <c r="AG2066">
        <v>0.50421800000000006</v>
      </c>
      <c r="AH2066">
        <v>113.631218860018</v>
      </c>
      <c r="AI2066">
        <v>89.749529469351501</v>
      </c>
      <c r="AJ2066">
        <v>99.876038821764496</v>
      </c>
      <c r="AK2066">
        <v>115.34153456996</v>
      </c>
      <c r="AL2066">
        <v>77.161958185862801</v>
      </c>
      <c r="AM2066">
        <v>88.689763819438994</v>
      </c>
      <c r="AN2066">
        <v>0.99999998226562703</v>
      </c>
    </row>
    <row r="2067" spans="1:40" x14ac:dyDescent="0.25">
      <c r="A2067" t="str">
        <f>"20190303170538385"</f>
        <v>20190303170538385</v>
      </c>
      <c r="B2067" t="str">
        <f>"1551603938377146"</f>
        <v>1551603938377146</v>
      </c>
      <c r="C2067" t="s">
        <v>40</v>
      </c>
      <c r="D2067">
        <v>5.1802519999999896</v>
      </c>
      <c r="E2067">
        <v>0.45542749999999999</v>
      </c>
      <c r="F2067" t="s">
        <v>68</v>
      </c>
      <c r="G2067">
        <v>-512.82539999999995</v>
      </c>
      <c r="H2067">
        <v>0.899111199999999</v>
      </c>
      <c r="I2067">
        <v>270.8073</v>
      </c>
      <c r="J2067">
        <v>-399.48079999999999</v>
      </c>
      <c r="K2067">
        <v>1.1207879999999999</v>
      </c>
      <c r="L2067">
        <v>284.61290000000002</v>
      </c>
      <c r="M2067">
        <v>-0.99989890000000003</v>
      </c>
      <c r="N2067">
        <v>-1.3306989999999999E-2</v>
      </c>
      <c r="O2067">
        <v>5.038954E-3</v>
      </c>
      <c r="P2067">
        <v>-0.9775026</v>
      </c>
      <c r="Q2067">
        <v>0.2092215</v>
      </c>
      <c r="R2067">
        <v>2.6744960000000002E-2</v>
      </c>
      <c r="S2067">
        <v>-3.0805660000000001</v>
      </c>
      <c r="T2067">
        <v>-6.0026649999999999E-3</v>
      </c>
      <c r="U2067">
        <v>-0.37390139999999999</v>
      </c>
      <c r="V2067">
        <v>2.1976229999999999E-2</v>
      </c>
      <c r="W2067">
        <v>0.22219630000000001</v>
      </c>
      <c r="X2067">
        <v>0.97475420000000002</v>
      </c>
      <c r="Y2067">
        <v>-0.12548889999999999</v>
      </c>
      <c r="Z2067">
        <v>-9.0282679999999997E-4</v>
      </c>
      <c r="AA2067">
        <v>0.99209460000000005</v>
      </c>
      <c r="AB2067">
        <v>39</v>
      </c>
      <c r="AC2067">
        <v>-113.34459999999901</v>
      </c>
      <c r="AD2067">
        <v>-0.22167680000000001</v>
      </c>
      <c r="AE2067">
        <v>-13.8056</v>
      </c>
      <c r="AF2067">
        <v>-14.376559231636699</v>
      </c>
      <c r="AG2067">
        <v>-0.22167680000000001</v>
      </c>
      <c r="AH2067">
        <v>113.27316188986499</v>
      </c>
      <c r="AI2067">
        <v>90.111235973146904</v>
      </c>
      <c r="AJ2067">
        <v>97.2332710149999</v>
      </c>
      <c r="AK2067">
        <v>114.18206426786899</v>
      </c>
      <c r="AL2067">
        <v>77.161934264107302</v>
      </c>
      <c r="AM2067">
        <v>88.708462139050894</v>
      </c>
      <c r="AN2067">
        <v>0.99999995041817002</v>
      </c>
    </row>
    <row r="2068" spans="1:40" x14ac:dyDescent="0.25">
      <c r="A2068" t="str">
        <f>"20190303170538406"</f>
        <v>20190303170538406</v>
      </c>
      <c r="B2068" t="str">
        <f>"1551603938396666"</f>
        <v>1551603938396666</v>
      </c>
      <c r="C2068" t="s">
        <v>40</v>
      </c>
      <c r="D2068">
        <v>5.2374609999999997</v>
      </c>
      <c r="E2068">
        <v>0.4604742</v>
      </c>
      <c r="F2068" t="s">
        <v>68</v>
      </c>
      <c r="G2068">
        <v>-512.82529999999997</v>
      </c>
      <c r="H2068">
        <v>0.31715399999999999</v>
      </c>
      <c r="I2068">
        <v>273.44589999999999</v>
      </c>
      <c r="J2068">
        <v>-399.85410000000002</v>
      </c>
      <c r="K2068">
        <v>1.1207929999999999</v>
      </c>
      <c r="L2068">
        <v>284.61509999999998</v>
      </c>
      <c r="M2068">
        <v>-0.99989799999999995</v>
      </c>
      <c r="N2068">
        <v>-1.327772E-2</v>
      </c>
      <c r="O2068">
        <v>5.2813879999999997E-3</v>
      </c>
      <c r="P2068">
        <v>-0.97744819999999999</v>
      </c>
      <c r="Q2068">
        <v>0.2094915</v>
      </c>
      <c r="R2068">
        <v>2.6615929999999999E-2</v>
      </c>
      <c r="S2068">
        <v>-3.0820310000000002</v>
      </c>
      <c r="T2068">
        <v>-2.184999E-2</v>
      </c>
      <c r="U2068">
        <v>-0.30364989999999997</v>
      </c>
      <c r="V2068">
        <v>2.160956E-2</v>
      </c>
      <c r="W2068">
        <v>0.2224381</v>
      </c>
      <c r="X2068">
        <v>0.97470730000000005</v>
      </c>
      <c r="Y2068">
        <v>-0.1032954</v>
      </c>
      <c r="Z2068">
        <v>-1.0201399999999999E-3</v>
      </c>
      <c r="AA2068">
        <v>0.99465020000000004</v>
      </c>
      <c r="AB2068">
        <v>39</v>
      </c>
      <c r="AC2068">
        <v>-112.971199999999</v>
      </c>
      <c r="AD2068">
        <v>-0.80363899999999999</v>
      </c>
      <c r="AE2068">
        <v>-11.169199999999901</v>
      </c>
      <c r="AF2068">
        <v>-11.765151877613601</v>
      </c>
      <c r="AG2068">
        <v>-0.80363899999999999</v>
      </c>
      <c r="AH2068">
        <v>112.904971924102</v>
      </c>
      <c r="AI2068">
        <v>90.405618855853803</v>
      </c>
      <c r="AJ2068">
        <v>95.948980223335994</v>
      </c>
      <c r="AK2068">
        <v>113.51914957190201</v>
      </c>
      <c r="AL2068">
        <v>77.147725198569603</v>
      </c>
      <c r="AM2068">
        <v>88.729943042792897</v>
      </c>
      <c r="AN2068">
        <v>1.0000000010441401</v>
      </c>
    </row>
    <row r="2069" spans="1:40" x14ac:dyDescent="0.25">
      <c r="A2069" t="str">
        <f>"20190303170538429"</f>
        <v>20190303170538429</v>
      </c>
      <c r="B2069" t="str">
        <f>"1551603938417163"</f>
        <v>1551603938417163</v>
      </c>
      <c r="C2069" t="s">
        <v>40</v>
      </c>
      <c r="D2069">
        <v>5.041353</v>
      </c>
      <c r="E2069">
        <v>0.46213609999999999</v>
      </c>
      <c r="F2069" t="s">
        <v>68</v>
      </c>
      <c r="G2069">
        <v>-512.82529999999997</v>
      </c>
      <c r="H2069">
        <v>0.32445159999999901</v>
      </c>
      <c r="I2069">
        <v>274.94720000000001</v>
      </c>
      <c r="J2069">
        <v>-400.24950000000001</v>
      </c>
      <c r="K2069">
        <v>1.1207959999999999</v>
      </c>
      <c r="L2069">
        <v>284.61750000000001</v>
      </c>
      <c r="M2069">
        <v>-0.99989689999999998</v>
      </c>
      <c r="N2069">
        <v>-1.3245079999999999E-2</v>
      </c>
      <c r="O2069">
        <v>5.5401119999999998E-3</v>
      </c>
      <c r="P2069">
        <v>-0.97722109999999995</v>
      </c>
      <c r="Q2069">
        <v>0.2105274</v>
      </c>
      <c r="R2069">
        <v>2.6780979999999999E-2</v>
      </c>
      <c r="S2069">
        <v>-3.0810550000000001</v>
      </c>
      <c r="T2069">
        <v>-2.1716360000000001E-2</v>
      </c>
      <c r="U2069">
        <v>-0.26367190000000001</v>
      </c>
      <c r="V2069">
        <v>2.1522340000000001E-2</v>
      </c>
      <c r="W2069">
        <v>0.2234389</v>
      </c>
      <c r="X2069">
        <v>0.97448029999999997</v>
      </c>
      <c r="Y2069">
        <v>-9.0779310000000002E-2</v>
      </c>
      <c r="Z2069">
        <v>-8.8740259999999904E-4</v>
      </c>
      <c r="AA2069">
        <v>0.99587060000000005</v>
      </c>
      <c r="AB2069">
        <v>39</v>
      </c>
      <c r="AC2069">
        <v>-112.57579999999901</v>
      </c>
      <c r="AD2069">
        <v>-0.79634439999999995</v>
      </c>
      <c r="AE2069">
        <v>-9.6702999999999903</v>
      </c>
      <c r="AF2069">
        <v>-10.2933775418406</v>
      </c>
      <c r="AG2069">
        <v>-0.79634439999999995</v>
      </c>
      <c r="AH2069">
        <v>112.514903867</v>
      </c>
      <c r="AI2069">
        <v>90.403828051208095</v>
      </c>
      <c r="AJ2069">
        <v>95.227129435162695</v>
      </c>
      <c r="AK2069">
        <v>112.98757178478699</v>
      </c>
      <c r="AL2069">
        <v>77.088903217425099</v>
      </c>
      <c r="AM2069">
        <v>88.734772984536406</v>
      </c>
      <c r="AN2069">
        <v>1.00000000412018</v>
      </c>
    </row>
    <row r="2070" spans="1:40" x14ac:dyDescent="0.25">
      <c r="A2070" t="str">
        <f>"20190303170538443"</f>
        <v>20190303170538443</v>
      </c>
      <c r="B2070" t="str">
        <f>"1551603938436682"</f>
        <v>1551603938436682</v>
      </c>
      <c r="C2070" t="s">
        <v>40</v>
      </c>
      <c r="D2070">
        <v>5.0663239999999998</v>
      </c>
      <c r="E2070">
        <v>0.46393250000000003</v>
      </c>
      <c r="F2070" t="s">
        <v>68</v>
      </c>
      <c r="G2070">
        <v>-511.9588</v>
      </c>
      <c r="H2070">
        <v>0.43499569999999999</v>
      </c>
      <c r="I2070">
        <v>275.5659</v>
      </c>
      <c r="J2070">
        <v>-400.48829999999998</v>
      </c>
      <c r="K2070">
        <v>1.1207929999999999</v>
      </c>
      <c r="L2070">
        <v>284.61900000000003</v>
      </c>
      <c r="M2070">
        <v>-0.99989640000000002</v>
      </c>
      <c r="N2070">
        <v>-1.322489E-2</v>
      </c>
      <c r="O2070">
        <v>5.6969150000000003E-3</v>
      </c>
      <c r="P2070">
        <v>-0.97719029999999996</v>
      </c>
      <c r="Q2070">
        <v>0.21070530000000001</v>
      </c>
      <c r="R2070">
        <v>2.6509959999999999E-2</v>
      </c>
      <c r="S2070">
        <v>-3.0808409999999999</v>
      </c>
      <c r="T2070">
        <v>-1.8911480000000001E-2</v>
      </c>
      <c r="U2070">
        <v>-0.24963379999999999</v>
      </c>
      <c r="V2070">
        <v>2.109772E-2</v>
      </c>
      <c r="W2070">
        <v>0.2235974</v>
      </c>
      <c r="X2070">
        <v>0.97445320000000002</v>
      </c>
      <c r="Y2070">
        <v>-8.6435339999999999E-2</v>
      </c>
      <c r="Z2070">
        <v>-7.9707399999999896E-4</v>
      </c>
      <c r="AA2070">
        <v>0.99625710000000001</v>
      </c>
      <c r="AB2070">
        <v>39</v>
      </c>
      <c r="AC2070">
        <v>-111.4705</v>
      </c>
      <c r="AD2070">
        <v>-0.68579729999999905</v>
      </c>
      <c r="AE2070">
        <v>-9.0531000000000201</v>
      </c>
      <c r="AF2070">
        <v>-9.6876822360797092</v>
      </c>
      <c r="AG2070">
        <v>-0.68579729999999905</v>
      </c>
      <c r="AH2070">
        <v>111.41292214070999</v>
      </c>
      <c r="AI2070">
        <v>90.351351457818694</v>
      </c>
      <c r="AJ2070">
        <v>94.969537612057294</v>
      </c>
      <c r="AK2070">
        <v>111.83541802566801</v>
      </c>
      <c r="AL2070">
        <v>77.079585729132205</v>
      </c>
      <c r="AM2070">
        <v>88.759692629207194</v>
      </c>
      <c r="AN2070">
        <v>0.99999997503309901</v>
      </c>
    </row>
    <row r="2071" spans="1:40" x14ac:dyDescent="0.25">
      <c r="A2071" t="str">
        <f>"20190303170538457"</f>
        <v>20190303170538457</v>
      </c>
      <c r="B2071" t="str">
        <f>"1551603938446443"</f>
        <v>1551603938446443</v>
      </c>
      <c r="C2071" t="s">
        <v>40</v>
      </c>
      <c r="D2071">
        <v>5.2185430000000004</v>
      </c>
      <c r="E2071">
        <v>0.46475349999999999</v>
      </c>
      <c r="F2071" t="s">
        <v>68</v>
      </c>
      <c r="G2071">
        <v>-511.9588</v>
      </c>
      <c r="H2071">
        <v>0.40933510000000001</v>
      </c>
      <c r="I2071">
        <v>276.0754</v>
      </c>
      <c r="J2071">
        <v>-400.72559999999999</v>
      </c>
      <c r="K2071">
        <v>1.12079</v>
      </c>
      <c r="L2071">
        <v>284.62049999999999</v>
      </c>
      <c r="M2071">
        <v>-0.9998958</v>
      </c>
      <c r="N2071">
        <v>-1.320296E-2</v>
      </c>
      <c r="O2071">
        <v>5.8518299999999997E-3</v>
      </c>
      <c r="P2071">
        <v>-0.97714710000000005</v>
      </c>
      <c r="Q2071">
        <v>0.21093139999999999</v>
      </c>
      <c r="R2071">
        <v>2.6299699999999999E-2</v>
      </c>
      <c r="S2071">
        <v>-3.0806580000000001</v>
      </c>
      <c r="T2071">
        <v>-1.966E-2</v>
      </c>
      <c r="U2071">
        <v>-0.2361145</v>
      </c>
      <c r="V2071">
        <v>2.0736040000000001E-2</v>
      </c>
      <c r="W2071">
        <v>0.2238019</v>
      </c>
      <c r="X2071">
        <v>0.97441409999999995</v>
      </c>
      <c r="Y2071">
        <v>-8.2248699999999994E-2</v>
      </c>
      <c r="Z2071">
        <v>-7.6600069999999999E-4</v>
      </c>
      <c r="AA2071">
        <v>0.99661149999999998</v>
      </c>
      <c r="AB2071">
        <v>39</v>
      </c>
      <c r="AC2071">
        <v>-111.2332</v>
      </c>
      <c r="AD2071">
        <v>-0.7114549</v>
      </c>
      <c r="AE2071">
        <v>-8.5450999999999908</v>
      </c>
      <c r="AF2071">
        <v>-9.1955541457490693</v>
      </c>
      <c r="AG2071">
        <v>-0.7114549</v>
      </c>
      <c r="AH2071">
        <v>111.17676477486999</v>
      </c>
      <c r="AI2071">
        <v>90.365400900638306</v>
      </c>
      <c r="AJ2071">
        <v>94.728235237187803</v>
      </c>
      <c r="AK2071">
        <v>111.55867249985</v>
      </c>
      <c r="AL2071">
        <v>77.067565156836594</v>
      </c>
      <c r="AM2071">
        <v>88.780899949499997</v>
      </c>
      <c r="AN2071">
        <v>1.00000005603864</v>
      </c>
    </row>
    <row r="2072" spans="1:40" x14ac:dyDescent="0.25">
      <c r="A2072" t="str">
        <f>"20190303170538471"</f>
        <v>20190303170538471</v>
      </c>
      <c r="B2072" t="str">
        <f>"1551603938466938"</f>
        <v>1551603938466938</v>
      </c>
      <c r="C2072" t="s">
        <v>40</v>
      </c>
      <c r="D2072">
        <v>5.2527470000000003</v>
      </c>
      <c r="E2072">
        <v>0.46603240000000001</v>
      </c>
      <c r="F2072" t="s">
        <v>68</v>
      </c>
      <c r="G2072">
        <v>-511.9588</v>
      </c>
      <c r="H2072">
        <v>0.42743789999999998</v>
      </c>
      <c r="I2072">
        <v>276.32150000000001</v>
      </c>
      <c r="J2072">
        <v>-400.97039999999998</v>
      </c>
      <c r="K2072">
        <v>1.120787</v>
      </c>
      <c r="L2072">
        <v>284.62209999999999</v>
      </c>
      <c r="M2072">
        <v>-0.99989519999999998</v>
      </c>
      <c r="N2072">
        <v>-1.317983E-2</v>
      </c>
      <c r="O2072">
        <v>6.0109830000000001E-3</v>
      </c>
      <c r="P2072">
        <v>-0.97710870000000005</v>
      </c>
      <c r="Q2072">
        <v>0.21106040000000001</v>
      </c>
      <c r="R2072">
        <v>2.6688730000000001E-2</v>
      </c>
      <c r="S2072">
        <v>-3.080444</v>
      </c>
      <c r="T2072">
        <v>-1.9199129999999998E-2</v>
      </c>
      <c r="U2072">
        <v>-0.2298279</v>
      </c>
      <c r="V2072">
        <v>2.096949E-2</v>
      </c>
      <c r="W2072">
        <v>0.22390789999999999</v>
      </c>
      <c r="X2072">
        <v>0.97438469999999999</v>
      </c>
      <c r="Y2072">
        <v>-8.0390400000000001E-2</v>
      </c>
      <c r="Z2072">
        <v>-7.3900949999999995E-4</v>
      </c>
      <c r="AA2072">
        <v>0.99676319999999996</v>
      </c>
      <c r="AB2072">
        <v>39</v>
      </c>
      <c r="AC2072">
        <v>-110.9884</v>
      </c>
      <c r="AD2072">
        <v>-0.69334910000000005</v>
      </c>
      <c r="AE2072">
        <v>-8.3005999999999691</v>
      </c>
      <c r="AF2072">
        <v>-8.9673092609176894</v>
      </c>
      <c r="AG2072">
        <v>-0.69334910000000005</v>
      </c>
      <c r="AH2072">
        <v>110.93219032163999</v>
      </c>
      <c r="AI2072">
        <v>90.356941512742097</v>
      </c>
      <c r="AJ2072">
        <v>94.621510044798697</v>
      </c>
      <c r="AK2072">
        <v>111.296200375</v>
      </c>
      <c r="AL2072">
        <v>77.061332998115901</v>
      </c>
      <c r="AM2072">
        <v>88.767142131762199</v>
      </c>
      <c r="AN2072">
        <v>1.0000000053936799</v>
      </c>
    </row>
    <row r="2073" spans="1:40" x14ac:dyDescent="0.25">
      <c r="A2073" t="str">
        <f>"20190303170538485"</f>
        <v>20190303170538485</v>
      </c>
      <c r="B2073" t="str">
        <f>"1551603938476699"</f>
        <v>1551603938476699</v>
      </c>
      <c r="C2073" t="s">
        <v>40</v>
      </c>
      <c r="D2073">
        <v>5.2561540000000004</v>
      </c>
      <c r="E2073">
        <v>0.46649780000000002</v>
      </c>
      <c r="F2073" t="s">
        <v>68</v>
      </c>
      <c r="G2073">
        <v>-511.95870000000002</v>
      </c>
      <c r="H2073">
        <v>0.3193839</v>
      </c>
      <c r="I2073">
        <v>276.74430000000001</v>
      </c>
      <c r="J2073">
        <v>-401.21550000000002</v>
      </c>
      <c r="K2073">
        <v>1.12079</v>
      </c>
      <c r="L2073">
        <v>284.62369999999999</v>
      </c>
      <c r="M2073">
        <v>-0.99989439999999996</v>
      </c>
      <c r="N2073">
        <v>-1.31564E-2</v>
      </c>
      <c r="O2073">
        <v>6.1694159999999996E-3</v>
      </c>
      <c r="P2073">
        <v>-0.97729189999999999</v>
      </c>
      <c r="Q2073">
        <v>0.2102205</v>
      </c>
      <c r="R2073">
        <v>2.6611159999999998E-2</v>
      </c>
      <c r="S2073">
        <v>-3.0810550000000001</v>
      </c>
      <c r="T2073">
        <v>-2.224481E-2</v>
      </c>
      <c r="U2073">
        <v>-0.21868899999999999</v>
      </c>
      <c r="V2073">
        <v>2.0734740000000002E-2</v>
      </c>
      <c r="W2073">
        <v>0.22304760000000001</v>
      </c>
      <c r="X2073">
        <v>0.97458699999999998</v>
      </c>
      <c r="Y2073">
        <v>-7.6947840000000003E-2</v>
      </c>
      <c r="Z2073">
        <v>-7.4770139999999995E-4</v>
      </c>
      <c r="AA2073">
        <v>0.9970348</v>
      </c>
      <c r="AB2073">
        <v>39</v>
      </c>
      <c r="AC2073">
        <v>-110.7432</v>
      </c>
      <c r="AD2073">
        <v>-0.80140609999999901</v>
      </c>
      <c r="AE2073">
        <v>-7.8793999999999702</v>
      </c>
      <c r="AF2073">
        <v>-8.5620839145527601</v>
      </c>
      <c r="AG2073">
        <v>-0.80140609999999901</v>
      </c>
      <c r="AH2073">
        <v>110.686709258845</v>
      </c>
      <c r="AI2073">
        <v>90.413596438239793</v>
      </c>
      <c r="AJ2073">
        <v>94.423261838296895</v>
      </c>
      <c r="AK2073">
        <v>111.02026454323099</v>
      </c>
      <c r="AL2073">
        <v>77.1119033472213</v>
      </c>
      <c r="AM2073">
        <v>88.781192555101697</v>
      </c>
      <c r="AN2073">
        <v>0.99999999093881298</v>
      </c>
    </row>
    <row r="2074" spans="1:40" x14ac:dyDescent="0.25">
      <c r="A2074" t="str">
        <f>"20190303170538506"</f>
        <v>20190303170538506</v>
      </c>
      <c r="B2074" t="str">
        <f>"1551603938497195"</f>
        <v>1551603938497195</v>
      </c>
      <c r="C2074" t="s">
        <v>40</v>
      </c>
      <c r="D2074">
        <v>5.2620279999999999</v>
      </c>
      <c r="E2074">
        <v>0.46725519999999998</v>
      </c>
      <c r="F2074" t="s">
        <v>68</v>
      </c>
      <c r="G2074">
        <v>-511.95870000000002</v>
      </c>
      <c r="H2074">
        <v>0.24723149999999999</v>
      </c>
      <c r="I2074">
        <v>276.88010000000003</v>
      </c>
      <c r="J2074">
        <v>-401.5926</v>
      </c>
      <c r="K2074">
        <v>1.1207910000000001</v>
      </c>
      <c r="L2074">
        <v>284.62630000000001</v>
      </c>
      <c r="M2074">
        <v>-0.99989349999999999</v>
      </c>
      <c r="N2074">
        <v>-1.312174E-2</v>
      </c>
      <c r="O2074">
        <v>6.4082089999999998E-3</v>
      </c>
      <c r="P2074">
        <v>-0.97741239999999996</v>
      </c>
      <c r="Q2074">
        <v>0.20963039999999999</v>
      </c>
      <c r="R2074">
        <v>2.6834520000000001E-2</v>
      </c>
      <c r="S2074">
        <v>-3.0808409999999999</v>
      </c>
      <c r="T2074">
        <v>-2.429986E-2</v>
      </c>
      <c r="U2074">
        <v>-0.21542359999999999</v>
      </c>
      <c r="V2074">
        <v>2.0720659999999998E-2</v>
      </c>
      <c r="W2074">
        <v>0.2224256</v>
      </c>
      <c r="X2074">
        <v>0.97472950000000003</v>
      </c>
      <c r="Y2074">
        <v>-7.6138639999999994E-2</v>
      </c>
      <c r="Z2074">
        <v>-7.6658439999999998E-4</v>
      </c>
      <c r="AA2074">
        <v>0.99709700000000001</v>
      </c>
      <c r="AB2074">
        <v>39</v>
      </c>
      <c r="AC2074">
        <v>-110.3661</v>
      </c>
      <c r="AD2074">
        <v>-0.87355949999999905</v>
      </c>
      <c r="AE2074">
        <v>-7.7461999999999804</v>
      </c>
      <c r="AF2074">
        <v>-8.4528237967519502</v>
      </c>
      <c r="AG2074">
        <v>-0.87355949999999905</v>
      </c>
      <c r="AH2074">
        <v>110.30731319282199</v>
      </c>
      <c r="AI2074">
        <v>90.452408134939603</v>
      </c>
      <c r="AJ2074">
        <v>94.381998461116893</v>
      </c>
      <c r="AK2074">
        <v>110.634156932469</v>
      </c>
      <c r="AL2074">
        <v>77.1484603829294</v>
      </c>
      <c r="AM2074">
        <v>88.782197949541398</v>
      </c>
      <c r="AN2074">
        <v>1.0000000457282201</v>
      </c>
    </row>
    <row r="2075" spans="1:40" x14ac:dyDescent="0.25">
      <c r="A2075" t="str">
        <f>"20190303170538529"</f>
        <v>20190303170538529</v>
      </c>
      <c r="B2075" t="str">
        <f>"1551603938516714"</f>
        <v>1551603938516714</v>
      </c>
      <c r="C2075" t="s">
        <v>40</v>
      </c>
      <c r="D2075">
        <v>5.2778090000000004</v>
      </c>
      <c r="E2075">
        <v>0.46784979999999998</v>
      </c>
      <c r="F2075" t="s">
        <v>68</v>
      </c>
      <c r="G2075">
        <v>-511.95870000000002</v>
      </c>
      <c r="H2075">
        <v>0.18573049999999999</v>
      </c>
      <c r="I2075">
        <v>277.15140000000002</v>
      </c>
      <c r="J2075">
        <v>-401.97989999999999</v>
      </c>
      <c r="K2075">
        <v>1.1207929999999999</v>
      </c>
      <c r="L2075">
        <v>284.62909999999999</v>
      </c>
      <c r="M2075">
        <v>-0.99989240000000001</v>
      </c>
      <c r="N2075">
        <v>-1.308783E-2</v>
      </c>
      <c r="O2075">
        <v>6.6431759999999998E-3</v>
      </c>
      <c r="P2075">
        <v>-0.97737110000000005</v>
      </c>
      <c r="Q2075">
        <v>0.2097388</v>
      </c>
      <c r="R2075">
        <v>2.7488160000000001E-2</v>
      </c>
      <c r="S2075">
        <v>-3.0806580000000001</v>
      </c>
      <c r="T2075">
        <v>-2.6098130000000001E-2</v>
      </c>
      <c r="U2075">
        <v>-0.20864869999999999</v>
      </c>
      <c r="V2075">
        <v>2.114021E-2</v>
      </c>
      <c r="W2075">
        <v>0.2225009</v>
      </c>
      <c r="X2075">
        <v>0.97470330000000005</v>
      </c>
      <c r="Y2075">
        <v>-7.4194040000000003E-2</v>
      </c>
      <c r="Z2075">
        <v>-7.6939459999999995E-4</v>
      </c>
      <c r="AA2075">
        <v>0.99724349999999995</v>
      </c>
      <c r="AB2075">
        <v>39</v>
      </c>
      <c r="AC2075">
        <v>-109.97880000000001</v>
      </c>
      <c r="AD2075">
        <v>-0.93506250000000002</v>
      </c>
      <c r="AE2075">
        <v>-7.4776999999999703</v>
      </c>
      <c r="AF2075">
        <v>-8.2076154102607699</v>
      </c>
      <c r="AG2075">
        <v>-0.93506250000000002</v>
      </c>
      <c r="AH2075">
        <v>109.91878365853</v>
      </c>
      <c r="AI2075">
        <v>90.4860417564812</v>
      </c>
      <c r="AJ2075">
        <v>94.270340566780504</v>
      </c>
      <c r="AK2075">
        <v>110.228754386378</v>
      </c>
      <c r="AL2075">
        <v>77.144035056819007</v>
      </c>
      <c r="AM2075">
        <v>88.757514272682798</v>
      </c>
      <c r="AN2075">
        <v>1.0000000410052701</v>
      </c>
    </row>
    <row r="2076" spans="1:40" x14ac:dyDescent="0.25">
      <c r="A2076" t="str">
        <f>"20190303170538552"</f>
        <v>20190303170538552</v>
      </c>
      <c r="B2076" t="str">
        <f>"1551603938546971"</f>
        <v>1551603938546971</v>
      </c>
      <c r="C2076" t="s">
        <v>40</v>
      </c>
      <c r="D2076">
        <v>5.3432380000000004</v>
      </c>
      <c r="E2076">
        <v>0.46837390000000001</v>
      </c>
      <c r="F2076" t="s">
        <v>68</v>
      </c>
      <c r="G2076">
        <v>-511.95870000000002</v>
      </c>
      <c r="H2076">
        <v>0.22197720000000001</v>
      </c>
      <c r="I2076">
        <v>277.42410000000001</v>
      </c>
      <c r="J2076">
        <v>-402.37970000000001</v>
      </c>
      <c r="K2076">
        <v>1.1208</v>
      </c>
      <c r="L2076">
        <v>284.63200000000001</v>
      </c>
      <c r="M2076">
        <v>-0.99989130000000004</v>
      </c>
      <c r="N2076">
        <v>-1.3051399999999999E-2</v>
      </c>
      <c r="O2076">
        <v>6.8688509999999996E-3</v>
      </c>
      <c r="P2076">
        <v>-0.97726270000000004</v>
      </c>
      <c r="Q2076">
        <v>0.21016589999999999</v>
      </c>
      <c r="R2076">
        <v>2.8073270000000001E-2</v>
      </c>
      <c r="S2076">
        <v>-3.0805359999999999</v>
      </c>
      <c r="T2076">
        <v>-2.517378E-2</v>
      </c>
      <c r="U2076">
        <v>-0.20181270000000001</v>
      </c>
      <c r="V2076">
        <v>2.1498239999999998E-2</v>
      </c>
      <c r="W2076">
        <v>0.22289139999999999</v>
      </c>
      <c r="X2076">
        <v>0.97460619999999998</v>
      </c>
      <c r="Y2076">
        <v>-7.2218959999999999E-2</v>
      </c>
      <c r="Z2076">
        <v>-7.3310699999999999E-4</v>
      </c>
      <c r="AA2076">
        <v>0.99738850000000001</v>
      </c>
      <c r="AB2076">
        <v>39</v>
      </c>
      <c r="AC2076">
        <v>-109.57899999999999</v>
      </c>
      <c r="AD2076">
        <v>-0.89882280000000003</v>
      </c>
      <c r="AE2076">
        <v>-7.2078999999999898</v>
      </c>
      <c r="AF2076">
        <v>-7.9599425714938796</v>
      </c>
      <c r="AG2076">
        <v>-0.89882280000000003</v>
      </c>
      <c r="AH2076">
        <v>109.519563435788</v>
      </c>
      <c r="AI2076">
        <v>90.468976689543197</v>
      </c>
      <c r="AJ2076">
        <v>94.156979596657294</v>
      </c>
      <c r="AK2076">
        <v>109.812127487509</v>
      </c>
      <c r="AL2076">
        <v>77.121084158731307</v>
      </c>
      <c r="AM2076">
        <v>88.736352490494596</v>
      </c>
      <c r="AN2076">
        <v>0.99999999779774795</v>
      </c>
    </row>
    <row r="2077" spans="1:40" x14ac:dyDescent="0.25">
      <c r="A2077" t="str">
        <f>"20190303170538566"</f>
        <v>20190303170538566</v>
      </c>
      <c r="B2077" t="str">
        <f>"1551603938556731"</f>
        <v>1551603938556731</v>
      </c>
      <c r="C2077" t="s">
        <v>40</v>
      </c>
      <c r="D2077">
        <v>5.283379</v>
      </c>
      <c r="E2077">
        <v>0.46852640000000001</v>
      </c>
      <c r="F2077" t="s">
        <v>68</v>
      </c>
      <c r="G2077">
        <v>-511.95870000000002</v>
      </c>
      <c r="H2077">
        <v>0.19629849999999999</v>
      </c>
      <c r="I2077">
        <v>277.64640000000003</v>
      </c>
      <c r="J2077">
        <v>-402.60770000000002</v>
      </c>
      <c r="K2077">
        <v>1.1208070000000001</v>
      </c>
      <c r="L2077">
        <v>284.63369999999998</v>
      </c>
      <c r="M2077">
        <v>-0.99989070000000002</v>
      </c>
      <c r="N2077">
        <v>-1.3030450000000001E-2</v>
      </c>
      <c r="O2077">
        <v>6.9870710000000001E-3</v>
      </c>
      <c r="P2077">
        <v>-0.97739480000000001</v>
      </c>
      <c r="Q2077">
        <v>0.2095177</v>
      </c>
      <c r="R2077">
        <v>2.8317539999999999E-2</v>
      </c>
      <c r="S2077">
        <v>-3.080994</v>
      </c>
      <c r="T2077">
        <v>-2.599156E-2</v>
      </c>
      <c r="U2077">
        <v>-0.19641110000000001</v>
      </c>
      <c r="V2077">
        <v>2.1619860000000001E-2</v>
      </c>
      <c r="W2077">
        <v>0.22222520000000001</v>
      </c>
      <c r="X2077">
        <v>0.97475560000000006</v>
      </c>
      <c r="Y2077">
        <v>-7.058565E-2</v>
      </c>
      <c r="Z2077">
        <v>-7.2574740000000003E-4</v>
      </c>
      <c r="AA2077">
        <v>0.99750550000000004</v>
      </c>
      <c r="AB2077">
        <v>39</v>
      </c>
      <c r="AC2077">
        <v>-109.351</v>
      </c>
      <c r="AD2077">
        <v>-0.92450849999999996</v>
      </c>
      <c r="AE2077">
        <v>-6.9872999999999399</v>
      </c>
      <c r="AF2077">
        <v>-7.7506857207481099</v>
      </c>
      <c r="AG2077">
        <v>-0.92450849999999996</v>
      </c>
      <c r="AH2077">
        <v>109.29172513843</v>
      </c>
      <c r="AI2077">
        <v>90.483444469149305</v>
      </c>
      <c r="AJ2077">
        <v>94.056476810364202</v>
      </c>
      <c r="AK2077">
        <v>109.57011010692</v>
      </c>
      <c r="AL2077">
        <v>77.160236196014296</v>
      </c>
      <c r="AM2077">
        <v>88.729400821920393</v>
      </c>
      <c r="AN2077">
        <v>0.99999996879640896</v>
      </c>
    </row>
    <row r="2078" spans="1:40" x14ac:dyDescent="0.25">
      <c r="A2078" t="str">
        <f>"20190303170538586"</f>
        <v>20190303170538586</v>
      </c>
      <c r="B2078" t="str">
        <f>"1551603938577227"</f>
        <v>1551603938577227</v>
      </c>
      <c r="C2078" t="s">
        <v>40</v>
      </c>
      <c r="D2078">
        <v>5.3373350000000004</v>
      </c>
      <c r="E2078">
        <v>0.46873130000000002</v>
      </c>
      <c r="F2078" t="s">
        <v>68</v>
      </c>
      <c r="G2078">
        <v>-511.95859999999999</v>
      </c>
      <c r="H2078">
        <v>0.10365190000000001</v>
      </c>
      <c r="I2078">
        <v>277.72919999999999</v>
      </c>
      <c r="J2078">
        <v>-402.95310000000001</v>
      </c>
      <c r="K2078">
        <v>1.120825</v>
      </c>
      <c r="L2078">
        <v>284.63630000000001</v>
      </c>
      <c r="M2078">
        <v>-0.9998901</v>
      </c>
      <c r="N2078">
        <v>-1.2999770000000001E-2</v>
      </c>
      <c r="O2078">
        <v>7.1359029999999999E-3</v>
      </c>
      <c r="P2078">
        <v>-0.97742189999999995</v>
      </c>
      <c r="Q2078">
        <v>0.20936250000000001</v>
      </c>
      <c r="R2078">
        <v>2.8525269999999998E-2</v>
      </c>
      <c r="S2078">
        <v>-3.081207</v>
      </c>
      <c r="T2078">
        <v>-2.865827E-2</v>
      </c>
      <c r="U2078">
        <v>-0.19454959999999999</v>
      </c>
      <c r="V2078">
        <v>2.1668630000000001E-2</v>
      </c>
      <c r="W2078">
        <v>0.2220415</v>
      </c>
      <c r="X2078">
        <v>0.97479640000000001</v>
      </c>
      <c r="Y2078">
        <v>-7.0128620000000003E-2</v>
      </c>
      <c r="Z2078">
        <v>-7.5575929999999896E-4</v>
      </c>
      <c r="AA2078">
        <v>0.99753769999999997</v>
      </c>
      <c r="AB2078">
        <v>39</v>
      </c>
      <c r="AC2078">
        <v>-109.005499999999</v>
      </c>
      <c r="AD2078">
        <v>-1.0171730999999999</v>
      </c>
      <c r="AE2078">
        <v>-6.9071000000000096</v>
      </c>
      <c r="AF2078">
        <v>-7.6841760459875603</v>
      </c>
      <c r="AG2078">
        <v>-1.0171730999999999</v>
      </c>
      <c r="AH2078">
        <v>108.943983248664</v>
      </c>
      <c r="AI2078">
        <v>90.533610141831105</v>
      </c>
      <c r="AJ2078">
        <v>94.034577289340604</v>
      </c>
      <c r="AK2078">
        <v>109.219378723312</v>
      </c>
      <c r="AL2078">
        <v>77.171031396673101</v>
      </c>
      <c r="AM2078">
        <v>88.726588834963394</v>
      </c>
      <c r="AN2078">
        <v>0.99999998935064305</v>
      </c>
    </row>
    <row r="2079" spans="1:40" x14ac:dyDescent="0.25">
      <c r="A2079" t="str">
        <f>"20190303170538608"</f>
        <v>20190303170538608</v>
      </c>
      <c r="B2079" t="str">
        <f>"1551603938596747"</f>
        <v>1551603938596747</v>
      </c>
      <c r="C2079" t="s">
        <v>40</v>
      </c>
      <c r="D2079">
        <v>5.2681990000000001</v>
      </c>
      <c r="E2079">
        <v>0.46885500000000002</v>
      </c>
      <c r="F2079" t="s">
        <v>68</v>
      </c>
      <c r="G2079">
        <v>-511.95859999999999</v>
      </c>
      <c r="H2079">
        <v>4.483819E-2</v>
      </c>
      <c r="I2079">
        <v>277.81909999999999</v>
      </c>
      <c r="J2079">
        <v>-403.34339999999997</v>
      </c>
      <c r="K2079">
        <v>1.120854</v>
      </c>
      <c r="L2079">
        <v>284.63929999999999</v>
      </c>
      <c r="M2079">
        <v>-0.99988960000000005</v>
      </c>
      <c r="N2079">
        <v>-1.2966989999999999E-2</v>
      </c>
      <c r="O2079">
        <v>7.260659E-3</v>
      </c>
      <c r="P2079">
        <v>-0.97750329999999996</v>
      </c>
      <c r="Q2079">
        <v>0.2089454</v>
      </c>
      <c r="R2079">
        <v>2.8795600000000001E-2</v>
      </c>
      <c r="S2079">
        <v>-3.081512</v>
      </c>
      <c r="T2079">
        <v>-3.0415060000000001E-2</v>
      </c>
      <c r="U2079">
        <v>-0.19271849999999999</v>
      </c>
      <c r="V2079">
        <v>2.1796570000000001E-2</v>
      </c>
      <c r="W2079">
        <v>0.2215956</v>
      </c>
      <c r="X2079">
        <v>0.97489499999999996</v>
      </c>
      <c r="Y2079">
        <v>-6.9655880000000003E-2</v>
      </c>
      <c r="Z2079">
        <v>-7.7305159999999996E-4</v>
      </c>
      <c r="AA2079">
        <v>0.99757079999999998</v>
      </c>
      <c r="AB2079">
        <v>39</v>
      </c>
      <c r="AC2079">
        <v>-108.6152</v>
      </c>
      <c r="AD2079">
        <v>-1.0760158099999999</v>
      </c>
      <c r="AE2079">
        <v>-6.8201999999999998</v>
      </c>
      <c r="AF2079">
        <v>-7.6079606760398404</v>
      </c>
      <c r="AG2079">
        <v>-1.0760158099999999</v>
      </c>
      <c r="AH2079">
        <v>108.552201511034</v>
      </c>
      <c r="AI2079">
        <v>90.566532040986502</v>
      </c>
      <c r="AJ2079">
        <v>94.009061132266496</v>
      </c>
      <c r="AK2079">
        <v>108.823799458408</v>
      </c>
      <c r="AL2079">
        <v>77.197232190870395</v>
      </c>
      <c r="AM2079">
        <v>88.719202127662101</v>
      </c>
      <c r="AN2079">
        <v>0.99999998071406204</v>
      </c>
    </row>
    <row r="2080" spans="1:40" x14ac:dyDescent="0.25">
      <c r="A2080" t="str">
        <f>"20190303170538630"</f>
        <v>20190303170538630</v>
      </c>
      <c r="B2080" t="str">
        <f>"1551603938617243"</f>
        <v>1551603938617243</v>
      </c>
      <c r="C2080" t="s">
        <v>40</v>
      </c>
      <c r="D2080">
        <v>5.2988299999999997</v>
      </c>
      <c r="E2080">
        <v>0.4690337</v>
      </c>
      <c r="F2080" t="s">
        <v>52</v>
      </c>
      <c r="G2080">
        <v>-503.03160000000003</v>
      </c>
      <c r="H2080">
        <v>8.0000169999999995E-2</v>
      </c>
      <c r="I2080">
        <v>278.46210000000002</v>
      </c>
      <c r="J2080">
        <v>-403.72859999999997</v>
      </c>
      <c r="K2080">
        <v>1.1208929999999999</v>
      </c>
      <c r="L2080">
        <v>284.6422</v>
      </c>
      <c r="M2080">
        <v>-0.99988949999999999</v>
      </c>
      <c r="N2080">
        <v>-1.293354E-2</v>
      </c>
      <c r="O2080">
        <v>7.3409149999999999E-3</v>
      </c>
      <c r="P2080">
        <v>-0.9775547</v>
      </c>
      <c r="Q2080">
        <v>0.20866889999999999</v>
      </c>
      <c r="R2080">
        <v>2.905959E-2</v>
      </c>
      <c r="S2080">
        <v>-3.0815429999999999</v>
      </c>
      <c r="T2080">
        <v>-3.2174710000000002E-2</v>
      </c>
      <c r="U2080">
        <v>-0.19094849999999999</v>
      </c>
      <c r="V2080">
        <v>2.196058E-2</v>
      </c>
      <c r="W2080">
        <v>0.22128919999999999</v>
      </c>
      <c r="X2080">
        <v>0.97496090000000002</v>
      </c>
      <c r="Y2080">
        <v>-6.916398E-2</v>
      </c>
      <c r="Z2080">
        <v>-7.9018299999999997E-4</v>
      </c>
      <c r="AA2080">
        <v>0.99760499999999996</v>
      </c>
      <c r="AB2080">
        <v>39</v>
      </c>
      <c r="AC2080">
        <v>-99.302999999999997</v>
      </c>
      <c r="AD2080">
        <v>-1.04089283</v>
      </c>
      <c r="AE2080">
        <v>-6.1800999999999799</v>
      </c>
      <c r="AF2080">
        <v>-6.9082131542037803</v>
      </c>
      <c r="AG2080">
        <v>-1.04089283</v>
      </c>
      <c r="AH2080">
        <v>99.244090383027299</v>
      </c>
      <c r="AI2080">
        <v>90.599457696530195</v>
      </c>
      <c r="AJ2080">
        <v>93.981839432678797</v>
      </c>
      <c r="AK2080">
        <v>99.489679579451604</v>
      </c>
      <c r="AL2080">
        <v>77.215234374039198</v>
      </c>
      <c r="AM2080">
        <v>88.709655104226499</v>
      </c>
      <c r="AN2080">
        <v>0.99999996681969205</v>
      </c>
    </row>
    <row r="2081" spans="1:40" x14ac:dyDescent="0.25">
      <c r="A2081" t="str">
        <f>"20190303170538644"</f>
        <v>20190303170538644</v>
      </c>
      <c r="B2081" t="str">
        <f>"1551603938636763"</f>
        <v>1551603938636763</v>
      </c>
      <c r="C2081" t="s">
        <v>40</v>
      </c>
      <c r="D2081">
        <v>5.2968080000000004</v>
      </c>
      <c r="E2081">
        <v>0.4691013</v>
      </c>
      <c r="F2081" t="s">
        <v>52</v>
      </c>
      <c r="G2081">
        <v>-501.28579999999999</v>
      </c>
      <c r="H2081">
        <v>8.0000450000000001E-2</v>
      </c>
      <c r="I2081">
        <v>278.6617</v>
      </c>
      <c r="J2081">
        <v>-403.96089999999998</v>
      </c>
      <c r="K2081">
        <v>1.120914</v>
      </c>
      <c r="L2081">
        <v>284.64389999999997</v>
      </c>
      <c r="M2081">
        <v>-0.99988940000000004</v>
      </c>
      <c r="N2081">
        <v>-1.291308E-2</v>
      </c>
      <c r="O2081">
        <v>7.3742499999999997E-3</v>
      </c>
      <c r="P2081">
        <v>-0.97742300000000004</v>
      </c>
      <c r="Q2081">
        <v>0.20927399999999999</v>
      </c>
      <c r="R2081">
        <v>2.9132769999999999E-2</v>
      </c>
      <c r="S2081">
        <v>-3.081512</v>
      </c>
      <c r="T2081">
        <v>-3.2878400000000002E-2</v>
      </c>
      <c r="U2081">
        <v>-0.18890380000000001</v>
      </c>
      <c r="V2081">
        <v>2.198978E-2</v>
      </c>
      <c r="W2081">
        <v>0.22187409999999999</v>
      </c>
      <c r="X2081">
        <v>0.97482729999999995</v>
      </c>
      <c r="Y2081">
        <v>-6.8538189999999999E-2</v>
      </c>
      <c r="Z2081">
        <v>-7.9173699999999896E-4</v>
      </c>
      <c r="AA2081">
        <v>0.99764819999999999</v>
      </c>
      <c r="AB2081">
        <v>39</v>
      </c>
      <c r="AC2081">
        <v>-97.3249</v>
      </c>
      <c r="AD2081">
        <v>-1.04091355</v>
      </c>
      <c r="AE2081">
        <v>-5.9821999999999704</v>
      </c>
      <c r="AF2081">
        <v>-6.6990319199575001</v>
      </c>
      <c r="AG2081">
        <v>-1.04091355</v>
      </c>
      <c r="AH2081">
        <v>97.267051032257697</v>
      </c>
      <c r="AI2081">
        <v>90.611684474522903</v>
      </c>
      <c r="AJ2081">
        <v>93.939886001502501</v>
      </c>
      <c r="AK2081">
        <v>97.5030242925572</v>
      </c>
      <c r="AL2081">
        <v>77.180867765985198</v>
      </c>
      <c r="AM2081">
        <v>88.707762954931695</v>
      </c>
      <c r="AN2081">
        <v>0.99999996575027295</v>
      </c>
    </row>
    <row r="2082" spans="1:40" x14ac:dyDescent="0.25">
      <c r="A2082" t="str">
        <f>"20190303170538656"</f>
        <v>20190303170538656</v>
      </c>
      <c r="B2082" t="str">
        <f>"1551603938646524"</f>
        <v>1551603938646524</v>
      </c>
      <c r="C2082" t="s">
        <v>40</v>
      </c>
      <c r="D2082">
        <v>5.2793970000000003</v>
      </c>
      <c r="E2082">
        <v>0.46947549999999999</v>
      </c>
      <c r="F2082" t="s">
        <v>68</v>
      </c>
      <c r="G2082">
        <v>-511.95859999999999</v>
      </c>
      <c r="H2082">
        <v>4.8072990000000003E-2</v>
      </c>
      <c r="I2082">
        <v>278.05860000000001</v>
      </c>
      <c r="J2082">
        <v>-404.18520000000001</v>
      </c>
      <c r="K2082">
        <v>1.120933</v>
      </c>
      <c r="L2082">
        <v>284.6456</v>
      </c>
      <c r="M2082">
        <v>-0.99988960000000005</v>
      </c>
      <c r="N2082">
        <v>-1.289395E-2</v>
      </c>
      <c r="O2082">
        <v>7.3902319999999896E-3</v>
      </c>
      <c r="P2082">
        <v>-0.97740059999999995</v>
      </c>
      <c r="Q2082">
        <v>0.2093304</v>
      </c>
      <c r="R2082">
        <v>2.947727E-2</v>
      </c>
      <c r="S2082">
        <v>-3.0814509999999999</v>
      </c>
      <c r="T2082">
        <v>-3.0608529999999998E-2</v>
      </c>
      <c r="U2082">
        <v>-0.1878967</v>
      </c>
      <c r="V2082">
        <v>2.2308669999999999E-2</v>
      </c>
      <c r="W2082">
        <v>0.22191230000000001</v>
      </c>
      <c r="X2082">
        <v>0.97481139999999999</v>
      </c>
      <c r="Y2082">
        <v>-6.823137E-2</v>
      </c>
      <c r="Z2082">
        <v>-7.570322E-4</v>
      </c>
      <c r="AA2082">
        <v>0.99766920000000003</v>
      </c>
      <c r="AB2082">
        <v>39</v>
      </c>
      <c r="AC2082">
        <v>-107.773399999999</v>
      </c>
      <c r="AD2082">
        <v>-1.0728600100000001</v>
      </c>
      <c r="AE2082">
        <v>-6.5869999999999802</v>
      </c>
      <c r="AF2082">
        <v>-7.3826278270986903</v>
      </c>
      <c r="AG2082">
        <v>-1.0728600100000001</v>
      </c>
      <c r="AH2082">
        <v>107.71113873039501</v>
      </c>
      <c r="AI2082">
        <v>90.569341757879897</v>
      </c>
      <c r="AJ2082">
        <v>93.920976911936407</v>
      </c>
      <c r="AK2082">
        <v>107.969179068995</v>
      </c>
      <c r="AL2082">
        <v>77.178623629797698</v>
      </c>
      <c r="AM2082">
        <v>88.689008391061904</v>
      </c>
      <c r="AN2082">
        <v>1.0000000056092</v>
      </c>
    </row>
    <row r="2083" spans="1:40" x14ac:dyDescent="0.25">
      <c r="A2083" t="str">
        <f>"20190303170538674"</f>
        <v>20190303170538674</v>
      </c>
      <c r="B2083" t="str">
        <f>"1551603938667018"</f>
        <v>1551603938667018</v>
      </c>
      <c r="C2083" t="s">
        <v>40</v>
      </c>
      <c r="D2083">
        <v>5.2876989999999999</v>
      </c>
      <c r="E2083">
        <v>0.50217299999999998</v>
      </c>
      <c r="F2083" t="s">
        <v>68</v>
      </c>
      <c r="G2083">
        <v>-511.95859999999999</v>
      </c>
      <c r="H2083">
        <v>4.1787619999999998E-2</v>
      </c>
      <c r="I2083">
        <v>278.20949999999999</v>
      </c>
      <c r="J2083">
        <v>-404.49340000000001</v>
      </c>
      <c r="K2083">
        <v>1.1209549999999999</v>
      </c>
      <c r="L2083">
        <v>284.64789999999999</v>
      </c>
      <c r="M2083">
        <v>-0.99988980000000005</v>
      </c>
      <c r="N2083">
        <v>-1.2868900000000001E-2</v>
      </c>
      <c r="O2083">
        <v>7.4001240000000001E-3</v>
      </c>
      <c r="P2083">
        <v>-0.97731690000000004</v>
      </c>
      <c r="Q2083">
        <v>0.2096896</v>
      </c>
      <c r="R2083">
        <v>2.9704660000000001E-2</v>
      </c>
      <c r="S2083">
        <v>-3.0814819999999998</v>
      </c>
      <c r="T2083">
        <v>-3.0852790000000001E-2</v>
      </c>
      <c r="U2083">
        <v>-0.18402099999999999</v>
      </c>
      <c r="V2083">
        <v>2.2515179999999999E-2</v>
      </c>
      <c r="W2083">
        <v>0.22224749999999999</v>
      </c>
      <c r="X2083">
        <v>0.97473030000000005</v>
      </c>
      <c r="Y2083">
        <v>-6.6990400000000005E-2</v>
      </c>
      <c r="Z2083">
        <v>-7.4541210000000002E-4</v>
      </c>
      <c r="AA2083">
        <v>0.99775329999999995</v>
      </c>
      <c r="AB2083">
        <v>39</v>
      </c>
      <c r="AC2083">
        <v>-107.465199999999</v>
      </c>
      <c r="AD2083">
        <v>-1.0791673799999999</v>
      </c>
      <c r="AE2083">
        <v>-6.4383999999999997</v>
      </c>
      <c r="AF2083">
        <v>-7.2328185864394099</v>
      </c>
      <c r="AG2083">
        <v>-1.0791673799999999</v>
      </c>
      <c r="AH2083">
        <v>107.40381598175701</v>
      </c>
      <c r="AI2083">
        <v>90.574373835981405</v>
      </c>
      <c r="AJ2083">
        <v>93.852612002409401</v>
      </c>
      <c r="AK2083">
        <v>107.65248698651401</v>
      </c>
      <c r="AL2083">
        <v>77.158926412933695</v>
      </c>
      <c r="AM2083">
        <v>88.676766867815601</v>
      </c>
      <c r="AN2083">
        <v>1.0000000211623801</v>
      </c>
    </row>
    <row r="2084" spans="1:40" x14ac:dyDescent="0.25">
      <c r="A2084" t="str">
        <f>"20190303170538697"</f>
        <v>20190303170538697</v>
      </c>
      <c r="B2084" t="str">
        <f>"1551603938686539"</f>
        <v>1551603938686539</v>
      </c>
      <c r="C2084" t="s">
        <v>40</v>
      </c>
      <c r="D2084">
        <v>5.2283140000000001</v>
      </c>
      <c r="E2084">
        <v>0.51094890000000004</v>
      </c>
      <c r="F2084" t="s">
        <v>52</v>
      </c>
      <c r="G2084">
        <v>-487.85590000000002</v>
      </c>
      <c r="H2084" s="1">
        <v>3.7853079999999998E-6</v>
      </c>
      <c r="I2084">
        <v>286.74439999999998</v>
      </c>
      <c r="J2084">
        <v>-404.8784</v>
      </c>
      <c r="K2084">
        <v>1.120978</v>
      </c>
      <c r="L2084">
        <v>284.6508</v>
      </c>
      <c r="M2084">
        <v>-0.99989030000000001</v>
      </c>
      <c r="N2084">
        <v>-1.2840270000000001E-2</v>
      </c>
      <c r="O2084">
        <v>7.3959230000000004E-3</v>
      </c>
      <c r="P2084">
        <v>-0.97736880000000004</v>
      </c>
      <c r="Q2084">
        <v>0.20951</v>
      </c>
      <c r="R2084">
        <v>2.925498E-2</v>
      </c>
      <c r="S2084">
        <v>-3.0761409999999998</v>
      </c>
      <c r="T2084">
        <v>-4.1363949999999997E-2</v>
      </c>
      <c r="U2084">
        <v>7.7362059999999996E-2</v>
      </c>
      <c r="V2084">
        <v>2.2057400000000001E-2</v>
      </c>
      <c r="W2084">
        <v>0.22204160000000001</v>
      </c>
      <c r="X2084">
        <v>0.97478770000000003</v>
      </c>
      <c r="Y2084">
        <v>1.7743099999999901E-2</v>
      </c>
      <c r="Z2084">
        <v>2.2874430000000001E-4</v>
      </c>
      <c r="AA2084">
        <v>0.99984249999999997</v>
      </c>
      <c r="AB2084">
        <v>39</v>
      </c>
      <c r="AC2084">
        <v>-82.977500000000006</v>
      </c>
      <c r="AD2084">
        <v>-1.1209742146920001</v>
      </c>
      <c r="AE2084">
        <v>2.0935999999999799</v>
      </c>
      <c r="AF2084">
        <v>1.4795271422848499</v>
      </c>
      <c r="AG2084">
        <v>-1.1209742146920001</v>
      </c>
      <c r="AH2084">
        <v>82.975581875946105</v>
      </c>
      <c r="AI2084">
        <v>90.773878014912796</v>
      </c>
      <c r="AJ2084">
        <v>88.978474429120396</v>
      </c>
      <c r="AK2084">
        <v>82.996341915813403</v>
      </c>
      <c r="AL2084">
        <v>77.171026057944005</v>
      </c>
      <c r="AM2084">
        <v>88.7037379562762</v>
      </c>
      <c r="AN2084">
        <v>1.0000000305482999</v>
      </c>
    </row>
    <row r="2085" spans="1:40" x14ac:dyDescent="0.25">
      <c r="A2085" t="str">
        <f>"20190303170538709"</f>
        <v>20190303170538709</v>
      </c>
      <c r="B2085" t="str">
        <f>"1551603938697275"</f>
        <v>1551603938697275</v>
      </c>
      <c r="C2085" t="s">
        <v>40</v>
      </c>
      <c r="D2085">
        <v>5.2147969999999999</v>
      </c>
      <c r="E2085">
        <v>0.51233530000000005</v>
      </c>
      <c r="F2085" t="s">
        <v>60</v>
      </c>
      <c r="G2085">
        <v>-455.56420000000003</v>
      </c>
      <c r="H2085" s="1">
        <v>1.3177549999999999E-6</v>
      </c>
      <c r="I2085">
        <v>287.05160000000001</v>
      </c>
      <c r="J2085">
        <v>-405.10270000000003</v>
      </c>
      <c r="K2085">
        <v>1.120992</v>
      </c>
      <c r="L2085">
        <v>284.6524</v>
      </c>
      <c r="M2085">
        <v>-0.99989050000000002</v>
      </c>
      <c r="N2085">
        <v>-1.282375E-2</v>
      </c>
      <c r="O2085">
        <v>7.3898590000000004E-3</v>
      </c>
      <c r="P2085">
        <v>-0.97739679999999995</v>
      </c>
      <c r="Q2085">
        <v>0.20942520000000001</v>
      </c>
      <c r="R2085">
        <v>2.8930000000000001E-2</v>
      </c>
      <c r="S2085">
        <v>-3.0797119999999998</v>
      </c>
      <c r="T2085">
        <v>-6.8111539999999998E-2</v>
      </c>
      <c r="U2085">
        <v>0.145874</v>
      </c>
      <c r="V2085">
        <v>2.1733229999999999E-2</v>
      </c>
      <c r="W2085">
        <v>0.22194159999999999</v>
      </c>
      <c r="X2085">
        <v>0.97481779999999996</v>
      </c>
      <c r="Y2085">
        <v>3.9914520000000002E-2</v>
      </c>
      <c r="Z2085">
        <v>6.2860849999999996E-4</v>
      </c>
      <c r="AA2085">
        <v>0.9992029</v>
      </c>
      <c r="AB2085">
        <v>39</v>
      </c>
      <c r="AC2085">
        <v>-50.461500000000001</v>
      </c>
      <c r="AD2085">
        <v>-1.120990682245</v>
      </c>
      <c r="AE2085">
        <v>2.3992</v>
      </c>
      <c r="AF2085">
        <v>2.0252032802081601</v>
      </c>
      <c r="AG2085">
        <v>-1.120990682245</v>
      </c>
      <c r="AH2085">
        <v>50.453010904620697</v>
      </c>
      <c r="AI2085">
        <v>91.271793539378194</v>
      </c>
      <c r="AJ2085">
        <v>87.701359385588802</v>
      </c>
      <c r="AK2085">
        <v>50.506082581978397</v>
      </c>
      <c r="AL2085">
        <v>77.176902836825903</v>
      </c>
      <c r="AM2085">
        <v>88.722821739245106</v>
      </c>
      <c r="AN2085">
        <v>1.0000000751468101</v>
      </c>
    </row>
    <row r="2086" spans="1:40" x14ac:dyDescent="0.25">
      <c r="A2086" t="str">
        <f>"20190303170538723"</f>
        <v>20190303170538723</v>
      </c>
      <c r="B2086" t="str">
        <f>"1551603938716795"</f>
        <v>1551603938716795</v>
      </c>
      <c r="C2086" t="s">
        <v>40</v>
      </c>
      <c r="D2086">
        <v>5.2637140000000002</v>
      </c>
      <c r="E2086">
        <v>0.51526240000000001</v>
      </c>
      <c r="F2086" t="s">
        <v>60</v>
      </c>
      <c r="G2086">
        <v>-451.8057</v>
      </c>
      <c r="H2086" s="1">
        <v>-6.8080450000000003E-7</v>
      </c>
      <c r="I2086">
        <v>287.01659999999998</v>
      </c>
      <c r="J2086">
        <v>-405.33909999999997</v>
      </c>
      <c r="K2086">
        <v>1.1209990000000001</v>
      </c>
      <c r="L2086">
        <v>284.6542</v>
      </c>
      <c r="M2086">
        <v>-0.99989079999999997</v>
      </c>
      <c r="N2086">
        <v>-1.280587E-2</v>
      </c>
      <c r="O2086">
        <v>7.3822699999999998E-3</v>
      </c>
      <c r="P2086">
        <v>-0.9774465</v>
      </c>
      <c r="Q2086">
        <v>0.20925150000000001</v>
      </c>
      <c r="R2086">
        <v>2.850538E-2</v>
      </c>
      <c r="S2086">
        <v>-3.080597</v>
      </c>
      <c r="T2086">
        <v>-7.3942300000000002E-2</v>
      </c>
      <c r="U2086">
        <v>0.15594479999999999</v>
      </c>
      <c r="V2086">
        <v>2.1310860000000001E-2</v>
      </c>
      <c r="W2086">
        <v>0.22175139999999999</v>
      </c>
      <c r="X2086">
        <v>0.97487029999999997</v>
      </c>
      <c r="Y2086">
        <v>4.3163519999999997E-2</v>
      </c>
      <c r="Z2086">
        <v>7.1166779999999998E-4</v>
      </c>
      <c r="AA2086">
        <v>0.99906779999999995</v>
      </c>
      <c r="AB2086">
        <v>39</v>
      </c>
      <c r="AC2086">
        <v>-46.4666</v>
      </c>
      <c r="AD2086">
        <v>-1.1209996808045</v>
      </c>
      <c r="AE2086">
        <v>2.3623999999999801</v>
      </c>
      <c r="AF2086">
        <v>2.01810698857371</v>
      </c>
      <c r="AG2086">
        <v>-1.1209996808045</v>
      </c>
      <c r="AH2086">
        <v>46.455806953596301</v>
      </c>
      <c r="AI2086">
        <v>91.3810029122955</v>
      </c>
      <c r="AJ2086">
        <v>87.512552980502605</v>
      </c>
      <c r="AK2086">
        <v>46.513131434160599</v>
      </c>
      <c r="AL2086">
        <v>77.188077601738598</v>
      </c>
      <c r="AM2086">
        <v>88.747702237351504</v>
      </c>
      <c r="AN2086">
        <v>0.99999996898899401</v>
      </c>
    </row>
    <row r="2087" spans="1:40" x14ac:dyDescent="0.25">
      <c r="A2087" t="str">
        <f>"20190303170538742"</f>
        <v>20190303170538742</v>
      </c>
      <c r="B2087" t="str">
        <f>"1551603938737291"</f>
        <v>1551603938737291</v>
      </c>
      <c r="C2087" t="s">
        <v>40</v>
      </c>
      <c r="D2087">
        <v>5.2240599999999997</v>
      </c>
      <c r="E2087">
        <v>0.51639369999999996</v>
      </c>
      <c r="F2087" t="s">
        <v>60</v>
      </c>
      <c r="G2087">
        <v>-458.84800000000001</v>
      </c>
      <c r="H2087" s="1">
        <v>3.0338609999999999E-6</v>
      </c>
      <c r="I2087">
        <v>287.76960000000003</v>
      </c>
      <c r="J2087">
        <v>-405.6585</v>
      </c>
      <c r="K2087">
        <v>1.121008</v>
      </c>
      <c r="L2087">
        <v>284.65660000000003</v>
      </c>
      <c r="M2087">
        <v>-0.99989119999999998</v>
      </c>
      <c r="N2087">
        <v>-1.2780710000000001E-2</v>
      </c>
      <c r="O2087">
        <v>7.3750969999999997E-3</v>
      </c>
      <c r="P2087">
        <v>-0.977321</v>
      </c>
      <c r="Q2087">
        <v>0.20983280000000001</v>
      </c>
      <c r="R2087">
        <v>2.853033E-2</v>
      </c>
      <c r="S2087">
        <v>-3.07782</v>
      </c>
      <c r="T2087">
        <v>-6.4479350000000005E-2</v>
      </c>
      <c r="U2087">
        <v>0.1791992</v>
      </c>
      <c r="V2087">
        <v>2.1339460000000001E-2</v>
      </c>
      <c r="W2087">
        <v>0.222307</v>
      </c>
      <c r="X2087">
        <v>0.97474309999999997</v>
      </c>
      <c r="Y2087">
        <v>5.0741889999999998E-2</v>
      </c>
      <c r="Z2087">
        <v>7.9544459999999996E-4</v>
      </c>
      <c r="AA2087">
        <v>0.99871149999999997</v>
      </c>
      <c r="AB2087">
        <v>39</v>
      </c>
      <c r="AC2087">
        <v>-53.189500000000002</v>
      </c>
      <c r="AD2087">
        <v>-1.121004966139</v>
      </c>
      <c r="AE2087">
        <v>3.1129999999999902</v>
      </c>
      <c r="AF2087">
        <v>2.7194017965884898</v>
      </c>
      <c r="AG2087">
        <v>-1.121004966139</v>
      </c>
      <c r="AH2087">
        <v>53.187469357973001</v>
      </c>
      <c r="AI2087">
        <v>91.205840324144702</v>
      </c>
      <c r="AJ2087">
        <v>87.073094650342597</v>
      </c>
      <c r="AK2087">
        <v>53.2687403171008</v>
      </c>
      <c r="AL2087">
        <v>77.155428819728797</v>
      </c>
      <c r="AM2087">
        <v>88.745858554755301</v>
      </c>
      <c r="AN2087">
        <v>0.99999994289984895</v>
      </c>
    </row>
    <row r="2088" spans="1:40" x14ac:dyDescent="0.25">
      <c r="A2088" t="str">
        <f>"20190303170538765"</f>
        <v>20190303170538765</v>
      </c>
      <c r="B2088" t="str">
        <f>"1551603938756810"</f>
        <v>1551603938756810</v>
      </c>
      <c r="C2088" t="s">
        <v>40</v>
      </c>
      <c r="D2088">
        <v>5.2555990000000001</v>
      </c>
      <c r="E2088">
        <v>0.51675899999999997</v>
      </c>
      <c r="F2088" t="s">
        <v>60</v>
      </c>
      <c r="G2088">
        <v>-464.9402</v>
      </c>
      <c r="H2088" s="1">
        <v>9.3165249999999997E-7</v>
      </c>
      <c r="I2088">
        <v>288.28829999999999</v>
      </c>
      <c r="J2088">
        <v>-406.05130000000003</v>
      </c>
      <c r="K2088">
        <v>1.121014</v>
      </c>
      <c r="L2088">
        <v>284.65949999999998</v>
      </c>
      <c r="M2088">
        <v>-0.99989159999999999</v>
      </c>
      <c r="N2088">
        <v>-1.27507E-2</v>
      </c>
      <c r="O2088">
        <v>7.3694700000000004E-3</v>
      </c>
      <c r="P2088">
        <v>-0.97708050000000002</v>
      </c>
      <c r="Q2088">
        <v>0.21082480000000001</v>
      </c>
      <c r="R2088">
        <v>2.9445260000000001E-2</v>
      </c>
      <c r="S2088">
        <v>-3.0765690000000001</v>
      </c>
      <c r="T2088">
        <v>-5.8177350000000003E-2</v>
      </c>
      <c r="U2088">
        <v>0.18847659999999999</v>
      </c>
      <c r="V2088">
        <v>2.2258449999999999E-2</v>
      </c>
      <c r="W2088">
        <v>0.2232674</v>
      </c>
      <c r="X2088">
        <v>0.97450309999999996</v>
      </c>
      <c r="Y2088">
        <v>5.3773439999999999E-2</v>
      </c>
      <c r="Z2088">
        <v>8.0579339999999999E-4</v>
      </c>
      <c r="AA2088">
        <v>0.99855289999999997</v>
      </c>
      <c r="AB2088">
        <v>39</v>
      </c>
      <c r="AC2088">
        <v>-58.8888999999999</v>
      </c>
      <c r="AD2088">
        <v>-1.1210130683474999</v>
      </c>
      <c r="AE2088">
        <v>3.6288000000000098</v>
      </c>
      <c r="AF2088">
        <v>3.1935333327205</v>
      </c>
      <c r="AG2088">
        <v>-1.1210130683474999</v>
      </c>
      <c r="AH2088">
        <v>58.892784763731498</v>
      </c>
      <c r="AI2088">
        <v>91.088883323650805</v>
      </c>
      <c r="AJ2088">
        <v>86.896106165726295</v>
      </c>
      <c r="AK2088">
        <v>58.989960354909599</v>
      </c>
      <c r="AL2088">
        <v>77.098984466692301</v>
      </c>
      <c r="AM2088">
        <v>88.691544917326894</v>
      </c>
      <c r="AN2088">
        <v>1.00000003120438</v>
      </c>
    </row>
    <row r="2089" spans="1:40" x14ac:dyDescent="0.25">
      <c r="A2089" t="str">
        <f>"20190303170538787"</f>
        <v>20190303170538787</v>
      </c>
      <c r="B2089" t="str">
        <f>"1551603938777307"</f>
        <v>1551603938777307</v>
      </c>
      <c r="C2089" t="s">
        <v>40</v>
      </c>
      <c r="D2089">
        <v>5.285577</v>
      </c>
      <c r="E2089">
        <v>0.51709490000000002</v>
      </c>
      <c r="F2089" t="s">
        <v>60</v>
      </c>
      <c r="G2089">
        <v>-463.64909999999998</v>
      </c>
      <c r="H2089" s="1">
        <v>2.459088E-7</v>
      </c>
      <c r="I2089">
        <v>288.25839999999999</v>
      </c>
      <c r="J2089">
        <v>-406.42700000000002</v>
      </c>
      <c r="K2089">
        <v>1.121016</v>
      </c>
      <c r="L2089">
        <v>284.66230000000002</v>
      </c>
      <c r="M2089">
        <v>-0.999892</v>
      </c>
      <c r="N2089">
        <v>-1.272438E-2</v>
      </c>
      <c r="O2089">
        <v>7.3665450000000004E-3</v>
      </c>
      <c r="P2089">
        <v>-0.97693989999999997</v>
      </c>
      <c r="Q2089">
        <v>0.21134449999999999</v>
      </c>
      <c r="R2089">
        <v>3.036792E-2</v>
      </c>
      <c r="S2089">
        <v>-3.077515</v>
      </c>
      <c r="T2089">
        <v>-5.9896949999999997E-2</v>
      </c>
      <c r="U2089">
        <v>0.1922913</v>
      </c>
      <c r="V2089">
        <v>2.3182959999999999E-2</v>
      </c>
      <c r="W2089">
        <v>0.2237596</v>
      </c>
      <c r="X2089">
        <v>0.97436860000000003</v>
      </c>
      <c r="Y2089">
        <v>5.4989540000000003E-2</v>
      </c>
      <c r="Z2089">
        <v>8.3525500000000003E-4</v>
      </c>
      <c r="AA2089">
        <v>0.9984866</v>
      </c>
      <c r="AB2089">
        <v>39</v>
      </c>
      <c r="AC2089">
        <v>-57.222099999999998</v>
      </c>
      <c r="AD2089">
        <v>-1.1210157540912</v>
      </c>
      <c r="AE2089">
        <v>3.5960999999999701</v>
      </c>
      <c r="AF2089">
        <v>3.1732260781702299</v>
      </c>
      <c r="AG2089">
        <v>-1.1210157540912</v>
      </c>
      <c r="AH2089">
        <v>57.225163937864401</v>
      </c>
      <c r="AI2089">
        <v>91.120534549774504</v>
      </c>
      <c r="AJ2089">
        <v>86.826108623015699</v>
      </c>
      <c r="AK2089">
        <v>57.324038829966902</v>
      </c>
      <c r="AL2089">
        <v>77.070050942340899</v>
      </c>
      <c r="AM2089">
        <v>88.637029966567098</v>
      </c>
      <c r="AN2089">
        <v>0.99999998844624005</v>
      </c>
    </row>
    <row r="2090" spans="1:40" x14ac:dyDescent="0.25">
      <c r="A2090" t="str">
        <f>"20190303170538809"</f>
        <v>20190303170538809</v>
      </c>
      <c r="B2090" t="str">
        <f>"1551603938796827"</f>
        <v>1551603938796827</v>
      </c>
      <c r="C2090" t="s">
        <v>40</v>
      </c>
      <c r="D2090">
        <v>5.3058610000000002</v>
      </c>
      <c r="E2090">
        <v>0.51743779999999995</v>
      </c>
      <c r="F2090" t="s">
        <v>52</v>
      </c>
      <c r="G2090">
        <v>-470.03230000000002</v>
      </c>
      <c r="H2090" s="1">
        <v>6.9624140000000004E-6</v>
      </c>
      <c r="I2090">
        <v>288.76409999999998</v>
      </c>
      <c r="J2090">
        <v>-406.8116</v>
      </c>
      <c r="K2090">
        <v>1.121014</v>
      </c>
      <c r="L2090">
        <v>284.6651</v>
      </c>
      <c r="M2090">
        <v>-0.99989240000000001</v>
      </c>
      <c r="N2090">
        <v>-1.2699129999999999E-2</v>
      </c>
      <c r="O2090">
        <v>7.3651799999999998E-3</v>
      </c>
      <c r="P2090">
        <v>-0.97702940000000005</v>
      </c>
      <c r="Q2090">
        <v>0.21081839999999999</v>
      </c>
      <c r="R2090">
        <v>3.1134599999999998E-2</v>
      </c>
      <c r="S2090">
        <v>-3.076416</v>
      </c>
      <c r="T2090">
        <v>-5.4220200000000003E-2</v>
      </c>
      <c r="U2090">
        <v>0.19839480000000001</v>
      </c>
      <c r="V2090">
        <v>2.3949069999999999E-2</v>
      </c>
      <c r="W2090">
        <v>0.2232102</v>
      </c>
      <c r="X2090">
        <v>0.97447609999999996</v>
      </c>
      <c r="Y2090">
        <v>5.6987900000000001E-2</v>
      </c>
      <c r="Z2090">
        <v>8.277057E-4</v>
      </c>
      <c r="AA2090">
        <v>0.99837450000000005</v>
      </c>
      <c r="AB2090">
        <v>39</v>
      </c>
      <c r="AC2090">
        <v>-63.220700000000001</v>
      </c>
      <c r="AD2090">
        <v>-1.121007037586</v>
      </c>
      <c r="AE2090">
        <v>4.0989999999999798</v>
      </c>
      <c r="AF2090">
        <v>3.6320823068504602</v>
      </c>
      <c r="AG2090">
        <v>-1.121007037586</v>
      </c>
      <c r="AH2090">
        <v>63.229380464434499</v>
      </c>
      <c r="AI2090">
        <v>91.014031293946104</v>
      </c>
      <c r="AJ2090">
        <v>86.712374126997403</v>
      </c>
      <c r="AK2090">
        <v>63.343533470894002</v>
      </c>
      <c r="AL2090">
        <v>77.102346360641803</v>
      </c>
      <c r="AM2090">
        <v>88.592162014112603</v>
      </c>
      <c r="AN2090">
        <v>1.0000000104045501</v>
      </c>
    </row>
    <row r="2091" spans="1:40" x14ac:dyDescent="0.25">
      <c r="A2091" t="str">
        <f>"20190303170538831"</f>
        <v>20190303170538831</v>
      </c>
      <c r="B2091" t="str">
        <f>"1551603938817323"</f>
        <v>1551603938817323</v>
      </c>
      <c r="C2091" t="s">
        <v>40</v>
      </c>
      <c r="D2091">
        <v>5.3102</v>
      </c>
      <c r="E2091">
        <v>0.51745549999999996</v>
      </c>
      <c r="F2091" t="s">
        <v>52</v>
      </c>
      <c r="G2091">
        <v>-470.93400000000003</v>
      </c>
      <c r="H2091" s="1">
        <v>6.5760710000000003E-6</v>
      </c>
      <c r="I2091">
        <v>288.91910000000001</v>
      </c>
      <c r="J2091">
        <v>-407.20949999999999</v>
      </c>
      <c r="K2091">
        <v>1.12101299999999</v>
      </c>
      <c r="L2091">
        <v>284.66800000000001</v>
      </c>
      <c r="M2091">
        <v>-0.99989260000000002</v>
      </c>
      <c r="N2091">
        <v>-1.2671180000000001E-2</v>
      </c>
      <c r="O2091">
        <v>7.3644969999999898E-3</v>
      </c>
      <c r="P2091">
        <v>-0.97718970000000005</v>
      </c>
      <c r="Q2091">
        <v>0.20987410000000001</v>
      </c>
      <c r="R2091">
        <v>3.2454539999999997E-2</v>
      </c>
      <c r="S2091">
        <v>-3.0755919999999999</v>
      </c>
      <c r="T2091">
        <v>-5.3768400000000001E-2</v>
      </c>
      <c r="U2091">
        <v>0.20404050000000001</v>
      </c>
      <c r="V2091">
        <v>2.5267399999999999E-2</v>
      </c>
      <c r="W2091">
        <v>0.22224099999999999</v>
      </c>
      <c r="X2091">
        <v>0.97466430000000004</v>
      </c>
      <c r="Y2091">
        <v>5.8830250000000001E-2</v>
      </c>
      <c r="Z2091">
        <v>8.5147169999999896E-4</v>
      </c>
      <c r="AA2091">
        <v>0.99826769999999998</v>
      </c>
      <c r="AB2091">
        <v>39</v>
      </c>
      <c r="AC2091">
        <v>-63.724499999999999</v>
      </c>
      <c r="AD2091">
        <v>-1.1210064239290001</v>
      </c>
      <c r="AE2091">
        <v>4.2511000000000001</v>
      </c>
      <c r="AF2091">
        <v>3.7804834099637299</v>
      </c>
      <c r="AG2091">
        <v>-1.1210064239290001</v>
      </c>
      <c r="AH2091">
        <v>63.734445528667401</v>
      </c>
      <c r="AI2091">
        <v>91.005887075980198</v>
      </c>
      <c r="AJ2091">
        <v>86.605411073567396</v>
      </c>
      <c r="AK2091">
        <v>63.856309453821197</v>
      </c>
      <c r="AL2091">
        <v>77.159308120270396</v>
      </c>
      <c r="AM2091">
        <v>88.514984912666407</v>
      </c>
      <c r="AN2091">
        <v>1.0000000006391201</v>
      </c>
    </row>
    <row r="2092" spans="1:40" x14ac:dyDescent="0.25">
      <c r="A2092" t="str">
        <f>"20190303170538853"</f>
        <v>20190303170538853</v>
      </c>
      <c r="B2092" t="str">
        <f>"1551603938846603"</f>
        <v>1551603938846603</v>
      </c>
      <c r="C2092" t="s">
        <v>40</v>
      </c>
      <c r="D2092">
        <v>5.3140559999999999</v>
      </c>
      <c r="E2092">
        <v>0.51751289999999905</v>
      </c>
      <c r="F2092" t="s">
        <v>52</v>
      </c>
      <c r="G2092">
        <v>-470.00909999999999</v>
      </c>
      <c r="H2092" s="1">
        <v>6.9875170000000003E-6</v>
      </c>
      <c r="I2092">
        <v>288.93360000000001</v>
      </c>
      <c r="J2092">
        <v>-407.59219999999999</v>
      </c>
      <c r="K2092">
        <v>1.1210089999999999</v>
      </c>
      <c r="L2092">
        <v>284.67079999999999</v>
      </c>
      <c r="M2092">
        <v>-0.99989300000000003</v>
      </c>
      <c r="N2092">
        <v>-1.26437999999999E-2</v>
      </c>
      <c r="O2092">
        <v>7.3644729999999999E-3</v>
      </c>
      <c r="P2092">
        <v>-0.97731990000000002</v>
      </c>
      <c r="Q2092">
        <v>0.2090071</v>
      </c>
      <c r="R2092">
        <v>3.4089010000000003E-2</v>
      </c>
      <c r="S2092">
        <v>-3.074951</v>
      </c>
      <c r="T2092">
        <v>-5.4889559999999997E-2</v>
      </c>
      <c r="U2092">
        <v>0.2088623</v>
      </c>
      <c r="V2092">
        <v>2.6900150000000001E-2</v>
      </c>
      <c r="W2092">
        <v>0.22134870000000001</v>
      </c>
      <c r="X2092">
        <v>0.97482369999999996</v>
      </c>
      <c r="Y2092">
        <v>6.0401370000000003E-2</v>
      </c>
      <c r="Z2092">
        <v>8.8252030000000002E-4</v>
      </c>
      <c r="AA2092">
        <v>0.9981738</v>
      </c>
      <c r="AB2092">
        <v>39</v>
      </c>
      <c r="AC2092">
        <v>-62.416899999999998</v>
      </c>
      <c r="AD2092">
        <v>-1.121002012483</v>
      </c>
      <c r="AE2092">
        <v>4.2628000000000199</v>
      </c>
      <c r="AF2092">
        <v>3.8017594902957899</v>
      </c>
      <c r="AG2092">
        <v>-1.121002012483</v>
      </c>
      <c r="AH2092">
        <v>62.4265601572381</v>
      </c>
      <c r="AI2092">
        <v>91.026855320072599</v>
      </c>
      <c r="AJ2092">
        <v>86.5150076675083</v>
      </c>
      <c r="AK2092">
        <v>62.552261620179003</v>
      </c>
      <c r="AL2092">
        <v>77.2117397388417</v>
      </c>
      <c r="AM2092">
        <v>88.419330563187998</v>
      </c>
      <c r="AN2092">
        <v>1.0000000555716899</v>
      </c>
    </row>
    <row r="2093" spans="1:40" x14ac:dyDescent="0.25">
      <c r="A2093" t="str">
        <f>"20190303170538875"</f>
        <v>20190303170538875</v>
      </c>
      <c r="B2093" t="str">
        <f>"1551603938867099"</f>
        <v>1551603938867099</v>
      </c>
      <c r="C2093" t="s">
        <v>40</v>
      </c>
      <c r="D2093">
        <v>5.2668089999999896</v>
      </c>
      <c r="E2093">
        <v>0.51763679999999901</v>
      </c>
      <c r="F2093" t="s">
        <v>60</v>
      </c>
      <c r="G2093">
        <v>-464.29590000000002</v>
      </c>
      <c r="H2093" s="1">
        <v>5.7438219999999997E-7</v>
      </c>
      <c r="I2093">
        <v>288.61770000000001</v>
      </c>
      <c r="J2093">
        <v>-407.96929999999998</v>
      </c>
      <c r="K2093">
        <v>1.1210100000000001</v>
      </c>
      <c r="L2093">
        <v>284.67360000000002</v>
      </c>
      <c r="M2093">
        <v>-0.99989329999999998</v>
      </c>
      <c r="N2093">
        <v>-1.26182E-2</v>
      </c>
      <c r="O2093">
        <v>7.3649789999999998E-3</v>
      </c>
      <c r="P2093">
        <v>-0.97725090000000003</v>
      </c>
      <c r="Q2093">
        <v>0.20924090000000001</v>
      </c>
      <c r="R2093">
        <v>3.4627209999999999E-2</v>
      </c>
      <c r="S2093">
        <v>-3.0751949999999999</v>
      </c>
      <c r="T2093">
        <v>-6.0795309999999998E-2</v>
      </c>
      <c r="U2093">
        <v>0.2140503</v>
      </c>
      <c r="V2093">
        <v>2.7437929999999999E-2</v>
      </c>
      <c r="W2093">
        <v>0.22155710000000001</v>
      </c>
      <c r="X2093">
        <v>0.97476130000000005</v>
      </c>
      <c r="Y2093">
        <v>6.2068140000000001E-2</v>
      </c>
      <c r="Z2093">
        <v>9.5230010000000003E-4</v>
      </c>
      <c r="AA2093">
        <v>0.99807140000000005</v>
      </c>
      <c r="AB2093">
        <v>39</v>
      </c>
      <c r="AC2093">
        <v>-56.326599999999999</v>
      </c>
      <c r="AD2093">
        <v>-1.1210094256178</v>
      </c>
      <c r="AE2093">
        <v>3.9440999999999899</v>
      </c>
      <c r="AF2093">
        <v>3.5277253000336799</v>
      </c>
      <c r="AG2093">
        <v>-1.1210094256178</v>
      </c>
      <c r="AH2093">
        <v>56.331919082276201</v>
      </c>
      <c r="AI2093">
        <v>91.137811508408802</v>
      </c>
      <c r="AJ2093">
        <v>86.416593511308804</v>
      </c>
      <c r="AK2093">
        <v>56.453402159807297</v>
      </c>
      <c r="AL2093">
        <v>77.199494432211097</v>
      </c>
      <c r="AM2093">
        <v>88.387643638079695</v>
      </c>
      <c r="AN2093">
        <v>0.99999999027039199</v>
      </c>
    </row>
    <row r="2094" spans="1:40" x14ac:dyDescent="0.25">
      <c r="A2094" t="str">
        <f>"20190303170538898"</f>
        <v>20190303170538898</v>
      </c>
      <c r="B2094" t="str">
        <f>"1551603938886619"</f>
        <v>1551603938886619</v>
      </c>
      <c r="C2094" t="s">
        <v>40</v>
      </c>
      <c r="D2094">
        <v>5.301596</v>
      </c>
      <c r="E2094">
        <v>0.51784030000000003</v>
      </c>
      <c r="F2094" t="s">
        <v>60</v>
      </c>
      <c r="G2094">
        <v>-467.03309999999999</v>
      </c>
      <c r="H2094" s="1">
        <v>2.021091E-6</v>
      </c>
      <c r="I2094">
        <v>288.8442</v>
      </c>
      <c r="J2094">
        <v>-408.35410000000002</v>
      </c>
      <c r="K2094">
        <v>1.121003</v>
      </c>
      <c r="L2094">
        <v>284.6764</v>
      </c>
      <c r="M2094">
        <v>-0.99989360000000005</v>
      </c>
      <c r="N2094">
        <v>-1.259442E-2</v>
      </c>
      <c r="O2094">
        <v>7.3654180000000003E-3</v>
      </c>
      <c r="P2094">
        <v>-0.97724690000000003</v>
      </c>
      <c r="Q2094">
        <v>0.20922550000000001</v>
      </c>
      <c r="R2094">
        <v>3.4831979999999998E-2</v>
      </c>
      <c r="S2094">
        <v>-3.074646</v>
      </c>
      <c r="T2094">
        <v>-5.8355570000000002E-2</v>
      </c>
      <c r="U2094">
        <v>0.21710209999999999</v>
      </c>
      <c r="V2094">
        <v>2.7642010000000002E-2</v>
      </c>
      <c r="W2094">
        <v>0.22151889999999999</v>
      </c>
      <c r="X2094">
        <v>0.97476419999999997</v>
      </c>
      <c r="Y2094">
        <v>6.3066739999999996E-2</v>
      </c>
      <c r="Z2094">
        <v>9.4846579999999995E-4</v>
      </c>
      <c r="AA2094">
        <v>0.99800880000000003</v>
      </c>
      <c r="AB2094">
        <v>39</v>
      </c>
      <c r="AC2094">
        <v>-58.678999999999903</v>
      </c>
      <c r="AD2094">
        <v>-1.1210009789090001</v>
      </c>
      <c r="AE2094">
        <v>4.1677999999999997</v>
      </c>
      <c r="AF2094">
        <v>3.7341013422743399</v>
      </c>
      <c r="AG2094">
        <v>-1.1210009789090001</v>
      </c>
      <c r="AH2094">
        <v>58.686797211341002</v>
      </c>
      <c r="AI2094">
        <v>91.092089613987795</v>
      </c>
      <c r="AJ2094">
        <v>86.359313588037594</v>
      </c>
      <c r="AK2094">
        <v>58.816156988995402</v>
      </c>
      <c r="AL2094">
        <v>77.201738699372299</v>
      </c>
      <c r="AM2094">
        <v>88.375662357803193</v>
      </c>
      <c r="AN2094">
        <v>0.99999997468784396</v>
      </c>
    </row>
    <row r="2095" spans="1:40" x14ac:dyDescent="0.25">
      <c r="A2095" t="str">
        <f>"20190303170538920"</f>
        <v>20190303170538920</v>
      </c>
      <c r="B2095" t="str">
        <f>"1551603938907115"</f>
        <v>1551603938907115</v>
      </c>
      <c r="C2095" t="s">
        <v>40</v>
      </c>
      <c r="D2095">
        <v>5.3273020000000004</v>
      </c>
      <c r="E2095">
        <v>0.51792590000000005</v>
      </c>
      <c r="F2095" t="s">
        <v>60</v>
      </c>
      <c r="G2095">
        <v>-466.80919999999998</v>
      </c>
      <c r="H2095" s="1">
        <v>1.901372E-6</v>
      </c>
      <c r="I2095">
        <v>288.85680000000002</v>
      </c>
      <c r="J2095">
        <v>-408.74889999999999</v>
      </c>
      <c r="K2095">
        <v>1.120994</v>
      </c>
      <c r="L2095">
        <v>284.67930000000001</v>
      </c>
      <c r="M2095">
        <v>-0.99989380000000005</v>
      </c>
      <c r="N2095">
        <v>-1.2572440000000001E-2</v>
      </c>
      <c r="O2095">
        <v>7.36573E-3</v>
      </c>
      <c r="P2095">
        <v>-0.97740890000000002</v>
      </c>
      <c r="Q2095">
        <v>0.2083024</v>
      </c>
      <c r="R2095">
        <v>3.5806030000000003E-2</v>
      </c>
      <c r="S2095">
        <v>-3.0746150000000001</v>
      </c>
      <c r="T2095">
        <v>-5.8962349999999997E-2</v>
      </c>
      <c r="U2095">
        <v>0.2198792</v>
      </c>
      <c r="V2095">
        <v>2.8614259999999999E-2</v>
      </c>
      <c r="W2095">
        <v>0.2205763</v>
      </c>
      <c r="X2095">
        <v>0.97494990000000004</v>
      </c>
      <c r="Y2095">
        <v>6.3963469999999994E-2</v>
      </c>
      <c r="Z2095">
        <v>9.6660240000000003E-4</v>
      </c>
      <c r="AA2095">
        <v>0.9979517</v>
      </c>
      <c r="AB2095">
        <v>39</v>
      </c>
      <c r="AC2095">
        <v>-58.060299999999899</v>
      </c>
      <c r="AD2095">
        <v>-1.120992098628</v>
      </c>
      <c r="AE2095">
        <v>4.1775000000000002</v>
      </c>
      <c r="AF2095">
        <v>3.7483062685678301</v>
      </c>
      <c r="AG2095">
        <v>-1.120992098628</v>
      </c>
      <c r="AH2095">
        <v>58.067962709831498</v>
      </c>
      <c r="AI2095">
        <v>91.103651503401494</v>
      </c>
      <c r="AJ2095">
        <v>86.306662458053793</v>
      </c>
      <c r="AK2095">
        <v>58.199610964666697</v>
      </c>
      <c r="AL2095">
        <v>77.257115808359501</v>
      </c>
      <c r="AM2095">
        <v>88.3188819943136</v>
      </c>
      <c r="AN2095">
        <v>0.999999993753523</v>
      </c>
    </row>
    <row r="2096" spans="1:40" x14ac:dyDescent="0.25">
      <c r="A2096" t="str">
        <f>"20190303170538943"</f>
        <v>20190303170538943</v>
      </c>
      <c r="B2096" t="str">
        <f>"1551603938936395"</f>
        <v>1551603938936395</v>
      </c>
      <c r="C2096" t="s">
        <v>40</v>
      </c>
      <c r="D2096">
        <v>5.3137030000000003</v>
      </c>
      <c r="E2096">
        <v>0.518067099999999</v>
      </c>
      <c r="F2096" t="s">
        <v>60</v>
      </c>
      <c r="G2096">
        <v>-463.55419999999998</v>
      </c>
      <c r="H2096" s="1">
        <v>1.7748460000000001E-7</v>
      </c>
      <c r="I2096">
        <v>288.66730000000001</v>
      </c>
      <c r="J2096">
        <v>-409.13600000000002</v>
      </c>
      <c r="K2096">
        <v>1.120987</v>
      </c>
      <c r="L2096">
        <v>284.68220000000002</v>
      </c>
      <c r="M2096">
        <v>-0.99989430000000001</v>
      </c>
      <c r="N2096">
        <v>-1.2553190000000001E-2</v>
      </c>
      <c r="O2096">
        <v>7.3655500000000002E-3</v>
      </c>
      <c r="P2096">
        <v>-0.97767159999999997</v>
      </c>
      <c r="Q2096">
        <v>0.2070139</v>
      </c>
      <c r="R2096">
        <v>3.6109309999999999E-2</v>
      </c>
      <c r="S2096">
        <v>-3.074554</v>
      </c>
      <c r="T2096">
        <v>-6.2887310000000002E-2</v>
      </c>
      <c r="U2096">
        <v>0.22372439999999999</v>
      </c>
      <c r="V2096">
        <v>2.8915659999999999E-2</v>
      </c>
      <c r="W2096">
        <v>0.21927240000000001</v>
      </c>
      <c r="X2096">
        <v>0.97523510000000002</v>
      </c>
      <c r="Y2096">
        <v>6.5204170000000006E-2</v>
      </c>
      <c r="Z2096">
        <v>1.017698E-3</v>
      </c>
      <c r="AA2096">
        <v>0.99787139999999996</v>
      </c>
      <c r="AB2096">
        <v>39</v>
      </c>
      <c r="AC2096">
        <v>-54.418199999999999</v>
      </c>
      <c r="AD2096">
        <v>-1.1209868225154</v>
      </c>
      <c r="AE2096">
        <v>3.9850999999999801</v>
      </c>
      <c r="AF2096">
        <v>3.5826282757618002</v>
      </c>
      <c r="AG2096">
        <v>-1.1209868225154</v>
      </c>
      <c r="AH2096">
        <v>54.4231077322302</v>
      </c>
      <c r="AI2096">
        <v>91.177442451358502</v>
      </c>
      <c r="AJ2096">
        <v>86.233700233811703</v>
      </c>
      <c r="AK2096">
        <v>54.552419671839303</v>
      </c>
      <c r="AL2096">
        <v>77.333698855452894</v>
      </c>
      <c r="AM2096">
        <v>88.301681262519097</v>
      </c>
      <c r="AN2096">
        <v>1.0000000005334999</v>
      </c>
    </row>
    <row r="2097" spans="1:40" x14ac:dyDescent="0.25">
      <c r="A2097" t="str">
        <f>"20190303170538964"</f>
        <v>20190303170538964</v>
      </c>
      <c r="B2097" t="str">
        <f>"1551603938956890"</f>
        <v>1551603938956890</v>
      </c>
      <c r="C2097" t="s">
        <v>40</v>
      </c>
      <c r="D2097">
        <v>5.4720800000000001</v>
      </c>
      <c r="E2097">
        <v>0.51799340000000005</v>
      </c>
      <c r="F2097" t="s">
        <v>60</v>
      </c>
      <c r="G2097">
        <v>-459.50369999999998</v>
      </c>
      <c r="H2097" s="1">
        <v>3.3557919999999999E-6</v>
      </c>
      <c r="I2097">
        <v>288.38659999999999</v>
      </c>
      <c r="J2097">
        <v>-409.51029999999997</v>
      </c>
      <c r="K2097">
        <v>1.1209830000000001</v>
      </c>
      <c r="L2097">
        <v>284.68490000000003</v>
      </c>
      <c r="M2097">
        <v>-0.99989430000000001</v>
      </c>
      <c r="N2097">
        <v>-1.2536769999999999E-2</v>
      </c>
      <c r="O2097">
        <v>7.3656499999999996E-3</v>
      </c>
      <c r="P2097">
        <v>-0.97759320000000005</v>
      </c>
      <c r="Q2097">
        <v>0.20724239999999999</v>
      </c>
      <c r="R2097">
        <v>3.690943E-2</v>
      </c>
      <c r="S2097">
        <v>-3.074646</v>
      </c>
      <c r="T2097">
        <v>-6.842935E-2</v>
      </c>
      <c r="U2097">
        <v>0.22613530000000001</v>
      </c>
      <c r="V2097">
        <v>2.9716090000000001E-2</v>
      </c>
      <c r="W2097">
        <v>0.2194837</v>
      </c>
      <c r="X2097">
        <v>0.97516349999999996</v>
      </c>
      <c r="Y2097">
        <v>6.5976800000000002E-2</v>
      </c>
      <c r="Z2097">
        <v>1.075877E-3</v>
      </c>
      <c r="AA2097">
        <v>0.99782059999999995</v>
      </c>
      <c r="AB2097">
        <v>39</v>
      </c>
      <c r="AC2097">
        <v>-49.993400000000001</v>
      </c>
      <c r="AD2097">
        <v>-1.120979644208</v>
      </c>
      <c r="AE2097">
        <v>3.7016999999999598</v>
      </c>
      <c r="AF2097">
        <v>3.33167081395831</v>
      </c>
      <c r="AG2097">
        <v>-1.120979644208</v>
      </c>
      <c r="AH2097">
        <v>49.994312567132297</v>
      </c>
      <c r="AI2097">
        <v>91.281637167705199</v>
      </c>
      <c r="AJ2097">
        <v>86.187389446604897</v>
      </c>
      <c r="AK2097">
        <v>50.117740520053701</v>
      </c>
      <c r="AL2097">
        <v>77.321289919554303</v>
      </c>
      <c r="AM2097">
        <v>88.254569802027007</v>
      </c>
      <c r="AN2097">
        <v>0.99999999615141399</v>
      </c>
    </row>
    <row r="2098" spans="1:40" x14ac:dyDescent="0.25">
      <c r="A2098" t="str">
        <f>"20190303170538988"</f>
        <v>20190303170538988</v>
      </c>
      <c r="B2098" t="str">
        <f>"1551603938976411"</f>
        <v>1551603938976411</v>
      </c>
      <c r="C2098" t="s">
        <v>40</v>
      </c>
      <c r="D2098">
        <v>5.3128489999999999</v>
      </c>
      <c r="E2098">
        <v>0.51791149999999997</v>
      </c>
      <c r="F2098" t="s">
        <v>60</v>
      </c>
      <c r="G2098">
        <v>-459.52449999999999</v>
      </c>
      <c r="H2098" s="1">
        <v>3.3657740000000002E-6</v>
      </c>
      <c r="I2098">
        <v>288.41140000000001</v>
      </c>
      <c r="J2098">
        <v>-409.90269999999998</v>
      </c>
      <c r="K2098">
        <v>1.120978</v>
      </c>
      <c r="L2098">
        <v>284.68779999999998</v>
      </c>
      <c r="M2098">
        <v>-0.99989450000000002</v>
      </c>
      <c r="N2098">
        <v>-1.2521620000000001E-2</v>
      </c>
      <c r="O2098">
        <v>7.3653859999999998E-3</v>
      </c>
      <c r="P2098">
        <v>-0.97749969999999997</v>
      </c>
      <c r="Q2098">
        <v>0.20747470000000001</v>
      </c>
      <c r="R2098">
        <v>3.8060330000000003E-2</v>
      </c>
      <c r="S2098">
        <v>-3.074738</v>
      </c>
      <c r="T2098">
        <v>-6.891477E-2</v>
      </c>
      <c r="U2098">
        <v>0.22909550000000001</v>
      </c>
      <c r="V2098">
        <v>3.0867809999999999E-2</v>
      </c>
      <c r="W2098">
        <v>0.21970039999999999</v>
      </c>
      <c r="X2098">
        <v>0.97507889999999997</v>
      </c>
      <c r="Y2098">
        <v>6.6929630000000004E-2</v>
      </c>
      <c r="Z2098">
        <v>1.095918E-3</v>
      </c>
      <c r="AA2098">
        <v>0.99775709999999995</v>
      </c>
      <c r="AB2098">
        <v>39</v>
      </c>
      <c r="AC2098">
        <v>-49.6218</v>
      </c>
      <c r="AD2098">
        <v>-1.1209746342260001</v>
      </c>
      <c r="AE2098">
        <v>3.72360000000003</v>
      </c>
      <c r="AF2098">
        <v>3.3562834213322499</v>
      </c>
      <c r="AG2098">
        <v>-1.1209746342260001</v>
      </c>
      <c r="AH2098">
        <v>49.622699818393301</v>
      </c>
      <c r="AI2098">
        <v>91.291140198117603</v>
      </c>
      <c r="AJ2098">
        <v>86.130632908238397</v>
      </c>
      <c r="AK2098">
        <v>49.748704101727697</v>
      </c>
      <c r="AL2098">
        <v>77.308563008302499</v>
      </c>
      <c r="AM2098">
        <v>88.186808480430003</v>
      </c>
      <c r="AN2098">
        <v>0.99999997433978205</v>
      </c>
    </row>
    <row r="2099" spans="1:40" x14ac:dyDescent="0.25">
      <c r="A2099" t="str">
        <f>"20190303170539010"</f>
        <v>20190303170539010</v>
      </c>
      <c r="B2099" t="str">
        <f>"1551603938996906"</f>
        <v>1551603938996906</v>
      </c>
      <c r="C2099" t="s">
        <v>40</v>
      </c>
      <c r="D2099">
        <v>5.3722110000000001</v>
      </c>
      <c r="E2099">
        <v>0.51795530000000001</v>
      </c>
      <c r="F2099" t="s">
        <v>60</v>
      </c>
      <c r="G2099">
        <v>-461.67770000000002</v>
      </c>
      <c r="H2099" s="1">
        <v>-8.1808470000000003E-7</v>
      </c>
      <c r="I2099">
        <v>288.59870000000001</v>
      </c>
      <c r="J2099">
        <v>-410.291</v>
      </c>
      <c r="K2099">
        <v>1.120984</v>
      </c>
      <c r="L2099">
        <v>284.69060000000002</v>
      </c>
      <c r="M2099">
        <v>-0.99989479999999997</v>
      </c>
      <c r="N2099">
        <v>-1.2508389999999999E-2</v>
      </c>
      <c r="O2099">
        <v>7.3652869999999999E-3</v>
      </c>
      <c r="P2099">
        <v>-0.97750300000000001</v>
      </c>
      <c r="Q2099">
        <v>0.20747109999999999</v>
      </c>
      <c r="R2099">
        <v>3.7994930000000003E-2</v>
      </c>
      <c r="S2099">
        <v>-3.0741269999999998</v>
      </c>
      <c r="T2099">
        <v>-6.655788E-2</v>
      </c>
      <c r="U2099">
        <v>0.23220830000000001</v>
      </c>
      <c r="V2099">
        <v>3.0802329999999999E-2</v>
      </c>
      <c r="W2099">
        <v>0.21968370000000001</v>
      </c>
      <c r="X2099">
        <v>0.97508479999999997</v>
      </c>
      <c r="Y2099">
        <v>6.7950040000000003E-2</v>
      </c>
      <c r="Z2099">
        <v>1.092928E-3</v>
      </c>
      <c r="AA2099">
        <v>0.99768809999999997</v>
      </c>
      <c r="AB2099">
        <v>39</v>
      </c>
      <c r="AC2099">
        <v>-51.386699999999998</v>
      </c>
      <c r="AD2099">
        <v>-1.1209848180847</v>
      </c>
      <c r="AE2099">
        <v>3.9080999999999899</v>
      </c>
      <c r="AF2099">
        <v>3.52781746936739</v>
      </c>
      <c r="AG2099">
        <v>-1.1209848180847</v>
      </c>
      <c r="AH2099">
        <v>51.389777728857297</v>
      </c>
      <c r="AI2099">
        <v>91.246683347768695</v>
      </c>
      <c r="AJ2099">
        <v>86.072907119922306</v>
      </c>
      <c r="AK2099">
        <v>51.522920706040203</v>
      </c>
      <c r="AL2099">
        <v>77.309544648758006</v>
      </c>
      <c r="AM2099">
        <v>88.1906631916371</v>
      </c>
      <c r="AN2099">
        <v>1.0000000393850701</v>
      </c>
    </row>
    <row r="2100" spans="1:40" x14ac:dyDescent="0.25">
      <c r="A2100" t="str">
        <f>"20190303170539033"</f>
        <v>20190303170539033</v>
      </c>
      <c r="B2100" t="str">
        <f>"1551603939027163"</f>
        <v>1551603939027163</v>
      </c>
      <c r="C2100" t="s">
        <v>40</v>
      </c>
      <c r="D2100">
        <v>5.3721100000000002</v>
      </c>
      <c r="E2100">
        <v>0.51799259999999903</v>
      </c>
      <c r="F2100" t="s">
        <v>60</v>
      </c>
      <c r="G2100">
        <v>-461.45679999999999</v>
      </c>
      <c r="H2100" s="1">
        <v>-9.3359930000000005E-7</v>
      </c>
      <c r="I2100">
        <v>288.55220000000003</v>
      </c>
      <c r="J2100">
        <v>-410.68299999999999</v>
      </c>
      <c r="K2100">
        <v>1.1209849999999999</v>
      </c>
      <c r="L2100">
        <v>284.69349999999997</v>
      </c>
      <c r="M2100">
        <v>-0.99989490000000003</v>
      </c>
      <c r="N2100">
        <v>-1.249662E-2</v>
      </c>
      <c r="O2100">
        <v>7.3651799999999998E-3</v>
      </c>
      <c r="P2100">
        <v>-0.97741849999999997</v>
      </c>
      <c r="Q2100">
        <v>0.20799619999999999</v>
      </c>
      <c r="R2100">
        <v>3.7297629999999998E-2</v>
      </c>
      <c r="S2100">
        <v>-3.0743100000000001</v>
      </c>
      <c r="T2100">
        <v>-6.735468E-2</v>
      </c>
      <c r="U2100">
        <v>0.23202510000000001</v>
      </c>
      <c r="V2100">
        <v>3.010585E-2</v>
      </c>
      <c r="W2100">
        <v>0.22019630000000001</v>
      </c>
      <c r="X2100">
        <v>0.97499089999999999</v>
      </c>
      <c r="Y2100">
        <v>6.7886160000000001E-2</v>
      </c>
      <c r="Z2100">
        <v>1.0981949999999999E-3</v>
      </c>
      <c r="AA2100">
        <v>0.99769249999999998</v>
      </c>
      <c r="AB2100">
        <v>39</v>
      </c>
      <c r="AC2100">
        <v>-50.773799999999902</v>
      </c>
      <c r="AD2100">
        <v>-1.1209859335993</v>
      </c>
      <c r="AE2100">
        <v>3.85870000000005</v>
      </c>
      <c r="AF2100">
        <v>3.4829200204700199</v>
      </c>
      <c r="AG2100">
        <v>-1.1209859335993</v>
      </c>
      <c r="AH2100">
        <v>50.7762366384773</v>
      </c>
      <c r="AI2100">
        <v>91.261748442307606</v>
      </c>
      <c r="AJ2100">
        <v>86.076028168806005</v>
      </c>
      <c r="AK2100">
        <v>50.907892791776099</v>
      </c>
      <c r="AL2100">
        <v>77.279437284651095</v>
      </c>
      <c r="AM2100">
        <v>88.231378119003494</v>
      </c>
      <c r="AN2100">
        <v>1.00000001391036</v>
      </c>
    </row>
    <row r="2101" spans="1:40" x14ac:dyDescent="0.25">
      <c r="A2101" t="str">
        <f>"20190303170539054"</f>
        <v>20190303170539054</v>
      </c>
      <c r="B2101" t="str">
        <f>"1551603939046683"</f>
        <v>1551603939046683</v>
      </c>
      <c r="C2101" t="s">
        <v>40</v>
      </c>
      <c r="D2101">
        <v>5.5125080000000004</v>
      </c>
      <c r="E2101">
        <v>0.51799949999999995</v>
      </c>
      <c r="F2101" t="s">
        <v>60</v>
      </c>
      <c r="G2101">
        <v>-462.9282</v>
      </c>
      <c r="H2101" s="1">
        <v>-1.5286899999999999E-7</v>
      </c>
      <c r="I2101">
        <v>288.60410000000002</v>
      </c>
      <c r="J2101">
        <v>-411.05610000000001</v>
      </c>
      <c r="K2101">
        <v>1.120986</v>
      </c>
      <c r="L2101">
        <v>284.69619999999998</v>
      </c>
      <c r="M2101">
        <v>-0.99989499999999998</v>
      </c>
      <c r="N2101">
        <v>-1.248676E-2</v>
      </c>
      <c r="O2101">
        <v>7.3651209999999996E-3</v>
      </c>
      <c r="P2101">
        <v>-0.97740419999999995</v>
      </c>
      <c r="Q2101">
        <v>0.2082939</v>
      </c>
      <c r="R2101">
        <v>3.5984309999999999E-2</v>
      </c>
      <c r="S2101">
        <v>-3.0745849999999999</v>
      </c>
      <c r="T2101">
        <v>-6.5968990000000005E-2</v>
      </c>
      <c r="U2101">
        <v>0.23013310000000001</v>
      </c>
      <c r="V2101">
        <v>2.8792760000000001E-2</v>
      </c>
      <c r="W2101">
        <v>0.22048419999999999</v>
      </c>
      <c r="X2101">
        <v>0.97496550000000004</v>
      </c>
      <c r="Y2101">
        <v>6.7270049999999998E-2</v>
      </c>
      <c r="Z2101">
        <v>1.0753290000000001E-3</v>
      </c>
      <c r="AA2101">
        <v>0.99773420000000002</v>
      </c>
      <c r="AB2101">
        <v>39</v>
      </c>
      <c r="AC2101">
        <v>-51.872099999999897</v>
      </c>
      <c r="AD2101">
        <v>-1.1209861528689999</v>
      </c>
      <c r="AE2101">
        <v>3.9079000000000401</v>
      </c>
      <c r="AF2101">
        <v>3.5240834239405601</v>
      </c>
      <c r="AG2101">
        <v>-1.1209861528689999</v>
      </c>
      <c r="AH2101">
        <v>51.8753872899958</v>
      </c>
      <c r="AI2101">
        <v>91.235078122121706</v>
      </c>
      <c r="AJ2101">
        <v>86.113660767566401</v>
      </c>
      <c r="AK2101">
        <v>52.0070339513885</v>
      </c>
      <c r="AL2101">
        <v>77.262526232536899</v>
      </c>
      <c r="AM2101">
        <v>88.308428055751506</v>
      </c>
      <c r="AN2101">
        <v>1.00000001583415</v>
      </c>
    </row>
    <row r="2102" spans="1:40" x14ac:dyDescent="0.25">
      <c r="A2102" t="str">
        <f>"20190303170539076"</f>
        <v>20190303170539076</v>
      </c>
      <c r="B2102" t="str">
        <f>"1551603939067180"</f>
        <v>1551603939067180</v>
      </c>
      <c r="C2102" t="s">
        <v>40</v>
      </c>
      <c r="D2102">
        <v>5.4506990000000002</v>
      </c>
      <c r="E2102">
        <v>0.51644820000000002</v>
      </c>
      <c r="F2102" t="s">
        <v>60</v>
      </c>
      <c r="G2102">
        <v>-463.86320000000001</v>
      </c>
      <c r="H2102" s="1">
        <v>3.46302299999999E-7</v>
      </c>
      <c r="I2102">
        <v>288.56709999999998</v>
      </c>
      <c r="J2102">
        <v>-411.44600000000003</v>
      </c>
      <c r="K2102">
        <v>1.120986</v>
      </c>
      <c r="L2102">
        <v>284.69909999999999</v>
      </c>
      <c r="M2102">
        <v>-0.99989499999999998</v>
      </c>
      <c r="N2102">
        <v>-1.2477729999999999E-2</v>
      </c>
      <c r="O2102">
        <v>7.3651760000000002E-3</v>
      </c>
      <c r="P2102">
        <v>-0.97738610000000004</v>
      </c>
      <c r="Q2102">
        <v>0.20856279999999999</v>
      </c>
      <c r="R2102">
        <v>3.490335E-2</v>
      </c>
      <c r="S2102">
        <v>-3.0749819999999999</v>
      </c>
      <c r="T2102">
        <v>-6.5275550000000002E-2</v>
      </c>
      <c r="U2102">
        <v>0.22540279999999999</v>
      </c>
      <c r="V2102">
        <v>2.7711860000000001E-2</v>
      </c>
      <c r="W2102">
        <v>0.22074369999999999</v>
      </c>
      <c r="X2102">
        <v>0.97493810000000003</v>
      </c>
      <c r="Y2102">
        <v>6.5734860000000006E-2</v>
      </c>
      <c r="Z2102">
        <v>1.0431189999999999E-3</v>
      </c>
      <c r="AA2102">
        <v>0.99783659999999996</v>
      </c>
      <c r="AB2102">
        <v>39</v>
      </c>
      <c r="AC2102">
        <v>-52.417200000000001</v>
      </c>
      <c r="AD2102">
        <v>-1.1209856536976901</v>
      </c>
      <c r="AE2102">
        <v>3.8679999999999901</v>
      </c>
      <c r="AF2102">
        <v>3.4802200284893701</v>
      </c>
      <c r="AG2102">
        <v>-1.1209856536976901</v>
      </c>
      <c r="AH2102">
        <v>52.420423925124297</v>
      </c>
      <c r="AI2102">
        <v>91.222365949665701</v>
      </c>
      <c r="AJ2102">
        <v>86.201676585238602</v>
      </c>
      <c r="AK2102">
        <v>52.547781920574302</v>
      </c>
      <c r="AL2102">
        <v>77.247282358446896</v>
      </c>
      <c r="AM2102">
        <v>88.371850252746597</v>
      </c>
      <c r="AN2102">
        <v>1.0000000135529701</v>
      </c>
    </row>
    <row r="2103" spans="1:40" x14ac:dyDescent="0.25">
      <c r="A2103" t="str">
        <f>"20190303170539099"</f>
        <v>20190303170539099</v>
      </c>
      <c r="B2103" t="str">
        <f>"1551603939086699"</f>
        <v>1551603939086699</v>
      </c>
      <c r="C2103" t="s">
        <v>40</v>
      </c>
      <c r="D2103">
        <v>5.4984019999999996</v>
      </c>
      <c r="E2103">
        <v>0.4478896</v>
      </c>
      <c r="F2103" t="s">
        <v>60</v>
      </c>
      <c r="G2103">
        <v>-465.73379999999997</v>
      </c>
      <c r="H2103" s="1">
        <v>1.3494890000000001E-6</v>
      </c>
      <c r="I2103">
        <v>288.39010000000002</v>
      </c>
      <c r="J2103">
        <v>-411.82850000000002</v>
      </c>
      <c r="K2103">
        <v>1.120992</v>
      </c>
      <c r="L2103">
        <v>284.70190000000002</v>
      </c>
      <c r="M2103">
        <v>-0.99989519999999998</v>
      </c>
      <c r="N2103">
        <v>-1.247002E-2</v>
      </c>
      <c r="O2103">
        <v>7.3650449999999998E-3</v>
      </c>
      <c r="P2103">
        <v>-0.97717109999999996</v>
      </c>
      <c r="Q2103">
        <v>0.2096325</v>
      </c>
      <c r="R2103">
        <v>3.4516159999999997E-2</v>
      </c>
      <c r="S2103">
        <v>-3.0755309999999998</v>
      </c>
      <c r="T2103">
        <v>-6.3506480000000004E-2</v>
      </c>
      <c r="U2103">
        <v>0.2091064</v>
      </c>
      <c r="V2103">
        <v>2.7326449999999999E-2</v>
      </c>
      <c r="W2103">
        <v>0.22180349999999999</v>
      </c>
      <c r="X2103">
        <v>0.97470840000000003</v>
      </c>
      <c r="Y2103">
        <v>6.0462879999999997E-2</v>
      </c>
      <c r="Z2103">
        <v>9.4082560000000005E-4</v>
      </c>
      <c r="AA2103">
        <v>0.99817</v>
      </c>
      <c r="AB2103">
        <v>39</v>
      </c>
      <c r="AC2103">
        <v>-53.905299999999897</v>
      </c>
      <c r="AD2103">
        <v>-1.1209906505110001</v>
      </c>
      <c r="AE2103">
        <v>3.6881999999999899</v>
      </c>
      <c r="AF2103">
        <v>3.2896381587485899</v>
      </c>
      <c r="AG2103">
        <v>-1.1209906505110001</v>
      </c>
      <c r="AH2103">
        <v>53.907799526651203</v>
      </c>
      <c r="AI2103">
        <v>91.189059371408106</v>
      </c>
      <c r="AJ2103">
        <v>86.507946064970298</v>
      </c>
      <c r="AK2103">
        <v>54.019711116032902</v>
      </c>
      <c r="AL2103">
        <v>77.185016611151397</v>
      </c>
      <c r="AM2103">
        <v>88.394104080978593</v>
      </c>
      <c r="AN2103">
        <v>0.99999999625620595</v>
      </c>
    </row>
    <row r="2104" spans="1:40" x14ac:dyDescent="0.25">
      <c r="A2104" t="str">
        <f>"20190303170539121"</f>
        <v>20190303170539121</v>
      </c>
      <c r="B2104" t="str">
        <f>"1551603939116954"</f>
        <v>1551603939116954</v>
      </c>
      <c r="C2104" t="s">
        <v>40</v>
      </c>
      <c r="D2104">
        <v>5.4819589999999998</v>
      </c>
      <c r="E2104">
        <v>0.44475710000000002</v>
      </c>
      <c r="F2104" t="s">
        <v>68</v>
      </c>
      <c r="G2104">
        <v>-512.82560000000001</v>
      </c>
      <c r="H2104">
        <v>1.173324</v>
      </c>
      <c r="I2104">
        <v>273.65789999999998</v>
      </c>
      <c r="J2104">
        <v>-412.22219999999999</v>
      </c>
      <c r="K2104">
        <v>1.120995</v>
      </c>
      <c r="L2104">
        <v>284.70479999999998</v>
      </c>
      <c r="M2104">
        <v>-0.99989519999999998</v>
      </c>
      <c r="N2104">
        <v>-1.246971E-2</v>
      </c>
      <c r="O2104">
        <v>7.3648680000000001E-3</v>
      </c>
      <c r="P2104">
        <v>-0.97700880000000001</v>
      </c>
      <c r="Q2104">
        <v>0.21031340000000001</v>
      </c>
      <c r="R2104">
        <v>3.496001E-2</v>
      </c>
      <c r="S2104">
        <v>-3.0816349999999999</v>
      </c>
      <c r="T2104">
        <v>1.5991929999999901E-3</v>
      </c>
      <c r="U2104">
        <v>-0.33697510000000003</v>
      </c>
      <c r="V2104">
        <v>2.7771589999999999E-2</v>
      </c>
      <c r="W2104">
        <v>0.22248219999999999</v>
      </c>
      <c r="X2104">
        <v>0.97454110000000005</v>
      </c>
      <c r="Y2104">
        <v>-0.1160201</v>
      </c>
      <c r="Z2104">
        <v>-6.0015999999999997E-4</v>
      </c>
      <c r="AA2104">
        <v>0.99324670000000004</v>
      </c>
      <c r="AB2104">
        <v>39</v>
      </c>
      <c r="AC2104">
        <v>-100.60339999999999</v>
      </c>
      <c r="AD2104">
        <v>5.2329000000000001E-2</v>
      </c>
      <c r="AE2104">
        <v>-11.0468999999999</v>
      </c>
      <c r="AF2104">
        <v>-11.7875855181769</v>
      </c>
      <c r="AG2104">
        <v>5.2329000000000001E-2</v>
      </c>
      <c r="AH2104">
        <v>100.519278957697</v>
      </c>
      <c r="AI2104">
        <v>89.970375576781805</v>
      </c>
      <c r="AJ2104">
        <v>96.688352445418403</v>
      </c>
      <c r="AK2104">
        <v>101.20807948404099</v>
      </c>
      <c r="AL2104">
        <v>77.145133145733098</v>
      </c>
      <c r="AM2104">
        <v>88.367678511525796</v>
      </c>
      <c r="AN2104">
        <v>0.99999997305858801</v>
      </c>
    </row>
    <row r="2105" spans="1:40" x14ac:dyDescent="0.25">
      <c r="A2105" t="str">
        <f>"20190303170539144"</f>
        <v>20190303170539144</v>
      </c>
      <c r="B2105" t="str">
        <f>"1551603939136475"</f>
        <v>1551603939136475</v>
      </c>
      <c r="C2105" t="s">
        <v>40</v>
      </c>
      <c r="D2105">
        <v>5.4743589999999998</v>
      </c>
      <c r="E2105">
        <v>0.44424049999999998</v>
      </c>
      <c r="F2105" t="s">
        <v>68</v>
      </c>
      <c r="G2105">
        <v>-512.82560000000001</v>
      </c>
      <c r="H2105">
        <v>1.403753</v>
      </c>
      <c r="I2105">
        <v>272.93990000000002</v>
      </c>
      <c r="J2105">
        <v>-412.61349999999999</v>
      </c>
      <c r="K2105">
        <v>1.120992</v>
      </c>
      <c r="L2105">
        <v>284.70760000000001</v>
      </c>
      <c r="M2105">
        <v>-0.99989499999999998</v>
      </c>
      <c r="N2105">
        <v>-1.247913E-2</v>
      </c>
      <c r="O2105">
        <v>7.3649900000000001E-3</v>
      </c>
      <c r="P2105">
        <v>-0.97713499999999998</v>
      </c>
      <c r="Q2105">
        <v>0.20977670000000001</v>
      </c>
      <c r="R2105">
        <v>3.4657019999999997E-2</v>
      </c>
      <c r="S2105">
        <v>-3.081696</v>
      </c>
      <c r="T2105">
        <v>8.6638930000000006E-3</v>
      </c>
      <c r="U2105">
        <v>-0.36038209999999998</v>
      </c>
      <c r="V2105">
        <v>2.746759E-2</v>
      </c>
      <c r="W2105">
        <v>0.22195599999999999</v>
      </c>
      <c r="X2105">
        <v>0.97466969999999997</v>
      </c>
      <c r="Y2105">
        <v>-0.12346459999999999</v>
      </c>
      <c r="Z2105">
        <v>-4.8781429999999998E-4</v>
      </c>
      <c r="AA2105">
        <v>0.99234880000000003</v>
      </c>
      <c r="AB2105">
        <v>39</v>
      </c>
      <c r="AC2105">
        <v>-100.21210000000001</v>
      </c>
      <c r="AD2105">
        <v>0.28276099999999998</v>
      </c>
      <c r="AE2105">
        <v>-11.7676999999999</v>
      </c>
      <c r="AF2105">
        <v>-12.505401175517299</v>
      </c>
      <c r="AG2105">
        <v>0.28276099999999998</v>
      </c>
      <c r="AH2105">
        <v>100.12191960533301</v>
      </c>
      <c r="AI2105">
        <v>89.839435180263195</v>
      </c>
      <c r="AJ2105">
        <v>97.1194725640309</v>
      </c>
      <c r="AK2105">
        <v>100.900266589343</v>
      </c>
      <c r="AL2105">
        <v>77.176055422412105</v>
      </c>
      <c r="AM2105">
        <v>88.385750012401999</v>
      </c>
      <c r="AN2105">
        <v>0.99999997926724804</v>
      </c>
    </row>
    <row r="2106" spans="1:40" x14ac:dyDescent="0.25">
      <c r="A2106" t="str">
        <f>"20190303170539165"</f>
        <v>20190303170539165</v>
      </c>
      <c r="B2106" t="str">
        <f>"1551603939156971"</f>
        <v>1551603939156971</v>
      </c>
      <c r="C2106" t="s">
        <v>40</v>
      </c>
      <c r="D2106">
        <v>5.4885960000000003</v>
      </c>
      <c r="E2106">
        <v>0.44417869999999998</v>
      </c>
      <c r="F2106" t="s">
        <v>68</v>
      </c>
      <c r="G2106">
        <v>-512.82560000000001</v>
      </c>
      <c r="H2106">
        <v>1.3395349999999999</v>
      </c>
      <c r="I2106">
        <v>272.84449999999998</v>
      </c>
      <c r="J2106">
        <v>-412.98430000000002</v>
      </c>
      <c r="K2106">
        <v>1.120997</v>
      </c>
      <c r="L2106">
        <v>284.71039999999999</v>
      </c>
      <c r="M2106">
        <v>-0.99989470000000003</v>
      </c>
      <c r="N2106">
        <v>-1.2495890000000001E-2</v>
      </c>
      <c r="O2106">
        <v>7.3650629999999998E-3</v>
      </c>
      <c r="P2106">
        <v>-0.97732039999999998</v>
      </c>
      <c r="Q2106">
        <v>0.2089724</v>
      </c>
      <c r="R2106">
        <v>3.4288510000000001E-2</v>
      </c>
      <c r="S2106">
        <v>-3.0816650000000001</v>
      </c>
      <c r="T2106">
        <v>6.7229269999999897E-3</v>
      </c>
      <c r="U2106">
        <v>-0.3648071</v>
      </c>
      <c r="V2106">
        <v>2.7097719999999999E-2</v>
      </c>
      <c r="W2106">
        <v>0.22117020000000001</v>
      </c>
      <c r="X2106">
        <v>0.97485869999999997</v>
      </c>
      <c r="Y2106">
        <v>-0.124871</v>
      </c>
      <c r="Z2106">
        <v>-5.3947320000000002E-4</v>
      </c>
      <c r="AA2106">
        <v>0.99217279999999997</v>
      </c>
      <c r="AB2106">
        <v>39</v>
      </c>
      <c r="AC2106">
        <v>-99.841300000000004</v>
      </c>
      <c r="AD2106">
        <v>0.21853800000000001</v>
      </c>
      <c r="AE2106">
        <v>-11.8659</v>
      </c>
      <c r="AF2106">
        <v>-12.600913540655799</v>
      </c>
      <c r="AG2106">
        <v>0.21853800000000001</v>
      </c>
      <c r="AH2106">
        <v>99.750720445533105</v>
      </c>
      <c r="AI2106">
        <v>89.875463961888698</v>
      </c>
      <c r="AJ2106">
        <v>97.199698674643201</v>
      </c>
      <c r="AK2106">
        <v>100.543706965276</v>
      </c>
      <c r="AL2106">
        <v>77.222226425698096</v>
      </c>
      <c r="AM2106">
        <v>88.407784319887199</v>
      </c>
      <c r="AN2106">
        <v>1.00000001438146</v>
      </c>
    </row>
    <row r="2107" spans="1:40" x14ac:dyDescent="0.25">
      <c r="A2107" t="str">
        <f>"20190303170539189"</f>
        <v>20190303170539189</v>
      </c>
      <c r="B2107" t="str">
        <f>"1551603939176491"</f>
        <v>1551603939176491</v>
      </c>
      <c r="C2107" t="s">
        <v>40</v>
      </c>
      <c r="D2107">
        <v>5.5465600000000004</v>
      </c>
      <c r="E2107">
        <v>0.44429170000000001</v>
      </c>
      <c r="F2107" t="s">
        <v>68</v>
      </c>
      <c r="G2107">
        <v>-512.82560000000001</v>
      </c>
      <c r="H2107">
        <v>1.1682380000000001</v>
      </c>
      <c r="I2107">
        <v>272.84739999999999</v>
      </c>
      <c r="J2107">
        <v>-413.37900000000002</v>
      </c>
      <c r="K2107">
        <v>1.1210039999999999</v>
      </c>
      <c r="L2107">
        <v>284.7133</v>
      </c>
      <c r="M2107">
        <v>-0.99989459999999997</v>
      </c>
      <c r="N2107">
        <v>-1.25186E-2</v>
      </c>
      <c r="O2107">
        <v>7.3649190000000002E-3</v>
      </c>
      <c r="P2107">
        <v>-0.97741690000000003</v>
      </c>
      <c r="Q2107">
        <v>0.2085553</v>
      </c>
      <c r="R2107">
        <v>3.4074319999999998E-2</v>
      </c>
      <c r="S2107">
        <v>-3.0821230000000002</v>
      </c>
      <c r="T2107">
        <v>1.4607909999999999E-3</v>
      </c>
      <c r="U2107">
        <v>-0.36621090000000001</v>
      </c>
      <c r="V2107">
        <v>2.6882690000000001E-2</v>
      </c>
      <c r="W2107">
        <v>0.22077720000000001</v>
      </c>
      <c r="X2107">
        <v>0.97495370000000003</v>
      </c>
      <c r="Y2107">
        <v>-0.1252984</v>
      </c>
      <c r="Z2107">
        <v>-6.6212159999999999E-4</v>
      </c>
      <c r="AA2107">
        <v>0.99211890000000003</v>
      </c>
      <c r="AB2107">
        <v>39</v>
      </c>
      <c r="AC2107">
        <v>-99.446600000000004</v>
      </c>
      <c r="AD2107">
        <v>4.72339999999997E-2</v>
      </c>
      <c r="AE2107">
        <v>-11.8659</v>
      </c>
      <c r="AF2107">
        <v>-12.598048817103001</v>
      </c>
      <c r="AG2107">
        <v>4.72339999999997E-2</v>
      </c>
      <c r="AH2107">
        <v>99.356482115017798</v>
      </c>
      <c r="AI2107">
        <v>89.972977984638405</v>
      </c>
      <c r="AJ2107">
        <v>97.2263390937987</v>
      </c>
      <c r="AK2107">
        <v>100.15200249281401</v>
      </c>
      <c r="AL2107">
        <v>77.245314014457506</v>
      </c>
      <c r="AM2107">
        <v>88.420566526102306</v>
      </c>
      <c r="AN2107">
        <v>0.99999998410258295</v>
      </c>
    </row>
    <row r="2108" spans="1:40" x14ac:dyDescent="0.25">
      <c r="A2108" t="str">
        <f>"20190303170539211"</f>
        <v>20190303170539211</v>
      </c>
      <c r="B2108" t="str">
        <f>"1551603939196988"</f>
        <v>1551603939196988</v>
      </c>
      <c r="C2108" t="s">
        <v>40</v>
      </c>
      <c r="D2108">
        <v>5.4959040000000003</v>
      </c>
      <c r="E2108">
        <v>0.44421769999999999</v>
      </c>
      <c r="F2108" t="s">
        <v>68</v>
      </c>
      <c r="G2108">
        <v>-512.82550000000003</v>
      </c>
      <c r="H2108">
        <v>1.095197</v>
      </c>
      <c r="I2108">
        <v>272.89870000000002</v>
      </c>
      <c r="J2108">
        <v>-413.7688</v>
      </c>
      <c r="K2108">
        <v>1.1210070000000001</v>
      </c>
      <c r="L2108">
        <v>284.71609999999998</v>
      </c>
      <c r="M2108">
        <v>-0.99989419999999996</v>
      </c>
      <c r="N2108">
        <v>-1.2547320000000001E-2</v>
      </c>
      <c r="O2108">
        <v>7.3650349999999998E-3</v>
      </c>
      <c r="P2108">
        <v>-0.97725189999999995</v>
      </c>
      <c r="Q2108">
        <v>0.2092695</v>
      </c>
      <c r="R2108">
        <v>3.44222E-2</v>
      </c>
      <c r="S2108">
        <v>-3.0822449999999999</v>
      </c>
      <c r="T2108">
        <v>-7.9739090000000002E-4</v>
      </c>
      <c r="U2108">
        <v>-0.36618040000000002</v>
      </c>
      <c r="V2108">
        <v>2.723157E-2</v>
      </c>
      <c r="W2108">
        <v>0.22151660000000001</v>
      </c>
      <c r="X2108">
        <v>0.97477630000000004</v>
      </c>
      <c r="Y2108">
        <v>-0.1252837</v>
      </c>
      <c r="Z2108">
        <v>-7.1473890000000001E-4</v>
      </c>
      <c r="AA2108">
        <v>0.99212069999999997</v>
      </c>
      <c r="AB2108">
        <v>39</v>
      </c>
      <c r="AC2108">
        <v>-99.056700000000006</v>
      </c>
      <c r="AD2108">
        <v>-2.5809999999999798E-2</v>
      </c>
      <c r="AE2108">
        <v>-11.8173999999999</v>
      </c>
      <c r="AF2108">
        <v>-12.5466920606587</v>
      </c>
      <c r="AG2108">
        <v>-2.5809999999999798E-2</v>
      </c>
      <c r="AH2108">
        <v>98.966963900449798</v>
      </c>
      <c r="AI2108">
        <v>90.014823749740799</v>
      </c>
      <c r="AJ2108">
        <v>97.225218206110299</v>
      </c>
      <c r="AK2108">
        <v>99.759110318276399</v>
      </c>
      <c r="AL2108">
        <v>77.201874150300597</v>
      </c>
      <c r="AM2108">
        <v>88.399788413606998</v>
      </c>
      <c r="AN2108">
        <v>0.99999999876095702</v>
      </c>
    </row>
    <row r="2109" spans="1:40" x14ac:dyDescent="0.25">
      <c r="A2109" t="str">
        <f>"20190303170539234"</f>
        <v>20190303170539234</v>
      </c>
      <c r="B2109" t="str">
        <f>"1551603939227244"</f>
        <v>1551603939227244</v>
      </c>
      <c r="C2109" t="s">
        <v>40</v>
      </c>
      <c r="D2109">
        <v>5.5193919999999999</v>
      </c>
      <c r="E2109">
        <v>0.44390629999999998</v>
      </c>
      <c r="F2109" t="s">
        <v>68</v>
      </c>
      <c r="G2109">
        <v>-512.82550000000003</v>
      </c>
      <c r="H2109">
        <v>1.1268039999999999</v>
      </c>
      <c r="I2109">
        <v>272.93009999999998</v>
      </c>
      <c r="J2109">
        <v>-414.16199999999998</v>
      </c>
      <c r="K2109">
        <v>1.121019</v>
      </c>
      <c r="L2109">
        <v>284.71899999999999</v>
      </c>
      <c r="M2109">
        <v>-0.99989380000000005</v>
      </c>
      <c r="N2109">
        <v>-1.2584700000000001E-2</v>
      </c>
      <c r="O2109">
        <v>7.3649769999999896E-3</v>
      </c>
      <c r="P2109">
        <v>-0.97725280000000003</v>
      </c>
      <c r="Q2109">
        <v>0.20923890000000001</v>
      </c>
      <c r="R2109">
        <v>3.458431E-2</v>
      </c>
      <c r="S2109">
        <v>-3.0827330000000002</v>
      </c>
      <c r="T2109">
        <v>1.828671E-4</v>
      </c>
      <c r="U2109">
        <v>-0.36679079999999997</v>
      </c>
      <c r="V2109">
        <v>2.7393689999999998E-2</v>
      </c>
      <c r="W2109">
        <v>0.2215231</v>
      </c>
      <c r="X2109">
        <v>0.97477029999999998</v>
      </c>
      <c r="Y2109">
        <v>-0.12545919999999999</v>
      </c>
      <c r="Z2109">
        <v>-6.9574060000000002E-4</v>
      </c>
      <c r="AA2109">
        <v>0.99209860000000005</v>
      </c>
      <c r="AB2109">
        <v>39</v>
      </c>
      <c r="AC2109">
        <v>-98.663499999999999</v>
      </c>
      <c r="AD2109">
        <v>5.7850000000001503E-3</v>
      </c>
      <c r="AE2109">
        <v>-11.7889</v>
      </c>
      <c r="AF2109">
        <v>-12.515292044428801</v>
      </c>
      <c r="AG2109">
        <v>5.7850000000001503E-3</v>
      </c>
      <c r="AH2109">
        <v>98.573991466158105</v>
      </c>
      <c r="AI2109">
        <v>89.996664267513907</v>
      </c>
      <c r="AJ2109">
        <v>97.235754979498196</v>
      </c>
      <c r="AK2109">
        <v>99.365307637997006</v>
      </c>
      <c r="AL2109">
        <v>77.201492488906098</v>
      </c>
      <c r="AM2109">
        <v>88.390256833537904</v>
      </c>
      <c r="AN2109">
        <v>1.00000001792375</v>
      </c>
    </row>
    <row r="2110" spans="1:40" x14ac:dyDescent="0.25">
      <c r="A2110" t="str">
        <f>"20190303170539255"</f>
        <v>20190303170539255</v>
      </c>
      <c r="B2110" t="str">
        <f>"1551603939246763"</f>
        <v>1551603939246763</v>
      </c>
      <c r="C2110" t="s">
        <v>40</v>
      </c>
      <c r="D2110">
        <v>5.5558180000000004</v>
      </c>
      <c r="E2110">
        <v>0.44385210000000003</v>
      </c>
      <c r="F2110" t="s">
        <v>68</v>
      </c>
      <c r="G2110">
        <v>-512.82550000000003</v>
      </c>
      <c r="H2110">
        <v>1.1029439999999999</v>
      </c>
      <c r="I2110">
        <v>272.92320000000001</v>
      </c>
      <c r="J2110">
        <v>-414.53390000000002</v>
      </c>
      <c r="K2110">
        <v>1.1210249999999999</v>
      </c>
      <c r="L2110">
        <v>284.7217</v>
      </c>
      <c r="M2110">
        <v>-0.99989320000000004</v>
      </c>
      <c r="N2110">
        <v>-1.26284E-2</v>
      </c>
      <c r="O2110">
        <v>7.3648799999999999E-3</v>
      </c>
      <c r="P2110">
        <v>-0.97719829999999996</v>
      </c>
      <c r="Q2110">
        <v>0.2095089</v>
      </c>
      <c r="R2110">
        <v>3.4493330000000003E-2</v>
      </c>
      <c r="S2110">
        <v>-3.083008</v>
      </c>
      <c r="T2110">
        <v>-5.6231019999999996E-4</v>
      </c>
      <c r="U2110">
        <v>-0.36859130000000001</v>
      </c>
      <c r="V2110">
        <v>2.7303419999999998E-2</v>
      </c>
      <c r="W2110">
        <v>0.2218347</v>
      </c>
      <c r="X2110">
        <v>0.97470190000000001</v>
      </c>
      <c r="Y2110">
        <v>-0.12601979999999999</v>
      </c>
      <c r="Z2110">
        <v>-7.1868910000000004E-4</v>
      </c>
      <c r="AA2110">
        <v>0.99202749999999995</v>
      </c>
      <c r="AB2110">
        <v>39</v>
      </c>
      <c r="AC2110">
        <v>-98.291600000000003</v>
      </c>
      <c r="AD2110">
        <v>-1.8080999999999701E-2</v>
      </c>
      <c r="AE2110">
        <v>-11.798499999999899</v>
      </c>
      <c r="AF2110">
        <v>-12.5221430650952</v>
      </c>
      <c r="AG2110">
        <v>-1.8080999999999701E-2</v>
      </c>
      <c r="AH2110">
        <v>98.202029062653196</v>
      </c>
      <c r="AI2110">
        <v>90.010464590290795</v>
      </c>
      <c r="AJ2110">
        <v>97.266803227293195</v>
      </c>
      <c r="AK2110">
        <v>98.997186353388102</v>
      </c>
      <c r="AL2110">
        <v>77.183182739245893</v>
      </c>
      <c r="AM2110">
        <v>88.395446084607499</v>
      </c>
      <c r="AN2110">
        <v>0.99999995236569705</v>
      </c>
    </row>
    <row r="2111" spans="1:40" x14ac:dyDescent="0.25">
      <c r="A2111" t="str">
        <f>"20190303170539277"</f>
        <v>20190303170539277</v>
      </c>
      <c r="B2111" t="str">
        <f>"1551603939267259"</f>
        <v>1551603939267259</v>
      </c>
      <c r="C2111" t="s">
        <v>40</v>
      </c>
      <c r="D2111">
        <v>5.5301090000000004</v>
      </c>
      <c r="E2111">
        <v>0.4437681</v>
      </c>
      <c r="F2111" t="s">
        <v>68</v>
      </c>
      <c r="G2111">
        <v>-512.82550000000003</v>
      </c>
      <c r="H2111">
        <v>1.1044780000000001</v>
      </c>
      <c r="I2111">
        <v>272.94869999999997</v>
      </c>
      <c r="J2111">
        <v>-414.91120000000001</v>
      </c>
      <c r="K2111">
        <v>1.1210370000000001</v>
      </c>
      <c r="L2111">
        <v>284.72449999999998</v>
      </c>
      <c r="M2111">
        <v>-0.99989249999999996</v>
      </c>
      <c r="N2111">
        <v>-1.2677849999999999E-2</v>
      </c>
      <c r="O2111">
        <v>7.3647449999999998E-3</v>
      </c>
      <c r="P2111">
        <v>-0.97713019999999995</v>
      </c>
      <c r="Q2111">
        <v>0.20982200000000001</v>
      </c>
      <c r="R2111">
        <v>3.4516940000000003E-2</v>
      </c>
      <c r="S2111">
        <v>-3.0831909999999998</v>
      </c>
      <c r="T2111">
        <v>-5.1653389999999999E-4</v>
      </c>
      <c r="U2111">
        <v>-0.36929319999999999</v>
      </c>
      <c r="V2111">
        <v>2.732762E-2</v>
      </c>
      <c r="W2111">
        <v>0.222195</v>
      </c>
      <c r="X2111">
        <v>0.97461920000000002</v>
      </c>
      <c r="Y2111">
        <v>-0.1262354</v>
      </c>
      <c r="Z2111">
        <v>-7.2181440000000001E-4</v>
      </c>
      <c r="AA2111">
        <v>0.99199999999999999</v>
      </c>
      <c r="AB2111">
        <v>39</v>
      </c>
      <c r="AC2111">
        <v>-97.914299999999997</v>
      </c>
      <c r="AD2111">
        <v>-1.65589999999999E-2</v>
      </c>
      <c r="AE2111">
        <v>-11.7758</v>
      </c>
      <c r="AF2111">
        <v>-12.4966520529362</v>
      </c>
      <c r="AG2111">
        <v>-1.65589999999999E-2</v>
      </c>
      <c r="AH2111">
        <v>97.824908633726295</v>
      </c>
      <c r="AI2111">
        <v>90.009620381666096</v>
      </c>
      <c r="AJ2111">
        <v>97.279826185855896</v>
      </c>
      <c r="AK2111">
        <v>98.619872925945003</v>
      </c>
      <c r="AL2111">
        <v>77.162011317789407</v>
      </c>
      <c r="AM2111">
        <v>88.393888453891904</v>
      </c>
      <c r="AN2111">
        <v>1.00000000092425</v>
      </c>
    </row>
    <row r="2112" spans="1:40" x14ac:dyDescent="0.25">
      <c r="A2112" t="str">
        <f>"20190303170539300"</f>
        <v>20190303170539300</v>
      </c>
      <c r="B2112" t="str">
        <f>"1551603939286779"</f>
        <v>1551603939286779</v>
      </c>
      <c r="C2112" t="s">
        <v>40</v>
      </c>
      <c r="D2112">
        <v>5.5586769999999897</v>
      </c>
      <c r="E2112">
        <v>0.44363140000000001</v>
      </c>
      <c r="F2112" t="s">
        <v>68</v>
      </c>
      <c r="G2112">
        <v>-512.82560000000001</v>
      </c>
      <c r="H2112">
        <v>1.143283</v>
      </c>
      <c r="I2112">
        <v>272.9828</v>
      </c>
      <c r="J2112">
        <v>-415.30329999999998</v>
      </c>
      <c r="K2112">
        <v>1.1210469999999999</v>
      </c>
      <c r="L2112">
        <v>284.72739999999999</v>
      </c>
      <c r="M2112">
        <v>-0.99989189999999994</v>
      </c>
      <c r="N2112">
        <v>-1.2732250000000001E-2</v>
      </c>
      <c r="O2112">
        <v>7.3643980000000003E-3</v>
      </c>
      <c r="P2112">
        <v>-0.97707739999999998</v>
      </c>
      <c r="Q2112">
        <v>0.20998800000000001</v>
      </c>
      <c r="R2112">
        <v>3.5002039999999998E-2</v>
      </c>
      <c r="S2112">
        <v>-3.0830989999999998</v>
      </c>
      <c r="T2112">
        <v>7.0297719999999999E-4</v>
      </c>
      <c r="U2112">
        <v>-0.36972050000000001</v>
      </c>
      <c r="V2112">
        <v>2.781353E-2</v>
      </c>
      <c r="W2112">
        <v>0.222413</v>
      </c>
      <c r="X2112">
        <v>0.97455570000000002</v>
      </c>
      <c r="Y2112">
        <v>-0.12637429999999999</v>
      </c>
      <c r="Z2112">
        <v>-6.9796470000000005E-4</v>
      </c>
      <c r="AA2112">
        <v>0.99198240000000004</v>
      </c>
      <c r="AB2112">
        <v>39</v>
      </c>
      <c r="AC2112">
        <v>-97.522300000000001</v>
      </c>
      <c r="AD2112">
        <v>2.2236000000000099E-2</v>
      </c>
      <c r="AE2112">
        <v>-11.744599999999901</v>
      </c>
      <c r="AF2112">
        <v>-12.462532020271601</v>
      </c>
      <c r="AG2112">
        <v>2.2236000000000099E-2</v>
      </c>
      <c r="AH2112">
        <v>97.433151099686796</v>
      </c>
      <c r="AI2112">
        <v>89.987029741470806</v>
      </c>
      <c r="AJ2112">
        <v>97.289040400907496</v>
      </c>
      <c r="AK2112">
        <v>98.2269521669607</v>
      </c>
      <c r="AL2112">
        <v>77.149199916481606</v>
      </c>
      <c r="AM2112">
        <v>88.365239232515293</v>
      </c>
      <c r="AN2112">
        <v>0.99999997371127503</v>
      </c>
    </row>
    <row r="2113" spans="1:40" x14ac:dyDescent="0.25">
      <c r="A2113" t="str">
        <f>"20190303170539313"</f>
        <v>20190303170539313</v>
      </c>
      <c r="B2113" t="str">
        <f>"1551603939296539"</f>
        <v>1551603939296539</v>
      </c>
      <c r="C2113" t="s">
        <v>40</v>
      </c>
      <c r="D2113">
        <v>5.5477059999999998</v>
      </c>
      <c r="E2113">
        <v>0.44357089999999999</v>
      </c>
      <c r="F2113" t="s">
        <v>68</v>
      </c>
      <c r="G2113">
        <v>-512.82560000000001</v>
      </c>
      <c r="H2113">
        <v>1.158803</v>
      </c>
      <c r="I2113">
        <v>273.03469999999999</v>
      </c>
      <c r="J2113">
        <v>-415.5145</v>
      </c>
      <c r="K2113">
        <v>1.1210530000000001</v>
      </c>
      <c r="L2113">
        <v>284.72890000000001</v>
      </c>
      <c r="M2113">
        <v>-0.99989150000000004</v>
      </c>
      <c r="N2113">
        <v>-1.27638E-2</v>
      </c>
      <c r="O2113">
        <v>7.3643149999999998E-3</v>
      </c>
      <c r="P2113">
        <v>-0.97702100000000003</v>
      </c>
      <c r="Q2113">
        <v>0.2102087</v>
      </c>
      <c r="R2113">
        <v>3.5248439999999999E-2</v>
      </c>
      <c r="S2113">
        <v>-3.0833740000000001</v>
      </c>
      <c r="T2113">
        <v>1.196265E-3</v>
      </c>
      <c r="U2113">
        <v>-0.36968990000000002</v>
      </c>
      <c r="V2113">
        <v>2.8060399999999999E-2</v>
      </c>
      <c r="W2113">
        <v>0.2226641</v>
      </c>
      <c r="X2113">
        <v>0.97449129999999995</v>
      </c>
      <c r="Y2113">
        <v>-0.1263542</v>
      </c>
      <c r="Z2113">
        <v>-6.8836339999999905E-4</v>
      </c>
      <c r="AA2113">
        <v>0.99198500000000001</v>
      </c>
      <c r="AB2113">
        <v>39</v>
      </c>
      <c r="AC2113">
        <v>-97.311099999999996</v>
      </c>
      <c r="AD2113">
        <v>3.7749999999999902E-2</v>
      </c>
      <c r="AE2113">
        <v>-11.6942</v>
      </c>
      <c r="AF2113">
        <v>-12.410568914502999</v>
      </c>
      <c r="AG2113">
        <v>3.7749999999999902E-2</v>
      </c>
      <c r="AH2113">
        <v>97.222319587345794</v>
      </c>
      <c r="AI2113">
        <v>89.977931962285695</v>
      </c>
      <c r="AJ2113">
        <v>97.274546255534304</v>
      </c>
      <c r="AK2113">
        <v>98.011239517660002</v>
      </c>
      <c r="AL2113">
        <v>77.134443118535899</v>
      </c>
      <c r="AM2113">
        <v>88.3506283119182</v>
      </c>
      <c r="AN2113">
        <v>0.99999999062632905</v>
      </c>
    </row>
    <row r="2114" spans="1:40" x14ac:dyDescent="0.25">
      <c r="A2114" t="str">
        <f>"20190303170539333"</f>
        <v>20190303170539333</v>
      </c>
      <c r="B2114" t="str">
        <f>"1551603939326795"</f>
        <v>1551603939326795</v>
      </c>
      <c r="C2114" t="s">
        <v>40</v>
      </c>
      <c r="D2114">
        <v>5.5629339999999896</v>
      </c>
      <c r="E2114">
        <v>0.44333030000000001</v>
      </c>
      <c r="F2114" t="s">
        <v>68</v>
      </c>
      <c r="G2114">
        <v>-512.82560000000001</v>
      </c>
      <c r="H2114">
        <v>1.178774</v>
      </c>
      <c r="I2114">
        <v>273.06200000000001</v>
      </c>
      <c r="J2114">
        <v>-415.8843</v>
      </c>
      <c r="K2114">
        <v>1.121065</v>
      </c>
      <c r="L2114">
        <v>284.73169999999999</v>
      </c>
      <c r="M2114">
        <v>-0.99989079999999997</v>
      </c>
      <c r="N2114">
        <v>-1.282078E-2</v>
      </c>
      <c r="O2114">
        <v>7.3641269999999998E-3</v>
      </c>
      <c r="P2114">
        <v>-0.9768867</v>
      </c>
      <c r="Q2114">
        <v>0.2108225</v>
      </c>
      <c r="R2114">
        <v>3.5308899999999997E-2</v>
      </c>
      <c r="S2114">
        <v>-3.0834959999999998</v>
      </c>
      <c r="T2114">
        <v>1.8315320000000001E-3</v>
      </c>
      <c r="U2114">
        <v>-0.36968990000000002</v>
      </c>
      <c r="V2114">
        <v>2.8122069999999999E-2</v>
      </c>
      <c r="W2114">
        <v>0.22333149999999999</v>
      </c>
      <c r="X2114">
        <v>0.9743368</v>
      </c>
      <c r="Y2114">
        <v>-0.126349499999999</v>
      </c>
      <c r="Z2114">
        <v>-6.7705110000000005E-4</v>
      </c>
      <c r="AA2114">
        <v>0.99198560000000002</v>
      </c>
      <c r="AB2114">
        <v>39</v>
      </c>
      <c r="AC2114">
        <v>-96.941299999999998</v>
      </c>
      <c r="AD2114">
        <v>5.7709000000000003E-2</v>
      </c>
      <c r="AE2114">
        <v>-11.669699999999899</v>
      </c>
      <c r="AF2114">
        <v>-12.3833258390548</v>
      </c>
      <c r="AG2114">
        <v>5.7709000000000003E-2</v>
      </c>
      <c r="AH2114">
        <v>96.852692911916094</v>
      </c>
      <c r="AI2114">
        <v>89.966136384859595</v>
      </c>
      <c r="AJ2114">
        <v>97.286153033288201</v>
      </c>
      <c r="AK2114">
        <v>97.641150205509206</v>
      </c>
      <c r="AL2114">
        <v>77.095216323112993</v>
      </c>
      <c r="AM2114">
        <v>88.346743430237098</v>
      </c>
      <c r="AN2114">
        <v>1.00000000477378</v>
      </c>
    </row>
    <row r="2115" spans="1:40" x14ac:dyDescent="0.25">
      <c r="A2115" t="str">
        <f>"20190303170539356"</f>
        <v>20190303170539356</v>
      </c>
      <c r="B2115" t="str">
        <f>"1551603939347291"</f>
        <v>1551603939347291</v>
      </c>
      <c r="C2115" t="s">
        <v>40</v>
      </c>
      <c r="D2115">
        <v>5.5733050000000004</v>
      </c>
      <c r="E2115">
        <v>0.4432296</v>
      </c>
      <c r="F2115" t="s">
        <v>68</v>
      </c>
      <c r="G2115">
        <v>-512.82560000000001</v>
      </c>
      <c r="H2115">
        <v>1.244586</v>
      </c>
      <c r="I2115">
        <v>273.05840000000001</v>
      </c>
      <c r="J2115">
        <v>-416.262</v>
      </c>
      <c r="K2115">
        <v>1.1210739999999999</v>
      </c>
      <c r="L2115">
        <v>284.73450000000003</v>
      </c>
      <c r="M2115">
        <v>-0.99988999999999995</v>
      </c>
      <c r="N2115">
        <v>-1.288075E-2</v>
      </c>
      <c r="O2115">
        <v>7.3640969999999896E-3</v>
      </c>
      <c r="P2115">
        <v>-0.97683129999999996</v>
      </c>
      <c r="Q2115">
        <v>0.210981</v>
      </c>
      <c r="R2115">
        <v>3.588508E-2</v>
      </c>
      <c r="S2115">
        <v>-3.0835569999999999</v>
      </c>
      <c r="T2115">
        <v>3.9315219999999998E-3</v>
      </c>
      <c r="U2115">
        <v>-0.37130740000000001</v>
      </c>
      <c r="V2115">
        <v>2.8698439999999999E-2</v>
      </c>
      <c r="W2115">
        <v>0.2235481</v>
      </c>
      <c r="X2115">
        <v>0.97427030000000003</v>
      </c>
      <c r="Y2115">
        <v>-0.12686049999999999</v>
      </c>
      <c r="Z2115">
        <v>-6.3555440000000001E-4</v>
      </c>
      <c r="AA2115">
        <v>0.99192040000000004</v>
      </c>
      <c r="AB2115">
        <v>39</v>
      </c>
      <c r="AC2115">
        <v>-96.563599999999994</v>
      </c>
      <c r="AD2115">
        <v>0.123512</v>
      </c>
      <c r="AE2115">
        <v>-11.6761</v>
      </c>
      <c r="AF2115">
        <v>-12.386926032796101</v>
      </c>
      <c r="AG2115">
        <v>0.123512</v>
      </c>
      <c r="AH2115">
        <v>96.474834590547701</v>
      </c>
      <c r="AI2115">
        <v>89.927244313671196</v>
      </c>
      <c r="AJ2115">
        <v>97.316485373390705</v>
      </c>
      <c r="AK2115">
        <v>97.266874633811696</v>
      </c>
      <c r="AL2115">
        <v>77.082483905609294</v>
      </c>
      <c r="AM2115">
        <v>88.312763752625997</v>
      </c>
      <c r="AN2115">
        <v>0.99999998546706603</v>
      </c>
    </row>
    <row r="2116" spans="1:40" x14ac:dyDescent="0.25">
      <c r="A2116" t="str">
        <f>"20190303170539378"</f>
        <v>20190303170539378</v>
      </c>
      <c r="B2116" t="str">
        <f>"1551603939366811"</f>
        <v>1551603939366811</v>
      </c>
      <c r="C2116" t="s">
        <v>40</v>
      </c>
      <c r="D2116">
        <v>5.575386</v>
      </c>
      <c r="E2116">
        <v>0.44307570000000002</v>
      </c>
      <c r="F2116" t="s">
        <v>68</v>
      </c>
      <c r="G2116">
        <v>-512.82560000000001</v>
      </c>
      <c r="H2116">
        <v>1.243279</v>
      </c>
      <c r="I2116">
        <v>273.1388</v>
      </c>
      <c r="J2116">
        <v>-416.65390000000002</v>
      </c>
      <c r="K2116">
        <v>1.1210789999999999</v>
      </c>
      <c r="L2116">
        <v>284.73739999999998</v>
      </c>
      <c r="M2116">
        <v>-0.99988920000000003</v>
      </c>
      <c r="N2116">
        <v>-1.29432E-2</v>
      </c>
      <c r="O2116">
        <v>7.3638699999999998E-3</v>
      </c>
      <c r="P2116">
        <v>-0.97676660000000004</v>
      </c>
      <c r="Q2116">
        <v>0.21116090000000001</v>
      </c>
      <c r="R2116">
        <v>3.6584419999999999E-2</v>
      </c>
      <c r="S2116">
        <v>-3.0839539999999999</v>
      </c>
      <c r="T2116">
        <v>3.9054160000000001E-3</v>
      </c>
      <c r="U2116">
        <v>-0.37033080000000002</v>
      </c>
      <c r="V2116">
        <v>2.9398589999999999E-2</v>
      </c>
      <c r="W2116">
        <v>0.22378790000000001</v>
      </c>
      <c r="X2116">
        <v>0.97419429999999996</v>
      </c>
      <c r="Y2116">
        <v>-0.1265355</v>
      </c>
      <c r="Z2116">
        <v>-6.3775859999999998E-4</v>
      </c>
      <c r="AA2116">
        <v>0.99196189999999995</v>
      </c>
      <c r="AB2116">
        <v>39</v>
      </c>
      <c r="AC2116">
        <v>-96.171700000000001</v>
      </c>
      <c r="AD2116">
        <v>0.122199999999999</v>
      </c>
      <c r="AE2116">
        <v>-11.5985999999999</v>
      </c>
      <c r="AF2116">
        <v>-12.30652104857</v>
      </c>
      <c r="AG2116">
        <v>0.122199999999999</v>
      </c>
      <c r="AH2116">
        <v>96.083521359920894</v>
      </c>
      <c r="AI2116">
        <v>89.927721134310602</v>
      </c>
      <c r="AJ2116">
        <v>97.298790304924594</v>
      </c>
      <c r="AK2116">
        <v>96.868511241173096</v>
      </c>
      <c r="AL2116">
        <v>77.068386352721305</v>
      </c>
      <c r="AM2116">
        <v>88.271490509183806</v>
      </c>
      <c r="AN2116">
        <v>0.99999991771644003</v>
      </c>
    </row>
    <row r="2117" spans="1:40" x14ac:dyDescent="0.25">
      <c r="A2117" t="str">
        <f>"20190303170539401"</f>
        <v>20190303170539401</v>
      </c>
      <c r="B2117" t="str">
        <f>"1551603939397067"</f>
        <v>1551603939397067</v>
      </c>
      <c r="C2117" t="s">
        <v>40</v>
      </c>
      <c r="D2117">
        <v>5.476089</v>
      </c>
      <c r="E2117">
        <v>0.45413320000000001</v>
      </c>
      <c r="F2117" t="s">
        <v>68</v>
      </c>
      <c r="G2117">
        <v>-512.82560000000001</v>
      </c>
      <c r="H2117">
        <v>1.2978590000000001</v>
      </c>
      <c r="I2117">
        <v>273.18040000000002</v>
      </c>
      <c r="J2117">
        <v>-417.05059999999997</v>
      </c>
      <c r="K2117">
        <v>1.121094</v>
      </c>
      <c r="L2117">
        <v>284.74029999999999</v>
      </c>
      <c r="M2117">
        <v>-0.99988840000000001</v>
      </c>
      <c r="N2117">
        <v>-1.3007080000000001E-2</v>
      </c>
      <c r="O2117">
        <v>7.3636329999999996E-3</v>
      </c>
      <c r="P2117">
        <v>-0.97666679999999995</v>
      </c>
      <c r="Q2117">
        <v>0.21140800000000001</v>
      </c>
      <c r="R2117">
        <v>3.7802179999999998E-2</v>
      </c>
      <c r="S2117">
        <v>-3.084015</v>
      </c>
      <c r="T2117">
        <v>5.6715009999999998E-3</v>
      </c>
      <c r="U2117">
        <v>-0.37060549999999998</v>
      </c>
      <c r="V2117">
        <v>3.0617459999999999E-2</v>
      </c>
      <c r="W2117">
        <v>0.22409560000000001</v>
      </c>
      <c r="X2117">
        <v>0.97408609999999896</v>
      </c>
      <c r="Y2117">
        <v>-0.12662029999999999</v>
      </c>
      <c r="Z2117">
        <v>-6.0152869999999996E-4</v>
      </c>
      <c r="AA2117">
        <v>0.99195100000000003</v>
      </c>
      <c r="AB2117">
        <v>39</v>
      </c>
      <c r="AC2117">
        <v>-95.775000000000006</v>
      </c>
      <c r="AD2117">
        <v>0.17676500000000001</v>
      </c>
      <c r="AE2117">
        <v>-11.559899999999899</v>
      </c>
      <c r="AF2117">
        <v>-12.2648568970104</v>
      </c>
      <c r="AG2117">
        <v>0.17676500000000001</v>
      </c>
      <c r="AH2117">
        <v>95.686951602034597</v>
      </c>
      <c r="AI2117">
        <v>89.895015033680906</v>
      </c>
      <c r="AJ2117">
        <v>97.304168365888103</v>
      </c>
      <c r="AK2117">
        <v>96.469946965153298</v>
      </c>
      <c r="AL2117">
        <v>77.050298080756406</v>
      </c>
      <c r="AM2117">
        <v>88.199672632698395</v>
      </c>
      <c r="AN2117">
        <v>0.99999999850471</v>
      </c>
    </row>
    <row r="2118" spans="1:40" x14ac:dyDescent="0.25">
      <c r="A2118" t="str">
        <f>"20190303170539424"</f>
        <v>20190303170539424</v>
      </c>
      <c r="B2118" t="str">
        <f>"1551603939416586"</f>
        <v>1551603939416586</v>
      </c>
      <c r="C2118" t="s">
        <v>40</v>
      </c>
      <c r="D2118">
        <v>5.5168369999999998</v>
      </c>
      <c r="E2118">
        <v>0.45496959999999997</v>
      </c>
      <c r="F2118" t="s">
        <v>52</v>
      </c>
      <c r="G2118">
        <v>-498.48450000000003</v>
      </c>
      <c r="H2118" s="1">
        <v>1.6195459999999999E-6</v>
      </c>
      <c r="I2118">
        <v>277.32839999999999</v>
      </c>
      <c r="J2118">
        <v>-417.42759999999998</v>
      </c>
      <c r="K2118">
        <v>1.121103</v>
      </c>
      <c r="L2118">
        <v>284.74310000000003</v>
      </c>
      <c r="M2118">
        <v>-0.99988750000000004</v>
      </c>
      <c r="N2118">
        <v>-1.3070790000000001E-2</v>
      </c>
      <c r="O2118">
        <v>7.3635130000000003E-3</v>
      </c>
      <c r="P2118">
        <v>-0.97660049999999998</v>
      </c>
      <c r="Q2118">
        <v>0.2116121</v>
      </c>
      <c r="R2118">
        <v>3.8366530000000003E-2</v>
      </c>
      <c r="S2118">
        <v>-3.0917659999999998</v>
      </c>
      <c r="T2118">
        <v>-4.2564030000000003E-2</v>
      </c>
      <c r="U2118">
        <v>-0.2814026</v>
      </c>
      <c r="V2118">
        <v>3.1182100000000001E-2</v>
      </c>
      <c r="W2118">
        <v>0.2243609</v>
      </c>
      <c r="X2118">
        <v>0.97400710000000001</v>
      </c>
      <c r="Y2118">
        <v>-9.7955449999999999E-2</v>
      </c>
      <c r="Z2118">
        <v>-1.319555E-3</v>
      </c>
      <c r="AA2118">
        <v>0.99518989999999996</v>
      </c>
      <c r="AB2118">
        <v>38</v>
      </c>
      <c r="AC2118">
        <v>-81.056899999999999</v>
      </c>
      <c r="AD2118">
        <v>-1.121101380454</v>
      </c>
      <c r="AE2118">
        <v>-7.41470000000003</v>
      </c>
      <c r="AF2118">
        <v>-8.0098938917471294</v>
      </c>
      <c r="AG2118">
        <v>-1.121101380454</v>
      </c>
      <c r="AH2118">
        <v>80.984735549818595</v>
      </c>
      <c r="AI2118">
        <v>90.789265233321203</v>
      </c>
      <c r="AJ2118">
        <v>95.648537823160297</v>
      </c>
      <c r="AK2118">
        <v>81.387607536629005</v>
      </c>
      <c r="AL2118">
        <v>77.034700146131598</v>
      </c>
      <c r="AM2118">
        <v>88.166345264444402</v>
      </c>
      <c r="AN2118">
        <v>0.99999998382981403</v>
      </c>
    </row>
    <row r="2119" spans="1:40" x14ac:dyDescent="0.25">
      <c r="A2119" t="str">
        <f>"20190303170539445"</f>
        <v>20190303170539445</v>
      </c>
      <c r="B2119" t="str">
        <f>"1551603939437084"</f>
        <v>1551603939437084</v>
      </c>
      <c r="C2119" t="s">
        <v>40</v>
      </c>
      <c r="D2119">
        <v>5.4649839999999896</v>
      </c>
      <c r="E2119">
        <v>0.45499849999999997</v>
      </c>
      <c r="F2119" t="s">
        <v>52</v>
      </c>
      <c r="G2119">
        <v>-474.5813</v>
      </c>
      <c r="H2119" s="1">
        <v>4.1498870000000001E-6</v>
      </c>
      <c r="I2119">
        <v>279.66809999999998</v>
      </c>
      <c r="J2119">
        <v>-417.80700000000002</v>
      </c>
      <c r="K2119">
        <v>1.1211009999999999</v>
      </c>
      <c r="L2119">
        <v>284.74590000000001</v>
      </c>
      <c r="M2119">
        <v>-0.99988659999999996</v>
      </c>
      <c r="N2119">
        <v>-1.3134710000000001E-2</v>
      </c>
      <c r="O2119">
        <v>7.3632709999999898E-3</v>
      </c>
      <c r="P2119">
        <v>-0.97662590000000005</v>
      </c>
      <c r="Q2119">
        <v>0.2112986</v>
      </c>
      <c r="R2119">
        <v>3.9427490000000003E-2</v>
      </c>
      <c r="S2119">
        <v>-3.0958860000000001</v>
      </c>
      <c r="T2119">
        <v>-6.0727360000000001E-2</v>
      </c>
      <c r="U2119">
        <v>-0.27490229999999999</v>
      </c>
      <c r="V2119">
        <v>3.2243019999999997E-2</v>
      </c>
      <c r="W2119">
        <v>0.22411049999999999</v>
      </c>
      <c r="X2119">
        <v>0.97403030000000002</v>
      </c>
      <c r="Y2119">
        <v>-9.5749879999999996E-2</v>
      </c>
      <c r="Z2119">
        <v>-1.61497299999999E-3</v>
      </c>
      <c r="AA2119">
        <v>0.99540410000000001</v>
      </c>
      <c r="AB2119">
        <v>38</v>
      </c>
      <c r="AC2119">
        <v>-56.774299999999997</v>
      </c>
      <c r="AD2119">
        <v>-1.1210968501129901</v>
      </c>
      <c r="AE2119">
        <v>-5.0778000000000203</v>
      </c>
      <c r="AF2119">
        <v>-5.4936178454898696</v>
      </c>
      <c r="AG2119">
        <v>-1.1210968501129901</v>
      </c>
      <c r="AH2119">
        <v>56.713429607371602</v>
      </c>
      <c r="AI2119">
        <v>91.127186585218894</v>
      </c>
      <c r="AJ2119">
        <v>95.532766208822196</v>
      </c>
      <c r="AK2119">
        <v>56.989909571869902</v>
      </c>
      <c r="AL2119">
        <v>77.049423126652997</v>
      </c>
      <c r="AM2119">
        <v>88.104048071280403</v>
      </c>
      <c r="AN2119">
        <v>1.00000007693352</v>
      </c>
    </row>
    <row r="2120" spans="1:40" x14ac:dyDescent="0.25">
      <c r="A2120" t="str">
        <f>"20190303170539467"</f>
        <v>20190303170539467</v>
      </c>
      <c r="B2120" t="str">
        <f>"1551603939456603"</f>
        <v>1551603939456603</v>
      </c>
      <c r="C2120" t="s">
        <v>40</v>
      </c>
      <c r="D2120">
        <v>5.5372070000000004</v>
      </c>
      <c r="E2120">
        <v>0.45505119999999999</v>
      </c>
      <c r="F2120" t="s">
        <v>52</v>
      </c>
      <c r="G2120">
        <v>-474.96120000000002</v>
      </c>
      <c r="H2120" s="1">
        <v>3.9859759999999998E-6</v>
      </c>
      <c r="I2120">
        <v>279.7199</v>
      </c>
      <c r="J2120">
        <v>-418.17860000000002</v>
      </c>
      <c r="K2120">
        <v>1.1211070000000001</v>
      </c>
      <c r="L2120">
        <v>284.74860000000001</v>
      </c>
      <c r="M2120">
        <v>-0.99988589999999999</v>
      </c>
      <c r="N2120">
        <v>-1.319409E-2</v>
      </c>
      <c r="O2120">
        <v>7.3630569999999897E-3</v>
      </c>
      <c r="P2120">
        <v>-0.97677689999999995</v>
      </c>
      <c r="Q2120">
        <v>0.2103795</v>
      </c>
      <c r="R2120">
        <v>4.0591200000000001E-2</v>
      </c>
      <c r="S2120">
        <v>-3.095917</v>
      </c>
      <c r="T2120">
        <v>-6.0727360000000001E-2</v>
      </c>
      <c r="U2120">
        <v>-0.27224730000000003</v>
      </c>
      <c r="V2120">
        <v>3.3405909999999997E-2</v>
      </c>
      <c r="W2120">
        <v>0.22325110000000001</v>
      </c>
      <c r="X2120">
        <v>0.97418839999999995</v>
      </c>
      <c r="Y2120">
        <v>-9.4901979999999997E-2</v>
      </c>
      <c r="Z2120">
        <v>-1.603482E-3</v>
      </c>
      <c r="AA2120">
        <v>0.99548530000000002</v>
      </c>
      <c r="AB2120">
        <v>38</v>
      </c>
      <c r="AC2120">
        <v>-56.782600000000002</v>
      </c>
      <c r="AD2120">
        <v>-1.1211030140239999</v>
      </c>
      <c r="AE2120">
        <v>-5.0287000000000104</v>
      </c>
      <c r="AF2120">
        <v>-5.4445876783259504</v>
      </c>
      <c r="AG2120">
        <v>-1.1211030140239999</v>
      </c>
      <c r="AH2120">
        <v>56.722091509270797</v>
      </c>
      <c r="AI2120">
        <v>91.127115338993306</v>
      </c>
      <c r="AJ2120">
        <v>95.482856684670494</v>
      </c>
      <c r="AK2120">
        <v>56.993824859725997</v>
      </c>
      <c r="AL2120">
        <v>77.099942471293602</v>
      </c>
      <c r="AM2120">
        <v>88.036039057481503</v>
      </c>
      <c r="AN2120">
        <v>1.00000002358434</v>
      </c>
    </row>
    <row r="2121" spans="1:40" x14ac:dyDescent="0.25">
      <c r="A2121" t="str">
        <f>"20190303170539481"</f>
        <v>20190303170539481</v>
      </c>
      <c r="B2121" t="str">
        <f>"1551603939466363"</f>
        <v>1551603939466363</v>
      </c>
      <c r="C2121" t="s">
        <v>40</v>
      </c>
      <c r="D2121">
        <v>5.5243409999999997</v>
      </c>
      <c r="E2121">
        <v>0.45500079999999998</v>
      </c>
      <c r="F2121" t="s">
        <v>60</v>
      </c>
      <c r="G2121">
        <v>-469.55070000000001</v>
      </c>
      <c r="H2121" s="1">
        <v>3.7349200000000001E-6</v>
      </c>
      <c r="I2121">
        <v>280.28539999999998</v>
      </c>
      <c r="J2121">
        <v>-418.40600000000001</v>
      </c>
      <c r="K2121">
        <v>1.1211100000000001</v>
      </c>
      <c r="L2121">
        <v>284.75040000000001</v>
      </c>
      <c r="M2121">
        <v>-0.99988549999999998</v>
      </c>
      <c r="N2121">
        <v>-1.323001E-2</v>
      </c>
      <c r="O2121">
        <v>7.3629979999999999E-3</v>
      </c>
      <c r="P2121">
        <v>-0.97681079999999998</v>
      </c>
      <c r="Q2121">
        <v>0.21016499999999999</v>
      </c>
      <c r="R2121">
        <v>4.0884499999999997E-2</v>
      </c>
      <c r="S2121">
        <v>-3.0970460000000002</v>
      </c>
      <c r="T2121">
        <v>-6.7587380000000002E-2</v>
      </c>
      <c r="U2121">
        <v>-0.26907350000000002</v>
      </c>
      <c r="V2121">
        <v>3.3698770000000003E-2</v>
      </c>
      <c r="W2121">
        <v>0.2230722</v>
      </c>
      <c r="X2121">
        <v>0.97421930000000001</v>
      </c>
      <c r="Y2121">
        <v>-9.3852309999999994E-2</v>
      </c>
      <c r="Z2121">
        <v>-1.70733E-3</v>
      </c>
      <c r="AA2121">
        <v>0.99558469999999999</v>
      </c>
      <c r="AB2121">
        <v>38</v>
      </c>
      <c r="AC2121">
        <v>-51.1447</v>
      </c>
      <c r="AD2121">
        <v>-1.1211062650799899</v>
      </c>
      <c r="AE2121">
        <v>-4.4650000000000301</v>
      </c>
      <c r="AF2121">
        <v>-4.8391825474181198</v>
      </c>
      <c r="AG2121">
        <v>-1.1211062650799899</v>
      </c>
      <c r="AH2121">
        <v>51.086073579672401</v>
      </c>
      <c r="AI2121">
        <v>91.251578299520105</v>
      </c>
      <c r="AJ2121">
        <v>95.4112569626365</v>
      </c>
      <c r="AK2121">
        <v>51.327005375070698</v>
      </c>
      <c r="AL2121">
        <v>77.11045794012</v>
      </c>
      <c r="AM2121">
        <v>88.018898025949795</v>
      </c>
      <c r="AN2121">
        <v>1.00000002900242</v>
      </c>
    </row>
    <row r="2122" spans="1:40" x14ac:dyDescent="0.25">
      <c r="A2122" t="str">
        <f>"20190303170539494"</f>
        <v>20190303170539494</v>
      </c>
      <c r="B2122" t="str">
        <f>"1551603939486860"</f>
        <v>1551603939486860</v>
      </c>
      <c r="C2122" t="s">
        <v>40</v>
      </c>
      <c r="D2122">
        <v>5.5124000000000004</v>
      </c>
      <c r="E2122">
        <v>0.45517560000000001</v>
      </c>
      <c r="F2122" t="s">
        <v>52</v>
      </c>
      <c r="G2122">
        <v>-471.63459999999998</v>
      </c>
      <c r="H2122" s="1">
        <v>5.4976459999999997E-6</v>
      </c>
      <c r="I2122">
        <v>280.137</v>
      </c>
      <c r="J2122">
        <v>-418.64350000000002</v>
      </c>
      <c r="K2122">
        <v>1.121116</v>
      </c>
      <c r="L2122">
        <v>284.75209999999998</v>
      </c>
      <c r="M2122">
        <v>-0.99988500000000002</v>
      </c>
      <c r="N2122">
        <v>-1.3266719999999999E-2</v>
      </c>
      <c r="O2122">
        <v>7.3627529999999997E-3</v>
      </c>
      <c r="P2122">
        <v>-0.97686130000000004</v>
      </c>
      <c r="Q2122">
        <v>0.20988879999999999</v>
      </c>
      <c r="R2122">
        <v>4.1097439999999999E-2</v>
      </c>
      <c r="S2122">
        <v>-3.0964659999999999</v>
      </c>
      <c r="T2122">
        <v>-6.521797E-2</v>
      </c>
      <c r="U2122">
        <v>-0.26837159999999999</v>
      </c>
      <c r="V2122">
        <v>3.3911810000000001E-2</v>
      </c>
      <c r="W2122">
        <v>0.2228328</v>
      </c>
      <c r="X2122">
        <v>0.97426659999999998</v>
      </c>
      <c r="Y2122">
        <v>-9.3646220000000002E-2</v>
      </c>
      <c r="Z2122">
        <v>-1.6640170000000001E-3</v>
      </c>
      <c r="AA2122">
        <v>0.99560420000000005</v>
      </c>
      <c r="AB2122">
        <v>38</v>
      </c>
      <c r="AC2122">
        <v>-52.991099999999904</v>
      </c>
      <c r="AD2122">
        <v>-1.121110502354</v>
      </c>
      <c r="AE2122">
        <v>-4.6150999999999804</v>
      </c>
      <c r="AF2122">
        <v>-5.0029470929886104</v>
      </c>
      <c r="AG2122">
        <v>-1.121110502354</v>
      </c>
      <c r="AH2122">
        <v>52.932166441065</v>
      </c>
      <c r="AI2122">
        <v>91.207969028775906</v>
      </c>
      <c r="AJ2122">
        <v>95.399339337085493</v>
      </c>
      <c r="AK2122">
        <v>53.179889173618498</v>
      </c>
      <c r="AL2122">
        <v>77.124527525441096</v>
      </c>
      <c r="AM2122">
        <v>88.006480497639103</v>
      </c>
      <c r="AN2122">
        <v>0.99999993774443596</v>
      </c>
    </row>
    <row r="2123" spans="1:40" x14ac:dyDescent="0.25">
      <c r="A2123" t="str">
        <f>"20190303170539513"</f>
        <v>20190303170539513</v>
      </c>
      <c r="B2123" t="str">
        <f>"1551603939506382"</f>
        <v>1551603939506382</v>
      </c>
      <c r="C2123" t="s">
        <v>40</v>
      </c>
      <c r="D2123">
        <v>5.5170279999999998</v>
      </c>
      <c r="E2123">
        <v>0.45522299999999899</v>
      </c>
      <c r="F2123" t="s">
        <v>52</v>
      </c>
      <c r="G2123">
        <v>-473.21820000000002</v>
      </c>
      <c r="H2123" s="1">
        <v>4.7889180000000001E-6</v>
      </c>
      <c r="I2123">
        <v>280.06319999999999</v>
      </c>
      <c r="J2123">
        <v>-418.96120000000002</v>
      </c>
      <c r="K2123">
        <v>1.121122</v>
      </c>
      <c r="L2123">
        <v>284.75450000000001</v>
      </c>
      <c r="M2123">
        <v>-0.99988440000000001</v>
      </c>
      <c r="N2123">
        <v>-1.331397E-2</v>
      </c>
      <c r="O2123">
        <v>7.3624369999999899E-3</v>
      </c>
      <c r="P2123">
        <v>-0.97676160000000001</v>
      </c>
      <c r="Q2123">
        <v>0.21032780000000001</v>
      </c>
      <c r="R2123">
        <v>4.1225659999999997E-2</v>
      </c>
      <c r="S2123">
        <v>-3.095917</v>
      </c>
      <c r="T2123">
        <v>-6.3598390000000005E-2</v>
      </c>
      <c r="U2123">
        <v>-0.26599119999999998</v>
      </c>
      <c r="V2123">
        <v>3.4041099999999998E-2</v>
      </c>
      <c r="W2123">
        <v>0.22331619999999999</v>
      </c>
      <c r="X2123">
        <v>0.97415149999999995</v>
      </c>
      <c r="Y2123">
        <v>-9.2902819999999997E-2</v>
      </c>
      <c r="Z2123">
        <v>-1.6252300000000001E-3</v>
      </c>
      <c r="AA2123">
        <v>0.99567380000000005</v>
      </c>
      <c r="AB2123">
        <v>38</v>
      </c>
      <c r="AC2123">
        <v>-54.256999999999998</v>
      </c>
      <c r="AD2123">
        <v>-1.121117211082</v>
      </c>
      <c r="AE2123">
        <v>-4.6913000000000098</v>
      </c>
      <c r="AF2123">
        <v>-5.0885154395311103</v>
      </c>
      <c r="AG2123">
        <v>-1.121117211082</v>
      </c>
      <c r="AH2123">
        <v>54.198017904859597</v>
      </c>
      <c r="AI2123">
        <v>91.179840015181298</v>
      </c>
      <c r="AJ2123">
        <v>95.363633461414693</v>
      </c>
      <c r="AK2123">
        <v>54.447911236289102</v>
      </c>
      <c r="AL2123">
        <v>77.096116036572099</v>
      </c>
      <c r="AM2123">
        <v>87.998650052551099</v>
      </c>
      <c r="AN2123">
        <v>1.0000000333119401</v>
      </c>
    </row>
    <row r="2124" spans="1:40" x14ac:dyDescent="0.25">
      <c r="A2124" t="str">
        <f>"20190303170539534"</f>
        <v>20190303170539534</v>
      </c>
      <c r="B2124" t="str">
        <f>"1551603939526875"</f>
        <v>1551603939526875</v>
      </c>
      <c r="C2124" t="s">
        <v>40</v>
      </c>
      <c r="D2124">
        <v>5.5410209999999998</v>
      </c>
      <c r="E2124">
        <v>0.45523459999999899</v>
      </c>
      <c r="F2124" t="s">
        <v>52</v>
      </c>
      <c r="G2124">
        <v>-476.37</v>
      </c>
      <c r="H2124" s="1">
        <v>3.3713779999999998E-6</v>
      </c>
      <c r="I2124">
        <v>279.83620000000002</v>
      </c>
      <c r="J2124">
        <v>-419.32749999999999</v>
      </c>
      <c r="K2124">
        <v>1.121129</v>
      </c>
      <c r="L2124">
        <v>284.75720000000001</v>
      </c>
      <c r="M2124">
        <v>-0.99988359999999998</v>
      </c>
      <c r="N2124">
        <v>-1.3364249999999999E-2</v>
      </c>
      <c r="O2124">
        <v>7.362398E-3</v>
      </c>
      <c r="P2124">
        <v>-0.97663319999999998</v>
      </c>
      <c r="Q2124">
        <v>0.2109279</v>
      </c>
      <c r="R2124">
        <v>4.1197079999999997E-2</v>
      </c>
      <c r="S2124">
        <v>-3.0955810000000001</v>
      </c>
      <c r="T2124">
        <v>-6.0452579999999999E-2</v>
      </c>
      <c r="U2124">
        <v>-0.26519779999999998</v>
      </c>
      <c r="V2124">
        <v>3.4013460000000002E-2</v>
      </c>
      <c r="W2124">
        <v>0.2239632</v>
      </c>
      <c r="X2124">
        <v>0.97400390000000003</v>
      </c>
      <c r="Y2124">
        <v>-9.2661229999999997E-2</v>
      </c>
      <c r="Z2124">
        <v>-1.568772E-3</v>
      </c>
      <c r="AA2124">
        <v>0.99569649999999998</v>
      </c>
      <c r="AB2124">
        <v>38</v>
      </c>
      <c r="AC2124">
        <v>-57.042499999999997</v>
      </c>
      <c r="AD2124">
        <v>-1.1211256286219999</v>
      </c>
      <c r="AE2124">
        <v>-4.9209999999999896</v>
      </c>
      <c r="AF2124">
        <v>-5.3388266048992801</v>
      </c>
      <c r="AG2124">
        <v>-1.1211256286219999</v>
      </c>
      <c r="AH2124">
        <v>56.982870912990002</v>
      </c>
      <c r="AI2124">
        <v>91.122223121334201</v>
      </c>
      <c r="AJ2124">
        <v>95.352518327007999</v>
      </c>
      <c r="AK2124">
        <v>57.243406342379799</v>
      </c>
      <c r="AL2124">
        <v>77.058082089370401</v>
      </c>
      <c r="AM2124">
        <v>87.999970956805996</v>
      </c>
      <c r="AN2124">
        <v>1.00000001381531</v>
      </c>
    </row>
    <row r="2125" spans="1:40" x14ac:dyDescent="0.25">
      <c r="A2125" t="str">
        <f>"20190303170539557"</f>
        <v>20190303170539557</v>
      </c>
      <c r="B2125" t="str">
        <f>"1551603939546400"</f>
        <v>1551603939546400</v>
      </c>
      <c r="C2125" t="s">
        <v>40</v>
      </c>
      <c r="D2125">
        <v>5.464156</v>
      </c>
      <c r="E2125">
        <v>0.45511550000000001</v>
      </c>
      <c r="F2125" t="s">
        <v>52</v>
      </c>
      <c r="G2125">
        <v>-481.23759999999999</v>
      </c>
      <c r="H2125" s="1">
        <v>1.9207629999999999E-6</v>
      </c>
      <c r="I2125">
        <v>279.42570000000001</v>
      </c>
      <c r="J2125">
        <v>-419.7149</v>
      </c>
      <c r="K2125">
        <v>1.12114</v>
      </c>
      <c r="L2125">
        <v>284.76010000000002</v>
      </c>
      <c r="M2125">
        <v>-0.99988290000000002</v>
      </c>
      <c r="N2125">
        <v>-1.3414479999999999E-2</v>
      </c>
      <c r="O2125">
        <v>7.3622389999999996E-3</v>
      </c>
      <c r="P2125">
        <v>-0.97652830000000002</v>
      </c>
      <c r="Q2125">
        <v>0.21145330000000001</v>
      </c>
      <c r="R2125">
        <v>4.0985599999999997E-2</v>
      </c>
      <c r="S2125">
        <v>-3.0950929999999999</v>
      </c>
      <c r="T2125">
        <v>-5.6048870000000001E-2</v>
      </c>
      <c r="U2125">
        <v>-0.26654050000000001</v>
      </c>
      <c r="V2125">
        <v>3.3802749999999999E-2</v>
      </c>
      <c r="W2125">
        <v>0.2245366</v>
      </c>
      <c r="X2125">
        <v>0.97387919999999994</v>
      </c>
      <c r="Y2125">
        <v>-9.3106460000000002E-2</v>
      </c>
      <c r="Z2125">
        <v>-1.5016630000000001E-3</v>
      </c>
      <c r="AA2125">
        <v>0.99565499999999996</v>
      </c>
      <c r="AB2125">
        <v>38</v>
      </c>
      <c r="AC2125">
        <v>-61.522699999999901</v>
      </c>
      <c r="AD2125">
        <v>-1.121138079237</v>
      </c>
      <c r="AE2125">
        <v>-5.3344000000000102</v>
      </c>
      <c r="AF2125">
        <v>-5.7853341123640698</v>
      </c>
      <c r="AG2125">
        <v>-1.121138079237</v>
      </c>
      <c r="AH2125">
        <v>61.461497614530202</v>
      </c>
      <c r="AI2125">
        <v>91.040435906879793</v>
      </c>
      <c r="AJ2125">
        <v>95.3773731107933</v>
      </c>
      <c r="AK2125">
        <v>61.7433618327128</v>
      </c>
      <c r="AL2125">
        <v>77.024369964163</v>
      </c>
      <c r="AM2125">
        <v>88.012096664944195</v>
      </c>
      <c r="AN2125">
        <v>1.0000000034198799</v>
      </c>
    </row>
    <row r="2126" spans="1:40" x14ac:dyDescent="0.25">
      <c r="A2126" t="str">
        <f>"20190303170539579"</f>
        <v>20190303170539579</v>
      </c>
      <c r="B2126" t="str">
        <f>"1551603939566892"</f>
        <v>1551603939566892</v>
      </c>
      <c r="C2126" t="s">
        <v>40</v>
      </c>
      <c r="D2126">
        <v>5.4515190000000002</v>
      </c>
      <c r="E2126">
        <v>0.4551289</v>
      </c>
      <c r="F2126" t="s">
        <v>52</v>
      </c>
      <c r="G2126">
        <v>-486.01440000000002</v>
      </c>
      <c r="H2126" s="1">
        <v>2.6183719999999999E-6</v>
      </c>
      <c r="I2126">
        <v>279.00209999999998</v>
      </c>
      <c r="J2126">
        <v>-420.10309999999998</v>
      </c>
      <c r="K2126">
        <v>1.1211500000000001</v>
      </c>
      <c r="L2126">
        <v>284.7629</v>
      </c>
      <c r="M2126">
        <v>-0.9998823</v>
      </c>
      <c r="N2126">
        <v>-1.346377E-2</v>
      </c>
      <c r="O2126">
        <v>7.3620839999999996E-3</v>
      </c>
      <c r="P2126">
        <v>-0.97644030000000004</v>
      </c>
      <c r="Q2126">
        <v>0.21198549999999999</v>
      </c>
      <c r="R2126">
        <v>4.0328459999999997E-2</v>
      </c>
      <c r="S2126">
        <v>-3.0947269999999998</v>
      </c>
      <c r="T2126">
        <v>-5.2332400000000001E-2</v>
      </c>
      <c r="U2126">
        <v>-0.26876830000000002</v>
      </c>
      <c r="V2126">
        <v>3.3146460000000003E-2</v>
      </c>
      <c r="W2126">
        <v>0.22511500000000001</v>
      </c>
      <c r="X2126">
        <v>0.97376819999999997</v>
      </c>
      <c r="Y2126">
        <v>-9.3830269999999993E-2</v>
      </c>
      <c r="Z2126">
        <v>-1.4500769999999999E-3</v>
      </c>
      <c r="AA2126">
        <v>0.99558720000000001</v>
      </c>
      <c r="AB2126">
        <v>38</v>
      </c>
      <c r="AC2126">
        <v>-65.911299999999997</v>
      </c>
      <c r="AD2126">
        <v>-1.121147381628</v>
      </c>
      <c r="AE2126">
        <v>-5.7608000000000104</v>
      </c>
      <c r="AF2126">
        <v>-6.2441393731873802</v>
      </c>
      <c r="AG2126">
        <v>-1.121147381628</v>
      </c>
      <c r="AH2126">
        <v>65.848190159629695</v>
      </c>
      <c r="AI2126">
        <v>90.971082309828006</v>
      </c>
      <c r="AJ2126">
        <v>95.416948333598398</v>
      </c>
      <c r="AK2126">
        <v>66.1530830367102</v>
      </c>
      <c r="AL2126">
        <v>76.990359058115303</v>
      </c>
      <c r="AM2126">
        <v>88.050440268322902</v>
      </c>
      <c r="AN2126">
        <v>0.99999997918338501</v>
      </c>
    </row>
    <row r="2127" spans="1:40" x14ac:dyDescent="0.25">
      <c r="A2127" t="str">
        <f>"20190303170539601"</f>
        <v>20190303170539601</v>
      </c>
      <c r="B2127" t="str">
        <f>"1551603939587122"</f>
        <v>1551603939587122</v>
      </c>
      <c r="C2127" t="s">
        <v>40</v>
      </c>
      <c r="D2127">
        <v>5.5024940000000004</v>
      </c>
      <c r="E2127">
        <v>0.45513799999999999</v>
      </c>
      <c r="F2127" t="s">
        <v>52</v>
      </c>
      <c r="G2127">
        <v>-488.89460000000003</v>
      </c>
      <c r="H2127" s="1">
        <v>3.038791E-6</v>
      </c>
      <c r="I2127">
        <v>278.74619999999999</v>
      </c>
      <c r="J2127">
        <v>-420.48329999999999</v>
      </c>
      <c r="K2127">
        <v>1.121159</v>
      </c>
      <c r="L2127">
        <v>284.76569999999998</v>
      </c>
      <c r="M2127">
        <v>-0.99988169999999998</v>
      </c>
      <c r="N2127">
        <v>-1.350927E-2</v>
      </c>
      <c r="O2127">
        <v>7.3615979999999996E-3</v>
      </c>
      <c r="P2127">
        <v>-0.97632280000000005</v>
      </c>
      <c r="Q2127">
        <v>0.21249299999999999</v>
      </c>
      <c r="R2127">
        <v>4.050248E-2</v>
      </c>
      <c r="S2127">
        <v>-3.0945429999999998</v>
      </c>
      <c r="T2127">
        <v>-5.0434109999999997E-2</v>
      </c>
      <c r="U2127">
        <v>-0.27066040000000002</v>
      </c>
      <c r="V2127">
        <v>3.332181E-2</v>
      </c>
      <c r="W2127">
        <v>0.22566559999999999</v>
      </c>
      <c r="X2127">
        <v>0.97363480000000002</v>
      </c>
      <c r="Y2127">
        <v>-9.4440179999999999E-2</v>
      </c>
      <c r="Z2127">
        <v>-1.4277879999999999E-3</v>
      </c>
      <c r="AA2127">
        <v>0.99552949999999996</v>
      </c>
      <c r="AB2127">
        <v>38</v>
      </c>
      <c r="AC2127">
        <v>-68.411299999999997</v>
      </c>
      <c r="AD2127">
        <v>-1.1211559612090001</v>
      </c>
      <c r="AE2127">
        <v>-6.0194999999999901</v>
      </c>
      <c r="AF2127">
        <v>-6.5212612488317596</v>
      </c>
      <c r="AG2127">
        <v>-1.1211559612090001</v>
      </c>
      <c r="AH2127">
        <v>68.346913046322399</v>
      </c>
      <c r="AI2127">
        <v>90.935541866326801</v>
      </c>
      <c r="AJ2127">
        <v>95.450327254566005</v>
      </c>
      <c r="AK2127">
        <v>68.666471890773806</v>
      </c>
      <c r="AL2127">
        <v>76.957979284227804</v>
      </c>
      <c r="AM2127">
        <v>88.039866495523498</v>
      </c>
      <c r="AN2127">
        <v>1.0000000149080299</v>
      </c>
    </row>
    <row r="2128" spans="1:40" x14ac:dyDescent="0.25">
      <c r="A2128" t="str">
        <f>"20190303170539625"</f>
        <v>20190303170539625</v>
      </c>
      <c r="B2128" t="str">
        <f>"1551603939616400"</f>
        <v>1551603939616400</v>
      </c>
      <c r="C2128" t="s">
        <v>40</v>
      </c>
      <c r="D2128">
        <v>5.4702010000000003</v>
      </c>
      <c r="E2128">
        <v>0.45516839999999997</v>
      </c>
      <c r="F2128" t="s">
        <v>52</v>
      </c>
      <c r="G2128">
        <v>-494.19720000000001</v>
      </c>
      <c r="H2128" s="1">
        <v>2.5547880000000002E-6</v>
      </c>
      <c r="I2128">
        <v>278.32060000000001</v>
      </c>
      <c r="J2128">
        <v>-420.8689</v>
      </c>
      <c r="K2128">
        <v>1.1211679999999999</v>
      </c>
      <c r="L2128">
        <v>284.76859999999999</v>
      </c>
      <c r="M2128">
        <v>-0.99988109999999997</v>
      </c>
      <c r="N2128">
        <v>-1.3550680000000001E-2</v>
      </c>
      <c r="O2128">
        <v>7.3611379999999997E-3</v>
      </c>
      <c r="P2128">
        <v>-0.97606619999999999</v>
      </c>
      <c r="Q2128">
        <v>0.2135754</v>
      </c>
      <c r="R2128">
        <v>4.0992389999999997E-2</v>
      </c>
      <c r="S2128">
        <v>-3.0942080000000001</v>
      </c>
      <c r="T2128">
        <v>-4.7061560000000002E-2</v>
      </c>
      <c r="U2128">
        <v>-0.27053829999999901</v>
      </c>
      <c r="V2128">
        <v>3.3814160000000003E-2</v>
      </c>
      <c r="W2128">
        <v>0.22678490000000001</v>
      </c>
      <c r="X2128">
        <v>0.97335769999999999</v>
      </c>
      <c r="Y2128">
        <v>-9.4412399999999994E-2</v>
      </c>
      <c r="Z2128">
        <v>-1.3697640000000001E-3</v>
      </c>
      <c r="AA2128">
        <v>0.99553219999999998</v>
      </c>
      <c r="AB2128">
        <v>38</v>
      </c>
      <c r="AC2128">
        <v>-73.328299999999999</v>
      </c>
      <c r="AD2128">
        <v>-1.1211654452119999</v>
      </c>
      <c r="AE2128">
        <v>-6.4479999999999702</v>
      </c>
      <c r="AF2128">
        <v>-6.98603394093477</v>
      </c>
      <c r="AG2128">
        <v>-1.1211654452119999</v>
      </c>
      <c r="AH2128">
        <v>73.261848634131297</v>
      </c>
      <c r="AI2128">
        <v>90.872801087893095</v>
      </c>
      <c r="AJ2128">
        <v>95.447086434753203</v>
      </c>
      <c r="AK2128">
        <v>73.602718342937493</v>
      </c>
      <c r="AL2128">
        <v>76.892141069527099</v>
      </c>
      <c r="AM2128">
        <v>88.010361623191201</v>
      </c>
      <c r="AN2128">
        <v>1.0000000002169001</v>
      </c>
    </row>
    <row r="2129" spans="1:40" x14ac:dyDescent="0.25">
      <c r="A2129" t="str">
        <f>"20190303170539646"</f>
        <v>20190303170539646</v>
      </c>
      <c r="B2129" t="str">
        <f>"1551603939636897"</f>
        <v>1551603939636897</v>
      </c>
      <c r="C2129" t="s">
        <v>40</v>
      </c>
      <c r="D2129">
        <v>5.4691150000000004</v>
      </c>
      <c r="E2129">
        <v>0.45517370000000001</v>
      </c>
      <c r="F2129" t="s">
        <v>52</v>
      </c>
      <c r="G2129">
        <v>-499.9633</v>
      </c>
      <c r="H2129">
        <v>5.5530969999999999E-2</v>
      </c>
      <c r="I2129">
        <v>277.88850000000002</v>
      </c>
      <c r="J2129">
        <v>-421.24220000000003</v>
      </c>
      <c r="K2129">
        <v>1.1211799999999901</v>
      </c>
      <c r="L2129">
        <v>284.7713</v>
      </c>
      <c r="M2129">
        <v>-0.99988069999999896</v>
      </c>
      <c r="N2129">
        <v>-1.358586E-2</v>
      </c>
      <c r="O2129">
        <v>7.3607200000000003E-3</v>
      </c>
      <c r="P2129">
        <v>-0.9757152</v>
      </c>
      <c r="Q2129">
        <v>0.215005</v>
      </c>
      <c r="R2129">
        <v>4.1869070000000001E-2</v>
      </c>
      <c r="S2129">
        <v>-3.0940249999999998</v>
      </c>
      <c r="T2129">
        <v>-4.1685699999999999E-2</v>
      </c>
      <c r="U2129">
        <v>-0.2691345</v>
      </c>
      <c r="V2129">
        <v>3.4693950000000001E-2</v>
      </c>
      <c r="W2129">
        <v>0.2282439</v>
      </c>
      <c r="X2129">
        <v>0.97298560000000001</v>
      </c>
      <c r="Y2129">
        <v>-9.3972330000000007E-2</v>
      </c>
      <c r="Z2129">
        <v>-1.2706359999999999E-3</v>
      </c>
      <c r="AA2129">
        <v>0.99557399999999996</v>
      </c>
      <c r="AB2129">
        <v>38</v>
      </c>
      <c r="AC2129">
        <v>-78.721099999999893</v>
      </c>
      <c r="AD2129">
        <v>-1.0656490300000001</v>
      </c>
      <c r="AE2129">
        <v>-6.8827999999999703</v>
      </c>
      <c r="AF2129">
        <v>-7.4607540986546397</v>
      </c>
      <c r="AG2129">
        <v>-1.0656490300000001</v>
      </c>
      <c r="AH2129">
        <v>78.653995912706705</v>
      </c>
      <c r="AI2129">
        <v>90.772760022563403</v>
      </c>
      <c r="AJ2129">
        <v>95.418599971422495</v>
      </c>
      <c r="AK2129">
        <v>79.014236265446598</v>
      </c>
      <c r="AL2129">
        <v>76.8062946846306</v>
      </c>
      <c r="AM2129">
        <v>87.957857659195895</v>
      </c>
      <c r="AN2129">
        <v>0.99999996293058502</v>
      </c>
    </row>
    <row r="2130" spans="1:40" x14ac:dyDescent="0.25">
      <c r="A2130" t="str">
        <f>"20190303170539669"</f>
        <v>20190303170539669</v>
      </c>
      <c r="B2130" t="str">
        <f>"1551603939656419"</f>
        <v>1551603939656419</v>
      </c>
      <c r="C2130" t="s">
        <v>40</v>
      </c>
      <c r="D2130">
        <v>5.5069860000000004</v>
      </c>
      <c r="E2130">
        <v>0.45514939999999998</v>
      </c>
      <c r="F2130" t="s">
        <v>68</v>
      </c>
      <c r="G2130">
        <v>-511.95859999999999</v>
      </c>
      <c r="H2130">
        <v>6.3249169999999993E-2</v>
      </c>
      <c r="I2130">
        <v>276.96370000000002</v>
      </c>
      <c r="J2130">
        <v>-421.61630000000002</v>
      </c>
      <c r="K2130">
        <v>1.121181</v>
      </c>
      <c r="L2130">
        <v>284.77409999999998</v>
      </c>
      <c r="M2130">
        <v>-0.99988030000000006</v>
      </c>
      <c r="N2130">
        <v>-1.3616939999999999E-2</v>
      </c>
      <c r="O2130">
        <v>7.3603890000000002E-3</v>
      </c>
      <c r="P2130">
        <v>-0.97553089999999998</v>
      </c>
      <c r="Q2130">
        <v>0.21576409999999999</v>
      </c>
      <c r="R2130">
        <v>4.2254630000000001E-2</v>
      </c>
      <c r="S2130">
        <v>-3.0940859999999999</v>
      </c>
      <c r="T2130">
        <v>-3.608024E-2</v>
      </c>
      <c r="U2130">
        <v>-0.26629639999999999</v>
      </c>
      <c r="V2130">
        <v>3.5081229999999998E-2</v>
      </c>
      <c r="W2130">
        <v>0.22903019999999999</v>
      </c>
      <c r="X2130">
        <v>0.97278699999999996</v>
      </c>
      <c r="Y2130">
        <v>-9.3067200000000003E-2</v>
      </c>
      <c r="Z2130">
        <v>-1.1621369999999999E-3</v>
      </c>
      <c r="AA2130">
        <v>0.99565919999999997</v>
      </c>
      <c r="AB2130">
        <v>38</v>
      </c>
      <c r="AC2130">
        <v>-90.342299999999895</v>
      </c>
      <c r="AD2130">
        <v>-1.05793183</v>
      </c>
      <c r="AE2130">
        <v>-7.8103999999999596</v>
      </c>
      <c r="AF2130">
        <v>-8.4740510230906807</v>
      </c>
      <c r="AG2130">
        <v>-1.05793183</v>
      </c>
      <c r="AH2130">
        <v>90.270072527565006</v>
      </c>
      <c r="AI2130">
        <v>90.668515696685304</v>
      </c>
      <c r="AJ2130">
        <v>95.362891795023202</v>
      </c>
      <c r="AK2130">
        <v>90.673120353447203</v>
      </c>
      <c r="AL2130">
        <v>76.760018188693905</v>
      </c>
      <c r="AM2130">
        <v>87.934660153656495</v>
      </c>
      <c r="AN2130">
        <v>1.0000000362896699</v>
      </c>
    </row>
    <row r="2131" spans="1:40" x14ac:dyDescent="0.25">
      <c r="A2131" t="str">
        <f>"20190303170539682"</f>
        <v>20190303170539682</v>
      </c>
      <c r="B2131" t="str">
        <f>"1551603939667153"</f>
        <v>1551603939667153</v>
      </c>
      <c r="C2131" t="s">
        <v>40</v>
      </c>
      <c r="D2131">
        <v>5.4916479999999996</v>
      </c>
      <c r="E2131">
        <v>0.4551482</v>
      </c>
      <c r="F2131" t="s">
        <v>68</v>
      </c>
      <c r="G2131">
        <v>-511.95870000000002</v>
      </c>
      <c r="H2131">
        <v>0.1674783</v>
      </c>
      <c r="I2131">
        <v>277.0179</v>
      </c>
      <c r="J2131">
        <v>-421.85840000000002</v>
      </c>
      <c r="K2131">
        <v>1.1211819999999999</v>
      </c>
      <c r="L2131">
        <v>284.7758</v>
      </c>
      <c r="M2131">
        <v>-0.99987999999999999</v>
      </c>
      <c r="N2131">
        <v>-1.363527E-2</v>
      </c>
      <c r="O2131">
        <v>7.3602629999999997E-3</v>
      </c>
      <c r="P2131">
        <v>-0.97541549999999999</v>
      </c>
      <c r="Q2131">
        <v>0.21623290000000001</v>
      </c>
      <c r="R2131">
        <v>4.2521610000000001E-2</v>
      </c>
      <c r="S2131">
        <v>-3.0939640000000002</v>
      </c>
      <c r="T2131">
        <v>-3.2658699999999999E-2</v>
      </c>
      <c r="U2131">
        <v>-0.265625</v>
      </c>
      <c r="V2131">
        <v>3.534909E-2</v>
      </c>
      <c r="W2131">
        <v>0.22951569999999999</v>
      </c>
      <c r="X2131">
        <v>0.97266280000000005</v>
      </c>
      <c r="Y2131">
        <v>-9.2857819999999994E-2</v>
      </c>
      <c r="Z2131">
        <v>-1.100855E-3</v>
      </c>
      <c r="AA2131">
        <v>0.99567879999999997</v>
      </c>
      <c r="AB2131">
        <v>38</v>
      </c>
      <c r="AC2131">
        <v>-90.100300000000004</v>
      </c>
      <c r="AD2131">
        <v>-0.95370370000000004</v>
      </c>
      <c r="AE2131">
        <v>-7.7579000000000002</v>
      </c>
      <c r="AF2131">
        <v>-8.4199769119323609</v>
      </c>
      <c r="AG2131">
        <v>-0.95370370000000004</v>
      </c>
      <c r="AH2131">
        <v>90.030740656911505</v>
      </c>
      <c r="AI2131">
        <v>90.604279871516596</v>
      </c>
      <c r="AJ2131">
        <v>95.342952103933897</v>
      </c>
      <c r="AK2131">
        <v>90.428644937192999</v>
      </c>
      <c r="AL2131">
        <v>76.731438908367195</v>
      </c>
      <c r="AM2131">
        <v>87.918638722938198</v>
      </c>
      <c r="AN2131">
        <v>0.99999996860707796</v>
      </c>
    </row>
    <row r="2132" spans="1:40" x14ac:dyDescent="0.25">
      <c r="A2132" t="str">
        <f>"20190303170539702"</f>
        <v>20190303170539702</v>
      </c>
      <c r="B2132" t="str">
        <f>"1551603939696744"</f>
        <v>1551603939696744</v>
      </c>
      <c r="C2132" t="s">
        <v>40</v>
      </c>
      <c r="D2132">
        <v>5.4484250000000003</v>
      </c>
      <c r="E2132">
        <v>0.45501589999999997</v>
      </c>
      <c r="F2132" t="s">
        <v>68</v>
      </c>
      <c r="G2132">
        <v>-511.95870000000002</v>
      </c>
      <c r="H2132">
        <v>0.2107019</v>
      </c>
      <c r="I2132">
        <v>277.06029999999998</v>
      </c>
      <c r="J2132">
        <v>-422.1968</v>
      </c>
      <c r="K2132">
        <v>1.1211819999999999</v>
      </c>
      <c r="L2132">
        <v>284.7783</v>
      </c>
      <c r="M2132">
        <v>-0.99987979999999999</v>
      </c>
      <c r="N2132">
        <v>-1.3657890000000001E-2</v>
      </c>
      <c r="O2132">
        <v>7.359928E-3</v>
      </c>
      <c r="P2132">
        <v>-0.97530190000000005</v>
      </c>
      <c r="Q2132">
        <v>0.21654080000000001</v>
      </c>
      <c r="R2132">
        <v>4.3548679999999999E-2</v>
      </c>
      <c r="S2132">
        <v>-3.0940859999999999</v>
      </c>
      <c r="T2132">
        <v>-3.1263470000000002E-2</v>
      </c>
      <c r="U2132">
        <v>-0.26495360000000001</v>
      </c>
      <c r="V2132">
        <v>3.6377430000000002E-2</v>
      </c>
      <c r="W2132">
        <v>0.22984379999999999</v>
      </c>
      <c r="X2132">
        <v>0.97254739999999995</v>
      </c>
      <c r="Y2132">
        <v>-9.2640379999999994E-2</v>
      </c>
      <c r="Z2132">
        <v>-1.0749220000000001E-3</v>
      </c>
      <c r="AA2132">
        <v>0.995699</v>
      </c>
      <c r="AB2132">
        <v>38</v>
      </c>
      <c r="AC2132">
        <v>-89.761899999999997</v>
      </c>
      <c r="AD2132">
        <v>-0.91048010000000001</v>
      </c>
      <c r="AE2132">
        <v>-7.7180000000000097</v>
      </c>
      <c r="AF2132">
        <v>-8.3776379457600694</v>
      </c>
      <c r="AG2132">
        <v>-0.91048010000000001</v>
      </c>
      <c r="AH2132">
        <v>89.693498671822297</v>
      </c>
      <c r="AI2132">
        <v>90.5790700949306</v>
      </c>
      <c r="AJ2132">
        <v>95.336113514555194</v>
      </c>
      <c r="AK2132">
        <v>90.088498131309393</v>
      </c>
      <c r="AL2132">
        <v>76.712123782634606</v>
      </c>
      <c r="AM2132">
        <v>87.857891551409807</v>
      </c>
      <c r="AN2132">
        <v>0.99999996752930098</v>
      </c>
    </row>
    <row r="2133" spans="1:40" x14ac:dyDescent="0.25">
      <c r="A2133" t="str">
        <f>"20190303170539726"</f>
        <v>20190303170539726</v>
      </c>
      <c r="B2133" t="str">
        <f>"1551603939717240"</f>
        <v>1551603939717240</v>
      </c>
      <c r="C2133" t="s">
        <v>40</v>
      </c>
      <c r="D2133">
        <v>5.4240469999999998</v>
      </c>
      <c r="E2133">
        <v>0.45487149999999998</v>
      </c>
      <c r="F2133" t="s">
        <v>68</v>
      </c>
      <c r="G2133">
        <v>-511.95870000000002</v>
      </c>
      <c r="H2133">
        <v>0.1983586</v>
      </c>
      <c r="I2133">
        <v>277.12900000000002</v>
      </c>
      <c r="J2133">
        <v>-422.58870000000002</v>
      </c>
      <c r="K2133">
        <v>1.1211819999999999</v>
      </c>
      <c r="L2133">
        <v>284.78129999999999</v>
      </c>
      <c r="M2133">
        <v>-0.99987939999999997</v>
      </c>
      <c r="N2133">
        <v>-1.3679739999999999E-2</v>
      </c>
      <c r="O2133">
        <v>7.3595980000000002E-3</v>
      </c>
      <c r="P2133">
        <v>-0.97506709999999996</v>
      </c>
      <c r="Q2133">
        <v>0.21736710000000001</v>
      </c>
      <c r="R2133">
        <v>4.4672190000000001E-2</v>
      </c>
      <c r="S2133">
        <v>-3.0948180000000001</v>
      </c>
      <c r="T2133">
        <v>-3.1814340000000003E-2</v>
      </c>
      <c r="U2133">
        <v>-0.26373289999999999</v>
      </c>
      <c r="V2133">
        <v>3.7502689999999998E-2</v>
      </c>
      <c r="W2133">
        <v>0.23068830000000001</v>
      </c>
      <c r="X2133">
        <v>0.97230470000000002</v>
      </c>
      <c r="Y2133">
        <v>-9.222988E-2</v>
      </c>
      <c r="Z2133">
        <v>-1.0802639999999901E-3</v>
      </c>
      <c r="AA2133">
        <v>0.99573710000000004</v>
      </c>
      <c r="AB2133">
        <v>38</v>
      </c>
      <c r="AC2133">
        <v>-89.37</v>
      </c>
      <c r="AD2133">
        <v>-0.92282339999999996</v>
      </c>
      <c r="AE2133">
        <v>-7.6522999999999604</v>
      </c>
      <c r="AF2133">
        <v>-8.3090020182838291</v>
      </c>
      <c r="AG2133">
        <v>-0.92282339999999996</v>
      </c>
      <c r="AH2133">
        <v>89.301803705621495</v>
      </c>
      <c r="AI2133">
        <v>90.589513667980299</v>
      </c>
      <c r="AJ2133">
        <v>95.315727202112299</v>
      </c>
      <c r="AK2133">
        <v>89.692269804285701</v>
      </c>
      <c r="AL2133">
        <v>76.662401596356702</v>
      </c>
      <c r="AM2133">
        <v>87.791143832872294</v>
      </c>
      <c r="AN2133">
        <v>0.99999998657810796</v>
      </c>
    </row>
    <row r="2134" spans="1:40" x14ac:dyDescent="0.25">
      <c r="A2134" t="str">
        <f>"20190303170539746"</f>
        <v>20190303170539746</v>
      </c>
      <c r="B2134" t="str">
        <f>"1551603939736759"</f>
        <v>1551603939736759</v>
      </c>
      <c r="C2134" t="s">
        <v>40</v>
      </c>
      <c r="D2134">
        <v>5.388509</v>
      </c>
      <c r="E2134">
        <v>0.4547273</v>
      </c>
      <c r="F2134" t="s">
        <v>68</v>
      </c>
      <c r="G2134">
        <v>-511.95870000000002</v>
      </c>
      <c r="H2134">
        <v>0.28853519999999999</v>
      </c>
      <c r="I2134">
        <v>277.20760000000001</v>
      </c>
      <c r="J2134">
        <v>-422.9511</v>
      </c>
      <c r="K2134">
        <v>1.121186</v>
      </c>
      <c r="L2134">
        <v>284.78390000000002</v>
      </c>
      <c r="M2134">
        <v>-0.99987930000000003</v>
      </c>
      <c r="N2134">
        <v>-1.368874E-2</v>
      </c>
      <c r="O2134">
        <v>7.3591780000000001E-3</v>
      </c>
      <c r="P2134">
        <v>-0.97504199999999996</v>
      </c>
      <c r="Q2134">
        <v>0.2173475</v>
      </c>
      <c r="R2134">
        <v>4.5312900000000003E-2</v>
      </c>
      <c r="S2134">
        <v>-3.095154</v>
      </c>
      <c r="T2134">
        <v>-2.8834220000000001E-2</v>
      </c>
      <c r="U2134">
        <v>-0.26229859999999999</v>
      </c>
      <c r="V2134">
        <v>3.8144039999999997E-2</v>
      </c>
      <c r="W2134">
        <v>0.2306772</v>
      </c>
      <c r="X2134">
        <v>0.97228239999999999</v>
      </c>
      <c r="Y2134">
        <v>-9.1763670000000006E-2</v>
      </c>
      <c r="Z2134">
        <v>-1.023791E-3</v>
      </c>
      <c r="AA2134">
        <v>0.99578029999999995</v>
      </c>
      <c r="AB2134">
        <v>38</v>
      </c>
      <c r="AC2134">
        <v>-89.007599999999996</v>
      </c>
      <c r="AD2134">
        <v>-0.83265079999999903</v>
      </c>
      <c r="AE2134">
        <v>-7.5762999999999998</v>
      </c>
      <c r="AF2134">
        <v>-8.2304638117859596</v>
      </c>
      <c r="AG2134">
        <v>-0.83265079999999903</v>
      </c>
      <c r="AH2134">
        <v>88.941701191696197</v>
      </c>
      <c r="AI2134">
        <v>90.534091859705001</v>
      </c>
      <c r="AJ2134">
        <v>95.286964950207803</v>
      </c>
      <c r="AK2134">
        <v>89.325584536485593</v>
      </c>
      <c r="AL2134">
        <v>76.663055415761093</v>
      </c>
      <c r="AM2134">
        <v>87.753356118563005</v>
      </c>
      <c r="AN2134">
        <v>1.00000000186856</v>
      </c>
    </row>
    <row r="2135" spans="1:40" x14ac:dyDescent="0.25">
      <c r="A2135" t="str">
        <f>"20190303170539768"</f>
        <v>20190303170539768</v>
      </c>
      <c r="B2135" t="str">
        <f>"1551603939757256"</f>
        <v>1551603939757256</v>
      </c>
      <c r="C2135" t="s">
        <v>40</v>
      </c>
      <c r="D2135">
        <v>5.394196</v>
      </c>
      <c r="E2135">
        <v>0.45461430000000003</v>
      </c>
      <c r="F2135" t="s">
        <v>68</v>
      </c>
      <c r="G2135">
        <v>-511.95870000000002</v>
      </c>
      <c r="H2135">
        <v>0.26109189999999999</v>
      </c>
      <c r="I2135">
        <v>277.27199999999999</v>
      </c>
      <c r="J2135">
        <v>-423.32940000000002</v>
      </c>
      <c r="K2135">
        <v>1.1211899999999999</v>
      </c>
      <c r="L2135">
        <v>284.7867</v>
      </c>
      <c r="M2135">
        <v>-0.99987930000000003</v>
      </c>
      <c r="N2135">
        <v>-1.3688540000000001E-2</v>
      </c>
      <c r="O2135">
        <v>7.3588809999999899E-3</v>
      </c>
      <c r="P2135">
        <v>-0.97501519999999997</v>
      </c>
      <c r="Q2135">
        <v>0.2174007</v>
      </c>
      <c r="R2135">
        <v>4.5633729999999997E-2</v>
      </c>
      <c r="S2135">
        <v>-3.0956419999999998</v>
      </c>
      <c r="T2135">
        <v>-2.9910800000000001E-2</v>
      </c>
      <c r="U2135">
        <v>-0.26126100000000002</v>
      </c>
      <c r="V2135">
        <v>3.8465329999999999E-2</v>
      </c>
      <c r="W2135">
        <v>0.23072970000000001</v>
      </c>
      <c r="X2135">
        <v>0.97225729999999999</v>
      </c>
      <c r="Y2135">
        <v>-9.1418289999999999E-2</v>
      </c>
      <c r="Z2135">
        <v>-1.038153E-3</v>
      </c>
      <c r="AA2135">
        <v>0.99581209999999998</v>
      </c>
      <c r="AB2135">
        <v>38</v>
      </c>
      <c r="AC2135">
        <v>-88.629300000000001</v>
      </c>
      <c r="AD2135">
        <v>-0.86009809999999898</v>
      </c>
      <c r="AE2135">
        <v>-7.5147000000000004</v>
      </c>
      <c r="AF2135">
        <v>-8.1660064703158302</v>
      </c>
      <c r="AG2135">
        <v>-0.86009809999999898</v>
      </c>
      <c r="AH2135">
        <v>88.563313752996706</v>
      </c>
      <c r="AI2135">
        <v>90.554070314038299</v>
      </c>
      <c r="AJ2135">
        <v>95.268078537076903</v>
      </c>
      <c r="AK2135">
        <v>88.943150232755897</v>
      </c>
      <c r="AL2135">
        <v>76.659964195505793</v>
      </c>
      <c r="AM2135">
        <v>87.734393684710994</v>
      </c>
      <c r="AN2135">
        <v>1.00000001673869</v>
      </c>
    </row>
    <row r="2136" spans="1:40" x14ac:dyDescent="0.25">
      <c r="A2136" t="str">
        <f>"20190303170539791"</f>
        <v>20190303170539791</v>
      </c>
      <c r="B2136" t="str">
        <f>"1551603939786535"</f>
        <v>1551603939786535</v>
      </c>
      <c r="C2136" t="s">
        <v>40</v>
      </c>
      <c r="D2136">
        <v>5.6516060000000001</v>
      </c>
      <c r="E2136">
        <v>0.45452819999999999</v>
      </c>
      <c r="F2136" t="s">
        <v>68</v>
      </c>
      <c r="G2136">
        <v>-511.95870000000002</v>
      </c>
      <c r="H2136">
        <v>0.2334331</v>
      </c>
      <c r="I2136">
        <v>277.30329999999998</v>
      </c>
      <c r="J2136">
        <v>-423.71469999999999</v>
      </c>
      <c r="K2136">
        <v>1.121192</v>
      </c>
      <c r="L2136">
        <v>284.78960000000001</v>
      </c>
      <c r="M2136">
        <v>-0.99987950000000003</v>
      </c>
      <c r="N2136">
        <v>-1.368226E-2</v>
      </c>
      <c r="O2136">
        <v>7.3583880000000004E-3</v>
      </c>
      <c r="P2136">
        <v>-0.97488869999999905</v>
      </c>
      <c r="Q2136">
        <v>0.21784419999999999</v>
      </c>
      <c r="R2136">
        <v>4.621894E-2</v>
      </c>
      <c r="S2136">
        <v>-3.096069</v>
      </c>
      <c r="T2136">
        <v>-3.1008959999999999E-2</v>
      </c>
      <c r="U2136">
        <v>-0.26141360000000002</v>
      </c>
      <c r="V2136">
        <v>3.9052030000000001E-2</v>
      </c>
      <c r="W2136">
        <v>0.23116529999999999</v>
      </c>
      <c r="X2136">
        <v>0.97213039999999995</v>
      </c>
      <c r="Y2136">
        <v>-9.1454499999999994E-2</v>
      </c>
      <c r="Z2136">
        <v>-1.0570620000000001E-3</v>
      </c>
      <c r="AA2136">
        <v>0.99580869999999999</v>
      </c>
      <c r="AB2136">
        <v>38</v>
      </c>
      <c r="AC2136">
        <v>-88.244</v>
      </c>
      <c r="AD2136">
        <v>-0.88775889999999902</v>
      </c>
      <c r="AE2136">
        <v>-7.4863000000000204</v>
      </c>
      <c r="AF2136">
        <v>-8.1346741228826396</v>
      </c>
      <c r="AG2136">
        <v>-0.88775889999999902</v>
      </c>
      <c r="AH2136">
        <v>88.1776576374494</v>
      </c>
      <c r="AI2136">
        <v>90.574386618819403</v>
      </c>
      <c r="AJ2136">
        <v>95.270802098015693</v>
      </c>
      <c r="AK2136">
        <v>88.556537564299902</v>
      </c>
      <c r="AL2136">
        <v>76.634312275656598</v>
      </c>
      <c r="AM2136">
        <v>87.699573985425005</v>
      </c>
      <c r="AN2136">
        <v>0.99999998578768501</v>
      </c>
    </row>
    <row r="2137" spans="1:40" x14ac:dyDescent="0.25">
      <c r="A2137" t="str">
        <f>"20190303170539814"</f>
        <v>20190303170539814</v>
      </c>
      <c r="B2137" t="str">
        <f>"1551603939807031"</f>
        <v>1551603939807031</v>
      </c>
      <c r="C2137" t="s">
        <v>40</v>
      </c>
      <c r="D2137">
        <v>5.5518960000000002</v>
      </c>
      <c r="E2137">
        <v>0.4544879</v>
      </c>
      <c r="F2137" t="s">
        <v>68</v>
      </c>
      <c r="G2137">
        <v>-511.95870000000002</v>
      </c>
      <c r="H2137">
        <v>0.28853109999999998</v>
      </c>
      <c r="I2137">
        <v>277.35129999999998</v>
      </c>
      <c r="J2137">
        <v>-424.10419999999999</v>
      </c>
      <c r="K2137">
        <v>1.1211880000000001</v>
      </c>
      <c r="L2137">
        <v>284.79239999999999</v>
      </c>
      <c r="M2137">
        <v>-0.99987950000000003</v>
      </c>
      <c r="N2137">
        <v>-1.3669779999999999E-2</v>
      </c>
      <c r="O2137">
        <v>7.3581740000000003E-3</v>
      </c>
      <c r="P2137">
        <v>-0.97492400000000001</v>
      </c>
      <c r="Q2137">
        <v>0.21766289999999999</v>
      </c>
      <c r="R2137">
        <v>4.6328319999999999E-2</v>
      </c>
      <c r="S2137">
        <v>-3.096222</v>
      </c>
      <c r="T2137">
        <v>-2.9212709999999999E-2</v>
      </c>
      <c r="U2137">
        <v>-0.2609863</v>
      </c>
      <c r="V2137">
        <v>3.9161389999999997E-2</v>
      </c>
      <c r="W2137">
        <v>0.23097280000000001</v>
      </c>
      <c r="X2137">
        <v>0.97217180000000003</v>
      </c>
      <c r="Y2137">
        <v>-9.1314610000000004E-2</v>
      </c>
      <c r="Z2137">
        <v>-1.0241950000000001E-3</v>
      </c>
      <c r="AA2137">
        <v>0.99582159999999997</v>
      </c>
      <c r="AB2137">
        <v>38</v>
      </c>
      <c r="AC2137">
        <v>-87.854500000000002</v>
      </c>
      <c r="AD2137">
        <v>-0.83265689999999903</v>
      </c>
      <c r="AE2137">
        <v>-7.4410999999999996</v>
      </c>
      <c r="AF2137">
        <v>-8.0866863928889803</v>
      </c>
      <c r="AG2137">
        <v>-0.83265689999999903</v>
      </c>
      <c r="AH2137">
        <v>87.789533505416898</v>
      </c>
      <c r="AI2137">
        <v>90.5411259057161</v>
      </c>
      <c r="AJ2137">
        <v>95.262918502398406</v>
      </c>
      <c r="AK2137">
        <v>88.165129203267099</v>
      </c>
      <c r="AL2137">
        <v>76.645649086177499</v>
      </c>
      <c r="AM2137">
        <v>87.6932370309531</v>
      </c>
      <c r="AN2137">
        <v>1.0000000287609001</v>
      </c>
    </row>
    <row r="2138" spans="1:40" x14ac:dyDescent="0.25">
      <c r="A2138" t="str">
        <f>"20190303170539836"</f>
        <v>20190303170539836</v>
      </c>
      <c r="B2138" t="str">
        <f>"1551603939826551"</f>
        <v>1551603939826551</v>
      </c>
      <c r="C2138" t="s">
        <v>40</v>
      </c>
      <c r="D2138">
        <v>5.5581750000000003</v>
      </c>
      <c r="E2138">
        <v>0.45445180000000002</v>
      </c>
      <c r="F2138" t="s">
        <v>68</v>
      </c>
      <c r="G2138">
        <v>-511.95870000000002</v>
      </c>
      <c r="H2138">
        <v>0.26560640000000002</v>
      </c>
      <c r="I2138">
        <v>277.3759</v>
      </c>
      <c r="J2138">
        <v>-424.47219999999999</v>
      </c>
      <c r="K2138">
        <v>1.1211799999999901</v>
      </c>
      <c r="L2138">
        <v>284.79509999999999</v>
      </c>
      <c r="M2138">
        <v>-0.99987979999999999</v>
      </c>
      <c r="N2138">
        <v>-1.3652249999999999E-2</v>
      </c>
      <c r="O2138">
        <v>7.3579369999999897E-3</v>
      </c>
      <c r="P2138">
        <v>-0.97488739999999996</v>
      </c>
      <c r="Q2138">
        <v>0.2178486</v>
      </c>
      <c r="R2138">
        <v>4.6221989999999998E-2</v>
      </c>
      <c r="S2138">
        <v>-3.0963129999999999</v>
      </c>
      <c r="T2138">
        <v>-3.015089E-2</v>
      </c>
      <c r="U2138">
        <v>-0.26138309999999998</v>
      </c>
      <c r="V2138">
        <v>3.9055489999999998E-2</v>
      </c>
      <c r="W2138">
        <v>0.2311407</v>
      </c>
      <c r="X2138">
        <v>0.97213609999999995</v>
      </c>
      <c r="Y2138">
        <v>-9.1438140000000001E-2</v>
      </c>
      <c r="Z2138">
        <v>-1.0409900000000001E-3</v>
      </c>
      <c r="AA2138">
        <v>0.99581019999999998</v>
      </c>
      <c r="AB2138">
        <v>38</v>
      </c>
      <c r="AC2138">
        <v>-87.486500000000007</v>
      </c>
      <c r="AD2138">
        <v>-0.85557359999999905</v>
      </c>
      <c r="AE2138">
        <v>-7.4191999999999796</v>
      </c>
      <c r="AF2138">
        <v>-8.0620137006891603</v>
      </c>
      <c r="AG2138">
        <v>-0.85557359999999905</v>
      </c>
      <c r="AH2138">
        <v>87.421235075396297</v>
      </c>
      <c r="AI2138">
        <v>90.5583549656466</v>
      </c>
      <c r="AJ2138">
        <v>95.2689317758133</v>
      </c>
      <c r="AK2138">
        <v>87.796357630614807</v>
      </c>
      <c r="AL2138">
        <v>76.635760849512707</v>
      </c>
      <c r="AM2138">
        <v>87.699383862220998</v>
      </c>
      <c r="AN2138">
        <v>0.99999997570941901</v>
      </c>
    </row>
    <row r="2139" spans="1:40" x14ac:dyDescent="0.25">
      <c r="A2139" t="str">
        <f>"20190303170539858"</f>
        <v>20190303170539858</v>
      </c>
      <c r="B2139" t="str">
        <f>"1551603939847048"</f>
        <v>1551603939847048</v>
      </c>
      <c r="C2139" t="s">
        <v>40</v>
      </c>
      <c r="D2139">
        <v>5.5856240000000001</v>
      </c>
      <c r="E2139">
        <v>0.45442969999999999</v>
      </c>
      <c r="F2139" t="s">
        <v>68</v>
      </c>
      <c r="G2139">
        <v>-511.95870000000002</v>
      </c>
      <c r="H2139">
        <v>0.27435359999999998</v>
      </c>
      <c r="I2139">
        <v>277.39100000000002</v>
      </c>
      <c r="J2139">
        <v>-424.85059999999999</v>
      </c>
      <c r="K2139">
        <v>1.1211739999999999</v>
      </c>
      <c r="L2139">
        <v>284.79790000000003</v>
      </c>
      <c r="M2139">
        <v>-0.99988030000000006</v>
      </c>
      <c r="N2139">
        <v>-1.362913E-2</v>
      </c>
      <c r="O2139">
        <v>7.3576179999999998E-3</v>
      </c>
      <c r="P2139">
        <v>-0.97479939999999998</v>
      </c>
      <c r="Q2139">
        <v>0.21819939999999999</v>
      </c>
      <c r="R2139">
        <v>4.6428419999999998E-2</v>
      </c>
      <c r="S2139">
        <v>-3.0964049999999999</v>
      </c>
      <c r="T2139">
        <v>-2.9968740000000001E-2</v>
      </c>
      <c r="U2139">
        <v>-0.26205440000000002</v>
      </c>
      <c r="V2139">
        <v>3.9262970000000001E-2</v>
      </c>
      <c r="W2139">
        <v>0.2314678</v>
      </c>
      <c r="X2139">
        <v>0.97204999999999997</v>
      </c>
      <c r="Y2139">
        <v>-9.1649809999999998E-2</v>
      </c>
      <c r="Z2139">
        <v>-1.0394390000000001E-3</v>
      </c>
      <c r="AA2139">
        <v>0.99579079999999998</v>
      </c>
      <c r="AB2139">
        <v>38</v>
      </c>
      <c r="AC2139">
        <v>-87.108099999999993</v>
      </c>
      <c r="AD2139">
        <v>-0.84682039999999903</v>
      </c>
      <c r="AE2139">
        <v>-7.4069000000000598</v>
      </c>
      <c r="AF2139">
        <v>-8.0469119396640192</v>
      </c>
      <c r="AG2139">
        <v>-0.84682039999999903</v>
      </c>
      <c r="AH2139">
        <v>87.043072405021803</v>
      </c>
      <c r="AI2139">
        <v>90.555032195791497</v>
      </c>
      <c r="AJ2139">
        <v>95.281836939435905</v>
      </c>
      <c r="AK2139">
        <v>87.418341040427094</v>
      </c>
      <c r="AL2139">
        <v>76.616498180113098</v>
      </c>
      <c r="AM2139">
        <v>87.686970573642995</v>
      </c>
      <c r="AN2139">
        <v>1.0000000628750201</v>
      </c>
    </row>
    <row r="2140" spans="1:40" x14ac:dyDescent="0.25">
      <c r="A2140" t="str">
        <f>"20190303170539882"</f>
        <v>20190303170539882</v>
      </c>
      <c r="B2140" t="str">
        <f>"1551603939877304"</f>
        <v>1551603939877304</v>
      </c>
      <c r="C2140" t="s">
        <v>40</v>
      </c>
      <c r="D2140">
        <v>5.6006470000000004</v>
      </c>
      <c r="E2140">
        <v>0.45436989999999999</v>
      </c>
      <c r="F2140" t="s">
        <v>68</v>
      </c>
      <c r="G2140">
        <v>-511.95870000000002</v>
      </c>
      <c r="H2140">
        <v>0.28629379999999999</v>
      </c>
      <c r="I2140">
        <v>277.4402</v>
      </c>
      <c r="J2140">
        <v>-425.23840000000001</v>
      </c>
      <c r="K2140">
        <v>1.12117</v>
      </c>
      <c r="L2140">
        <v>284.80079999999998</v>
      </c>
      <c r="M2140">
        <v>-0.99988049999999995</v>
      </c>
      <c r="N2140">
        <v>-1.360333E-2</v>
      </c>
      <c r="O2140">
        <v>7.3574360000000002E-3</v>
      </c>
      <c r="P2140">
        <v>-0.97483379999999997</v>
      </c>
      <c r="Q2140">
        <v>0.2180696</v>
      </c>
      <c r="R2140">
        <v>4.631209E-2</v>
      </c>
      <c r="S2140">
        <v>-3.0966800000000001</v>
      </c>
      <c r="T2140">
        <v>-2.9676910000000001E-2</v>
      </c>
      <c r="U2140">
        <v>-0.26156620000000003</v>
      </c>
      <c r="V2140">
        <v>3.9146390000000003E-2</v>
      </c>
      <c r="W2140">
        <v>0.2313133</v>
      </c>
      <c r="X2140">
        <v>0.97209140000000005</v>
      </c>
      <c r="Y2140">
        <v>-9.1486449999999997E-2</v>
      </c>
      <c r="Z2140">
        <v>-1.031501E-3</v>
      </c>
      <c r="AA2140">
        <v>0.99580579999999996</v>
      </c>
      <c r="AB2140">
        <v>38</v>
      </c>
      <c r="AC2140">
        <v>-86.720299999999995</v>
      </c>
      <c r="AD2140">
        <v>-0.83487619999999996</v>
      </c>
      <c r="AE2140">
        <v>-7.3605999999999696</v>
      </c>
      <c r="AF2140">
        <v>-7.9977628172924202</v>
      </c>
      <c r="AG2140">
        <v>-0.83487619999999996</v>
      </c>
      <c r="AH2140">
        <v>86.655818097956896</v>
      </c>
      <c r="AI2140">
        <v>90.549657071306697</v>
      </c>
      <c r="AJ2140">
        <v>95.273085779182793</v>
      </c>
      <c r="AK2140">
        <v>87.028110622816499</v>
      </c>
      <c r="AL2140">
        <v>76.625596276111494</v>
      </c>
      <c r="AM2140">
        <v>87.6939291277085</v>
      </c>
      <c r="AN2140">
        <v>0.99999998628044096</v>
      </c>
    </row>
    <row r="2141" spans="1:40" x14ac:dyDescent="0.25">
      <c r="A2141" t="str">
        <f>"20190303170539904"</f>
        <v>20190303170539904</v>
      </c>
      <c r="B2141" t="str">
        <f>"1551603939896823"</f>
        <v>1551603939896823</v>
      </c>
      <c r="C2141" t="s">
        <v>40</v>
      </c>
      <c r="D2141">
        <v>5.5739539999999996</v>
      </c>
      <c r="E2141">
        <v>0.45422380000000001</v>
      </c>
      <c r="F2141" t="s">
        <v>68</v>
      </c>
      <c r="G2141">
        <v>-511.95870000000002</v>
      </c>
      <c r="H2141">
        <v>0.24154700000000001</v>
      </c>
      <c r="I2141">
        <v>277.44560000000001</v>
      </c>
      <c r="J2141">
        <v>-425.61520000000002</v>
      </c>
      <c r="K2141">
        <v>1.1211660000000001</v>
      </c>
      <c r="L2141">
        <v>284.80360000000002</v>
      </c>
      <c r="M2141">
        <v>-0.99988089999999996</v>
      </c>
      <c r="N2141">
        <v>-1.3578979999999999E-2</v>
      </c>
      <c r="O2141">
        <v>7.356947E-3</v>
      </c>
      <c r="P2141">
        <v>-0.97494700000000001</v>
      </c>
      <c r="Q2141">
        <v>0.21758479999999999</v>
      </c>
      <c r="R2141">
        <v>4.6213490000000003E-2</v>
      </c>
      <c r="S2141">
        <v>-3.096924</v>
      </c>
      <c r="T2141">
        <v>-3.1409859999999998E-2</v>
      </c>
      <c r="U2141">
        <v>-0.26266479999999998</v>
      </c>
      <c r="V2141">
        <v>3.9047560000000002E-2</v>
      </c>
      <c r="W2141">
        <v>0.23080619999999999</v>
      </c>
      <c r="X2141">
        <v>0.97221590000000002</v>
      </c>
      <c r="Y2141">
        <v>-9.1829270000000005E-2</v>
      </c>
      <c r="Z2141">
        <v>-1.0642570000000001E-3</v>
      </c>
      <c r="AA2141">
        <v>0.99577420000000005</v>
      </c>
      <c r="AB2141">
        <v>38</v>
      </c>
      <c r="AC2141">
        <v>-86.343500000000006</v>
      </c>
      <c r="AD2141">
        <v>-0.87961899999999904</v>
      </c>
      <c r="AE2141">
        <v>-7.3579999999999997</v>
      </c>
      <c r="AF2141">
        <v>-7.9922603698613397</v>
      </c>
      <c r="AG2141">
        <v>-0.87961899999999904</v>
      </c>
      <c r="AH2141">
        <v>86.278135760992797</v>
      </c>
      <c r="AI2141">
        <v>90.581629161063603</v>
      </c>
      <c r="AJ2141">
        <v>95.292414761099494</v>
      </c>
      <c r="AK2141">
        <v>86.651985931062896</v>
      </c>
      <c r="AL2141">
        <v>76.655459050263701</v>
      </c>
      <c r="AM2141">
        <v>87.700039082490306</v>
      </c>
      <c r="AN2141">
        <v>0.99999998505660104</v>
      </c>
    </row>
    <row r="2142" spans="1:40" x14ac:dyDescent="0.25">
      <c r="A2142" t="str">
        <f>"20190303170539925"</f>
        <v>20190303170539925</v>
      </c>
      <c r="B2142" t="str">
        <f>"1551603939916347"</f>
        <v>1551603939916347</v>
      </c>
      <c r="C2142" t="s">
        <v>40</v>
      </c>
      <c r="D2142">
        <v>5.5963399999999996</v>
      </c>
      <c r="E2142">
        <v>0.45412959999999902</v>
      </c>
      <c r="F2142" t="s">
        <v>68</v>
      </c>
      <c r="G2142">
        <v>-511.95870000000002</v>
      </c>
      <c r="H2142">
        <v>0.1858737</v>
      </c>
      <c r="I2142">
        <v>277.44839999999999</v>
      </c>
      <c r="J2142">
        <v>-425.97949999999997</v>
      </c>
      <c r="K2142">
        <v>1.1211660000000001</v>
      </c>
      <c r="L2142">
        <v>284.80619999999999</v>
      </c>
      <c r="M2142">
        <v>-0.99988109999999997</v>
      </c>
      <c r="N2142">
        <v>-1.355699E-2</v>
      </c>
      <c r="O2142">
        <v>7.3565599999999998E-3</v>
      </c>
      <c r="P2142">
        <v>-0.97500799999999999</v>
      </c>
      <c r="Q2142">
        <v>0.2175028</v>
      </c>
      <c r="R2142">
        <v>4.5303080000000003E-2</v>
      </c>
      <c r="S2142">
        <v>-3.0970759999999999</v>
      </c>
      <c r="T2142">
        <v>-3.354526E-2</v>
      </c>
      <c r="U2142">
        <v>-0.26382450000000002</v>
      </c>
      <c r="V2142">
        <v>3.8137089999999998E-2</v>
      </c>
      <c r="W2142">
        <v>0.23070370000000001</v>
      </c>
      <c r="X2142">
        <v>0.97227640000000004</v>
      </c>
      <c r="Y2142">
        <v>-9.2193830000000004E-2</v>
      </c>
      <c r="Z2142">
        <v>-1.104495E-3</v>
      </c>
      <c r="AA2142">
        <v>0.99574050000000003</v>
      </c>
      <c r="AB2142">
        <v>38</v>
      </c>
      <c r="AC2142">
        <v>-85.979200000000006</v>
      </c>
      <c r="AD2142">
        <v>-0.93529229999999997</v>
      </c>
      <c r="AE2142">
        <v>-7.3577999999999903</v>
      </c>
      <c r="AF2142">
        <v>-7.9892315785849002</v>
      </c>
      <c r="AG2142">
        <v>-0.93529229999999997</v>
      </c>
      <c r="AH2142">
        <v>85.912647480620905</v>
      </c>
      <c r="AI2142">
        <v>90.621049403624298</v>
      </c>
      <c r="AJ2142">
        <v>95.312798411301401</v>
      </c>
      <c r="AK2142">
        <v>86.288386182800593</v>
      </c>
      <c r="AL2142">
        <v>76.661495186074006</v>
      </c>
      <c r="AM2142">
        <v>87.753751199408498</v>
      </c>
      <c r="AN2142">
        <v>1.0000000164121501</v>
      </c>
    </row>
    <row r="2143" spans="1:40" x14ac:dyDescent="0.25">
      <c r="A2143" t="str">
        <f>"20190303170539947"</f>
        <v>20190303170539947</v>
      </c>
      <c r="B2143" t="str">
        <f>"1551603939936840"</f>
        <v>1551603939936840</v>
      </c>
      <c r="C2143" t="s">
        <v>40</v>
      </c>
      <c r="D2143">
        <v>5.623958</v>
      </c>
      <c r="E2143">
        <v>0.45405069999999997</v>
      </c>
      <c r="F2143" t="s">
        <v>68</v>
      </c>
      <c r="G2143">
        <v>-511.95870000000002</v>
      </c>
      <c r="H2143">
        <v>0.1638821</v>
      </c>
      <c r="I2143">
        <v>277.3954</v>
      </c>
      <c r="J2143">
        <v>-426.36149999999998</v>
      </c>
      <c r="K2143">
        <v>1.1211719999999901</v>
      </c>
      <c r="L2143">
        <v>284.8091</v>
      </c>
      <c r="M2143">
        <v>-0.99988149999999998</v>
      </c>
      <c r="N2143">
        <v>-1.353562E-2</v>
      </c>
      <c r="O2143">
        <v>7.3562289999999997E-3</v>
      </c>
      <c r="P2143">
        <v>-0.97498070000000003</v>
      </c>
      <c r="Q2143">
        <v>0.21781510000000001</v>
      </c>
      <c r="R2143">
        <v>4.4379389999999998E-2</v>
      </c>
      <c r="S2143">
        <v>-3.0969540000000002</v>
      </c>
      <c r="T2143">
        <v>-3.4478189999999999E-2</v>
      </c>
      <c r="U2143">
        <v>-0.26693729999999999</v>
      </c>
      <c r="V2143">
        <v>3.7213839999999998E-2</v>
      </c>
      <c r="W2143">
        <v>0.23099510000000001</v>
      </c>
      <c r="X2143">
        <v>0.97224299999999997</v>
      </c>
      <c r="Y2143">
        <v>-9.3189690000000006E-2</v>
      </c>
      <c r="Z2143">
        <v>-1.132054E-3</v>
      </c>
      <c r="AA2143">
        <v>0.99564770000000002</v>
      </c>
      <c r="AB2143">
        <v>38</v>
      </c>
      <c r="AC2143">
        <v>-85.597200000000001</v>
      </c>
      <c r="AD2143">
        <v>-0.95728989999999903</v>
      </c>
      <c r="AE2143">
        <v>-7.4137000000000004</v>
      </c>
      <c r="AF2143">
        <v>-8.0422311688555492</v>
      </c>
      <c r="AG2143">
        <v>-0.95728989999999903</v>
      </c>
      <c r="AH2143">
        <v>85.529723761334793</v>
      </c>
      <c r="AI2143">
        <v>90.638439319292701</v>
      </c>
      <c r="AJ2143">
        <v>95.371642176915401</v>
      </c>
      <c r="AK2143">
        <v>85.912324685205604</v>
      </c>
      <c r="AL2143">
        <v>76.644335875523097</v>
      </c>
      <c r="AM2143">
        <v>87.808001074364</v>
      </c>
      <c r="AN2143">
        <v>1.0000000285802699</v>
      </c>
    </row>
    <row r="2144" spans="1:40" x14ac:dyDescent="0.25">
      <c r="A2144" t="str">
        <f>"20190303170539970"</f>
        <v>20190303170539970</v>
      </c>
      <c r="B2144" t="str">
        <f>"1551603939956360"</f>
        <v>1551603939956360</v>
      </c>
      <c r="C2144" t="s">
        <v>40</v>
      </c>
      <c r="D2144">
        <v>5.5969639999999998</v>
      </c>
      <c r="E2144">
        <v>0.4539358</v>
      </c>
      <c r="F2144" t="s">
        <v>68</v>
      </c>
      <c r="G2144">
        <v>-511.95870000000002</v>
      </c>
      <c r="H2144">
        <v>0.1662959</v>
      </c>
      <c r="I2144">
        <v>277.34769999999997</v>
      </c>
      <c r="J2144">
        <v>-426.74029999999999</v>
      </c>
      <c r="K2144">
        <v>1.1211799999999901</v>
      </c>
      <c r="L2144">
        <v>284.81189999999998</v>
      </c>
      <c r="M2144">
        <v>-0.99988169999999998</v>
      </c>
      <c r="N2144">
        <v>-1.3516139999999999E-2</v>
      </c>
      <c r="O2144">
        <v>7.3560029999999998E-3</v>
      </c>
      <c r="P2144">
        <v>-0.9748812</v>
      </c>
      <c r="Q2144">
        <v>0.21834290000000001</v>
      </c>
      <c r="R2144">
        <v>4.3964660000000003E-2</v>
      </c>
      <c r="S2144">
        <v>-3.0969850000000001</v>
      </c>
      <c r="T2144">
        <v>-3.4545300000000001E-2</v>
      </c>
      <c r="U2144">
        <v>-0.26995849999999999</v>
      </c>
      <c r="V2144">
        <v>3.679996E-2</v>
      </c>
      <c r="W2144">
        <v>0.23150209999999999</v>
      </c>
      <c r="X2144">
        <v>0.9721381</v>
      </c>
      <c r="Y2144">
        <v>-9.41525E-2</v>
      </c>
      <c r="Z2144">
        <v>-1.1443340000000001E-3</v>
      </c>
      <c r="AA2144">
        <v>0.99555709999999997</v>
      </c>
      <c r="AB2144">
        <v>38</v>
      </c>
      <c r="AC2144">
        <v>-85.218400000000003</v>
      </c>
      <c r="AD2144">
        <v>-0.95488410000000001</v>
      </c>
      <c r="AE2144">
        <v>-7.4641999999999999</v>
      </c>
      <c r="AF2144">
        <v>-8.0899140240163199</v>
      </c>
      <c r="AG2144">
        <v>-0.95488410000000001</v>
      </c>
      <c r="AH2144">
        <v>85.150572545160898</v>
      </c>
      <c r="AI2144">
        <v>90.639611737136207</v>
      </c>
      <c r="AJ2144">
        <v>95.427219036208299</v>
      </c>
      <c r="AK2144">
        <v>85.539339004513707</v>
      </c>
      <c r="AL2144">
        <v>76.614476832274804</v>
      </c>
      <c r="AM2144">
        <v>87.832122694555295</v>
      </c>
      <c r="AN2144">
        <v>0.99999997241601002</v>
      </c>
    </row>
    <row r="2145" spans="1:40" x14ac:dyDescent="0.25">
      <c r="A2145" t="str">
        <f>"20190303170539993"</f>
        <v>20190303170539993</v>
      </c>
      <c r="B2145" t="str">
        <f>"1551603939986615"</f>
        <v>1551603939986615</v>
      </c>
      <c r="C2145" t="s">
        <v>40</v>
      </c>
      <c r="D2145">
        <v>5.6503699999999997</v>
      </c>
      <c r="E2145">
        <v>0.45377770000000001</v>
      </c>
      <c r="F2145" t="s">
        <v>68</v>
      </c>
      <c r="G2145">
        <v>-511.95870000000002</v>
      </c>
      <c r="H2145">
        <v>0.2040574</v>
      </c>
      <c r="I2145">
        <v>277.32330000000002</v>
      </c>
      <c r="J2145">
        <v>-427.1234</v>
      </c>
      <c r="K2145">
        <v>1.1211799999999901</v>
      </c>
      <c r="L2145">
        <v>284.81470000000002</v>
      </c>
      <c r="M2145">
        <v>-0.99988189999999999</v>
      </c>
      <c r="N2145">
        <v>-1.349826E-2</v>
      </c>
      <c r="O2145">
        <v>7.3557669999999896E-3</v>
      </c>
      <c r="P2145">
        <v>-0.97488669999999999</v>
      </c>
      <c r="Q2145">
        <v>0.2184953</v>
      </c>
      <c r="R2145">
        <v>4.307797E-2</v>
      </c>
      <c r="S2145">
        <v>-3.0970759999999999</v>
      </c>
      <c r="T2145">
        <v>-3.3327820000000001E-2</v>
      </c>
      <c r="U2145">
        <v>-0.2721558</v>
      </c>
      <c r="V2145">
        <v>3.5913460000000001E-2</v>
      </c>
      <c r="W2145">
        <v>0.2316376</v>
      </c>
      <c r="X2145">
        <v>0.97213899999999998</v>
      </c>
      <c r="Y2145">
        <v>-9.4851190000000002E-2</v>
      </c>
      <c r="Z2145">
        <v>-1.130729E-3</v>
      </c>
      <c r="AA2145">
        <v>0.99549080000000001</v>
      </c>
      <c r="AB2145">
        <v>38</v>
      </c>
      <c r="AC2145">
        <v>-84.835300000000004</v>
      </c>
      <c r="AD2145">
        <v>-0.91712260000000001</v>
      </c>
      <c r="AE2145">
        <v>-7.4913999999999898</v>
      </c>
      <c r="AF2145">
        <v>-8.11434182736674</v>
      </c>
      <c r="AG2145">
        <v>-0.91712260000000001</v>
      </c>
      <c r="AH2145">
        <v>84.768064278988305</v>
      </c>
      <c r="AI2145">
        <v>90.617049907934003</v>
      </c>
      <c r="AJ2145">
        <v>95.467923245457698</v>
      </c>
      <c r="AK2145">
        <v>85.1604860176448</v>
      </c>
      <c r="AL2145">
        <v>76.606496635956105</v>
      </c>
      <c r="AM2145">
        <v>87.884300121577098</v>
      </c>
      <c r="AN2145">
        <v>0.999999994831965</v>
      </c>
    </row>
    <row r="2146" spans="1:40" x14ac:dyDescent="0.25">
      <c r="A2146" t="str">
        <f>"20190303170540015"</f>
        <v>20190303170540015</v>
      </c>
      <c r="B2146" t="str">
        <f>"1551603940007111"</f>
        <v>1551603940007111</v>
      </c>
      <c r="C2146" t="s">
        <v>40</v>
      </c>
      <c r="D2146">
        <v>5.9299879999999998</v>
      </c>
      <c r="E2146">
        <v>0.45371460000000002</v>
      </c>
      <c r="F2146" t="s">
        <v>68</v>
      </c>
      <c r="G2146">
        <v>-511.95870000000002</v>
      </c>
      <c r="H2146">
        <v>0.21179039999999999</v>
      </c>
      <c r="I2146">
        <v>277.21170000000001</v>
      </c>
      <c r="J2146">
        <v>-427.50459999999998</v>
      </c>
      <c r="K2146">
        <v>1.121178</v>
      </c>
      <c r="L2146">
        <v>284.8175</v>
      </c>
      <c r="M2146">
        <v>-0.99988220000000005</v>
      </c>
      <c r="N2146">
        <v>-1.34822E-2</v>
      </c>
      <c r="O2146">
        <v>7.3553990000000003E-3</v>
      </c>
      <c r="P2146">
        <v>-0.97503969999999995</v>
      </c>
      <c r="Q2146">
        <v>0.21789610000000001</v>
      </c>
      <c r="R2146">
        <v>4.2650269999999997E-2</v>
      </c>
      <c r="S2146">
        <v>-3.0970149999999999</v>
      </c>
      <c r="T2146">
        <v>-3.3195379999999997E-2</v>
      </c>
      <c r="U2146">
        <v>-0.27755740000000001</v>
      </c>
      <c r="V2146">
        <v>3.5485129999999997E-2</v>
      </c>
      <c r="W2146">
        <v>0.23102420000000001</v>
      </c>
      <c r="X2146">
        <v>0.97230059999999996</v>
      </c>
      <c r="Y2146">
        <v>-9.6574930000000003E-2</v>
      </c>
      <c r="Z2146">
        <v>-1.148633E-3</v>
      </c>
      <c r="AA2146">
        <v>0.99532500000000002</v>
      </c>
      <c r="AB2146">
        <v>38</v>
      </c>
      <c r="AC2146">
        <v>-84.454099999999997</v>
      </c>
      <c r="AD2146">
        <v>-0.90938759999999996</v>
      </c>
      <c r="AE2146">
        <v>-7.6057999999999799</v>
      </c>
      <c r="AF2146">
        <v>-8.2258981060601606</v>
      </c>
      <c r="AG2146">
        <v>-0.90938759999999996</v>
      </c>
      <c r="AH2146">
        <v>84.386160681027803</v>
      </c>
      <c r="AI2146">
        <v>90.614511683443396</v>
      </c>
      <c r="AJ2146">
        <v>95.567558342804205</v>
      </c>
      <c r="AK2146">
        <v>84.791016622886204</v>
      </c>
      <c r="AL2146">
        <v>76.642620686125298</v>
      </c>
      <c r="AM2146">
        <v>87.909858110289505</v>
      </c>
      <c r="AN2146">
        <v>0.99999991609855399</v>
      </c>
    </row>
    <row r="2147" spans="1:40" x14ac:dyDescent="0.25">
      <c r="A2147" t="str">
        <f>"20190303170540038"</f>
        <v>20190303170540038</v>
      </c>
      <c r="B2147" t="str">
        <f>"1551603940026631"</f>
        <v>1551603940026631</v>
      </c>
      <c r="C2147" t="s">
        <v>40</v>
      </c>
      <c r="D2147">
        <v>5.6410200000000001</v>
      </c>
      <c r="E2147">
        <v>0.4497564</v>
      </c>
      <c r="F2147" t="s">
        <v>68</v>
      </c>
      <c r="G2147">
        <v>-511.95870000000002</v>
      </c>
      <c r="H2147">
        <v>0.1433594</v>
      </c>
      <c r="I2147">
        <v>277.22120000000001</v>
      </c>
      <c r="J2147">
        <v>-427.8784</v>
      </c>
      <c r="K2147">
        <v>1.1211679999999999</v>
      </c>
      <c r="L2147">
        <v>284.8202</v>
      </c>
      <c r="M2147">
        <v>-0.9998823</v>
      </c>
      <c r="N2147">
        <v>-1.3467929999999999E-2</v>
      </c>
      <c r="O2147">
        <v>7.3553169999999897E-3</v>
      </c>
      <c r="P2147">
        <v>-0.97529299999999997</v>
      </c>
      <c r="Q2147">
        <v>0.21688060000000001</v>
      </c>
      <c r="R2147">
        <v>4.2031520000000003E-2</v>
      </c>
      <c r="S2147">
        <v>-3.0970149999999999</v>
      </c>
      <c r="T2147">
        <v>-3.5854579999999997E-2</v>
      </c>
      <c r="U2147">
        <v>-0.27856449999999999</v>
      </c>
      <c r="V2147">
        <v>3.4864729999999997E-2</v>
      </c>
      <c r="W2147">
        <v>0.22999890000000001</v>
      </c>
      <c r="X2147">
        <v>0.97256620000000005</v>
      </c>
      <c r="Y2147">
        <v>-9.6894419999999995E-2</v>
      </c>
      <c r="Z2147">
        <v>-1.1997329999999999E-3</v>
      </c>
      <c r="AA2147">
        <v>0.99529389999999995</v>
      </c>
      <c r="AB2147">
        <v>38</v>
      </c>
      <c r="AC2147">
        <v>-84.080299999999994</v>
      </c>
      <c r="AD2147">
        <v>-0.97780860000000003</v>
      </c>
      <c r="AE2147">
        <v>-7.5989999999999798</v>
      </c>
      <c r="AF2147">
        <v>-8.2161855388197598</v>
      </c>
      <c r="AG2147">
        <v>-0.97780860000000003</v>
      </c>
      <c r="AH2147">
        <v>84.010857094061294</v>
      </c>
      <c r="AI2147">
        <v>90.663673650129795</v>
      </c>
      <c r="AJ2147">
        <v>95.585711922505496</v>
      </c>
      <c r="AK2147">
        <v>84.417331894258197</v>
      </c>
      <c r="AL2147">
        <v>76.702993398796394</v>
      </c>
      <c r="AM2147">
        <v>87.946929637053699</v>
      </c>
      <c r="AN2147">
        <v>1.0000000283908099</v>
      </c>
    </row>
    <row r="2148" spans="1:40" x14ac:dyDescent="0.25">
      <c r="A2148" t="str">
        <f>"20190303170540059"</f>
        <v>20190303170540059</v>
      </c>
      <c r="B2148" t="str">
        <f>"1551603940047127"</f>
        <v>1551603940047127</v>
      </c>
      <c r="C2148" t="s">
        <v>40</v>
      </c>
      <c r="D2148">
        <v>5.6672880000000001</v>
      </c>
      <c r="E2148">
        <v>0.44987470000000002</v>
      </c>
      <c r="F2148" t="s">
        <v>52</v>
      </c>
      <c r="G2148">
        <v>-470.74919999999997</v>
      </c>
      <c r="H2148" s="1">
        <v>5.9214279999999997E-6</v>
      </c>
      <c r="I2148">
        <v>280.49349999999998</v>
      </c>
      <c r="J2148">
        <v>-428.24829999999997</v>
      </c>
      <c r="K2148">
        <v>1.1211679999999999</v>
      </c>
      <c r="L2148">
        <v>284.8229</v>
      </c>
      <c r="M2148">
        <v>-0.99988250000000001</v>
      </c>
      <c r="N2148">
        <v>-1.345525E-2</v>
      </c>
      <c r="O2148">
        <v>7.3551049999999998E-3</v>
      </c>
      <c r="P2148">
        <v>-0.97538329999999995</v>
      </c>
      <c r="Q2148">
        <v>0.2164864</v>
      </c>
      <c r="R2148">
        <v>4.1966639999999999E-2</v>
      </c>
      <c r="S2148">
        <v>-3.1075740000000001</v>
      </c>
      <c r="T2148">
        <v>-8.1269499999999995E-2</v>
      </c>
      <c r="U2148">
        <v>-0.3136292</v>
      </c>
      <c r="V2148">
        <v>3.4799419999999998E-2</v>
      </c>
      <c r="W2148">
        <v>0.2295932</v>
      </c>
      <c r="X2148">
        <v>0.97266439999999998</v>
      </c>
      <c r="Y2148">
        <v>-0.1076739</v>
      </c>
      <c r="Z2148">
        <v>-2.2237329999999999E-3</v>
      </c>
      <c r="AA2148">
        <v>0.99418379999999995</v>
      </c>
      <c r="AB2148">
        <v>38</v>
      </c>
      <c r="AC2148">
        <v>-42.500900000000001</v>
      </c>
      <c r="AD2148">
        <v>-1.121162078572</v>
      </c>
      <c r="AE2148">
        <v>-4.3294000000000201</v>
      </c>
      <c r="AF2148">
        <v>-4.6387148483351597</v>
      </c>
      <c r="AG2148">
        <v>-1.121162078572</v>
      </c>
      <c r="AH2148">
        <v>42.438674764759298</v>
      </c>
      <c r="AI2148">
        <v>91.504355388178794</v>
      </c>
      <c r="AJ2148">
        <v>96.2378916601062</v>
      </c>
      <c r="AK2148">
        <v>42.706156413796101</v>
      </c>
      <c r="AL2148">
        <v>76.726877565902399</v>
      </c>
      <c r="AM2148">
        <v>87.950978961446495</v>
      </c>
      <c r="AN2148">
        <v>1.00000003607296</v>
      </c>
    </row>
    <row r="2149" spans="1:40" x14ac:dyDescent="0.25">
      <c r="A2149" t="str">
        <f>"20190303170540082"</f>
        <v>20190303170540082</v>
      </c>
      <c r="B2149" t="str">
        <f>"1551603940076408"</f>
        <v>1551603940076408</v>
      </c>
      <c r="C2149" t="s">
        <v>40</v>
      </c>
      <c r="D2149">
        <v>5.6262129999999999</v>
      </c>
      <c r="E2149">
        <v>0.44948549999999998</v>
      </c>
      <c r="F2149" t="s">
        <v>52</v>
      </c>
      <c r="G2149">
        <v>-477.50389999999999</v>
      </c>
      <c r="H2149" s="1">
        <v>2.8715139999999999E-6</v>
      </c>
      <c r="I2149">
        <v>279.87029999999999</v>
      </c>
      <c r="J2149">
        <v>-428.63130000000001</v>
      </c>
      <c r="K2149">
        <v>1.1211660000000001</v>
      </c>
      <c r="L2149">
        <v>284.82569999999998</v>
      </c>
      <c r="M2149">
        <v>-0.99988270000000001</v>
      </c>
      <c r="N2149">
        <v>-1.344334E-2</v>
      </c>
      <c r="O2149">
        <v>7.3548279999999999E-3</v>
      </c>
      <c r="P2149">
        <v>-0.97532730000000001</v>
      </c>
      <c r="Q2149">
        <v>0.21685170000000001</v>
      </c>
      <c r="R2149">
        <v>4.1379899999999997E-2</v>
      </c>
      <c r="S2149">
        <v>-3.1048580000000001</v>
      </c>
      <c r="T2149">
        <v>-7.0673230000000004E-2</v>
      </c>
      <c r="U2149">
        <v>-0.31219479999999999</v>
      </c>
      <c r="V2149">
        <v>3.4213380000000002E-2</v>
      </c>
      <c r="W2149">
        <v>0.2299464</v>
      </c>
      <c r="X2149">
        <v>0.97260170000000001</v>
      </c>
      <c r="Y2149">
        <v>-0.1073176</v>
      </c>
      <c r="Z2149">
        <v>-2.0098770000000002E-3</v>
      </c>
      <c r="AA2149">
        <v>0.99422279999999996</v>
      </c>
      <c r="AB2149">
        <v>38</v>
      </c>
      <c r="AC2149">
        <v>-48.872599999999899</v>
      </c>
      <c r="AD2149">
        <v>-1.121163128486</v>
      </c>
      <c r="AE2149">
        <v>-4.9553999999999903</v>
      </c>
      <c r="AF2149">
        <v>-5.3119808805730804</v>
      </c>
      <c r="AG2149">
        <v>-1.121163128486</v>
      </c>
      <c r="AH2149">
        <v>48.809403074925299</v>
      </c>
      <c r="AI2149">
        <v>91.308144279855895</v>
      </c>
      <c r="AJ2149">
        <v>96.211117590225399</v>
      </c>
      <c r="AK2149">
        <v>49.110405986580702</v>
      </c>
      <c r="AL2149">
        <v>76.706083677913796</v>
      </c>
      <c r="AM2149">
        <v>87.985327083417701</v>
      </c>
      <c r="AN2149">
        <v>0.99999998454343697</v>
      </c>
    </row>
    <row r="2150" spans="1:40" x14ac:dyDescent="0.25">
      <c r="A2150" t="str">
        <f>"20190303170540104"</f>
        <v>20190303170540104</v>
      </c>
      <c r="B2150" t="str">
        <f>"1551603940096903"</f>
        <v>1551603940096903</v>
      </c>
      <c r="C2150" t="s">
        <v>40</v>
      </c>
      <c r="D2150">
        <v>5.6664379999999896</v>
      </c>
      <c r="E2150">
        <v>0.44938539999999999</v>
      </c>
      <c r="F2150" t="s">
        <v>52</v>
      </c>
      <c r="G2150">
        <v>-483.52600000000001</v>
      </c>
      <c r="H2150" s="1">
        <v>2.257709E-6</v>
      </c>
      <c r="I2150">
        <v>279.23050000000001</v>
      </c>
      <c r="J2150">
        <v>-429.00040000000001</v>
      </c>
      <c r="K2150">
        <v>1.1211709999999999</v>
      </c>
      <c r="L2150">
        <v>284.82850000000002</v>
      </c>
      <c r="M2150">
        <v>-0.99988279999999996</v>
      </c>
      <c r="N2150">
        <v>-1.343316E-2</v>
      </c>
      <c r="O2150">
        <v>7.3545390000000002E-3</v>
      </c>
      <c r="P2150">
        <v>-0.9751976</v>
      </c>
      <c r="Q2150">
        <v>0.2175744</v>
      </c>
      <c r="R2150">
        <v>4.0633210000000003E-2</v>
      </c>
      <c r="S2150">
        <v>-3.1033629999999999</v>
      </c>
      <c r="T2150">
        <v>-6.3382740000000007E-2</v>
      </c>
      <c r="U2150">
        <v>-0.3163147</v>
      </c>
      <c r="V2150">
        <v>3.3467700000000003E-2</v>
      </c>
      <c r="W2150">
        <v>0.23065720000000001</v>
      </c>
      <c r="X2150">
        <v>0.97245930000000003</v>
      </c>
      <c r="Y2150">
        <v>-0.1086781</v>
      </c>
      <c r="Z2150">
        <v>-1.8901079999999999E-3</v>
      </c>
      <c r="AA2150">
        <v>0.99407520000000005</v>
      </c>
      <c r="AB2150">
        <v>38</v>
      </c>
      <c r="AC2150">
        <v>-54.525599999999997</v>
      </c>
      <c r="AD2150">
        <v>-1.1211687422909999</v>
      </c>
      <c r="AE2150">
        <v>-5.5980000000000096</v>
      </c>
      <c r="AF2150">
        <v>-5.9963865191504198</v>
      </c>
      <c r="AG2150">
        <v>-1.1211687422909999</v>
      </c>
      <c r="AH2150">
        <v>54.460164765547702</v>
      </c>
      <c r="AI2150">
        <v>91.172296152924801</v>
      </c>
      <c r="AJ2150">
        <v>96.283294608589401</v>
      </c>
      <c r="AK2150">
        <v>54.800759273265001</v>
      </c>
      <c r="AL2150">
        <v>76.664232528254502</v>
      </c>
      <c r="AM2150">
        <v>88.028913469754301</v>
      </c>
      <c r="AN2150">
        <v>0.99999996050580897</v>
      </c>
    </row>
    <row r="2151" spans="1:40" x14ac:dyDescent="0.25">
      <c r="A2151" t="str">
        <f>"20190303170540127"</f>
        <v>20190303170540127</v>
      </c>
      <c r="B2151" t="str">
        <f>"1551603940116425"</f>
        <v>1551603940116425</v>
      </c>
      <c r="C2151" t="s">
        <v>40</v>
      </c>
      <c r="D2151">
        <v>5.6834009999999999</v>
      </c>
      <c r="E2151">
        <v>0.44956299999999999</v>
      </c>
      <c r="F2151" t="s">
        <v>52</v>
      </c>
      <c r="G2151">
        <v>-488.5992</v>
      </c>
      <c r="H2151" s="1">
        <v>2.968935E-6</v>
      </c>
      <c r="I2151">
        <v>278.6968</v>
      </c>
      <c r="J2151">
        <v>-429.38170000000002</v>
      </c>
      <c r="K2151">
        <v>1.1211690000000001</v>
      </c>
      <c r="L2151">
        <v>284.8313</v>
      </c>
      <c r="M2151">
        <v>-0.99988290000000002</v>
      </c>
      <c r="N2151">
        <v>-1.342379E-2</v>
      </c>
      <c r="O2151">
        <v>7.3543050000000002E-3</v>
      </c>
      <c r="P2151">
        <v>-0.97511009999999998</v>
      </c>
      <c r="Q2151">
        <v>0.21815799999999999</v>
      </c>
      <c r="R2151">
        <v>3.9592040000000002E-2</v>
      </c>
      <c r="S2151">
        <v>-3.1026919999999998</v>
      </c>
      <c r="T2151">
        <v>-5.836761E-2</v>
      </c>
      <c r="U2151">
        <v>-0.31921389999999999</v>
      </c>
      <c r="V2151">
        <v>3.2427600000000001E-2</v>
      </c>
      <c r="W2151">
        <v>0.2312302</v>
      </c>
      <c r="X2151">
        <v>0.97235850000000001</v>
      </c>
      <c r="Y2151">
        <v>-0.1096231</v>
      </c>
      <c r="Z2151">
        <v>-1.805694E-3</v>
      </c>
      <c r="AA2151">
        <v>0.99397159999999996</v>
      </c>
      <c r="AB2151">
        <v>38</v>
      </c>
      <c r="AC2151">
        <v>-59.217499999999902</v>
      </c>
      <c r="AD2151">
        <v>-1.121166031065</v>
      </c>
      <c r="AE2151">
        <v>-6.1345000000000001</v>
      </c>
      <c r="AF2151">
        <v>-6.5675476498962997</v>
      </c>
      <c r="AG2151">
        <v>-1.121166031065</v>
      </c>
      <c r="AH2151">
        <v>59.149801560168399</v>
      </c>
      <c r="AI2151">
        <v>91.079262861788706</v>
      </c>
      <c r="AJ2151">
        <v>96.335739974800902</v>
      </c>
      <c r="AK2151">
        <v>59.5238500099764</v>
      </c>
      <c r="AL2151">
        <v>76.630490470186302</v>
      </c>
      <c r="AM2151">
        <v>88.089926421906199</v>
      </c>
      <c r="AN2151">
        <v>1.0000000035780201</v>
      </c>
    </row>
    <row r="2152" spans="1:40" x14ac:dyDescent="0.25">
      <c r="A2152" t="str">
        <f>"20190303170540148"</f>
        <v>20190303170540148</v>
      </c>
      <c r="B2152" t="str">
        <f>"1551603940136920"</f>
        <v>1551603940136920</v>
      </c>
      <c r="C2152" t="s">
        <v>40</v>
      </c>
      <c r="D2152">
        <v>5.6949579999999997</v>
      </c>
      <c r="E2152">
        <v>0.45200059999999898</v>
      </c>
      <c r="F2152" t="s">
        <v>52</v>
      </c>
      <c r="G2152">
        <v>-490.28199999999998</v>
      </c>
      <c r="H2152" s="1">
        <v>3.1231359999999999E-6</v>
      </c>
      <c r="I2152">
        <v>278.5326</v>
      </c>
      <c r="J2152">
        <v>-429.75400000000002</v>
      </c>
      <c r="K2152">
        <v>1.121173</v>
      </c>
      <c r="L2152">
        <v>284.834</v>
      </c>
      <c r="M2152">
        <v>-0.99988290000000002</v>
      </c>
      <c r="N2152">
        <v>-1.341551E-2</v>
      </c>
      <c r="O2152">
        <v>7.35418099999999E-3</v>
      </c>
      <c r="P2152">
        <v>-0.97508779999999995</v>
      </c>
      <c r="Q2152">
        <v>0.21845390000000001</v>
      </c>
      <c r="R2152">
        <v>3.8493260000000001E-2</v>
      </c>
      <c r="S2152">
        <v>-3.1023559999999999</v>
      </c>
      <c r="T2152">
        <v>-5.711389E-2</v>
      </c>
      <c r="U2152">
        <v>-0.32086179999999997</v>
      </c>
      <c r="V2152">
        <v>3.132915E-2</v>
      </c>
      <c r="W2152">
        <v>0.2315179</v>
      </c>
      <c r="X2152">
        <v>0.97232600000000002</v>
      </c>
      <c r="Y2152">
        <v>-0.1101573</v>
      </c>
      <c r="Z2152">
        <v>-1.7888610000000001E-3</v>
      </c>
      <c r="AA2152">
        <v>0.99391260000000003</v>
      </c>
      <c r="AB2152">
        <v>38</v>
      </c>
      <c r="AC2152">
        <v>-60.527999999999899</v>
      </c>
      <c r="AD2152">
        <v>-1.1211698768639999</v>
      </c>
      <c r="AE2152">
        <v>-6.3014000000000001</v>
      </c>
      <c r="AF2152">
        <v>-6.7441143767462099</v>
      </c>
      <c r="AG2152">
        <v>-1.1211698768639999</v>
      </c>
      <c r="AH2152">
        <v>60.459495390521397</v>
      </c>
      <c r="AI2152">
        <v>91.055832696589505</v>
      </c>
      <c r="AJ2152">
        <v>96.3648971362135</v>
      </c>
      <c r="AK2152">
        <v>60.844808188504501</v>
      </c>
      <c r="AL2152">
        <v>76.613545999307405</v>
      </c>
      <c r="AM2152">
        <v>88.154520943719703</v>
      </c>
      <c r="AN2152">
        <v>0.99999995196806502</v>
      </c>
    </row>
    <row r="2153" spans="1:40" x14ac:dyDescent="0.25">
      <c r="A2153" t="str">
        <f>"20190303170540172"</f>
        <v>20190303170540172</v>
      </c>
      <c r="B2153" t="str">
        <f>"1551603940156440"</f>
        <v>1551603940156440</v>
      </c>
      <c r="C2153" t="s">
        <v>40</v>
      </c>
      <c r="D2153">
        <v>5.6307199999999904</v>
      </c>
      <c r="E2153">
        <v>0.48009489999999999</v>
      </c>
      <c r="F2153" t="s">
        <v>52</v>
      </c>
      <c r="G2153">
        <v>-486.02289999999999</v>
      </c>
      <c r="H2153" s="1">
        <v>2.7225210000000001E-6</v>
      </c>
      <c r="I2153">
        <v>279.29250000000002</v>
      </c>
      <c r="J2153">
        <v>-430.13780000000003</v>
      </c>
      <c r="K2153">
        <v>1.121178</v>
      </c>
      <c r="L2153">
        <v>284.83679999999998</v>
      </c>
      <c r="M2153">
        <v>-0.99988310000000002</v>
      </c>
      <c r="N2153">
        <v>-1.340625E-2</v>
      </c>
      <c r="O2153">
        <v>7.3540649999999999E-3</v>
      </c>
      <c r="P2153">
        <v>-0.97514940000000006</v>
      </c>
      <c r="Q2153">
        <v>0.21838640000000001</v>
      </c>
      <c r="R2153">
        <v>3.7294590000000002E-2</v>
      </c>
      <c r="S2153">
        <v>-3.102509</v>
      </c>
      <c r="T2153">
        <v>-6.1818119999999997E-2</v>
      </c>
      <c r="U2153">
        <v>-0.30554199999999998</v>
      </c>
      <c r="V2153">
        <v>3.0130110000000002E-2</v>
      </c>
      <c r="W2153">
        <v>0.23144229999999999</v>
      </c>
      <c r="X2153">
        <v>0.97238190000000002</v>
      </c>
      <c r="Y2153">
        <v>-0.10528990000000001</v>
      </c>
      <c r="Z2153">
        <v>-1.8017790000000001E-3</v>
      </c>
      <c r="AA2153">
        <v>0.99443999999999999</v>
      </c>
      <c r="AB2153">
        <v>38</v>
      </c>
      <c r="AC2153">
        <v>-55.885099999999902</v>
      </c>
      <c r="AD2153">
        <v>-1.121175277479</v>
      </c>
      <c r="AE2153">
        <v>-5.5442999999999598</v>
      </c>
      <c r="AF2153">
        <v>-5.9527970488306599</v>
      </c>
      <c r="AG2153">
        <v>-1.121175277479</v>
      </c>
      <c r="AH2153">
        <v>55.8205634692834</v>
      </c>
      <c r="AI2153">
        <v>91.144164942593406</v>
      </c>
      <c r="AJ2153">
        <v>96.087110983282898</v>
      </c>
      <c r="AK2153">
        <v>56.148269187355098</v>
      </c>
      <c r="AL2153">
        <v>76.617998609459306</v>
      </c>
      <c r="AM2153">
        <v>88.225207646822298</v>
      </c>
      <c r="AN2153">
        <v>0.99999996060275498</v>
      </c>
    </row>
    <row r="2154" spans="1:40" x14ac:dyDescent="0.25">
      <c r="A2154" t="str">
        <f>"20190303170540194"</f>
        <v>20190303170540194</v>
      </c>
      <c r="B2154" t="str">
        <f>"1551603940186695"</f>
        <v>1551603940186695</v>
      </c>
      <c r="C2154" t="s">
        <v>40</v>
      </c>
      <c r="D2154">
        <v>5.6520849999999996</v>
      </c>
      <c r="E2154">
        <v>0.48038059999999999</v>
      </c>
      <c r="F2154" t="s">
        <v>60</v>
      </c>
      <c r="G2154">
        <v>-456.71129999999999</v>
      </c>
      <c r="H2154" s="1">
        <v>2.0578929999999998E-6</v>
      </c>
      <c r="I2154">
        <v>284.08460000000002</v>
      </c>
      <c r="J2154">
        <v>-430.52080000000001</v>
      </c>
      <c r="K2154">
        <v>1.121181</v>
      </c>
      <c r="L2154">
        <v>284.83960000000002</v>
      </c>
      <c r="M2154">
        <v>-0.99988330000000003</v>
      </c>
      <c r="N2154">
        <v>-1.3393179999999999E-2</v>
      </c>
      <c r="O2154">
        <v>7.3539749999999996E-3</v>
      </c>
      <c r="P2154">
        <v>-0.97503569999999995</v>
      </c>
      <c r="Q2154">
        <v>0.21903339999999999</v>
      </c>
      <c r="R2154">
        <v>3.6466699999999998E-2</v>
      </c>
      <c r="S2154">
        <v>-3.1091920000000002</v>
      </c>
      <c r="T2154">
        <v>-0.13118109999999999</v>
      </c>
      <c r="U2154">
        <v>-8.8012699999999999E-2</v>
      </c>
      <c r="V2154">
        <v>2.9303409999999998E-2</v>
      </c>
      <c r="W2154">
        <v>0.2320749</v>
      </c>
      <c r="X2154">
        <v>0.97225640000000002</v>
      </c>
      <c r="Y2154">
        <v>-3.5602099999999998E-2</v>
      </c>
      <c r="Z2154">
        <v>-1.2008120000000001E-3</v>
      </c>
      <c r="AA2154">
        <v>0.99936530000000001</v>
      </c>
      <c r="AB2154">
        <v>38</v>
      </c>
      <c r="AC2154">
        <v>-26.190499999999901</v>
      </c>
      <c r="AD2154">
        <v>-1.121178942107</v>
      </c>
      <c r="AE2154">
        <v>-0.75499999999999501</v>
      </c>
      <c r="AF2154">
        <v>-0.94586919347681597</v>
      </c>
      <c r="AG2154">
        <v>-1.121178942107</v>
      </c>
      <c r="AH2154">
        <v>26.136381742720399</v>
      </c>
      <c r="AI2154">
        <v>92.454720538001695</v>
      </c>
      <c r="AJ2154">
        <v>92.072615577300695</v>
      </c>
      <c r="AK2154">
        <v>26.177512512700702</v>
      </c>
      <c r="AL2154">
        <v>76.580739078043607</v>
      </c>
      <c r="AM2154">
        <v>88.273651262691402</v>
      </c>
      <c r="AN2154">
        <v>0.99999997819429798</v>
      </c>
    </row>
    <row r="2155" spans="1:40" x14ac:dyDescent="0.25">
      <c r="A2155" t="str">
        <f>"20190303170540216"</f>
        <v>20190303170540216</v>
      </c>
      <c r="B2155" t="str">
        <f>"1551603940207192"</f>
        <v>1551603940207192</v>
      </c>
      <c r="C2155" t="s">
        <v>40</v>
      </c>
      <c r="D2155">
        <v>5.6048390000000001</v>
      </c>
      <c r="E2155">
        <v>0.48008220000000001</v>
      </c>
      <c r="F2155" t="s">
        <v>60</v>
      </c>
      <c r="G2155">
        <v>-456.7457</v>
      </c>
      <c r="H2155" s="1">
        <v>2.076212E-6</v>
      </c>
      <c r="I2155">
        <v>284.0838</v>
      </c>
      <c r="J2155">
        <v>-430.89159999999998</v>
      </c>
      <c r="K2155">
        <v>1.121181</v>
      </c>
      <c r="L2155">
        <v>284.84230000000002</v>
      </c>
      <c r="M2155">
        <v>-0.99988350000000004</v>
      </c>
      <c r="N2155">
        <v>-1.337846E-2</v>
      </c>
      <c r="O2155">
        <v>7.3535969999999999E-3</v>
      </c>
      <c r="P2155">
        <v>-0.97497650000000002</v>
      </c>
      <c r="Q2155">
        <v>0.21938669999999999</v>
      </c>
      <c r="R2155">
        <v>3.5925159999999998E-2</v>
      </c>
      <c r="S2155">
        <v>-3.109985</v>
      </c>
      <c r="T2155">
        <v>-0.13295940000000001</v>
      </c>
      <c r="U2155">
        <v>-8.9630130000000002E-2</v>
      </c>
      <c r="V2155">
        <v>2.8762650000000001E-2</v>
      </c>
      <c r="W2155">
        <v>0.23241310000000001</v>
      </c>
      <c r="X2155">
        <v>0.97219180000000005</v>
      </c>
      <c r="Y2155">
        <v>-3.6112119999999998E-2</v>
      </c>
      <c r="Z2155">
        <v>-1.2290459999999999E-3</v>
      </c>
      <c r="AA2155">
        <v>0.99934699999999999</v>
      </c>
      <c r="AB2155">
        <v>38</v>
      </c>
      <c r="AC2155">
        <v>-25.854099999999999</v>
      </c>
      <c r="AD2155">
        <v>-1.1211789237880001</v>
      </c>
      <c r="AE2155">
        <v>-0.75850000000002604</v>
      </c>
      <c r="AF2155">
        <v>-0.94683805963706702</v>
      </c>
      <c r="AG2155">
        <v>-1.1211789237880001</v>
      </c>
      <c r="AH2155">
        <v>25.799346706329299</v>
      </c>
      <c r="AI2155">
        <v>92.486702112828198</v>
      </c>
      <c r="AJ2155">
        <v>92.1018163248186</v>
      </c>
      <c r="AK2155">
        <v>25.8410494168428</v>
      </c>
      <c r="AL2155">
        <v>76.560817463164796</v>
      </c>
      <c r="AM2155">
        <v>88.305377721598504</v>
      </c>
      <c r="AN2155">
        <v>1.0000000175369299</v>
      </c>
    </row>
    <row r="2156" spans="1:40" x14ac:dyDescent="0.25">
      <c r="A2156" t="str">
        <f>"20190303170540239"</f>
        <v>20190303170540239</v>
      </c>
      <c r="B2156" t="str">
        <f>"1551603940226712"</f>
        <v>1551603940226712</v>
      </c>
      <c r="C2156" t="s">
        <v>40</v>
      </c>
      <c r="D2156">
        <v>5.6859979999999997</v>
      </c>
      <c r="E2156">
        <v>0.4796704</v>
      </c>
      <c r="F2156" t="s">
        <v>60</v>
      </c>
      <c r="G2156">
        <v>-456.64210000000003</v>
      </c>
      <c r="H2156" s="1">
        <v>2.0222069999999999E-6</v>
      </c>
      <c r="I2156">
        <v>284.0575</v>
      </c>
      <c r="J2156">
        <v>-431.27370000000002</v>
      </c>
      <c r="K2156">
        <v>1.1211679999999999</v>
      </c>
      <c r="L2156">
        <v>284.8451</v>
      </c>
      <c r="M2156">
        <v>-0.99988379999999999</v>
      </c>
      <c r="N2156">
        <v>-1.3363369999999999E-2</v>
      </c>
      <c r="O2156">
        <v>7.3533419999999997E-3</v>
      </c>
      <c r="P2156">
        <v>-0.97517619999999905</v>
      </c>
      <c r="Q2156">
        <v>0.21866569999999999</v>
      </c>
      <c r="R2156">
        <v>3.4883049999999999E-2</v>
      </c>
      <c r="S2156">
        <v>-3.1109619999999998</v>
      </c>
      <c r="T2156">
        <v>-0.13545179999999901</v>
      </c>
      <c r="U2156">
        <v>-9.4818120000000006E-2</v>
      </c>
      <c r="V2156">
        <v>2.7719210000000001E-2</v>
      </c>
      <c r="W2156">
        <v>0.23167979999999999</v>
      </c>
      <c r="X2156">
        <v>0.97239710000000001</v>
      </c>
      <c r="Y2156">
        <v>-3.7764249999999999E-2</v>
      </c>
      <c r="Z2156">
        <v>-1.2958399999999999E-3</v>
      </c>
      <c r="AA2156">
        <v>0.9992858</v>
      </c>
      <c r="AB2156">
        <v>38</v>
      </c>
      <c r="AC2156">
        <v>-25.368400000000001</v>
      </c>
      <c r="AD2156">
        <v>-1.1211659777930001</v>
      </c>
      <c r="AE2156">
        <v>-0.78759999999999697</v>
      </c>
      <c r="AF2156">
        <v>-0.97224067535442804</v>
      </c>
      <c r="AG2156">
        <v>-1.1211659777930001</v>
      </c>
      <c r="AH2156">
        <v>25.312528392278001</v>
      </c>
      <c r="AI2156">
        <v>92.534273875857295</v>
      </c>
      <c r="AJ2156">
        <v>92.199618977856701</v>
      </c>
      <c r="AK2156">
        <v>25.355992559757102</v>
      </c>
      <c r="AL2156">
        <v>76.604011242124997</v>
      </c>
      <c r="AM2156">
        <v>88.367165258187597</v>
      </c>
      <c r="AN2156">
        <v>1.00000000220973</v>
      </c>
    </row>
    <row r="2157" spans="1:40" x14ac:dyDescent="0.25">
      <c r="A2157" t="str">
        <f>"20190303170540261"</f>
        <v>20190303170540261</v>
      </c>
      <c r="B2157" t="str">
        <f>"1551603940247208"</f>
        <v>1551603940247208</v>
      </c>
      <c r="C2157" t="s">
        <v>40</v>
      </c>
      <c r="D2157">
        <v>5.6348690000000001</v>
      </c>
      <c r="E2157">
        <v>0.47900369999999998</v>
      </c>
      <c r="F2157" t="s">
        <v>60</v>
      </c>
      <c r="G2157">
        <v>-456.38869999999997</v>
      </c>
      <c r="H2157" s="1">
        <v>1.88873E-6</v>
      </c>
      <c r="I2157">
        <v>284.02699999999999</v>
      </c>
      <c r="J2157">
        <v>-431.649</v>
      </c>
      <c r="K2157">
        <v>1.121164</v>
      </c>
      <c r="L2157">
        <v>284.84789999999998</v>
      </c>
      <c r="M2157">
        <v>-0.99988390000000005</v>
      </c>
      <c r="N2157">
        <v>-1.334951E-2</v>
      </c>
      <c r="O2157">
        <v>7.3530779999999999E-3</v>
      </c>
      <c r="P2157">
        <v>-0.97525220000000001</v>
      </c>
      <c r="Q2157">
        <v>0.2186583</v>
      </c>
      <c r="R2157">
        <v>3.2743389999999997E-2</v>
      </c>
      <c r="S2157">
        <v>-3.1112060000000001</v>
      </c>
      <c r="T2157">
        <v>-0.1388884</v>
      </c>
      <c r="U2157">
        <v>-0.10134890000000001</v>
      </c>
      <c r="V2157">
        <v>2.557941E-2</v>
      </c>
      <c r="W2157">
        <v>0.2316598</v>
      </c>
      <c r="X2157">
        <v>0.97246049999999995</v>
      </c>
      <c r="Y2157">
        <v>-3.9851989999999997E-2</v>
      </c>
      <c r="Z2157">
        <v>-1.3850080000000001E-3</v>
      </c>
      <c r="AA2157">
        <v>0.9992046</v>
      </c>
      <c r="AB2157">
        <v>38</v>
      </c>
      <c r="AC2157">
        <v>-24.7396999999999</v>
      </c>
      <c r="AD2157">
        <v>-1.1211621112700001</v>
      </c>
      <c r="AE2157">
        <v>-0.82089999999999397</v>
      </c>
      <c r="AF2157">
        <v>-1.0007539108756101</v>
      </c>
      <c r="AG2157">
        <v>-1.1211621112700001</v>
      </c>
      <c r="AH2157">
        <v>24.682358693034899</v>
      </c>
      <c r="AI2157">
        <v>92.598661831881699</v>
      </c>
      <c r="AJ2157">
        <v>92.321803471854807</v>
      </c>
      <c r="AK2157">
        <v>24.728067929409999</v>
      </c>
      <c r="AL2157">
        <v>76.6051891283402</v>
      </c>
      <c r="AM2157">
        <v>88.493250506209193</v>
      </c>
      <c r="AN2157">
        <v>0.99999999660611805</v>
      </c>
    </row>
    <row r="2158" spans="1:40" x14ac:dyDescent="0.25">
      <c r="A2158" t="str">
        <f>"20190303170540284"</f>
        <v>20190303170540284</v>
      </c>
      <c r="B2158" t="str">
        <f>"1551603940276488"</f>
        <v>1551603940276488</v>
      </c>
      <c r="C2158" t="s">
        <v>40</v>
      </c>
      <c r="D2158">
        <v>5.6608539999999996</v>
      </c>
      <c r="E2158">
        <v>0.47919620000000002</v>
      </c>
      <c r="F2158" t="s">
        <v>60</v>
      </c>
      <c r="G2158">
        <v>-456.3279</v>
      </c>
      <c r="H2158" s="1">
        <v>1.8594820000000001E-6</v>
      </c>
      <c r="I2158">
        <v>283.95530000000002</v>
      </c>
      <c r="J2158">
        <v>-432.02460000000002</v>
      </c>
      <c r="K2158">
        <v>1.1211599999999999</v>
      </c>
      <c r="L2158">
        <v>284.85059999999999</v>
      </c>
      <c r="M2158">
        <v>-0.99988410000000005</v>
      </c>
      <c r="N2158">
        <v>-1.33367E-2</v>
      </c>
      <c r="O2158">
        <v>7.3530449999999999E-3</v>
      </c>
      <c r="P2158">
        <v>-0.97519670000000003</v>
      </c>
      <c r="Q2158">
        <v>0.2191755</v>
      </c>
      <c r="R2158">
        <v>3.0885220000000001E-2</v>
      </c>
      <c r="S2158">
        <v>-3.1116329999999999</v>
      </c>
      <c r="T2158">
        <v>-0.1413615</v>
      </c>
      <c r="U2158">
        <v>-0.1125488</v>
      </c>
      <c r="V2158">
        <v>2.3721860000000001E-2</v>
      </c>
      <c r="W2158">
        <v>0.23216400000000001</v>
      </c>
      <c r="X2158">
        <v>0.97238740000000001</v>
      </c>
      <c r="Y2158">
        <v>-4.3432930000000002E-2</v>
      </c>
      <c r="Z2158">
        <v>-1.5114519999999999E-3</v>
      </c>
      <c r="AA2158">
        <v>0.99905520000000003</v>
      </c>
      <c r="AB2158">
        <v>38</v>
      </c>
      <c r="AC2158">
        <v>-24.303299999999901</v>
      </c>
      <c r="AD2158">
        <v>-1.121158140518</v>
      </c>
      <c r="AE2158">
        <v>-0.89529999999996301</v>
      </c>
      <c r="AF2158">
        <v>-1.07171724294903</v>
      </c>
      <c r="AG2158">
        <v>-1.121158140518</v>
      </c>
      <c r="AH2158">
        <v>24.244532903255099</v>
      </c>
      <c r="AI2158">
        <v>92.645106103830599</v>
      </c>
      <c r="AJ2158">
        <v>92.531083033182398</v>
      </c>
      <c r="AK2158">
        <v>24.294092885347801</v>
      </c>
      <c r="AL2158">
        <v>76.575491693536506</v>
      </c>
      <c r="AM2158">
        <v>88.602518989876899</v>
      </c>
      <c r="AN2158">
        <v>1.0000000526082999</v>
      </c>
    </row>
    <row r="2159" spans="1:40" x14ac:dyDescent="0.25">
      <c r="A2159" t="str">
        <f>"20190303170540305"</f>
        <v>20190303170540305</v>
      </c>
      <c r="B2159" t="str">
        <f>"1551603940296984"</f>
        <v>1551603940296984</v>
      </c>
      <c r="C2159" t="s">
        <v>40</v>
      </c>
      <c r="D2159">
        <v>5.6813989999999999</v>
      </c>
      <c r="E2159">
        <v>0.47909609999999903</v>
      </c>
      <c r="F2159" t="s">
        <v>60</v>
      </c>
      <c r="G2159">
        <v>-456.9522</v>
      </c>
      <c r="H2159" s="1">
        <v>2.1932640000000001E-6</v>
      </c>
      <c r="I2159">
        <v>283.92</v>
      </c>
      <c r="J2159">
        <v>-432.38670000000002</v>
      </c>
      <c r="K2159">
        <v>1.121167</v>
      </c>
      <c r="L2159">
        <v>284.85329999999999</v>
      </c>
      <c r="M2159">
        <v>-0.99988410000000005</v>
      </c>
      <c r="N2159">
        <v>-1.332532E-2</v>
      </c>
      <c r="O2159">
        <v>7.3529429999999998E-3</v>
      </c>
      <c r="P2159">
        <v>-0.97514239999999996</v>
      </c>
      <c r="Q2159">
        <v>0.21962000000000001</v>
      </c>
      <c r="R2159">
        <v>2.940398E-2</v>
      </c>
      <c r="S2159">
        <v>-3.111389</v>
      </c>
      <c r="T2159">
        <v>-0.1399397</v>
      </c>
      <c r="U2159">
        <v>-0.1161499</v>
      </c>
      <c r="V2159">
        <v>2.2241190000000001E-2</v>
      </c>
      <c r="W2159">
        <v>0.2325962</v>
      </c>
      <c r="X2159">
        <v>0.97231909999999999</v>
      </c>
      <c r="Y2159">
        <v>-4.4589980000000001E-2</v>
      </c>
      <c r="Z2159">
        <v>-1.5318210000000001E-3</v>
      </c>
      <c r="AA2159">
        <v>0.99900420000000001</v>
      </c>
      <c r="AB2159">
        <v>38</v>
      </c>
      <c r="AC2159">
        <v>-24.565499999999901</v>
      </c>
      <c r="AD2159">
        <v>-1.1211648067360001</v>
      </c>
      <c r="AE2159">
        <v>-0.93329999999997404</v>
      </c>
      <c r="AF2159">
        <v>-1.11160740705073</v>
      </c>
      <c r="AG2159">
        <v>-1.1211648067360001</v>
      </c>
      <c r="AH2159">
        <v>24.5069983693792</v>
      </c>
      <c r="AI2159">
        <v>92.616697825958099</v>
      </c>
      <c r="AJ2159">
        <v>92.597086207993399</v>
      </c>
      <c r="AK2159">
        <v>24.5578022352984</v>
      </c>
      <c r="AL2159">
        <v>76.550031416986201</v>
      </c>
      <c r="AM2159">
        <v>88.689623468372702</v>
      </c>
      <c r="AN2159">
        <v>1.0000000475059301</v>
      </c>
    </row>
    <row r="2160" spans="1:40" x14ac:dyDescent="0.25">
      <c r="A2160" t="str">
        <f>"20190303170540328"</f>
        <v>20190303170540328</v>
      </c>
      <c r="B2160" t="str">
        <f>"1551603940316503"</f>
        <v>1551603940316503</v>
      </c>
      <c r="C2160" t="s">
        <v>40</v>
      </c>
      <c r="D2160">
        <v>5.6112270000000004</v>
      </c>
      <c r="E2160">
        <v>0.47942299999999899</v>
      </c>
      <c r="F2160" t="s">
        <v>60</v>
      </c>
      <c r="G2160">
        <v>-457.23660000000001</v>
      </c>
      <c r="H2160" s="1">
        <v>2.3461529999999998E-6</v>
      </c>
      <c r="I2160">
        <v>283.8845</v>
      </c>
      <c r="J2160">
        <v>-432.76179999999999</v>
      </c>
      <c r="K2160">
        <v>1.1211709999999999</v>
      </c>
      <c r="L2160">
        <v>284.85599999999999</v>
      </c>
      <c r="M2160">
        <v>-0.99988440000000001</v>
      </c>
      <c r="N2160">
        <v>-1.331449E-2</v>
      </c>
      <c r="O2160">
        <v>7.3524790000000003E-3</v>
      </c>
      <c r="P2160">
        <v>-0.97492800000000002</v>
      </c>
      <c r="Q2160">
        <v>0.22072810000000001</v>
      </c>
      <c r="R2160">
        <v>2.819296E-2</v>
      </c>
      <c r="S2160">
        <v>-3.1117249999999999</v>
      </c>
      <c r="T2160">
        <v>-0.14039309999999999</v>
      </c>
      <c r="U2160">
        <v>-0.121307399999999</v>
      </c>
      <c r="V2160">
        <v>2.103205E-2</v>
      </c>
      <c r="W2160">
        <v>0.23369100000000001</v>
      </c>
      <c r="X2160">
        <v>0.97208340000000004</v>
      </c>
      <c r="Y2160">
        <v>-4.6236310000000003E-2</v>
      </c>
      <c r="Z2160">
        <v>-1.58386299999999E-3</v>
      </c>
      <c r="AA2160">
        <v>0.99892930000000002</v>
      </c>
      <c r="AB2160">
        <v>38</v>
      </c>
      <c r="AC2160">
        <v>-24.474799999999998</v>
      </c>
      <c r="AD2160">
        <v>-1.12116865384699</v>
      </c>
      <c r="AE2160">
        <v>-0.97149999999999104</v>
      </c>
      <c r="AF2160">
        <v>-1.14903270600675</v>
      </c>
      <c r="AG2160">
        <v>-1.12116865384699</v>
      </c>
      <c r="AH2160">
        <v>24.415839363670301</v>
      </c>
      <c r="AI2160">
        <v>92.626257022519596</v>
      </c>
      <c r="AJ2160">
        <v>92.694406117161407</v>
      </c>
      <c r="AK2160">
        <v>24.468561607548502</v>
      </c>
      <c r="AL2160">
        <v>76.485525507471806</v>
      </c>
      <c r="AM2160">
        <v>88.760538738640093</v>
      </c>
      <c r="AN2160">
        <v>0.99999998358188102</v>
      </c>
    </row>
    <row r="2161" spans="1:40" x14ac:dyDescent="0.25">
      <c r="A2161" t="str">
        <f>"20190303170540341"</f>
        <v>20190303170540341</v>
      </c>
      <c r="B2161" t="str">
        <f>"1551603940336999"</f>
        <v>1551603940336999</v>
      </c>
      <c r="C2161" t="s">
        <v>40</v>
      </c>
      <c r="D2161">
        <v>5.5940599999999998</v>
      </c>
      <c r="E2161">
        <v>0.47941859999999997</v>
      </c>
      <c r="F2161" t="s">
        <v>60</v>
      </c>
      <c r="G2161">
        <v>-458.2876</v>
      </c>
      <c r="H2161" s="1">
        <v>2.9067169999999999E-6</v>
      </c>
      <c r="I2161">
        <v>283.85590000000002</v>
      </c>
      <c r="J2161">
        <v>-433.00310000000002</v>
      </c>
      <c r="K2161">
        <v>1.121176</v>
      </c>
      <c r="L2161">
        <v>284.8578</v>
      </c>
      <c r="M2161">
        <v>-0.99988440000000001</v>
      </c>
      <c r="N2161">
        <v>-1.3307980000000001E-2</v>
      </c>
      <c r="O2161">
        <v>7.3525229999999997E-3</v>
      </c>
      <c r="P2161">
        <v>-0.97484990000000005</v>
      </c>
      <c r="Q2161">
        <v>0.22113830000000001</v>
      </c>
      <c r="R2161">
        <v>2.7660259999999999E-2</v>
      </c>
      <c r="S2161">
        <v>-3.1116640000000002</v>
      </c>
      <c r="T2161">
        <v>-0.1366733</v>
      </c>
      <c r="U2161">
        <v>-0.1219177</v>
      </c>
      <c r="V2161">
        <v>2.0499880000000002E-2</v>
      </c>
      <c r="W2161">
        <v>0.23409389999999999</v>
      </c>
      <c r="X2161">
        <v>0.97199789999999997</v>
      </c>
      <c r="Y2161">
        <v>-4.64356E-2</v>
      </c>
      <c r="Z2161">
        <v>-1.553116E-3</v>
      </c>
      <c r="AA2161">
        <v>0.99892009999999998</v>
      </c>
      <c r="AB2161">
        <v>38</v>
      </c>
      <c r="AC2161">
        <v>-25.284499999999898</v>
      </c>
      <c r="AD2161">
        <v>-1.121173093283</v>
      </c>
      <c r="AE2161">
        <v>-1.00189999999997</v>
      </c>
      <c r="AF2161">
        <v>-1.1854669892179699</v>
      </c>
      <c r="AG2161">
        <v>-1.121173093283</v>
      </c>
      <c r="AH2161">
        <v>25.226924853737099</v>
      </c>
      <c r="AI2161">
        <v>92.541949549679501</v>
      </c>
      <c r="AJ2161">
        <v>92.690471592921099</v>
      </c>
      <c r="AK2161">
        <v>25.279638024776499</v>
      </c>
      <c r="AL2161">
        <v>76.461783495576697</v>
      </c>
      <c r="AM2161">
        <v>88.791784940578694</v>
      </c>
      <c r="AN2161">
        <v>1.00000005835081</v>
      </c>
    </row>
    <row r="2162" spans="1:40" x14ac:dyDescent="0.25">
      <c r="A2162" t="str">
        <f>"20190303170540362"</f>
        <v>20190303170540362</v>
      </c>
      <c r="B2162" t="str">
        <f>"1551603940356520"</f>
        <v>1551603940356520</v>
      </c>
      <c r="C2162" t="s">
        <v>40</v>
      </c>
      <c r="D2162">
        <v>5.606789</v>
      </c>
      <c r="E2162">
        <v>0.47973310000000002</v>
      </c>
      <c r="F2162" t="s">
        <v>60</v>
      </c>
      <c r="G2162">
        <v>-458.50209999999998</v>
      </c>
      <c r="H2162" s="1">
        <v>3.0212239999999998E-6</v>
      </c>
      <c r="I2162">
        <v>283.8476</v>
      </c>
      <c r="J2162">
        <v>-433.33800000000002</v>
      </c>
      <c r="K2162">
        <v>1.121178</v>
      </c>
      <c r="L2162">
        <v>284.8603</v>
      </c>
      <c r="M2162">
        <v>-0.99988449999999995</v>
      </c>
      <c r="N2162">
        <v>-1.3299679999999999E-2</v>
      </c>
      <c r="O2162">
        <v>7.3522800000000001E-3</v>
      </c>
      <c r="P2162">
        <v>-0.97472729999999996</v>
      </c>
      <c r="Q2162">
        <v>0.221749</v>
      </c>
      <c r="R2162">
        <v>2.709686E-2</v>
      </c>
      <c r="S2162">
        <v>-3.1119379999999999</v>
      </c>
      <c r="T2162">
        <v>-0.13682929999999999</v>
      </c>
      <c r="U2162">
        <v>-0.123291</v>
      </c>
      <c r="V2162">
        <v>1.9937860000000002E-2</v>
      </c>
      <c r="W2162">
        <v>0.23469419999999999</v>
      </c>
      <c r="X2162">
        <v>0.97186479999999997</v>
      </c>
      <c r="Y2162">
        <v>-4.6871379999999997E-2</v>
      </c>
      <c r="Z2162">
        <v>-1.56685299999999E-3</v>
      </c>
      <c r="AA2162">
        <v>0.99889969999999995</v>
      </c>
      <c r="AB2162">
        <v>38</v>
      </c>
      <c r="AC2162">
        <v>-25.164099999999902</v>
      </c>
      <c r="AD2162">
        <v>-1.1211749787759999</v>
      </c>
      <c r="AE2162">
        <v>-1.0126999999999899</v>
      </c>
      <c r="AF2162">
        <v>-1.19533347369794</v>
      </c>
      <c r="AG2162">
        <v>-1.1211749787759999</v>
      </c>
      <c r="AH2162">
        <v>25.106215476510201</v>
      </c>
      <c r="AI2162">
        <v>92.554084744994398</v>
      </c>
      <c r="AJ2162">
        <v>92.725854240852797</v>
      </c>
      <c r="AK2162">
        <v>25.159648467324299</v>
      </c>
      <c r="AL2162">
        <v>76.426402918173295</v>
      </c>
      <c r="AM2162">
        <v>88.8247387795912</v>
      </c>
      <c r="AN2162">
        <v>1.0000000376270199</v>
      </c>
    </row>
    <row r="2163" spans="1:40" x14ac:dyDescent="0.25">
      <c r="A2163" t="str">
        <f>"20190303170540384"</f>
        <v>20190303170540384</v>
      </c>
      <c r="B2163" t="str">
        <f>"1551603940377016"</f>
        <v>1551603940377016</v>
      </c>
      <c r="C2163" t="s">
        <v>40</v>
      </c>
      <c r="D2163">
        <v>5.6243819999999998</v>
      </c>
      <c r="E2163">
        <v>0.48005110000000001</v>
      </c>
      <c r="F2163" t="s">
        <v>60</v>
      </c>
      <c r="G2163">
        <v>-459.15870000000001</v>
      </c>
      <c r="H2163" s="1">
        <v>3.3706150000000002E-6</v>
      </c>
      <c r="I2163">
        <v>283.84789999999998</v>
      </c>
      <c r="J2163">
        <v>-433.70839999999998</v>
      </c>
      <c r="K2163">
        <v>1.121186</v>
      </c>
      <c r="L2163">
        <v>284.863</v>
      </c>
      <c r="M2163">
        <v>-0.99988460000000001</v>
      </c>
      <c r="N2163">
        <v>-1.329148E-2</v>
      </c>
      <c r="O2163">
        <v>7.3521559999999899E-3</v>
      </c>
      <c r="P2163">
        <v>-0.97457859999999996</v>
      </c>
      <c r="Q2163">
        <v>0.22251029999999999</v>
      </c>
      <c r="R2163">
        <v>2.618643E-2</v>
      </c>
      <c r="S2163">
        <v>-3.1119080000000001</v>
      </c>
      <c r="T2163">
        <v>-0.13512399999999999</v>
      </c>
      <c r="U2163">
        <v>-0.1220093</v>
      </c>
      <c r="V2163">
        <v>1.9028659999999999E-2</v>
      </c>
      <c r="W2163">
        <v>0.2354455</v>
      </c>
      <c r="X2163">
        <v>0.97170129999999999</v>
      </c>
      <c r="Y2163">
        <v>-4.646277E-2</v>
      </c>
      <c r="Z2163">
        <v>-1.5383090000000001E-3</v>
      </c>
      <c r="AA2163">
        <v>0.9989188</v>
      </c>
      <c r="AB2163">
        <v>38</v>
      </c>
      <c r="AC2163">
        <v>-25.450299999999999</v>
      </c>
      <c r="AD2163">
        <v>-1.121182629385</v>
      </c>
      <c r="AE2163">
        <v>-1.0151000000000101</v>
      </c>
      <c r="AF2163">
        <v>-1.19987872066737</v>
      </c>
      <c r="AG2163">
        <v>-1.121182629385</v>
      </c>
      <c r="AH2163">
        <v>25.392945408877601</v>
      </c>
      <c r="AI2163">
        <v>92.525342304774995</v>
      </c>
      <c r="AJ2163">
        <v>92.705353288840598</v>
      </c>
      <c r="AK2163">
        <v>25.445990567690298</v>
      </c>
      <c r="AL2163">
        <v>76.382115702456602</v>
      </c>
      <c r="AM2163">
        <v>88.878129963709299</v>
      </c>
      <c r="AN2163">
        <v>1.0000000448966599</v>
      </c>
    </row>
    <row r="2164" spans="1:40" x14ac:dyDescent="0.25">
      <c r="A2164" t="str">
        <f>"20190303170540405"</f>
        <v>20190303170540405</v>
      </c>
      <c r="B2164" t="str">
        <f>"1551603940396536"</f>
        <v>1551603940396536</v>
      </c>
      <c r="C2164" t="s">
        <v>40</v>
      </c>
      <c r="D2164">
        <v>5.6608499999999999</v>
      </c>
      <c r="E2164">
        <v>0.48046070000000002</v>
      </c>
      <c r="F2164" t="s">
        <v>60</v>
      </c>
      <c r="G2164">
        <v>-459.89530000000002</v>
      </c>
      <c r="H2164" s="1">
        <v>3.7632630000000001E-6</v>
      </c>
      <c r="I2164">
        <v>283.8322</v>
      </c>
      <c r="J2164">
        <v>-434.07159999999999</v>
      </c>
      <c r="K2164">
        <v>1.1211899999999999</v>
      </c>
      <c r="L2164">
        <v>284.8657</v>
      </c>
      <c r="M2164">
        <v>-0.99988480000000002</v>
      </c>
      <c r="N2164">
        <v>-1.328411E-2</v>
      </c>
      <c r="O2164">
        <v>7.3518469999999999E-3</v>
      </c>
      <c r="P2164">
        <v>-0.97461929999999997</v>
      </c>
      <c r="Q2164">
        <v>0.22243569999999999</v>
      </c>
      <c r="R2164">
        <v>2.529238E-2</v>
      </c>
      <c r="S2164">
        <v>-3.1120000000000001</v>
      </c>
      <c r="T2164">
        <v>-0.1332392</v>
      </c>
      <c r="U2164">
        <v>-0.1224976</v>
      </c>
      <c r="V2164">
        <v>1.8134580000000001E-2</v>
      </c>
      <c r="W2164">
        <v>0.2353644</v>
      </c>
      <c r="X2164">
        <v>0.97173799999999999</v>
      </c>
      <c r="Y2164">
        <v>-4.661916E-2</v>
      </c>
      <c r="Z2164">
        <v>-1.52403E-3</v>
      </c>
      <c r="AA2164">
        <v>0.99891160000000001</v>
      </c>
      <c r="AB2164">
        <v>38</v>
      </c>
      <c r="AC2164">
        <v>-25.823699999999999</v>
      </c>
      <c r="AD2164">
        <v>-1.121186236737</v>
      </c>
      <c r="AE2164">
        <v>-1.0335000000000001</v>
      </c>
      <c r="AF2164">
        <v>-1.22104267412112</v>
      </c>
      <c r="AG2164">
        <v>-1.121186236737</v>
      </c>
      <c r="AH2164">
        <v>25.766909423162499</v>
      </c>
      <c r="AI2164">
        <v>92.4887296531072</v>
      </c>
      <c r="AJ2164">
        <v>92.713103567787797</v>
      </c>
      <c r="AK2164">
        <v>25.820178640182402</v>
      </c>
      <c r="AL2164">
        <v>76.386896157671998</v>
      </c>
      <c r="AM2164">
        <v>88.930869945681494</v>
      </c>
      <c r="AN2164">
        <v>1.00000000221156</v>
      </c>
    </row>
    <row r="2165" spans="1:40" x14ac:dyDescent="0.25">
      <c r="A2165" t="str">
        <f>"20190303170540429"</f>
        <v>20190303170540429</v>
      </c>
      <c r="B2165" t="str">
        <f>"1551603940417032"</f>
        <v>1551603940417032</v>
      </c>
      <c r="C2165" t="s">
        <v>40</v>
      </c>
      <c r="D2165">
        <v>5.5935899999999998</v>
      </c>
      <c r="E2165">
        <v>0.48075820000000002</v>
      </c>
      <c r="F2165" t="s">
        <v>60</v>
      </c>
      <c r="G2165">
        <v>-460.17779999999999</v>
      </c>
      <c r="H2165" s="1">
        <v>-1.4083590000000001E-6</v>
      </c>
      <c r="I2165">
        <v>283.8424</v>
      </c>
      <c r="J2165">
        <v>-434.46249999999998</v>
      </c>
      <c r="K2165">
        <v>1.121192</v>
      </c>
      <c r="L2165">
        <v>284.86860000000001</v>
      </c>
      <c r="M2165">
        <v>-0.99988489999999997</v>
      </c>
      <c r="N2165">
        <v>-1.327689E-2</v>
      </c>
      <c r="O2165">
        <v>7.3515969999999996E-3</v>
      </c>
      <c r="P2165">
        <v>-0.97459499999999999</v>
      </c>
      <c r="Q2165">
        <v>0.22266749999999999</v>
      </c>
      <c r="R2165">
        <v>2.4166650000000001E-2</v>
      </c>
      <c r="S2165">
        <v>-3.1118160000000001</v>
      </c>
      <c r="T2165">
        <v>-0.13364409999999999</v>
      </c>
      <c r="U2165">
        <v>-0.1219788</v>
      </c>
      <c r="V2165">
        <v>1.7009369999999999E-2</v>
      </c>
      <c r="W2165">
        <v>0.2355892</v>
      </c>
      <c r="X2165">
        <v>0.97170389999999995</v>
      </c>
      <c r="Y2165">
        <v>-4.6454799999999997E-2</v>
      </c>
      <c r="Z2165">
        <v>-1.5233530000000001E-3</v>
      </c>
      <c r="AA2165">
        <v>0.99891920000000001</v>
      </c>
      <c r="AB2165">
        <v>37</v>
      </c>
      <c r="AC2165">
        <v>-25.715299999999999</v>
      </c>
      <c r="AD2165">
        <v>-1.1211934083589901</v>
      </c>
      <c r="AE2165">
        <v>-1.02620000000001</v>
      </c>
      <c r="AF2165">
        <v>-1.21293533638107</v>
      </c>
      <c r="AG2165">
        <v>-1.1211934083589901</v>
      </c>
      <c r="AH2165">
        <v>25.6583615735662</v>
      </c>
      <c r="AI2165">
        <v>92.4992744969814</v>
      </c>
      <c r="AJ2165">
        <v>92.706500852847398</v>
      </c>
      <c r="AK2165">
        <v>25.711472253238298</v>
      </c>
      <c r="AL2165">
        <v>76.3736437781576</v>
      </c>
      <c r="AM2165">
        <v>88.997157887963397</v>
      </c>
      <c r="AN2165">
        <v>1.0000000295498199</v>
      </c>
    </row>
    <row r="2166" spans="1:40" x14ac:dyDescent="0.25">
      <c r="A2166" t="str">
        <f>"20190303170540455"</f>
        <v>20190303170540455</v>
      </c>
      <c r="B2166" t="str">
        <f>"1551603940447288"</f>
        <v>1551603940447288</v>
      </c>
      <c r="C2166" t="s">
        <v>40</v>
      </c>
      <c r="D2166">
        <v>5.7023330000000003</v>
      </c>
      <c r="E2166">
        <v>0.48081869999999999</v>
      </c>
      <c r="F2166" t="s">
        <v>60</v>
      </c>
      <c r="G2166">
        <v>-460.56849999999997</v>
      </c>
      <c r="H2166" s="1">
        <v>-1.200277E-6</v>
      </c>
      <c r="I2166">
        <v>283.83940000000001</v>
      </c>
      <c r="J2166">
        <v>-434.88069999999999</v>
      </c>
      <c r="K2166">
        <v>1.121191</v>
      </c>
      <c r="L2166">
        <v>284.8716</v>
      </c>
      <c r="M2166">
        <v>-0.99988489999999997</v>
      </c>
      <c r="N2166">
        <v>-1.3269939999999999E-2</v>
      </c>
      <c r="O2166">
        <v>7.3512859999999899E-3</v>
      </c>
      <c r="P2166">
        <v>-0.97437229999999997</v>
      </c>
      <c r="Q2166">
        <v>0.22369530000000001</v>
      </c>
      <c r="R2166">
        <v>2.3644769999999999E-2</v>
      </c>
      <c r="S2166">
        <v>-3.1117859999999999</v>
      </c>
      <c r="T2166">
        <v>-0.13364389999999901</v>
      </c>
      <c r="U2166">
        <v>-0.1226807</v>
      </c>
      <c r="V2166">
        <v>1.6489429999999999E-2</v>
      </c>
      <c r="W2166">
        <v>0.23660709999999999</v>
      </c>
      <c r="X2166">
        <v>0.97146549999999998</v>
      </c>
      <c r="Y2166">
        <v>-4.667959E-2</v>
      </c>
      <c r="Z2166">
        <v>-1.5295549999999999E-3</v>
      </c>
      <c r="AA2166">
        <v>0.99890880000000004</v>
      </c>
      <c r="AB2166">
        <v>37</v>
      </c>
      <c r="AC2166">
        <v>-25.6877999999999</v>
      </c>
      <c r="AD2166">
        <v>-1.1211922002770001</v>
      </c>
      <c r="AE2166">
        <v>-1.03219999999998</v>
      </c>
      <c r="AF2166">
        <v>-1.2187091432972399</v>
      </c>
      <c r="AG2166">
        <v>-1.1211922002770001</v>
      </c>
      <c r="AH2166">
        <v>25.6307679250855</v>
      </c>
      <c r="AI2166">
        <v>92.501926420724402</v>
      </c>
      <c r="AJ2166">
        <v>92.722288247702295</v>
      </c>
      <c r="AK2166">
        <v>25.6842089299147</v>
      </c>
      <c r="AL2166">
        <v>76.313625501086193</v>
      </c>
      <c r="AM2166">
        <v>89.027568113722495</v>
      </c>
      <c r="AN2166">
        <v>1.00000001938119</v>
      </c>
    </row>
    <row r="2167" spans="1:40" x14ac:dyDescent="0.25">
      <c r="A2167" t="str">
        <f>"20190303170540473"</f>
        <v>20190303170540473</v>
      </c>
      <c r="B2167" t="str">
        <f>"1551603940466808"</f>
        <v>1551603940466808</v>
      </c>
      <c r="C2167" t="s">
        <v>40</v>
      </c>
      <c r="D2167">
        <v>5.6550960000000003</v>
      </c>
      <c r="E2167">
        <v>0.48086040000000002</v>
      </c>
      <c r="F2167" t="s">
        <v>60</v>
      </c>
      <c r="G2167">
        <v>-461.39109999999999</v>
      </c>
      <c r="H2167" s="1">
        <v>-7.6150479999999998E-7</v>
      </c>
      <c r="I2167">
        <v>283.8159</v>
      </c>
      <c r="J2167">
        <v>-435.2045</v>
      </c>
      <c r="K2167">
        <v>1.121194</v>
      </c>
      <c r="L2167">
        <v>284.87400000000002</v>
      </c>
      <c r="M2167">
        <v>-0.99988509999999997</v>
      </c>
      <c r="N2167">
        <v>-1.32651E-2</v>
      </c>
      <c r="O2167">
        <v>7.3509600000000001E-3</v>
      </c>
      <c r="P2167">
        <v>-0.97425879999999998</v>
      </c>
      <c r="Q2167">
        <v>0.22423960000000001</v>
      </c>
      <c r="R2167">
        <v>2.316348E-2</v>
      </c>
      <c r="S2167">
        <v>-3.1120909999999999</v>
      </c>
      <c r="T2167">
        <v>-0.13161800000000001</v>
      </c>
      <c r="U2167">
        <v>-0.1239319</v>
      </c>
      <c r="V2167">
        <v>1.6009300000000001E-2</v>
      </c>
      <c r="W2167">
        <v>0.23714450000000001</v>
      </c>
      <c r="X2167">
        <v>0.97134240000000005</v>
      </c>
      <c r="Y2167">
        <v>-4.7077559999999997E-2</v>
      </c>
      <c r="Z2167">
        <v>-1.5204330000000001E-3</v>
      </c>
      <c r="AA2167">
        <v>0.9988901</v>
      </c>
      <c r="AB2167">
        <v>37</v>
      </c>
      <c r="AC2167">
        <v>-26.186599999999999</v>
      </c>
      <c r="AD2167">
        <v>-1.1211947615047999</v>
      </c>
      <c r="AE2167">
        <v>-1.05810000000002</v>
      </c>
      <c r="AF2167">
        <v>-1.24830035074076</v>
      </c>
      <c r="AG2167">
        <v>-1.1211947615047999</v>
      </c>
      <c r="AH2167">
        <v>26.130290302148001</v>
      </c>
      <c r="AI2167">
        <v>92.454136685447097</v>
      </c>
      <c r="AJ2167">
        <v>92.735063647857501</v>
      </c>
      <c r="AK2167">
        <v>26.184105918159801</v>
      </c>
      <c r="AL2167">
        <v>76.281931589440603</v>
      </c>
      <c r="AM2167">
        <v>89.055758010793596</v>
      </c>
      <c r="AN2167">
        <v>0.99999993480224703</v>
      </c>
    </row>
    <row r="2168" spans="1:40" x14ac:dyDescent="0.25">
      <c r="A2168" t="str">
        <f>"20190303170540495"</f>
        <v>20190303170540495</v>
      </c>
      <c r="B2168" t="str">
        <f>"1551603940487305"</f>
        <v>1551603940487305</v>
      </c>
      <c r="C2168" t="s">
        <v>40</v>
      </c>
      <c r="D2168">
        <v>5.6104979999999998</v>
      </c>
      <c r="E2168">
        <v>0.48089890000000002</v>
      </c>
      <c r="F2168" t="s">
        <v>60</v>
      </c>
      <c r="G2168">
        <v>-461.81959999999998</v>
      </c>
      <c r="H2168" s="1">
        <v>-5.328948E-7</v>
      </c>
      <c r="I2168">
        <v>283.80189999999999</v>
      </c>
      <c r="J2168">
        <v>-435.5659</v>
      </c>
      <c r="K2168">
        <v>1.1212</v>
      </c>
      <c r="L2168">
        <v>284.87670000000003</v>
      </c>
      <c r="M2168">
        <v>-0.99988509999999997</v>
      </c>
      <c r="N2168">
        <v>-1.326012E-2</v>
      </c>
      <c r="O2168">
        <v>7.350695E-3</v>
      </c>
      <c r="P2168">
        <v>-0.97406470000000001</v>
      </c>
      <c r="Q2168">
        <v>0.22516739999999999</v>
      </c>
      <c r="R2168">
        <v>2.2315140000000001E-2</v>
      </c>
      <c r="S2168">
        <v>-3.1124269999999998</v>
      </c>
      <c r="T2168">
        <v>-0.1311147</v>
      </c>
      <c r="U2168">
        <v>-0.12536620000000001</v>
      </c>
      <c r="V2168">
        <v>1.5162790000000001E-2</v>
      </c>
      <c r="W2168">
        <v>0.23806530000000001</v>
      </c>
      <c r="X2168">
        <v>0.97113079999999996</v>
      </c>
      <c r="Y2168">
        <v>-4.7532489999999997E-2</v>
      </c>
      <c r="Z2168">
        <v>-1.527802E-3</v>
      </c>
      <c r="AA2168">
        <v>0.99886850000000005</v>
      </c>
      <c r="AB2168">
        <v>37</v>
      </c>
      <c r="AC2168">
        <v>-26.253699999999899</v>
      </c>
      <c r="AD2168">
        <v>-1.1212005328948</v>
      </c>
      <c r="AE2168">
        <v>-1.07480000000003</v>
      </c>
      <c r="AF2168">
        <v>-1.2654667188508399</v>
      </c>
      <c r="AG2168">
        <v>-1.1212005328948</v>
      </c>
      <c r="AH2168">
        <v>26.197389592866099</v>
      </c>
      <c r="AI2168">
        <v>92.447808708722903</v>
      </c>
      <c r="AJ2168">
        <v>92.7655269266358</v>
      </c>
      <c r="AK2168">
        <v>26.251889801153201</v>
      </c>
      <c r="AL2168">
        <v>76.227619308551297</v>
      </c>
      <c r="AM2168">
        <v>89.105482715150799</v>
      </c>
      <c r="AN2168">
        <v>1.0000000139866501</v>
      </c>
    </row>
    <row r="2169" spans="1:40" x14ac:dyDescent="0.25">
      <c r="A2169" t="str">
        <f>"20190303170540517"</f>
        <v>20190303170540517</v>
      </c>
      <c r="B2169" t="str">
        <f>"1551603940506825"</f>
        <v>1551603940506825</v>
      </c>
      <c r="C2169" t="s">
        <v>40</v>
      </c>
      <c r="D2169">
        <v>5.6325070000000004</v>
      </c>
      <c r="E2169">
        <v>0.48114760000000001</v>
      </c>
      <c r="F2169" t="s">
        <v>60</v>
      </c>
      <c r="G2169">
        <v>-462.59440000000001</v>
      </c>
      <c r="H2169" s="1">
        <v>-1.19161E-7</v>
      </c>
      <c r="I2169">
        <v>283.76979999999998</v>
      </c>
      <c r="J2169">
        <v>-435.94260000000003</v>
      </c>
      <c r="K2169">
        <v>1.1212009999999999</v>
      </c>
      <c r="L2169">
        <v>284.87950000000001</v>
      </c>
      <c r="M2169">
        <v>-0.99988509999999997</v>
      </c>
      <c r="N2169">
        <v>-1.325542E-2</v>
      </c>
      <c r="O2169">
        <v>7.3507269999999996E-3</v>
      </c>
      <c r="P2169">
        <v>-0.97395109999999996</v>
      </c>
      <c r="Q2169">
        <v>0.2257654</v>
      </c>
      <c r="R2169">
        <v>2.119474E-2</v>
      </c>
      <c r="S2169">
        <v>-3.1126399999999999</v>
      </c>
      <c r="T2169">
        <v>-0.12911889999999901</v>
      </c>
      <c r="U2169">
        <v>-0.1274719</v>
      </c>
      <c r="V2169">
        <v>1.404325E-2</v>
      </c>
      <c r="W2169">
        <v>0.2386567</v>
      </c>
      <c r="X2169">
        <v>0.97100249999999999</v>
      </c>
      <c r="Y2169">
        <v>-4.820522E-2</v>
      </c>
      <c r="Z2169">
        <v>-1.5261039999999999E-3</v>
      </c>
      <c r="AA2169">
        <v>0.99883630000000001</v>
      </c>
      <c r="AB2169">
        <v>37</v>
      </c>
      <c r="AC2169">
        <v>-26.651799999999898</v>
      </c>
      <c r="AD2169">
        <v>-1.1212011191609901</v>
      </c>
      <c r="AE2169">
        <v>-1.1097000000000301</v>
      </c>
      <c r="AF2169">
        <v>-1.30329481304246</v>
      </c>
      <c r="AG2169">
        <v>-1.1212011191609901</v>
      </c>
      <c r="AH2169">
        <v>26.5959350859683</v>
      </c>
      <c r="AI2169">
        <v>92.411091029206304</v>
      </c>
      <c r="AJ2169">
        <v>92.805451503548895</v>
      </c>
      <c r="AK2169">
        <v>26.6514433458368</v>
      </c>
      <c r="AL2169">
        <v>76.192729350736897</v>
      </c>
      <c r="AM2169">
        <v>89.171410101831896</v>
      </c>
      <c r="AN2169">
        <v>1.0000000441658501</v>
      </c>
    </row>
    <row r="2170" spans="1:40" x14ac:dyDescent="0.25">
      <c r="A2170" t="str">
        <f>"20190303170540540"</f>
        <v>20190303170540540</v>
      </c>
      <c r="B2170" t="str">
        <f>"1551603940527319"</f>
        <v>1551603940527319</v>
      </c>
      <c r="C2170" t="s">
        <v>40</v>
      </c>
      <c r="D2170">
        <v>5.6013929999999998</v>
      </c>
      <c r="E2170">
        <v>0.48137970000000002</v>
      </c>
      <c r="F2170" t="s">
        <v>60</v>
      </c>
      <c r="G2170">
        <v>-463.13560000000001</v>
      </c>
      <c r="H2170" s="1">
        <v>1.6935269999999999E-7</v>
      </c>
      <c r="I2170">
        <v>283.75810000000001</v>
      </c>
      <c r="J2170">
        <v>-436.31009999999998</v>
      </c>
      <c r="K2170">
        <v>1.1212059999999999</v>
      </c>
      <c r="L2170">
        <v>284.88209999999998</v>
      </c>
      <c r="M2170">
        <v>-0.99988509999999997</v>
      </c>
      <c r="N2170">
        <v>-1.3251270000000001E-2</v>
      </c>
      <c r="O2170">
        <v>7.3505749999999998E-3</v>
      </c>
      <c r="P2170">
        <v>-0.97391399999999995</v>
      </c>
      <c r="Q2170">
        <v>0.22601769999999999</v>
      </c>
      <c r="R2170">
        <v>2.019222E-2</v>
      </c>
      <c r="S2170">
        <v>-3.112762</v>
      </c>
      <c r="T2170">
        <v>-0.1283426</v>
      </c>
      <c r="U2170">
        <v>-0.1283569</v>
      </c>
      <c r="V2170">
        <v>1.3041250000000001E-2</v>
      </c>
      <c r="W2170">
        <v>0.23890449999999999</v>
      </c>
      <c r="X2170">
        <v>0.97095549999999997</v>
      </c>
      <c r="Y2170">
        <v>-4.8487290000000002E-2</v>
      </c>
      <c r="Z2170">
        <v>-1.525822E-3</v>
      </c>
      <c r="AA2170">
        <v>0.9988226</v>
      </c>
      <c r="AB2170">
        <v>37</v>
      </c>
      <c r="AC2170">
        <v>-26.825500000000002</v>
      </c>
      <c r="AD2170">
        <v>-1.1212058306472901</v>
      </c>
      <c r="AE2170">
        <v>-1.1239999999999599</v>
      </c>
      <c r="AF2170">
        <v>-1.3188698757734501</v>
      </c>
      <c r="AG2170">
        <v>-1.1212058306472901</v>
      </c>
      <c r="AH2170">
        <v>26.769829376930701</v>
      </c>
      <c r="AI2170">
        <v>92.395426265149695</v>
      </c>
      <c r="AJ2170">
        <v>92.820512105481896</v>
      </c>
      <c r="AK2170">
        <v>26.825739228097301</v>
      </c>
      <c r="AL2170">
        <v>76.178108027972499</v>
      </c>
      <c r="AM2170">
        <v>89.230486199462007</v>
      </c>
      <c r="AN2170">
        <v>1.0000000086510299</v>
      </c>
    </row>
    <row r="2171" spans="1:40" x14ac:dyDescent="0.25">
      <c r="A2171" t="str">
        <f>"20190303170540562"</f>
        <v>20190303170540562</v>
      </c>
      <c r="B2171" t="str">
        <f>"1551603940556600"</f>
        <v>1551603940556600</v>
      </c>
      <c r="C2171" t="s">
        <v>40</v>
      </c>
      <c r="D2171">
        <v>5.6809710000000004</v>
      </c>
      <c r="E2171">
        <v>0.48166910000000002</v>
      </c>
      <c r="F2171" t="s">
        <v>60</v>
      </c>
      <c r="G2171">
        <v>-463.51389999999998</v>
      </c>
      <c r="H2171" s="1">
        <v>3.7077290000000002E-7</v>
      </c>
      <c r="I2171">
        <v>283.75560000000002</v>
      </c>
      <c r="J2171">
        <v>-436.69450000000001</v>
      </c>
      <c r="K2171">
        <v>1.1212070000000001</v>
      </c>
      <c r="L2171">
        <v>284.88490000000002</v>
      </c>
      <c r="M2171">
        <v>-0.99988529999999998</v>
      </c>
      <c r="N2171">
        <v>-1.324726E-2</v>
      </c>
      <c r="O2171">
        <v>7.34995099999999E-3</v>
      </c>
      <c r="P2171">
        <v>-0.9737074</v>
      </c>
      <c r="Q2171">
        <v>0.22695850000000001</v>
      </c>
      <c r="R2171">
        <v>1.959485E-2</v>
      </c>
      <c r="S2171">
        <v>-3.112762</v>
      </c>
      <c r="T2171">
        <v>-0.12829260000000001</v>
      </c>
      <c r="U2171">
        <v>-0.1289063</v>
      </c>
      <c r="V2171">
        <v>1.2446169999999999E-2</v>
      </c>
      <c r="W2171">
        <v>0.23983869999999999</v>
      </c>
      <c r="X2171">
        <v>0.97073299999999996</v>
      </c>
      <c r="Y2171">
        <v>-4.8662490000000003E-2</v>
      </c>
      <c r="Z2171">
        <v>-1.5299949999999999E-3</v>
      </c>
      <c r="AA2171">
        <v>0.99881410000000004</v>
      </c>
      <c r="AB2171">
        <v>37</v>
      </c>
      <c r="AC2171">
        <v>-26.819399999999899</v>
      </c>
      <c r="AD2171">
        <v>-1.1212066292270999</v>
      </c>
      <c r="AE2171">
        <v>-1.1293</v>
      </c>
      <c r="AF2171">
        <v>-1.32409798921917</v>
      </c>
      <c r="AG2171">
        <v>-1.1212066292270999</v>
      </c>
      <c r="AH2171">
        <v>26.763681642026</v>
      </c>
      <c r="AI2171">
        <v>92.395953210490802</v>
      </c>
      <c r="AJ2171">
        <v>92.832324085195495</v>
      </c>
      <c r="AK2171">
        <v>26.819861946441801</v>
      </c>
      <c r="AL2171">
        <v>76.122979965104804</v>
      </c>
      <c r="AM2171">
        <v>89.265427321356796</v>
      </c>
      <c r="AN2171">
        <v>1.0000000332271699</v>
      </c>
    </row>
    <row r="2172" spans="1:40" x14ac:dyDescent="0.25">
      <c r="A2172" t="str">
        <f>"20190303170540584"</f>
        <v>20190303170540584</v>
      </c>
      <c r="B2172" t="str">
        <f>"1551603940577097"</f>
        <v>1551603940577097</v>
      </c>
      <c r="C2172" t="s">
        <v>40</v>
      </c>
      <c r="D2172">
        <v>5.7367939999999997</v>
      </c>
      <c r="E2172">
        <v>0.48171920000000001</v>
      </c>
      <c r="F2172" t="s">
        <v>60</v>
      </c>
      <c r="G2172">
        <v>-464.3897</v>
      </c>
      <c r="H2172" s="1">
        <v>8.3711889999999995E-7</v>
      </c>
      <c r="I2172">
        <v>283.74869999999999</v>
      </c>
      <c r="J2172">
        <v>-437.05799999999999</v>
      </c>
      <c r="K2172">
        <v>1.1212089999999999</v>
      </c>
      <c r="L2172">
        <v>284.88760000000002</v>
      </c>
      <c r="M2172">
        <v>-0.99988529999999998</v>
      </c>
      <c r="N2172">
        <v>-1.324381E-2</v>
      </c>
      <c r="O2172">
        <v>7.3494379999999998E-3</v>
      </c>
      <c r="P2172">
        <v>-0.97349640000000004</v>
      </c>
      <c r="Q2172">
        <v>0.22792190000000001</v>
      </c>
      <c r="R2172">
        <v>1.8881829999999999E-2</v>
      </c>
      <c r="S2172">
        <v>-3.112946</v>
      </c>
      <c r="T2172">
        <v>-0.12602379999999999</v>
      </c>
      <c r="U2172">
        <v>-0.1277161</v>
      </c>
      <c r="V2172">
        <v>1.1735249999999999E-2</v>
      </c>
      <c r="W2172">
        <v>0.2407955</v>
      </c>
      <c r="X2172">
        <v>0.9705049</v>
      </c>
      <c r="Y2172">
        <v>-4.8280570000000002E-2</v>
      </c>
      <c r="Z2172">
        <v>-1.4965379999999999E-3</v>
      </c>
      <c r="AA2172">
        <v>0.99883270000000002</v>
      </c>
      <c r="AB2172">
        <v>37</v>
      </c>
      <c r="AC2172">
        <v>-27.331699999999898</v>
      </c>
      <c r="AD2172">
        <v>-1.1212081628810999</v>
      </c>
      <c r="AE2172">
        <v>-1.13890000000003</v>
      </c>
      <c r="AF2172">
        <v>-1.33751258692325</v>
      </c>
      <c r="AG2172">
        <v>-1.1212081628810999</v>
      </c>
      <c r="AH2172">
        <v>27.276768210511399</v>
      </c>
      <c r="AI2172">
        <v>92.350989300735193</v>
      </c>
      <c r="AJ2172">
        <v>92.807242200751901</v>
      </c>
      <c r="AK2172">
        <v>27.3325471128224</v>
      </c>
      <c r="AL2172">
        <v>76.066503482949102</v>
      </c>
      <c r="AM2172">
        <v>89.307218820930899</v>
      </c>
      <c r="AN2172">
        <v>0.99999997491841097</v>
      </c>
    </row>
    <row r="2173" spans="1:40" x14ac:dyDescent="0.25">
      <c r="A2173" t="str">
        <f>"20190303170540606"</f>
        <v>20190303170540606</v>
      </c>
      <c r="B2173" t="str">
        <f>"1551603940596616"</f>
        <v>1551603940596616</v>
      </c>
      <c r="C2173" t="s">
        <v>40</v>
      </c>
      <c r="D2173">
        <v>5.6541810000000003</v>
      </c>
      <c r="E2173">
        <v>0.48187400000000002</v>
      </c>
      <c r="F2173" t="s">
        <v>60</v>
      </c>
      <c r="G2173">
        <v>-465.18369999999999</v>
      </c>
      <c r="H2173" s="1">
        <v>1.2614539999999999E-6</v>
      </c>
      <c r="I2173">
        <v>283.70760000000001</v>
      </c>
      <c r="J2173">
        <v>-437.43020000000001</v>
      </c>
      <c r="K2173">
        <v>1.121221</v>
      </c>
      <c r="L2173">
        <v>284.89030000000002</v>
      </c>
      <c r="M2173">
        <v>-0.99988529999999998</v>
      </c>
      <c r="N2173">
        <v>-1.324052E-2</v>
      </c>
      <c r="O2173">
        <v>7.3492799999999997E-3</v>
      </c>
      <c r="P2173">
        <v>-0.97345879999999996</v>
      </c>
      <c r="Q2173">
        <v>0.2281405</v>
      </c>
      <c r="R2173">
        <v>1.8168110000000001E-2</v>
      </c>
      <c r="S2173">
        <v>-3.1132200000000001</v>
      </c>
      <c r="T2173">
        <v>-0.1241057</v>
      </c>
      <c r="U2173">
        <v>-0.13061519999999999</v>
      </c>
      <c r="V2173">
        <v>1.1021990000000001E-2</v>
      </c>
      <c r="W2173">
        <v>0.24101069999999999</v>
      </c>
      <c r="X2173">
        <v>0.97045990000000004</v>
      </c>
      <c r="Y2173">
        <v>-4.920588E-2</v>
      </c>
      <c r="Z2173">
        <v>-1.501535E-3</v>
      </c>
      <c r="AA2173">
        <v>0.99878750000000005</v>
      </c>
      <c r="AB2173">
        <v>37</v>
      </c>
      <c r="AC2173">
        <v>-27.753499999999899</v>
      </c>
      <c r="AD2173">
        <v>-1.1212197385459901</v>
      </c>
      <c r="AE2173">
        <v>-1.1827000000000101</v>
      </c>
      <c r="AF2173">
        <v>-1.38439880700268</v>
      </c>
      <c r="AG2173">
        <v>-1.1212197385459901</v>
      </c>
      <c r="AH2173">
        <v>27.698932197729</v>
      </c>
      <c r="AI2173">
        <v>92.315112681807094</v>
      </c>
      <c r="AJ2173">
        <v>92.861274909874396</v>
      </c>
      <c r="AK2173">
        <v>27.7561621744311</v>
      </c>
      <c r="AL2173">
        <v>76.053800060237194</v>
      </c>
      <c r="AM2173">
        <v>89.349291652945993</v>
      </c>
      <c r="AN2173">
        <v>1.00000002964302</v>
      </c>
    </row>
    <row r="2174" spans="1:40" x14ac:dyDescent="0.25">
      <c r="A2174" t="str">
        <f>"20190303170540621"</f>
        <v>20190303170540621</v>
      </c>
      <c r="B2174" t="str">
        <f>"1551603940607353"</f>
        <v>1551603940607353</v>
      </c>
      <c r="C2174" t="s">
        <v>40</v>
      </c>
      <c r="D2174">
        <v>5.6531890000000002</v>
      </c>
      <c r="E2174">
        <v>0.4818983</v>
      </c>
      <c r="F2174" t="s">
        <v>60</v>
      </c>
      <c r="G2174">
        <v>-465.29489999999998</v>
      </c>
      <c r="H2174" s="1">
        <v>1.3200240000000001E-6</v>
      </c>
      <c r="I2174">
        <v>283.72109999999998</v>
      </c>
      <c r="J2174">
        <v>-437.68770000000001</v>
      </c>
      <c r="K2174">
        <v>1.121224</v>
      </c>
      <c r="L2174">
        <v>284.8922</v>
      </c>
      <c r="M2174">
        <v>-0.99988540000000004</v>
      </c>
      <c r="N2174">
        <v>-1.3238369999999999E-2</v>
      </c>
      <c r="O2174">
        <v>7.349174E-3</v>
      </c>
      <c r="P2174">
        <v>-0.97336270000000003</v>
      </c>
      <c r="Q2174">
        <v>0.2285942</v>
      </c>
      <c r="R2174">
        <v>1.7598079999999999E-2</v>
      </c>
      <c r="S2174">
        <v>-3.1135860000000002</v>
      </c>
      <c r="T2174">
        <v>-0.12528429999999999</v>
      </c>
      <c r="U2174">
        <v>-0.13064580000000001</v>
      </c>
      <c r="V2174">
        <v>1.0452690000000001E-2</v>
      </c>
      <c r="W2174">
        <v>0.24146090000000001</v>
      </c>
      <c r="X2174">
        <v>0.9703543</v>
      </c>
      <c r="Y2174">
        <v>-4.920969E-2</v>
      </c>
      <c r="Z2174">
        <v>-1.5135260000000001E-3</v>
      </c>
      <c r="AA2174">
        <v>0.99878730000000004</v>
      </c>
      <c r="AB2174">
        <v>37</v>
      </c>
      <c r="AC2174">
        <v>-27.607199999999899</v>
      </c>
      <c r="AD2174">
        <v>-1.1212226799759999</v>
      </c>
      <c r="AE2174">
        <v>-1.17110000000002</v>
      </c>
      <c r="AF2174">
        <v>-1.3717177428098899</v>
      </c>
      <c r="AG2174">
        <v>-1.1212226799759999</v>
      </c>
      <c r="AH2174">
        <v>27.5524821545762</v>
      </c>
      <c r="AI2174">
        <v>92.327433341900402</v>
      </c>
      <c r="AJ2174">
        <v>92.850153354589295</v>
      </c>
      <c r="AK2174">
        <v>27.609382875071098</v>
      </c>
      <c r="AL2174">
        <v>76.027220751321394</v>
      </c>
      <c r="AM2174">
        <v>89.382831756848802</v>
      </c>
      <c r="AN2174">
        <v>1.0000000462427601</v>
      </c>
    </row>
    <row r="2175" spans="1:40" x14ac:dyDescent="0.25">
      <c r="A2175" t="str">
        <f>"20190303170540640"</f>
        <v>20190303170540640</v>
      </c>
      <c r="B2175" t="str">
        <f>"1551603940626872"</f>
        <v>1551603940626872</v>
      </c>
      <c r="C2175" t="s">
        <v>40</v>
      </c>
      <c r="D2175">
        <v>5.6559809999999997</v>
      </c>
      <c r="E2175">
        <v>0.48209200000000002</v>
      </c>
      <c r="F2175" t="s">
        <v>60</v>
      </c>
      <c r="G2175">
        <v>-465.72519999999997</v>
      </c>
      <c r="H2175" s="1">
        <v>1.549801E-6</v>
      </c>
      <c r="I2175">
        <v>283.70229999999998</v>
      </c>
      <c r="J2175">
        <v>-437.99799999999999</v>
      </c>
      <c r="K2175">
        <v>1.121227</v>
      </c>
      <c r="L2175">
        <v>284.89449999999999</v>
      </c>
      <c r="M2175">
        <v>-0.99988529999999998</v>
      </c>
      <c r="N2175">
        <v>-1.323589E-2</v>
      </c>
      <c r="O2175">
        <v>7.3491880000000004E-3</v>
      </c>
      <c r="P2175">
        <v>-0.9733562</v>
      </c>
      <c r="Q2175">
        <v>0.22867419999999999</v>
      </c>
      <c r="R2175">
        <v>1.6905690000000001E-2</v>
      </c>
      <c r="S2175">
        <v>-3.1137079999999999</v>
      </c>
      <c r="T2175">
        <v>-0.1245177</v>
      </c>
      <c r="U2175">
        <v>-0.13214110000000001</v>
      </c>
      <c r="V2175">
        <v>9.7602750000000005E-3</v>
      </c>
      <c r="W2175">
        <v>0.2415387</v>
      </c>
      <c r="X2175">
        <v>0.97034209999999999</v>
      </c>
      <c r="Y2175">
        <v>-4.9687000000000002E-2</v>
      </c>
      <c r="Z2175">
        <v>-1.5182660000000001E-3</v>
      </c>
      <c r="AA2175">
        <v>0.99876370000000003</v>
      </c>
      <c r="AB2175">
        <v>37</v>
      </c>
      <c r="AC2175">
        <v>-27.7271999999999</v>
      </c>
      <c r="AD2175">
        <v>-1.121225450199</v>
      </c>
      <c r="AE2175">
        <v>-1.1922000000000099</v>
      </c>
      <c r="AF2175">
        <v>-1.3936833134291999</v>
      </c>
      <c r="AG2175">
        <v>-1.121225450199</v>
      </c>
      <c r="AH2175">
        <v>27.672521692684199</v>
      </c>
      <c r="AI2175">
        <v>92.317287203516599</v>
      </c>
      <c r="AJ2175">
        <v>92.883176347963001</v>
      </c>
      <c r="AK2175">
        <v>27.730271482990901</v>
      </c>
      <c r="AL2175">
        <v>76.022626497382106</v>
      </c>
      <c r="AM2175">
        <v>89.423704582434297</v>
      </c>
      <c r="AN2175">
        <v>0.99999999879908696</v>
      </c>
    </row>
    <row r="2176" spans="1:40" x14ac:dyDescent="0.25">
      <c r="A2176" t="str">
        <f>"20190303170540663"</f>
        <v>20190303170540663</v>
      </c>
      <c r="B2176" t="str">
        <f>"1551603940657127"</f>
        <v>1551603940657127</v>
      </c>
      <c r="C2176" t="s">
        <v>40</v>
      </c>
      <c r="D2176">
        <v>5.6696200000000001</v>
      </c>
      <c r="E2176">
        <v>0.48235280000000003</v>
      </c>
      <c r="F2176" t="s">
        <v>60</v>
      </c>
      <c r="G2176">
        <v>-465.88979999999998</v>
      </c>
      <c r="H2176" s="1">
        <v>1.6372559999999901E-6</v>
      </c>
      <c r="I2176">
        <v>283.7056</v>
      </c>
      <c r="J2176">
        <v>-438.37349999999998</v>
      </c>
      <c r="K2176">
        <v>1.1212249999999999</v>
      </c>
      <c r="L2176">
        <v>284.8972</v>
      </c>
      <c r="M2176">
        <v>-0.99988549999999998</v>
      </c>
      <c r="N2176">
        <v>-1.323301E-2</v>
      </c>
      <c r="O2176">
        <v>7.3488490000000002E-3</v>
      </c>
      <c r="P2176">
        <v>-0.97329650000000001</v>
      </c>
      <c r="Q2176">
        <v>0.22893810000000001</v>
      </c>
      <c r="R2176">
        <v>1.6771910000000001E-2</v>
      </c>
      <c r="S2176">
        <v>-3.1138309999999998</v>
      </c>
      <c r="T2176">
        <v>-0.12517329999999999</v>
      </c>
      <c r="U2176">
        <v>-0.132720899999999</v>
      </c>
      <c r="V2176">
        <v>9.6272030000000008E-3</v>
      </c>
      <c r="W2176">
        <v>0.24179919999999999</v>
      </c>
      <c r="X2176">
        <v>0.97027859999999999</v>
      </c>
      <c r="Y2176">
        <v>-4.9869919999999998E-2</v>
      </c>
      <c r="Z2176">
        <v>-1.529807E-3</v>
      </c>
      <c r="AA2176">
        <v>0.99875460000000005</v>
      </c>
      <c r="AB2176">
        <v>37</v>
      </c>
      <c r="AC2176">
        <v>-27.516300000000001</v>
      </c>
      <c r="AD2176">
        <v>-1.12122336274399</v>
      </c>
      <c r="AE2176">
        <v>-1.19159999999999</v>
      </c>
      <c r="AF2176">
        <v>-1.3914925809324601</v>
      </c>
      <c r="AG2176">
        <v>-1.12122336274399</v>
      </c>
      <c r="AH2176">
        <v>27.461288706780302</v>
      </c>
      <c r="AI2176">
        <v>92.335051686880703</v>
      </c>
      <c r="AJ2176">
        <v>92.900756904233404</v>
      </c>
      <c r="AK2176">
        <v>27.519370829819</v>
      </c>
      <c r="AL2176">
        <v>76.007245735826402</v>
      </c>
      <c r="AM2176">
        <v>89.431524100168104</v>
      </c>
      <c r="AN2176">
        <v>1.0000000488881</v>
      </c>
    </row>
    <row r="2177" spans="1:40" x14ac:dyDescent="0.25">
      <c r="A2177" t="str">
        <f>"20190303170540685"</f>
        <v>20190303170540685</v>
      </c>
      <c r="B2177" t="str">
        <f>"1551603940676649"</f>
        <v>1551603940676649</v>
      </c>
      <c r="C2177" t="s">
        <v>40</v>
      </c>
      <c r="D2177">
        <v>5.671678</v>
      </c>
      <c r="E2177">
        <v>0.4825332</v>
      </c>
      <c r="F2177" t="s">
        <v>60</v>
      </c>
      <c r="G2177">
        <v>-466.03879999999998</v>
      </c>
      <c r="H2177" s="1">
        <v>1.7154910000000001E-6</v>
      </c>
      <c r="I2177">
        <v>283.73070000000001</v>
      </c>
      <c r="J2177">
        <v>-438.73790000000002</v>
      </c>
      <c r="K2177">
        <v>1.121219</v>
      </c>
      <c r="L2177">
        <v>284.8999</v>
      </c>
      <c r="M2177">
        <v>-0.99988549999999998</v>
      </c>
      <c r="N2177">
        <v>-1.323031E-2</v>
      </c>
      <c r="O2177">
        <v>7.3488669999999898E-3</v>
      </c>
      <c r="P2177">
        <v>-0.97340450000000001</v>
      </c>
      <c r="Q2177">
        <v>0.2284679</v>
      </c>
      <c r="R2177">
        <v>1.6911199999999901E-2</v>
      </c>
      <c r="S2177">
        <v>-3.1143190000000001</v>
      </c>
      <c r="T2177">
        <v>-0.12621749999999901</v>
      </c>
      <c r="U2177">
        <v>-0.13131709999999999</v>
      </c>
      <c r="V2177">
        <v>9.7656310000000003E-3</v>
      </c>
      <c r="W2177">
        <v>0.24132719999999999</v>
      </c>
      <c r="X2177">
        <v>0.97039470000000005</v>
      </c>
      <c r="Y2177">
        <v>-4.9413539999999999E-2</v>
      </c>
      <c r="Z2177">
        <v>-1.528111E-3</v>
      </c>
      <c r="AA2177">
        <v>0.99877720000000003</v>
      </c>
      <c r="AB2177">
        <v>37</v>
      </c>
      <c r="AC2177">
        <v>-27.300899999999899</v>
      </c>
      <c r="AD2177">
        <v>-1.121217284509</v>
      </c>
      <c r="AE2177">
        <v>-1.16919999999998</v>
      </c>
      <c r="AF2177">
        <v>-1.36751436189815</v>
      </c>
      <c r="AG2177">
        <v>-1.121217284509</v>
      </c>
      <c r="AH2177">
        <v>27.245699709664901</v>
      </c>
      <c r="AI2177">
        <v>92.353551638180903</v>
      </c>
      <c r="AJ2177">
        <v>92.873374705755694</v>
      </c>
      <c r="AK2177">
        <v>27.303028703759502</v>
      </c>
      <c r="AL2177">
        <v>76.035114401254205</v>
      </c>
      <c r="AM2177">
        <v>89.423419611750106</v>
      </c>
      <c r="AN2177">
        <v>1.00000002939837</v>
      </c>
    </row>
    <row r="2178" spans="1:40" x14ac:dyDescent="0.25">
      <c r="A2178" t="str">
        <f>"20190303170540707"</f>
        <v>20190303170540707</v>
      </c>
      <c r="B2178" t="str">
        <f>"1551603940696520"</f>
        <v>1551603940696520</v>
      </c>
      <c r="C2178" t="s">
        <v>40</v>
      </c>
      <c r="D2178">
        <v>5.7831530000000004</v>
      </c>
      <c r="E2178">
        <v>0.48269960000000001</v>
      </c>
      <c r="F2178" t="s">
        <v>60</v>
      </c>
      <c r="G2178">
        <v>-465.89030000000002</v>
      </c>
      <c r="H2178" s="1">
        <v>1.6346350000000001E-6</v>
      </c>
      <c r="I2178">
        <v>283.77229999999997</v>
      </c>
      <c r="J2178">
        <v>-439.10759999999999</v>
      </c>
      <c r="K2178">
        <v>1.1212150000000001</v>
      </c>
      <c r="L2178">
        <v>284.90260000000001</v>
      </c>
      <c r="M2178">
        <v>-0.99988549999999998</v>
      </c>
      <c r="N2178">
        <v>-1.3227320000000001E-2</v>
      </c>
      <c r="O2178">
        <v>7.3485290000000003E-3</v>
      </c>
      <c r="P2178">
        <v>-0.97345470000000001</v>
      </c>
      <c r="Q2178">
        <v>0.22827230000000001</v>
      </c>
      <c r="R2178">
        <v>1.6664599999999901E-2</v>
      </c>
      <c r="S2178">
        <v>-3.1144099999999999</v>
      </c>
      <c r="T2178">
        <v>-0.12860489999999999</v>
      </c>
      <c r="U2178">
        <v>-0.12933349999999999</v>
      </c>
      <c r="V2178">
        <v>9.5191000000000008E-3</v>
      </c>
      <c r="W2178">
        <v>0.2411296</v>
      </c>
      <c r="X2178">
        <v>0.97044620000000004</v>
      </c>
      <c r="Y2178">
        <v>-4.8775689999999997E-2</v>
      </c>
      <c r="Z2178">
        <v>-1.535181E-3</v>
      </c>
      <c r="AA2178">
        <v>0.99880860000000005</v>
      </c>
      <c r="AB2178">
        <v>37</v>
      </c>
      <c r="AC2178">
        <v>-26.782699999999998</v>
      </c>
      <c r="AD2178">
        <v>-1.121213365365</v>
      </c>
      <c r="AE2178">
        <v>-1.1303000000000301</v>
      </c>
      <c r="AF2178">
        <v>-1.3247825394072299</v>
      </c>
      <c r="AG2178">
        <v>-1.121213365365</v>
      </c>
      <c r="AH2178">
        <v>26.726913254795502</v>
      </c>
      <c r="AI2178">
        <v>92.3992487978729</v>
      </c>
      <c r="AJ2178">
        <v>92.837678082609798</v>
      </c>
      <c r="AK2178">
        <v>26.783204817884499</v>
      </c>
      <c r="AL2178">
        <v>76.046779610922698</v>
      </c>
      <c r="AM2178">
        <v>89.438004122737595</v>
      </c>
      <c r="AN2178">
        <v>0.99999996217770404</v>
      </c>
    </row>
    <row r="2179" spans="1:40" x14ac:dyDescent="0.25">
      <c r="A2179" t="str">
        <f>"20190303170540730"</f>
        <v>20190303170540730</v>
      </c>
      <c r="B2179" t="str">
        <f>"1551603940717015"</f>
        <v>1551603940717015</v>
      </c>
      <c r="C2179" t="s">
        <v>40</v>
      </c>
      <c r="D2179">
        <v>5.7077159999999996</v>
      </c>
      <c r="E2179">
        <v>0.48288999999999999</v>
      </c>
      <c r="F2179" t="s">
        <v>60</v>
      </c>
      <c r="G2179">
        <v>-465.78910000000002</v>
      </c>
      <c r="H2179" s="1">
        <v>1.5791649999999999E-6</v>
      </c>
      <c r="I2179">
        <v>283.8091</v>
      </c>
      <c r="J2179">
        <v>-439.48160000000001</v>
      </c>
      <c r="K2179">
        <v>1.121218</v>
      </c>
      <c r="L2179">
        <v>284.90530000000001</v>
      </c>
      <c r="M2179">
        <v>-0.99988569999999999</v>
      </c>
      <c r="N2179">
        <v>-1.322477E-2</v>
      </c>
      <c r="O2179">
        <v>7.3482479999999999E-3</v>
      </c>
      <c r="P2179">
        <v>-0.97337530000000005</v>
      </c>
      <c r="Q2179">
        <v>0.2285925</v>
      </c>
      <c r="R2179">
        <v>1.69254E-2</v>
      </c>
      <c r="S2179">
        <v>-3.1146240000000001</v>
      </c>
      <c r="T2179">
        <v>-0.13088319999999901</v>
      </c>
      <c r="U2179">
        <v>-0.12765499999999999</v>
      </c>
      <c r="V2179">
        <v>9.7808540000000003E-3</v>
      </c>
      <c r="W2179">
        <v>0.2414462</v>
      </c>
      <c r="X2179">
        <v>0.97036489999999997</v>
      </c>
      <c r="Y2179">
        <v>-4.8233980000000003E-2</v>
      </c>
      <c r="Z2179">
        <v>-1.5432740000000001E-3</v>
      </c>
      <c r="AA2179">
        <v>0.99883480000000002</v>
      </c>
      <c r="AB2179">
        <v>37</v>
      </c>
      <c r="AC2179">
        <v>-26.307500000000001</v>
      </c>
      <c r="AD2179">
        <v>-1.1212164208349999</v>
      </c>
      <c r="AE2179">
        <v>-1.0962000000000101</v>
      </c>
      <c r="AF2179">
        <v>-1.2871673080385699</v>
      </c>
      <c r="AG2179">
        <v>-1.1212164208349999</v>
      </c>
      <c r="AH2179">
        <v>26.2511329389582</v>
      </c>
      <c r="AI2179">
        <v>92.442751803341807</v>
      </c>
      <c r="AJ2179">
        <v>92.807125942288394</v>
      </c>
      <c r="AK2179">
        <v>26.3065753476215</v>
      </c>
      <c r="AL2179">
        <v>76.028087818590507</v>
      </c>
      <c r="AM2179">
        <v>89.422503146079194</v>
      </c>
      <c r="AN2179">
        <v>0.99999998587570904</v>
      </c>
    </row>
    <row r="2180" spans="1:40" x14ac:dyDescent="0.25">
      <c r="A2180" t="str">
        <f>"20190303170540763"</f>
        <v>20190303170540763</v>
      </c>
      <c r="B2180" t="str">
        <f>"1551603940757030"</f>
        <v>1551603940757030</v>
      </c>
      <c r="C2180" t="s">
        <v>40</v>
      </c>
      <c r="D2180">
        <v>5.656199</v>
      </c>
      <c r="E2180">
        <v>0.48323719999999998</v>
      </c>
      <c r="F2180" t="s">
        <v>60</v>
      </c>
      <c r="G2180">
        <v>-466.08960000000002</v>
      </c>
      <c r="H2180" s="1">
        <v>1.737871E-6</v>
      </c>
      <c r="I2180">
        <v>283.83629999999999</v>
      </c>
      <c r="J2180">
        <v>-440.04649999999998</v>
      </c>
      <c r="K2180">
        <v>1.121218</v>
      </c>
      <c r="L2180">
        <v>284.90949999999998</v>
      </c>
      <c r="M2180">
        <v>-0.99988560000000004</v>
      </c>
      <c r="N2180">
        <v>-1.3221719999999999E-2</v>
      </c>
      <c r="O2180">
        <v>7.3480890000000004E-3</v>
      </c>
      <c r="P2180">
        <v>-0.97321349999999995</v>
      </c>
      <c r="Q2180">
        <v>0.2292035</v>
      </c>
      <c r="R2180">
        <v>1.7924010000000001E-2</v>
      </c>
      <c r="S2180">
        <v>-3.1150820000000001</v>
      </c>
      <c r="T2180">
        <v>-0.13126460000000001</v>
      </c>
      <c r="U2180">
        <v>-0.1251526</v>
      </c>
      <c r="V2180">
        <v>1.0780690000000001E-2</v>
      </c>
      <c r="W2180">
        <v>0.2420523</v>
      </c>
      <c r="X2180">
        <v>0.97020329999999999</v>
      </c>
      <c r="Y2180">
        <v>-4.742739E-2</v>
      </c>
      <c r="Z2180">
        <v>-1.5245669999999999E-3</v>
      </c>
      <c r="AA2180">
        <v>0.99887349999999997</v>
      </c>
      <c r="AB2180">
        <v>37</v>
      </c>
      <c r="AC2180">
        <v>-26.043099999999999</v>
      </c>
      <c r="AD2180">
        <v>-1.1212162621290001</v>
      </c>
      <c r="AE2180">
        <v>-1.0731999999999799</v>
      </c>
      <c r="AF2180">
        <v>-1.2622192031058801</v>
      </c>
      <c r="AG2180">
        <v>-1.1212162621290001</v>
      </c>
      <c r="AH2180">
        <v>25.9864258403286</v>
      </c>
      <c r="AI2180">
        <v>92.467658867549005</v>
      </c>
      <c r="AJ2180">
        <v>92.780799488377696</v>
      </c>
      <c r="AK2180">
        <v>26.041210631958901</v>
      </c>
      <c r="AL2180">
        <v>75.992299390967602</v>
      </c>
      <c r="AM2180">
        <v>89.363367845914198</v>
      </c>
      <c r="AN2180">
        <v>0.99999999127152805</v>
      </c>
    </row>
    <row r="2181" spans="1:40" x14ac:dyDescent="0.25">
      <c r="A2181" t="str">
        <f>"20190303170540785"</f>
        <v>20190303170540785</v>
      </c>
      <c r="B2181" t="str">
        <f>"1551603940776551"</f>
        <v>1551603940776551</v>
      </c>
      <c r="C2181" t="s">
        <v>40</v>
      </c>
      <c r="D2181">
        <v>5.6783169999999998</v>
      </c>
      <c r="E2181">
        <v>0.48338700000000001</v>
      </c>
      <c r="F2181" t="s">
        <v>60</v>
      </c>
      <c r="G2181">
        <v>-466.8229</v>
      </c>
      <c r="H2181" s="1">
        <v>2.1265849999999999E-6</v>
      </c>
      <c r="I2181">
        <v>283.87189999999998</v>
      </c>
      <c r="J2181">
        <v>-440.40719999999999</v>
      </c>
      <c r="K2181">
        <v>1.121218</v>
      </c>
      <c r="L2181">
        <v>284.91210000000001</v>
      </c>
      <c r="M2181">
        <v>-0.99988560000000004</v>
      </c>
      <c r="N2181">
        <v>-1.321989E-2</v>
      </c>
      <c r="O2181">
        <v>7.3479230000000001E-3</v>
      </c>
      <c r="P2181">
        <v>-0.97333309999999995</v>
      </c>
      <c r="Q2181">
        <v>0.2287324</v>
      </c>
      <c r="R2181">
        <v>1.744501E-2</v>
      </c>
      <c r="S2181">
        <v>-3.1155089999999999</v>
      </c>
      <c r="T2181">
        <v>-0.1304563</v>
      </c>
      <c r="U2181">
        <v>-0.1207275</v>
      </c>
      <c r="V2181">
        <v>1.030098E-2</v>
      </c>
      <c r="W2181">
        <v>0.24158080000000001</v>
      </c>
      <c r="X2181">
        <v>0.97032609999999997</v>
      </c>
      <c r="Y2181">
        <v>-4.6007439999999997E-2</v>
      </c>
      <c r="Z2181">
        <v>-1.4772310000000001E-3</v>
      </c>
      <c r="AA2181">
        <v>0.99894000000000005</v>
      </c>
      <c r="AB2181">
        <v>37</v>
      </c>
      <c r="AC2181">
        <v>-26.415700000000001</v>
      </c>
      <c r="AD2181">
        <v>-1.121215873415</v>
      </c>
      <c r="AE2181">
        <v>-1.04020000000002</v>
      </c>
      <c r="AF2181">
        <v>-1.23207316395894</v>
      </c>
      <c r="AG2181">
        <v>-1.121215873415</v>
      </c>
      <c r="AH2181">
        <v>26.359926704568</v>
      </c>
      <c r="AI2181">
        <v>92.432947065348102</v>
      </c>
      <c r="AJ2181">
        <v>92.676079239162107</v>
      </c>
      <c r="AK2181">
        <v>26.412513420466901</v>
      </c>
      <c r="AL2181">
        <v>76.020141700420197</v>
      </c>
      <c r="AM2181">
        <v>89.391770963889698</v>
      </c>
      <c r="AN2181">
        <v>1.0000000667294</v>
      </c>
    </row>
    <row r="2182" spans="1:40" x14ac:dyDescent="0.25">
      <c r="A2182" t="str">
        <f>"20190303170540806"</f>
        <v>20190303170540806</v>
      </c>
      <c r="B2182" t="str">
        <f>"1551603940797047"</f>
        <v>1551603940797047</v>
      </c>
      <c r="C2182" t="s">
        <v>40</v>
      </c>
      <c r="D2182">
        <v>5.7231009999999998</v>
      </c>
      <c r="E2182">
        <v>0.48356460000000001</v>
      </c>
      <c r="F2182" t="s">
        <v>60</v>
      </c>
      <c r="G2182">
        <v>-466.73450000000003</v>
      </c>
      <c r="H2182" s="1">
        <v>2.0787140000000001E-6</v>
      </c>
      <c r="I2182">
        <v>283.8904</v>
      </c>
      <c r="J2182">
        <v>-440.77080000000001</v>
      </c>
      <c r="K2182">
        <v>1.1212059999999999</v>
      </c>
      <c r="L2182">
        <v>284.91480000000001</v>
      </c>
      <c r="M2182">
        <v>-0.99988560000000004</v>
      </c>
      <c r="N2182">
        <v>-1.3218830000000001E-2</v>
      </c>
      <c r="O2182">
        <v>7.3475729999999996E-3</v>
      </c>
      <c r="P2182">
        <v>-0.97364399999999995</v>
      </c>
      <c r="Q2182">
        <v>0.2274264</v>
      </c>
      <c r="R2182">
        <v>1.7160419999999999E-2</v>
      </c>
      <c r="S2182">
        <v>-3.1154790000000001</v>
      </c>
      <c r="T2182">
        <v>-0.13268079999999999</v>
      </c>
      <c r="U2182">
        <v>-0.12091059999999999</v>
      </c>
      <c r="V2182">
        <v>1.001432E-2</v>
      </c>
      <c r="W2182">
        <v>0.24027799999999999</v>
      </c>
      <c r="X2182">
        <v>0.97065250000000003</v>
      </c>
      <c r="Y2182">
        <v>-4.6064279999999999E-2</v>
      </c>
      <c r="Z2182">
        <v>-1.5004420000000001E-3</v>
      </c>
      <c r="AA2182">
        <v>0.99893739999999998</v>
      </c>
      <c r="AB2182">
        <v>37</v>
      </c>
      <c r="AC2182">
        <v>-25.963699999999999</v>
      </c>
      <c r="AD2182">
        <v>-1.1212039212860001</v>
      </c>
      <c r="AE2182">
        <v>-1.02440000000001</v>
      </c>
      <c r="AF2182">
        <v>-1.21290087758593</v>
      </c>
      <c r="AG2182">
        <v>-1.1212039212860001</v>
      </c>
      <c r="AH2182">
        <v>25.907234365985701</v>
      </c>
      <c r="AI2182">
        <v>92.475371746515293</v>
      </c>
      <c r="AJ2182">
        <v>92.6804634436225</v>
      </c>
      <c r="AK2182">
        <v>25.959834731100798</v>
      </c>
      <c r="AL2182">
        <v>76.097051842376999</v>
      </c>
      <c r="AM2182">
        <v>89.408894621043103</v>
      </c>
      <c r="AN2182">
        <v>1.0000000398226501</v>
      </c>
    </row>
    <row r="2183" spans="1:40" x14ac:dyDescent="0.25">
      <c r="A2183" t="str">
        <f>"20190303170540831"</f>
        <v>20190303170540831</v>
      </c>
      <c r="B2183" t="str">
        <f>"1551603940816567"</f>
        <v>1551603940816567</v>
      </c>
      <c r="C2183" t="s">
        <v>40</v>
      </c>
      <c r="D2183">
        <v>5.6794390000000003</v>
      </c>
      <c r="E2183">
        <v>0.48368450000000002</v>
      </c>
      <c r="F2183" t="s">
        <v>60</v>
      </c>
      <c r="G2183">
        <v>-466.24529999999999</v>
      </c>
      <c r="H2183" s="1">
        <v>1.8166990000000001E-6</v>
      </c>
      <c r="I2183">
        <v>283.92840000000001</v>
      </c>
      <c r="J2183">
        <v>-441.16579999999999</v>
      </c>
      <c r="K2183">
        <v>1.121208</v>
      </c>
      <c r="L2183">
        <v>284.91770000000002</v>
      </c>
      <c r="M2183">
        <v>-0.99988560000000004</v>
      </c>
      <c r="N2183">
        <v>-1.322417E-2</v>
      </c>
      <c r="O2183">
        <v>7.3474179999999997E-3</v>
      </c>
      <c r="P2183">
        <v>-0.97355910000000001</v>
      </c>
      <c r="Q2183">
        <v>0.2277496</v>
      </c>
      <c r="R2183">
        <v>1.7687439999999999E-2</v>
      </c>
      <c r="S2183">
        <v>-3.1153870000000001</v>
      </c>
      <c r="T2183">
        <v>-0.1371174</v>
      </c>
      <c r="U2183">
        <v>-0.12063599999999999</v>
      </c>
      <c r="V2183">
        <v>1.054222E-2</v>
      </c>
      <c r="W2183">
        <v>0.24060529999999999</v>
      </c>
      <c r="X2183">
        <v>0.97056580000000003</v>
      </c>
      <c r="Y2183">
        <v>-4.5973840000000002E-2</v>
      </c>
      <c r="Z2183">
        <v>-1.541174E-3</v>
      </c>
      <c r="AA2183">
        <v>0.99894150000000004</v>
      </c>
      <c r="AB2183">
        <v>37</v>
      </c>
      <c r="AC2183">
        <v>-25.079499999999999</v>
      </c>
      <c r="AD2183">
        <v>-1.1212061833010001</v>
      </c>
      <c r="AE2183">
        <v>-0.98930000000001395</v>
      </c>
      <c r="AF2183">
        <v>-1.1712217621369301</v>
      </c>
      <c r="AG2183">
        <v>-1.1212061833010001</v>
      </c>
      <c r="AH2183">
        <v>25.0216221195987</v>
      </c>
      <c r="AI2183">
        <v>92.562876128914496</v>
      </c>
      <c r="AJ2183">
        <v>92.679966850153505</v>
      </c>
      <c r="AK2183">
        <v>25.0740989313189</v>
      </c>
      <c r="AL2183">
        <v>76.077731747485402</v>
      </c>
      <c r="AM2183">
        <v>89.377681595843796</v>
      </c>
      <c r="AN2183">
        <v>1.0000000104601201</v>
      </c>
    </row>
    <row r="2184" spans="1:40" x14ac:dyDescent="0.25">
      <c r="A2184" t="str">
        <f>"20190303170540853"</f>
        <v>20190303170540853</v>
      </c>
      <c r="B2184" t="str">
        <f>"1551603940846822"</f>
        <v>1551603940846822</v>
      </c>
      <c r="C2184" t="s">
        <v>40</v>
      </c>
      <c r="D2184">
        <v>5.7343190000000002</v>
      </c>
      <c r="E2184">
        <v>0.48395549999999998</v>
      </c>
      <c r="F2184" t="s">
        <v>60</v>
      </c>
      <c r="G2184">
        <v>-466.77949999999998</v>
      </c>
      <c r="H2184" s="1">
        <v>2.1004159999999998E-6</v>
      </c>
      <c r="I2184">
        <v>283.94150000000002</v>
      </c>
      <c r="J2184">
        <v>-441.53739999999999</v>
      </c>
      <c r="K2184">
        <v>1.121221</v>
      </c>
      <c r="L2184">
        <v>284.92039999999997</v>
      </c>
      <c r="M2184">
        <v>-0.99988540000000004</v>
      </c>
      <c r="N2184">
        <v>-1.323673E-2</v>
      </c>
      <c r="O2184">
        <v>7.3471569999999896E-3</v>
      </c>
      <c r="P2184">
        <v>-0.97320439999999997</v>
      </c>
      <c r="Q2184">
        <v>0.22922780000000001</v>
      </c>
      <c r="R2184">
        <v>1.8111700000000001E-2</v>
      </c>
      <c r="S2184">
        <v>-3.1155400000000002</v>
      </c>
      <c r="T2184">
        <v>-0.1363789</v>
      </c>
      <c r="U2184">
        <v>-0.1187439</v>
      </c>
      <c r="V2184">
        <v>1.096948E-2</v>
      </c>
      <c r="W2184">
        <v>0.2420911</v>
      </c>
      <c r="X2184">
        <v>0.97019149999999998</v>
      </c>
      <c r="Y2184">
        <v>-4.5367270000000001E-2</v>
      </c>
      <c r="Z2184">
        <v>-1.516844E-3</v>
      </c>
      <c r="AA2184">
        <v>0.9989692</v>
      </c>
      <c r="AB2184">
        <v>37</v>
      </c>
      <c r="AC2184">
        <v>-25.242099999999901</v>
      </c>
      <c r="AD2184">
        <v>-1.121218899584</v>
      </c>
      <c r="AE2184">
        <v>-0.97889999999995303</v>
      </c>
      <c r="AF2184">
        <v>-1.1620581822011</v>
      </c>
      <c r="AG2184">
        <v>-1.121218899584</v>
      </c>
      <c r="AH2184">
        <v>25.184610879029499</v>
      </c>
      <c r="AI2184">
        <v>92.546419188340906</v>
      </c>
      <c r="AJ2184">
        <v>92.641844997959794</v>
      </c>
      <c r="AK2184">
        <v>25.236325726375799</v>
      </c>
      <c r="AL2184">
        <v>75.990008129440199</v>
      </c>
      <c r="AM2184">
        <v>89.352212292716601</v>
      </c>
      <c r="AN2184">
        <v>0.99999998843146498</v>
      </c>
    </row>
    <row r="2185" spans="1:40" x14ac:dyDescent="0.25">
      <c r="A2185" t="str">
        <f>"20190303170540875"</f>
        <v>20190303170540875</v>
      </c>
      <c r="B2185" t="str">
        <f>"1551603940867319"</f>
        <v>1551603940867319</v>
      </c>
      <c r="C2185" t="s">
        <v>40</v>
      </c>
      <c r="D2185">
        <v>5.6976120000000003</v>
      </c>
      <c r="E2185">
        <v>0.48409970000000002</v>
      </c>
      <c r="F2185" t="s">
        <v>60</v>
      </c>
      <c r="G2185">
        <v>-468.05540000000002</v>
      </c>
      <c r="H2185" s="1">
        <v>2.779607E-6</v>
      </c>
      <c r="I2185">
        <v>283.9366</v>
      </c>
      <c r="J2185">
        <v>-441.89589999999998</v>
      </c>
      <c r="K2185">
        <v>1.1212279999999999</v>
      </c>
      <c r="L2185">
        <v>284.92309999999998</v>
      </c>
      <c r="M2185">
        <v>-0.99988520000000003</v>
      </c>
      <c r="N2185">
        <v>-1.325204E-2</v>
      </c>
      <c r="O2185">
        <v>7.3489180000000003E-3</v>
      </c>
      <c r="P2185">
        <v>-0.97308530000000004</v>
      </c>
      <c r="Q2185">
        <v>0.2297563</v>
      </c>
      <c r="R2185">
        <v>1.7806530000000001E-2</v>
      </c>
      <c r="S2185">
        <v>-3.1157840000000001</v>
      </c>
      <c r="T2185">
        <v>-0.13173950000000001</v>
      </c>
      <c r="U2185">
        <v>-0.1156006</v>
      </c>
      <c r="V2185">
        <v>1.0664E-2</v>
      </c>
      <c r="W2185">
        <v>0.2426324</v>
      </c>
      <c r="X2185">
        <v>0.97005969999999997</v>
      </c>
      <c r="Y2185">
        <v>-4.4364500000000001E-2</v>
      </c>
      <c r="Z2185">
        <v>-1.444559E-3</v>
      </c>
      <c r="AA2185">
        <v>0.99901439999999997</v>
      </c>
      <c r="AB2185">
        <v>37</v>
      </c>
      <c r="AC2185">
        <v>-26.159500000000001</v>
      </c>
      <c r="AD2185">
        <v>-1.121225220393</v>
      </c>
      <c r="AE2185">
        <v>-0.98649999999997795</v>
      </c>
      <c r="AF2185">
        <v>-1.1765758675875899</v>
      </c>
      <c r="AG2185">
        <v>-1.121225220393</v>
      </c>
      <c r="AH2185">
        <v>26.1036568593168</v>
      </c>
      <c r="AI2185">
        <v>92.457011005817904</v>
      </c>
      <c r="AJ2185">
        <v>92.580758533531494</v>
      </c>
      <c r="AK2185">
        <v>26.1542038341065</v>
      </c>
      <c r="AL2185">
        <v>75.958041186776896</v>
      </c>
      <c r="AM2185">
        <v>89.370164968718399</v>
      </c>
      <c r="AN2185">
        <v>1.0000000119949199</v>
      </c>
    </row>
    <row r="2186" spans="1:40" x14ac:dyDescent="0.25">
      <c r="A2186" t="str">
        <f>"20190303170540897"</f>
        <v>20190303170540897</v>
      </c>
      <c r="B2186" t="str">
        <f>"1551603940886839"</f>
        <v>1551603940886839</v>
      </c>
      <c r="C2186" t="s">
        <v>40</v>
      </c>
      <c r="D2186">
        <v>5.7822050000000003</v>
      </c>
      <c r="E2186">
        <v>0.48420679999999999</v>
      </c>
      <c r="F2186" t="s">
        <v>60</v>
      </c>
      <c r="G2186">
        <v>-468.70620000000002</v>
      </c>
      <c r="H2186" s="1">
        <v>3.1259419999999999E-6</v>
      </c>
      <c r="I2186">
        <v>283.93630000000002</v>
      </c>
      <c r="J2186">
        <v>-442.26209999999998</v>
      </c>
      <c r="K2186">
        <v>1.1212230000000001</v>
      </c>
      <c r="L2186">
        <v>284.92579999999998</v>
      </c>
      <c r="M2186">
        <v>-0.99988480000000002</v>
      </c>
      <c r="N2186">
        <v>-1.3270550000000001E-2</v>
      </c>
      <c r="O2186">
        <v>7.3591180000000004E-3</v>
      </c>
      <c r="P2186">
        <v>-0.97342819999999997</v>
      </c>
      <c r="Q2186">
        <v>0.22838600000000001</v>
      </c>
      <c r="R2186">
        <v>1.6646649999999999E-2</v>
      </c>
      <c r="S2186">
        <v>-3.115875</v>
      </c>
      <c r="T2186">
        <v>-0.1303079</v>
      </c>
      <c r="U2186">
        <v>-0.1146851</v>
      </c>
      <c r="V2186">
        <v>9.4941929999999997E-3</v>
      </c>
      <c r="W2186">
        <v>0.24128459999999999</v>
      </c>
      <c r="X2186">
        <v>0.97040800000000005</v>
      </c>
      <c r="Y2186">
        <v>-4.408186E-2</v>
      </c>
      <c r="Z2186">
        <v>-1.423761E-3</v>
      </c>
      <c r="AA2186">
        <v>0.99902690000000005</v>
      </c>
      <c r="AB2186">
        <v>37</v>
      </c>
      <c r="AC2186">
        <v>-26.444099999999999</v>
      </c>
      <c r="AD2186">
        <v>-1.1212198740579999</v>
      </c>
      <c r="AE2186">
        <v>-0.98949999999996396</v>
      </c>
      <c r="AF2186">
        <v>-1.1819737068428999</v>
      </c>
      <c r="AG2186">
        <v>-1.1212198740579999</v>
      </c>
      <c r="AH2186">
        <v>26.388727887304601</v>
      </c>
      <c r="AI2186">
        <v>92.430519677293702</v>
      </c>
      <c r="AJ2186">
        <v>92.564612857657494</v>
      </c>
      <c r="AK2186">
        <v>26.438970391447899</v>
      </c>
      <c r="AL2186">
        <v>76.037629707657203</v>
      </c>
      <c r="AM2186">
        <v>89.439452443618194</v>
      </c>
      <c r="AN2186">
        <v>1.0000000421809301</v>
      </c>
    </row>
    <row r="2187" spans="1:40" x14ac:dyDescent="0.25">
      <c r="A2187" t="str">
        <f>"20190303170540920"</f>
        <v>20190303170540920</v>
      </c>
      <c r="B2187" t="str">
        <f>"1551603940907336"</f>
        <v>1551603940907336</v>
      </c>
      <c r="C2187" t="s">
        <v>40</v>
      </c>
      <c r="D2187">
        <v>5.6942700000000004</v>
      </c>
      <c r="E2187">
        <v>0.48428349999999998</v>
      </c>
      <c r="F2187" t="s">
        <v>60</v>
      </c>
      <c r="G2187">
        <v>-467.96429999999998</v>
      </c>
      <c r="H2187" s="1">
        <v>2.729833E-6</v>
      </c>
      <c r="I2187">
        <v>283.96660000000003</v>
      </c>
      <c r="J2187">
        <v>-442.63569999999999</v>
      </c>
      <c r="K2187">
        <v>1.1212120000000001</v>
      </c>
      <c r="L2187">
        <v>284.92849999999999</v>
      </c>
      <c r="M2187">
        <v>-0.99988449999999995</v>
      </c>
      <c r="N2187">
        <v>-1.32928E-2</v>
      </c>
      <c r="O2187">
        <v>7.3865019999999997E-3</v>
      </c>
      <c r="P2187">
        <v>-0.97358359999999999</v>
      </c>
      <c r="Q2187">
        <v>0.2277188</v>
      </c>
      <c r="R2187">
        <v>1.6711230000000001E-2</v>
      </c>
      <c r="S2187">
        <v>-3.1157840000000001</v>
      </c>
      <c r="T2187">
        <v>-0.1359215</v>
      </c>
      <c r="U2187">
        <v>-0.116272</v>
      </c>
      <c r="V2187">
        <v>9.537284E-3</v>
      </c>
      <c r="W2187">
        <v>0.24064089999999999</v>
      </c>
      <c r="X2187">
        <v>0.97056730000000002</v>
      </c>
      <c r="Y2187">
        <v>-4.4613430000000003E-2</v>
      </c>
      <c r="Z2187">
        <v>-1.4929629999999999E-3</v>
      </c>
      <c r="AA2187">
        <v>0.99900319999999998</v>
      </c>
      <c r="AB2187">
        <v>37</v>
      </c>
      <c r="AC2187">
        <v>-25.328599999999899</v>
      </c>
      <c r="AD2187">
        <v>-1.121209270167</v>
      </c>
      <c r="AE2187">
        <v>-0.96189999999995701</v>
      </c>
      <c r="AF2187">
        <v>-1.1467361916576899</v>
      </c>
      <c r="AG2187">
        <v>-1.121209270167</v>
      </c>
      <c r="AH2187">
        <v>25.271354641042699</v>
      </c>
      <c r="AI2187">
        <v>92.5377567969757</v>
      </c>
      <c r="AJ2187">
        <v>92.598123641797301</v>
      </c>
      <c r="AK2187">
        <v>25.322193418306298</v>
      </c>
      <c r="AL2187">
        <v>76.075629317908195</v>
      </c>
      <c r="AM2187">
        <v>89.437000881935205</v>
      </c>
      <c r="AN2187">
        <v>0.99999994318409602</v>
      </c>
    </row>
    <row r="2188" spans="1:40" x14ac:dyDescent="0.25">
      <c r="A2188" t="str">
        <f>"20190303170540942"</f>
        <v>20190303170540942</v>
      </c>
      <c r="B2188" t="str">
        <f>"1551603940936615"</f>
        <v>1551603940936615</v>
      </c>
      <c r="C2188" t="s">
        <v>40</v>
      </c>
      <c r="D2188">
        <v>5.8048549999999999</v>
      </c>
      <c r="E2188">
        <v>0.4844426</v>
      </c>
      <c r="F2188" t="s">
        <v>60</v>
      </c>
      <c r="G2188">
        <v>-467.88279999999997</v>
      </c>
      <c r="H2188" s="1">
        <v>2.6855080000000002E-6</v>
      </c>
      <c r="I2188">
        <v>283.98829999999998</v>
      </c>
      <c r="J2188">
        <v>-443.00540000000001</v>
      </c>
      <c r="K2188">
        <v>1.121192</v>
      </c>
      <c r="L2188">
        <v>284.93130000000002</v>
      </c>
      <c r="M2188">
        <v>-0.99988359999999998</v>
      </c>
      <c r="N2188">
        <v>-1.331572E-2</v>
      </c>
      <c r="O2188">
        <v>7.4407140000000002E-3</v>
      </c>
      <c r="P2188">
        <v>-0.97360639999999998</v>
      </c>
      <c r="Q2188">
        <v>0.22757150000000001</v>
      </c>
      <c r="R2188">
        <v>1.7381339999999999E-2</v>
      </c>
      <c r="S2188">
        <v>-3.115723</v>
      </c>
      <c r="T2188">
        <v>-0.1383675</v>
      </c>
      <c r="U2188">
        <v>-0.1160278</v>
      </c>
      <c r="V2188">
        <v>1.016571E-2</v>
      </c>
      <c r="W2188">
        <v>0.2405159</v>
      </c>
      <c r="X2188">
        <v>0.97059200000000001</v>
      </c>
      <c r="Y2188">
        <v>-4.4588200000000001E-2</v>
      </c>
      <c r="Z2188">
        <v>-1.517565E-3</v>
      </c>
      <c r="AA2188">
        <v>0.99900429999999996</v>
      </c>
      <c r="AB2188">
        <v>37</v>
      </c>
      <c r="AC2188">
        <v>-24.877399999999898</v>
      </c>
      <c r="AD2188">
        <v>-1.121189314492</v>
      </c>
      <c r="AE2188">
        <v>-0.94300000000004003</v>
      </c>
      <c r="AF2188">
        <v>-1.1258124881001601</v>
      </c>
      <c r="AG2188">
        <v>-1.121189314492</v>
      </c>
      <c r="AH2188">
        <v>24.819353806862399</v>
      </c>
      <c r="AI2188">
        <v>92.583867418212094</v>
      </c>
      <c r="AJ2188">
        <v>92.597171496561998</v>
      </c>
      <c r="AK2188">
        <v>24.8701596823886</v>
      </c>
      <c r="AL2188">
        <v>76.083009310467602</v>
      </c>
      <c r="AM2188">
        <v>89.399921921833894</v>
      </c>
      <c r="AN2188">
        <v>1.0000000351383</v>
      </c>
    </row>
    <row r="2189" spans="1:40" x14ac:dyDescent="0.25">
      <c r="A2189" t="str">
        <f>"20190303170540964"</f>
        <v>20190303170540964</v>
      </c>
      <c r="B2189" t="str">
        <f>"1551603940957111"</f>
        <v>1551603940957111</v>
      </c>
      <c r="C2189" t="s">
        <v>40</v>
      </c>
      <c r="D2189">
        <v>5.7265319999999997</v>
      </c>
      <c r="E2189">
        <v>0.48450270000000001</v>
      </c>
      <c r="F2189" t="s">
        <v>60</v>
      </c>
      <c r="G2189">
        <v>-468.0487</v>
      </c>
      <c r="H2189" s="1">
        <v>2.7723210000000001E-6</v>
      </c>
      <c r="I2189">
        <v>284.02159999999998</v>
      </c>
      <c r="J2189">
        <v>-443.38189999999997</v>
      </c>
      <c r="K2189">
        <v>1.121156</v>
      </c>
      <c r="L2189">
        <v>284.93419999999998</v>
      </c>
      <c r="M2189">
        <v>-0.99988259999999995</v>
      </c>
      <c r="N2189">
        <v>-1.33419E-2</v>
      </c>
      <c r="O2189">
        <v>7.5382940000000001E-3</v>
      </c>
      <c r="P2189">
        <v>-0.97362210000000005</v>
      </c>
      <c r="Q2189">
        <v>0.22748479999999999</v>
      </c>
      <c r="R2189">
        <v>1.763321E-2</v>
      </c>
      <c r="S2189">
        <v>-3.1159970000000001</v>
      </c>
      <c r="T2189">
        <v>-0.13950319999999999</v>
      </c>
      <c r="U2189">
        <v>-0.1131897</v>
      </c>
      <c r="V2189">
        <v>1.033997E-2</v>
      </c>
      <c r="W2189">
        <v>0.2404539</v>
      </c>
      <c r="X2189">
        <v>0.97060550000000001</v>
      </c>
      <c r="Y2189">
        <v>-4.3773800000000002E-2</v>
      </c>
      <c r="Z2189">
        <v>-1.5080860000000001E-3</v>
      </c>
      <c r="AA2189">
        <v>0.99904029999999999</v>
      </c>
      <c r="AB2189">
        <v>37</v>
      </c>
      <c r="AC2189">
        <v>-24.666799999999999</v>
      </c>
      <c r="AD2189">
        <v>-1.1211532276789999</v>
      </c>
      <c r="AE2189">
        <v>-0.91259999999999697</v>
      </c>
      <c r="AF2189">
        <v>-1.0962745316326601</v>
      </c>
      <c r="AG2189">
        <v>-1.1211532276789999</v>
      </c>
      <c r="AH2189">
        <v>24.608450425856699</v>
      </c>
      <c r="AI2189">
        <v>92.605992694701797</v>
      </c>
      <c r="AJ2189">
        <v>92.550766109959</v>
      </c>
      <c r="AK2189">
        <v>24.658358314585598</v>
      </c>
      <c r="AL2189">
        <v>76.086668763105493</v>
      </c>
      <c r="AM2189">
        <v>89.389644679353495</v>
      </c>
      <c r="AN2189">
        <v>1.0000000148175301</v>
      </c>
    </row>
    <row r="2190" spans="1:40" x14ac:dyDescent="0.25">
      <c r="A2190" t="str">
        <f>"20190303170540986"</f>
        <v>20190303170540986</v>
      </c>
      <c r="B2190" t="str">
        <f>"1551603940976631"</f>
        <v>1551603940976631</v>
      </c>
      <c r="C2190" t="s">
        <v>40</v>
      </c>
      <c r="D2190">
        <v>5.6752750000000001</v>
      </c>
      <c r="E2190">
        <v>0.48458770000000001</v>
      </c>
      <c r="F2190" t="s">
        <v>60</v>
      </c>
      <c r="G2190">
        <v>-468.22980000000001</v>
      </c>
      <c r="H2190" s="1">
        <v>2.8676869999999999E-6</v>
      </c>
      <c r="I2190">
        <v>284.04480000000001</v>
      </c>
      <c r="J2190">
        <v>-443.73680000000002</v>
      </c>
      <c r="K2190">
        <v>1.1211199999999999</v>
      </c>
      <c r="L2190">
        <v>284.93700000000001</v>
      </c>
      <c r="M2190">
        <v>-0.99988120000000003</v>
      </c>
      <c r="N2190">
        <v>-1.33686E-2</v>
      </c>
      <c r="O2190">
        <v>7.6794419999999999E-3</v>
      </c>
      <c r="P2190">
        <v>-0.97356620000000005</v>
      </c>
      <c r="Q2190">
        <v>0.22771530000000001</v>
      </c>
      <c r="R2190">
        <v>1.7740269999999999E-2</v>
      </c>
      <c r="S2190">
        <v>-3.1161799999999999</v>
      </c>
      <c r="T2190">
        <v>-0.14060400000000001</v>
      </c>
      <c r="U2190">
        <v>-0.11154169999999999</v>
      </c>
      <c r="V2190">
        <v>1.033213E-2</v>
      </c>
      <c r="W2190">
        <v>0.2407089</v>
      </c>
      <c r="X2190">
        <v>0.97054240000000003</v>
      </c>
      <c r="Y2190">
        <v>-4.3384590000000001E-2</v>
      </c>
      <c r="Z2190">
        <v>-1.51188E-3</v>
      </c>
      <c r="AA2190">
        <v>0.99905730000000004</v>
      </c>
      <c r="AB2190">
        <v>37</v>
      </c>
      <c r="AC2190">
        <v>-24.492999999999899</v>
      </c>
      <c r="AD2190">
        <v>-1.121117132313</v>
      </c>
      <c r="AE2190">
        <v>-0.89220000000000199</v>
      </c>
      <c r="AF2190">
        <v>-1.0780274085163499</v>
      </c>
      <c r="AG2190">
        <v>-1.121117132313</v>
      </c>
      <c r="AH2190">
        <v>24.434299403345602</v>
      </c>
      <c r="AI2190">
        <v>92.624505955236799</v>
      </c>
      <c r="AJ2190">
        <v>92.526218976742598</v>
      </c>
      <c r="AK2190">
        <v>24.483750408183301</v>
      </c>
      <c r="AL2190">
        <v>76.071616572194998</v>
      </c>
      <c r="AM2190">
        <v>89.390067780356901</v>
      </c>
      <c r="AN2190">
        <v>1.0000000388236501</v>
      </c>
    </row>
    <row r="2191" spans="1:40" x14ac:dyDescent="0.25">
      <c r="A2191" t="str">
        <f>"20190303170541008"</f>
        <v>20190303170541008</v>
      </c>
      <c r="B2191" t="str">
        <f>"1551603940997127"</f>
        <v>1551603940997127</v>
      </c>
      <c r="C2191" t="s">
        <v>40</v>
      </c>
      <c r="D2191">
        <v>5.8063099999999999</v>
      </c>
      <c r="E2191">
        <v>0.48455549999999997</v>
      </c>
      <c r="F2191" t="s">
        <v>60</v>
      </c>
      <c r="G2191">
        <v>-468.59370000000001</v>
      </c>
      <c r="H2191" s="1">
        <v>3.0606739999999999E-6</v>
      </c>
      <c r="I2191">
        <v>284.05950000000001</v>
      </c>
      <c r="J2191">
        <v>-444.10640000000001</v>
      </c>
      <c r="K2191">
        <v>1.121073</v>
      </c>
      <c r="L2191">
        <v>284.94</v>
      </c>
      <c r="M2191">
        <v>-0.99987930000000003</v>
      </c>
      <c r="N2191">
        <v>-1.3395600000000001E-2</v>
      </c>
      <c r="O2191">
        <v>7.8732249999999993E-3</v>
      </c>
      <c r="P2191">
        <v>-0.97368619999999995</v>
      </c>
      <c r="Q2191">
        <v>0.22712940000000001</v>
      </c>
      <c r="R2191">
        <v>1.863478E-2</v>
      </c>
      <c r="S2191">
        <v>-3.1163020000000001</v>
      </c>
      <c r="T2191">
        <v>-0.1405544</v>
      </c>
      <c r="U2191">
        <v>-0.1100159</v>
      </c>
      <c r="V2191">
        <v>1.1061440000000001E-2</v>
      </c>
      <c r="W2191">
        <v>0.24014940000000001</v>
      </c>
      <c r="X2191">
        <v>0.97067289999999995</v>
      </c>
      <c r="Y2191">
        <v>-4.3088580000000001E-2</v>
      </c>
      <c r="Z2191">
        <v>-1.50923299999999E-3</v>
      </c>
      <c r="AA2191">
        <v>0.99907009999999996</v>
      </c>
      <c r="AB2191">
        <v>37</v>
      </c>
      <c r="AC2191">
        <v>-24.487300000000001</v>
      </c>
      <c r="AD2191">
        <v>-1.121069939326</v>
      </c>
      <c r="AE2191">
        <v>-0.88049999999998296</v>
      </c>
      <c r="AF2191">
        <v>-1.0710420570835399</v>
      </c>
      <c r="AG2191">
        <v>-1.121069939326</v>
      </c>
      <c r="AH2191">
        <v>24.428472839387801</v>
      </c>
      <c r="AI2191">
        <v>92.625052408506804</v>
      </c>
      <c r="AJ2191">
        <v>92.510468579211903</v>
      </c>
      <c r="AK2191">
        <v>24.477626808202</v>
      </c>
      <c r="AL2191">
        <v>76.104641541304801</v>
      </c>
      <c r="AM2191">
        <v>89.347106120523407</v>
      </c>
      <c r="AN2191">
        <v>0.99999998428482095</v>
      </c>
    </row>
    <row r="2192" spans="1:40" x14ac:dyDescent="0.25">
      <c r="A2192" t="str">
        <f>"20190303170541032"</f>
        <v>20190303170541032</v>
      </c>
      <c r="B2192" t="str">
        <f>"1551603941027384"</f>
        <v>1551603941027384</v>
      </c>
      <c r="C2192" t="s">
        <v>40</v>
      </c>
      <c r="D2192">
        <v>5.7834779999999997</v>
      </c>
      <c r="E2192">
        <v>0.44250040000000002</v>
      </c>
      <c r="F2192" t="s">
        <v>60</v>
      </c>
      <c r="G2192">
        <v>-468.63060000000002</v>
      </c>
      <c r="H2192" s="1">
        <v>3.0788169999999999E-6</v>
      </c>
      <c r="I2192">
        <v>284.0942</v>
      </c>
      <c r="J2192">
        <v>-444.48610000000002</v>
      </c>
      <c r="K2192">
        <v>1.121035</v>
      </c>
      <c r="L2192">
        <v>284.94330000000002</v>
      </c>
      <c r="M2192">
        <v>-0.99987689999999996</v>
      </c>
      <c r="N2192">
        <v>-1.3421000000000001E-2</v>
      </c>
      <c r="O2192">
        <v>8.1282860000000002E-3</v>
      </c>
      <c r="P2192">
        <v>-0.97379519999999997</v>
      </c>
      <c r="Q2192">
        <v>0.2265433</v>
      </c>
      <c r="R2192">
        <v>2.0034280000000002E-2</v>
      </c>
      <c r="S2192">
        <v>-3.116333</v>
      </c>
      <c r="T2192">
        <v>-0.1424561</v>
      </c>
      <c r="U2192">
        <v>-0.10748290000000001</v>
      </c>
      <c r="V2192">
        <v>1.223847E-2</v>
      </c>
      <c r="W2192">
        <v>0.23958779999999999</v>
      </c>
      <c r="X2192">
        <v>0.97079749999999998</v>
      </c>
      <c r="Y2192">
        <v>-4.2531100000000002E-2</v>
      </c>
      <c r="Z2192">
        <v>-1.5192579999999999E-3</v>
      </c>
      <c r="AA2192">
        <v>0.99909400000000004</v>
      </c>
      <c r="AB2192">
        <v>37</v>
      </c>
      <c r="AC2192">
        <v>-24.144499999999901</v>
      </c>
      <c r="AD2192">
        <v>-1.121031921183</v>
      </c>
      <c r="AE2192">
        <v>-0.84910000000002095</v>
      </c>
      <c r="AF2192">
        <v>-1.043097137842</v>
      </c>
      <c r="AG2192">
        <v>-1.121031921183</v>
      </c>
      <c r="AH2192">
        <v>24.084942775512701</v>
      </c>
      <c r="AI2192">
        <v>92.662412436353407</v>
      </c>
      <c r="AJ2192">
        <v>92.479878798270903</v>
      </c>
      <c r="AK2192">
        <v>24.133570658048299</v>
      </c>
      <c r="AL2192">
        <v>76.137785881661301</v>
      </c>
      <c r="AM2192">
        <v>89.277732446681696</v>
      </c>
      <c r="AN2192">
        <v>0.99999994003151305</v>
      </c>
    </row>
    <row r="2193" spans="1:40" x14ac:dyDescent="0.25">
      <c r="A2193" t="str">
        <f>"20190303170541053"</f>
        <v>20190303170541053</v>
      </c>
      <c r="B2193" t="str">
        <f>"1551603941046903"</f>
        <v>1551603941046903</v>
      </c>
      <c r="C2193" t="s">
        <v>40</v>
      </c>
      <c r="D2193">
        <v>5.7604629999999997</v>
      </c>
      <c r="E2193">
        <v>0.43878889999999998</v>
      </c>
      <c r="F2193" t="s">
        <v>68</v>
      </c>
      <c r="G2193">
        <v>-512.82510000000002</v>
      </c>
      <c r="H2193">
        <v>3.9213900000000003E-3</v>
      </c>
      <c r="I2193">
        <v>275.3623</v>
      </c>
      <c r="J2193">
        <v>-444.8569</v>
      </c>
      <c r="K2193">
        <v>1.120994</v>
      </c>
      <c r="L2193">
        <v>284.94659999999999</v>
      </c>
      <c r="M2193">
        <v>-0.99987420000000005</v>
      </c>
      <c r="N2193">
        <v>-1.344333E-2</v>
      </c>
      <c r="O2193">
        <v>8.4359580000000003E-3</v>
      </c>
      <c r="P2193">
        <v>-0.97400679999999995</v>
      </c>
      <c r="Q2193">
        <v>0.2255084</v>
      </c>
      <c r="R2193">
        <v>2.1377569999999999E-2</v>
      </c>
      <c r="S2193">
        <v>-3.1014400000000002</v>
      </c>
      <c r="T2193">
        <v>-5.0694349999999999E-2</v>
      </c>
      <c r="U2193">
        <v>-0.43481449999999999</v>
      </c>
      <c r="V2193">
        <v>1.3307370000000001E-2</v>
      </c>
      <c r="W2193">
        <v>0.2385757</v>
      </c>
      <c r="X2193">
        <v>0.97103269999999997</v>
      </c>
      <c r="Y2193">
        <v>-0.14715429999999999</v>
      </c>
      <c r="Z2193">
        <v>-2.2152029999999998E-3</v>
      </c>
      <c r="AA2193">
        <v>0.98911110000000002</v>
      </c>
      <c r="AB2193">
        <v>37</v>
      </c>
      <c r="AC2193">
        <v>-67.968199999999996</v>
      </c>
      <c r="AD2193">
        <v>-1.1170726099999999</v>
      </c>
      <c r="AE2193">
        <v>-9.5842999999999794</v>
      </c>
      <c r="AF2193">
        <v>-10.1546980344062</v>
      </c>
      <c r="AG2193">
        <v>-1.1170726099999999</v>
      </c>
      <c r="AH2193">
        <v>67.866946404410299</v>
      </c>
      <c r="AI2193">
        <v>90.932608726592093</v>
      </c>
      <c r="AJ2193">
        <v>98.509839009804793</v>
      </c>
      <c r="AK2193">
        <v>68.631539088418293</v>
      </c>
      <c r="AL2193">
        <v>76.197507418213604</v>
      </c>
      <c r="AM2193">
        <v>89.214847851450799</v>
      </c>
      <c r="AN2193">
        <v>0.99999997759804804</v>
      </c>
    </row>
    <row r="2194" spans="1:40" x14ac:dyDescent="0.25">
      <c r="A2194" t="str">
        <f>"20190303170541076"</f>
        <v>20190303170541076</v>
      </c>
      <c r="B2194" t="str">
        <f>"1551603941067399"</f>
        <v>1551603941067399</v>
      </c>
      <c r="C2194" t="s">
        <v>40</v>
      </c>
      <c r="D2194">
        <v>5.7581749999999996</v>
      </c>
      <c r="E2194">
        <v>0.43689919999999999</v>
      </c>
      <c r="F2194" t="s">
        <v>68</v>
      </c>
      <c r="G2194">
        <v>-512.82529999999997</v>
      </c>
      <c r="H2194">
        <v>0.3416592</v>
      </c>
      <c r="I2194">
        <v>274.84910000000002</v>
      </c>
      <c r="J2194">
        <v>-445.22059999999999</v>
      </c>
      <c r="K2194">
        <v>1.1209469999999999</v>
      </c>
      <c r="L2194">
        <v>284.95</v>
      </c>
      <c r="M2194">
        <v>-0.9998707</v>
      </c>
      <c r="N2194">
        <v>-1.3465359999999999E-2</v>
      </c>
      <c r="O2194">
        <v>8.7923949999999997E-3</v>
      </c>
      <c r="P2194">
        <v>-0.97400589999999998</v>
      </c>
      <c r="Q2194">
        <v>0.2253869</v>
      </c>
      <c r="R2194">
        <v>2.265785E-2</v>
      </c>
      <c r="S2194">
        <v>-3.0983580000000002</v>
      </c>
      <c r="T2194">
        <v>-3.5522459999999999E-2</v>
      </c>
      <c r="U2194">
        <v>-0.4602966</v>
      </c>
      <c r="V2194">
        <v>1.426848E-2</v>
      </c>
      <c r="W2194">
        <v>0.2384734</v>
      </c>
      <c r="X2194">
        <v>0.97104420000000002</v>
      </c>
      <c r="Y2194">
        <v>-0.1556187</v>
      </c>
      <c r="Z2194">
        <v>-1.9232839999999999E-3</v>
      </c>
      <c r="AA2194">
        <v>0.98781529999999995</v>
      </c>
      <c r="AB2194">
        <v>37</v>
      </c>
      <c r="AC2194">
        <v>-67.604699999999895</v>
      </c>
      <c r="AD2194">
        <v>-0.77928779999999898</v>
      </c>
      <c r="AE2194">
        <v>-10.1008999999999</v>
      </c>
      <c r="AF2194">
        <v>-10.6935807222557</v>
      </c>
      <c r="AG2194">
        <v>-0.77928779999999898</v>
      </c>
      <c r="AH2194">
        <v>67.504493421097706</v>
      </c>
      <c r="AI2194">
        <v>90.653261444437206</v>
      </c>
      <c r="AJ2194">
        <v>99.001589181705995</v>
      </c>
      <c r="AK2194">
        <v>68.350688293371604</v>
      </c>
      <c r="AL2194">
        <v>76.203543231886002</v>
      </c>
      <c r="AM2194">
        <v>89.158158965496995</v>
      </c>
      <c r="AN2194">
        <v>0.99999999519135496</v>
      </c>
    </row>
    <row r="2195" spans="1:40" x14ac:dyDescent="0.25">
      <c r="A2195" t="str">
        <f>"20190303170541098"</f>
        <v>20190303170541098</v>
      </c>
      <c r="B2195" t="str">
        <f>"1551603941086919"</f>
        <v>1551603941086919</v>
      </c>
      <c r="C2195" t="s">
        <v>40</v>
      </c>
      <c r="D2195">
        <v>5.7764509999999998</v>
      </c>
      <c r="E2195">
        <v>0.43591639999999998</v>
      </c>
      <c r="F2195" t="s">
        <v>68</v>
      </c>
      <c r="G2195">
        <v>-512.82529999999997</v>
      </c>
      <c r="H2195">
        <v>0.50770249999999995</v>
      </c>
      <c r="I2195">
        <v>274.68</v>
      </c>
      <c r="J2195">
        <v>-445.58679999999998</v>
      </c>
      <c r="K2195">
        <v>1.120903</v>
      </c>
      <c r="L2195">
        <v>284.95370000000003</v>
      </c>
      <c r="M2195">
        <v>-0.99986679999999994</v>
      </c>
      <c r="N2195">
        <v>-1.3489610000000001E-2</v>
      </c>
      <c r="O2195">
        <v>9.2014369999999998E-3</v>
      </c>
      <c r="P2195">
        <v>-0.97373270000000001</v>
      </c>
      <c r="Q2195">
        <v>0.22640569999999999</v>
      </c>
      <c r="R2195">
        <v>2.4189639999999998E-2</v>
      </c>
      <c r="S2195">
        <v>-3.0975039999999998</v>
      </c>
      <c r="T2195">
        <v>-2.809381E-2</v>
      </c>
      <c r="U2195">
        <v>-0.47055049999999998</v>
      </c>
      <c r="V2195">
        <v>1.5432960000000001E-2</v>
      </c>
      <c r="W2195">
        <v>0.23950959999999999</v>
      </c>
      <c r="X2195">
        <v>0.9707713</v>
      </c>
      <c r="Y2195">
        <v>-0.15926499999999999</v>
      </c>
      <c r="Z2195">
        <v>-1.75815E-3</v>
      </c>
      <c r="AA2195">
        <v>0.98723430000000001</v>
      </c>
      <c r="AB2195">
        <v>37</v>
      </c>
      <c r="AC2195">
        <v>-67.238499999999902</v>
      </c>
      <c r="AD2195">
        <v>-0.61320050000000004</v>
      </c>
      <c r="AE2195">
        <v>-10.2737</v>
      </c>
      <c r="AF2195">
        <v>-10.891126880588599</v>
      </c>
      <c r="AG2195">
        <v>-0.61320050000000004</v>
      </c>
      <c r="AH2195">
        <v>67.135655289675697</v>
      </c>
      <c r="AI2195">
        <v>90.516558290755199</v>
      </c>
      <c r="AJ2195">
        <v>99.214572185134898</v>
      </c>
      <c r="AK2195">
        <v>68.016092733679102</v>
      </c>
      <c r="AL2195">
        <v>76.142401212847901</v>
      </c>
      <c r="AM2195">
        <v>89.089209794591596</v>
      </c>
      <c r="AN2195">
        <v>0.99999997082510494</v>
      </c>
    </row>
    <row r="2196" spans="1:40" x14ac:dyDescent="0.25">
      <c r="A2196" t="str">
        <f>"20190303170541121"</f>
        <v>20190303170541121</v>
      </c>
      <c r="B2196" t="str">
        <f>"1551603941107416"</f>
        <v>1551603941107416</v>
      </c>
      <c r="C2196" t="s">
        <v>40</v>
      </c>
      <c r="D2196">
        <v>5.7523749999999998</v>
      </c>
      <c r="E2196">
        <v>0.43515999999999999</v>
      </c>
      <c r="F2196" t="s">
        <v>68</v>
      </c>
      <c r="G2196">
        <v>-512.82539999999995</v>
      </c>
      <c r="H2196">
        <v>0.64781169999999899</v>
      </c>
      <c r="I2196">
        <v>274.65989999999999</v>
      </c>
      <c r="J2196">
        <v>-445.95859999999999</v>
      </c>
      <c r="K2196">
        <v>1.1208659999999999</v>
      </c>
      <c r="L2196">
        <v>284.95749999999998</v>
      </c>
      <c r="M2196">
        <v>-0.99986209999999998</v>
      </c>
      <c r="N2196">
        <v>-1.35143E-2</v>
      </c>
      <c r="O2196">
        <v>9.6620439999999998E-3</v>
      </c>
      <c r="P2196">
        <v>-0.97362879999999996</v>
      </c>
      <c r="Q2196">
        <v>0.22667709999999999</v>
      </c>
      <c r="R2196">
        <v>2.577716E-2</v>
      </c>
      <c r="S2196">
        <v>-3.0977480000000002</v>
      </c>
      <c r="T2196">
        <v>-2.179205E-2</v>
      </c>
      <c r="U2196">
        <v>-0.47424319999999998</v>
      </c>
      <c r="V2196">
        <v>1.6599570000000001E-2</v>
      </c>
      <c r="W2196">
        <v>0.23980119999999999</v>
      </c>
      <c r="X2196">
        <v>0.97068010000000005</v>
      </c>
      <c r="Y2196">
        <v>-0.16086259999999999</v>
      </c>
      <c r="Z2196">
        <v>-1.5936749999999999E-3</v>
      </c>
      <c r="AA2196">
        <v>0.98697559999999995</v>
      </c>
      <c r="AB2196">
        <v>37</v>
      </c>
      <c r="AC2196">
        <v>-66.866799999999898</v>
      </c>
      <c r="AD2196">
        <v>-0.47305429999999998</v>
      </c>
      <c r="AE2196">
        <v>-10.2975999999999</v>
      </c>
      <c r="AF2196">
        <v>-10.9427131454377</v>
      </c>
      <c r="AG2196">
        <v>-0.47305429999999998</v>
      </c>
      <c r="AH2196">
        <v>66.760909289006605</v>
      </c>
      <c r="AI2196">
        <v>90.400633614553001</v>
      </c>
      <c r="AJ2196">
        <v>99.308520865672705</v>
      </c>
      <c r="AK2196">
        <v>67.653423863460603</v>
      </c>
      <c r="AL2196">
        <v>76.1251927986645</v>
      </c>
      <c r="AM2196">
        <v>89.020282164835905</v>
      </c>
      <c r="AN2196">
        <v>1.0000000088908101</v>
      </c>
    </row>
    <row r="2197" spans="1:40" x14ac:dyDescent="0.25">
      <c r="A2197" t="str">
        <f>"20190303170541144"</f>
        <v>20190303170541144</v>
      </c>
      <c r="B2197" t="str">
        <f>"1551603941136695"</f>
        <v>1551603941136695</v>
      </c>
      <c r="C2197" t="s">
        <v>40</v>
      </c>
      <c r="D2197">
        <v>5.7492169999999998</v>
      </c>
      <c r="E2197">
        <v>0.43403570000000002</v>
      </c>
      <c r="F2197" t="s">
        <v>68</v>
      </c>
      <c r="G2197">
        <v>-512.82539999999995</v>
      </c>
      <c r="H2197">
        <v>0.75323999999999902</v>
      </c>
      <c r="I2197">
        <v>274.68119999999999</v>
      </c>
      <c r="J2197">
        <v>-446.3329</v>
      </c>
      <c r="K2197">
        <v>1.120838</v>
      </c>
      <c r="L2197">
        <v>284.96159999999998</v>
      </c>
      <c r="M2197">
        <v>-0.99985679999999999</v>
      </c>
      <c r="N2197">
        <v>-1.353713E-2</v>
      </c>
      <c r="O2197">
        <v>1.016266E-2</v>
      </c>
      <c r="P2197">
        <v>-0.97379819999999995</v>
      </c>
      <c r="Q2197">
        <v>0.22588829999999999</v>
      </c>
      <c r="R2197">
        <v>2.630089E-2</v>
      </c>
      <c r="S2197">
        <v>-3.0977779999999999</v>
      </c>
      <c r="T2197">
        <v>-1.7027500000000001E-2</v>
      </c>
      <c r="U2197">
        <v>-0.4760742</v>
      </c>
      <c r="V2197">
        <v>1.6655219999999998E-2</v>
      </c>
      <c r="W2197">
        <v>0.23903550000000001</v>
      </c>
      <c r="X2197">
        <v>0.97086799999999995</v>
      </c>
      <c r="Y2197">
        <v>-0.16192819999999999</v>
      </c>
      <c r="Z2197">
        <v>-1.4637210000000001E-3</v>
      </c>
      <c r="AA2197">
        <v>0.98680140000000005</v>
      </c>
      <c r="AB2197">
        <v>37</v>
      </c>
      <c r="AC2197">
        <v>-66.492499999999893</v>
      </c>
      <c r="AD2197">
        <v>-0.36759799999999998</v>
      </c>
      <c r="AE2197">
        <v>-10.280399999999901</v>
      </c>
      <c r="AF2197">
        <v>-10.9553445385258</v>
      </c>
      <c r="AG2197">
        <v>-0.36759799999999998</v>
      </c>
      <c r="AH2197">
        <v>66.382598337012595</v>
      </c>
      <c r="AI2197">
        <v>90.313041621435104</v>
      </c>
      <c r="AJ2197">
        <v>99.371246898801999</v>
      </c>
      <c r="AK2197">
        <v>67.281528402828101</v>
      </c>
      <c r="AL2197">
        <v>76.170378488275901</v>
      </c>
      <c r="AM2197">
        <v>89.017188518667297</v>
      </c>
      <c r="AN2197">
        <v>1.00000002001874</v>
      </c>
    </row>
    <row r="2198" spans="1:40" x14ac:dyDescent="0.25">
      <c r="A2198" t="str">
        <f>"20190303170541164"</f>
        <v>20190303170541164</v>
      </c>
      <c r="B2198" t="str">
        <f>"1551603941157191"</f>
        <v>1551603941157191</v>
      </c>
      <c r="C2198" t="s">
        <v>40</v>
      </c>
      <c r="D2198">
        <v>5.7641739999999997</v>
      </c>
      <c r="E2198">
        <v>0.43362909999999999</v>
      </c>
      <c r="F2198" t="s">
        <v>68</v>
      </c>
      <c r="G2198">
        <v>-512.82539999999995</v>
      </c>
      <c r="H2198">
        <v>0.77572240000000003</v>
      </c>
      <c r="I2198">
        <v>274.56909999999999</v>
      </c>
      <c r="J2198">
        <v>-446.69159999999999</v>
      </c>
      <c r="K2198">
        <v>1.1208070000000001</v>
      </c>
      <c r="L2198">
        <v>284.96570000000003</v>
      </c>
      <c r="M2198">
        <v>-0.99985119999999905</v>
      </c>
      <c r="N2198">
        <v>-1.355641E-2</v>
      </c>
      <c r="O2198">
        <v>1.066725E-2</v>
      </c>
      <c r="P2198">
        <v>-0.97381799999999996</v>
      </c>
      <c r="Q2198">
        <v>0.22576579999999999</v>
      </c>
      <c r="R2198">
        <v>2.6621019999999999E-2</v>
      </c>
      <c r="S2198">
        <v>-3.097534</v>
      </c>
      <c r="T2198">
        <v>-1.607335E-2</v>
      </c>
      <c r="U2198">
        <v>-0.48413089999999998</v>
      </c>
      <c r="V2198">
        <v>1.649991E-2</v>
      </c>
      <c r="W2198">
        <v>0.2389309</v>
      </c>
      <c r="X2198">
        <v>0.97089639999999999</v>
      </c>
      <c r="Y2198">
        <v>-0.16494400000000001</v>
      </c>
      <c r="Z2198">
        <v>-1.461529E-3</v>
      </c>
      <c r="AA2198">
        <v>0.98630180000000001</v>
      </c>
      <c r="AB2198">
        <v>37</v>
      </c>
      <c r="AC2198">
        <v>-66.133799999999894</v>
      </c>
      <c r="AD2198">
        <v>-0.34508459999999902</v>
      </c>
      <c r="AE2198">
        <v>-10.396599999999999</v>
      </c>
      <c r="AF2198">
        <v>-11.1012440066997</v>
      </c>
      <c r="AG2198">
        <v>-0.34508459999999902</v>
      </c>
      <c r="AH2198">
        <v>66.017369064765205</v>
      </c>
      <c r="AI2198">
        <v>90.295346058546997</v>
      </c>
      <c r="AJ2198">
        <v>99.545351369939695</v>
      </c>
      <c r="AK2198">
        <v>66.945124692623097</v>
      </c>
      <c r="AL2198">
        <v>76.176550478381998</v>
      </c>
      <c r="AM2198">
        <v>89.026379942530298</v>
      </c>
      <c r="AN2198">
        <v>1.0000000207688799</v>
      </c>
    </row>
    <row r="2199" spans="1:40" x14ac:dyDescent="0.25">
      <c r="A2199" t="str">
        <f>"20190303170541187"</f>
        <v>20190303170541187</v>
      </c>
      <c r="B2199" t="str">
        <f>"1551603941176711"</f>
        <v>1551603941176711</v>
      </c>
      <c r="C2199" t="s">
        <v>40</v>
      </c>
      <c r="D2199">
        <v>5.7549619999999999</v>
      </c>
      <c r="E2199">
        <v>0.43322640000000001</v>
      </c>
      <c r="F2199" t="s">
        <v>68</v>
      </c>
      <c r="G2199">
        <v>-512.82539999999995</v>
      </c>
      <c r="H2199">
        <v>0.81839309999999998</v>
      </c>
      <c r="I2199">
        <v>274.55119999999999</v>
      </c>
      <c r="J2199">
        <v>-447.05709999999999</v>
      </c>
      <c r="K2199">
        <v>1.120792</v>
      </c>
      <c r="L2199">
        <v>284.97019999999998</v>
      </c>
      <c r="M2199">
        <v>-0.99984530000000005</v>
      </c>
      <c r="N2199">
        <v>-1.3573770000000001E-2</v>
      </c>
      <c r="O2199">
        <v>1.119589E-2</v>
      </c>
      <c r="P2199">
        <v>-0.97367700000000001</v>
      </c>
      <c r="Q2199">
        <v>0.2262527</v>
      </c>
      <c r="R2199">
        <v>2.7626109999999999E-2</v>
      </c>
      <c r="S2199">
        <v>-3.0971980000000001</v>
      </c>
      <c r="T2199">
        <v>-1.415896E-2</v>
      </c>
      <c r="U2199">
        <v>-0.4877319</v>
      </c>
      <c r="V2199">
        <v>1.7004310000000002E-2</v>
      </c>
      <c r="W2199">
        <v>0.2394318</v>
      </c>
      <c r="X2199">
        <v>0.97076430000000002</v>
      </c>
      <c r="Y2199">
        <v>-0.16660169999999999</v>
      </c>
      <c r="Z2199">
        <v>-1.4160479999999901E-3</v>
      </c>
      <c r="AA2199">
        <v>0.98602319999999999</v>
      </c>
      <c r="AB2199">
        <v>37</v>
      </c>
      <c r="AC2199">
        <v>-65.768299999999897</v>
      </c>
      <c r="AD2199">
        <v>-0.30239890000000003</v>
      </c>
      <c r="AE2199">
        <v>-10.418999999999899</v>
      </c>
      <c r="AF2199">
        <v>-11.1545192287685</v>
      </c>
      <c r="AG2199">
        <v>-0.30239890000000003</v>
      </c>
      <c r="AH2199">
        <v>65.646162584976594</v>
      </c>
      <c r="AI2199">
        <v>90.260201472067607</v>
      </c>
      <c r="AJ2199">
        <v>99.6435252619804</v>
      </c>
      <c r="AK2199">
        <v>66.587787216972899</v>
      </c>
      <c r="AL2199">
        <v>76.146993245069297</v>
      </c>
      <c r="AM2199">
        <v>88.996485994646505</v>
      </c>
      <c r="AN2199">
        <v>1.0000000297821501</v>
      </c>
    </row>
    <row r="2200" spans="1:40" x14ac:dyDescent="0.25">
      <c r="A2200" t="str">
        <f>"20190303170541209"</f>
        <v>20190303170541209</v>
      </c>
      <c r="B2200" t="str">
        <f>"1551603941197208"</f>
        <v>1551603941197208</v>
      </c>
      <c r="C2200" t="s">
        <v>40</v>
      </c>
      <c r="D2200">
        <v>5.7554999999999996</v>
      </c>
      <c r="E2200">
        <v>0.4328958</v>
      </c>
      <c r="F2200" t="s">
        <v>68</v>
      </c>
      <c r="G2200">
        <v>-512.82539999999995</v>
      </c>
      <c r="H2200">
        <v>0.89745330000000001</v>
      </c>
      <c r="I2200">
        <v>274.59210000000002</v>
      </c>
      <c r="J2200">
        <v>-447.42790000000002</v>
      </c>
      <c r="K2200">
        <v>1.120781</v>
      </c>
      <c r="L2200">
        <v>284.97489999999999</v>
      </c>
      <c r="M2200">
        <v>-0.99983889999999997</v>
      </c>
      <c r="N2200">
        <v>-1.358911E-2</v>
      </c>
      <c r="O2200">
        <v>1.174043E-2</v>
      </c>
      <c r="P2200">
        <v>-0.97371430000000003</v>
      </c>
      <c r="Q2200">
        <v>0.22602990000000001</v>
      </c>
      <c r="R2200">
        <v>2.81315E-2</v>
      </c>
      <c r="S2200">
        <v>-3.0974430000000002</v>
      </c>
      <c r="T2200">
        <v>-1.0514620000000001E-2</v>
      </c>
      <c r="U2200">
        <v>-0.48876950000000002</v>
      </c>
      <c r="V2200">
        <v>1.698761E-2</v>
      </c>
      <c r="W2200">
        <v>0.2392244</v>
      </c>
      <c r="X2200">
        <v>0.97081569999999995</v>
      </c>
      <c r="Y2200">
        <v>-0.16745099999999999</v>
      </c>
      <c r="Z2200">
        <v>-1.308369E-3</v>
      </c>
      <c r="AA2200">
        <v>0.98587950000000002</v>
      </c>
      <c r="AB2200">
        <v>37</v>
      </c>
      <c r="AC2200">
        <v>-65.397499999999894</v>
      </c>
      <c r="AD2200">
        <v>-0.22332769999999899</v>
      </c>
      <c r="AE2200">
        <v>-10.3827999999999</v>
      </c>
      <c r="AF2200">
        <v>-11.149822990417301</v>
      </c>
      <c r="AG2200">
        <v>-0.22332769999999899</v>
      </c>
      <c r="AH2200">
        <v>65.270339669340899</v>
      </c>
      <c r="AI2200">
        <v>90.193242109177206</v>
      </c>
      <c r="AJ2200">
        <v>99.693995043378195</v>
      </c>
      <c r="AK2200">
        <v>66.216203972519907</v>
      </c>
      <c r="AL2200">
        <v>76.159231755973906</v>
      </c>
      <c r="AM2200">
        <v>88.997524416684499</v>
      </c>
      <c r="AN2200">
        <v>1.0000000079076801</v>
      </c>
    </row>
    <row r="2201" spans="1:40" x14ac:dyDescent="0.25">
      <c r="A2201" t="str">
        <f>"20190303170541233"</f>
        <v>20190303170541233</v>
      </c>
      <c r="B2201" t="str">
        <f>"1551603941226487"</f>
        <v>1551603941226487</v>
      </c>
      <c r="C2201" t="s">
        <v>40</v>
      </c>
      <c r="D2201">
        <v>5.7687189999999999</v>
      </c>
      <c r="E2201">
        <v>0.43242459999999999</v>
      </c>
      <c r="F2201" t="s">
        <v>68</v>
      </c>
      <c r="G2201">
        <v>-512.82539999999995</v>
      </c>
      <c r="H2201">
        <v>0.92043889999999995</v>
      </c>
      <c r="I2201">
        <v>274.62029999999999</v>
      </c>
      <c r="J2201">
        <v>-447.79910000000001</v>
      </c>
      <c r="K2201">
        <v>1.1207590000000001</v>
      </c>
      <c r="L2201">
        <v>284.97980000000001</v>
      </c>
      <c r="M2201">
        <v>-0.9998321</v>
      </c>
      <c r="N2201">
        <v>-1.3602400000000001E-2</v>
      </c>
      <c r="O2201">
        <v>1.2288800000000001E-2</v>
      </c>
      <c r="P2201">
        <v>-0.97424140000000004</v>
      </c>
      <c r="Q2201">
        <v>0.223769</v>
      </c>
      <c r="R2201">
        <v>2.795342E-2</v>
      </c>
      <c r="S2201">
        <v>-3.0973820000000001</v>
      </c>
      <c r="T2201">
        <v>-9.4848869999999991E-3</v>
      </c>
      <c r="U2201">
        <v>-0.49041750000000001</v>
      </c>
      <c r="V2201">
        <v>1.6272829999999999E-2</v>
      </c>
      <c r="W2201">
        <v>0.23698379999999999</v>
      </c>
      <c r="X2201">
        <v>0.9713773</v>
      </c>
      <c r="Y2201">
        <v>-0.16850670000000001</v>
      </c>
      <c r="Z2201">
        <v>-1.280928E-3</v>
      </c>
      <c r="AA2201">
        <v>0.98569969999999996</v>
      </c>
      <c r="AB2201">
        <v>37</v>
      </c>
      <c r="AC2201">
        <v>-65.026299999999907</v>
      </c>
      <c r="AD2201">
        <v>-0.2003201</v>
      </c>
      <c r="AE2201">
        <v>-10.359500000000001</v>
      </c>
      <c r="AF2201">
        <v>-11.1577833654271</v>
      </c>
      <c r="AG2201">
        <v>-0.2003201</v>
      </c>
      <c r="AH2201">
        <v>64.893470758924806</v>
      </c>
      <c r="AI2201">
        <v>90.174308384682405</v>
      </c>
      <c r="AJ2201">
        <v>99.7560422701183</v>
      </c>
      <c r="AK2201">
        <v>65.846023455571697</v>
      </c>
      <c r="AL2201">
        <v>76.291409999658796</v>
      </c>
      <c r="AM2201">
        <v>89.040252150542202</v>
      </c>
      <c r="AN2201">
        <v>0.99999999270696904</v>
      </c>
    </row>
    <row r="2202" spans="1:40" x14ac:dyDescent="0.25">
      <c r="A2202" t="str">
        <f>"20190303170541255"</f>
        <v>20190303170541255</v>
      </c>
      <c r="B2202" t="str">
        <f>"1551603941246983"</f>
        <v>1551603941246983</v>
      </c>
      <c r="C2202" t="s">
        <v>40</v>
      </c>
      <c r="D2202">
        <v>5.743252</v>
      </c>
      <c r="E2202">
        <v>0.43207590000000001</v>
      </c>
      <c r="F2202" t="s">
        <v>68</v>
      </c>
      <c r="G2202">
        <v>-512.82539999999995</v>
      </c>
      <c r="H2202">
        <v>0.79889919999999903</v>
      </c>
      <c r="I2202">
        <v>274.60399999999998</v>
      </c>
      <c r="J2202">
        <v>-448.16609999999997</v>
      </c>
      <c r="K2202">
        <v>1.1207389999999999</v>
      </c>
      <c r="L2202">
        <v>284.98489999999998</v>
      </c>
      <c r="M2202">
        <v>-0.99982499999999996</v>
      </c>
      <c r="N2202">
        <v>-1.361364E-2</v>
      </c>
      <c r="O2202">
        <v>1.283041E-2</v>
      </c>
      <c r="P2202">
        <v>-0.97461450000000005</v>
      </c>
      <c r="Q2202">
        <v>0.22219929999999999</v>
      </c>
      <c r="R2202">
        <v>2.7460789999999999E-2</v>
      </c>
      <c r="S2202">
        <v>-3.0970460000000002</v>
      </c>
      <c r="T2202">
        <v>-1.532555E-2</v>
      </c>
      <c r="U2202">
        <v>-0.49417109999999898</v>
      </c>
      <c r="V2202">
        <v>1.5250690000000001E-2</v>
      </c>
      <c r="W2202">
        <v>0.23543159999999999</v>
      </c>
      <c r="X2202">
        <v>0.97177119999999995</v>
      </c>
      <c r="Y2202">
        <v>-0.17021889999999901</v>
      </c>
      <c r="Z2202">
        <v>-1.4740879999999999E-3</v>
      </c>
      <c r="AA2202">
        <v>0.98540510000000003</v>
      </c>
      <c r="AB2202">
        <v>37</v>
      </c>
      <c r="AC2202">
        <v>-64.659299999999902</v>
      </c>
      <c r="AD2202">
        <v>-0.32183979999999901</v>
      </c>
      <c r="AE2202">
        <v>-10.380899999999899</v>
      </c>
      <c r="AF2202">
        <v>-11.2094568428848</v>
      </c>
      <c r="AG2202">
        <v>-0.32183979999999901</v>
      </c>
      <c r="AH2202">
        <v>64.519214846267204</v>
      </c>
      <c r="AI2202">
        <v>90.281586742370607</v>
      </c>
      <c r="AJ2202">
        <v>99.856086919902907</v>
      </c>
      <c r="AK2202">
        <v>65.486522185470704</v>
      </c>
      <c r="AL2202">
        <v>76.382933741515799</v>
      </c>
      <c r="AM2202">
        <v>89.100890780162203</v>
      </c>
      <c r="AN2202">
        <v>0.99999994348673604</v>
      </c>
    </row>
    <row r="2203" spans="1:40" x14ac:dyDescent="0.25">
      <c r="A2203" t="str">
        <f>"20190303170541277"</f>
        <v>20190303170541277</v>
      </c>
      <c r="B2203" t="str">
        <f>"1551603941266503"</f>
        <v>1551603941266503</v>
      </c>
      <c r="C2203" t="s">
        <v>40</v>
      </c>
      <c r="D2203">
        <v>5.7195539999999996</v>
      </c>
      <c r="E2203">
        <v>0.43185170000000001</v>
      </c>
      <c r="F2203" t="s">
        <v>68</v>
      </c>
      <c r="G2203">
        <v>-512.82539999999995</v>
      </c>
      <c r="H2203">
        <v>0.71672919999999996</v>
      </c>
      <c r="I2203">
        <v>274.59230000000002</v>
      </c>
      <c r="J2203">
        <v>-448.52609999999999</v>
      </c>
      <c r="K2203">
        <v>1.12073</v>
      </c>
      <c r="L2203">
        <v>284.99</v>
      </c>
      <c r="M2203">
        <v>-0.99981810000000004</v>
      </c>
      <c r="N2203">
        <v>-1.3623E-2</v>
      </c>
      <c r="O2203">
        <v>1.336001E-2</v>
      </c>
      <c r="P2203">
        <v>-0.97472150000000002</v>
      </c>
      <c r="Q2203">
        <v>0.22178149999999999</v>
      </c>
      <c r="R2203">
        <v>2.7045949999999999E-2</v>
      </c>
      <c r="S2203">
        <v>-3.096619</v>
      </c>
      <c r="T2203">
        <v>-1.9344690000000001E-2</v>
      </c>
      <c r="U2203">
        <v>-0.49771120000000002</v>
      </c>
      <c r="V2203">
        <v>1.4321449999999999E-2</v>
      </c>
      <c r="W2203">
        <v>0.23502519999999999</v>
      </c>
      <c r="X2203">
        <v>0.97188379999999996</v>
      </c>
      <c r="Y2203">
        <v>-0.17185739999999999</v>
      </c>
      <c r="Z2203">
        <v>-1.6136729999999999E-3</v>
      </c>
      <c r="AA2203">
        <v>0.98512049999999995</v>
      </c>
      <c r="AB2203">
        <v>37</v>
      </c>
      <c r="AC2203">
        <v>-64.299299999999903</v>
      </c>
      <c r="AD2203">
        <v>-0.40400079999999999</v>
      </c>
      <c r="AE2203">
        <v>-10.397699999999899</v>
      </c>
      <c r="AF2203">
        <v>-11.2554577101824</v>
      </c>
      <c r="AG2203">
        <v>-0.40400079999999999</v>
      </c>
      <c r="AH2203">
        <v>64.152166004416202</v>
      </c>
      <c r="AI2203">
        <v>90.355389382146299</v>
      </c>
      <c r="AJ2203">
        <v>99.9512260521347</v>
      </c>
      <c r="AK2203">
        <v>65.133316727848893</v>
      </c>
      <c r="AL2203">
        <v>76.406892248002606</v>
      </c>
      <c r="AM2203">
        <v>89.155764036335398</v>
      </c>
      <c r="AN2203">
        <v>1.0000000346337901</v>
      </c>
    </row>
    <row r="2204" spans="1:40" x14ac:dyDescent="0.25">
      <c r="A2204" t="str">
        <f>"20190303170541299"</f>
        <v>20190303170541299</v>
      </c>
      <c r="B2204" t="str">
        <f>"1551603941286999"</f>
        <v>1551603941286999</v>
      </c>
      <c r="C2204" t="s">
        <v>40</v>
      </c>
      <c r="D2204">
        <v>5.7501129999999998</v>
      </c>
      <c r="E2204">
        <v>0.43163970000000002</v>
      </c>
      <c r="F2204" t="s">
        <v>68</v>
      </c>
      <c r="G2204">
        <v>-512.82539999999995</v>
      </c>
      <c r="H2204">
        <v>0.70695559999999902</v>
      </c>
      <c r="I2204">
        <v>274.59309999999999</v>
      </c>
      <c r="J2204">
        <v>-448.89260000000002</v>
      </c>
      <c r="K2204">
        <v>1.120725</v>
      </c>
      <c r="L2204">
        <v>284.99540000000002</v>
      </c>
      <c r="M2204">
        <v>-0.99981059999999999</v>
      </c>
      <c r="N2204">
        <v>-1.363078E-2</v>
      </c>
      <c r="O2204">
        <v>1.3897949999999999E-2</v>
      </c>
      <c r="P2204">
        <v>-0.97487659999999998</v>
      </c>
      <c r="Q2204">
        <v>0.22119929999999999</v>
      </c>
      <c r="R2204">
        <v>2.6208059999999998E-2</v>
      </c>
      <c r="S2204">
        <v>-3.096222</v>
      </c>
      <c r="T2204">
        <v>-1.9920710000000001E-2</v>
      </c>
      <c r="U2204">
        <v>-0.50064090000000006</v>
      </c>
      <c r="V2204">
        <v>1.295922E-2</v>
      </c>
      <c r="W2204">
        <v>0.2344541</v>
      </c>
      <c r="X2204">
        <v>0.97204080000000004</v>
      </c>
      <c r="Y2204">
        <v>-0.1733151</v>
      </c>
      <c r="Z2204">
        <v>-1.6435480000000001E-3</v>
      </c>
      <c r="AA2204">
        <v>0.98486510000000005</v>
      </c>
      <c r="AB2204">
        <v>37</v>
      </c>
      <c r="AC2204">
        <v>-63.932799999999901</v>
      </c>
      <c r="AD2204">
        <v>-0.41376940000000001</v>
      </c>
      <c r="AE2204">
        <v>-10.4023</v>
      </c>
      <c r="AF2204">
        <v>-11.289451802633399</v>
      </c>
      <c r="AG2204">
        <v>-0.41376940000000001</v>
      </c>
      <c r="AH2204">
        <v>63.779437515946903</v>
      </c>
      <c r="AI2204">
        <v>90.366011912439504</v>
      </c>
      <c r="AJ2204">
        <v>100.03782209661</v>
      </c>
      <c r="AK2204">
        <v>64.772213000413501</v>
      </c>
      <c r="AL2204">
        <v>76.440553852540702</v>
      </c>
      <c r="AM2204">
        <v>89.236179566792401</v>
      </c>
      <c r="AN2204">
        <v>0.99999999162722897</v>
      </c>
    </row>
    <row r="2205" spans="1:40" x14ac:dyDescent="0.25">
      <c r="A2205" t="str">
        <f>"20190303170541322"</f>
        <v>20190303170541322</v>
      </c>
      <c r="B2205" t="str">
        <f>"1551603941317256"</f>
        <v>1551603941317256</v>
      </c>
      <c r="C2205" t="s">
        <v>40</v>
      </c>
      <c r="D2205">
        <v>5.717822</v>
      </c>
      <c r="E2205">
        <v>0.43134410000000001</v>
      </c>
      <c r="F2205" t="s">
        <v>68</v>
      </c>
      <c r="G2205">
        <v>-512.82539999999995</v>
      </c>
      <c r="H2205">
        <v>0.71060760000000001</v>
      </c>
      <c r="I2205">
        <v>274.55189999999999</v>
      </c>
      <c r="J2205">
        <v>-449.26490000000001</v>
      </c>
      <c r="K2205">
        <v>1.120714</v>
      </c>
      <c r="L2205">
        <v>285.00110000000001</v>
      </c>
      <c r="M2205">
        <v>-0.99980270000000004</v>
      </c>
      <c r="N2205">
        <v>-1.3637379999999999E-2</v>
      </c>
      <c r="O2205">
        <v>1.4443630000000001E-2</v>
      </c>
      <c r="P2205">
        <v>-0.97540179999999999</v>
      </c>
      <c r="Q2205">
        <v>0.2190329</v>
      </c>
      <c r="R2205">
        <v>2.4823609999999999E-2</v>
      </c>
      <c r="S2205">
        <v>-3.095459</v>
      </c>
      <c r="T2205">
        <v>-1.985288E-2</v>
      </c>
      <c r="U2205">
        <v>-0.50564579999999903</v>
      </c>
      <c r="V2205">
        <v>1.1034540000000001E-2</v>
      </c>
      <c r="W2205">
        <v>0.2323036</v>
      </c>
      <c r="X2205">
        <v>0.97258069999999996</v>
      </c>
      <c r="Y2205">
        <v>-0.17544170000000001</v>
      </c>
      <c r="Z2205">
        <v>-1.6595589999999999E-3</v>
      </c>
      <c r="AA2205">
        <v>0.98448840000000004</v>
      </c>
      <c r="AB2205">
        <v>37</v>
      </c>
      <c r="AC2205">
        <v>-63.560499999999898</v>
      </c>
      <c r="AD2205">
        <v>-0.41010639999999998</v>
      </c>
      <c r="AE2205">
        <v>-10.449199999999999</v>
      </c>
      <c r="AF2205">
        <v>-11.3657787819298</v>
      </c>
      <c r="AG2205">
        <v>-0.41010639999999998</v>
      </c>
      <c r="AH2205">
        <v>63.400360089696598</v>
      </c>
      <c r="AI2205">
        <v>90.364798264088506</v>
      </c>
      <c r="AJ2205">
        <v>100.163451980853</v>
      </c>
      <c r="AK2205">
        <v>64.412380596297496</v>
      </c>
      <c r="AL2205">
        <v>76.567267258544106</v>
      </c>
      <c r="AM2205">
        <v>89.349971220614194</v>
      </c>
      <c r="AN2205">
        <v>0.99999997082922998</v>
      </c>
    </row>
    <row r="2206" spans="1:40" x14ac:dyDescent="0.25">
      <c r="A2206" t="str">
        <f>"20190303170541345"</f>
        <v>20190303170541345</v>
      </c>
      <c r="B2206" t="str">
        <f>"1551603941336775"</f>
        <v>1551603941336775</v>
      </c>
      <c r="C2206" t="s">
        <v>40</v>
      </c>
      <c r="D2206">
        <v>5.7341379999999997</v>
      </c>
      <c r="E2206">
        <v>0.43126540000000002</v>
      </c>
      <c r="F2206" t="s">
        <v>68</v>
      </c>
      <c r="G2206">
        <v>-512.82539999999995</v>
      </c>
      <c r="H2206">
        <v>0.58890529999999996</v>
      </c>
      <c r="I2206">
        <v>274.48599999999999</v>
      </c>
      <c r="J2206">
        <v>-449.63010000000003</v>
      </c>
      <c r="K2206">
        <v>1.1206940000000001</v>
      </c>
      <c r="L2206">
        <v>285.00689999999997</v>
      </c>
      <c r="M2206">
        <v>-0.99979479999999998</v>
      </c>
      <c r="N2206">
        <v>-1.364289E-2</v>
      </c>
      <c r="O2206">
        <v>1.4978740000000001E-2</v>
      </c>
      <c r="P2206">
        <v>-0.97595540000000003</v>
      </c>
      <c r="Q2206">
        <v>0.216725</v>
      </c>
      <c r="R2206">
        <v>2.327247E-2</v>
      </c>
      <c r="S2206">
        <v>-3.0944820000000002</v>
      </c>
      <c r="T2206">
        <v>-2.5887489999999999E-2</v>
      </c>
      <c r="U2206">
        <v>-0.51193239999999995</v>
      </c>
      <c r="V2206">
        <v>8.9515159999999996E-3</v>
      </c>
      <c r="W2206">
        <v>0.2300114</v>
      </c>
      <c r="X2206">
        <v>0.97314679999999998</v>
      </c>
      <c r="Y2206">
        <v>-0.17795999999999901</v>
      </c>
      <c r="Z2206">
        <v>-1.8831589999999999E-3</v>
      </c>
      <c r="AA2206">
        <v>0.98403589999999996</v>
      </c>
      <c r="AB2206">
        <v>37</v>
      </c>
      <c r="AC2206">
        <v>-63.195299999999897</v>
      </c>
      <c r="AD2206">
        <v>-0.5317887</v>
      </c>
      <c r="AE2206">
        <v>-10.5208999999999</v>
      </c>
      <c r="AF2206">
        <v>-11.4656034666704</v>
      </c>
      <c r="AG2206">
        <v>-0.5317887</v>
      </c>
      <c r="AH2206">
        <v>63.026261796600103</v>
      </c>
      <c r="AI2206">
        <v>90.475620175775006</v>
      </c>
      <c r="AJ2206">
        <v>100.310375455618</v>
      </c>
      <c r="AK2206">
        <v>64.062879564767798</v>
      </c>
      <c r="AL2206">
        <v>76.702257547677803</v>
      </c>
      <c r="AM2206">
        <v>89.472978154739494</v>
      </c>
      <c r="AN2206">
        <v>1.0000000340594399</v>
      </c>
    </row>
    <row r="2207" spans="1:40" x14ac:dyDescent="0.25">
      <c r="A2207" t="str">
        <f>"20190303170541366"</f>
        <v>20190303170541366</v>
      </c>
      <c r="B2207" t="str">
        <f>"1551603941357271"</f>
        <v>1551603941357271</v>
      </c>
      <c r="C2207" t="s">
        <v>40</v>
      </c>
      <c r="D2207">
        <v>5.7338050000000003</v>
      </c>
      <c r="E2207">
        <v>0.4429226</v>
      </c>
      <c r="F2207" t="s">
        <v>68</v>
      </c>
      <c r="G2207">
        <v>-512.82529999999997</v>
      </c>
      <c r="H2207">
        <v>0.43609490000000001</v>
      </c>
      <c r="I2207">
        <v>274.46289999999999</v>
      </c>
      <c r="J2207">
        <v>-449.98289999999997</v>
      </c>
      <c r="K2207">
        <v>1.1206959999999999</v>
      </c>
      <c r="L2207">
        <v>285.0127</v>
      </c>
      <c r="M2207">
        <v>-0.99978690000000003</v>
      </c>
      <c r="N2207">
        <v>-1.3647319999999999E-2</v>
      </c>
      <c r="O2207">
        <v>1.549619E-2</v>
      </c>
      <c r="P2207">
        <v>-0.97609219999999997</v>
      </c>
      <c r="Q2207">
        <v>0.21616859999999999</v>
      </c>
      <c r="R2207">
        <v>2.2707000000000001E-2</v>
      </c>
      <c r="S2207">
        <v>-3.0936889999999999</v>
      </c>
      <c r="T2207">
        <v>-3.3510209999999999E-2</v>
      </c>
      <c r="U2207">
        <v>-0.51617429999999997</v>
      </c>
      <c r="V2207">
        <v>7.8788069999999998E-3</v>
      </c>
      <c r="W2207">
        <v>0.22946279999999999</v>
      </c>
      <c r="X2207">
        <v>0.97328559999999997</v>
      </c>
      <c r="Y2207">
        <v>-0.17981549999999999</v>
      </c>
      <c r="Z2207">
        <v>-2.1594740000000002E-3</v>
      </c>
      <c r="AA2207">
        <v>0.98369799999999996</v>
      </c>
      <c r="AB2207">
        <v>37</v>
      </c>
      <c r="AC2207">
        <v>-62.842399999999998</v>
      </c>
      <c r="AD2207">
        <v>-0.68460109999999896</v>
      </c>
      <c r="AE2207">
        <v>-10.549799999999999</v>
      </c>
      <c r="AF2207">
        <v>-11.521111552961999</v>
      </c>
      <c r="AG2207">
        <v>-0.68460109999999896</v>
      </c>
      <c r="AH2207">
        <v>62.664122999675698</v>
      </c>
      <c r="AI2207">
        <v>90.615610083270496</v>
      </c>
      <c r="AJ2207">
        <v>100.417771800618</v>
      </c>
      <c r="AK2207">
        <v>63.718105758099902</v>
      </c>
      <c r="AL2207">
        <v>76.734554141760498</v>
      </c>
      <c r="AM2207">
        <v>89.536197259558193</v>
      </c>
      <c r="AN2207">
        <v>1.00000005567547</v>
      </c>
    </row>
    <row r="2208" spans="1:40" x14ac:dyDescent="0.25">
      <c r="A2208" t="str">
        <f>"20190303170541388"</f>
        <v>20190303170541388</v>
      </c>
      <c r="B2208" t="str">
        <f>"1551603941376791"</f>
        <v>1551603941376791</v>
      </c>
      <c r="C2208" t="s">
        <v>40</v>
      </c>
      <c r="D2208">
        <v>5.7046400000000004</v>
      </c>
      <c r="E2208">
        <v>0.44355270000000002</v>
      </c>
      <c r="F2208" t="s">
        <v>68</v>
      </c>
      <c r="G2208">
        <v>-511.95859999999999</v>
      </c>
      <c r="H2208">
        <v>1.015776E-2</v>
      </c>
      <c r="I2208">
        <v>276.48869999999999</v>
      </c>
      <c r="J2208">
        <v>-450.34730000000002</v>
      </c>
      <c r="K2208">
        <v>1.1207009999999999</v>
      </c>
      <c r="L2208">
        <v>285.01889999999997</v>
      </c>
      <c r="M2208">
        <v>-0.99977830000000001</v>
      </c>
      <c r="N2208">
        <v>-1.365096E-2</v>
      </c>
      <c r="O2208">
        <v>1.6030510000000001E-2</v>
      </c>
      <c r="P2208">
        <v>-0.97594860000000005</v>
      </c>
      <c r="Q2208">
        <v>0.21681690000000001</v>
      </c>
      <c r="R2208">
        <v>2.2687059999999998E-2</v>
      </c>
      <c r="S2208">
        <v>-3.0957340000000002</v>
      </c>
      <c r="T2208">
        <v>-5.5468080000000003E-2</v>
      </c>
      <c r="U2208">
        <v>-0.42578129999999997</v>
      </c>
      <c r="V2208">
        <v>7.3405469999999898E-3</v>
      </c>
      <c r="W2208">
        <v>0.2301134</v>
      </c>
      <c r="X2208">
        <v>0.97313609999999995</v>
      </c>
      <c r="Y2208">
        <v>-0.15207770000000001</v>
      </c>
      <c r="Z2208">
        <v>-2.4671720000000001E-3</v>
      </c>
      <c r="AA2208">
        <v>0.98836550000000001</v>
      </c>
      <c r="AB2208">
        <v>37</v>
      </c>
      <c r="AC2208">
        <v>-61.6112999999999</v>
      </c>
      <c r="AD2208">
        <v>-1.1105432399999999</v>
      </c>
      <c r="AE2208">
        <v>-8.5301999999999794</v>
      </c>
      <c r="AF2208">
        <v>-9.5138233949800703</v>
      </c>
      <c r="AG2208">
        <v>-1.1105432399999999</v>
      </c>
      <c r="AH2208">
        <v>61.447036792326202</v>
      </c>
      <c r="AI2208">
        <v>91.023215006073599</v>
      </c>
      <c r="AJ2208">
        <v>98.801201572304194</v>
      </c>
      <c r="AK2208">
        <v>62.189102521553302</v>
      </c>
      <c r="AL2208">
        <v>76.696251354444001</v>
      </c>
      <c r="AM2208">
        <v>89.567815451824401</v>
      </c>
      <c r="AN2208">
        <v>0.99999996480651299</v>
      </c>
    </row>
    <row r="2209" spans="1:40" x14ac:dyDescent="0.25">
      <c r="A2209" t="str">
        <f>"20190303170541403"</f>
        <v>20190303170541403</v>
      </c>
      <c r="B2209" t="str">
        <f>"1551603941397065"</f>
        <v>1551603941397065</v>
      </c>
      <c r="C2209" t="s">
        <v>40</v>
      </c>
      <c r="D2209">
        <v>5.6996699999999896</v>
      </c>
      <c r="E2209">
        <v>0.44385069999999999</v>
      </c>
      <c r="F2209" t="s">
        <v>68</v>
      </c>
      <c r="G2209">
        <v>-511.95859999999999</v>
      </c>
      <c r="H2209">
        <v>2.771467E-2</v>
      </c>
      <c r="I2209">
        <v>276.63350000000003</v>
      </c>
      <c r="J2209">
        <v>-450.60379999999998</v>
      </c>
      <c r="K2209">
        <v>1.1206989999999999</v>
      </c>
      <c r="L2209">
        <v>285.02330000000001</v>
      </c>
      <c r="M2209">
        <v>-0.9997722</v>
      </c>
      <c r="N2209">
        <v>-1.365298E-2</v>
      </c>
      <c r="O2209">
        <v>1.6406179999999999E-2</v>
      </c>
      <c r="P2209">
        <v>-0.97584729999999997</v>
      </c>
      <c r="Q2209">
        <v>0.21728239999999999</v>
      </c>
      <c r="R2209">
        <v>2.2593249999999999E-2</v>
      </c>
      <c r="S2209">
        <v>-3.095917</v>
      </c>
      <c r="T2209">
        <v>-5.491745E-2</v>
      </c>
      <c r="U2209">
        <v>-0.42135620000000001</v>
      </c>
      <c r="V2209">
        <v>6.8825960000000004E-3</v>
      </c>
      <c r="W2209">
        <v>0.2305798</v>
      </c>
      <c r="X2209">
        <v>0.97302909999999998</v>
      </c>
      <c r="Y2209">
        <v>-0.151055299999999</v>
      </c>
      <c r="Z2209">
        <v>-2.436428E-3</v>
      </c>
      <c r="AA2209">
        <v>0.98852229999999996</v>
      </c>
      <c r="AB2209">
        <v>37</v>
      </c>
      <c r="AC2209">
        <v>-61.354799999999997</v>
      </c>
      <c r="AD2209">
        <v>-1.0929843299999999</v>
      </c>
      <c r="AE2209">
        <v>-8.3897999999999797</v>
      </c>
      <c r="AF2209">
        <v>-9.3924363896996699</v>
      </c>
      <c r="AG2209">
        <v>-1.0929843299999999</v>
      </c>
      <c r="AH2209">
        <v>61.189821475697499</v>
      </c>
      <c r="AI2209">
        <v>91.011475451230595</v>
      </c>
      <c r="AJ2209">
        <v>98.726602605539298</v>
      </c>
      <c r="AK2209">
        <v>61.916126560920397</v>
      </c>
      <c r="AL2209">
        <v>76.668790907011896</v>
      </c>
      <c r="AM2209">
        <v>89.5947324428288</v>
      </c>
      <c r="AN2209">
        <v>1.0000000218712699</v>
      </c>
    </row>
    <row r="2210" spans="1:40" x14ac:dyDescent="0.25">
      <c r="A2210" t="str">
        <f>"20190303170541422"</f>
        <v>20190303170541422</v>
      </c>
      <c r="B2210" t="str">
        <f>"1551603941416584"</f>
        <v>1551603941416584</v>
      </c>
      <c r="C2210" t="s">
        <v>40</v>
      </c>
      <c r="D2210">
        <v>5.6829210000000003</v>
      </c>
      <c r="E2210">
        <v>0.44391829999999999</v>
      </c>
      <c r="F2210" t="s">
        <v>68</v>
      </c>
      <c r="G2210">
        <v>-511.95859999999999</v>
      </c>
      <c r="H2210">
        <v>3.1311510000000001E-2</v>
      </c>
      <c r="I2210">
        <v>276.71480000000003</v>
      </c>
      <c r="J2210">
        <v>-450.91419999999999</v>
      </c>
      <c r="K2210">
        <v>1.1207009999999999</v>
      </c>
      <c r="L2210">
        <v>285.02890000000002</v>
      </c>
      <c r="M2210">
        <v>-0.99976469999999995</v>
      </c>
      <c r="N2210">
        <v>-1.3655189999999999E-2</v>
      </c>
      <c r="O2210">
        <v>1.6860880000000002E-2</v>
      </c>
      <c r="P2210">
        <v>-0.97568679999999997</v>
      </c>
      <c r="Q2210">
        <v>0.21801909999999999</v>
      </c>
      <c r="R2210">
        <v>2.243347E-2</v>
      </c>
      <c r="S2210">
        <v>-3.0961910000000001</v>
      </c>
      <c r="T2210">
        <v>-5.497026E-2</v>
      </c>
      <c r="U2210">
        <v>-0.41928100000000001</v>
      </c>
      <c r="V2210">
        <v>6.2829770000000004E-3</v>
      </c>
      <c r="W2210">
        <v>0.23131740000000001</v>
      </c>
      <c r="X2210">
        <v>0.972858</v>
      </c>
      <c r="Y2210">
        <v>-0.15084259999999999</v>
      </c>
      <c r="Z2210">
        <v>-2.4365160000000001E-3</v>
      </c>
      <c r="AA2210">
        <v>0.98855479999999996</v>
      </c>
      <c r="AB2210">
        <v>37</v>
      </c>
      <c r="AC2210">
        <v>-61.044400000000003</v>
      </c>
      <c r="AD2210">
        <v>-1.0893894899999901</v>
      </c>
      <c r="AE2210">
        <v>-8.3140999999999892</v>
      </c>
      <c r="AF2210">
        <v>-9.3393558820633196</v>
      </c>
      <c r="AG2210">
        <v>-1.0893894899999901</v>
      </c>
      <c r="AH2210">
        <v>60.876490008130297</v>
      </c>
      <c r="AI2210">
        <v>91.013349689839998</v>
      </c>
      <c r="AJ2210">
        <v>98.7220186180067</v>
      </c>
      <c r="AK2210">
        <v>61.598355282123698</v>
      </c>
      <c r="AL2210">
        <v>76.625354344332905</v>
      </c>
      <c r="AM2210">
        <v>89.629973685714702</v>
      </c>
      <c r="AN2210">
        <v>0.99999995175336998</v>
      </c>
    </row>
    <row r="2211" spans="1:40" x14ac:dyDescent="0.25">
      <c r="A2211" t="str">
        <f>"20190303170541444"</f>
        <v>20190303170541444</v>
      </c>
      <c r="B2211" t="str">
        <f>"1551603941437082"</f>
        <v>1551603941437082</v>
      </c>
      <c r="C2211" t="s">
        <v>40</v>
      </c>
      <c r="D2211">
        <v>5.6917390000000001</v>
      </c>
      <c r="E2211">
        <v>0.44395960000000001</v>
      </c>
      <c r="F2211" t="s">
        <v>68</v>
      </c>
      <c r="G2211">
        <v>-511.95859999999999</v>
      </c>
      <c r="H2211">
        <v>8.7223049999999996E-2</v>
      </c>
      <c r="I2211">
        <v>276.76690000000002</v>
      </c>
      <c r="J2211">
        <v>-451.2636</v>
      </c>
      <c r="K2211">
        <v>1.1207069999999999</v>
      </c>
      <c r="L2211">
        <v>285.03530000000001</v>
      </c>
      <c r="M2211">
        <v>-0.99975579999999997</v>
      </c>
      <c r="N2211">
        <v>-1.3656919999999999E-2</v>
      </c>
      <c r="O2211">
        <v>1.737315E-2</v>
      </c>
      <c r="P2211">
        <v>-0.97538729999999996</v>
      </c>
      <c r="Q2211">
        <v>0.21931</v>
      </c>
      <c r="R2211">
        <v>2.2866580000000001E-2</v>
      </c>
      <c r="S2211">
        <v>-3.0960999999999999</v>
      </c>
      <c r="T2211">
        <v>-5.2412510000000002E-2</v>
      </c>
      <c r="U2211">
        <v>-0.41903689999999999</v>
      </c>
      <c r="V2211">
        <v>6.2230239999999997E-3</v>
      </c>
      <c r="W2211">
        <v>0.23260600000000001</v>
      </c>
      <c r="X2211">
        <v>0.97255119999999895</v>
      </c>
      <c r="Y2211">
        <v>-0.15127929999999901</v>
      </c>
      <c r="Z2211">
        <v>-2.369131E-3</v>
      </c>
      <c r="AA2211">
        <v>0.98848820000000004</v>
      </c>
      <c r="AB2211">
        <v>37</v>
      </c>
      <c r="AC2211">
        <v>-60.694999999999901</v>
      </c>
      <c r="AD2211">
        <v>-1.0334839499999999</v>
      </c>
      <c r="AE2211">
        <v>-8.2683999999999802</v>
      </c>
      <c r="AF2211">
        <v>-9.3190608530181294</v>
      </c>
      <c r="AG2211">
        <v>-1.0334839499999999</v>
      </c>
      <c r="AH2211">
        <v>60.524947765249301</v>
      </c>
      <c r="AI2211">
        <v>90.966858447993104</v>
      </c>
      <c r="AJ2211">
        <v>98.753125966911895</v>
      </c>
      <c r="AK2211">
        <v>61.246896135586503</v>
      </c>
      <c r="AL2211">
        <v>76.549454212710302</v>
      </c>
      <c r="AM2211">
        <v>89.633388817956202</v>
      </c>
      <c r="AN2211">
        <v>1.00000005694257</v>
      </c>
    </row>
    <row r="2212" spans="1:40" x14ac:dyDescent="0.25">
      <c r="A2212" t="str">
        <f>"20190303170541467"</f>
        <v>20190303170541467</v>
      </c>
      <c r="B2212" t="str">
        <f>"1551603941456601"</f>
        <v>1551603941456601</v>
      </c>
      <c r="C2212" t="s">
        <v>40</v>
      </c>
      <c r="D2212">
        <v>5.6705439999999996</v>
      </c>
      <c r="E2212">
        <v>0.44393899999999997</v>
      </c>
      <c r="F2212" t="s">
        <v>68</v>
      </c>
      <c r="G2212">
        <v>-511.95870000000002</v>
      </c>
      <c r="H2212">
        <v>0.22256409999999999</v>
      </c>
      <c r="I2212">
        <v>276.84010000000001</v>
      </c>
      <c r="J2212">
        <v>-451.63510000000002</v>
      </c>
      <c r="K2212">
        <v>1.1207199999999999</v>
      </c>
      <c r="L2212">
        <v>285.04230000000001</v>
      </c>
      <c r="M2212">
        <v>-0.99974620000000003</v>
      </c>
      <c r="N2212">
        <v>-1.365796E-2</v>
      </c>
      <c r="O2212">
        <v>1.7917659999999998E-2</v>
      </c>
      <c r="P2212">
        <v>-0.97533460000000005</v>
      </c>
      <c r="Q2212">
        <v>0.21950210000000001</v>
      </c>
      <c r="R2212">
        <v>2.326719E-2</v>
      </c>
      <c r="S2212">
        <v>-3.0957949999999999</v>
      </c>
      <c r="T2212">
        <v>-4.580617E-2</v>
      </c>
      <c r="U2212">
        <v>-0.41799930000000002</v>
      </c>
      <c r="V2212">
        <v>6.0934450000000003E-3</v>
      </c>
      <c r="W2212">
        <v>0.23279839999999999</v>
      </c>
      <c r="X2212">
        <v>0.97250590000000003</v>
      </c>
      <c r="Y2212">
        <v>-0.15151249999999999</v>
      </c>
      <c r="Z2212">
        <v>-2.1757040000000001E-3</v>
      </c>
      <c r="AA2212">
        <v>0.98845300000000003</v>
      </c>
      <c r="AB2212">
        <v>36</v>
      </c>
      <c r="AC2212">
        <v>-60.323599999999999</v>
      </c>
      <c r="AD2212">
        <v>-0.89815590000000001</v>
      </c>
      <c r="AE2212">
        <v>-8.2021999999999995</v>
      </c>
      <c r="AF2212">
        <v>-9.2798217559052194</v>
      </c>
      <c r="AG2212">
        <v>-0.89815590000000001</v>
      </c>
      <c r="AH2212">
        <v>60.153843339608997</v>
      </c>
      <c r="AI2212">
        <v>90.845419344256797</v>
      </c>
      <c r="AJ2212">
        <v>98.769779973561</v>
      </c>
      <c r="AK2212">
        <v>60.8720514223753</v>
      </c>
      <c r="AL2212">
        <v>76.538118221498806</v>
      </c>
      <c r="AM2212">
        <v>89.641005661285206</v>
      </c>
      <c r="AN2212">
        <v>0.999999975324668</v>
      </c>
    </row>
    <row r="2213" spans="1:40" x14ac:dyDescent="0.25">
      <c r="A2213" t="str">
        <f>"20190303170541489"</f>
        <v>20190303170541489</v>
      </c>
      <c r="B2213" t="str">
        <f>"1551603941477097"</f>
        <v>1551603941477097</v>
      </c>
      <c r="C2213" t="s">
        <v>40</v>
      </c>
      <c r="D2213">
        <v>5.6580519999999996</v>
      </c>
      <c r="E2213">
        <v>0.44408069999999999</v>
      </c>
      <c r="F2213" t="s">
        <v>68</v>
      </c>
      <c r="G2213">
        <v>-511.95870000000002</v>
      </c>
      <c r="H2213">
        <v>0.27927679999999999</v>
      </c>
      <c r="I2213">
        <v>276.92759999999998</v>
      </c>
      <c r="J2213">
        <v>-451.99680000000001</v>
      </c>
      <c r="K2213">
        <v>1.120727</v>
      </c>
      <c r="L2213">
        <v>285.04930000000002</v>
      </c>
      <c r="M2213">
        <v>-0.99973659999999998</v>
      </c>
      <c r="N2213">
        <v>-1.365854E-2</v>
      </c>
      <c r="O2213">
        <v>1.8447640000000001E-2</v>
      </c>
      <c r="P2213">
        <v>-0.97534560000000003</v>
      </c>
      <c r="Q2213">
        <v>0.21946889999999999</v>
      </c>
      <c r="R2213">
        <v>2.3124570000000001E-2</v>
      </c>
      <c r="S2213">
        <v>-3.0955509999999999</v>
      </c>
      <c r="T2213">
        <v>-4.3174980000000002E-2</v>
      </c>
      <c r="U2213">
        <v>-0.41641240000000002</v>
      </c>
      <c r="V2213">
        <v>5.4333519999999998E-3</v>
      </c>
      <c r="W2213">
        <v>0.2327669</v>
      </c>
      <c r="X2213">
        <v>0.97251739999999998</v>
      </c>
      <c r="Y2213">
        <v>-0.15155189999999999</v>
      </c>
      <c r="Z2213">
        <v>-2.0972849999999999E-3</v>
      </c>
      <c r="AA2213">
        <v>0.98844710000000002</v>
      </c>
      <c r="AB2213">
        <v>36</v>
      </c>
      <c r="AC2213">
        <v>-59.9619</v>
      </c>
      <c r="AD2213">
        <v>-0.84145020000000004</v>
      </c>
      <c r="AE2213">
        <v>-8.1217000000000308</v>
      </c>
      <c r="AF2213">
        <v>-9.2247924295207806</v>
      </c>
      <c r="AG2213">
        <v>-0.84145020000000004</v>
      </c>
      <c r="AH2213">
        <v>59.790291861712703</v>
      </c>
      <c r="AI2213">
        <v>90.796863511117095</v>
      </c>
      <c r="AJ2213">
        <v>98.770767534303602</v>
      </c>
      <c r="AK2213">
        <v>60.503585304638101</v>
      </c>
      <c r="AL2213">
        <v>76.5399746621151</v>
      </c>
      <c r="AM2213">
        <v>89.679897861698294</v>
      </c>
      <c r="AN2213">
        <v>1.00000002217616</v>
      </c>
    </row>
    <row r="2214" spans="1:40" x14ac:dyDescent="0.25">
      <c r="A2214" t="str">
        <f>"20190303170541505"</f>
        <v>20190303170541505</v>
      </c>
      <c r="B2214" t="str">
        <f>"1551603941497374"</f>
        <v>1551603941497374</v>
      </c>
      <c r="C2214" t="s">
        <v>40</v>
      </c>
      <c r="D2214">
        <v>5.6735860000000002</v>
      </c>
      <c r="E2214">
        <v>0.44400420000000002</v>
      </c>
      <c r="F2214" t="s">
        <v>68</v>
      </c>
      <c r="G2214">
        <v>-511.95870000000002</v>
      </c>
      <c r="H2214">
        <v>0.27908719999999998</v>
      </c>
      <c r="I2214">
        <v>277.01889999999997</v>
      </c>
      <c r="J2214">
        <v>-452.24709999999999</v>
      </c>
      <c r="K2214">
        <v>1.1207279999999999</v>
      </c>
      <c r="L2214">
        <v>285.05430000000001</v>
      </c>
      <c r="M2214">
        <v>-0.9997298</v>
      </c>
      <c r="N2214">
        <v>-1.3658780000000001E-2</v>
      </c>
      <c r="O2214">
        <v>1.8814730000000002E-2</v>
      </c>
      <c r="P2214">
        <v>-0.975267</v>
      </c>
      <c r="Q2214">
        <v>0.21982070000000001</v>
      </c>
      <c r="R2214">
        <v>2.310121E-2</v>
      </c>
      <c r="S2214">
        <v>-3.0953979999999999</v>
      </c>
      <c r="T2214">
        <v>-4.344344E-2</v>
      </c>
      <c r="U2214">
        <v>-0.4145508</v>
      </c>
      <c r="V2214">
        <v>5.0537450000000001E-3</v>
      </c>
      <c r="W2214">
        <v>0.23311799999999999</v>
      </c>
      <c r="X2214">
        <v>0.97243539999999995</v>
      </c>
      <c r="Y2214">
        <v>-0.1513371</v>
      </c>
      <c r="Z2214">
        <v>-2.1026669999999999E-3</v>
      </c>
      <c r="AA2214">
        <v>0.98848000000000003</v>
      </c>
      <c r="AB2214">
        <v>36</v>
      </c>
      <c r="AC2214">
        <v>-59.711599999999997</v>
      </c>
      <c r="AD2214">
        <v>-0.84164079999999997</v>
      </c>
      <c r="AE2214">
        <v>-8.0354000000000294</v>
      </c>
      <c r="AF2214">
        <v>-9.1557530469379103</v>
      </c>
      <c r="AG2214">
        <v>-0.84164079999999997</v>
      </c>
      <c r="AH2214">
        <v>59.538212183156297</v>
      </c>
      <c r="AI2214">
        <v>90.800479141513193</v>
      </c>
      <c r="AJ2214">
        <v>98.742428294691507</v>
      </c>
      <c r="AK2214">
        <v>60.243961382526003</v>
      </c>
      <c r="AL2214">
        <v>76.519289785933907</v>
      </c>
      <c r="AM2214">
        <v>89.702236619106102</v>
      </c>
      <c r="AN2214">
        <v>1.0000000747178299</v>
      </c>
    </row>
    <row r="2215" spans="1:40" x14ac:dyDescent="0.25">
      <c r="A2215" t="str">
        <f>"20190303170541522"</f>
        <v>20190303170541522</v>
      </c>
      <c r="B2215" t="str">
        <f>"1551603941516894"</f>
        <v>1551603941516894</v>
      </c>
      <c r="C2215" t="s">
        <v>40</v>
      </c>
      <c r="D2215">
        <v>5.6889079999999996</v>
      </c>
      <c r="E2215">
        <v>0.44403199999999998</v>
      </c>
      <c r="F2215" t="s">
        <v>68</v>
      </c>
      <c r="G2215">
        <v>-511.95870000000002</v>
      </c>
      <c r="H2215">
        <v>0.30289870000000002</v>
      </c>
      <c r="I2215">
        <v>277.0498</v>
      </c>
      <c r="J2215">
        <v>-452.5428</v>
      </c>
      <c r="K2215">
        <v>1.120733</v>
      </c>
      <c r="L2215">
        <v>285.06020000000001</v>
      </c>
      <c r="M2215">
        <v>-0.99972150000000004</v>
      </c>
      <c r="N2215">
        <v>-1.3658790000000001E-2</v>
      </c>
      <c r="O2215">
        <v>1.9248979999999999E-2</v>
      </c>
      <c r="P2215">
        <v>-0.97497809999999996</v>
      </c>
      <c r="Q2215">
        <v>0.22115979999999999</v>
      </c>
      <c r="R2215">
        <v>2.2500010000000001E-2</v>
      </c>
      <c r="S2215">
        <v>-3.0954280000000001</v>
      </c>
      <c r="T2215">
        <v>-4.2391659999999998E-2</v>
      </c>
      <c r="U2215">
        <v>-0.41494750000000002</v>
      </c>
      <c r="V2215">
        <v>4.0359269999999999E-3</v>
      </c>
      <c r="W2215">
        <v>0.23445460000000001</v>
      </c>
      <c r="X2215">
        <v>0.9721187</v>
      </c>
      <c r="Y2215">
        <v>-0.15189059999999999</v>
      </c>
      <c r="Z2215">
        <v>-2.0782840000000001E-3</v>
      </c>
      <c r="AA2215">
        <v>0.98839520000000003</v>
      </c>
      <c r="AB2215">
        <v>36</v>
      </c>
      <c r="AC2215">
        <v>-59.415900000000001</v>
      </c>
      <c r="AD2215">
        <v>-0.81783429999999901</v>
      </c>
      <c r="AE2215">
        <v>-8.0104000000000006</v>
      </c>
      <c r="AF2215">
        <v>-9.1510148125866504</v>
      </c>
      <c r="AG2215">
        <v>-0.81783429999999901</v>
      </c>
      <c r="AH2215">
        <v>59.239659656985097</v>
      </c>
      <c r="AI2215">
        <v>90.781677594593006</v>
      </c>
      <c r="AJ2215">
        <v>98.781326230688407</v>
      </c>
      <c r="AK2215">
        <v>59.947870698781799</v>
      </c>
      <c r="AL2215">
        <v>76.440524602991701</v>
      </c>
      <c r="AM2215">
        <v>89.762127551973407</v>
      </c>
      <c r="AN2215">
        <v>1.00000000752879</v>
      </c>
    </row>
    <row r="2216" spans="1:40" x14ac:dyDescent="0.25">
      <c r="A2216" t="str">
        <f>"20190303170541545"</f>
        <v>20190303170541545</v>
      </c>
      <c r="B2216" t="str">
        <f>"1551603941537391"</f>
        <v>1551603941537391</v>
      </c>
      <c r="C2216" t="s">
        <v>40</v>
      </c>
      <c r="D2216">
        <v>5.6628999999999996</v>
      </c>
      <c r="E2216">
        <v>0.44409520000000002</v>
      </c>
      <c r="F2216" t="s">
        <v>68</v>
      </c>
      <c r="G2216">
        <v>-511.95870000000002</v>
      </c>
      <c r="H2216">
        <v>0.38832090000000002</v>
      </c>
      <c r="I2216">
        <v>277.05990000000003</v>
      </c>
      <c r="J2216">
        <v>-452.89580000000001</v>
      </c>
      <c r="K2216">
        <v>1.120744</v>
      </c>
      <c r="L2216">
        <v>285.06760000000003</v>
      </c>
      <c r="M2216">
        <v>-0.99971149999999998</v>
      </c>
      <c r="N2216">
        <v>-1.3658419999999999E-2</v>
      </c>
      <c r="O2216">
        <v>1.976644E-2</v>
      </c>
      <c r="P2216">
        <v>-0.97478960000000003</v>
      </c>
      <c r="Q2216">
        <v>0.22212899999999999</v>
      </c>
      <c r="R2216">
        <v>2.1087479999999999E-2</v>
      </c>
      <c r="S2216">
        <v>-3.0952760000000001</v>
      </c>
      <c r="T2216">
        <v>-3.8150789999999997E-2</v>
      </c>
      <c r="U2216">
        <v>-0.4167786</v>
      </c>
      <c r="V2216">
        <v>2.124033E-3</v>
      </c>
      <c r="W2216">
        <v>0.23542279999999999</v>
      </c>
      <c r="X2216">
        <v>0.9718907</v>
      </c>
      <c r="Y2216">
        <v>-0.1529867</v>
      </c>
      <c r="Z2216">
        <v>-1.9620449999999999E-3</v>
      </c>
      <c r="AA2216">
        <v>0.9882263</v>
      </c>
      <c r="AB2216">
        <v>36</v>
      </c>
      <c r="AC2216">
        <v>-59.062899999999999</v>
      </c>
      <c r="AD2216">
        <v>-0.73242309999999899</v>
      </c>
      <c r="AE2216">
        <v>-8.0076999999999998</v>
      </c>
      <c r="AF2216">
        <v>-9.1723221377677806</v>
      </c>
      <c r="AG2216">
        <v>-0.73242309999999899</v>
      </c>
      <c r="AH2216">
        <v>58.8841683143281</v>
      </c>
      <c r="AI2216">
        <v>90.704138857495394</v>
      </c>
      <c r="AJ2216">
        <v>98.853749124899906</v>
      </c>
      <c r="AK2216">
        <v>59.598768570051199</v>
      </c>
      <c r="AL2216">
        <v>76.383452887608499</v>
      </c>
      <c r="AM2216">
        <v>89.874782284990204</v>
      </c>
      <c r="AN2216">
        <v>0.99999996951125703</v>
      </c>
    </row>
    <row r="2217" spans="1:40" x14ac:dyDescent="0.25">
      <c r="A2217" t="str">
        <f>"20190303170541566"</f>
        <v>20190303170541566</v>
      </c>
      <c r="B2217" t="str">
        <f>"1551603941556911"</f>
        <v>1551603941556911</v>
      </c>
      <c r="C2217" t="s">
        <v>40</v>
      </c>
      <c r="D2217">
        <v>5.6848979999999996</v>
      </c>
      <c r="E2217">
        <v>0.44407760000000002</v>
      </c>
      <c r="F2217" t="s">
        <v>68</v>
      </c>
      <c r="G2217">
        <v>-511.9588</v>
      </c>
      <c r="H2217">
        <v>0.4448645</v>
      </c>
      <c r="I2217">
        <v>277.04349999999999</v>
      </c>
      <c r="J2217">
        <v>-453.25549999999998</v>
      </c>
      <c r="K2217">
        <v>1.120743</v>
      </c>
      <c r="L2217">
        <v>285.0752</v>
      </c>
      <c r="M2217">
        <v>-0.99970079999999995</v>
      </c>
      <c r="N2217">
        <v>-1.365764E-2</v>
      </c>
      <c r="O2217">
        <v>2.0294280000000001E-2</v>
      </c>
      <c r="P2217">
        <v>-0.97474590000000005</v>
      </c>
      <c r="Q2217">
        <v>0.22253819999999999</v>
      </c>
      <c r="R2217">
        <v>1.8641020000000001E-2</v>
      </c>
      <c r="S2217">
        <v>-3.094757</v>
      </c>
      <c r="T2217">
        <v>-3.5410169999999998E-2</v>
      </c>
      <c r="U2217">
        <v>-0.4204407</v>
      </c>
      <c r="V2217">
        <v>-8.3531770000000005E-4</v>
      </c>
      <c r="W2217">
        <v>0.23583380000000001</v>
      </c>
      <c r="X2217">
        <v>0.97179309999999997</v>
      </c>
      <c r="Y2217">
        <v>-0.15468080000000001</v>
      </c>
      <c r="Z2217">
        <v>-1.897461E-3</v>
      </c>
      <c r="AA2217">
        <v>0.98796269999999997</v>
      </c>
      <c r="AB2217">
        <v>36</v>
      </c>
      <c r="AC2217">
        <v>-58.703299999999999</v>
      </c>
      <c r="AD2217">
        <v>-0.67587849999999905</v>
      </c>
      <c r="AE2217">
        <v>-8.0317000000000007</v>
      </c>
      <c r="AF2217">
        <v>-9.2202980661905496</v>
      </c>
      <c r="AG2217">
        <v>-0.67587849999999905</v>
      </c>
      <c r="AH2217">
        <v>58.520580090706297</v>
      </c>
      <c r="AI2217">
        <v>90.653640788898201</v>
      </c>
      <c r="AJ2217">
        <v>98.953717757283698</v>
      </c>
      <c r="AK2217">
        <v>59.246341678866003</v>
      </c>
      <c r="AL2217">
        <v>76.359223235988495</v>
      </c>
      <c r="AM2217">
        <v>90.049249338131105</v>
      </c>
      <c r="AN2217">
        <v>1.00000005409285</v>
      </c>
    </row>
    <row r="2218" spans="1:40" x14ac:dyDescent="0.25">
      <c r="A2218" t="str">
        <f>"20190303170541584"</f>
        <v>20190303170541584</v>
      </c>
      <c r="B2218" t="str">
        <f>"1551603941577406"</f>
        <v>1551603941577406</v>
      </c>
      <c r="C2218" t="s">
        <v>40</v>
      </c>
      <c r="D2218">
        <v>5.671163</v>
      </c>
      <c r="E2218">
        <v>0.44404440000000001</v>
      </c>
      <c r="F2218" t="s">
        <v>68</v>
      </c>
      <c r="G2218">
        <v>-511.9588</v>
      </c>
      <c r="H2218">
        <v>0.4625977</v>
      </c>
      <c r="I2218">
        <v>276.96910000000003</v>
      </c>
      <c r="J2218">
        <v>-453.53190000000001</v>
      </c>
      <c r="K2218">
        <v>1.120743</v>
      </c>
      <c r="L2218">
        <v>285.08120000000002</v>
      </c>
      <c r="M2218">
        <v>-0.99969260000000004</v>
      </c>
      <c r="N2218">
        <v>-1.36571E-2</v>
      </c>
      <c r="O2218">
        <v>2.0699869999999999E-2</v>
      </c>
      <c r="P2218">
        <v>-0.97477020000000003</v>
      </c>
      <c r="Q2218">
        <v>0.2225316</v>
      </c>
      <c r="R2218">
        <v>1.7402589999999999E-2</v>
      </c>
      <c r="S2218">
        <v>-3.093842</v>
      </c>
      <c r="T2218">
        <v>-3.4681919999999998E-2</v>
      </c>
      <c r="U2218">
        <v>-0.42721559999999997</v>
      </c>
      <c r="V2218">
        <v>-2.4701480000000001E-3</v>
      </c>
      <c r="W2218">
        <v>0.23582880000000001</v>
      </c>
      <c r="X2218">
        <v>0.97179150000000003</v>
      </c>
      <c r="Y2218">
        <v>-0.15724389999999999</v>
      </c>
      <c r="Z2218">
        <v>-1.9058230000000001E-3</v>
      </c>
      <c r="AA2218">
        <v>0.98755789999999999</v>
      </c>
      <c r="AB2218">
        <v>36</v>
      </c>
      <c r="AC2218">
        <v>-58.426899999999897</v>
      </c>
      <c r="AD2218">
        <v>-0.65814530000000004</v>
      </c>
      <c r="AE2218">
        <v>-8.1120999999999892</v>
      </c>
      <c r="AF2218">
        <v>-9.3187433289594406</v>
      </c>
      <c r="AG2218">
        <v>-0.65814530000000004</v>
      </c>
      <c r="AH2218">
        <v>58.239193710571698</v>
      </c>
      <c r="AI2218">
        <v>90.639324698271594</v>
      </c>
      <c r="AJ2218">
        <v>99.090730005203397</v>
      </c>
      <c r="AK2218">
        <v>58.983691106308598</v>
      </c>
      <c r="AL2218">
        <v>76.359517583686397</v>
      </c>
      <c r="AM2218">
        <v>90.145636950279396</v>
      </c>
      <c r="AN2218">
        <v>1.00000002200641</v>
      </c>
    </row>
    <row r="2219" spans="1:40" x14ac:dyDescent="0.25">
      <c r="A2219" t="str">
        <f>"20190303170541600"</f>
        <v>20190303170541600</v>
      </c>
      <c r="B2219" t="str">
        <f>"1551603941587166"</f>
        <v>1551603941587166</v>
      </c>
      <c r="C2219" t="s">
        <v>40</v>
      </c>
      <c r="D2219">
        <v>5.6708559999999997</v>
      </c>
      <c r="E2219">
        <v>0.44402029999999998</v>
      </c>
      <c r="F2219" t="s">
        <v>68</v>
      </c>
      <c r="G2219">
        <v>-511.9588</v>
      </c>
      <c r="H2219">
        <v>0.45716329999999999</v>
      </c>
      <c r="I2219">
        <v>276.9427</v>
      </c>
      <c r="J2219">
        <v>-453.80759999999998</v>
      </c>
      <c r="K2219">
        <v>1.120741</v>
      </c>
      <c r="L2219">
        <v>285.08730000000003</v>
      </c>
      <c r="M2219">
        <v>-0.99968409999999996</v>
      </c>
      <c r="N2219">
        <v>-1.365626E-2</v>
      </c>
      <c r="O2219">
        <v>2.1105039999999999E-2</v>
      </c>
      <c r="P2219">
        <v>-0.97477539999999996</v>
      </c>
      <c r="Q2219">
        <v>0.22263769999999999</v>
      </c>
      <c r="R2219">
        <v>1.5667839999999999E-2</v>
      </c>
      <c r="S2219">
        <v>-3.0933229999999998</v>
      </c>
      <c r="T2219">
        <v>-3.512788E-2</v>
      </c>
      <c r="U2219">
        <v>-0.43087769999999997</v>
      </c>
      <c r="V2219">
        <v>-4.5997410000000001E-3</v>
      </c>
      <c r="W2219">
        <v>0.23593620000000001</v>
      </c>
      <c r="X2219">
        <v>0.97175769999999995</v>
      </c>
      <c r="Y2219">
        <v>-0.15881289999999901</v>
      </c>
      <c r="Z2219">
        <v>-1.938941E-3</v>
      </c>
      <c r="AA2219">
        <v>0.98730680000000004</v>
      </c>
      <c r="AB2219">
        <v>36</v>
      </c>
      <c r="AC2219">
        <v>-58.151200000000003</v>
      </c>
      <c r="AD2219">
        <v>-0.66357769999999905</v>
      </c>
      <c r="AE2219">
        <v>-8.14460000000002</v>
      </c>
      <c r="AF2219">
        <v>-9.3689867651756504</v>
      </c>
      <c r="AG2219">
        <v>-0.66357769999999905</v>
      </c>
      <c r="AH2219">
        <v>57.958935079457497</v>
      </c>
      <c r="AI2219">
        <v>90.647551434023697</v>
      </c>
      <c r="AJ2219">
        <v>99.182359051306406</v>
      </c>
      <c r="AK2219">
        <v>58.715044102127202</v>
      </c>
      <c r="AL2219">
        <v>76.353185550643801</v>
      </c>
      <c r="AM2219">
        <v>90.271203179461097</v>
      </c>
      <c r="AN2219">
        <v>1.0000000377984899</v>
      </c>
    </row>
    <row r="2220" spans="1:40" x14ac:dyDescent="0.25">
      <c r="A2220" t="str">
        <f>"20190303170541616"</f>
        <v>20190303170541616</v>
      </c>
      <c r="B2220" t="str">
        <f>"1551603941607228"</f>
        <v>1551603941607228</v>
      </c>
      <c r="C2220" t="s">
        <v>40</v>
      </c>
      <c r="D2220">
        <v>5.7024869999999996</v>
      </c>
      <c r="E2220">
        <v>0.44408019999999998</v>
      </c>
      <c r="F2220" t="s">
        <v>68</v>
      </c>
      <c r="G2220">
        <v>-511.9588</v>
      </c>
      <c r="H2220">
        <v>0.47470709999999999</v>
      </c>
      <c r="I2220">
        <v>276.87310000000002</v>
      </c>
      <c r="J2220">
        <v>-454.0625</v>
      </c>
      <c r="K2220">
        <v>1.120743</v>
      </c>
      <c r="L2220">
        <v>285.09300000000002</v>
      </c>
      <c r="M2220">
        <v>-0.99967620000000001</v>
      </c>
      <c r="N2220">
        <v>-1.365537E-2</v>
      </c>
      <c r="O2220">
        <v>2.1479760000000001E-2</v>
      </c>
      <c r="P2220">
        <v>-0.97476640000000003</v>
      </c>
      <c r="Q2220">
        <v>0.22271640000000001</v>
      </c>
      <c r="R2220">
        <v>1.510473E-2</v>
      </c>
      <c r="S2220">
        <v>-3.0924990000000001</v>
      </c>
      <c r="T2220">
        <v>-3.4351939999999997E-2</v>
      </c>
      <c r="U2220">
        <v>-0.43682860000000001</v>
      </c>
      <c r="V2220">
        <v>-5.5282229999999996E-3</v>
      </c>
      <c r="W2220">
        <v>0.23601549999999999</v>
      </c>
      <c r="X2220">
        <v>0.97173359999999998</v>
      </c>
      <c r="Y2220">
        <v>-0.16108210000000001</v>
      </c>
      <c r="Z2220">
        <v>-1.941297E-3</v>
      </c>
      <c r="AA2220">
        <v>0.98693909999999996</v>
      </c>
      <c r="AB2220">
        <v>36</v>
      </c>
      <c r="AC2220">
        <v>-57.896299999999997</v>
      </c>
      <c r="AD2220">
        <v>-0.6460359</v>
      </c>
      <c r="AE2220">
        <v>-8.2198999999999902</v>
      </c>
      <c r="AF2220">
        <v>-9.4605628706058997</v>
      </c>
      <c r="AG2220">
        <v>-0.6460359</v>
      </c>
      <c r="AH2220">
        <v>57.699319648483602</v>
      </c>
      <c r="AI2220">
        <v>90.633038675282705</v>
      </c>
      <c r="AJ2220">
        <v>99.311543493389905</v>
      </c>
      <c r="AK2220">
        <v>58.473336659631997</v>
      </c>
      <c r="AL2220">
        <v>76.348509890739606</v>
      </c>
      <c r="AM2220">
        <v>90.3259539744504</v>
      </c>
      <c r="AN2220">
        <v>1.0000000334293699</v>
      </c>
    </row>
    <row r="2221" spans="1:40" x14ac:dyDescent="0.25">
      <c r="A2221" t="str">
        <f>"20190303170541633"</f>
        <v>20190303170541633</v>
      </c>
      <c r="B2221" t="str">
        <f>"1551603941626748"</f>
        <v>1551603941626748</v>
      </c>
      <c r="C2221" t="s">
        <v>40</v>
      </c>
      <c r="D2221">
        <v>5.6762779999999999</v>
      </c>
      <c r="E2221">
        <v>0.44402720000000001</v>
      </c>
      <c r="F2221" t="s">
        <v>68</v>
      </c>
      <c r="G2221">
        <v>-511.9588</v>
      </c>
      <c r="H2221">
        <v>0.4640976</v>
      </c>
      <c r="I2221">
        <v>276.88459999999998</v>
      </c>
      <c r="J2221">
        <v>-454.34359999999998</v>
      </c>
      <c r="K2221">
        <v>1.120752</v>
      </c>
      <c r="L2221">
        <v>285.0994</v>
      </c>
      <c r="M2221">
        <v>-0.99966710000000003</v>
      </c>
      <c r="N2221">
        <v>-1.3654299999999999E-2</v>
      </c>
      <c r="O2221">
        <v>2.1893449999999998E-2</v>
      </c>
      <c r="P2221">
        <v>-0.97477290000000005</v>
      </c>
      <c r="Q2221">
        <v>0.22276290000000001</v>
      </c>
      <c r="R2221">
        <v>1.395714E-2</v>
      </c>
      <c r="S2221">
        <v>-3.0924990000000001</v>
      </c>
      <c r="T2221">
        <v>-3.5069940000000001E-2</v>
      </c>
      <c r="U2221">
        <v>-0.438446</v>
      </c>
      <c r="V2221">
        <v>-7.0794550000000001E-3</v>
      </c>
      <c r="W2221">
        <v>0.23606279999999999</v>
      </c>
      <c r="X2221">
        <v>0.97171209999999997</v>
      </c>
      <c r="Y2221">
        <v>-0.16199569999999999</v>
      </c>
      <c r="Z2221">
        <v>-1.9752900000000002E-3</v>
      </c>
      <c r="AA2221">
        <v>0.98678949999999999</v>
      </c>
      <c r="AB2221">
        <v>36</v>
      </c>
      <c r="AC2221">
        <v>-57.615200000000002</v>
      </c>
      <c r="AD2221">
        <v>-0.65665439999999997</v>
      </c>
      <c r="AE2221">
        <v>-8.2148000000000199</v>
      </c>
      <c r="AF2221">
        <v>-9.4731376664242699</v>
      </c>
      <c r="AG2221">
        <v>-0.65665439999999997</v>
      </c>
      <c r="AH2221">
        <v>57.4142111979953</v>
      </c>
      <c r="AI2221">
        <v>90.646530647389397</v>
      </c>
      <c r="AJ2221">
        <v>99.369183822180602</v>
      </c>
      <c r="AK2221">
        <v>58.194185102431703</v>
      </c>
      <c r="AL2221">
        <v>76.345721710607606</v>
      </c>
      <c r="AM2221">
        <v>90.417423757785301</v>
      </c>
      <c r="AN2221">
        <v>1.0000000847566699</v>
      </c>
    </row>
    <row r="2222" spans="1:40" x14ac:dyDescent="0.25">
      <c r="A2222" t="str">
        <f>"20190303170541657"</f>
        <v>20190303170541657</v>
      </c>
      <c r="B2222" t="str">
        <f>"1551603941647244"</f>
        <v>1551603941647244</v>
      </c>
      <c r="C2222" t="s">
        <v>40</v>
      </c>
      <c r="D2222">
        <v>5.6803369999999997</v>
      </c>
      <c r="E2222">
        <v>0.4440114</v>
      </c>
      <c r="F2222" t="s">
        <v>68</v>
      </c>
      <c r="G2222">
        <v>-511.9588</v>
      </c>
      <c r="H2222">
        <v>0.4540477</v>
      </c>
      <c r="I2222">
        <v>276.87119999999999</v>
      </c>
      <c r="J2222">
        <v>-454.71960000000001</v>
      </c>
      <c r="K2222">
        <v>1.1207609999999999</v>
      </c>
      <c r="L2222">
        <v>285.10820000000001</v>
      </c>
      <c r="M2222">
        <v>-0.99965499999999996</v>
      </c>
      <c r="N2222">
        <v>-1.365271E-2</v>
      </c>
      <c r="O2222">
        <v>2.2446549999999999E-2</v>
      </c>
      <c r="P2222">
        <v>-0.97495259999999995</v>
      </c>
      <c r="Q2222">
        <v>0.222082</v>
      </c>
      <c r="R2222">
        <v>1.215109E-2</v>
      </c>
      <c r="S2222">
        <v>-3.0920719999999999</v>
      </c>
      <c r="T2222">
        <v>-3.5776019999999999E-2</v>
      </c>
      <c r="U2222">
        <v>-0.44158940000000002</v>
      </c>
      <c r="V2222">
        <v>-9.4297419999999996E-3</v>
      </c>
      <c r="W2222">
        <v>0.23538529999999999</v>
      </c>
      <c r="X2222">
        <v>0.97185639999999995</v>
      </c>
      <c r="Y2222">
        <v>-0.16354279999999999</v>
      </c>
      <c r="Z2222">
        <v>-2.0171350000000002E-3</v>
      </c>
      <c r="AA2222">
        <v>0.98653420000000003</v>
      </c>
      <c r="AB2222">
        <v>36</v>
      </c>
      <c r="AC2222">
        <v>-57.239199999999897</v>
      </c>
      <c r="AD2222">
        <v>-0.66671329999999995</v>
      </c>
      <c r="AE2222">
        <v>-8.2370000000000196</v>
      </c>
      <c r="AF2222">
        <v>-9.5186011377543807</v>
      </c>
      <c r="AG2222">
        <v>-0.66671329999999995</v>
      </c>
      <c r="AH2222">
        <v>57.032285435454803</v>
      </c>
      <c r="AI2222">
        <v>90.660626183173505</v>
      </c>
      <c r="AJ2222">
        <v>99.475244078198401</v>
      </c>
      <c r="AK2222">
        <v>57.824993352660599</v>
      </c>
      <c r="AL2222">
        <v>76.385664179627497</v>
      </c>
      <c r="AM2222">
        <v>90.555912853484401</v>
      </c>
      <c r="AN2222">
        <v>1.00000001085561</v>
      </c>
    </row>
    <row r="2223" spans="1:40" x14ac:dyDescent="0.25">
      <c r="A2223" t="str">
        <f>"20190303170541680"</f>
        <v>20190303170541680</v>
      </c>
      <c r="B2223" t="str">
        <f>"1551603941666765"</f>
        <v>1551603941666765</v>
      </c>
      <c r="C2223" t="s">
        <v>40</v>
      </c>
      <c r="D2223">
        <v>5.6982759999999999</v>
      </c>
      <c r="E2223">
        <v>0.44398579999999999</v>
      </c>
      <c r="F2223" t="s">
        <v>68</v>
      </c>
      <c r="G2223">
        <v>-511.95870000000002</v>
      </c>
      <c r="H2223">
        <v>0.38951609999999998</v>
      </c>
      <c r="I2223">
        <v>276.86470000000003</v>
      </c>
      <c r="J2223">
        <v>-455.0779</v>
      </c>
      <c r="K2223">
        <v>1.1207640000000001</v>
      </c>
      <c r="L2223">
        <v>285.11680000000001</v>
      </c>
      <c r="M2223">
        <v>-0.99964299999999995</v>
      </c>
      <c r="N2223">
        <v>-1.365095E-2</v>
      </c>
      <c r="O2223">
        <v>2.2973670000000002E-2</v>
      </c>
      <c r="P2223">
        <v>-0.97478330000000002</v>
      </c>
      <c r="Q2223">
        <v>0.2228888</v>
      </c>
      <c r="R2223">
        <v>1.088824E-2</v>
      </c>
      <c r="S2223">
        <v>-3.0916139999999999</v>
      </c>
      <c r="T2223">
        <v>-3.9491650000000003E-2</v>
      </c>
      <c r="U2223">
        <v>-0.44525150000000002</v>
      </c>
      <c r="V2223">
        <v>-1.1201900000000001E-2</v>
      </c>
      <c r="W2223">
        <v>0.23618919999999999</v>
      </c>
      <c r="X2223">
        <v>0.97164249999999996</v>
      </c>
      <c r="Y2223">
        <v>-0.16522429999999999</v>
      </c>
      <c r="Z2223">
        <v>-2.1636160000000002E-3</v>
      </c>
      <c r="AA2223">
        <v>0.98625359999999995</v>
      </c>
      <c r="AB2223">
        <v>36</v>
      </c>
      <c r="AC2223">
        <v>-56.880800000000001</v>
      </c>
      <c r="AD2223">
        <v>-0.73124789999999895</v>
      </c>
      <c r="AE2223">
        <v>-8.2520999999999791</v>
      </c>
      <c r="AF2223">
        <v>-9.5552572914760603</v>
      </c>
      <c r="AG2223">
        <v>-0.73124789999999895</v>
      </c>
      <c r="AH2223">
        <v>56.667013630185501</v>
      </c>
      <c r="AI2223">
        <v>90.729030131660707</v>
      </c>
      <c r="AJ2223">
        <v>99.571244896910997</v>
      </c>
      <c r="AK2223">
        <v>57.471628645455901</v>
      </c>
      <c r="AL2223">
        <v>76.338267374641205</v>
      </c>
      <c r="AM2223">
        <v>90.660523967535696</v>
      </c>
      <c r="AN2223">
        <v>0.99999998428324899</v>
      </c>
    </row>
    <row r="2224" spans="1:40" x14ac:dyDescent="0.25">
      <c r="A2224" t="str">
        <f>"20190303170541702"</f>
        <v>20190303170541702</v>
      </c>
      <c r="B2224" t="str">
        <f>"1551603941696933"</f>
        <v>1551603941696933</v>
      </c>
      <c r="C2224" t="s">
        <v>40</v>
      </c>
      <c r="D2224">
        <v>5.7268039999999996</v>
      </c>
      <c r="E2224">
        <v>0.44405480000000003</v>
      </c>
      <c r="F2224" t="s">
        <v>68</v>
      </c>
      <c r="G2224">
        <v>-511.9588</v>
      </c>
      <c r="H2224">
        <v>0.40609200000000001</v>
      </c>
      <c r="I2224">
        <v>276.88470000000001</v>
      </c>
      <c r="J2224">
        <v>-455.4513</v>
      </c>
      <c r="K2224">
        <v>1.120771</v>
      </c>
      <c r="L2224">
        <v>285.1259</v>
      </c>
      <c r="M2224">
        <v>-0.99963020000000002</v>
      </c>
      <c r="N2224">
        <v>-1.364924E-2</v>
      </c>
      <c r="O2224">
        <v>2.3522789999999998E-2</v>
      </c>
      <c r="P2224">
        <v>-0.97443679999999999</v>
      </c>
      <c r="Q2224">
        <v>0.22440450000000001</v>
      </c>
      <c r="R2224">
        <v>1.074116E-2</v>
      </c>
      <c r="S2224">
        <v>-3.0914920000000001</v>
      </c>
      <c r="T2224">
        <v>-3.8838150000000002E-2</v>
      </c>
      <c r="U2224">
        <v>-0.44741819999999999</v>
      </c>
      <c r="V2224">
        <v>-1.187476E-2</v>
      </c>
      <c r="W2224">
        <v>0.23769950000000001</v>
      </c>
      <c r="X2224">
        <v>0.97126619999999997</v>
      </c>
      <c r="Y2224">
        <v>-0.16644900000000001</v>
      </c>
      <c r="Z2224">
        <v>-2.1568379999999999E-3</v>
      </c>
      <c r="AA2224">
        <v>0.98604769999999997</v>
      </c>
      <c r="AB2224">
        <v>36</v>
      </c>
      <c r="AC2224">
        <v>-56.507499999999901</v>
      </c>
      <c r="AD2224">
        <v>-0.71467899999999995</v>
      </c>
      <c r="AE2224">
        <v>-8.2411999999999903</v>
      </c>
      <c r="AF2224">
        <v>-9.56675860518272</v>
      </c>
      <c r="AG2224">
        <v>-0.71467899999999995</v>
      </c>
      <c r="AH2224">
        <v>56.289170994825298</v>
      </c>
      <c r="AI2224">
        <v>90.717137771306994</v>
      </c>
      <c r="AJ2224">
        <v>99.645670538965504</v>
      </c>
      <c r="AK2224">
        <v>57.100826680246598</v>
      </c>
      <c r="AL2224">
        <v>76.249197989025006</v>
      </c>
      <c r="AM2224">
        <v>90.700466806935097</v>
      </c>
      <c r="AN2224">
        <v>1.0000000467438701</v>
      </c>
    </row>
    <row r="2225" spans="1:40" x14ac:dyDescent="0.25">
      <c r="A2225" t="str">
        <f>"20190303170541724"</f>
        <v>20190303170541724</v>
      </c>
      <c r="B2225" t="str">
        <f>"1551603941717414"</f>
        <v>1551603941717414</v>
      </c>
      <c r="C2225" t="s">
        <v>40</v>
      </c>
      <c r="D2225">
        <v>5.7452889999999996</v>
      </c>
      <c r="E2225">
        <v>0.4440481</v>
      </c>
      <c r="F2225" t="s">
        <v>68</v>
      </c>
      <c r="G2225">
        <v>-511.9588</v>
      </c>
      <c r="H2225">
        <v>0.48023130000000003</v>
      </c>
      <c r="I2225">
        <v>276.9511</v>
      </c>
      <c r="J2225">
        <v>-455.79759999999999</v>
      </c>
      <c r="K2225">
        <v>1.120781</v>
      </c>
      <c r="L2225">
        <v>285.13459999999998</v>
      </c>
      <c r="M2225">
        <v>-0.99961809999999995</v>
      </c>
      <c r="N2225">
        <v>-1.364743E-2</v>
      </c>
      <c r="O2225">
        <v>2.403197E-2</v>
      </c>
      <c r="P2225">
        <v>-0.9742923</v>
      </c>
      <c r="Q2225">
        <v>0.2250615</v>
      </c>
      <c r="R2225">
        <v>1.009414E-2</v>
      </c>
      <c r="S2225">
        <v>-3.0917050000000001</v>
      </c>
      <c r="T2225">
        <v>-3.5041450000000002E-2</v>
      </c>
      <c r="U2225">
        <v>-0.44726559999999999</v>
      </c>
      <c r="V2225">
        <v>-1.3013769999999999E-2</v>
      </c>
      <c r="W2225">
        <v>0.23835390000000001</v>
      </c>
      <c r="X2225">
        <v>0.97109120000000004</v>
      </c>
      <c r="Y2225">
        <v>-0.16689760000000001</v>
      </c>
      <c r="Z2225">
        <v>-2.0306590000000002E-3</v>
      </c>
      <c r="AA2225">
        <v>0.98597219999999997</v>
      </c>
      <c r="AB2225">
        <v>36</v>
      </c>
      <c r="AC2225">
        <v>-56.161200000000001</v>
      </c>
      <c r="AD2225">
        <v>-0.640549699999999</v>
      </c>
      <c r="AE2225">
        <v>-8.1834999999999791</v>
      </c>
      <c r="AF2225">
        <v>-9.5297120632089491</v>
      </c>
      <c r="AG2225">
        <v>-0.640549699999999</v>
      </c>
      <c r="AH2225">
        <v>55.941167261824297</v>
      </c>
      <c r="AI2225">
        <v>90.6467159932117</v>
      </c>
      <c r="AJ2225">
        <v>99.667668036260693</v>
      </c>
      <c r="AK2225">
        <v>56.750682027102101</v>
      </c>
      <c r="AL2225">
        <v>76.2105938571396</v>
      </c>
      <c r="AM2225">
        <v>90.767785213997101</v>
      </c>
      <c r="AN2225">
        <v>1.00000002928613</v>
      </c>
    </row>
    <row r="2226" spans="1:40" x14ac:dyDescent="0.25">
      <c r="A2226" t="str">
        <f>"20190303170541756"</f>
        <v>20190303170541756</v>
      </c>
      <c r="B2226" t="str">
        <f>"1551603941746694"</f>
        <v>1551603941746694</v>
      </c>
      <c r="C2226" t="s">
        <v>40</v>
      </c>
      <c r="D2226">
        <v>5.7378519999999904</v>
      </c>
      <c r="E2226">
        <v>0.44406289999999998</v>
      </c>
      <c r="F2226" t="s">
        <v>68</v>
      </c>
      <c r="G2226">
        <v>-511.9588</v>
      </c>
      <c r="H2226">
        <v>0.51588979999999995</v>
      </c>
      <c r="I2226">
        <v>276.95389999999998</v>
      </c>
      <c r="J2226">
        <v>-456.33190000000002</v>
      </c>
      <c r="K2226">
        <v>1.1207689999999999</v>
      </c>
      <c r="L2226">
        <v>285.14830000000001</v>
      </c>
      <c r="M2226">
        <v>-0.99959900000000002</v>
      </c>
      <c r="N2226">
        <v>-1.364449E-2</v>
      </c>
      <c r="O2226">
        <v>2.481771E-2</v>
      </c>
      <c r="P2226">
        <v>-0.97489230000000004</v>
      </c>
      <c r="Q2226">
        <v>0.22251889999999999</v>
      </c>
      <c r="R2226">
        <v>8.3894E-3</v>
      </c>
      <c r="S2226">
        <v>-3.0914920000000001</v>
      </c>
      <c r="T2226">
        <v>-3.3292769999999999E-2</v>
      </c>
      <c r="U2226">
        <v>-0.45031739999999998</v>
      </c>
      <c r="V2226">
        <v>-1.550231E-2</v>
      </c>
      <c r="W2226">
        <v>0.23581949999999999</v>
      </c>
      <c r="X2226">
        <v>0.97167329999999996</v>
      </c>
      <c r="Y2226">
        <v>-0.1686366</v>
      </c>
      <c r="Z2226">
        <v>-1.9891090000000002E-3</v>
      </c>
      <c r="AA2226">
        <v>0.98567629999999995</v>
      </c>
      <c r="AB2226">
        <v>36</v>
      </c>
      <c r="AC2226">
        <v>-55.6268999999999</v>
      </c>
      <c r="AD2226">
        <v>-0.60487919999999995</v>
      </c>
      <c r="AE2226">
        <v>-8.1944000000000301</v>
      </c>
      <c r="AF2226">
        <v>-9.5714285279103795</v>
      </c>
      <c r="AG2226">
        <v>-0.60487919999999995</v>
      </c>
      <c r="AH2226">
        <v>55.399966788990398</v>
      </c>
      <c r="AI2226">
        <v>90.616422067511905</v>
      </c>
      <c r="AJ2226">
        <v>99.802201987082</v>
      </c>
      <c r="AK2226">
        <v>56.223966803603702</v>
      </c>
      <c r="AL2226">
        <v>76.360066706467293</v>
      </c>
      <c r="AM2226">
        <v>90.914033127815799</v>
      </c>
      <c r="AN2226">
        <v>1.0000000800642299</v>
      </c>
    </row>
    <row r="2227" spans="1:40" x14ac:dyDescent="0.25">
      <c r="A2227" t="str">
        <f>"20190303170541778"</f>
        <v>20190303170541778</v>
      </c>
      <c r="B2227" t="str">
        <f>"1551603941767189"</f>
        <v>1551603941767189</v>
      </c>
      <c r="C2227" t="s">
        <v>40</v>
      </c>
      <c r="D2227">
        <v>5.7658040000000002</v>
      </c>
      <c r="E2227">
        <v>0.4440113</v>
      </c>
      <c r="F2227" t="s">
        <v>68</v>
      </c>
      <c r="G2227">
        <v>-511.95870000000002</v>
      </c>
      <c r="H2227">
        <v>0.316843599999999</v>
      </c>
      <c r="I2227">
        <v>277.00310000000002</v>
      </c>
      <c r="J2227">
        <v>-456.69240000000002</v>
      </c>
      <c r="K2227">
        <v>1.1207720000000001</v>
      </c>
      <c r="L2227">
        <v>285.15780000000001</v>
      </c>
      <c r="M2227">
        <v>-0.99958570000000002</v>
      </c>
      <c r="N2227">
        <v>-1.364245E-2</v>
      </c>
      <c r="O2227">
        <v>2.534805E-2</v>
      </c>
      <c r="P2227">
        <v>-0.97484110000000002</v>
      </c>
      <c r="Q2227">
        <v>0.22276389999999999</v>
      </c>
      <c r="R2227">
        <v>7.826965E-3</v>
      </c>
      <c r="S2227">
        <v>-3.091431</v>
      </c>
      <c r="T2227">
        <v>-4.4673089999999999E-2</v>
      </c>
      <c r="U2227">
        <v>-0.45266719999999999</v>
      </c>
      <c r="V2227">
        <v>-1.6580850000000001E-2</v>
      </c>
      <c r="W2227">
        <v>0.23606269999999999</v>
      </c>
      <c r="X2227">
        <v>0.97159640000000003</v>
      </c>
      <c r="Y2227">
        <v>-0.1698838</v>
      </c>
      <c r="Z2227">
        <v>-2.4066370000000001E-3</v>
      </c>
      <c r="AA2227">
        <v>0.98546120000000004</v>
      </c>
      <c r="AB2227">
        <v>36</v>
      </c>
      <c r="AC2227">
        <v>-55.266300000000001</v>
      </c>
      <c r="AD2227">
        <v>-0.80392839999999999</v>
      </c>
      <c r="AE2227">
        <v>-8.1546999999999894</v>
      </c>
      <c r="AF2227">
        <v>-9.5511245216932501</v>
      </c>
      <c r="AG2227">
        <v>-0.80392839999999999</v>
      </c>
      <c r="AH2227">
        <v>55.030417659906902</v>
      </c>
      <c r="AI2227">
        <v>90.824636564804806</v>
      </c>
      <c r="AJ2227">
        <v>99.846217436531504</v>
      </c>
      <c r="AK2227">
        <v>55.858903930573199</v>
      </c>
      <c r="AL2227">
        <v>76.345727035443105</v>
      </c>
      <c r="AM2227">
        <v>90.977690444898101</v>
      </c>
      <c r="AN2227">
        <v>1.0000000437054799</v>
      </c>
    </row>
    <row r="2228" spans="1:40" x14ac:dyDescent="0.25">
      <c r="A2228" t="str">
        <f>"20190303170541802"</f>
        <v>20190303170541802</v>
      </c>
      <c r="B2228" t="str">
        <f>"1551603941797446"</f>
        <v>1551603941797446</v>
      </c>
      <c r="C2228" t="s">
        <v>40</v>
      </c>
      <c r="D2228">
        <v>5.7869229999999998</v>
      </c>
      <c r="E2228">
        <v>0.44396170000000001</v>
      </c>
      <c r="F2228" t="s">
        <v>68</v>
      </c>
      <c r="G2228">
        <v>-511.95870000000002</v>
      </c>
      <c r="H2228">
        <v>0.30857289999999998</v>
      </c>
      <c r="I2228">
        <v>277.03960000000001</v>
      </c>
      <c r="J2228">
        <v>-457.06150000000002</v>
      </c>
      <c r="K2228">
        <v>1.120784</v>
      </c>
      <c r="L2228">
        <v>285.16770000000002</v>
      </c>
      <c r="M2228">
        <v>-0.99957180000000001</v>
      </c>
      <c r="N2228">
        <v>-1.3640269999999999E-2</v>
      </c>
      <c r="O2228">
        <v>2.589114E-2</v>
      </c>
      <c r="P2228">
        <v>-0.97434180000000004</v>
      </c>
      <c r="Q2228">
        <v>0.2248966</v>
      </c>
      <c r="R2228">
        <v>8.9365360000000001E-3</v>
      </c>
      <c r="S2228">
        <v>-3.091431</v>
      </c>
      <c r="T2228">
        <v>-4.542732E-2</v>
      </c>
      <c r="U2228">
        <v>-0.45410159999999999</v>
      </c>
      <c r="V2228">
        <v>-1.598625E-2</v>
      </c>
      <c r="W2228">
        <v>0.2381858</v>
      </c>
      <c r="X2228">
        <v>0.97108810000000001</v>
      </c>
      <c r="Y2228">
        <v>-0.17086560000000001</v>
      </c>
      <c r="Z2228">
        <v>-2.4477570000000001E-3</v>
      </c>
      <c r="AA2228">
        <v>0.98529129999999998</v>
      </c>
      <c r="AB2228">
        <v>36</v>
      </c>
      <c r="AC2228">
        <v>-54.897199999999998</v>
      </c>
      <c r="AD2228">
        <v>-0.81221109999999996</v>
      </c>
      <c r="AE2228">
        <v>-8.1281000000000105</v>
      </c>
      <c r="AF2228">
        <v>-9.5448133950456509</v>
      </c>
      <c r="AG2228">
        <v>-0.81221109999999996</v>
      </c>
      <c r="AH2228">
        <v>54.656620502514201</v>
      </c>
      <c r="AI2228">
        <v>90.838676565385697</v>
      </c>
      <c r="AJ2228">
        <v>99.9058046798378</v>
      </c>
      <c r="AK2228">
        <v>55.489722601334599</v>
      </c>
      <c r="AL2228">
        <v>76.220511424414198</v>
      </c>
      <c r="AM2228">
        <v>90.943129595648898</v>
      </c>
      <c r="AN2228">
        <v>1.0000000667361499</v>
      </c>
    </row>
    <row r="2229" spans="1:40" x14ac:dyDescent="0.25">
      <c r="A2229" t="str">
        <f>"20190303170541824"</f>
        <v>20190303170541824</v>
      </c>
      <c r="B2229" t="str">
        <f>"1551603941816965"</f>
        <v>1551603941816965</v>
      </c>
      <c r="C2229" t="s">
        <v>40</v>
      </c>
      <c r="D2229">
        <v>5.8012610000000002</v>
      </c>
      <c r="E2229">
        <v>0.44391229999999998</v>
      </c>
      <c r="F2229" t="s">
        <v>68</v>
      </c>
      <c r="G2229">
        <v>-511.9588</v>
      </c>
      <c r="H2229">
        <v>0.41587469999999999</v>
      </c>
      <c r="I2229">
        <v>277.15159999999997</v>
      </c>
      <c r="J2229">
        <v>-457.41890000000001</v>
      </c>
      <c r="K2229">
        <v>1.1207929999999999</v>
      </c>
      <c r="L2229">
        <v>285.17759999999998</v>
      </c>
      <c r="M2229">
        <v>-0.99955799999999995</v>
      </c>
      <c r="N2229">
        <v>-1.363811E-2</v>
      </c>
      <c r="O2229">
        <v>2.641719E-2</v>
      </c>
      <c r="P2229">
        <v>-0.97395359999999997</v>
      </c>
      <c r="Q2229">
        <v>0.22653010000000001</v>
      </c>
      <c r="R2229">
        <v>9.9338819999999998E-3</v>
      </c>
      <c r="S2229">
        <v>-3.0923159999999998</v>
      </c>
      <c r="T2229">
        <v>-3.9702300000000003E-2</v>
      </c>
      <c r="U2229">
        <v>-0.4515381</v>
      </c>
      <c r="V2229">
        <v>-1.54895E-2</v>
      </c>
      <c r="W2229">
        <v>0.23981140000000001</v>
      </c>
      <c r="X2229">
        <v>0.97069589999999994</v>
      </c>
      <c r="Y2229">
        <v>-0.17055049999999999</v>
      </c>
      <c r="Z2229">
        <v>-2.237555E-3</v>
      </c>
      <c r="AA2229">
        <v>0.98534639999999996</v>
      </c>
      <c r="AB2229">
        <v>36</v>
      </c>
      <c r="AC2229">
        <v>-54.539899999999903</v>
      </c>
      <c r="AD2229">
        <v>-0.704918299999999</v>
      </c>
      <c r="AE2229">
        <v>-8.0259999999999998</v>
      </c>
      <c r="AF2229">
        <v>-9.4625760876888094</v>
      </c>
      <c r="AG2229">
        <v>-0.704918299999999</v>
      </c>
      <c r="AH2229">
        <v>54.299939648874599</v>
      </c>
      <c r="AI2229">
        <v>90.732726933691794</v>
      </c>
      <c r="AJ2229">
        <v>99.885376419520298</v>
      </c>
      <c r="AK2229">
        <v>55.122778430485504</v>
      </c>
      <c r="AL2229">
        <v>76.124590424819402</v>
      </c>
      <c r="AM2229">
        <v>90.914197393724194</v>
      </c>
      <c r="AN2229">
        <v>0.99999998122850897</v>
      </c>
    </row>
    <row r="2230" spans="1:40" x14ac:dyDescent="0.25">
      <c r="A2230" t="str">
        <f>"20190303170541846"</f>
        <v>20190303170541846</v>
      </c>
      <c r="B2230" t="str">
        <f>"1551603941836486"</f>
        <v>1551603941836486</v>
      </c>
      <c r="C2230" t="s">
        <v>40</v>
      </c>
      <c r="D2230">
        <v>5.7921389999999997</v>
      </c>
      <c r="E2230">
        <v>0.44386219999999998</v>
      </c>
      <c r="F2230" t="s">
        <v>68</v>
      </c>
      <c r="G2230">
        <v>-511.9588</v>
      </c>
      <c r="H2230">
        <v>0.49575970000000003</v>
      </c>
      <c r="I2230">
        <v>277.26819999999998</v>
      </c>
      <c r="J2230">
        <v>-457.77460000000002</v>
      </c>
      <c r="K2230">
        <v>1.1207830000000001</v>
      </c>
      <c r="L2230">
        <v>285.1875</v>
      </c>
      <c r="M2230">
        <v>-0.99954410000000005</v>
      </c>
      <c r="N2230">
        <v>-1.3635889999999999E-2</v>
      </c>
      <c r="O2230">
        <v>2.694092E-2</v>
      </c>
      <c r="P2230">
        <v>-0.97423150000000003</v>
      </c>
      <c r="Q2230">
        <v>0.22531860000000001</v>
      </c>
      <c r="R2230">
        <v>1.022552E-2</v>
      </c>
      <c r="S2230">
        <v>-3.0930179999999998</v>
      </c>
      <c r="T2230">
        <v>-3.5441640000000003E-2</v>
      </c>
      <c r="U2230">
        <v>-0.44854739999999999</v>
      </c>
      <c r="V2230">
        <v>-1.571788E-2</v>
      </c>
      <c r="W2230">
        <v>0.2386016</v>
      </c>
      <c r="X2230">
        <v>0.97099029999999997</v>
      </c>
      <c r="Y2230">
        <v>-0.17010620000000001</v>
      </c>
      <c r="Z2230">
        <v>-2.077317E-3</v>
      </c>
      <c r="AA2230">
        <v>0.98542359999999896</v>
      </c>
      <c r="AB2230">
        <v>36</v>
      </c>
      <c r="AC2230">
        <v>-54.184199999999898</v>
      </c>
      <c r="AD2230">
        <v>-0.62502329999999995</v>
      </c>
      <c r="AE2230">
        <v>-7.9193000000000202</v>
      </c>
      <c r="AF2230">
        <v>-9.3751114306635106</v>
      </c>
      <c r="AG2230">
        <v>-0.62502329999999995</v>
      </c>
      <c r="AH2230">
        <v>53.944128245757703</v>
      </c>
      <c r="AI2230">
        <v>90.654024745818404</v>
      </c>
      <c r="AJ2230">
        <v>99.859130282165793</v>
      </c>
      <c r="AK2230">
        <v>54.7562995522675</v>
      </c>
      <c r="AL2230">
        <v>76.195979206065402</v>
      </c>
      <c r="AM2230">
        <v>90.927392930019494</v>
      </c>
      <c r="AN2230">
        <v>0.99999996898417098</v>
      </c>
    </row>
    <row r="2231" spans="1:40" x14ac:dyDescent="0.25">
      <c r="A2231" t="str">
        <f>"20190303170541868"</f>
        <v>20190303170541868</v>
      </c>
      <c r="B2231" t="str">
        <f>"1551603941856981"</f>
        <v>1551603941856981</v>
      </c>
      <c r="C2231" t="s">
        <v>40</v>
      </c>
      <c r="D2231">
        <v>5.7900109999999998</v>
      </c>
      <c r="E2231">
        <v>0.44380150000000002</v>
      </c>
      <c r="F2231" t="s">
        <v>68</v>
      </c>
      <c r="G2231">
        <v>-511.95870000000002</v>
      </c>
      <c r="H2231">
        <v>0.40712569999999998</v>
      </c>
      <c r="I2231">
        <v>277.35390000000001</v>
      </c>
      <c r="J2231">
        <v>-458.13580000000002</v>
      </c>
      <c r="K2231">
        <v>1.1207689999999999</v>
      </c>
      <c r="L2231">
        <v>285.19779999999997</v>
      </c>
      <c r="M2231">
        <v>-0.99952969999999997</v>
      </c>
      <c r="N2231">
        <v>-1.363354E-2</v>
      </c>
      <c r="O2231">
        <v>2.747281E-2</v>
      </c>
      <c r="P2231">
        <v>-0.97458020000000001</v>
      </c>
      <c r="Q2231">
        <v>0.22378590000000001</v>
      </c>
      <c r="R2231">
        <v>1.064321E-2</v>
      </c>
      <c r="S2231">
        <v>-3.0934750000000002</v>
      </c>
      <c r="T2231">
        <v>-4.0739299999999999E-2</v>
      </c>
      <c r="U2231">
        <v>-0.4472351</v>
      </c>
      <c r="V2231">
        <v>-1.5830480000000001E-2</v>
      </c>
      <c r="W2231">
        <v>0.2370718</v>
      </c>
      <c r="X2231">
        <v>0.97136310000000003</v>
      </c>
      <c r="Y2231">
        <v>-0.17019489999999901</v>
      </c>
      <c r="Z2231">
        <v>-2.268754E-3</v>
      </c>
      <c r="AA2231">
        <v>0.98540779999999994</v>
      </c>
      <c r="AB2231">
        <v>36</v>
      </c>
      <c r="AC2231">
        <v>-53.822899999999997</v>
      </c>
      <c r="AD2231">
        <v>-0.71364329999999998</v>
      </c>
      <c r="AE2231">
        <v>-7.8438999999999597</v>
      </c>
      <c r="AF2231">
        <v>-9.3181382462125892</v>
      </c>
      <c r="AG2231">
        <v>-0.71364329999999998</v>
      </c>
      <c r="AH2231">
        <v>53.577843561329203</v>
      </c>
      <c r="AI2231">
        <v>90.751835636681307</v>
      </c>
      <c r="AJ2231">
        <v>99.866068943423798</v>
      </c>
      <c r="AK2231">
        <v>54.386784312160202</v>
      </c>
      <c r="AL2231">
        <v>76.286219577198807</v>
      </c>
      <c r="AM2231">
        <v>90.933677018983104</v>
      </c>
      <c r="AN2231">
        <v>0.99999995724693902</v>
      </c>
    </row>
    <row r="2232" spans="1:40" x14ac:dyDescent="0.25">
      <c r="A2232" t="str">
        <f>"20190303170541892"</f>
        <v>20190303170541892</v>
      </c>
      <c r="B2232" t="str">
        <f>"1551603941887237"</f>
        <v>1551603941887237</v>
      </c>
      <c r="C2232" t="s">
        <v>40</v>
      </c>
      <c r="D2232">
        <v>5.8172180000000004</v>
      </c>
      <c r="E2232">
        <v>0.44043060000000001</v>
      </c>
      <c r="F2232" t="s">
        <v>68</v>
      </c>
      <c r="G2232">
        <v>-511.95870000000002</v>
      </c>
      <c r="H2232">
        <v>0.34233160000000001</v>
      </c>
      <c r="I2232">
        <v>277.40069999999997</v>
      </c>
      <c r="J2232">
        <v>-458.4984</v>
      </c>
      <c r="K2232">
        <v>1.1207640000000001</v>
      </c>
      <c r="L2232">
        <v>285.20830000000001</v>
      </c>
      <c r="M2232">
        <v>-0.99951480000000004</v>
      </c>
      <c r="N2232">
        <v>-1.363118E-2</v>
      </c>
      <c r="O2232">
        <v>2.8006550000000002E-2</v>
      </c>
      <c r="P2232">
        <v>-0.974831</v>
      </c>
      <c r="Q2232">
        <v>0.22266140000000001</v>
      </c>
      <c r="R2232">
        <v>1.1239600000000001E-2</v>
      </c>
      <c r="S2232">
        <v>-3.0933839999999999</v>
      </c>
      <c r="T2232">
        <v>-4.4734599999999999E-2</v>
      </c>
      <c r="U2232">
        <v>-0.44812010000000002</v>
      </c>
      <c r="V2232">
        <v>-1.5763579999999999E-2</v>
      </c>
      <c r="W2232">
        <v>0.23594879999999999</v>
      </c>
      <c r="X2232">
        <v>0.97163759999999999</v>
      </c>
      <c r="Y2232">
        <v>-0.1709967</v>
      </c>
      <c r="Z2232">
        <v>-2.4250209999999999E-3</v>
      </c>
      <c r="AA2232">
        <v>0.98526860000000005</v>
      </c>
      <c r="AB2232">
        <v>36</v>
      </c>
      <c r="AC2232">
        <v>-53.460299999999997</v>
      </c>
      <c r="AD2232">
        <v>-0.77843239999999903</v>
      </c>
      <c r="AE2232">
        <v>-7.8076000000000301</v>
      </c>
      <c r="AF2232">
        <v>-9.2999838806240298</v>
      </c>
      <c r="AG2232">
        <v>-0.77843239999999903</v>
      </c>
      <c r="AH2232">
        <v>53.209595534459702</v>
      </c>
      <c r="AI2232">
        <v>90.825637440986497</v>
      </c>
      <c r="AJ2232">
        <v>99.914025794433201</v>
      </c>
      <c r="AK2232">
        <v>54.021817019811898</v>
      </c>
      <c r="AL2232">
        <v>76.352441792666596</v>
      </c>
      <c r="AM2232">
        <v>90.929469355842201</v>
      </c>
      <c r="AN2232">
        <v>0.99999997620480696</v>
      </c>
    </row>
    <row r="2233" spans="1:40" x14ac:dyDescent="0.25">
      <c r="A2233" t="str">
        <f>"20190303170541914"</f>
        <v>20190303170541914</v>
      </c>
      <c r="B2233" t="str">
        <f>"1551603941906758"</f>
        <v>1551603941906758</v>
      </c>
      <c r="C2233" t="s">
        <v>40</v>
      </c>
      <c r="D2233">
        <v>5.7966350000000002</v>
      </c>
      <c r="E2233">
        <v>0.44004700000000002</v>
      </c>
      <c r="F2233" t="s">
        <v>68</v>
      </c>
      <c r="G2233">
        <v>-511.95859999999999</v>
      </c>
      <c r="H2233">
        <v>-4.5709009999999996E-3</v>
      </c>
      <c r="I2233">
        <v>277.01499999999999</v>
      </c>
      <c r="J2233">
        <v>-458.86399999999998</v>
      </c>
      <c r="K2233">
        <v>1.120762</v>
      </c>
      <c r="L2233">
        <v>285.21910000000003</v>
      </c>
      <c r="M2233">
        <v>-0.99949969999999999</v>
      </c>
      <c r="N2233">
        <v>-1.362875E-2</v>
      </c>
      <c r="O2233">
        <v>2.8544819999999999E-2</v>
      </c>
      <c r="P2233">
        <v>-0.97496780000000005</v>
      </c>
      <c r="Q2233">
        <v>0.22208639999999999</v>
      </c>
      <c r="R2233">
        <v>1.076093E-2</v>
      </c>
      <c r="S2233">
        <v>-3.0978089999999998</v>
      </c>
      <c r="T2233">
        <v>-6.5203910000000004E-2</v>
      </c>
      <c r="U2233">
        <v>-0.47476200000000002</v>
      </c>
      <c r="V2233">
        <v>-1.6772289999999999E-2</v>
      </c>
      <c r="W2233">
        <v>0.2353741</v>
      </c>
      <c r="X2233">
        <v>0.97176010000000002</v>
      </c>
      <c r="Y2233">
        <v>-0.1795795</v>
      </c>
      <c r="Z2233">
        <v>-3.320791E-3</v>
      </c>
      <c r="AA2233">
        <v>0.98373790000000005</v>
      </c>
      <c r="AB2233">
        <v>36</v>
      </c>
      <c r="AC2233">
        <v>-53.0945999999999</v>
      </c>
      <c r="AD2233">
        <v>-1.1253329009999999</v>
      </c>
      <c r="AE2233">
        <v>-8.2041000000000395</v>
      </c>
      <c r="AF2233">
        <v>-9.7122115402383908</v>
      </c>
      <c r="AG2233">
        <v>-1.1253329009999999</v>
      </c>
      <c r="AH2233">
        <v>52.815581702465202</v>
      </c>
      <c r="AI2233">
        <v>91.200484517035093</v>
      </c>
      <c r="AJ2233">
        <v>100.419664223973</v>
      </c>
      <c r="AK2233">
        <v>53.712932313458701</v>
      </c>
      <c r="AL2233">
        <v>76.386324075080694</v>
      </c>
      <c r="AM2233">
        <v>90.988809915352107</v>
      </c>
      <c r="AN2233">
        <v>0.99999998430733195</v>
      </c>
    </row>
    <row r="2234" spans="1:40" x14ac:dyDescent="0.25">
      <c r="A2234" t="str">
        <f>"20190303170541936"</f>
        <v>20190303170541936</v>
      </c>
      <c r="B2234" t="str">
        <f>"1551603941927255"</f>
        <v>1551603941927255</v>
      </c>
      <c r="C2234" t="s">
        <v>40</v>
      </c>
      <c r="D2234">
        <v>5.8164040000000004</v>
      </c>
      <c r="E2234">
        <v>0.43995830000000002</v>
      </c>
      <c r="F2234" t="s">
        <v>68</v>
      </c>
      <c r="G2234">
        <v>-511.95859999999999</v>
      </c>
      <c r="H2234">
        <v>-2.6844320000000001E-2</v>
      </c>
      <c r="I2234">
        <v>277.02530000000002</v>
      </c>
      <c r="J2234">
        <v>-459.20589999999999</v>
      </c>
      <c r="K2234">
        <v>1.120762</v>
      </c>
      <c r="L2234">
        <v>285.2294</v>
      </c>
      <c r="M2234">
        <v>-0.99948530000000002</v>
      </c>
      <c r="N2234">
        <v>-1.3626320000000001E-2</v>
      </c>
      <c r="O2234">
        <v>2.9046659999999998E-2</v>
      </c>
      <c r="P2234">
        <v>-0.97493569999999996</v>
      </c>
      <c r="Q2234">
        <v>0.22225880000000001</v>
      </c>
      <c r="R2234">
        <v>1.0079370000000001E-2</v>
      </c>
      <c r="S2234">
        <v>-3.0975649999999999</v>
      </c>
      <c r="T2234">
        <v>-6.6946980000000003E-2</v>
      </c>
      <c r="U2234">
        <v>-0.47802729999999999</v>
      </c>
      <c r="V2234">
        <v>-1.7942920000000001E-2</v>
      </c>
      <c r="W2234">
        <v>0.2355447</v>
      </c>
      <c r="X2234">
        <v>0.9716979</v>
      </c>
      <c r="Y2234">
        <v>-0.18109449999999999</v>
      </c>
      <c r="Z2234">
        <v>-3.4176179999999999E-3</v>
      </c>
      <c r="AA2234">
        <v>0.9834598</v>
      </c>
      <c r="AB2234">
        <v>36</v>
      </c>
      <c r="AC2234">
        <v>-52.752699999999997</v>
      </c>
      <c r="AD2234">
        <v>-1.14760632</v>
      </c>
      <c r="AE2234">
        <v>-8.2040999999999809</v>
      </c>
      <c r="AF2234">
        <v>-9.7285741353308008</v>
      </c>
      <c r="AG2234">
        <v>-1.14760632</v>
      </c>
      <c r="AH2234">
        <v>52.4678690573324</v>
      </c>
      <c r="AI2234">
        <v>91.232012303206602</v>
      </c>
      <c r="AJ2234">
        <v>100.50446512262</v>
      </c>
      <c r="AK2234">
        <v>53.374520497984001</v>
      </c>
      <c r="AL2234">
        <v>76.376267296926102</v>
      </c>
      <c r="AM2234">
        <v>91.057876902756107</v>
      </c>
      <c r="AN2234">
        <v>1.0000000314703099</v>
      </c>
    </row>
    <row r="2235" spans="1:40" x14ac:dyDescent="0.25">
      <c r="A2235" t="str">
        <f>"20190303170541958"</f>
        <v>20190303170541958</v>
      </c>
      <c r="B2235" t="str">
        <f>"1551603941946774"</f>
        <v>1551603941946774</v>
      </c>
      <c r="C2235" t="s">
        <v>40</v>
      </c>
      <c r="D2235">
        <v>5.8412059999999997</v>
      </c>
      <c r="E2235">
        <v>0.43841530000000001</v>
      </c>
      <c r="F2235" t="s">
        <v>68</v>
      </c>
      <c r="G2235">
        <v>-511.95859999999999</v>
      </c>
      <c r="H2235">
        <v>-2.9324650000000001E-2</v>
      </c>
      <c r="I2235">
        <v>277.06209999999999</v>
      </c>
      <c r="J2235">
        <v>-459.56509999999997</v>
      </c>
      <c r="K2235">
        <v>1.1207609999999999</v>
      </c>
      <c r="L2235">
        <v>285.24040000000002</v>
      </c>
      <c r="M2235">
        <v>-0.99947010000000003</v>
      </c>
      <c r="N2235">
        <v>-1.3623919999999999E-2</v>
      </c>
      <c r="O2235">
        <v>2.956495E-2</v>
      </c>
      <c r="P2235">
        <v>-0.97480169999999999</v>
      </c>
      <c r="Q2235">
        <v>0.22278390000000001</v>
      </c>
      <c r="R2235">
        <v>1.1366319999999999E-2</v>
      </c>
      <c r="S2235">
        <v>-3.0974729999999999</v>
      </c>
      <c r="T2235">
        <v>-6.7524550000000003E-2</v>
      </c>
      <c r="U2235">
        <v>-0.47955320000000001</v>
      </c>
      <c r="V2235">
        <v>-1.7159959999999998E-2</v>
      </c>
      <c r="W2235">
        <v>0.23606460000000001</v>
      </c>
      <c r="X2235">
        <v>0.9715859</v>
      </c>
      <c r="Y2235">
        <v>-0.1820804</v>
      </c>
      <c r="Z2235">
        <v>-3.461343E-3</v>
      </c>
      <c r="AA2235">
        <v>0.98327759999999997</v>
      </c>
      <c r="AB2235">
        <v>36</v>
      </c>
      <c r="AC2235">
        <v>-52.393500000000003</v>
      </c>
      <c r="AD2235">
        <v>-1.1500856500000001</v>
      </c>
      <c r="AE2235">
        <v>-8.1783000000000303</v>
      </c>
      <c r="AF2235">
        <v>-9.7193073448971994</v>
      </c>
      <c r="AG2235">
        <v>-1.1500856500000001</v>
      </c>
      <c r="AH2235">
        <v>52.104270163004998</v>
      </c>
      <c r="AI2235">
        <v>91.243037051600595</v>
      </c>
      <c r="AJ2235">
        <v>100.566272962673</v>
      </c>
      <c r="AK2235">
        <v>53.015493975689097</v>
      </c>
      <c r="AL2235">
        <v>76.345615238809899</v>
      </c>
      <c r="AM2235">
        <v>91.011841641099295</v>
      </c>
      <c r="AN2235">
        <v>1.00000006033958</v>
      </c>
    </row>
    <row r="2236" spans="1:40" x14ac:dyDescent="0.25">
      <c r="A2236" t="str">
        <f>"20190303170541981"</f>
        <v>20190303170541981</v>
      </c>
      <c r="B2236" t="str">
        <f>"1551603941967270"</f>
        <v>1551603941967270</v>
      </c>
      <c r="C2236" t="s">
        <v>40</v>
      </c>
      <c r="D2236">
        <v>5.7940740000000002</v>
      </c>
      <c r="E2236">
        <v>0.4381659</v>
      </c>
      <c r="F2236" t="s">
        <v>68</v>
      </c>
      <c r="G2236">
        <v>-511.95870000000002</v>
      </c>
      <c r="H2236">
        <v>0.18417220000000001</v>
      </c>
      <c r="I2236">
        <v>276.98050000000001</v>
      </c>
      <c r="J2236">
        <v>-459.93950000000001</v>
      </c>
      <c r="K2236">
        <v>1.120765</v>
      </c>
      <c r="L2236">
        <v>285.25200000000001</v>
      </c>
      <c r="M2236">
        <v>-0.99945490000000003</v>
      </c>
      <c r="N2236">
        <v>-1.362179E-2</v>
      </c>
      <c r="O2236">
        <v>3.0077949999999999E-2</v>
      </c>
      <c r="P2236">
        <v>-0.97507699999999997</v>
      </c>
      <c r="Q2236">
        <v>0.22150329999999999</v>
      </c>
      <c r="R2236">
        <v>1.271249E-2</v>
      </c>
      <c r="S2236">
        <v>-3.0958860000000001</v>
      </c>
      <c r="T2236">
        <v>-5.5337190000000001E-2</v>
      </c>
      <c r="U2236">
        <v>-0.48806759999999899</v>
      </c>
      <c r="V2236">
        <v>-1.6334020000000001E-2</v>
      </c>
      <c r="W2236">
        <v>0.23478460000000001</v>
      </c>
      <c r="X2236">
        <v>0.97191019999999995</v>
      </c>
      <c r="Y2236">
        <v>-0.1853187</v>
      </c>
      <c r="Z2236">
        <v>-3.043628E-3</v>
      </c>
      <c r="AA2236">
        <v>0.98267380000000004</v>
      </c>
      <c r="AB2236">
        <v>36</v>
      </c>
      <c r="AC2236">
        <v>-52.019199999999998</v>
      </c>
      <c r="AD2236">
        <v>-0.9365928</v>
      </c>
      <c r="AE2236">
        <v>-8.2714999999999996</v>
      </c>
      <c r="AF2236">
        <v>-9.8294248962633901</v>
      </c>
      <c r="AG2236">
        <v>-0.9365928</v>
      </c>
      <c r="AH2236">
        <v>51.730491073052001</v>
      </c>
      <c r="AI2236">
        <v>91.0190118699104</v>
      </c>
      <c r="AJ2236">
        <v>100.758642253931</v>
      </c>
      <c r="AK2236">
        <v>52.664395055135799</v>
      </c>
      <c r="AL2236">
        <v>76.421074288825096</v>
      </c>
      <c r="AM2236">
        <v>90.9628279575345</v>
      </c>
      <c r="AN2236">
        <v>1.0000000227352701</v>
      </c>
    </row>
    <row r="2237" spans="1:40" x14ac:dyDescent="0.25">
      <c r="A2237" t="str">
        <f>"20190303170542003"</f>
        <v>20190303170542003</v>
      </c>
      <c r="B2237" t="str">
        <f>"1551603941996550"</f>
        <v>1551603941996550</v>
      </c>
      <c r="C2237" t="s">
        <v>40</v>
      </c>
      <c r="D2237">
        <v>5.8023379999999998</v>
      </c>
      <c r="E2237">
        <v>0.437971</v>
      </c>
      <c r="F2237" t="s">
        <v>68</v>
      </c>
      <c r="G2237">
        <v>-511.95859999999999</v>
      </c>
      <c r="H2237">
        <v>9.2592179999999996E-2</v>
      </c>
      <c r="I2237">
        <v>277.07490000000001</v>
      </c>
      <c r="J2237">
        <v>-460.28859999999997</v>
      </c>
      <c r="K2237">
        <v>1.120792</v>
      </c>
      <c r="L2237">
        <v>285.26299999999998</v>
      </c>
      <c r="M2237">
        <v>-0.9994421</v>
      </c>
      <c r="N2237">
        <v>-1.3619590000000001E-2</v>
      </c>
      <c r="O2237">
        <v>3.05011E-2</v>
      </c>
      <c r="P2237">
        <v>-0.97550669999999995</v>
      </c>
      <c r="Q2237">
        <v>0.2195607</v>
      </c>
      <c r="R2237">
        <v>1.341701E-2</v>
      </c>
      <c r="S2237">
        <v>-3.096924</v>
      </c>
      <c r="T2237">
        <v>-6.1206579999999997E-2</v>
      </c>
      <c r="U2237">
        <v>-0.48681639999999998</v>
      </c>
      <c r="V2237">
        <v>-1.6077569999999999E-2</v>
      </c>
      <c r="W2237">
        <v>0.23284479999999999</v>
      </c>
      <c r="X2237">
        <v>0.97238100000000005</v>
      </c>
      <c r="Y2237">
        <v>-0.18528749999999999</v>
      </c>
      <c r="Z2237">
        <v>-3.2760490000000001E-3</v>
      </c>
      <c r="AA2237">
        <v>0.98267890000000002</v>
      </c>
      <c r="AB2237">
        <v>36</v>
      </c>
      <c r="AC2237">
        <v>-51.67</v>
      </c>
      <c r="AD2237">
        <v>-1.02819982</v>
      </c>
      <c r="AE2237">
        <v>-8.1880999999999595</v>
      </c>
      <c r="AF2237">
        <v>-9.7566585749135903</v>
      </c>
      <c r="AG2237">
        <v>-1.02819982</v>
      </c>
      <c r="AH2237">
        <v>51.376340175456697</v>
      </c>
      <c r="AI2237">
        <v>91.126387212611107</v>
      </c>
      <c r="AJ2237">
        <v>100.752750891792</v>
      </c>
      <c r="AK2237">
        <v>52.3046643354255</v>
      </c>
      <c r="AL2237">
        <v>76.535384902059505</v>
      </c>
      <c r="AM2237">
        <v>90.947255217439903</v>
      </c>
      <c r="AN2237">
        <v>0.99999999915257198</v>
      </c>
    </row>
    <row r="2238" spans="1:40" x14ac:dyDescent="0.25">
      <c r="A2238" t="str">
        <f>"20190303170542024"</f>
        <v>20190303170542024</v>
      </c>
      <c r="B2238" t="str">
        <f>"1551603942017046"</f>
        <v>1551603942017046</v>
      </c>
      <c r="C2238" t="s">
        <v>40</v>
      </c>
      <c r="D2238">
        <v>5.850422</v>
      </c>
      <c r="E2238">
        <v>0.437637</v>
      </c>
      <c r="F2238" t="s">
        <v>68</v>
      </c>
      <c r="G2238">
        <v>-511.95859999999999</v>
      </c>
      <c r="H2238">
        <v>-3.1369630000000003E-2</v>
      </c>
      <c r="I2238">
        <v>277.149</v>
      </c>
      <c r="J2238">
        <v>-460.63709999999998</v>
      </c>
      <c r="K2238">
        <v>1.1208549999999999</v>
      </c>
      <c r="L2238">
        <v>285.274</v>
      </c>
      <c r="M2238">
        <v>-0.99943230000000005</v>
      </c>
      <c r="N2238">
        <v>-1.3617199999999999E-2</v>
      </c>
      <c r="O2238">
        <v>3.081795E-2</v>
      </c>
      <c r="P2238">
        <v>-0.97578319999999996</v>
      </c>
      <c r="Q2238">
        <v>0.21826570000000001</v>
      </c>
      <c r="R2238">
        <v>1.441301E-2</v>
      </c>
      <c r="S2238">
        <v>-3.0975649999999999</v>
      </c>
      <c r="T2238">
        <v>-6.9065929999999998E-2</v>
      </c>
      <c r="U2238">
        <v>-0.48641970000000001</v>
      </c>
      <c r="V2238">
        <v>-1.5438439999999999E-2</v>
      </c>
      <c r="W2238">
        <v>0.231548</v>
      </c>
      <c r="X2238">
        <v>0.97270100000000004</v>
      </c>
      <c r="Y2238">
        <v>-0.1854316</v>
      </c>
      <c r="Z2238">
        <v>-3.591267E-3</v>
      </c>
      <c r="AA2238">
        <v>0.98265060000000004</v>
      </c>
      <c r="AB2238">
        <v>36</v>
      </c>
      <c r="AC2238">
        <v>-51.3215</v>
      </c>
      <c r="AD2238">
        <v>-1.1522246300000001</v>
      </c>
      <c r="AE2238">
        <v>-8.125</v>
      </c>
      <c r="AF2238">
        <v>-9.69814118340134</v>
      </c>
      <c r="AG2238">
        <v>-1.1522246300000001</v>
      </c>
      <c r="AH2238">
        <v>51.021610704118899</v>
      </c>
      <c r="AI2238">
        <v>91.270946430667394</v>
      </c>
      <c r="AJ2238">
        <v>100.76234049782001</v>
      </c>
      <c r="AK2238">
        <v>51.947919331324798</v>
      </c>
      <c r="AL2238">
        <v>76.611774269374095</v>
      </c>
      <c r="AM2238">
        <v>90.909306342586305</v>
      </c>
      <c r="AN2238">
        <v>1.0000000285673101</v>
      </c>
    </row>
    <row r="2239" spans="1:40" x14ac:dyDescent="0.25">
      <c r="A2239" t="str">
        <f>"20190303170542047"</f>
        <v>20190303170542047</v>
      </c>
      <c r="B2239" t="str">
        <f>"1551603942036566"</f>
        <v>1551603942036566</v>
      </c>
      <c r="C2239" t="s">
        <v>40</v>
      </c>
      <c r="D2239">
        <v>5.8032700000000004</v>
      </c>
      <c r="E2239">
        <v>0.43745859999999898</v>
      </c>
      <c r="F2239" t="s">
        <v>43</v>
      </c>
      <c r="G2239">
        <v>-511.92959999999999</v>
      </c>
      <c r="H2239">
        <v>-0.05</v>
      </c>
      <c r="I2239">
        <v>277.21749999999997</v>
      </c>
      <c r="J2239">
        <v>-460.99489999999997</v>
      </c>
      <c r="K2239">
        <v>1.120959</v>
      </c>
      <c r="L2239">
        <v>285.28530000000001</v>
      </c>
      <c r="M2239">
        <v>-0.99942640000000005</v>
      </c>
      <c r="N2239">
        <v>-1.361479E-2</v>
      </c>
      <c r="O2239">
        <v>3.1012390000000001E-2</v>
      </c>
      <c r="P2239">
        <v>-0.97569320000000004</v>
      </c>
      <c r="Q2239">
        <v>0.21855740000000001</v>
      </c>
      <c r="R2239">
        <v>1.5994149999999999E-2</v>
      </c>
      <c r="S2239">
        <v>-3.0974119999999998</v>
      </c>
      <c r="T2239">
        <v>-7.0704820000000002E-2</v>
      </c>
      <c r="U2239">
        <v>-0.48651119999999998</v>
      </c>
      <c r="V2239">
        <v>-1.410119E-2</v>
      </c>
      <c r="W2239">
        <v>0.23183190000000001</v>
      </c>
      <c r="X2239">
        <v>0.97265369999999995</v>
      </c>
      <c r="Y2239">
        <v>-0.1856555</v>
      </c>
      <c r="Z2239">
        <v>-3.6620670000000002E-3</v>
      </c>
      <c r="AA2239">
        <v>0.98260809999999998</v>
      </c>
      <c r="AB2239">
        <v>36</v>
      </c>
      <c r="AC2239">
        <v>-50.934699999999999</v>
      </c>
      <c r="AD2239">
        <v>-1.1709590000000001</v>
      </c>
      <c r="AE2239">
        <v>-8.0678000000000303</v>
      </c>
      <c r="AF2239">
        <v>-9.63870216468443</v>
      </c>
      <c r="AG2239">
        <v>-1.1709590000000001</v>
      </c>
      <c r="AH2239">
        <v>50.633865257260602</v>
      </c>
      <c r="AI2239">
        <v>91.301424405481896</v>
      </c>
      <c r="AJ2239">
        <v>100.777916797283</v>
      </c>
      <c r="AK2239">
        <v>51.556416043879501</v>
      </c>
      <c r="AL2239">
        <v>76.595053255708194</v>
      </c>
      <c r="AM2239">
        <v>90.830595797445298</v>
      </c>
      <c r="AN2239">
        <v>1.00000004677035</v>
      </c>
    </row>
    <row r="2240" spans="1:40" x14ac:dyDescent="0.25">
      <c r="A2240" t="str">
        <f>"20190303170542069"</f>
        <v>20190303170542069</v>
      </c>
      <c r="B2240" t="str">
        <f>"1551603942057062"</f>
        <v>1551603942057062</v>
      </c>
      <c r="C2240" t="s">
        <v>40</v>
      </c>
      <c r="D2240">
        <v>5.8025900000000004</v>
      </c>
      <c r="E2240">
        <v>0.43732260000000001</v>
      </c>
      <c r="F2240" t="s">
        <v>68</v>
      </c>
      <c r="G2240">
        <v>-511.95859999999999</v>
      </c>
      <c r="H2240">
        <v>-9.1867449999999996E-3</v>
      </c>
      <c r="I2240">
        <v>277.3073</v>
      </c>
      <c r="J2240">
        <v>-461.3587</v>
      </c>
      <c r="K2240">
        <v>1.1210789999999999</v>
      </c>
      <c r="L2240">
        <v>285.29680000000002</v>
      </c>
      <c r="M2240">
        <v>-0.99942450000000005</v>
      </c>
      <c r="N2240">
        <v>-1.361251E-2</v>
      </c>
      <c r="O2240">
        <v>3.1071629999999999E-2</v>
      </c>
      <c r="P2240">
        <v>-0.97547139999999999</v>
      </c>
      <c r="Q2240">
        <v>0.219414</v>
      </c>
      <c r="R2240">
        <v>1.7695530000000001E-2</v>
      </c>
      <c r="S2240">
        <v>-3.0981139999999998</v>
      </c>
      <c r="T2240">
        <v>-6.8697090000000002E-2</v>
      </c>
      <c r="U2240">
        <v>-0.48498540000000001</v>
      </c>
      <c r="V2240">
        <v>-1.251794E-2</v>
      </c>
      <c r="W2240">
        <v>0.2326792</v>
      </c>
      <c r="X2240">
        <v>0.97247300000000003</v>
      </c>
      <c r="Y2240">
        <v>-0.18521109999999999</v>
      </c>
      <c r="Z2240">
        <v>-3.5741340000000001E-3</v>
      </c>
      <c r="AA2240">
        <v>0.98269220000000002</v>
      </c>
      <c r="AB2240">
        <v>36</v>
      </c>
      <c r="AC2240">
        <v>-50.599899999999899</v>
      </c>
      <c r="AD2240">
        <v>-1.130265745</v>
      </c>
      <c r="AE2240">
        <v>-7.98950000000002</v>
      </c>
      <c r="AF2240">
        <v>-9.5533578817297506</v>
      </c>
      <c r="AG2240">
        <v>-1.130265745</v>
      </c>
      <c r="AH2240">
        <v>50.302705758815499</v>
      </c>
      <c r="AI2240">
        <v>91.264582204336094</v>
      </c>
      <c r="AJ2240">
        <v>100.75339795401599</v>
      </c>
      <c r="AK2240">
        <v>51.214317862573303</v>
      </c>
      <c r="AL2240">
        <v>76.545141365868901</v>
      </c>
      <c r="AM2240">
        <v>90.737486306031002</v>
      </c>
      <c r="AN2240">
        <v>1.00000002233174</v>
      </c>
    </row>
    <row r="2241" spans="1:40" x14ac:dyDescent="0.25">
      <c r="A2241" t="str">
        <f>"20190303170542094"</f>
        <v>20190303170542094</v>
      </c>
      <c r="B2241" t="str">
        <f>"1551603942087318"</f>
        <v>1551603942087318</v>
      </c>
      <c r="C2241" t="s">
        <v>40</v>
      </c>
      <c r="D2241">
        <v>5.7874559999999997</v>
      </c>
      <c r="E2241">
        <v>0.4369709</v>
      </c>
      <c r="F2241" t="s">
        <v>68</v>
      </c>
      <c r="G2241">
        <v>-511.95859999999999</v>
      </c>
      <c r="H2241">
        <v>5.1455800000000003E-2</v>
      </c>
      <c r="I2241">
        <v>277.41660000000002</v>
      </c>
      <c r="J2241">
        <v>-461.72899999999998</v>
      </c>
      <c r="K2241">
        <v>1.1212409999999999</v>
      </c>
      <c r="L2241">
        <v>285.3082</v>
      </c>
      <c r="M2241">
        <v>-0.99943000000000004</v>
      </c>
      <c r="N2241">
        <v>-1.361032E-2</v>
      </c>
      <c r="O2241">
        <v>3.0899099999999999E-2</v>
      </c>
      <c r="P2241">
        <v>-0.97549430000000004</v>
      </c>
      <c r="Q2241">
        <v>0.2193272</v>
      </c>
      <c r="R2241">
        <v>1.7526920000000001E-2</v>
      </c>
      <c r="S2241">
        <v>-3.0989070000000001</v>
      </c>
      <c r="T2241">
        <v>-6.5502169999999998E-2</v>
      </c>
      <c r="U2241">
        <v>-0.48260500000000001</v>
      </c>
      <c r="V2241">
        <v>-1.2610049999999999E-2</v>
      </c>
      <c r="W2241">
        <v>0.2325856</v>
      </c>
      <c r="X2241">
        <v>0.97249419999999998</v>
      </c>
      <c r="Y2241">
        <v>-0.18427199999999999</v>
      </c>
      <c r="Z2241">
        <v>-3.4290319999999998E-3</v>
      </c>
      <c r="AA2241">
        <v>0.98286929999999995</v>
      </c>
      <c r="AB2241">
        <v>36</v>
      </c>
      <c r="AC2241">
        <v>-50.229599999999898</v>
      </c>
      <c r="AD2241">
        <v>-1.0697852000000001</v>
      </c>
      <c r="AE2241">
        <v>-7.89159999999998</v>
      </c>
      <c r="AF2241">
        <v>-9.4358470867344195</v>
      </c>
      <c r="AG2241">
        <v>-1.0697852000000001</v>
      </c>
      <c r="AH2241">
        <v>49.939638511632097</v>
      </c>
      <c r="AI2241">
        <v>91.205848254908702</v>
      </c>
      <c r="AJ2241">
        <v>100.699617193088</v>
      </c>
      <c r="AK2241">
        <v>50.834507426460398</v>
      </c>
      <c r="AL2241">
        <v>76.550655526895397</v>
      </c>
      <c r="AM2241">
        <v>90.742896107491006</v>
      </c>
      <c r="AN2241">
        <v>1.0000000218609999</v>
      </c>
    </row>
    <row r="2242" spans="1:40" x14ac:dyDescent="0.25">
      <c r="A2242" t="str">
        <f>"20190303170542114"</f>
        <v>20190303170542114</v>
      </c>
      <c r="B2242" t="str">
        <f>"1551603942106838"</f>
        <v>1551603942106838</v>
      </c>
      <c r="C2242" t="s">
        <v>40</v>
      </c>
      <c r="D2242">
        <v>5.7978649999999998</v>
      </c>
      <c r="E2242">
        <v>0.43661549999999999</v>
      </c>
      <c r="F2242" t="s">
        <v>68</v>
      </c>
      <c r="G2242">
        <v>-511.95859999999999</v>
      </c>
      <c r="H2242">
        <v>6.3645839999999995E-2</v>
      </c>
      <c r="I2242">
        <v>277.42360000000002</v>
      </c>
      <c r="J2242">
        <v>-462.07040000000001</v>
      </c>
      <c r="K2242">
        <v>1.1214500000000001</v>
      </c>
      <c r="L2242">
        <v>285.3184</v>
      </c>
      <c r="M2242">
        <v>-0.99944409999999895</v>
      </c>
      <c r="N2242">
        <v>-1.360918E-2</v>
      </c>
      <c r="O2242">
        <v>3.0434449999999998E-2</v>
      </c>
      <c r="P2242">
        <v>-0.97574139999999998</v>
      </c>
      <c r="Q2242">
        <v>0.2183601</v>
      </c>
      <c r="R2242">
        <v>1.5736340000000001E-2</v>
      </c>
      <c r="S2242">
        <v>-3.0987849999999999</v>
      </c>
      <c r="T2242">
        <v>-6.5240380000000001E-2</v>
      </c>
      <c r="U2242">
        <v>-0.48641970000000001</v>
      </c>
      <c r="V2242">
        <v>-1.4074120000000001E-2</v>
      </c>
      <c r="W2242">
        <v>0.23161300000000001</v>
      </c>
      <c r="X2242">
        <v>0.97270619999999997</v>
      </c>
      <c r="Y2242">
        <v>-0.1850021</v>
      </c>
      <c r="Z2242">
        <v>-3.4278400000000001E-3</v>
      </c>
      <c r="AA2242">
        <v>0.9827321</v>
      </c>
      <c r="AB2242">
        <v>36</v>
      </c>
      <c r="AC2242">
        <v>-49.888199999999898</v>
      </c>
      <c r="AD2242">
        <v>-1.0578041600000001</v>
      </c>
      <c r="AE2242">
        <v>-7.8947999999999698</v>
      </c>
      <c r="AF2242">
        <v>-9.4054774626093192</v>
      </c>
      <c r="AG2242">
        <v>-1.0578041600000001</v>
      </c>
      <c r="AH2242">
        <v>49.603033497619698</v>
      </c>
      <c r="AI2242">
        <v>91.200289278834703</v>
      </c>
      <c r="AJ2242">
        <v>100.736673357241</v>
      </c>
      <c r="AK2242">
        <v>50.497949345558098</v>
      </c>
      <c r="AL2242">
        <v>76.607945681224194</v>
      </c>
      <c r="AM2242">
        <v>90.828956791073395</v>
      </c>
      <c r="AN2242">
        <v>1.0000000070706001</v>
      </c>
    </row>
    <row r="2243" spans="1:40" x14ac:dyDescent="0.25">
      <c r="A2243" t="str">
        <f>"20190303170542137"</f>
        <v>20190303170542137</v>
      </c>
      <c r="B2243" t="str">
        <f>"1551603942127335"</f>
        <v>1551603942127335</v>
      </c>
      <c r="C2243" t="s">
        <v>40</v>
      </c>
      <c r="D2243">
        <v>5.7956859999999999</v>
      </c>
      <c r="E2243">
        <v>0.43636629999999899</v>
      </c>
      <c r="F2243" t="s">
        <v>68</v>
      </c>
      <c r="G2243">
        <v>-511.95859999999999</v>
      </c>
      <c r="H2243">
        <v>3.9821919999999997E-2</v>
      </c>
      <c r="I2243">
        <v>277.34820000000002</v>
      </c>
      <c r="J2243">
        <v>-462.428</v>
      </c>
      <c r="K2243">
        <v>1.1217549999999901</v>
      </c>
      <c r="L2243">
        <v>285.32859999999999</v>
      </c>
      <c r="M2243">
        <v>-0.99947090000000005</v>
      </c>
      <c r="N2243">
        <v>-1.3610229999999999E-2</v>
      </c>
      <c r="O2243">
        <v>2.9545129999999999E-2</v>
      </c>
      <c r="P2243">
        <v>-0.97584380000000004</v>
      </c>
      <c r="Q2243">
        <v>0.21806780000000001</v>
      </c>
      <c r="R2243">
        <v>1.3250799999999899E-2</v>
      </c>
      <c r="S2243">
        <v>-3.0975950000000001</v>
      </c>
      <c r="T2243">
        <v>-6.7153809999999994E-2</v>
      </c>
      <c r="U2243">
        <v>-0.49487300000000001</v>
      </c>
      <c r="V2243">
        <v>-1.5865150000000001E-2</v>
      </c>
      <c r="W2243">
        <v>0.23131009999999999</v>
      </c>
      <c r="X2243">
        <v>0.97275069999999997</v>
      </c>
      <c r="Y2243">
        <v>-0.18679750000000001</v>
      </c>
      <c r="Z2243">
        <v>-3.5286430000000001E-3</v>
      </c>
      <c r="AA2243">
        <v>0.98239209999999999</v>
      </c>
      <c r="AB2243">
        <v>36</v>
      </c>
      <c r="AC2243">
        <v>-49.5305999999999</v>
      </c>
      <c r="AD2243">
        <v>-1.08193307999999</v>
      </c>
      <c r="AE2243">
        <v>-7.9803999999999702</v>
      </c>
      <c r="AF2243">
        <v>-9.4360504187701295</v>
      </c>
      <c r="AG2243">
        <v>-1.08193307999999</v>
      </c>
      <c r="AH2243">
        <v>49.250264434268601</v>
      </c>
      <c r="AI2243">
        <v>91.236000987786397</v>
      </c>
      <c r="AJ2243">
        <v>100.846083288421</v>
      </c>
      <c r="AK2243">
        <v>50.157732938606301</v>
      </c>
      <c r="AL2243">
        <v>76.625784850353298</v>
      </c>
      <c r="AM2243">
        <v>90.934386940031501</v>
      </c>
      <c r="AN2243">
        <v>0.99999999484851099</v>
      </c>
    </row>
    <row r="2244" spans="1:40" x14ac:dyDescent="0.25">
      <c r="A2244" t="str">
        <f>"20190303170542159"</f>
        <v>20190303170542159</v>
      </c>
      <c r="B2244" t="str">
        <f>"1551603942146855"</f>
        <v>1551603942146855</v>
      </c>
      <c r="C2244" t="s">
        <v>40</v>
      </c>
      <c r="D2244">
        <v>5.8044129999999896</v>
      </c>
      <c r="E2244">
        <v>0.4360696</v>
      </c>
      <c r="F2244" t="s">
        <v>68</v>
      </c>
      <c r="G2244">
        <v>-511.95859999999999</v>
      </c>
      <c r="H2244">
        <v>5.7874799999999997E-2</v>
      </c>
      <c r="I2244">
        <v>277.2235</v>
      </c>
      <c r="J2244">
        <v>-462.78129999999999</v>
      </c>
      <c r="K2244">
        <v>1.1221350000000001</v>
      </c>
      <c r="L2244">
        <v>285.33789999999999</v>
      </c>
      <c r="M2244">
        <v>-0.9995098</v>
      </c>
      <c r="N2244">
        <v>-1.3615179999999999E-2</v>
      </c>
      <c r="O2244">
        <v>2.819427E-2</v>
      </c>
      <c r="P2244">
        <v>-0.97581669999999998</v>
      </c>
      <c r="Q2244">
        <v>0.21835830000000001</v>
      </c>
      <c r="R2244">
        <v>1.0086110000000001E-2</v>
      </c>
      <c r="S2244">
        <v>-3.0960079999999999</v>
      </c>
      <c r="T2244">
        <v>-6.6494579999999998E-2</v>
      </c>
      <c r="U2244">
        <v>-0.50662229999999997</v>
      </c>
      <c r="V2244">
        <v>-1.7923379999999999E-2</v>
      </c>
      <c r="W2244">
        <v>0.23158509999999999</v>
      </c>
      <c r="X2244">
        <v>0.97264949999999994</v>
      </c>
      <c r="Y2244">
        <v>-0.18918099999999999</v>
      </c>
      <c r="Z2244">
        <v>-3.5352019999999999E-3</v>
      </c>
      <c r="AA2244">
        <v>0.98193589999999997</v>
      </c>
      <c r="AB2244">
        <v>36</v>
      </c>
      <c r="AC2244">
        <v>-49.177300000000002</v>
      </c>
      <c r="AD2244">
        <v>-1.0642601999999901</v>
      </c>
      <c r="AE2244">
        <v>-8.1143999999999892</v>
      </c>
      <c r="AF2244">
        <v>-9.4934917487356092</v>
      </c>
      <c r="AG2244">
        <v>-1.0642601999999901</v>
      </c>
      <c r="AH2244">
        <v>48.906647664846197</v>
      </c>
      <c r="AI2244">
        <v>91.223783771616993</v>
      </c>
      <c r="AJ2244">
        <v>100.985326599514</v>
      </c>
      <c r="AK2244">
        <v>49.830906284855203</v>
      </c>
      <c r="AL2244">
        <v>76.609588513785198</v>
      </c>
      <c r="AM2244">
        <v>91.055691504718595</v>
      </c>
      <c r="AN2244">
        <v>0.99999997797144102</v>
      </c>
    </row>
    <row r="2245" spans="1:40" x14ac:dyDescent="0.25">
      <c r="A2245" t="str">
        <f>"20190303170542181"</f>
        <v>20190303170542181</v>
      </c>
      <c r="B2245" t="str">
        <f>"1551603942177110"</f>
        <v>1551603942177110</v>
      </c>
      <c r="C2245" t="s">
        <v>40</v>
      </c>
      <c r="D2245">
        <v>5.8042669999999896</v>
      </c>
      <c r="E2245">
        <v>0.43563400000000002</v>
      </c>
      <c r="F2245" t="s">
        <v>68</v>
      </c>
      <c r="G2245">
        <v>-511.95859999999999</v>
      </c>
      <c r="H2245">
        <v>0.112999</v>
      </c>
      <c r="I2245">
        <v>277.04219999999998</v>
      </c>
      <c r="J2245">
        <v>-463.14</v>
      </c>
      <c r="K2245">
        <v>1.122563</v>
      </c>
      <c r="L2245">
        <v>285.34629999999999</v>
      </c>
      <c r="M2245">
        <v>-0.99956140000000004</v>
      </c>
      <c r="N2245">
        <v>-1.3624549999999999E-2</v>
      </c>
      <c r="O2245">
        <v>2.6300730000000001E-2</v>
      </c>
      <c r="P2245">
        <v>-0.97610410000000003</v>
      </c>
      <c r="Q2245">
        <v>0.2172423</v>
      </c>
      <c r="R2245">
        <v>5.1712260000000001E-3</v>
      </c>
      <c r="S2245">
        <v>-3.0939329999999998</v>
      </c>
      <c r="T2245">
        <v>-6.3483239999999996E-2</v>
      </c>
      <c r="U2245">
        <v>-0.52191160000000003</v>
      </c>
      <c r="V2245">
        <v>-2.123879E-2</v>
      </c>
      <c r="W2245">
        <v>0.23045170000000001</v>
      </c>
      <c r="X2245">
        <v>0.97285189999999999</v>
      </c>
      <c r="Y2245">
        <v>-0.19215109999999999</v>
      </c>
      <c r="Z2245">
        <v>-3.456167E-3</v>
      </c>
      <c r="AA2245">
        <v>0.98135919999999999</v>
      </c>
      <c r="AB2245">
        <v>36</v>
      </c>
      <c r="AC2245">
        <v>-48.818600000000004</v>
      </c>
      <c r="AD2245">
        <v>-1.0095639999999999</v>
      </c>
      <c r="AE2245">
        <v>-8.3041</v>
      </c>
      <c r="AF2245">
        <v>-9.5813283495683894</v>
      </c>
      <c r="AG2245">
        <v>-1.0095639999999999</v>
      </c>
      <c r="AH2245">
        <v>48.563100817858697</v>
      </c>
      <c r="AI2245">
        <v>91.168416240310606</v>
      </c>
      <c r="AJ2245">
        <v>101.160912183392</v>
      </c>
      <c r="AK2245">
        <v>49.509552951504702</v>
      </c>
      <c r="AL2245">
        <v>76.676332599958002</v>
      </c>
      <c r="AM2245">
        <v>91.250652596898405</v>
      </c>
      <c r="AN2245">
        <v>0.99999994578357998</v>
      </c>
    </row>
    <row r="2246" spans="1:40" x14ac:dyDescent="0.25">
      <c r="A2246" t="str">
        <f>"20190303170542205"</f>
        <v>20190303170542205</v>
      </c>
      <c r="B2246" t="str">
        <f>"1551603942196630"</f>
        <v>1551603942196630</v>
      </c>
      <c r="C2246" t="s">
        <v>40</v>
      </c>
      <c r="D2246">
        <v>5.7930080000000004</v>
      </c>
      <c r="E2246">
        <v>0.43536200000000003</v>
      </c>
      <c r="F2246" t="s">
        <v>68</v>
      </c>
      <c r="G2246">
        <v>-511.95859999999999</v>
      </c>
      <c r="H2246">
        <v>9.6186640000000004E-2</v>
      </c>
      <c r="I2246">
        <v>276.79079999999999</v>
      </c>
      <c r="J2246">
        <v>-463.50049999999999</v>
      </c>
      <c r="K2246">
        <v>1.123008</v>
      </c>
      <c r="L2246">
        <v>285.3535</v>
      </c>
      <c r="M2246">
        <v>-0.99962320000000005</v>
      </c>
      <c r="N2246">
        <v>-1.3637750000000001E-2</v>
      </c>
      <c r="O2246">
        <v>2.3820339999999999E-2</v>
      </c>
      <c r="P2246">
        <v>-0.97678030000000005</v>
      </c>
      <c r="Q2246">
        <v>0.2142356</v>
      </c>
      <c r="R2246">
        <v>-1.903205E-3</v>
      </c>
      <c r="S2246">
        <v>-3.0907589999999998</v>
      </c>
      <c r="T2246">
        <v>-6.4975619999999998E-2</v>
      </c>
      <c r="U2246">
        <v>-0.54165649999999999</v>
      </c>
      <c r="V2246">
        <v>-2.6149840000000001E-2</v>
      </c>
      <c r="W2246">
        <v>0.22742209999999999</v>
      </c>
      <c r="X2246">
        <v>0.97344509999999995</v>
      </c>
      <c r="Y2246">
        <v>-0.19596479999999999</v>
      </c>
      <c r="Z2246">
        <v>-3.5655980000000001E-3</v>
      </c>
      <c r="AA2246">
        <v>0.98060449999999999</v>
      </c>
      <c r="AB2246">
        <v>36</v>
      </c>
      <c r="AC2246">
        <v>-48.458100000000002</v>
      </c>
      <c r="AD2246">
        <v>-1.02682136</v>
      </c>
      <c r="AE2246">
        <v>-8.5626999999999995</v>
      </c>
      <c r="AF2246">
        <v>-9.7104376621440291</v>
      </c>
      <c r="AG2246">
        <v>-1.02682136</v>
      </c>
      <c r="AH2246">
        <v>48.219366851473403</v>
      </c>
      <c r="AI2246">
        <v>91.195915839941705</v>
      </c>
      <c r="AJ2246">
        <v>101.38596397664401</v>
      </c>
      <c r="AK2246">
        <v>49.198112781413698</v>
      </c>
      <c r="AL2246">
        <v>76.854652568780395</v>
      </c>
      <c r="AM2246">
        <v>91.538777299575898</v>
      </c>
      <c r="AN2246">
        <v>0.99999999420722196</v>
      </c>
    </row>
    <row r="2247" spans="1:40" x14ac:dyDescent="0.25">
      <c r="A2247" t="str">
        <f>"20190303170542225"</f>
        <v>20190303170542225</v>
      </c>
      <c r="B2247" t="str">
        <f>"1551603942217126"</f>
        <v>1551603942217126</v>
      </c>
      <c r="C2247" t="s">
        <v>40</v>
      </c>
      <c r="D2247">
        <v>5.79338</v>
      </c>
      <c r="E2247">
        <v>0.43517319999999998</v>
      </c>
      <c r="F2247" t="s">
        <v>68</v>
      </c>
      <c r="G2247">
        <v>-511.95859999999999</v>
      </c>
      <c r="H2247">
        <v>-4.702249E-2</v>
      </c>
      <c r="I2247">
        <v>276.47590000000002</v>
      </c>
      <c r="J2247">
        <v>-463.84050000000002</v>
      </c>
      <c r="K2247">
        <v>1.1234230000000001</v>
      </c>
      <c r="L2247">
        <v>285.35899999999998</v>
      </c>
      <c r="M2247">
        <v>-0.99968679999999999</v>
      </c>
      <c r="N2247">
        <v>-1.365209E-2</v>
      </c>
      <c r="O2247">
        <v>2.0972640000000001E-2</v>
      </c>
      <c r="P2247">
        <v>-0.97687889999999999</v>
      </c>
      <c r="Q2247">
        <v>0.21369179999999999</v>
      </c>
      <c r="R2247">
        <v>-6.6103660000000003E-3</v>
      </c>
      <c r="S2247">
        <v>-3.0865480000000001</v>
      </c>
      <c r="T2247">
        <v>-7.4519870000000002E-2</v>
      </c>
      <c r="U2247">
        <v>-0.56546019999999997</v>
      </c>
      <c r="V2247">
        <v>-2.8306910000000001E-2</v>
      </c>
      <c r="W2247">
        <v>0.226856</v>
      </c>
      <c r="X2247">
        <v>0.97351690000000002</v>
      </c>
      <c r="Y2247">
        <v>-0.2007033</v>
      </c>
      <c r="Z2247">
        <v>-4.0026669999999997E-3</v>
      </c>
      <c r="AA2247">
        <v>0.97964390000000001</v>
      </c>
      <c r="AB2247">
        <v>36</v>
      </c>
      <c r="AC2247">
        <v>-48.118099999999899</v>
      </c>
      <c r="AD2247">
        <v>-1.1704454900000001</v>
      </c>
      <c r="AE2247">
        <v>-8.8831000000000095</v>
      </c>
      <c r="AF2247">
        <v>-9.8847476473810101</v>
      </c>
      <c r="AG2247">
        <v>-1.1704454900000001</v>
      </c>
      <c r="AH2247">
        <v>47.893791263967003</v>
      </c>
      <c r="AI2247">
        <v>91.371050953549798</v>
      </c>
      <c r="AJ2247">
        <v>101.661474893654</v>
      </c>
      <c r="AK2247">
        <v>48.917209858432301</v>
      </c>
      <c r="AL2247">
        <v>76.887958857080505</v>
      </c>
      <c r="AM2247">
        <v>91.665517697994602</v>
      </c>
      <c r="AN2247">
        <v>1.0000000402376701</v>
      </c>
    </row>
    <row r="2248" spans="1:40" x14ac:dyDescent="0.25">
      <c r="A2248" t="str">
        <f>"20190303170542249"</f>
        <v>20190303170542249</v>
      </c>
      <c r="B2248" t="str">
        <f>"1551603942236647"</f>
        <v>1551603942236647</v>
      </c>
      <c r="C2248" t="s">
        <v>40</v>
      </c>
      <c r="D2248">
        <v>5.770969</v>
      </c>
      <c r="E2248">
        <v>0.4351255</v>
      </c>
      <c r="F2248" t="s">
        <v>43</v>
      </c>
      <c r="G2248">
        <v>-511.35210000000001</v>
      </c>
      <c r="H2248">
        <v>-0.05</v>
      </c>
      <c r="I2248">
        <v>276.40410000000003</v>
      </c>
      <c r="J2248">
        <v>-464.19650000000001</v>
      </c>
      <c r="K2248">
        <v>1.1238250000000001</v>
      </c>
      <c r="L2248">
        <v>285.36329999999998</v>
      </c>
      <c r="M2248">
        <v>-0.99975239999999999</v>
      </c>
      <c r="N2248">
        <v>-1.3666609999999999E-2</v>
      </c>
      <c r="O2248">
        <v>1.75581E-2</v>
      </c>
      <c r="P2248">
        <v>-0.97623150000000003</v>
      </c>
      <c r="Q2248">
        <v>0.21655360000000001</v>
      </c>
      <c r="R2248">
        <v>-8.7697019999999903E-3</v>
      </c>
      <c r="S2248">
        <v>-3.08371</v>
      </c>
      <c r="T2248">
        <v>-7.6160069999999996E-2</v>
      </c>
      <c r="U2248">
        <v>-0.58120729999999998</v>
      </c>
      <c r="V2248">
        <v>-2.735601E-2</v>
      </c>
      <c r="W2248">
        <v>0.2297032</v>
      </c>
      <c r="X2248">
        <v>0.97287619999999997</v>
      </c>
      <c r="Y2248">
        <v>-0.20234830000000001</v>
      </c>
      <c r="Z2248">
        <v>-4.0639220000000002E-3</v>
      </c>
      <c r="AA2248">
        <v>0.97930519999999999</v>
      </c>
      <c r="AB2248">
        <v>36</v>
      </c>
      <c r="AC2248">
        <v>-47.1555999999999</v>
      </c>
      <c r="AD2248">
        <v>-1.1738249999999999</v>
      </c>
      <c r="AE2248">
        <v>-8.9591999999999494</v>
      </c>
      <c r="AF2248">
        <v>-9.7800097731524094</v>
      </c>
      <c r="AG2248">
        <v>-1.1738249999999999</v>
      </c>
      <c r="AH2248">
        <v>46.9629218076916</v>
      </c>
      <c r="AI2248">
        <v>91.401733605602999</v>
      </c>
      <c r="AJ2248">
        <v>101.763690961973</v>
      </c>
      <c r="AK2248">
        <v>47.984815108625099</v>
      </c>
      <c r="AL2248">
        <v>76.720401554133403</v>
      </c>
      <c r="AM2248">
        <v>91.610658194091499</v>
      </c>
      <c r="AN2248">
        <v>1.0000000059498999</v>
      </c>
    </row>
    <row r="2249" spans="1:40" x14ac:dyDescent="0.25">
      <c r="A2249" t="str">
        <f>"20190303170542271"</f>
        <v>20190303170542271</v>
      </c>
      <c r="B2249" t="str">
        <f>"1551603942266902"</f>
        <v>1551603942266902</v>
      </c>
      <c r="C2249" t="s">
        <v>40</v>
      </c>
      <c r="D2249">
        <v>5.7898389999999997</v>
      </c>
      <c r="E2249">
        <v>0.4350115</v>
      </c>
      <c r="F2249" t="s">
        <v>68</v>
      </c>
      <c r="G2249">
        <v>-511.95859999999999</v>
      </c>
      <c r="H2249">
        <v>0.11360969999999999</v>
      </c>
      <c r="I2249">
        <v>276.20729999999998</v>
      </c>
      <c r="J2249">
        <v>-464.55599999999998</v>
      </c>
      <c r="K2249">
        <v>1.124166</v>
      </c>
      <c r="L2249">
        <v>285.36590000000001</v>
      </c>
      <c r="M2249">
        <v>-0.99981240000000005</v>
      </c>
      <c r="N2249">
        <v>-1.367851E-2</v>
      </c>
      <c r="O2249">
        <v>1.371839E-2</v>
      </c>
      <c r="P2249">
        <v>-0.97619869999999997</v>
      </c>
      <c r="Q2249">
        <v>0.2165436</v>
      </c>
      <c r="R2249">
        <v>-1.203778E-2</v>
      </c>
      <c r="S2249">
        <v>-3.0821839999999998</v>
      </c>
      <c r="T2249">
        <v>-6.5185789999999993E-2</v>
      </c>
      <c r="U2249">
        <v>-0.59085080000000001</v>
      </c>
      <c r="V2249">
        <v>-2.7073139999999999E-2</v>
      </c>
      <c r="W2249">
        <v>0.2296851</v>
      </c>
      <c r="X2249">
        <v>0.97288839999999999</v>
      </c>
      <c r="Y2249">
        <v>-0.20165430000000001</v>
      </c>
      <c r="Z2249">
        <v>-3.6065419999999999E-3</v>
      </c>
      <c r="AA2249">
        <v>0.97945009999999999</v>
      </c>
      <c r="AB2249">
        <v>36</v>
      </c>
      <c r="AC2249">
        <v>-47.4026</v>
      </c>
      <c r="AD2249">
        <v>-1.0105563</v>
      </c>
      <c r="AE2249">
        <v>-9.1586000000000301</v>
      </c>
      <c r="AF2249">
        <v>-9.8037908506751901</v>
      </c>
      <c r="AG2249">
        <v>-1.0105563</v>
      </c>
      <c r="AH2249">
        <v>47.251783237235898</v>
      </c>
      <c r="AI2249">
        <v>91.199635624368199</v>
      </c>
      <c r="AJ2249">
        <v>101.721411732251</v>
      </c>
      <c r="AK2249">
        <v>48.268691283045797</v>
      </c>
      <c r="AL2249">
        <v>76.721467280029003</v>
      </c>
      <c r="AM2249">
        <v>91.593992125643695</v>
      </c>
      <c r="AN2249">
        <v>1.0000000194630101</v>
      </c>
    </row>
    <row r="2250" spans="1:40" x14ac:dyDescent="0.25">
      <c r="A2250" t="str">
        <f>"20190303170542295"</f>
        <v>20190303170542295</v>
      </c>
      <c r="B2250" t="str">
        <f>"1551603942287398"</f>
        <v>1551603942287398</v>
      </c>
      <c r="C2250" t="s">
        <v>40</v>
      </c>
      <c r="D2250">
        <v>5.7602650000000004</v>
      </c>
      <c r="E2250">
        <v>0.43490420000000002</v>
      </c>
      <c r="F2250" t="s">
        <v>68</v>
      </c>
      <c r="G2250">
        <v>-511.95870000000002</v>
      </c>
      <c r="H2250">
        <v>0.13011539999999999</v>
      </c>
      <c r="I2250">
        <v>276.0926</v>
      </c>
      <c r="J2250">
        <v>-464.9228</v>
      </c>
      <c r="K2250">
        <v>1.1244879999999999</v>
      </c>
      <c r="L2250">
        <v>285.36689999999999</v>
      </c>
      <c r="M2250">
        <v>-0.99986189999999997</v>
      </c>
      <c r="N2250">
        <v>-1.368891E-2</v>
      </c>
      <c r="O2250">
        <v>9.4312430000000006E-3</v>
      </c>
      <c r="P2250">
        <v>-0.97676510000000005</v>
      </c>
      <c r="Q2250">
        <v>0.21362929999999999</v>
      </c>
      <c r="R2250">
        <v>-1.711242E-2</v>
      </c>
      <c r="S2250">
        <v>-3.0800169999999998</v>
      </c>
      <c r="T2250">
        <v>-6.4583660000000001E-2</v>
      </c>
      <c r="U2250">
        <v>-0.60253909999999999</v>
      </c>
      <c r="V2250">
        <v>-2.8129299999999999E-2</v>
      </c>
      <c r="W2250">
        <v>0.22676080000000001</v>
      </c>
      <c r="X2250">
        <v>0.97354419999999997</v>
      </c>
      <c r="Y2250">
        <v>-0.2011657</v>
      </c>
      <c r="Z2250">
        <v>-3.5472250000000002E-3</v>
      </c>
      <c r="AA2250">
        <v>0.97955080000000005</v>
      </c>
      <c r="AB2250">
        <v>36</v>
      </c>
      <c r="AC2250">
        <v>-47.035899999999998</v>
      </c>
      <c r="AD2250">
        <v>-0.99437260000000005</v>
      </c>
      <c r="AE2250">
        <v>-9.2742999999999807</v>
      </c>
      <c r="AF2250">
        <v>-9.7133572549958398</v>
      </c>
      <c r="AG2250">
        <v>-0.99437260000000005</v>
      </c>
      <c r="AH2250">
        <v>46.926143478858798</v>
      </c>
      <c r="AI2250">
        <v>91.1887335858775</v>
      </c>
      <c r="AJ2250">
        <v>101.69463791618</v>
      </c>
      <c r="AK2250">
        <v>47.931211416250001</v>
      </c>
      <c r="AL2250">
        <v>76.893559012991602</v>
      </c>
      <c r="AM2250">
        <v>91.655026952739206</v>
      </c>
      <c r="AN2250">
        <v>1.0000000136443801</v>
      </c>
    </row>
    <row r="2251" spans="1:40" x14ac:dyDescent="0.25">
      <c r="A2251" t="str">
        <f>"20190303170542315"</f>
        <v>20190303170542315</v>
      </c>
      <c r="B2251" t="str">
        <f>"1551603942306919"</f>
        <v>1551603942306919</v>
      </c>
      <c r="C2251" t="s">
        <v>40</v>
      </c>
      <c r="D2251">
        <v>5.7759299999999998</v>
      </c>
      <c r="E2251">
        <v>0.43488399999999999</v>
      </c>
      <c r="F2251" t="s">
        <v>68</v>
      </c>
      <c r="G2251">
        <v>-511.95859999999999</v>
      </c>
      <c r="H2251">
        <v>-8.7330940000000003E-3</v>
      </c>
      <c r="I2251">
        <v>275.91759999999999</v>
      </c>
      <c r="J2251">
        <v>-465.25689999999997</v>
      </c>
      <c r="K2251">
        <v>1.1247670000000001</v>
      </c>
      <c r="L2251">
        <v>285.36630000000002</v>
      </c>
      <c r="M2251">
        <v>-0.99989260000000002</v>
      </c>
      <c r="N2251">
        <v>-1.3698599999999899E-2</v>
      </c>
      <c r="O2251">
        <v>5.2354690000000004E-3</v>
      </c>
      <c r="P2251">
        <v>-0.97737689999999999</v>
      </c>
      <c r="Q2251">
        <v>0.2102666</v>
      </c>
      <c r="R2251">
        <v>-2.2866439999999998E-2</v>
      </c>
      <c r="S2251">
        <v>-3.076721</v>
      </c>
      <c r="T2251">
        <v>-7.4121119999999999E-2</v>
      </c>
      <c r="U2251">
        <v>-0.61810299999999996</v>
      </c>
      <c r="V2251">
        <v>-2.991678E-2</v>
      </c>
      <c r="W2251">
        <v>0.22338359999999999</v>
      </c>
      <c r="X2251">
        <v>0.97427140000000001</v>
      </c>
      <c r="Y2251">
        <v>-0.20200219999999999</v>
      </c>
      <c r="Z2251">
        <v>-3.8603159999999999E-3</v>
      </c>
      <c r="AA2251">
        <v>0.97937739999999995</v>
      </c>
      <c r="AB2251">
        <v>35</v>
      </c>
      <c r="AC2251">
        <v>-46.701700000000002</v>
      </c>
      <c r="AD2251">
        <v>-1.133500094</v>
      </c>
      <c r="AE2251">
        <v>-9.4487000000000201</v>
      </c>
      <c r="AF2251">
        <v>-9.6876162808247095</v>
      </c>
      <c r="AG2251">
        <v>-1.133500094</v>
      </c>
      <c r="AH2251">
        <v>46.625200697941303</v>
      </c>
      <c r="AI2251">
        <v>91.363526935487201</v>
      </c>
      <c r="AJ2251">
        <v>101.737702890533</v>
      </c>
      <c r="AK2251">
        <v>47.6344840613489</v>
      </c>
      <c r="AL2251">
        <v>77.0921538297914</v>
      </c>
      <c r="AM2251">
        <v>91.758818730372397</v>
      </c>
      <c r="AN2251">
        <v>1.00000000366624</v>
      </c>
    </row>
    <row r="2252" spans="1:40" x14ac:dyDescent="0.25">
      <c r="A2252" t="str">
        <f>"20190303170542338"</f>
        <v>20190303170542338</v>
      </c>
      <c r="B2252" t="str">
        <f>"1551603942327416"</f>
        <v>1551603942327416</v>
      </c>
      <c r="C2252" t="s">
        <v>40</v>
      </c>
      <c r="D2252">
        <v>5.7761930000000001</v>
      </c>
      <c r="E2252">
        <v>0.43481950000000003</v>
      </c>
      <c r="F2252" t="s">
        <v>52</v>
      </c>
      <c r="G2252">
        <v>-502.43</v>
      </c>
      <c r="H2252">
        <v>8.0000299999999996E-2</v>
      </c>
      <c r="I2252">
        <v>277.69220000000001</v>
      </c>
      <c r="J2252">
        <v>-465.60640000000001</v>
      </c>
      <c r="K2252">
        <v>1.125049</v>
      </c>
      <c r="L2252">
        <v>285.3639</v>
      </c>
      <c r="M2252">
        <v>-0.99990579999999996</v>
      </c>
      <c r="N2252">
        <v>-1.370944E-2</v>
      </c>
      <c r="O2252">
        <v>5.8244690000000001E-4</v>
      </c>
      <c r="P2252">
        <v>-0.97748489999999999</v>
      </c>
      <c r="Q2252">
        <v>0.2093042</v>
      </c>
      <c r="R2252">
        <v>-2.674116E-2</v>
      </c>
      <c r="S2252">
        <v>-3.0731510000000002</v>
      </c>
      <c r="T2252">
        <v>-8.6372260000000006E-2</v>
      </c>
      <c r="U2252">
        <v>-0.63442989999999999</v>
      </c>
      <c r="V2252">
        <v>-2.9391009999999999E-2</v>
      </c>
      <c r="W2252">
        <v>0.22242049999999999</v>
      </c>
      <c r="X2252">
        <v>0.97450769999999998</v>
      </c>
      <c r="Y2252">
        <v>-0.20263429999999999</v>
      </c>
      <c r="Z2252">
        <v>-4.2295659999999997E-3</v>
      </c>
      <c r="AA2252">
        <v>0.97924540000000004</v>
      </c>
      <c r="AB2252">
        <v>35</v>
      </c>
      <c r="AC2252">
        <v>-36.823599999999999</v>
      </c>
      <c r="AD2252">
        <v>-1.0450486999999999</v>
      </c>
      <c r="AE2252">
        <v>-7.67169999999998</v>
      </c>
      <c r="AF2252">
        <v>-7.6872146505568502</v>
      </c>
      <c r="AG2252">
        <v>-1.0450486999999999</v>
      </c>
      <c r="AH2252">
        <v>36.7907257562795</v>
      </c>
      <c r="AI2252">
        <v>91.592684947287594</v>
      </c>
      <c r="AJ2252">
        <v>101.80183779795099</v>
      </c>
      <c r="AK2252">
        <v>37.599772573020601</v>
      </c>
      <c r="AL2252">
        <v>77.148759290050506</v>
      </c>
      <c r="AM2252">
        <v>91.727508684330104</v>
      </c>
      <c r="AN2252">
        <v>0.99999998382417898</v>
      </c>
    </row>
    <row r="2253" spans="1:40" x14ac:dyDescent="0.25">
      <c r="A2253" t="str">
        <f>"20190303170542361"</f>
        <v>20190303170542361</v>
      </c>
      <c r="B2253" t="str">
        <f>"1551603942356694"</f>
        <v>1551603942356694</v>
      </c>
      <c r="C2253" t="s">
        <v>40</v>
      </c>
      <c r="D2253">
        <v>5.7746620000000002</v>
      </c>
      <c r="E2253">
        <v>0.43471850000000001</v>
      </c>
      <c r="F2253" t="s">
        <v>52</v>
      </c>
      <c r="G2253">
        <v>-501.03300000000002</v>
      </c>
      <c r="H2253">
        <v>8.0000650000000006E-2</v>
      </c>
      <c r="I2253">
        <v>277.9248</v>
      </c>
      <c r="J2253">
        <v>-465.96129999999999</v>
      </c>
      <c r="K2253">
        <v>1.1253329999999999</v>
      </c>
      <c r="L2253">
        <v>285.3596</v>
      </c>
      <c r="M2253">
        <v>-0.99989629999999996</v>
      </c>
      <c r="N2253">
        <v>-1.3721250000000001E-2</v>
      </c>
      <c r="O2253">
        <v>-4.3935750000000003E-3</v>
      </c>
      <c r="P2253">
        <v>-0.97687480000000004</v>
      </c>
      <c r="Q2253">
        <v>0.21177360000000001</v>
      </c>
      <c r="R2253">
        <v>-2.9461310000000001E-2</v>
      </c>
      <c r="S2253">
        <v>-3.0708310000000001</v>
      </c>
      <c r="T2253">
        <v>-9.0586299999999995E-2</v>
      </c>
      <c r="U2253">
        <v>-0.64483639999999998</v>
      </c>
      <c r="V2253">
        <v>-2.74247E-2</v>
      </c>
      <c r="W2253">
        <v>0.2248957</v>
      </c>
      <c r="X2253">
        <v>0.9739968</v>
      </c>
      <c r="Y2253">
        <v>-0.2010797</v>
      </c>
      <c r="Z2253">
        <v>-4.2595879999999999E-3</v>
      </c>
      <c r="AA2253">
        <v>0.97956560000000004</v>
      </c>
      <c r="AB2253">
        <v>35</v>
      </c>
      <c r="AC2253">
        <v>-35.0717</v>
      </c>
      <c r="AD2253">
        <v>-1.04533234999999</v>
      </c>
      <c r="AE2253">
        <v>-7.4347999999999903</v>
      </c>
      <c r="AF2253">
        <v>-7.2744391032485298</v>
      </c>
      <c r="AG2253">
        <v>-1.04533234999999</v>
      </c>
      <c r="AH2253">
        <v>35.074210925485701</v>
      </c>
      <c r="AI2253">
        <v>91.671554461017493</v>
      </c>
      <c r="AJ2253">
        <v>101.717102590718</v>
      </c>
      <c r="AK2253">
        <v>35.835882241606498</v>
      </c>
      <c r="AL2253">
        <v>77.003254686362098</v>
      </c>
      <c r="AM2253">
        <v>91.612843604413698</v>
      </c>
      <c r="AN2253">
        <v>0.999999978229409</v>
      </c>
    </row>
    <row r="2254" spans="1:40" x14ac:dyDescent="0.25">
      <c r="A2254" t="str">
        <f>"20190303170542383"</f>
        <v>20190303170542383</v>
      </c>
      <c r="B2254" t="str">
        <f>"1551603942377191"</f>
        <v>1551603942377191</v>
      </c>
      <c r="C2254" t="s">
        <v>40</v>
      </c>
      <c r="D2254">
        <v>5.7759479999999996</v>
      </c>
      <c r="E2254">
        <v>0.43465959999999998</v>
      </c>
      <c r="F2254" t="s">
        <v>52</v>
      </c>
      <c r="G2254">
        <v>-504.81040000000002</v>
      </c>
      <c r="H2254">
        <v>7.999995E-2</v>
      </c>
      <c r="I2254">
        <v>277.08859999999999</v>
      </c>
      <c r="J2254">
        <v>-466.31439999999998</v>
      </c>
      <c r="K2254">
        <v>1.1256029999999999</v>
      </c>
      <c r="L2254">
        <v>285.35340000000002</v>
      </c>
      <c r="M2254">
        <v>-0.99985990000000002</v>
      </c>
      <c r="N2254">
        <v>-1.3733189999999999E-2</v>
      </c>
      <c r="O2254">
        <v>-9.5830470000000008E-3</v>
      </c>
      <c r="P2254">
        <v>-0.9763925</v>
      </c>
      <c r="Q2254">
        <v>0.21366769999999999</v>
      </c>
      <c r="R2254">
        <v>-3.168758E-2</v>
      </c>
      <c r="S2254">
        <v>-3.0692439999999999</v>
      </c>
      <c r="T2254">
        <v>-8.2585690000000003E-2</v>
      </c>
      <c r="U2254">
        <v>-0.65344239999999998</v>
      </c>
      <c r="V2254">
        <v>-2.475024E-2</v>
      </c>
      <c r="W2254">
        <v>0.22680910000000001</v>
      </c>
      <c r="X2254">
        <v>0.97362470000000001</v>
      </c>
      <c r="Y2254">
        <v>-0.19874520000000001</v>
      </c>
      <c r="Z2254">
        <v>-3.89932E-3</v>
      </c>
      <c r="AA2254">
        <v>0.98004340000000001</v>
      </c>
      <c r="AB2254">
        <v>35</v>
      </c>
      <c r="AC2254">
        <v>-38.496000000000002</v>
      </c>
      <c r="AD2254">
        <v>-1.04560305</v>
      </c>
      <c r="AE2254">
        <v>-8.2648000000000295</v>
      </c>
      <c r="AF2254">
        <v>-7.8899124765858497</v>
      </c>
      <c r="AG2254">
        <v>-1.04560305</v>
      </c>
      <c r="AH2254">
        <v>38.546257348332702</v>
      </c>
      <c r="AI2254">
        <v>91.522273607832503</v>
      </c>
      <c r="AJ2254">
        <v>101.567907287034</v>
      </c>
      <c r="AK2254">
        <v>39.359344001015103</v>
      </c>
      <c r="AL2254">
        <v>76.890717402377305</v>
      </c>
      <c r="AM2254">
        <v>91.456186301389494</v>
      </c>
      <c r="AN2254">
        <v>0.99999999933647798</v>
      </c>
    </row>
    <row r="2255" spans="1:40" x14ac:dyDescent="0.25">
      <c r="A2255" t="str">
        <f>"20190303170542404"</f>
        <v>20190303170542404</v>
      </c>
      <c r="B2255" t="str">
        <f>"1551603942396710"</f>
        <v>1551603942396710</v>
      </c>
      <c r="C2255" t="s">
        <v>40</v>
      </c>
      <c r="D2255">
        <v>5.7725730000000004</v>
      </c>
      <c r="E2255">
        <v>0.434562</v>
      </c>
      <c r="F2255" t="s">
        <v>68</v>
      </c>
      <c r="G2255">
        <v>-512.82510000000002</v>
      </c>
      <c r="H2255">
        <v>-3.1867560000000003E-2</v>
      </c>
      <c r="I2255">
        <v>275.3322</v>
      </c>
      <c r="J2255">
        <v>-466.65660000000003</v>
      </c>
      <c r="K2255">
        <v>1.125839</v>
      </c>
      <c r="L2255">
        <v>285.34519999999998</v>
      </c>
      <c r="M2255">
        <v>-0.99979510000000005</v>
      </c>
      <c r="N2255">
        <v>-1.3745520000000001E-2</v>
      </c>
      <c r="O2255">
        <v>-1.4863319999999999E-2</v>
      </c>
      <c r="P2255">
        <v>-0.97653009999999996</v>
      </c>
      <c r="Q2255">
        <v>0.21230360000000001</v>
      </c>
      <c r="R2255">
        <v>-3.6282460000000002E-2</v>
      </c>
      <c r="S2255">
        <v>-3.06778</v>
      </c>
      <c r="T2255">
        <v>-7.6339480000000001E-2</v>
      </c>
      <c r="U2255">
        <v>-0.66098020000000002</v>
      </c>
      <c r="V2255">
        <v>-2.4305440000000001E-2</v>
      </c>
      <c r="W2255">
        <v>0.22545280000000001</v>
      </c>
      <c r="X2255">
        <v>0.97395089999999995</v>
      </c>
      <c r="Y2255">
        <v>-0.1959805</v>
      </c>
      <c r="Z2255">
        <v>-3.609592E-3</v>
      </c>
      <c r="AA2255">
        <v>0.9806011</v>
      </c>
      <c r="AB2255">
        <v>35</v>
      </c>
      <c r="AC2255">
        <v>-46.168500000000002</v>
      </c>
      <c r="AD2255">
        <v>-1.1577065600000001</v>
      </c>
      <c r="AE2255">
        <v>-10.0129999999999</v>
      </c>
      <c r="AF2255">
        <v>-9.3200146490986402</v>
      </c>
      <c r="AG2255">
        <v>-1.1577065600000001</v>
      </c>
      <c r="AH2255">
        <v>46.284443736450903</v>
      </c>
      <c r="AI2255">
        <v>91.404649998440505</v>
      </c>
      <c r="AJ2255">
        <v>101.38505111085399</v>
      </c>
      <c r="AK2255">
        <v>47.227668686175598</v>
      </c>
      <c r="AL2255">
        <v>76.970494645687296</v>
      </c>
      <c r="AM2255">
        <v>91.429548600543498</v>
      </c>
      <c r="AN2255">
        <v>1.00000003752612</v>
      </c>
    </row>
    <row r="2256" spans="1:40" x14ac:dyDescent="0.25">
      <c r="A2256" t="str">
        <f>"20190303170542426"</f>
        <v>20190303170542426</v>
      </c>
      <c r="B2256" t="str">
        <f>"1551603942417207"</f>
        <v>1551603942417207</v>
      </c>
      <c r="C2256" t="s">
        <v>40</v>
      </c>
      <c r="D2256">
        <v>5.7898449999999997</v>
      </c>
      <c r="E2256">
        <v>0.43450169999999999</v>
      </c>
      <c r="F2256" t="s">
        <v>43</v>
      </c>
      <c r="G2256">
        <v>-511.8322</v>
      </c>
      <c r="H2256">
        <v>-0.05</v>
      </c>
      <c r="I2256">
        <v>275.36900000000003</v>
      </c>
      <c r="J2256">
        <v>-467.00729999999999</v>
      </c>
      <c r="K2256">
        <v>1.1260650000000001</v>
      </c>
      <c r="L2256">
        <v>285.3347</v>
      </c>
      <c r="M2256">
        <v>-0.99969479999999999</v>
      </c>
      <c r="N2256">
        <v>-1.3759779999999999E-2</v>
      </c>
      <c r="O2256">
        <v>-2.052439E-2</v>
      </c>
      <c r="P2256">
        <v>-0.97713700000000003</v>
      </c>
      <c r="Q2256">
        <v>0.20821149999999999</v>
      </c>
      <c r="R2256">
        <v>-4.302396E-2</v>
      </c>
      <c r="S2256">
        <v>-3.0643310000000001</v>
      </c>
      <c r="T2256">
        <v>-7.9758880000000004E-2</v>
      </c>
      <c r="U2256">
        <v>-0.67669679999999999</v>
      </c>
      <c r="V2256">
        <v>-2.558908E-2</v>
      </c>
      <c r="W2256">
        <v>0.221358</v>
      </c>
      <c r="X2256">
        <v>0.97485679999999997</v>
      </c>
      <c r="Y2256">
        <v>-0.1954497</v>
      </c>
      <c r="Z2256">
        <v>-3.625765E-3</v>
      </c>
      <c r="AA2256">
        <v>0.980707</v>
      </c>
      <c r="AB2256">
        <v>35</v>
      </c>
      <c r="AC2256">
        <v>-44.8249</v>
      </c>
      <c r="AD2256">
        <v>-1.1760649999999999</v>
      </c>
      <c r="AE2256">
        <v>-9.9656999999999698</v>
      </c>
      <c r="AF2256">
        <v>-9.0375814382236594</v>
      </c>
      <c r="AG2256">
        <v>-1.1760649999999999</v>
      </c>
      <c r="AH2256">
        <v>44.990503663476801</v>
      </c>
      <c r="AI2256">
        <v>91.468073970655198</v>
      </c>
      <c r="AJ2256">
        <v>101.358269503336</v>
      </c>
      <c r="AK2256">
        <v>45.904318174111602</v>
      </c>
      <c r="AL2256">
        <v>77.211192257887802</v>
      </c>
      <c r="AM2256">
        <v>91.503615395884907</v>
      </c>
      <c r="AN2256">
        <v>0.999999972842742</v>
      </c>
    </row>
    <row r="2257" spans="1:40" x14ac:dyDescent="0.25">
      <c r="A2257" t="str">
        <f>"20190303170542450"</f>
        <v>20190303170542450</v>
      </c>
      <c r="B2257" t="str">
        <f>"1551603942436727"</f>
        <v>1551603942436727</v>
      </c>
      <c r="C2257" t="s">
        <v>40</v>
      </c>
      <c r="D2257">
        <v>5.7674750000000001</v>
      </c>
      <c r="E2257">
        <v>0.4344712</v>
      </c>
      <c r="F2257" t="s">
        <v>52</v>
      </c>
      <c r="G2257">
        <v>-501.50349999999997</v>
      </c>
      <c r="H2257">
        <v>8.0000580000000002E-2</v>
      </c>
      <c r="I2257">
        <v>277.46809999999999</v>
      </c>
      <c r="J2257">
        <v>-467.36270000000002</v>
      </c>
      <c r="K2257">
        <v>1.1262730000000001</v>
      </c>
      <c r="L2257">
        <v>285.3218</v>
      </c>
      <c r="M2257">
        <v>-0.99955439999999995</v>
      </c>
      <c r="N2257">
        <v>-1.377513E-2</v>
      </c>
      <c r="O2257">
        <v>-2.6479679999999998E-2</v>
      </c>
      <c r="P2257">
        <v>-0.97761480000000001</v>
      </c>
      <c r="Q2257">
        <v>0.20422770000000001</v>
      </c>
      <c r="R2257">
        <v>-5.0601689999999998E-2</v>
      </c>
      <c r="S2257">
        <v>-3.0592350000000001</v>
      </c>
      <c r="T2257">
        <v>-9.2768429999999999E-2</v>
      </c>
      <c r="U2257">
        <v>-0.69763180000000002</v>
      </c>
      <c r="V2257">
        <v>-2.740159E-2</v>
      </c>
      <c r="W2257">
        <v>0.21736459999999999</v>
      </c>
      <c r="X2257">
        <v>0.97570579999999996</v>
      </c>
      <c r="Y2257">
        <v>-0.1963133</v>
      </c>
      <c r="Z2257">
        <v>-3.8763539999999998E-3</v>
      </c>
      <c r="AA2257">
        <v>0.98053349999999995</v>
      </c>
      <c r="AB2257">
        <v>35</v>
      </c>
      <c r="AC2257">
        <v>-34.140799999999899</v>
      </c>
      <c r="AD2257">
        <v>-1.04627241999999</v>
      </c>
      <c r="AE2257">
        <v>-7.8536999999999999</v>
      </c>
      <c r="AF2257">
        <v>-6.9406315151090903</v>
      </c>
      <c r="AG2257">
        <v>-1.04627241999999</v>
      </c>
      <c r="AH2257">
        <v>34.306209588528802</v>
      </c>
      <c r="AI2257">
        <v>91.712199609108197</v>
      </c>
      <c r="AJ2257">
        <v>101.43736673646799</v>
      </c>
      <c r="AK2257">
        <v>35.016896894748498</v>
      </c>
      <c r="AL2257">
        <v>77.445709888458396</v>
      </c>
      <c r="AM2257">
        <v>91.608664108112393</v>
      </c>
      <c r="AN2257">
        <v>1.00000001231066</v>
      </c>
    </row>
    <row r="2258" spans="1:40" x14ac:dyDescent="0.25">
      <c r="A2258" t="str">
        <f>"20190303170542472"</f>
        <v>20190303170542472</v>
      </c>
      <c r="B2258" t="str">
        <f>"1551603942466982"</f>
        <v>1551603942466982</v>
      </c>
      <c r="C2258" t="s">
        <v>40</v>
      </c>
      <c r="D2258">
        <v>5.7791360000000003</v>
      </c>
      <c r="E2258">
        <v>0.43444290000000002</v>
      </c>
      <c r="F2258" t="s">
        <v>52</v>
      </c>
      <c r="G2258">
        <v>-499.8073</v>
      </c>
      <c r="H2258" s="1">
        <v>1.44424299999999E-6</v>
      </c>
      <c r="I2258">
        <v>277.6653</v>
      </c>
      <c r="J2258">
        <v>-467.71699999999998</v>
      </c>
      <c r="K2258">
        <v>1.1264829999999999</v>
      </c>
      <c r="L2258">
        <v>285.3066</v>
      </c>
      <c r="M2258">
        <v>-0.99937169999999997</v>
      </c>
      <c r="N2258">
        <v>-1.3790480000000001E-2</v>
      </c>
      <c r="O2258">
        <v>-3.2651909999999999E-2</v>
      </c>
      <c r="P2258">
        <v>-0.97758029999999996</v>
      </c>
      <c r="Q2258">
        <v>0.2028353</v>
      </c>
      <c r="R2258">
        <v>-5.652165E-2</v>
      </c>
      <c r="S2258">
        <v>-3.0534970000000001</v>
      </c>
      <c r="T2258">
        <v>-0.10599840000000001</v>
      </c>
      <c r="U2258">
        <v>-0.72058109999999997</v>
      </c>
      <c r="V2258">
        <v>-2.7378110000000001E-2</v>
      </c>
      <c r="W2258">
        <v>0.2159778</v>
      </c>
      <c r="X2258">
        <v>0.97601439999999995</v>
      </c>
      <c r="Y2258">
        <v>-0.19761960000000001</v>
      </c>
      <c r="Z2258">
        <v>-4.0923660000000001E-3</v>
      </c>
      <c r="AA2258">
        <v>0.98027030000000004</v>
      </c>
      <c r="AB2258">
        <v>35</v>
      </c>
      <c r="AC2258">
        <v>-32.090299999999999</v>
      </c>
      <c r="AD2258">
        <v>-1.12648155575699</v>
      </c>
      <c r="AE2258">
        <v>-7.6413000000000002</v>
      </c>
      <c r="AF2258">
        <v>-6.5816405105477402</v>
      </c>
      <c r="AG2258">
        <v>-1.12648155575699</v>
      </c>
      <c r="AH2258">
        <v>32.285063714102598</v>
      </c>
      <c r="AI2258">
        <v>91.9580961327745</v>
      </c>
      <c r="AJ2258">
        <v>101.522441896137</v>
      </c>
      <c r="AK2258">
        <v>32.968352878620003</v>
      </c>
      <c r="AL2258">
        <v>77.527101512343606</v>
      </c>
      <c r="AM2258">
        <v>91.606778460432494</v>
      </c>
      <c r="AN2258">
        <v>1.0000000400036799</v>
      </c>
    </row>
    <row r="2259" spans="1:40" x14ac:dyDescent="0.25">
      <c r="A2259" t="str">
        <f>"20190303170542495"</f>
        <v>20190303170542495</v>
      </c>
      <c r="B2259" t="str">
        <f>"1551603942486502"</f>
        <v>1551603942486502</v>
      </c>
      <c r="C2259" t="s">
        <v>40</v>
      </c>
      <c r="D2259">
        <v>5.7968339999999996</v>
      </c>
      <c r="E2259">
        <v>0.43441920000000001</v>
      </c>
      <c r="F2259" t="s">
        <v>52</v>
      </c>
      <c r="G2259">
        <v>-498.85820000000001</v>
      </c>
      <c r="H2259" s="1">
        <v>1.629821E-6</v>
      </c>
      <c r="I2259">
        <v>277.76319999999998</v>
      </c>
      <c r="J2259">
        <v>-468.07319999999999</v>
      </c>
      <c r="K2259">
        <v>1.1267180000000001</v>
      </c>
      <c r="L2259">
        <v>285.28899999999999</v>
      </c>
      <c r="M2259">
        <v>-0.99913879999999999</v>
      </c>
      <c r="N2259">
        <v>-1.3807460000000001E-2</v>
      </c>
      <c r="O2259">
        <v>-3.9128139999999999E-2</v>
      </c>
      <c r="P2259">
        <v>-0.97708209999999995</v>
      </c>
      <c r="Q2259">
        <v>0.2036763</v>
      </c>
      <c r="R2259">
        <v>-6.1858629999999998E-2</v>
      </c>
      <c r="S2259">
        <v>-3.04895</v>
      </c>
      <c r="T2259">
        <v>-0.11029079999999999</v>
      </c>
      <c r="U2259">
        <v>-0.73855590000000004</v>
      </c>
      <c r="V2259">
        <v>-2.6523140000000001E-2</v>
      </c>
      <c r="W2259">
        <v>0.21683069999999999</v>
      </c>
      <c r="X2259">
        <v>0.97584890000000002</v>
      </c>
      <c r="Y2259">
        <v>-0.197051</v>
      </c>
      <c r="Z2259">
        <v>-4.0328650000000001E-3</v>
      </c>
      <c r="AA2259">
        <v>0.9803849</v>
      </c>
      <c r="AB2259">
        <v>35</v>
      </c>
      <c r="AC2259">
        <v>-30.785</v>
      </c>
      <c r="AD2259">
        <v>-1.1267163701789999</v>
      </c>
      <c r="AE2259">
        <v>-7.5258000000000003</v>
      </c>
      <c r="AF2259">
        <v>-6.3073885680100696</v>
      </c>
      <c r="AG2259">
        <v>-1.1267163701789999</v>
      </c>
      <c r="AH2259">
        <v>31.016714305166399</v>
      </c>
      <c r="AI2259">
        <v>92.038727148914006</v>
      </c>
      <c r="AJ2259">
        <v>101.49461937457301</v>
      </c>
      <c r="AK2259">
        <v>31.671583582369401</v>
      </c>
      <c r="AL2259">
        <v>77.477048022655396</v>
      </c>
      <c r="AM2259">
        <v>91.556890560576605</v>
      </c>
      <c r="AN2259">
        <v>1.00000005252457</v>
      </c>
    </row>
    <row r="2260" spans="1:40" x14ac:dyDescent="0.25">
      <c r="A2260" t="str">
        <f>"20190303170542516"</f>
        <v>20190303170542516</v>
      </c>
      <c r="B2260" t="str">
        <f>"1551603942506998"</f>
        <v>1551603942506998</v>
      </c>
      <c r="C2260" t="s">
        <v>40</v>
      </c>
      <c r="D2260">
        <v>5.7718689999999997</v>
      </c>
      <c r="E2260">
        <v>0.43441160000000001</v>
      </c>
      <c r="F2260" t="s">
        <v>52</v>
      </c>
      <c r="G2260">
        <v>-499.84989999999999</v>
      </c>
      <c r="H2260" s="1">
        <v>1.3924729999999999E-6</v>
      </c>
      <c r="I2260">
        <v>277.41430000000003</v>
      </c>
      <c r="J2260">
        <v>-468.40539999999999</v>
      </c>
      <c r="K2260">
        <v>1.126965</v>
      </c>
      <c r="L2260">
        <v>285.27019999999999</v>
      </c>
      <c r="M2260">
        <v>-0.99887099999999995</v>
      </c>
      <c r="N2260">
        <v>-1.382681E-2</v>
      </c>
      <c r="O2260">
        <v>-4.5450230000000001E-2</v>
      </c>
      <c r="P2260">
        <v>-0.97663979999999995</v>
      </c>
      <c r="Q2260">
        <v>0.20399790000000001</v>
      </c>
      <c r="R2260">
        <v>-6.7525020000000005E-2</v>
      </c>
      <c r="S2260">
        <v>-3.0450740000000001</v>
      </c>
      <c r="T2260">
        <v>-0.1079702</v>
      </c>
      <c r="U2260">
        <v>-0.75460819999999995</v>
      </c>
      <c r="V2260">
        <v>-2.614286E-2</v>
      </c>
      <c r="W2260">
        <v>0.2171621</v>
      </c>
      <c r="X2260">
        <v>0.97578540000000002</v>
      </c>
      <c r="Y2260">
        <v>-0.19601489999999999</v>
      </c>
      <c r="Z2260">
        <v>-3.833815E-3</v>
      </c>
      <c r="AA2260">
        <v>0.98059339999999995</v>
      </c>
      <c r="AB2260">
        <v>35</v>
      </c>
      <c r="AC2260">
        <v>-31.444500000000001</v>
      </c>
      <c r="AD2260">
        <v>-1.126963607527</v>
      </c>
      <c r="AE2260">
        <v>-7.8558999999999601</v>
      </c>
      <c r="AF2260">
        <v>-6.4107331934531997</v>
      </c>
      <c r="AG2260">
        <v>-1.126963607527</v>
      </c>
      <c r="AH2260">
        <v>31.730722496962201</v>
      </c>
      <c r="AI2260">
        <v>91.993837392917399</v>
      </c>
      <c r="AJ2260">
        <v>101.42202981512</v>
      </c>
      <c r="AK2260">
        <v>32.391454077110502</v>
      </c>
      <c r="AL2260">
        <v>77.457595887199403</v>
      </c>
      <c r="AM2260">
        <v>91.534678946665593</v>
      </c>
      <c r="AN2260">
        <v>0.99999998682927405</v>
      </c>
    </row>
    <row r="2261" spans="1:40" x14ac:dyDescent="0.25">
      <c r="A2261" t="str">
        <f>"20190303170542539"</f>
        <v>20190303170542539</v>
      </c>
      <c r="B2261" t="str">
        <f>"1551603942526519"</f>
        <v>1551603942526519</v>
      </c>
      <c r="C2261" t="s">
        <v>40</v>
      </c>
      <c r="D2261">
        <v>5.9241650000000003</v>
      </c>
      <c r="E2261">
        <v>0.43432900000000002</v>
      </c>
      <c r="F2261" t="s">
        <v>52</v>
      </c>
      <c r="G2261">
        <v>-499.95780000000002</v>
      </c>
      <c r="H2261">
        <v>1.6214630000000001E-2</v>
      </c>
      <c r="I2261">
        <v>277.26150000000001</v>
      </c>
      <c r="J2261">
        <v>-468.75099999999998</v>
      </c>
      <c r="K2261">
        <v>1.12724</v>
      </c>
      <c r="L2261">
        <v>285.2482</v>
      </c>
      <c r="M2261">
        <v>-0.99853309999999995</v>
      </c>
      <c r="N2261">
        <v>-1.385462E-2</v>
      </c>
      <c r="O2261">
        <v>-5.2342630000000001E-2</v>
      </c>
      <c r="P2261">
        <v>-0.9763288</v>
      </c>
      <c r="Q2261">
        <v>0.20279929999999999</v>
      </c>
      <c r="R2261">
        <v>-7.519634E-2</v>
      </c>
      <c r="S2261">
        <v>-3.0407709999999999</v>
      </c>
      <c r="T2261">
        <v>-0.1070455</v>
      </c>
      <c r="U2261">
        <v>-0.77182010000000001</v>
      </c>
      <c r="V2261">
        <v>-2.7196229999999998E-2</v>
      </c>
      <c r="W2261">
        <v>0.2159625</v>
      </c>
      <c r="X2261">
        <v>0.97602279999999997</v>
      </c>
      <c r="Y2261">
        <v>-0.19479730000000001</v>
      </c>
      <c r="Z2261">
        <v>-3.6508220000000002E-3</v>
      </c>
      <c r="AA2261">
        <v>0.98083670000000001</v>
      </c>
      <c r="AB2261">
        <v>35</v>
      </c>
      <c r="AC2261">
        <v>-31.206800000000001</v>
      </c>
      <c r="AD2261">
        <v>-1.1110253699999999</v>
      </c>
      <c r="AE2261">
        <v>-7.9866999999999804</v>
      </c>
      <c r="AF2261">
        <v>-6.3346113000971496</v>
      </c>
      <c r="AG2261">
        <v>-1.1110253699999999</v>
      </c>
      <c r="AH2261">
        <v>31.5445730084178</v>
      </c>
      <c r="AI2261">
        <v>91.977719025434297</v>
      </c>
      <c r="AJ2261">
        <v>101.354804310962</v>
      </c>
      <c r="AK2261">
        <v>32.193504996808002</v>
      </c>
      <c r="AL2261">
        <v>77.527998454566202</v>
      </c>
      <c r="AM2261">
        <v>91.596096018056201</v>
      </c>
      <c r="AN2261">
        <v>0.99999997122615103</v>
      </c>
    </row>
    <row r="2262" spans="1:40" x14ac:dyDescent="0.25">
      <c r="A2262" t="str">
        <f>"20190303170542562"</f>
        <v>20190303170542562</v>
      </c>
      <c r="B2262" t="str">
        <f>"1551603942556774"</f>
        <v>1551603942556774</v>
      </c>
      <c r="C2262" t="s">
        <v>40</v>
      </c>
      <c r="D2262">
        <v>5.7367980000000003</v>
      </c>
      <c r="E2262">
        <v>0.39233390000000001</v>
      </c>
      <c r="F2262" t="s">
        <v>52</v>
      </c>
      <c r="G2262">
        <v>-499.91950000000003</v>
      </c>
      <c r="H2262" s="1">
        <v>1.3191739999999999E-6</v>
      </c>
      <c r="I2262">
        <v>277.06819999999999</v>
      </c>
      <c r="J2262">
        <v>-469.11579999999998</v>
      </c>
      <c r="K2262">
        <v>1.1275500000000001</v>
      </c>
      <c r="L2262">
        <v>285.22210000000001</v>
      </c>
      <c r="M2262">
        <v>-0.99810189999999999</v>
      </c>
      <c r="N2262">
        <v>-1.389335E-2</v>
      </c>
      <c r="O2262">
        <v>-5.9994440000000003E-2</v>
      </c>
      <c r="P2262">
        <v>-0.97586150000000005</v>
      </c>
      <c r="Q2262">
        <v>0.20104159999999999</v>
      </c>
      <c r="R2262">
        <v>-8.5301520000000006E-2</v>
      </c>
      <c r="S2262">
        <v>-3.0341490000000002</v>
      </c>
      <c r="T2262">
        <v>-0.109733</v>
      </c>
      <c r="U2262">
        <v>-0.79629519999999998</v>
      </c>
      <c r="V2262">
        <v>-2.9951220000000001E-2</v>
      </c>
      <c r="W2262">
        <v>0.2141845</v>
      </c>
      <c r="X2262">
        <v>0.97633389999999998</v>
      </c>
      <c r="Y2262">
        <v>-0.19520180000000001</v>
      </c>
      <c r="Z2262">
        <v>-3.542866E-3</v>
      </c>
      <c r="AA2262">
        <v>0.98075670000000004</v>
      </c>
      <c r="AB2262">
        <v>35</v>
      </c>
      <c r="AC2262">
        <v>-30.803699999999999</v>
      </c>
      <c r="AD2262">
        <v>-1.127548680826</v>
      </c>
      <c r="AE2262">
        <v>-8.1539000000000197</v>
      </c>
      <c r="AF2262">
        <v>-6.2831129505268901</v>
      </c>
      <c r="AG2262">
        <v>-1.127548680826</v>
      </c>
      <c r="AH2262">
        <v>31.198374097411602</v>
      </c>
      <c r="AI2262">
        <v>92.029135382171603</v>
      </c>
      <c r="AJ2262">
        <v>101.386617741211</v>
      </c>
      <c r="AK2262">
        <v>31.844739293936001</v>
      </c>
      <c r="AL2262">
        <v>77.6323116278014</v>
      </c>
      <c r="AM2262">
        <v>91.7571247618462</v>
      </c>
      <c r="AN2262">
        <v>0.99999997995447398</v>
      </c>
    </row>
    <row r="2263" spans="1:40" x14ac:dyDescent="0.25">
      <c r="A2263" t="str">
        <f>"20190303170542584"</f>
        <v>20190303170542584</v>
      </c>
      <c r="B2263" t="str">
        <f>"1551603942577271"</f>
        <v>1551603942577271</v>
      </c>
      <c r="C2263" t="s">
        <v>40</v>
      </c>
      <c r="D2263">
        <v>5.5325519999999999</v>
      </c>
      <c r="E2263">
        <v>0.38308379999999997</v>
      </c>
      <c r="F2263" t="s">
        <v>68</v>
      </c>
      <c r="G2263">
        <v>-512.82550000000003</v>
      </c>
      <c r="H2263">
        <v>1.0848260000000001</v>
      </c>
      <c r="I2263">
        <v>268.25060000000002</v>
      </c>
      <c r="J2263">
        <v>-469.44909999999999</v>
      </c>
      <c r="K2263">
        <v>1.127853</v>
      </c>
      <c r="L2263">
        <v>285.19529999999997</v>
      </c>
      <c r="M2263">
        <v>-0.99763020000000002</v>
      </c>
      <c r="N2263">
        <v>-1.3935319999999999E-2</v>
      </c>
      <c r="O2263">
        <v>-6.737833E-2</v>
      </c>
      <c r="P2263">
        <v>-0.97525949999999995</v>
      </c>
      <c r="Q2263">
        <v>0.1998791</v>
      </c>
      <c r="R2263">
        <v>-9.4431769999999998E-2</v>
      </c>
      <c r="S2263">
        <v>-2.9739070000000001</v>
      </c>
      <c r="T2263">
        <v>-2.9015540000000002E-3</v>
      </c>
      <c r="U2263">
        <v>-1.1546940000000001</v>
      </c>
      <c r="V2263">
        <v>-3.2000529999999999E-2</v>
      </c>
      <c r="W2263">
        <v>0.21301149999999999</v>
      </c>
      <c r="X2263">
        <v>0.97652550000000005</v>
      </c>
      <c r="Y2263">
        <v>-0.29831200000000002</v>
      </c>
      <c r="Z2263">
        <v>-3.1384540000000002E-3</v>
      </c>
      <c r="AA2263">
        <v>0.95446319999999996</v>
      </c>
      <c r="AB2263">
        <v>35</v>
      </c>
      <c r="AC2263">
        <v>-43.376399999999997</v>
      </c>
      <c r="AD2263">
        <v>-4.3026999999999899E-2</v>
      </c>
      <c r="AE2263">
        <v>-16.944699999999902</v>
      </c>
      <c r="AF2263">
        <v>-13.9832605742551</v>
      </c>
      <c r="AG2263">
        <v>-4.3026999999999899E-2</v>
      </c>
      <c r="AH2263">
        <v>44.419586401966498</v>
      </c>
      <c r="AI2263">
        <v>90.052938389048606</v>
      </c>
      <c r="AJ2263">
        <v>107.473972363089</v>
      </c>
      <c r="AK2263">
        <v>46.568584729751201</v>
      </c>
      <c r="AL2263">
        <v>77.701107431728602</v>
      </c>
      <c r="AM2263">
        <v>91.876898686949403</v>
      </c>
      <c r="AN2263">
        <v>0.99999999260139005</v>
      </c>
    </row>
    <row r="2264" spans="1:40" x14ac:dyDescent="0.25">
      <c r="A2264" t="str">
        <f>"20190303170542596"</f>
        <v>20190303170542596</v>
      </c>
      <c r="B2264" t="str">
        <f>"1551603942587031"</f>
        <v>1551603942587031</v>
      </c>
      <c r="C2264" t="s">
        <v>40</v>
      </c>
      <c r="D2264">
        <v>5.5240580000000001</v>
      </c>
      <c r="E2264">
        <v>0.3805732</v>
      </c>
      <c r="F2264" t="s">
        <v>68</v>
      </c>
      <c r="G2264">
        <v>-512.82569999999998</v>
      </c>
      <c r="H2264">
        <v>1.7762659999999999</v>
      </c>
      <c r="I2264">
        <v>266.76089999999999</v>
      </c>
      <c r="J2264">
        <v>-469.65499999999997</v>
      </c>
      <c r="K2264">
        <v>1.12805</v>
      </c>
      <c r="L2264">
        <v>285.1771</v>
      </c>
      <c r="M2264">
        <v>-0.9972953</v>
      </c>
      <c r="N2264">
        <v>-1.3966279999999999E-2</v>
      </c>
      <c r="O2264">
        <v>-7.2160429999999998E-2</v>
      </c>
      <c r="P2264">
        <v>-0.97484479999999996</v>
      </c>
      <c r="Q2264">
        <v>0.1995537</v>
      </c>
      <c r="R2264">
        <v>-9.9278519999999995E-2</v>
      </c>
      <c r="S2264">
        <v>-2.9458310000000001</v>
      </c>
      <c r="T2264">
        <v>4.4040679999999999E-2</v>
      </c>
      <c r="U2264">
        <v>-1.2519229999999999</v>
      </c>
      <c r="V2264">
        <v>-3.2269119999999998E-2</v>
      </c>
      <c r="W2264">
        <v>0.2126989</v>
      </c>
      <c r="X2264">
        <v>0.97658480000000003</v>
      </c>
      <c r="Y2264">
        <v>-0.32371359999999999</v>
      </c>
      <c r="Z2264">
        <v>-2.0351639999999999E-3</v>
      </c>
      <c r="AA2264">
        <v>0.94615289999999996</v>
      </c>
      <c r="AB2264">
        <v>35</v>
      </c>
      <c r="AC2264">
        <v>-43.170699999999997</v>
      </c>
      <c r="AD2264">
        <v>0.64821599999999902</v>
      </c>
      <c r="AE2264">
        <v>-18.4162</v>
      </c>
      <c r="AF2264">
        <v>-15.2497515044733</v>
      </c>
      <c r="AG2264">
        <v>0.64821599999999902</v>
      </c>
      <c r="AH2264">
        <v>44.378719138776397</v>
      </c>
      <c r="AI2264">
        <v>89.208586284334601</v>
      </c>
      <c r="AJ2264">
        <v>108.964134244473</v>
      </c>
      <c r="AK2264">
        <v>46.930222856164299</v>
      </c>
      <c r="AL2264">
        <v>77.7194381925964</v>
      </c>
      <c r="AM2264">
        <v>91.892525807285907</v>
      </c>
      <c r="AN2264">
        <v>0.999999994878912</v>
      </c>
    </row>
    <row r="2265" spans="1:40" x14ac:dyDescent="0.25">
      <c r="A2265" t="str">
        <f>"20190303170542617"</f>
        <v>20190303170542617</v>
      </c>
      <c r="B2265" t="str">
        <f>"1551603942606550"</f>
        <v>1551603942606550</v>
      </c>
      <c r="C2265" t="s">
        <v>40</v>
      </c>
      <c r="D2265">
        <v>5.6570210000000003</v>
      </c>
      <c r="E2265">
        <v>0.38087870000000001</v>
      </c>
      <c r="F2265" t="s">
        <v>68</v>
      </c>
      <c r="G2265">
        <v>-512.82579999999996</v>
      </c>
      <c r="H2265">
        <v>1.9536</v>
      </c>
      <c r="I2265">
        <v>266.2713</v>
      </c>
      <c r="J2265">
        <v>-469.96749999999997</v>
      </c>
      <c r="K2265">
        <v>1.1283379999999901</v>
      </c>
      <c r="L2265">
        <v>285.14760000000001</v>
      </c>
      <c r="M2265">
        <v>-0.99672649999999996</v>
      </c>
      <c r="N2265">
        <v>-1.401611E-2</v>
      </c>
      <c r="O2265">
        <v>-7.9624440000000005E-2</v>
      </c>
      <c r="P2265">
        <v>-0.97421769999999996</v>
      </c>
      <c r="Q2265">
        <v>0.1986144</v>
      </c>
      <c r="R2265">
        <v>-0.10701570000000001</v>
      </c>
      <c r="S2265">
        <v>-2.9350589999999999</v>
      </c>
      <c r="T2265">
        <v>5.6131840000000002E-2</v>
      </c>
      <c r="U2265">
        <v>-1.285339</v>
      </c>
      <c r="V2265">
        <v>-3.2837440000000002E-2</v>
      </c>
      <c r="W2265">
        <v>0.21177960000000001</v>
      </c>
      <c r="X2265">
        <v>0.97676560000000001</v>
      </c>
      <c r="Y2265">
        <v>-0.32695550000000001</v>
      </c>
      <c r="Z2265">
        <v>-1.9242319999999999E-3</v>
      </c>
      <c r="AA2265">
        <v>0.94503780000000004</v>
      </c>
      <c r="AB2265">
        <v>35</v>
      </c>
      <c r="AC2265">
        <v>-42.8582999999999</v>
      </c>
      <c r="AD2265">
        <v>0.82526200000000005</v>
      </c>
      <c r="AE2265">
        <v>-18.876300000000001</v>
      </c>
      <c r="AF2265">
        <v>-15.398669818189701</v>
      </c>
      <c r="AG2265">
        <v>0.82526200000000005</v>
      </c>
      <c r="AH2265">
        <v>44.211628197730398</v>
      </c>
      <c r="AI2265">
        <v>88.990118723659094</v>
      </c>
      <c r="AJ2265">
        <v>109.20294944279701</v>
      </c>
      <c r="AK2265">
        <v>46.823799049549798</v>
      </c>
      <c r="AL2265">
        <v>77.773337821296906</v>
      </c>
      <c r="AM2265">
        <v>91.925475666216698</v>
      </c>
      <c r="AN2265">
        <v>0.99999996689263604</v>
      </c>
    </row>
    <row r="2266" spans="1:40" x14ac:dyDescent="0.25">
      <c r="A2266" t="str">
        <f>"20190303170542632"</f>
        <v>20190303170542632</v>
      </c>
      <c r="B2266" t="str">
        <f>"1551603942617287"</f>
        <v>1551603942617287</v>
      </c>
      <c r="C2266" t="s">
        <v>40</v>
      </c>
      <c r="D2266">
        <v>5.6468530000000001</v>
      </c>
      <c r="E2266">
        <v>0.38121769999999999</v>
      </c>
      <c r="F2266" t="s">
        <v>68</v>
      </c>
      <c r="G2266">
        <v>-512.82569999999998</v>
      </c>
      <c r="H2266">
        <v>1.7835350000000001</v>
      </c>
      <c r="I2266">
        <v>266.02409999999998</v>
      </c>
      <c r="J2266">
        <v>-470.1977</v>
      </c>
      <c r="K2266">
        <v>1.128549</v>
      </c>
      <c r="L2266">
        <v>285.12430000000001</v>
      </c>
      <c r="M2266">
        <v>-0.99625379999999997</v>
      </c>
      <c r="N2266">
        <v>-1.405586E-2</v>
      </c>
      <c r="O2266">
        <v>-8.5326979999999997E-2</v>
      </c>
      <c r="P2266">
        <v>-0.97363010000000005</v>
      </c>
      <c r="Q2266">
        <v>0.1981791</v>
      </c>
      <c r="R2266">
        <v>-0.11300209999999999</v>
      </c>
      <c r="S2266">
        <v>-2.9268489999999998</v>
      </c>
      <c r="T2266">
        <v>4.4749499999999998E-2</v>
      </c>
      <c r="U2266">
        <v>-1.3059689999999999</v>
      </c>
      <c r="V2266">
        <v>-3.3348669999999997E-2</v>
      </c>
      <c r="W2266">
        <v>0.21135960000000001</v>
      </c>
      <c r="X2266">
        <v>0.97683929999999997</v>
      </c>
      <c r="Y2266">
        <v>-0.3280941</v>
      </c>
      <c r="Z2266">
        <v>-2.4065369999999998E-3</v>
      </c>
      <c r="AA2266">
        <v>0.94464199999999998</v>
      </c>
      <c r="AB2266">
        <v>35</v>
      </c>
      <c r="AC2266">
        <v>-42.627999999999901</v>
      </c>
      <c r="AD2266">
        <v>0.65498599999999896</v>
      </c>
      <c r="AE2266">
        <v>-19.100200000000001</v>
      </c>
      <c r="AF2266">
        <v>-15.389823904983601</v>
      </c>
      <c r="AG2266">
        <v>0.65498599999999896</v>
      </c>
      <c r="AH2266">
        <v>44.093759012746801</v>
      </c>
      <c r="AI2266">
        <v>89.196496513611095</v>
      </c>
      <c r="AJ2266">
        <v>109.240263774704</v>
      </c>
      <c r="AK2266">
        <v>46.706908165289597</v>
      </c>
      <c r="AL2266">
        <v>77.797960020742295</v>
      </c>
      <c r="AM2266">
        <v>91.955281941318106</v>
      </c>
      <c r="AN2266">
        <v>1.0000000161636999</v>
      </c>
    </row>
    <row r="2267" spans="1:40" x14ac:dyDescent="0.25">
      <c r="A2267" t="str">
        <f>"20190303170542646"</f>
        <v>20190303170542646</v>
      </c>
      <c r="B2267" t="str">
        <f>"1551603942636807"</f>
        <v>1551603942636807</v>
      </c>
      <c r="C2267" t="s">
        <v>40</v>
      </c>
      <c r="D2267">
        <v>5.6749989999999997</v>
      </c>
      <c r="E2267">
        <v>0.38126490000000002</v>
      </c>
      <c r="F2267" t="s">
        <v>68</v>
      </c>
      <c r="G2267">
        <v>-512.82569999999998</v>
      </c>
      <c r="H2267">
        <v>1.7238599999999999</v>
      </c>
      <c r="I2267">
        <v>265.82549999999998</v>
      </c>
      <c r="J2267">
        <v>-470.4212</v>
      </c>
      <c r="K2267">
        <v>1.128754</v>
      </c>
      <c r="L2267">
        <v>285.1003</v>
      </c>
      <c r="M2267">
        <v>-0.99575040000000004</v>
      </c>
      <c r="N2267">
        <v>-1.409641E-2</v>
      </c>
      <c r="O2267">
        <v>-9.1008930000000002E-2</v>
      </c>
      <c r="P2267">
        <v>-0.97292619999999996</v>
      </c>
      <c r="Q2267">
        <v>0.19804840000000001</v>
      </c>
      <c r="R2267">
        <v>-0.1191287</v>
      </c>
      <c r="S2267">
        <v>-2.919556</v>
      </c>
      <c r="T2267">
        <v>4.0777439999999998E-2</v>
      </c>
      <c r="U2267">
        <v>-1.321747</v>
      </c>
      <c r="V2267">
        <v>-3.4029610000000002E-2</v>
      </c>
      <c r="W2267">
        <v>0.21124119999999999</v>
      </c>
      <c r="X2267">
        <v>0.97684139999999997</v>
      </c>
      <c r="Y2267">
        <v>-0.3278296</v>
      </c>
      <c r="Z2267">
        <v>-2.6714009999999999E-3</v>
      </c>
      <c r="AA2267">
        <v>0.94473309999999999</v>
      </c>
      <c r="AB2267">
        <v>35</v>
      </c>
      <c r="AC2267">
        <v>-42.404499999999899</v>
      </c>
      <c r="AD2267">
        <v>0.59510599999999902</v>
      </c>
      <c r="AE2267">
        <v>-19.274799999999999</v>
      </c>
      <c r="AF2267">
        <v>-15.3327211102758</v>
      </c>
      <c r="AG2267">
        <v>0.59510599999999902</v>
      </c>
      <c r="AH2267">
        <v>43.975664517178203</v>
      </c>
      <c r="AI2267">
        <v>89.267903358617104</v>
      </c>
      <c r="AJ2267">
        <v>109.221812772983</v>
      </c>
      <c r="AK2267">
        <v>46.5758044216537</v>
      </c>
      <c r="AL2267">
        <v>77.804900224058201</v>
      </c>
      <c r="AM2267">
        <v>91.995170232215699</v>
      </c>
      <c r="AN2267">
        <v>0.99999998984407601</v>
      </c>
    </row>
    <row r="2268" spans="1:40" x14ac:dyDescent="0.25">
      <c r="A2268" t="str">
        <f>"20190303170542660"</f>
        <v>20190303170542660</v>
      </c>
      <c r="B2268" t="str">
        <f>"1551603942646567"</f>
        <v>1551603942646567</v>
      </c>
      <c r="C2268" t="s">
        <v>40</v>
      </c>
      <c r="D2268">
        <v>5.6611779999999996</v>
      </c>
      <c r="E2268">
        <v>0.38132670000000002</v>
      </c>
      <c r="F2268" t="s">
        <v>68</v>
      </c>
      <c r="G2268">
        <v>-512.82569999999998</v>
      </c>
      <c r="H2268">
        <v>1.7113609999999999</v>
      </c>
      <c r="I2268">
        <v>265.58550000000002</v>
      </c>
      <c r="J2268">
        <v>-470.6354</v>
      </c>
      <c r="K2268">
        <v>1.1289530000000001</v>
      </c>
      <c r="L2268">
        <v>285.07600000000002</v>
      </c>
      <c r="M2268">
        <v>-0.99522069999999996</v>
      </c>
      <c r="N2268">
        <v>-1.413914E-2</v>
      </c>
      <c r="O2268">
        <v>-9.6623130000000002E-2</v>
      </c>
      <c r="P2268">
        <v>-0.97211899999999996</v>
      </c>
      <c r="Q2268">
        <v>0.19792309999999999</v>
      </c>
      <c r="R2268">
        <v>-0.1257441</v>
      </c>
      <c r="S2268">
        <v>-2.9112849999999999</v>
      </c>
      <c r="T2268">
        <v>4.000401E-2</v>
      </c>
      <c r="U2268">
        <v>-1.3397829999999999</v>
      </c>
      <c r="V2268">
        <v>-3.5266289999999999E-2</v>
      </c>
      <c r="W2268">
        <v>0.2111191</v>
      </c>
      <c r="X2268">
        <v>0.97682389999999997</v>
      </c>
      <c r="Y2268">
        <v>-0.32835229999999999</v>
      </c>
      <c r="Z2268">
        <v>-2.8507799999999998E-3</v>
      </c>
      <c r="AA2268">
        <v>0.94455100000000003</v>
      </c>
      <c r="AB2268">
        <v>35</v>
      </c>
      <c r="AC2268">
        <v>-42.190299999999901</v>
      </c>
      <c r="AD2268">
        <v>0.58240800000000004</v>
      </c>
      <c r="AE2268">
        <v>-19.490499999999901</v>
      </c>
      <c r="AF2268">
        <v>-15.319914546585601</v>
      </c>
      <c r="AG2268">
        <v>0.58240800000000004</v>
      </c>
      <c r="AH2268">
        <v>43.869385501078902</v>
      </c>
      <c r="AI2268">
        <v>89.2819106281693</v>
      </c>
      <c r="AJ2268">
        <v>109.250045749946</v>
      </c>
      <c r="AK2268">
        <v>46.471087409650899</v>
      </c>
      <c r="AL2268">
        <v>77.812057068106299</v>
      </c>
      <c r="AM2268">
        <v>92.067652476311906</v>
      </c>
      <c r="AN2268">
        <v>0.99999995860319102</v>
      </c>
    </row>
    <row r="2269" spans="1:40" x14ac:dyDescent="0.25">
      <c r="A2269" t="str">
        <f>"20190303170542672"</f>
        <v>20190303170542672</v>
      </c>
      <c r="B2269" t="str">
        <f>"1551603942667063"</f>
        <v>1551603942667063</v>
      </c>
      <c r="C2269" t="s">
        <v>40</v>
      </c>
      <c r="D2269">
        <v>5.6572990000000001</v>
      </c>
      <c r="E2269">
        <v>0.38161780000000001</v>
      </c>
      <c r="F2269" t="s">
        <v>68</v>
      </c>
      <c r="G2269">
        <v>-512.82569999999998</v>
      </c>
      <c r="H2269">
        <v>1.7168000000000001</v>
      </c>
      <c r="I2269">
        <v>265.30799999999999</v>
      </c>
      <c r="J2269">
        <v>-470.82549999999998</v>
      </c>
      <c r="K2269">
        <v>1.12912099999999</v>
      </c>
      <c r="L2269">
        <v>285.053</v>
      </c>
      <c r="M2269">
        <v>-0.99470899999999995</v>
      </c>
      <c r="N2269">
        <v>-1.418057E-2</v>
      </c>
      <c r="O2269">
        <v>-0.1017489</v>
      </c>
      <c r="P2269">
        <v>-0.97122399999999998</v>
      </c>
      <c r="Q2269">
        <v>0.19697129999999999</v>
      </c>
      <c r="R2269">
        <v>-0.13388989999999901</v>
      </c>
      <c r="S2269">
        <v>-2.9019469999999998</v>
      </c>
      <c r="T2269">
        <v>4.043865E-2</v>
      </c>
      <c r="U2269">
        <v>-1.35968</v>
      </c>
      <c r="V2269">
        <v>-3.8484190000000001E-2</v>
      </c>
      <c r="W2269">
        <v>0.21013280000000001</v>
      </c>
      <c r="X2269">
        <v>0.97691510000000004</v>
      </c>
      <c r="Y2269">
        <v>-0.32996579999999998</v>
      </c>
      <c r="Z2269">
        <v>-2.9906279999999999E-3</v>
      </c>
      <c r="AA2269">
        <v>0.9439881</v>
      </c>
      <c r="AB2269">
        <v>35</v>
      </c>
      <c r="AC2269">
        <v>-42.0002</v>
      </c>
      <c r="AD2269">
        <v>0.58767899999999995</v>
      </c>
      <c r="AE2269">
        <v>-19.745000000000001</v>
      </c>
      <c r="AF2269">
        <v>-15.366137057538999</v>
      </c>
      <c r="AG2269">
        <v>0.58767899999999995</v>
      </c>
      <c r="AH2269">
        <v>43.784393222402002</v>
      </c>
      <c r="AI2269">
        <v>89.274398315700097</v>
      </c>
      <c r="AJ2269">
        <v>109.338527667161</v>
      </c>
      <c r="AK2269">
        <v>46.406213210431602</v>
      </c>
      <c r="AL2269">
        <v>77.869864850199505</v>
      </c>
      <c r="AM2269">
        <v>92.255919805227506</v>
      </c>
      <c r="AN2269">
        <v>0.99999996956190196</v>
      </c>
    </row>
    <row r="2270" spans="1:40" x14ac:dyDescent="0.25">
      <c r="A2270" t="str">
        <f>"20190303170542695"</f>
        <v>20190303170542695</v>
      </c>
      <c r="B2270" t="str">
        <f>"1551603942686582"</f>
        <v>1551603942686582</v>
      </c>
      <c r="C2270" t="s">
        <v>40</v>
      </c>
      <c r="D2270">
        <v>5.6532179999999999</v>
      </c>
      <c r="E2270">
        <v>0.38198959999999998</v>
      </c>
      <c r="F2270" t="s">
        <v>68</v>
      </c>
      <c r="G2270">
        <v>-512.82569999999998</v>
      </c>
      <c r="H2270">
        <v>1.663125</v>
      </c>
      <c r="I2270">
        <v>264.97519999999997</v>
      </c>
      <c r="J2270">
        <v>-471.17290000000003</v>
      </c>
      <c r="K2270">
        <v>1.1294299999999999</v>
      </c>
      <c r="L2270">
        <v>285.00850000000003</v>
      </c>
      <c r="M2270">
        <v>-0.99367700000000003</v>
      </c>
      <c r="N2270">
        <v>-1.426037E-2</v>
      </c>
      <c r="O2270">
        <v>-0.11136749999999999</v>
      </c>
      <c r="P2270">
        <v>-0.96967899999999996</v>
      </c>
      <c r="Q2270">
        <v>0.1952846</v>
      </c>
      <c r="R2270">
        <v>-0.1469231</v>
      </c>
      <c r="S2270">
        <v>-2.8908999999999998</v>
      </c>
      <c r="T2270">
        <v>3.6761050000000003E-2</v>
      </c>
      <c r="U2270">
        <v>-1.381958</v>
      </c>
      <c r="V2270">
        <v>-4.2254279999999998E-2</v>
      </c>
      <c r="W2270">
        <v>0.2084239</v>
      </c>
      <c r="X2270">
        <v>0.97712540000000003</v>
      </c>
      <c r="Y2270">
        <v>-0.32815820000000001</v>
      </c>
      <c r="Z2270">
        <v>-3.333417E-3</v>
      </c>
      <c r="AA2270">
        <v>0.94461689999999998</v>
      </c>
      <c r="AB2270">
        <v>35</v>
      </c>
      <c r="AC2270">
        <v>-41.6527999999999</v>
      </c>
      <c r="AD2270">
        <v>0.53369500000000003</v>
      </c>
      <c r="AE2270">
        <v>-20.033300000000001</v>
      </c>
      <c r="AF2270">
        <v>-15.267377859875401</v>
      </c>
      <c r="AG2270">
        <v>0.53369500000000003</v>
      </c>
      <c r="AH2270">
        <v>43.6191068594527</v>
      </c>
      <c r="AI2270">
        <v>89.338356007102405</v>
      </c>
      <c r="AJ2270">
        <v>109.290854189322</v>
      </c>
      <c r="AK2270">
        <v>46.216924825063799</v>
      </c>
      <c r="AL2270">
        <v>77.969995226293506</v>
      </c>
      <c r="AM2270">
        <v>92.476124885420305</v>
      </c>
      <c r="AN2270">
        <v>0.99999999679734397</v>
      </c>
    </row>
    <row r="2271" spans="1:40" x14ac:dyDescent="0.25">
      <c r="A2271" t="str">
        <f>"20190303170542717"</f>
        <v>20190303170542717</v>
      </c>
      <c r="B2271" t="str">
        <f>"1551603942707078"</f>
        <v>1551603942707078</v>
      </c>
      <c r="C2271" t="s">
        <v>40</v>
      </c>
      <c r="D2271">
        <v>5.6133749999999996</v>
      </c>
      <c r="E2271">
        <v>0.3822353</v>
      </c>
      <c r="F2271" t="s">
        <v>68</v>
      </c>
      <c r="G2271">
        <v>-512.82569999999998</v>
      </c>
      <c r="H2271">
        <v>1.5515000000000001</v>
      </c>
      <c r="I2271">
        <v>264.45749999999998</v>
      </c>
      <c r="J2271">
        <v>-471.50819999999999</v>
      </c>
      <c r="K2271">
        <v>1.1297159999999999</v>
      </c>
      <c r="L2271">
        <v>284.9622</v>
      </c>
      <c r="M2271">
        <v>-0.99255000000000004</v>
      </c>
      <c r="N2271">
        <v>-1.434217E-2</v>
      </c>
      <c r="O2271">
        <v>-0.120991</v>
      </c>
      <c r="P2271">
        <v>-0.96783079999999999</v>
      </c>
      <c r="Q2271">
        <v>0.19345290000000001</v>
      </c>
      <c r="R2271">
        <v>-0.16087099999999999</v>
      </c>
      <c r="S2271">
        <v>-2.873138</v>
      </c>
      <c r="T2271">
        <v>2.91189E-2</v>
      </c>
      <c r="U2271">
        <v>-1.4175719999999901</v>
      </c>
      <c r="V2271">
        <v>-4.6937279999999998E-2</v>
      </c>
      <c r="W2271">
        <v>0.2065487</v>
      </c>
      <c r="X2271">
        <v>0.97730980000000001</v>
      </c>
      <c r="Y2271">
        <v>-0.33073449999999999</v>
      </c>
      <c r="Z2271">
        <v>-3.722361E-3</v>
      </c>
      <c r="AA2271">
        <v>0.94371649999999996</v>
      </c>
      <c r="AB2271">
        <v>35</v>
      </c>
      <c r="AC2271">
        <v>-41.317500000000003</v>
      </c>
      <c r="AD2271">
        <v>0.42178399999999999</v>
      </c>
      <c r="AE2271">
        <v>-20.5047</v>
      </c>
      <c r="AF2271">
        <v>-15.3531896548558</v>
      </c>
      <c r="AG2271">
        <v>0.42178399999999999</v>
      </c>
      <c r="AH2271">
        <v>43.491405322184796</v>
      </c>
      <c r="AI2271">
        <v>89.476044817128596</v>
      </c>
      <c r="AJ2271">
        <v>109.44387939972999</v>
      </c>
      <c r="AK2271">
        <v>46.123753871722101</v>
      </c>
      <c r="AL2271">
        <v>78.079825994748703</v>
      </c>
      <c r="AM2271">
        <v>92.749632908614799</v>
      </c>
      <c r="AN2271">
        <v>0.99999995945076303</v>
      </c>
    </row>
    <row r="2272" spans="1:40" x14ac:dyDescent="0.25">
      <c r="A2272" t="str">
        <f>"20190303170542751"</f>
        <v>20190303170542751</v>
      </c>
      <c r="B2272" t="str">
        <f>"1551603942747094"</f>
        <v>1551603942747094</v>
      </c>
      <c r="C2272" t="s">
        <v>40</v>
      </c>
      <c r="D2272">
        <v>5.6368</v>
      </c>
      <c r="E2272">
        <v>0.38307580000000002</v>
      </c>
      <c r="F2272" t="s">
        <v>68</v>
      </c>
      <c r="G2272">
        <v>-512.82560000000001</v>
      </c>
      <c r="H2272">
        <v>1.4323900000000001</v>
      </c>
      <c r="I2272">
        <v>263.87869999999998</v>
      </c>
      <c r="J2272">
        <v>-472.02379999999999</v>
      </c>
      <c r="K2272">
        <v>1.1301570000000001</v>
      </c>
      <c r="L2272">
        <v>284.88369999999998</v>
      </c>
      <c r="M2272">
        <v>-0.99054660000000005</v>
      </c>
      <c r="N2272">
        <v>-1.4475679999999999E-2</v>
      </c>
      <c r="O2272">
        <v>-0.1364107</v>
      </c>
      <c r="P2272">
        <v>-0.96449739999999995</v>
      </c>
      <c r="Q2272">
        <v>0.1950346</v>
      </c>
      <c r="R2272">
        <v>-0.17806350000000001</v>
      </c>
      <c r="S2272">
        <v>-2.853577</v>
      </c>
      <c r="T2272">
        <v>2.090931E-2</v>
      </c>
      <c r="U2272">
        <v>-1.456116</v>
      </c>
      <c r="V2272">
        <v>-4.9431290000000003E-2</v>
      </c>
      <c r="W2272">
        <v>0.20815529999999999</v>
      </c>
      <c r="X2272">
        <v>0.97684590000000004</v>
      </c>
      <c r="Y2272">
        <v>-0.32878689999999999</v>
      </c>
      <c r="Z2272">
        <v>-4.1966499999999997E-3</v>
      </c>
      <c r="AA2272">
        <v>0.94439479999999998</v>
      </c>
      <c r="AB2272">
        <v>35</v>
      </c>
      <c r="AC2272">
        <v>-40.8018</v>
      </c>
      <c r="AD2272">
        <v>0.30223299999999997</v>
      </c>
      <c r="AE2272">
        <v>-21.0049999999999</v>
      </c>
      <c r="AF2272">
        <v>-15.2415652709238</v>
      </c>
      <c r="AG2272">
        <v>0.30223299999999997</v>
      </c>
      <c r="AH2272">
        <v>43.284049240393003</v>
      </c>
      <c r="AI2272">
        <v>89.622646652539601</v>
      </c>
      <c r="AJ2272">
        <v>109.398640205704</v>
      </c>
      <c r="AK2272">
        <v>45.890146821936497</v>
      </c>
      <c r="AL2272">
        <v>77.985729980643001</v>
      </c>
      <c r="AM2272">
        <v>92.896864862346803</v>
      </c>
      <c r="AN2272">
        <v>0.99999999684798202</v>
      </c>
    </row>
    <row r="2273" spans="1:40" x14ac:dyDescent="0.25">
      <c r="A2273" t="str">
        <f>"20190303170542773"</f>
        <v>20190303170542773</v>
      </c>
      <c r="B2273" t="str">
        <f>"1551603942766614"</f>
        <v>1551603942766614</v>
      </c>
      <c r="C2273" t="s">
        <v>40</v>
      </c>
      <c r="D2273">
        <v>5.7576039999999997</v>
      </c>
      <c r="E2273">
        <v>0.3833337</v>
      </c>
      <c r="F2273" t="s">
        <v>68</v>
      </c>
      <c r="G2273">
        <v>-512.82560000000001</v>
      </c>
      <c r="H2273">
        <v>1.47519</v>
      </c>
      <c r="I2273">
        <v>263.226</v>
      </c>
      <c r="J2273">
        <v>-472.36059999999998</v>
      </c>
      <c r="K2273">
        <v>1.1304270000000001</v>
      </c>
      <c r="L2273">
        <v>284.82769999999999</v>
      </c>
      <c r="M2273">
        <v>-0.98905189999999998</v>
      </c>
      <c r="N2273">
        <v>-1.4568319999999999E-2</v>
      </c>
      <c r="O2273">
        <v>-0.1468479</v>
      </c>
      <c r="P2273">
        <v>-0.96216789999999996</v>
      </c>
      <c r="Q2273">
        <v>0.19684370000000001</v>
      </c>
      <c r="R2273">
        <v>-0.18837680000000001</v>
      </c>
      <c r="S2273">
        <v>-2.8283999999999998</v>
      </c>
      <c r="T2273">
        <v>2.392304E-2</v>
      </c>
      <c r="U2273">
        <v>-1.501312</v>
      </c>
      <c r="V2273">
        <v>-4.9817229999999997E-2</v>
      </c>
      <c r="W2273">
        <v>0.210012</v>
      </c>
      <c r="X2273">
        <v>0.97642879999999999</v>
      </c>
      <c r="Y2273">
        <v>-0.33407710000000002</v>
      </c>
      <c r="Z2273">
        <v>-4.4439220000000003E-3</v>
      </c>
      <c r="AA2273">
        <v>0.94253529999999996</v>
      </c>
      <c r="AB2273">
        <v>35</v>
      </c>
      <c r="AC2273">
        <v>-40.465000000000003</v>
      </c>
      <c r="AD2273">
        <v>0.34476299999999899</v>
      </c>
      <c r="AE2273">
        <v>-21.601699999999902</v>
      </c>
      <c r="AF2273">
        <v>-15.4237661942553</v>
      </c>
      <c r="AG2273">
        <v>0.34476299999999899</v>
      </c>
      <c r="AH2273">
        <v>43.196289208277904</v>
      </c>
      <c r="AI2273">
        <v>89.569342867435296</v>
      </c>
      <c r="AJ2273">
        <v>109.649730280223</v>
      </c>
      <c r="AK2273">
        <v>45.868625731608901</v>
      </c>
      <c r="AL2273">
        <v>77.876944511671397</v>
      </c>
      <c r="AM2273">
        <v>92.920688399742701</v>
      </c>
      <c r="AN2273">
        <v>0.99999999900915604</v>
      </c>
    </row>
    <row r="2274" spans="1:40" x14ac:dyDescent="0.25">
      <c r="A2274" t="str">
        <f>"20190303170542795"</f>
        <v>20190303170542795</v>
      </c>
      <c r="B2274" t="str">
        <f>"1551603942787110"</f>
        <v>1551603942787110</v>
      </c>
      <c r="C2274" t="s">
        <v>40</v>
      </c>
      <c r="D2274">
        <v>5.6308009999999999</v>
      </c>
      <c r="E2274">
        <v>0.39256370000000002</v>
      </c>
      <c r="F2274" t="s">
        <v>68</v>
      </c>
      <c r="G2274">
        <v>-512.82569999999998</v>
      </c>
      <c r="H2274">
        <v>1.5616669999999999</v>
      </c>
      <c r="I2274">
        <v>262.80119999999999</v>
      </c>
      <c r="J2274">
        <v>-472.68970000000002</v>
      </c>
      <c r="K2274">
        <v>1.130657</v>
      </c>
      <c r="L2274">
        <v>284.76920000000001</v>
      </c>
      <c r="M2274">
        <v>-0.98744259999999995</v>
      </c>
      <c r="N2274">
        <v>-1.466228E-2</v>
      </c>
      <c r="O2274">
        <v>-0.1572964</v>
      </c>
      <c r="P2274">
        <v>-0.95988770000000001</v>
      </c>
      <c r="Q2274">
        <v>0.19579740000000001</v>
      </c>
      <c r="R2274">
        <v>-0.20069609999999999</v>
      </c>
      <c r="S2274">
        <v>-2.8121339999999999</v>
      </c>
      <c r="T2274">
        <v>2.9974339999999999E-2</v>
      </c>
      <c r="U2274">
        <v>-1.5307309999999901</v>
      </c>
      <c r="V2274">
        <v>-5.2082820000000002E-2</v>
      </c>
      <c r="W2274">
        <v>0.2089802</v>
      </c>
      <c r="X2274">
        <v>0.97653199999999996</v>
      </c>
      <c r="Y2274">
        <v>-0.3340147</v>
      </c>
      <c r="Z2274">
        <v>-4.6790529999999999E-3</v>
      </c>
      <c r="AA2274">
        <v>0.94255630000000001</v>
      </c>
      <c r="AB2274">
        <v>35</v>
      </c>
      <c r="AC2274">
        <v>-40.135999999999903</v>
      </c>
      <c r="AD2274">
        <v>0.43100999999999901</v>
      </c>
      <c r="AE2274">
        <v>-21.968</v>
      </c>
      <c r="AF2274">
        <v>-15.3791791736181</v>
      </c>
      <c r="AG2274">
        <v>0.43100999999999901</v>
      </c>
      <c r="AH2274">
        <v>43.088291659724298</v>
      </c>
      <c r="AI2274">
        <v>89.460240786546507</v>
      </c>
      <c r="AJ2274">
        <v>109.642624075611</v>
      </c>
      <c r="AK2274">
        <v>45.752658937244497</v>
      </c>
      <c r="AL2274">
        <v>77.937404496027895</v>
      </c>
      <c r="AM2274">
        <v>93.052947651794398</v>
      </c>
      <c r="AN2274">
        <v>1.0000000455775899</v>
      </c>
    </row>
    <row r="2275" spans="1:40" x14ac:dyDescent="0.25">
      <c r="A2275" t="str">
        <f>"20190303170542818"</f>
        <v>20190303170542818</v>
      </c>
      <c r="B2275" t="str">
        <f>"1551603942806630"</f>
        <v>1551603942806630</v>
      </c>
      <c r="C2275" t="s">
        <v>40</v>
      </c>
      <c r="D2275">
        <v>5.6435639999999996</v>
      </c>
      <c r="E2275">
        <v>0.39231690000000002</v>
      </c>
      <c r="F2275" t="s">
        <v>68</v>
      </c>
      <c r="G2275">
        <v>-512.82550000000003</v>
      </c>
      <c r="H2275">
        <v>1.029085</v>
      </c>
      <c r="I2275">
        <v>263.40260000000001</v>
      </c>
      <c r="J2275">
        <v>-473.02809999999999</v>
      </c>
      <c r="K2275">
        <v>1.13089</v>
      </c>
      <c r="L2275">
        <v>284.70530000000002</v>
      </c>
      <c r="M2275">
        <v>-0.98562720000000004</v>
      </c>
      <c r="N2275">
        <v>-1.4762859999999999E-2</v>
      </c>
      <c r="O2275">
        <v>-0.16828870000000001</v>
      </c>
      <c r="P2275">
        <v>-0.95762599999999998</v>
      </c>
      <c r="Q2275">
        <v>0.19350490000000001</v>
      </c>
      <c r="R2275">
        <v>-0.2133275</v>
      </c>
      <c r="S2275">
        <v>-2.813599</v>
      </c>
      <c r="T2275">
        <v>-7.1150060000000001E-3</v>
      </c>
      <c r="U2275">
        <v>-1.497833</v>
      </c>
      <c r="V2275">
        <v>-5.4061739999999997E-2</v>
      </c>
      <c r="W2275">
        <v>0.2067176</v>
      </c>
      <c r="X2275">
        <v>0.97690589999999999</v>
      </c>
      <c r="Y2275">
        <v>-0.31464710000000001</v>
      </c>
      <c r="Z2275">
        <v>-4.8133619999999998E-3</v>
      </c>
      <c r="AA2275">
        <v>0.9491965</v>
      </c>
      <c r="AB2275">
        <v>35</v>
      </c>
      <c r="AC2275">
        <v>-39.797400000000003</v>
      </c>
      <c r="AD2275">
        <v>-0.10180499999999899</v>
      </c>
      <c r="AE2275">
        <v>-21.302700000000002</v>
      </c>
      <c r="AF2275">
        <v>-14.300553501684901</v>
      </c>
      <c r="AG2275">
        <v>-0.10180499999999899</v>
      </c>
      <c r="AH2275">
        <v>42.814851573227998</v>
      </c>
      <c r="AI2275">
        <v>90.129219986048696</v>
      </c>
      <c r="AJ2275">
        <v>108.469792642556</v>
      </c>
      <c r="AK2275">
        <v>45.140089830993098</v>
      </c>
      <c r="AL2275">
        <v>78.069935622204895</v>
      </c>
      <c r="AM2275">
        <v>93.167503955878402</v>
      </c>
      <c r="AN2275">
        <v>0.99999998766819798</v>
      </c>
    </row>
    <row r="2276" spans="1:40" x14ac:dyDescent="0.25">
      <c r="A2276" t="str">
        <f>"20190303170542840"</f>
        <v>20190303170542840</v>
      </c>
      <c r="B2276" t="str">
        <f>"1551603942827127"</f>
        <v>1551603942827127</v>
      </c>
      <c r="C2276" t="s">
        <v>40</v>
      </c>
      <c r="D2276">
        <v>5.610932</v>
      </c>
      <c r="E2276">
        <v>0.39220899999999997</v>
      </c>
      <c r="F2276" t="s">
        <v>68</v>
      </c>
      <c r="G2276">
        <v>-512.82539999999995</v>
      </c>
      <c r="H2276">
        <v>0.93756899999999999</v>
      </c>
      <c r="I2276">
        <v>262.81529999999998</v>
      </c>
      <c r="J2276">
        <v>-473.36149999999998</v>
      </c>
      <c r="K2276">
        <v>1.1311059999999999</v>
      </c>
      <c r="L2276">
        <v>284.63819999999998</v>
      </c>
      <c r="M2276">
        <v>-0.98367009999999999</v>
      </c>
      <c r="N2276">
        <v>-1.4862820000000001E-2</v>
      </c>
      <c r="O2276">
        <v>-0.17936679999999999</v>
      </c>
      <c r="P2276">
        <v>-0.95520249999999995</v>
      </c>
      <c r="Q2276">
        <v>0.19187860000000001</v>
      </c>
      <c r="R2276">
        <v>-0.22532559999999999</v>
      </c>
      <c r="S2276">
        <v>-2.7932429999999999</v>
      </c>
      <c r="T2276">
        <v>-1.356304E-2</v>
      </c>
      <c r="U2276">
        <v>-1.5363770000000001</v>
      </c>
      <c r="V2276">
        <v>-5.5343379999999998E-2</v>
      </c>
      <c r="W2276">
        <v>0.20513529999999999</v>
      </c>
      <c r="X2276">
        <v>0.97716769999999997</v>
      </c>
      <c r="Y2276">
        <v>-0.31693539999999998</v>
      </c>
      <c r="Z2276">
        <v>-4.9623699999999998E-3</v>
      </c>
      <c r="AA2276">
        <v>0.94843409999999995</v>
      </c>
      <c r="AB2276">
        <v>35</v>
      </c>
      <c r="AC2276">
        <v>-39.463899999999903</v>
      </c>
      <c r="AD2276">
        <v>-0.19353699999999899</v>
      </c>
      <c r="AE2276">
        <v>-21.822900000000001</v>
      </c>
      <c r="AF2276">
        <v>-14.389343612680401</v>
      </c>
      <c r="AG2276">
        <v>-0.19353699999999899</v>
      </c>
      <c r="AH2276">
        <v>42.737691174712502</v>
      </c>
      <c r="AI2276">
        <v>90.245898062212703</v>
      </c>
      <c r="AJ2276">
        <v>108.60785312646</v>
      </c>
      <c r="AK2276">
        <v>45.095464440664699</v>
      </c>
      <c r="AL2276">
        <v>78.162581075509195</v>
      </c>
      <c r="AM2276">
        <v>93.241570649608306</v>
      </c>
      <c r="AN2276">
        <v>1.0000000474696</v>
      </c>
    </row>
    <row r="2277" spans="1:40" x14ac:dyDescent="0.25">
      <c r="A2277" t="str">
        <f>"20190303170542864"</f>
        <v>20190303170542864</v>
      </c>
      <c r="B2277" t="str">
        <f>"1551603942857383"</f>
        <v>1551603942857383</v>
      </c>
      <c r="C2277" t="s">
        <v>40</v>
      </c>
      <c r="D2277">
        <v>5.5887949999999904</v>
      </c>
      <c r="E2277">
        <v>0.39261089999999998</v>
      </c>
      <c r="F2277" t="s">
        <v>68</v>
      </c>
      <c r="G2277">
        <v>-512.82539999999995</v>
      </c>
      <c r="H2277">
        <v>0.91441300000000003</v>
      </c>
      <c r="I2277">
        <v>262.25020000000001</v>
      </c>
      <c r="J2277">
        <v>-473.70920000000001</v>
      </c>
      <c r="K2277">
        <v>1.1313169999999999</v>
      </c>
      <c r="L2277">
        <v>284.56400000000002</v>
      </c>
      <c r="M2277">
        <v>-0.98144500000000001</v>
      </c>
      <c r="N2277">
        <v>-1.4964119999999999E-2</v>
      </c>
      <c r="O2277">
        <v>-0.1911593</v>
      </c>
      <c r="P2277">
        <v>-0.95205309999999999</v>
      </c>
      <c r="Q2277">
        <v>0.191469</v>
      </c>
      <c r="R2277">
        <v>-0.2386095</v>
      </c>
      <c r="S2277">
        <v>-2.772675</v>
      </c>
      <c r="T2277">
        <v>-1.5219089999999999E-2</v>
      </c>
      <c r="U2277">
        <v>-1.572937</v>
      </c>
      <c r="V2277">
        <v>-5.731663E-2</v>
      </c>
      <c r="W2277">
        <v>0.20474890000000001</v>
      </c>
      <c r="X2277">
        <v>0.97713490000000003</v>
      </c>
      <c r="Y2277">
        <v>-0.31802989999999998</v>
      </c>
      <c r="Z2277">
        <v>-5.1112350000000004E-3</v>
      </c>
      <c r="AA2277">
        <v>0.94806690000000005</v>
      </c>
      <c r="AB2277">
        <v>35</v>
      </c>
      <c r="AC2277">
        <v>-39.1161999999999</v>
      </c>
      <c r="AD2277">
        <v>-0.21690400000000001</v>
      </c>
      <c r="AE2277">
        <v>-22.313800000000001</v>
      </c>
      <c r="AF2277">
        <v>-14.423621791770101</v>
      </c>
      <c r="AG2277">
        <v>-0.21690400000000001</v>
      </c>
      <c r="AH2277">
        <v>42.659674352622503</v>
      </c>
      <c r="AI2277">
        <v>90.275971846441806</v>
      </c>
      <c r="AJ2277">
        <v>108.68086034434801</v>
      </c>
      <c r="AK2277">
        <v>45.032607395186901</v>
      </c>
      <c r="AL2277">
        <v>78.185199233917203</v>
      </c>
      <c r="AM2277">
        <v>93.357000434253607</v>
      </c>
      <c r="AN2277">
        <v>0.99999996046188699</v>
      </c>
    </row>
    <row r="2278" spans="1:40" x14ac:dyDescent="0.25">
      <c r="A2278" t="str">
        <f>"20190303170542885"</f>
        <v>20190303170542885</v>
      </c>
      <c r="B2278" t="str">
        <f>"1551603942876902"</f>
        <v>1551603942876902</v>
      </c>
      <c r="C2278" t="s">
        <v>40</v>
      </c>
      <c r="D2278">
        <v>5.5952950000000001</v>
      </c>
      <c r="E2278">
        <v>0.39320050000000001</v>
      </c>
      <c r="F2278" t="s">
        <v>68</v>
      </c>
      <c r="G2278">
        <v>-512.82539999999995</v>
      </c>
      <c r="H2278">
        <v>0.89134069999999899</v>
      </c>
      <c r="I2278">
        <v>261.69510000000002</v>
      </c>
      <c r="J2278">
        <v>-474.02760000000001</v>
      </c>
      <c r="K2278">
        <v>1.1315040000000001</v>
      </c>
      <c r="L2278">
        <v>284.49160000000001</v>
      </c>
      <c r="M2278">
        <v>-0.97923280000000001</v>
      </c>
      <c r="N2278">
        <v>-1.505252E-2</v>
      </c>
      <c r="O2278">
        <v>-0.2021792</v>
      </c>
      <c r="P2278">
        <v>-0.94868640000000004</v>
      </c>
      <c r="Q2278">
        <v>0.1915492</v>
      </c>
      <c r="R2278">
        <v>-0.25160110000000002</v>
      </c>
      <c r="S2278">
        <v>-2.7513730000000001</v>
      </c>
      <c r="T2278">
        <v>-1.6874070000000001E-2</v>
      </c>
      <c r="U2278">
        <v>-1.6085510000000001</v>
      </c>
      <c r="V2278">
        <v>-5.9797030000000001E-2</v>
      </c>
      <c r="W2278">
        <v>0.20482629999999999</v>
      </c>
      <c r="X2278">
        <v>0.97697009999999995</v>
      </c>
      <c r="Y2278">
        <v>-0.31971090000000002</v>
      </c>
      <c r="Z2278">
        <v>-5.2445779999999997E-3</v>
      </c>
      <c r="AA2278">
        <v>0.94750060000000003</v>
      </c>
      <c r="AB2278">
        <v>35</v>
      </c>
      <c r="AC2278">
        <v>-38.797799999999903</v>
      </c>
      <c r="AD2278">
        <v>-0.2401633</v>
      </c>
      <c r="AE2278">
        <v>-22.796499999999899</v>
      </c>
      <c r="AF2278">
        <v>-14.4802013379404</v>
      </c>
      <c r="AG2278">
        <v>-0.2401633</v>
      </c>
      <c r="AH2278">
        <v>42.604672448099997</v>
      </c>
      <c r="AI2278">
        <v>90.305795015332706</v>
      </c>
      <c r="AJ2278">
        <v>108.771538743078</v>
      </c>
      <c r="AK2278">
        <v>44.998800246316002</v>
      </c>
      <c r="AL2278">
        <v>78.180669437645605</v>
      </c>
      <c r="AM2278">
        <v>93.5025111556686</v>
      </c>
      <c r="AN2278">
        <v>1.0000000371312501</v>
      </c>
    </row>
    <row r="2279" spans="1:40" x14ac:dyDescent="0.25">
      <c r="A2279" t="str">
        <f>"20190303170542908"</f>
        <v>20190303170542908</v>
      </c>
      <c r="B2279" t="str">
        <f>"1551603942897399"</f>
        <v>1551603942897399</v>
      </c>
      <c r="C2279" t="s">
        <v>40</v>
      </c>
      <c r="D2279">
        <v>5.5956039999999998</v>
      </c>
      <c r="E2279">
        <v>0.39379999999999998</v>
      </c>
      <c r="F2279" t="s">
        <v>68</v>
      </c>
      <c r="G2279">
        <v>-512.82539999999995</v>
      </c>
      <c r="H2279">
        <v>0.84218079999999995</v>
      </c>
      <c r="I2279">
        <v>261.1814</v>
      </c>
      <c r="J2279">
        <v>-474.36290000000002</v>
      </c>
      <c r="K2279">
        <v>1.1316729999999999</v>
      </c>
      <c r="L2279">
        <v>284.41120000000001</v>
      </c>
      <c r="M2279">
        <v>-0.97672079999999994</v>
      </c>
      <c r="N2279">
        <v>-1.513925E-2</v>
      </c>
      <c r="O2279">
        <v>-0.2139799</v>
      </c>
      <c r="P2279">
        <v>-0.94516429999999996</v>
      </c>
      <c r="Q2279">
        <v>0.19057730000000001</v>
      </c>
      <c r="R2279">
        <v>-0.26522620000000002</v>
      </c>
      <c r="S2279">
        <v>-2.731201</v>
      </c>
      <c r="T2279">
        <v>-2.036166E-2</v>
      </c>
      <c r="U2279">
        <v>-1.64093</v>
      </c>
      <c r="V2279">
        <v>-6.2097520000000003E-2</v>
      </c>
      <c r="W2279">
        <v>0.2038568</v>
      </c>
      <c r="X2279">
        <v>0.97702929999999999</v>
      </c>
      <c r="Y2279">
        <v>-0.31961149999999999</v>
      </c>
      <c r="Z2279">
        <v>-5.3239560000000003E-3</v>
      </c>
      <c r="AA2279">
        <v>0.94753370000000003</v>
      </c>
      <c r="AB2279">
        <v>34</v>
      </c>
      <c r="AC2279">
        <v>-38.462499999999899</v>
      </c>
      <c r="AD2279">
        <v>-0.28949219999999898</v>
      </c>
      <c r="AE2279">
        <v>-23.229800000000001</v>
      </c>
      <c r="AF2279">
        <v>-14.4598831314213</v>
      </c>
      <c r="AG2279">
        <v>-0.28949219999999898</v>
      </c>
      <c r="AH2279">
        <v>42.540941375142999</v>
      </c>
      <c r="AI2279">
        <v>90.369151552963302</v>
      </c>
      <c r="AJ2279">
        <v>108.773159380197</v>
      </c>
      <c r="AK2279">
        <v>44.932212487163099</v>
      </c>
      <c r="AL2279">
        <v>78.237414306829706</v>
      </c>
      <c r="AM2279">
        <v>93.636683753722807</v>
      </c>
      <c r="AN2279">
        <v>0.99999997497743898</v>
      </c>
    </row>
    <row r="2280" spans="1:40" x14ac:dyDescent="0.25">
      <c r="A2280" t="str">
        <f>"20190303170542930"</f>
        <v>20190303170542930</v>
      </c>
      <c r="B2280" t="str">
        <f>"1551603942916919"</f>
        <v>1551603942916919</v>
      </c>
      <c r="C2280" t="s">
        <v>40</v>
      </c>
      <c r="D2280">
        <v>5.607977</v>
      </c>
      <c r="E2280">
        <v>0.39404420000000001</v>
      </c>
      <c r="F2280" t="s">
        <v>68</v>
      </c>
      <c r="G2280">
        <v>-512.82539999999995</v>
      </c>
      <c r="H2280">
        <v>0.75364039999999999</v>
      </c>
      <c r="I2280">
        <v>260.63130000000001</v>
      </c>
      <c r="J2280">
        <v>-474.6909</v>
      </c>
      <c r="K2280">
        <v>1.1318330000000001</v>
      </c>
      <c r="L2280">
        <v>284.32830000000001</v>
      </c>
      <c r="M2280">
        <v>-0.9740799</v>
      </c>
      <c r="N2280">
        <v>-1.521661E-2</v>
      </c>
      <c r="O2280">
        <v>-0.2256917</v>
      </c>
      <c r="P2280">
        <v>-0.94159619999999999</v>
      </c>
      <c r="Q2280">
        <v>0.18966820000000001</v>
      </c>
      <c r="R2280">
        <v>-0.27824939999999998</v>
      </c>
      <c r="S2280">
        <v>-2.7093509999999998</v>
      </c>
      <c r="T2280">
        <v>-2.6623730000000002E-2</v>
      </c>
      <c r="U2280">
        <v>-1.675079</v>
      </c>
      <c r="V2280">
        <v>-6.3876719999999998E-2</v>
      </c>
      <c r="W2280">
        <v>0.20295530000000001</v>
      </c>
      <c r="X2280">
        <v>0.97710229999999998</v>
      </c>
      <c r="Y2280">
        <v>-0.32027719999999998</v>
      </c>
      <c r="Z2280">
        <v>-5.325766E-3</v>
      </c>
      <c r="AA2280">
        <v>0.94730890000000001</v>
      </c>
      <c r="AB2280">
        <v>34</v>
      </c>
      <c r="AC2280">
        <v>-38.134499999999903</v>
      </c>
      <c r="AD2280">
        <v>-0.37819259999999999</v>
      </c>
      <c r="AE2280">
        <v>-23.696999999999999</v>
      </c>
      <c r="AF2280">
        <v>-14.476780724094301</v>
      </c>
      <c r="AG2280">
        <v>-0.37819259999999999</v>
      </c>
      <c r="AH2280">
        <v>42.496172654417897</v>
      </c>
      <c r="AI2280">
        <v>90.482651637117399</v>
      </c>
      <c r="AJ2280">
        <v>108.811964887486</v>
      </c>
      <c r="AK2280">
        <v>44.895934114909501</v>
      </c>
      <c r="AL2280">
        <v>78.290169587665403</v>
      </c>
      <c r="AM2280">
        <v>93.740310565799703</v>
      </c>
      <c r="AN2280">
        <v>0.99999999691066899</v>
      </c>
    </row>
    <row r="2281" spans="1:40" x14ac:dyDescent="0.25">
      <c r="A2281" t="str">
        <f>"20190303170542952"</f>
        <v>20190303170542952</v>
      </c>
      <c r="B2281" t="str">
        <f>"1551603942947174"</f>
        <v>1551603942947174</v>
      </c>
      <c r="C2281" t="s">
        <v>40</v>
      </c>
      <c r="D2281">
        <v>5.5914869999999999</v>
      </c>
      <c r="E2281">
        <v>0.40064889999999997</v>
      </c>
      <c r="F2281" t="s">
        <v>68</v>
      </c>
      <c r="G2281">
        <v>-512.82539999999995</v>
      </c>
      <c r="H2281">
        <v>0.68191279999999999</v>
      </c>
      <c r="I2281">
        <v>260.06880000000001</v>
      </c>
      <c r="J2281">
        <v>-475.01589999999999</v>
      </c>
      <c r="K2281">
        <v>1.1319779999999999</v>
      </c>
      <c r="L2281">
        <v>284.24189999999999</v>
      </c>
      <c r="M2281">
        <v>-0.97127330000000001</v>
      </c>
      <c r="N2281">
        <v>-1.5286910000000001E-2</v>
      </c>
      <c r="O2281">
        <v>-0.23747570000000001</v>
      </c>
      <c r="P2281">
        <v>-0.93788689999999997</v>
      </c>
      <c r="Q2281">
        <v>0.18850140000000001</v>
      </c>
      <c r="R2281">
        <v>-0.29126590000000002</v>
      </c>
      <c r="S2281">
        <v>-2.6872560000000001</v>
      </c>
      <c r="T2281">
        <v>-3.1699419999999999E-2</v>
      </c>
      <c r="U2281">
        <v>-1.70950299999999</v>
      </c>
      <c r="V2281">
        <v>-6.5567689999999998E-2</v>
      </c>
      <c r="W2281">
        <v>0.2017921</v>
      </c>
      <c r="X2281">
        <v>0.97723119999999997</v>
      </c>
      <c r="Y2281">
        <v>-0.32095489999999999</v>
      </c>
      <c r="Z2281">
        <v>-5.3087680000000002E-3</v>
      </c>
      <c r="AA2281">
        <v>0.94707960000000002</v>
      </c>
      <c r="AB2281">
        <v>34</v>
      </c>
      <c r="AC2281">
        <v>-37.8094999999999</v>
      </c>
      <c r="AD2281">
        <v>-0.4500652</v>
      </c>
      <c r="AE2281">
        <v>-24.173099999999899</v>
      </c>
      <c r="AF2281">
        <v>-14.500083630353</v>
      </c>
      <c r="AG2281">
        <v>-0.4500652</v>
      </c>
      <c r="AH2281">
        <v>42.464568434359499</v>
      </c>
      <c r="AI2281">
        <v>90.574656798911704</v>
      </c>
      <c r="AJ2281">
        <v>108.853143166546</v>
      </c>
      <c r="AK2281">
        <v>44.874208141067903</v>
      </c>
      <c r="AL2281">
        <v>78.358224192250304</v>
      </c>
      <c r="AM2281">
        <v>93.838528405209701</v>
      </c>
      <c r="AN2281">
        <v>0.99999999592389199</v>
      </c>
    </row>
    <row r="2282" spans="1:40" x14ac:dyDescent="0.25">
      <c r="A2282" t="str">
        <f>"20190303170542974"</f>
        <v>20190303170542974</v>
      </c>
      <c r="B2282" t="str">
        <f>"1551603942966694"</f>
        <v>1551603942966694</v>
      </c>
      <c r="C2282" t="s">
        <v>40</v>
      </c>
      <c r="D2282">
        <v>5.6003619999999996</v>
      </c>
      <c r="E2282">
        <v>0.40133740000000001</v>
      </c>
      <c r="F2282" t="s">
        <v>68</v>
      </c>
      <c r="G2282">
        <v>-512.82529999999997</v>
      </c>
      <c r="H2282">
        <v>0.34321970000000002</v>
      </c>
      <c r="I2282">
        <v>260.2894</v>
      </c>
      <c r="J2282">
        <v>-475.34199999999998</v>
      </c>
      <c r="K2282">
        <v>1.132118</v>
      </c>
      <c r="L2282">
        <v>284.1508</v>
      </c>
      <c r="M2282">
        <v>-0.96825839999999996</v>
      </c>
      <c r="N2282">
        <v>-1.5352970000000001E-2</v>
      </c>
      <c r="O2282">
        <v>-0.2494799</v>
      </c>
      <c r="P2282">
        <v>-0.9334578</v>
      </c>
      <c r="Q2282">
        <v>0.18821470000000001</v>
      </c>
      <c r="R2282">
        <v>-0.30533959999999999</v>
      </c>
      <c r="S2282">
        <v>-2.6822509999999999</v>
      </c>
      <c r="T2282">
        <v>-5.5950050000000001E-2</v>
      </c>
      <c r="U2282">
        <v>-1.69921899999999</v>
      </c>
      <c r="V2282">
        <v>-6.8228570000000002E-2</v>
      </c>
      <c r="W2282">
        <v>0.20147499999999999</v>
      </c>
      <c r="X2282">
        <v>0.9771145</v>
      </c>
      <c r="Y2282">
        <v>-0.30736400000000003</v>
      </c>
      <c r="Z2282">
        <v>-4.463964E-3</v>
      </c>
      <c r="AA2282">
        <v>0.95158149999999997</v>
      </c>
      <c r="AB2282">
        <v>34</v>
      </c>
      <c r="AC2282">
        <v>-37.4832999999999</v>
      </c>
      <c r="AD2282">
        <v>-0.78889829999999905</v>
      </c>
      <c r="AE2282">
        <v>-23.8614</v>
      </c>
      <c r="AF2282">
        <v>-13.749956100237901</v>
      </c>
      <c r="AG2282">
        <v>-0.78889829999999905</v>
      </c>
      <c r="AH2282">
        <v>42.2381197892567</v>
      </c>
      <c r="AI2282">
        <v>91.017469130147106</v>
      </c>
      <c r="AJ2282">
        <v>108.031844981484</v>
      </c>
      <c r="AK2282">
        <v>44.4268209150488</v>
      </c>
      <c r="AL2282">
        <v>78.376774069921794</v>
      </c>
      <c r="AM2282">
        <v>93.994285399008703</v>
      </c>
      <c r="AN2282">
        <v>1.00000002974974</v>
      </c>
    </row>
    <row r="2283" spans="1:40" x14ac:dyDescent="0.25">
      <c r="A2283" t="str">
        <f>"20190303170542996"</f>
        <v>20190303170542996</v>
      </c>
      <c r="B2283" t="str">
        <f>"1551603942987191"</f>
        <v>1551603942987191</v>
      </c>
      <c r="C2283" t="s">
        <v>40</v>
      </c>
      <c r="D2283">
        <v>5.6176469999999998</v>
      </c>
      <c r="E2283">
        <v>0.40172799999999997</v>
      </c>
      <c r="F2283" t="s">
        <v>68</v>
      </c>
      <c r="G2283">
        <v>-512.82529999999997</v>
      </c>
      <c r="H2283">
        <v>0.31834750000000001</v>
      </c>
      <c r="I2283">
        <v>259.68110000000001</v>
      </c>
      <c r="J2283">
        <v>-475.65899999999999</v>
      </c>
      <c r="K2283">
        <v>1.132258</v>
      </c>
      <c r="L2283">
        <v>284.05799999999999</v>
      </c>
      <c r="M2283">
        <v>-0.96512659999999995</v>
      </c>
      <c r="N2283">
        <v>-1.541443E-2</v>
      </c>
      <c r="O2283">
        <v>-0.26133000000000001</v>
      </c>
      <c r="P2283">
        <v>-0.92879690000000004</v>
      </c>
      <c r="Q2283">
        <v>0.18883949999999999</v>
      </c>
      <c r="R2283">
        <v>-0.31886769999999998</v>
      </c>
      <c r="S2283">
        <v>-2.6579280000000001</v>
      </c>
      <c r="T2283">
        <v>-5.7698729999999997E-2</v>
      </c>
      <c r="U2283">
        <v>-1.7351380000000001</v>
      </c>
      <c r="V2283">
        <v>-7.0574780000000004E-2</v>
      </c>
      <c r="W2283">
        <v>0.20207</v>
      </c>
      <c r="X2283">
        <v>0.9768249</v>
      </c>
      <c r="Y2283">
        <v>-0.3086933</v>
      </c>
      <c r="Z2283">
        <v>-4.4086539999999997E-3</v>
      </c>
      <c r="AA2283">
        <v>0.95115139999999998</v>
      </c>
      <c r="AB2283">
        <v>34</v>
      </c>
      <c r="AC2283">
        <v>-37.1662999999999</v>
      </c>
      <c r="AD2283">
        <v>-0.81391049999999998</v>
      </c>
      <c r="AE2283">
        <v>-24.3768999999999</v>
      </c>
      <c r="AF2283">
        <v>-13.8111334446606</v>
      </c>
      <c r="AG2283">
        <v>-0.81391049999999998</v>
      </c>
      <c r="AH2283">
        <v>42.231451168218101</v>
      </c>
      <c r="AI2283">
        <v>91.049422631244994</v>
      </c>
      <c r="AJ2283">
        <v>108.109520585677</v>
      </c>
      <c r="AK2283">
        <v>44.439906897987797</v>
      </c>
      <c r="AL2283">
        <v>78.341966657527195</v>
      </c>
      <c r="AM2283">
        <v>94.132391730482396</v>
      </c>
      <c r="AN2283">
        <v>0.99999998486602903</v>
      </c>
    </row>
    <row r="2284" spans="1:40" x14ac:dyDescent="0.25">
      <c r="A2284" t="str">
        <f>"20190303170543019"</f>
        <v>20190303170543019</v>
      </c>
      <c r="B2284" t="str">
        <f>"1551603943006824"</f>
        <v>1551603943006824</v>
      </c>
      <c r="C2284" t="s">
        <v>40</v>
      </c>
      <c r="D2284">
        <v>5.62439</v>
      </c>
      <c r="E2284">
        <v>0.406555</v>
      </c>
      <c r="F2284" t="s">
        <v>68</v>
      </c>
      <c r="G2284">
        <v>-512.82529999999997</v>
      </c>
      <c r="H2284">
        <v>0.33703650000000002</v>
      </c>
      <c r="I2284">
        <v>259.06310000000002</v>
      </c>
      <c r="J2284">
        <v>-475.98039999999997</v>
      </c>
      <c r="K2284">
        <v>1.132401</v>
      </c>
      <c r="L2284">
        <v>283.95940000000002</v>
      </c>
      <c r="M2284">
        <v>-0.9617346</v>
      </c>
      <c r="N2284">
        <v>-1.5475040000000001E-2</v>
      </c>
      <c r="O2284">
        <v>-0.2735455</v>
      </c>
      <c r="P2284">
        <v>-0.92397560000000001</v>
      </c>
      <c r="Q2284">
        <v>0.18876019999999999</v>
      </c>
      <c r="R2284">
        <v>-0.33262429999999998</v>
      </c>
      <c r="S2284">
        <v>-2.6334529999999998</v>
      </c>
      <c r="T2284">
        <v>-5.6340580000000001E-2</v>
      </c>
      <c r="U2284">
        <v>-1.7710269999999999</v>
      </c>
      <c r="V2284">
        <v>-7.2771500000000003E-2</v>
      </c>
      <c r="W2284">
        <v>0.20196259999999999</v>
      </c>
      <c r="X2284">
        <v>0.9766859</v>
      </c>
      <c r="Y2284">
        <v>-0.3096527</v>
      </c>
      <c r="Z2284">
        <v>-4.4507649999999998E-3</v>
      </c>
      <c r="AA2284">
        <v>0.95083930000000005</v>
      </c>
      <c r="AB2284">
        <v>34</v>
      </c>
      <c r="AC2284">
        <v>-36.844900000000003</v>
      </c>
      <c r="AD2284">
        <v>-0.79536450000000003</v>
      </c>
      <c r="AE2284">
        <v>-24.8963</v>
      </c>
      <c r="AF2284">
        <v>-13.862101792144401</v>
      </c>
      <c r="AG2284">
        <v>-0.79536450000000003</v>
      </c>
      <c r="AH2284">
        <v>42.236831570583597</v>
      </c>
      <c r="AI2284">
        <v>91.025031429012103</v>
      </c>
      <c r="AJ2284">
        <v>108.169803693296</v>
      </c>
      <c r="AK2284">
        <v>44.460548938418199</v>
      </c>
      <c r="AL2284">
        <v>78.348249535402601</v>
      </c>
      <c r="AM2284">
        <v>94.261154701204504</v>
      </c>
      <c r="AN2284">
        <v>0.99999996513490896</v>
      </c>
    </row>
    <row r="2285" spans="1:40" x14ac:dyDescent="0.25">
      <c r="A2285" t="str">
        <f>"20190303170543040"</f>
        <v>20190303170543040</v>
      </c>
      <c r="B2285" t="str">
        <f>"1551603943037080"</f>
        <v>1551603943037080</v>
      </c>
      <c r="C2285" t="s">
        <v>40</v>
      </c>
      <c r="D2285">
        <v>5.6525819999999998</v>
      </c>
      <c r="E2285">
        <v>0.40729949999999998</v>
      </c>
      <c r="F2285" t="s">
        <v>68</v>
      </c>
      <c r="G2285">
        <v>-512.8252</v>
      </c>
      <c r="H2285">
        <v>0.1055183</v>
      </c>
      <c r="I2285">
        <v>259.01609999999999</v>
      </c>
      <c r="J2285">
        <v>-476.29930000000002</v>
      </c>
      <c r="K2285">
        <v>1.1325449999999999</v>
      </c>
      <c r="L2285">
        <v>283.8571</v>
      </c>
      <c r="M2285">
        <v>-0.95814169999999999</v>
      </c>
      <c r="N2285">
        <v>-1.5534269999999999E-2</v>
      </c>
      <c r="O2285">
        <v>-0.2858734</v>
      </c>
      <c r="P2285">
        <v>-0.91941289999999998</v>
      </c>
      <c r="Q2285">
        <v>0.18726709999999999</v>
      </c>
      <c r="R2285">
        <v>-0.34584870000000001</v>
      </c>
      <c r="S2285">
        <v>-2.6226500000000001</v>
      </c>
      <c r="T2285">
        <v>-7.3088879999999995E-2</v>
      </c>
      <c r="U2285">
        <v>-1.775482</v>
      </c>
      <c r="V2285">
        <v>-7.4199829999999994E-2</v>
      </c>
      <c r="W2285">
        <v>0.20046320000000001</v>
      </c>
      <c r="X2285">
        <v>0.97688730000000001</v>
      </c>
      <c r="Y2285">
        <v>-0.3003149</v>
      </c>
      <c r="Z2285">
        <v>-3.5318340000000002E-3</v>
      </c>
      <c r="AA2285">
        <v>0.95383359999999995</v>
      </c>
      <c r="AB2285">
        <v>34</v>
      </c>
      <c r="AC2285">
        <v>-36.525899999999901</v>
      </c>
      <c r="AD2285">
        <v>-1.0270267</v>
      </c>
      <c r="AE2285">
        <v>-24.841000000000001</v>
      </c>
      <c r="AF2285">
        <v>-13.3538052931093</v>
      </c>
      <c r="AG2285">
        <v>-1.0270267</v>
      </c>
      <c r="AH2285">
        <v>42.080692457038701</v>
      </c>
      <c r="AI2285">
        <v>91.332625144295207</v>
      </c>
      <c r="AJ2285">
        <v>107.60621408566401</v>
      </c>
      <c r="AK2285">
        <v>44.160656441142898</v>
      </c>
      <c r="AL2285">
        <v>78.435952442564002</v>
      </c>
      <c r="AM2285">
        <v>94.343581551901707</v>
      </c>
      <c r="AN2285">
        <v>0.99999995311377798</v>
      </c>
    </row>
    <row r="2286" spans="1:40" x14ac:dyDescent="0.25">
      <c r="A2286" t="str">
        <f>"20190303170543064"</f>
        <v>20190303170543064</v>
      </c>
      <c r="B2286" t="str">
        <f>"1551603943056601"</f>
        <v>1551603943056601</v>
      </c>
      <c r="C2286" t="s">
        <v>40</v>
      </c>
      <c r="D2286">
        <v>5.6696749999999998</v>
      </c>
      <c r="E2286">
        <v>0.40790559999999998</v>
      </c>
      <c r="F2286" t="s">
        <v>68</v>
      </c>
      <c r="G2286">
        <v>-512.82510000000002</v>
      </c>
      <c r="H2286">
        <v>-2.4276409999999998E-2</v>
      </c>
      <c r="I2286">
        <v>258.46339999999998</v>
      </c>
      <c r="J2286">
        <v>-476.6241</v>
      </c>
      <c r="K2286">
        <v>1.1326989999999999</v>
      </c>
      <c r="L2286">
        <v>283.74790000000002</v>
      </c>
      <c r="M2286">
        <v>-0.9542332</v>
      </c>
      <c r="N2286">
        <v>-1.559396E-2</v>
      </c>
      <c r="O2286">
        <v>-0.29865639999999999</v>
      </c>
      <c r="P2286">
        <v>-0.91451550000000004</v>
      </c>
      <c r="Q2286">
        <v>0.1860696</v>
      </c>
      <c r="R2286">
        <v>-0.35922100000000001</v>
      </c>
      <c r="S2286">
        <v>-2.5997919999999999</v>
      </c>
      <c r="T2286">
        <v>-8.2333210000000004E-2</v>
      </c>
      <c r="U2286">
        <v>-1.807434</v>
      </c>
      <c r="V2286">
        <v>-7.5368199999999996E-2</v>
      </c>
      <c r="W2286">
        <v>0.19926479999999999</v>
      </c>
      <c r="X2286">
        <v>0.97704310000000005</v>
      </c>
      <c r="Y2286">
        <v>-0.29937570000000002</v>
      </c>
      <c r="Z2286">
        <v>-2.9744799999999998E-3</v>
      </c>
      <c r="AA2286">
        <v>0.9541307</v>
      </c>
      <c r="AB2286">
        <v>34</v>
      </c>
      <c r="AC2286">
        <v>-36.201000000000001</v>
      </c>
      <c r="AD2286">
        <v>-1.15697540999999</v>
      </c>
      <c r="AE2286">
        <v>-25.284500000000001</v>
      </c>
      <c r="AF2286">
        <v>-13.308133199243301</v>
      </c>
      <c r="AG2286">
        <v>-1.15697540999999</v>
      </c>
      <c r="AH2286">
        <v>42.071813630952903</v>
      </c>
      <c r="AI2286">
        <v>91.5019249939985</v>
      </c>
      <c r="AJ2286">
        <v>107.553176348904</v>
      </c>
      <c r="AK2286">
        <v>44.141618723669097</v>
      </c>
      <c r="AL2286">
        <v>78.506030425001001</v>
      </c>
      <c r="AM2286">
        <v>94.411008074595003</v>
      </c>
      <c r="AN2286">
        <v>1.0000000226739401</v>
      </c>
    </row>
    <row r="2287" spans="1:40" x14ac:dyDescent="0.25">
      <c r="A2287" t="str">
        <f>"20190303170543087"</f>
        <v>20190303170543087</v>
      </c>
      <c r="B2287" t="str">
        <f>"1551603943077099"</f>
        <v>1551603943077099</v>
      </c>
      <c r="C2287" t="s">
        <v>40</v>
      </c>
      <c r="D2287">
        <v>5.6815769999999999</v>
      </c>
      <c r="E2287">
        <v>0.41286129999999999</v>
      </c>
      <c r="F2287" t="s">
        <v>43</v>
      </c>
      <c r="G2287">
        <v>-510.42790000000002</v>
      </c>
      <c r="H2287">
        <v>-0.05</v>
      </c>
      <c r="I2287">
        <v>259.60169999999999</v>
      </c>
      <c r="J2287">
        <v>-476.95159999999998</v>
      </c>
      <c r="K2287">
        <v>1.132857</v>
      </c>
      <c r="L2287">
        <v>283.63229999999999</v>
      </c>
      <c r="M2287">
        <v>-0.95001539999999995</v>
      </c>
      <c r="N2287">
        <v>-1.5654120000000001E-2</v>
      </c>
      <c r="O2287">
        <v>-0.31181039999999999</v>
      </c>
      <c r="P2287">
        <v>-0.90926240000000003</v>
      </c>
      <c r="Q2287">
        <v>0.18605089999999999</v>
      </c>
      <c r="R2287">
        <v>-0.3723265</v>
      </c>
      <c r="S2287">
        <v>-2.5760190000000001</v>
      </c>
      <c r="T2287">
        <v>-9.012771E-2</v>
      </c>
      <c r="U2287">
        <v>-1.8400570000000001</v>
      </c>
      <c r="V2287">
        <v>-7.5998670000000004E-2</v>
      </c>
      <c r="W2287">
        <v>0.1992564</v>
      </c>
      <c r="X2287">
        <v>0.97699590000000003</v>
      </c>
      <c r="Y2287">
        <v>-0.29834290000000002</v>
      </c>
      <c r="Z2287">
        <v>-2.4050209999999998E-3</v>
      </c>
      <c r="AA2287">
        <v>0.95445570000000002</v>
      </c>
      <c r="AB2287">
        <v>34</v>
      </c>
      <c r="AC2287">
        <v>-33.476300000000002</v>
      </c>
      <c r="AD2287">
        <v>-1.182857</v>
      </c>
      <c r="AE2287">
        <v>-24.0306</v>
      </c>
      <c r="AF2287">
        <v>-12.382497491722599</v>
      </c>
      <c r="AG2287">
        <v>-1.182857</v>
      </c>
      <c r="AH2287">
        <v>39.268451805293999</v>
      </c>
      <c r="AI2287">
        <v>91.645535875793499</v>
      </c>
      <c r="AJ2287">
        <v>107.501595472974</v>
      </c>
      <c r="AK2287">
        <v>41.191463945818498</v>
      </c>
      <c r="AL2287">
        <v>78.506520708303498</v>
      </c>
      <c r="AM2287">
        <v>94.447973601037802</v>
      </c>
      <c r="AN2287">
        <v>0.99999994969976802</v>
      </c>
    </row>
    <row r="2288" spans="1:40" x14ac:dyDescent="0.25">
      <c r="A2288" t="str">
        <f>"20190303170543110"</f>
        <v>20190303170543110</v>
      </c>
      <c r="B2288" t="str">
        <f>"1551603943097594"</f>
        <v>1551603943097594</v>
      </c>
      <c r="C2288" t="s">
        <v>40</v>
      </c>
      <c r="D2288">
        <v>5.6882409999999997</v>
      </c>
      <c r="E2288">
        <v>0.4137729</v>
      </c>
      <c r="F2288" t="s">
        <v>41</v>
      </c>
      <c r="G2288">
        <v>-499.95780000000002</v>
      </c>
      <c r="H2288">
        <v>3.504434E-2</v>
      </c>
      <c r="I2288">
        <v>267.11610000000002</v>
      </c>
      <c r="J2288">
        <v>-477.26139999999998</v>
      </c>
      <c r="K2288">
        <v>1.1330209999999901</v>
      </c>
      <c r="L2288">
        <v>283.51819999999998</v>
      </c>
      <c r="M2288">
        <v>-0.94577100000000003</v>
      </c>
      <c r="N2288">
        <v>-1.5709979999999998E-2</v>
      </c>
      <c r="O2288">
        <v>-0.32445459999999998</v>
      </c>
      <c r="P2288">
        <v>-0.90395429999999999</v>
      </c>
      <c r="Q2288">
        <v>0.18673980000000001</v>
      </c>
      <c r="R2288">
        <v>-0.38470090000000001</v>
      </c>
      <c r="S2288">
        <v>-2.5691830000000002</v>
      </c>
      <c r="T2288">
        <v>-0.122597</v>
      </c>
      <c r="U2288">
        <v>-1.8444210000000001</v>
      </c>
      <c r="V2288">
        <v>-7.6446399999999998E-2</v>
      </c>
      <c r="W2288">
        <v>0.19995679999999999</v>
      </c>
      <c r="X2288">
        <v>0.97681790000000002</v>
      </c>
      <c r="Y2288">
        <v>-0.2878136</v>
      </c>
      <c r="Z2288" s="1">
        <v>-9.8347199999999999E-5</v>
      </c>
      <c r="AA2288">
        <v>0.95768640000000005</v>
      </c>
      <c r="AB2288">
        <v>34</v>
      </c>
      <c r="AC2288">
        <v>-22.696400000000001</v>
      </c>
      <c r="AD2288">
        <v>-1.0979766599999901</v>
      </c>
      <c r="AE2288">
        <v>-16.402099999999901</v>
      </c>
      <c r="AF2288">
        <v>-8.1371733442180805</v>
      </c>
      <c r="AG2288">
        <v>-1.0979766599999901</v>
      </c>
      <c r="AH2288">
        <v>26.7495104755718</v>
      </c>
      <c r="AI2288">
        <v>92.248840880691304</v>
      </c>
      <c r="AJ2288">
        <v>106.91970657352201</v>
      </c>
      <c r="AK2288">
        <v>27.981341166257199</v>
      </c>
      <c r="AL2288">
        <v>78.465567078154606</v>
      </c>
      <c r="AM2288">
        <v>94.474883781970306</v>
      </c>
      <c r="AN2288">
        <v>0.99999999184980404</v>
      </c>
    </row>
    <row r="2289" spans="1:40" x14ac:dyDescent="0.25">
      <c r="A2289" t="str">
        <f>"20190303170543131"</f>
        <v>20190303170543131</v>
      </c>
      <c r="B2289" t="str">
        <f>"1551603943117112"</f>
        <v>1551603943117112</v>
      </c>
      <c r="C2289" t="s">
        <v>40</v>
      </c>
      <c r="D2289">
        <v>5.6684039999999998</v>
      </c>
      <c r="E2289">
        <v>0.41483150000000002</v>
      </c>
      <c r="F2289" t="s">
        <v>41</v>
      </c>
      <c r="G2289">
        <v>-499.96609999999998</v>
      </c>
      <c r="H2289">
        <v>5.8352880000000003E-2</v>
      </c>
      <c r="I2289">
        <v>266.8168</v>
      </c>
      <c r="J2289">
        <v>-477.56470000000002</v>
      </c>
      <c r="K2289">
        <v>1.1331739999999999</v>
      </c>
      <c r="L2289">
        <v>283.40170000000001</v>
      </c>
      <c r="M2289">
        <v>-0.94135829999999998</v>
      </c>
      <c r="N2289">
        <v>-1.57623E-2</v>
      </c>
      <c r="O2289">
        <v>-0.33704050000000002</v>
      </c>
      <c r="P2289">
        <v>-0.89818849999999995</v>
      </c>
      <c r="Q2289">
        <v>0.18608050000000001</v>
      </c>
      <c r="R2289">
        <v>-0.39828599999999997</v>
      </c>
      <c r="S2289">
        <v>-2.5464479999999998</v>
      </c>
      <c r="T2289">
        <v>-0.12052930000000001</v>
      </c>
      <c r="U2289">
        <v>-1.873138</v>
      </c>
      <c r="V2289">
        <v>-7.8159880000000001E-2</v>
      </c>
      <c r="W2289">
        <v>0.1992709</v>
      </c>
      <c r="X2289">
        <v>0.97682250000000004</v>
      </c>
      <c r="Y2289">
        <v>-0.28613149999999998</v>
      </c>
      <c r="Z2289">
        <v>1.214766E-4</v>
      </c>
      <c r="AA2289">
        <v>0.95819030000000005</v>
      </c>
      <c r="AB2289">
        <v>34</v>
      </c>
      <c r="AC2289">
        <v>-22.401399999999899</v>
      </c>
      <c r="AD2289">
        <v>-1.07482112</v>
      </c>
      <c r="AE2289">
        <v>-16.584900000000001</v>
      </c>
      <c r="AF2289">
        <v>-8.0511828340406506</v>
      </c>
      <c r="AG2289">
        <v>-1.07482112</v>
      </c>
      <c r="AH2289">
        <v>26.641222709726499</v>
      </c>
      <c r="AI2289">
        <v>92.211622267938793</v>
      </c>
      <c r="AJ2289">
        <v>106.815221594664</v>
      </c>
      <c r="AK2289">
        <v>27.851957434557399</v>
      </c>
      <c r="AL2289">
        <v>78.505673823868506</v>
      </c>
      <c r="AM2289">
        <v>94.574741873116693</v>
      </c>
      <c r="AN2289">
        <v>1.00000002746733</v>
      </c>
    </row>
    <row r="2290" spans="1:40" x14ac:dyDescent="0.25">
      <c r="A2290" t="str">
        <f>"20190303170543154"</f>
        <v>20190303170543154</v>
      </c>
      <c r="B2290" t="str">
        <f>"1551603943147369"</f>
        <v>1551603943147369</v>
      </c>
      <c r="C2290" t="s">
        <v>40</v>
      </c>
      <c r="D2290">
        <v>5.5442419999999997</v>
      </c>
      <c r="E2290">
        <v>0.39438450000000003</v>
      </c>
      <c r="F2290" t="s">
        <v>41</v>
      </c>
      <c r="G2290">
        <v>-499.82900000000001</v>
      </c>
      <c r="H2290" s="1">
        <v>-5.0118440000000004E-6</v>
      </c>
      <c r="I2290">
        <v>266.59100000000001</v>
      </c>
      <c r="J2290">
        <v>-477.88049999999998</v>
      </c>
      <c r="K2290">
        <v>1.133329</v>
      </c>
      <c r="L2290">
        <v>283.27539999999999</v>
      </c>
      <c r="M2290">
        <v>-0.9364749</v>
      </c>
      <c r="N2290">
        <v>-1.5815610000000001E-2</v>
      </c>
      <c r="O2290">
        <v>-0.35037819999999997</v>
      </c>
      <c r="P2290">
        <v>-0.89193869999999897</v>
      </c>
      <c r="Q2290">
        <v>0.1844363</v>
      </c>
      <c r="R2290">
        <v>-0.41283049999999999</v>
      </c>
      <c r="S2290">
        <v>-2.522186</v>
      </c>
      <c r="T2290">
        <v>-0.12837100000000001</v>
      </c>
      <c r="U2290">
        <v>-1.904388</v>
      </c>
      <c r="V2290">
        <v>-8.0076670000000003E-2</v>
      </c>
      <c r="W2290">
        <v>0.19759450000000001</v>
      </c>
      <c r="X2290">
        <v>0.97700770000000003</v>
      </c>
      <c r="Y2290">
        <v>-0.28450340000000002</v>
      </c>
      <c r="Z2290">
        <v>1.009238E-3</v>
      </c>
      <c r="AA2290">
        <v>0.95867449999999999</v>
      </c>
      <c r="AB2290">
        <v>34</v>
      </c>
      <c r="AC2290">
        <v>-21.948499999999999</v>
      </c>
      <c r="AD2290">
        <v>-1.1333340118440001</v>
      </c>
      <c r="AE2290">
        <v>-16.684399999999901</v>
      </c>
      <c r="AF2290">
        <v>-7.9218508412519597</v>
      </c>
      <c r="AG2290">
        <v>-1.1333340118440001</v>
      </c>
      <c r="AH2290">
        <v>26.358826599858599</v>
      </c>
      <c r="AI2290">
        <v>92.357933232796398</v>
      </c>
      <c r="AJ2290">
        <v>106.727563465911</v>
      </c>
      <c r="AK2290">
        <v>27.5468311508758</v>
      </c>
      <c r="AL2290">
        <v>78.603672381335898</v>
      </c>
      <c r="AM2290">
        <v>94.685554495933005</v>
      </c>
      <c r="AN2290">
        <v>0.99999995268391295</v>
      </c>
    </row>
    <row r="2291" spans="1:40" x14ac:dyDescent="0.25">
      <c r="A2291" t="str">
        <f>"20190303170543174"</f>
        <v>20190303170543174</v>
      </c>
      <c r="B2291" t="str">
        <f>"1551603943166889"</f>
        <v>1551603943166889</v>
      </c>
      <c r="C2291" t="s">
        <v>40</v>
      </c>
      <c r="D2291">
        <v>5.5892869999999997</v>
      </c>
      <c r="E2291">
        <v>0.34511979999999998</v>
      </c>
      <c r="F2291" t="s">
        <v>68</v>
      </c>
      <c r="G2291">
        <v>-512.82529999999997</v>
      </c>
      <c r="H2291">
        <v>0.26551590000000003</v>
      </c>
      <c r="I2291">
        <v>253.0874</v>
      </c>
      <c r="J2291">
        <v>-478.17129999999997</v>
      </c>
      <c r="K2291">
        <v>1.133478</v>
      </c>
      <c r="L2291">
        <v>283.1542</v>
      </c>
      <c r="M2291">
        <v>-0.93170109999999995</v>
      </c>
      <c r="N2291">
        <v>-1.5865319999999999E-2</v>
      </c>
      <c r="O2291">
        <v>-0.36287910000000001</v>
      </c>
      <c r="P2291">
        <v>-0.88571889999999998</v>
      </c>
      <c r="Q2291">
        <v>0.1841981</v>
      </c>
      <c r="R2291">
        <v>-0.42611399999999999</v>
      </c>
      <c r="S2291">
        <v>-2.411591</v>
      </c>
      <c r="T2291">
        <v>-5.9883829999999999E-2</v>
      </c>
      <c r="U2291">
        <v>-2.083313</v>
      </c>
      <c r="V2291">
        <v>-8.1657560000000004E-2</v>
      </c>
      <c r="W2291">
        <v>0.197328</v>
      </c>
      <c r="X2291">
        <v>0.97693070000000004</v>
      </c>
      <c r="Y2291">
        <v>-0.3344029</v>
      </c>
      <c r="Z2291">
        <v>-4.4990940000000004E-3</v>
      </c>
      <c r="AA2291">
        <v>0.94241949999999997</v>
      </c>
      <c r="AB2291">
        <v>34</v>
      </c>
      <c r="AC2291">
        <v>-34.654000000000003</v>
      </c>
      <c r="AD2291">
        <v>-0.86796209999999996</v>
      </c>
      <c r="AE2291">
        <v>-30.066800000000001</v>
      </c>
      <c r="AF2291">
        <v>-15.434478393638701</v>
      </c>
      <c r="AG2291">
        <v>-0.86796209999999996</v>
      </c>
      <c r="AH2291">
        <v>43.187766173396597</v>
      </c>
      <c r="AI2291">
        <v>91.084201418427895</v>
      </c>
      <c r="AJ2291">
        <v>109.665914022658</v>
      </c>
      <c r="AK2291">
        <v>45.871119765476799</v>
      </c>
      <c r="AL2291">
        <v>78.6192482954594</v>
      </c>
      <c r="AM2291">
        <v>94.778008412463095</v>
      </c>
      <c r="AN2291">
        <v>0.99999994464581998</v>
      </c>
    </row>
    <row r="2292" spans="1:40" x14ac:dyDescent="0.25">
      <c r="A2292" t="str">
        <f>"20190303170543198"</f>
        <v>20190303170543198</v>
      </c>
      <c r="B2292" t="str">
        <f>"1551603943187385"</f>
        <v>1551603943187385</v>
      </c>
      <c r="C2292" t="s">
        <v>40</v>
      </c>
      <c r="D2292">
        <v>5.6337529999999996</v>
      </c>
      <c r="E2292">
        <v>0.342472099999999</v>
      </c>
      <c r="F2292" t="s">
        <v>68</v>
      </c>
      <c r="G2292">
        <v>-512.82640000000004</v>
      </c>
      <c r="H2292">
        <v>3.8228430000000002</v>
      </c>
      <c r="I2292">
        <v>244.24350000000001</v>
      </c>
      <c r="J2292">
        <v>-478.47789999999998</v>
      </c>
      <c r="K2292">
        <v>1.1336459999999999</v>
      </c>
      <c r="L2292">
        <v>283.02140000000003</v>
      </c>
      <c r="M2292">
        <v>-0.92636359999999995</v>
      </c>
      <c r="N2292">
        <v>-1.5919340000000001E-2</v>
      </c>
      <c r="O2292">
        <v>-0.37629380000000001</v>
      </c>
      <c r="P2292">
        <v>-0.87870759999999903</v>
      </c>
      <c r="Q2292">
        <v>0.18493780000000001</v>
      </c>
      <c r="R2292">
        <v>-0.44008069999999999</v>
      </c>
      <c r="S2292">
        <v>-2.176361</v>
      </c>
      <c r="T2292">
        <v>0.1688974</v>
      </c>
      <c r="U2292">
        <v>-2.4436040000000001</v>
      </c>
      <c r="V2292">
        <v>-8.3184430000000004E-2</v>
      </c>
      <c r="W2292">
        <v>0.19803809999999999</v>
      </c>
      <c r="X2292">
        <v>0.97665820000000003</v>
      </c>
      <c r="Y2292">
        <v>-0.44187779999999999</v>
      </c>
      <c r="Z2292">
        <v>-1.769892E-2</v>
      </c>
      <c r="AA2292">
        <v>0.8969007</v>
      </c>
      <c r="AB2292">
        <v>34</v>
      </c>
      <c r="AC2292">
        <v>-34.348500000000001</v>
      </c>
      <c r="AD2292">
        <v>2.6891970000000001</v>
      </c>
      <c r="AE2292">
        <v>-38.777900000000002</v>
      </c>
      <c r="AF2292">
        <v>-22.938406604218901</v>
      </c>
      <c r="AG2292">
        <v>2.6891970000000001</v>
      </c>
      <c r="AH2292">
        <v>46.292215097861003</v>
      </c>
      <c r="AI2292">
        <v>87.0203322999633</v>
      </c>
      <c r="AJ2292">
        <v>116.35902548429</v>
      </c>
      <c r="AK2292">
        <v>51.733658837471701</v>
      </c>
      <c r="AL2292">
        <v>78.577744016979594</v>
      </c>
      <c r="AM2292">
        <v>94.868275952844101</v>
      </c>
      <c r="AN2292">
        <v>0.999999989036637</v>
      </c>
    </row>
    <row r="2293" spans="1:40" x14ac:dyDescent="0.25">
      <c r="A2293" t="str">
        <f>"20190303170543220"</f>
        <v>20190303170543220</v>
      </c>
      <c r="B2293" t="str">
        <f>"1551603943216665"</f>
        <v>1551603943216665</v>
      </c>
      <c r="C2293" t="s">
        <v>40</v>
      </c>
      <c r="D2293">
        <v>5.5860989999999999</v>
      </c>
      <c r="E2293">
        <v>0.33841640000000001</v>
      </c>
      <c r="F2293" t="s">
        <v>68</v>
      </c>
      <c r="G2293">
        <v>-512.82650000000001</v>
      </c>
      <c r="H2293">
        <v>3.9606129999999999</v>
      </c>
      <c r="I2293">
        <v>242.70230000000001</v>
      </c>
      <c r="J2293">
        <v>-478.78489999999999</v>
      </c>
      <c r="K2293">
        <v>1.1338189999999999</v>
      </c>
      <c r="L2293">
        <v>282.88290000000001</v>
      </c>
      <c r="M2293">
        <v>-0.92068519999999998</v>
      </c>
      <c r="N2293">
        <v>-1.5975179999999999E-2</v>
      </c>
      <c r="O2293">
        <v>-0.38997910000000002</v>
      </c>
      <c r="P2293">
        <v>-0.87105789999999905</v>
      </c>
      <c r="Q2293">
        <v>0.18747269999999999</v>
      </c>
      <c r="R2293">
        <v>-0.45399590000000001</v>
      </c>
      <c r="S2293">
        <v>-2.1269230000000001</v>
      </c>
      <c r="T2293">
        <v>0.1750543</v>
      </c>
      <c r="U2293">
        <v>-2.496613</v>
      </c>
      <c r="V2293">
        <v>-8.4621769999999999E-2</v>
      </c>
      <c r="W2293">
        <v>0.20054079999999999</v>
      </c>
      <c r="X2293">
        <v>0.97602390000000006</v>
      </c>
      <c r="Y2293">
        <v>-0.4483374</v>
      </c>
      <c r="Z2293">
        <v>-1.8879940000000001E-2</v>
      </c>
      <c r="AA2293">
        <v>0.89366499999999904</v>
      </c>
      <c r="AB2293">
        <v>34</v>
      </c>
      <c r="AC2293">
        <v>-34.041600000000003</v>
      </c>
      <c r="AD2293">
        <v>2.826794</v>
      </c>
      <c r="AE2293">
        <v>-40.180599999999998</v>
      </c>
      <c r="AF2293">
        <v>-23.653044908202698</v>
      </c>
      <c r="AG2293">
        <v>2.826794</v>
      </c>
      <c r="AH2293">
        <v>46.882106309513503</v>
      </c>
      <c r="AI2293">
        <v>86.918600283410697</v>
      </c>
      <c r="AJ2293">
        <v>116.77194035554901</v>
      </c>
      <c r="AK2293">
        <v>52.586967870038102</v>
      </c>
      <c r="AL2293">
        <v>78.431415325458502</v>
      </c>
      <c r="AM2293">
        <v>94.955182102036503</v>
      </c>
      <c r="AN2293">
        <v>1.0000000548968899</v>
      </c>
    </row>
    <row r="2294" spans="1:40" x14ac:dyDescent="0.25">
      <c r="A2294" t="str">
        <f>"20190303170543243"</f>
        <v>20190303170543243</v>
      </c>
      <c r="B2294" t="str">
        <f>"1551603943237161"</f>
        <v>1551603943237161</v>
      </c>
      <c r="C2294" t="s">
        <v>40</v>
      </c>
      <c r="D2294">
        <v>5.5344150000000001</v>
      </c>
      <c r="E2294">
        <v>0.33767760000000002</v>
      </c>
      <c r="F2294" t="s">
        <v>68</v>
      </c>
      <c r="G2294">
        <v>-512.82659999999998</v>
      </c>
      <c r="H2294">
        <v>4.2945859999999998</v>
      </c>
      <c r="I2294">
        <v>240.79499999999999</v>
      </c>
      <c r="J2294">
        <v>-479.09089999999998</v>
      </c>
      <c r="K2294">
        <v>1.134007</v>
      </c>
      <c r="L2294">
        <v>282.73930000000001</v>
      </c>
      <c r="M2294">
        <v>-0.91467390000000004</v>
      </c>
      <c r="N2294">
        <v>-1.6035669999999998E-2</v>
      </c>
      <c r="O2294">
        <v>-0.40387440000000002</v>
      </c>
      <c r="P2294">
        <v>-0.86383860000000001</v>
      </c>
      <c r="Q2294">
        <v>0.18897900000000001</v>
      </c>
      <c r="R2294">
        <v>-0.46697939999999999</v>
      </c>
      <c r="S2294">
        <v>-2.0693359999999998</v>
      </c>
      <c r="T2294">
        <v>0.19214110000000001</v>
      </c>
      <c r="U2294">
        <v>-2.5584410000000002</v>
      </c>
      <c r="V2294">
        <v>-8.4718959999999996E-2</v>
      </c>
      <c r="W2294">
        <v>0.20206389999999999</v>
      </c>
      <c r="X2294">
        <v>0.97570120000000005</v>
      </c>
      <c r="Y2294">
        <v>-0.45761469999999999</v>
      </c>
      <c r="Z2294">
        <v>-2.06567E-2</v>
      </c>
      <c r="AA2294">
        <v>0.8889106</v>
      </c>
      <c r="AB2294">
        <v>34</v>
      </c>
      <c r="AC2294">
        <v>-33.735700000000001</v>
      </c>
      <c r="AD2294">
        <v>3.1605789999999998</v>
      </c>
      <c r="AE2294">
        <v>-41.944299999999998</v>
      </c>
      <c r="AF2294">
        <v>-24.658538474091301</v>
      </c>
      <c r="AG2294">
        <v>3.1605789999999998</v>
      </c>
      <c r="AH2294">
        <v>47.639296418054698</v>
      </c>
      <c r="AI2294">
        <v>86.628087088811895</v>
      </c>
      <c r="AJ2294">
        <v>117.366500007394</v>
      </c>
      <c r="AK2294">
        <v>53.735792005894602</v>
      </c>
      <c r="AL2294">
        <v>78.342323427661398</v>
      </c>
      <c r="AM2294">
        <v>94.962477396385594</v>
      </c>
      <c r="AN2294">
        <v>0.99999997677406505</v>
      </c>
    </row>
    <row r="2295" spans="1:40" x14ac:dyDescent="0.25">
      <c r="A2295" t="str">
        <f>"20190303170543264"</f>
        <v>20190303170543264</v>
      </c>
      <c r="B2295" t="str">
        <f>"1551603943256681"</f>
        <v>1551603943256681</v>
      </c>
      <c r="C2295" t="s">
        <v>40</v>
      </c>
      <c r="D2295">
        <v>5.5271359999999996</v>
      </c>
      <c r="E2295">
        <v>0.33775729999999998</v>
      </c>
      <c r="F2295" t="s">
        <v>68</v>
      </c>
      <c r="G2295">
        <v>-512.82669999999996</v>
      </c>
      <c r="H2295">
        <v>4.4646019999999904</v>
      </c>
      <c r="I2295">
        <v>239.53469999999999</v>
      </c>
      <c r="J2295">
        <v>-479.37599999999998</v>
      </c>
      <c r="K2295">
        <v>1.134174</v>
      </c>
      <c r="L2295">
        <v>282.59969999999998</v>
      </c>
      <c r="M2295">
        <v>-0.90872750000000002</v>
      </c>
      <c r="N2295">
        <v>-1.6098080000000001E-2</v>
      </c>
      <c r="O2295">
        <v>-0.4170798</v>
      </c>
      <c r="P2295">
        <v>-0.85634509999999897</v>
      </c>
      <c r="Q2295">
        <v>0.18761839999999999</v>
      </c>
      <c r="R2295">
        <v>-0.4811164</v>
      </c>
      <c r="S2295">
        <v>-2.0263059999999999</v>
      </c>
      <c r="T2295">
        <v>0.20005229999999999</v>
      </c>
      <c r="U2295">
        <v>-2.5950319999999998</v>
      </c>
      <c r="V2295">
        <v>-8.6548760000000002E-2</v>
      </c>
      <c r="W2295">
        <v>0.20067389999999999</v>
      </c>
      <c r="X2295">
        <v>0.97582749999999996</v>
      </c>
      <c r="Y2295">
        <v>-0.46001520000000001</v>
      </c>
      <c r="Z2295">
        <v>-2.214559E-2</v>
      </c>
      <c r="AA2295">
        <v>0.88763479999999995</v>
      </c>
      <c r="AB2295">
        <v>34</v>
      </c>
      <c r="AC2295">
        <v>-33.450699999999898</v>
      </c>
      <c r="AD2295">
        <v>3.3304279999999902</v>
      </c>
      <c r="AE2295">
        <v>-43.064999999999998</v>
      </c>
      <c r="AF2295">
        <v>-25.092399133208801</v>
      </c>
      <c r="AG2295">
        <v>3.3304279999999902</v>
      </c>
      <c r="AH2295">
        <v>48.185631333258002</v>
      </c>
      <c r="AI2295">
        <v>86.492001886060905</v>
      </c>
      <c r="AJ2295">
        <v>117.50799563120199</v>
      </c>
      <c r="AK2295">
        <v>54.429544476397197</v>
      </c>
      <c r="AL2295">
        <v>78.423630440745697</v>
      </c>
      <c r="AM2295">
        <v>95.0684540765983</v>
      </c>
      <c r="AN2295">
        <v>1.0000000058774901</v>
      </c>
    </row>
    <row r="2296" spans="1:40" x14ac:dyDescent="0.25">
      <c r="A2296" t="str">
        <f>"20190303170543276"</f>
        <v>20190303170543276</v>
      </c>
      <c r="B2296" t="str">
        <f>"1551603943267417"</f>
        <v>1551603943267417</v>
      </c>
      <c r="C2296" t="s">
        <v>40</v>
      </c>
      <c r="D2296">
        <v>5.5284690000000003</v>
      </c>
      <c r="E2296">
        <v>0.33802409999999999</v>
      </c>
      <c r="F2296" t="s">
        <v>68</v>
      </c>
      <c r="G2296">
        <v>-512.82669999999996</v>
      </c>
      <c r="H2296">
        <v>4.4647870000000003</v>
      </c>
      <c r="I2296">
        <v>238.27099999999999</v>
      </c>
      <c r="J2296">
        <v>-479.53160000000003</v>
      </c>
      <c r="K2296">
        <v>1.134255</v>
      </c>
      <c r="L2296">
        <v>282.52089999999998</v>
      </c>
      <c r="M2296">
        <v>-0.90533260000000004</v>
      </c>
      <c r="N2296">
        <v>-1.6133680000000001E-2</v>
      </c>
      <c r="O2296">
        <v>-0.42439690000000002</v>
      </c>
      <c r="P2296">
        <v>-0.85200149999999997</v>
      </c>
      <c r="Q2296">
        <v>0.1869151</v>
      </c>
      <c r="R2296">
        <v>-0.48903600000000003</v>
      </c>
      <c r="S2296">
        <v>-1.9833369999999999</v>
      </c>
      <c r="T2296">
        <v>0.19747999999999999</v>
      </c>
      <c r="U2296">
        <v>-2.6282960000000002</v>
      </c>
      <c r="V2296">
        <v>-8.7684730000000002E-2</v>
      </c>
      <c r="W2296">
        <v>0.19995160000000001</v>
      </c>
      <c r="X2296">
        <v>0.97587440000000003</v>
      </c>
      <c r="Y2296">
        <v>-0.4674893</v>
      </c>
      <c r="Z2296">
        <v>-2.243038E-2</v>
      </c>
      <c r="AA2296">
        <v>0.88371409999999995</v>
      </c>
      <c r="AB2296">
        <v>34</v>
      </c>
      <c r="AC2296">
        <v>-33.295099999999898</v>
      </c>
      <c r="AD2296">
        <v>3.3305319999999998</v>
      </c>
      <c r="AE2296">
        <v>-44.249899999999997</v>
      </c>
      <c r="AF2296">
        <v>-25.840444421233698</v>
      </c>
      <c r="AG2296">
        <v>3.3305319999999998</v>
      </c>
      <c r="AH2296">
        <v>48.752678601466101</v>
      </c>
      <c r="AI2296">
        <v>86.545796447459296</v>
      </c>
      <c r="AJ2296">
        <v>117.924988675774</v>
      </c>
      <c r="AK2296">
        <v>55.2778860133756</v>
      </c>
      <c r="AL2296">
        <v>78.465871829874104</v>
      </c>
      <c r="AM2296">
        <v>95.134379795736507</v>
      </c>
      <c r="AN2296">
        <v>1.00000004939654</v>
      </c>
    </row>
    <row r="2297" spans="1:40" x14ac:dyDescent="0.25">
      <c r="A2297" t="str">
        <f>"20190303170543287"</f>
        <v>20190303170543287</v>
      </c>
      <c r="B2297" t="str">
        <f>"1551603943277177"</f>
        <v>1551603943277177</v>
      </c>
      <c r="C2297" t="s">
        <v>40</v>
      </c>
      <c r="D2297">
        <v>5.5535449999999997</v>
      </c>
      <c r="E2297">
        <v>0.33829740000000003</v>
      </c>
      <c r="F2297" t="s">
        <v>68</v>
      </c>
      <c r="G2297">
        <v>-512.82659999999998</v>
      </c>
      <c r="H2297">
        <v>4.4373469999999999</v>
      </c>
      <c r="I2297">
        <v>237.59229999999999</v>
      </c>
      <c r="J2297">
        <v>-479.67910000000001</v>
      </c>
      <c r="K2297">
        <v>1.1343259999999999</v>
      </c>
      <c r="L2297">
        <v>282.4452</v>
      </c>
      <c r="M2297">
        <v>-0.90203460000000002</v>
      </c>
      <c r="N2297">
        <v>-1.6166750000000001E-2</v>
      </c>
      <c r="O2297">
        <v>-0.4313611</v>
      </c>
      <c r="P2297">
        <v>-0.84789789999999998</v>
      </c>
      <c r="Q2297">
        <v>0.18584800000000001</v>
      </c>
      <c r="R2297">
        <v>-0.49651780000000001</v>
      </c>
      <c r="S2297">
        <v>-1.960205</v>
      </c>
      <c r="T2297">
        <v>0.194469</v>
      </c>
      <c r="U2297">
        <v>-2.645111</v>
      </c>
      <c r="V2297">
        <v>-8.8663660000000005E-2</v>
      </c>
      <c r="W2297">
        <v>0.19886989999999999</v>
      </c>
      <c r="X2297">
        <v>0.97600690000000001</v>
      </c>
      <c r="Y2297">
        <v>-0.46836</v>
      </c>
      <c r="Z2297">
        <v>-2.2809400000000001E-2</v>
      </c>
      <c r="AA2297">
        <v>0.88324329999999995</v>
      </c>
      <c r="AB2297">
        <v>34</v>
      </c>
      <c r="AC2297">
        <v>-33.147499999999901</v>
      </c>
      <c r="AD2297">
        <v>3.30302099999999</v>
      </c>
      <c r="AE2297">
        <v>-44.852899999999998</v>
      </c>
      <c r="AF2297">
        <v>-26.0722962951995</v>
      </c>
      <c r="AG2297">
        <v>3.30302099999999</v>
      </c>
      <c r="AH2297">
        <v>49.0822689744897</v>
      </c>
      <c r="AI2297">
        <v>86.598847052781394</v>
      </c>
      <c r="AJ2297">
        <v>117.97705348629999</v>
      </c>
      <c r="AK2297">
        <v>55.675342024232499</v>
      </c>
      <c r="AL2297">
        <v>78.529118068524895</v>
      </c>
      <c r="AM2297">
        <v>95.190688633952306</v>
      </c>
      <c r="AN2297">
        <v>0.999999975289107</v>
      </c>
    </row>
    <row r="2298" spans="1:40" x14ac:dyDescent="0.25">
      <c r="A2298" t="str">
        <f>"20190303170543302"</f>
        <v>20190303170543302</v>
      </c>
      <c r="B2298" t="str">
        <f>"1551603943296697"</f>
        <v>1551603943296697</v>
      </c>
      <c r="C2298" t="s">
        <v>40</v>
      </c>
      <c r="D2298">
        <v>5.5494379999999897</v>
      </c>
      <c r="E2298">
        <v>0.33903129999999998</v>
      </c>
      <c r="F2298" t="s">
        <v>68</v>
      </c>
      <c r="G2298">
        <v>-512.82659999999998</v>
      </c>
      <c r="H2298">
        <v>4.3909630000000002</v>
      </c>
      <c r="I2298">
        <v>236.9374</v>
      </c>
      <c r="J2298">
        <v>-479.87150000000003</v>
      </c>
      <c r="K2298">
        <v>1.134425</v>
      </c>
      <c r="L2298">
        <v>282.34449999999998</v>
      </c>
      <c r="M2298">
        <v>-0.89759800000000001</v>
      </c>
      <c r="N2298">
        <v>-1.6209379999999999E-2</v>
      </c>
      <c r="O2298">
        <v>-0.44051679999999999</v>
      </c>
      <c r="P2298">
        <v>-0.84252260000000001</v>
      </c>
      <c r="Q2298">
        <v>0.184805</v>
      </c>
      <c r="R2298">
        <v>-0.50596739999999996</v>
      </c>
      <c r="S2298">
        <v>-1.938202</v>
      </c>
      <c r="T2298">
        <v>0.19042529999999999</v>
      </c>
      <c r="U2298">
        <v>-2.6609189999999998</v>
      </c>
      <c r="V2298">
        <v>-8.9564959999999999E-2</v>
      </c>
      <c r="W2298">
        <v>0.19781979999999999</v>
      </c>
      <c r="X2298">
        <v>0.97613810000000001</v>
      </c>
      <c r="Y2298">
        <v>-0.46664909999999998</v>
      </c>
      <c r="Z2298">
        <v>-2.3346430000000001E-2</v>
      </c>
      <c r="AA2298">
        <v>0.88413439999999999</v>
      </c>
      <c r="AB2298">
        <v>34</v>
      </c>
      <c r="AC2298">
        <v>-32.955099999999902</v>
      </c>
      <c r="AD2298">
        <v>3.2565379999999999</v>
      </c>
      <c r="AE2298">
        <v>-45.4070999999999</v>
      </c>
      <c r="AF2298">
        <v>-26.155378201012699</v>
      </c>
      <c r="AG2298">
        <v>3.2565379999999999</v>
      </c>
      <c r="AH2298">
        <v>49.423032720847701</v>
      </c>
      <c r="AI2298">
        <v>86.666943945360302</v>
      </c>
      <c r="AJ2298">
        <v>117.888435537143</v>
      </c>
      <c r="AK2298">
        <v>56.012007747530703</v>
      </c>
      <c r="AL2298">
        <v>78.590505095678793</v>
      </c>
      <c r="AM2298">
        <v>95.242460559305499</v>
      </c>
      <c r="AN2298">
        <v>1.00000007280172</v>
      </c>
    </row>
    <row r="2299" spans="1:40" x14ac:dyDescent="0.25">
      <c r="A2299" t="str">
        <f>"20190303170543322"</f>
        <v>20190303170543322</v>
      </c>
      <c r="B2299" t="str">
        <f>"1551603943317192"</f>
        <v>1551603943317192</v>
      </c>
      <c r="C2299" t="s">
        <v>40</v>
      </c>
      <c r="D2299">
        <v>5.531523</v>
      </c>
      <c r="E2299">
        <v>0.33981850000000002</v>
      </c>
      <c r="F2299" t="s">
        <v>68</v>
      </c>
      <c r="G2299">
        <v>-512.82659999999998</v>
      </c>
      <c r="H2299">
        <v>4.2998570000000003</v>
      </c>
      <c r="I2299">
        <v>236.19399999999999</v>
      </c>
      <c r="J2299">
        <v>-480.11020000000002</v>
      </c>
      <c r="K2299">
        <v>1.1345419999999999</v>
      </c>
      <c r="L2299">
        <v>282.21530000000001</v>
      </c>
      <c r="M2299">
        <v>-0.89185579999999998</v>
      </c>
      <c r="N2299">
        <v>-1.6260460000000001E-2</v>
      </c>
      <c r="O2299">
        <v>-0.45202769999999998</v>
      </c>
      <c r="P2299">
        <v>-0.83476600000000001</v>
      </c>
      <c r="Q2299">
        <v>0.1839732</v>
      </c>
      <c r="R2299">
        <v>-0.51896019999999998</v>
      </c>
      <c r="S2299">
        <v>-1.912231</v>
      </c>
      <c r="T2299">
        <v>0.1836786</v>
      </c>
      <c r="U2299">
        <v>-2.6778870000000001</v>
      </c>
      <c r="V2299">
        <v>-9.2087080000000002E-2</v>
      </c>
      <c r="W2299">
        <v>0.1969283</v>
      </c>
      <c r="X2299">
        <v>0.97608360000000005</v>
      </c>
      <c r="Y2299">
        <v>-0.46360230000000002</v>
      </c>
      <c r="Z2299">
        <v>-2.3889199999999999E-2</v>
      </c>
      <c r="AA2299">
        <v>0.88572129999999905</v>
      </c>
      <c r="AB2299">
        <v>34</v>
      </c>
      <c r="AC2299">
        <v>-32.716399999999901</v>
      </c>
      <c r="AD2299">
        <v>3.1653150000000001</v>
      </c>
      <c r="AE2299">
        <v>-46.021299999999997</v>
      </c>
      <c r="AF2299">
        <v>-26.1768531585377</v>
      </c>
      <c r="AG2299">
        <v>3.1653150000000001</v>
      </c>
      <c r="AH2299">
        <v>49.8312237902352</v>
      </c>
      <c r="AI2299">
        <v>86.781423159823703</v>
      </c>
      <c r="AJ2299">
        <v>117.713406649663</v>
      </c>
      <c r="AK2299">
        <v>56.377280217880099</v>
      </c>
      <c r="AL2299">
        <v>78.642608307272695</v>
      </c>
      <c r="AM2299">
        <v>95.389528284191599</v>
      </c>
      <c r="AN2299">
        <v>0.99999998991638805</v>
      </c>
    </row>
    <row r="2300" spans="1:40" x14ac:dyDescent="0.25">
      <c r="A2300" t="str">
        <f>"20190303170543333"</f>
        <v>20190303170543333</v>
      </c>
      <c r="B2300" t="str">
        <f>"1551603943326953"</f>
        <v>1551603943326953</v>
      </c>
      <c r="C2300" t="s">
        <v>40</v>
      </c>
      <c r="D2300">
        <v>5.4998849999999999</v>
      </c>
      <c r="E2300">
        <v>0.34033720000000001</v>
      </c>
      <c r="F2300" t="s">
        <v>68</v>
      </c>
      <c r="G2300">
        <v>-512.82650000000001</v>
      </c>
      <c r="H2300">
        <v>4.2106379999999897</v>
      </c>
      <c r="I2300">
        <v>235.05269999999999</v>
      </c>
      <c r="J2300">
        <v>-480.27010000000001</v>
      </c>
      <c r="K2300">
        <v>1.134609</v>
      </c>
      <c r="L2300">
        <v>282.12610000000001</v>
      </c>
      <c r="M2300">
        <v>-0.88785840000000005</v>
      </c>
      <c r="N2300">
        <v>-1.629363E-2</v>
      </c>
      <c r="O2300">
        <v>-0.45982830000000002</v>
      </c>
      <c r="P2300">
        <v>-0.82969309999999996</v>
      </c>
      <c r="Q2300">
        <v>0.18436900000000001</v>
      </c>
      <c r="R2300">
        <v>-0.52689439999999998</v>
      </c>
      <c r="S2300">
        <v>-1.8747860000000001</v>
      </c>
      <c r="T2300">
        <v>0.1762763</v>
      </c>
      <c r="U2300">
        <v>-2.7026059999999998</v>
      </c>
      <c r="V2300">
        <v>-9.2928250000000004E-2</v>
      </c>
      <c r="W2300">
        <v>0.19731070000000001</v>
      </c>
      <c r="X2300">
        <v>0.97592659999999998</v>
      </c>
      <c r="Y2300">
        <v>-0.46789900000000001</v>
      </c>
      <c r="Z2300">
        <v>-2.3890729999999999E-2</v>
      </c>
      <c r="AA2300">
        <v>0.88345899999999999</v>
      </c>
      <c r="AB2300">
        <v>33</v>
      </c>
      <c r="AC2300">
        <v>-32.556399999999996</v>
      </c>
      <c r="AD2300">
        <v>3.0760289999999899</v>
      </c>
      <c r="AE2300">
        <v>-47.073399999999999</v>
      </c>
      <c r="AF2300">
        <v>-26.750453231585801</v>
      </c>
      <c r="AG2300">
        <v>3.0760289999999899</v>
      </c>
      <c r="AH2300">
        <v>50.412252352587501</v>
      </c>
      <c r="AI2300">
        <v>86.914785590957607</v>
      </c>
      <c r="AJ2300">
        <v>117.951939980673</v>
      </c>
      <c r="AK2300">
        <v>57.152811739800399</v>
      </c>
      <c r="AL2300">
        <v>78.620259456421905</v>
      </c>
      <c r="AM2300">
        <v>95.439334772707696</v>
      </c>
      <c r="AN2300">
        <v>0.99999995028505495</v>
      </c>
    </row>
    <row r="2301" spans="1:40" x14ac:dyDescent="0.25">
      <c r="A2301" t="str">
        <f>"20190303170543345"</f>
        <v>20190303170543345</v>
      </c>
      <c r="B2301" t="str">
        <f>"1551603943336715"</f>
        <v>1551603943336715</v>
      </c>
      <c r="C2301" t="s">
        <v>40</v>
      </c>
      <c r="D2301">
        <v>5.4273189999999998</v>
      </c>
      <c r="E2301">
        <v>0.3403313</v>
      </c>
      <c r="F2301" t="s">
        <v>68</v>
      </c>
      <c r="G2301">
        <v>-512.82650000000001</v>
      </c>
      <c r="H2301">
        <v>4.1981109999999999</v>
      </c>
      <c r="I2301">
        <v>234.3398</v>
      </c>
      <c r="J2301">
        <v>-480.4205</v>
      </c>
      <c r="K2301">
        <v>1.134679</v>
      </c>
      <c r="L2301">
        <v>282.04129999999998</v>
      </c>
      <c r="M2301">
        <v>-0.88401160000000001</v>
      </c>
      <c r="N2301">
        <v>-1.6323609999999999E-2</v>
      </c>
      <c r="O2301">
        <v>-0.46717969999999998</v>
      </c>
      <c r="P2301">
        <v>-0.82478119999999999</v>
      </c>
      <c r="Q2301">
        <v>0.1851313</v>
      </c>
      <c r="R2301">
        <v>-0.53428690000000001</v>
      </c>
      <c r="S2301">
        <v>-1.8513790000000001</v>
      </c>
      <c r="T2301">
        <v>0.17421439999999999</v>
      </c>
      <c r="U2301">
        <v>-2.717438</v>
      </c>
      <c r="V2301">
        <v>-9.3690949999999995E-2</v>
      </c>
      <c r="W2301">
        <v>0.1980586</v>
      </c>
      <c r="X2301">
        <v>0.97570219999999996</v>
      </c>
      <c r="Y2301">
        <v>-0.46801090000000001</v>
      </c>
      <c r="Z2301">
        <v>-2.4307329999999999E-2</v>
      </c>
      <c r="AA2301">
        <v>0.88338830000000002</v>
      </c>
      <c r="AB2301">
        <v>33</v>
      </c>
      <c r="AC2301">
        <v>-32.405999999999999</v>
      </c>
      <c r="AD2301">
        <v>3.0634320000000002</v>
      </c>
      <c r="AE2301">
        <v>-47.701499999999903</v>
      </c>
      <c r="AF2301">
        <v>-26.956787333589698</v>
      </c>
      <c r="AG2301">
        <v>3.0634320000000002</v>
      </c>
      <c r="AH2301">
        <v>50.795900173564497</v>
      </c>
      <c r="AI2301">
        <v>86.950626952388305</v>
      </c>
      <c r="AJ2301">
        <v>117.95436694083401</v>
      </c>
      <c r="AK2301">
        <v>57.5871207251217</v>
      </c>
      <c r="AL2301">
        <v>78.576545765099993</v>
      </c>
      <c r="AM2301">
        <v>95.484960078510795</v>
      </c>
      <c r="AN2301">
        <v>0.99999999311535104</v>
      </c>
    </row>
    <row r="2302" spans="1:40" x14ac:dyDescent="0.25">
      <c r="A2302" t="str">
        <f>"20190303170543357"</f>
        <v>20190303170543357</v>
      </c>
      <c r="B2302" t="str">
        <f>"1551603943347449"</f>
        <v>1551603943347449</v>
      </c>
      <c r="C2302" t="s">
        <v>40</v>
      </c>
      <c r="D2302">
        <v>5.4356470000000003</v>
      </c>
      <c r="E2302">
        <v>0.340472</v>
      </c>
      <c r="F2302" t="s">
        <v>68</v>
      </c>
      <c r="G2302">
        <v>-512.82659999999998</v>
      </c>
      <c r="H2302">
        <v>4.2657109999999996</v>
      </c>
      <c r="I2302">
        <v>233.54320000000001</v>
      </c>
      <c r="J2302">
        <v>-480.56790000000001</v>
      </c>
      <c r="K2302">
        <v>1.13474599999999</v>
      </c>
      <c r="L2302">
        <v>281.95589999999999</v>
      </c>
      <c r="M2302">
        <v>-0.8801293</v>
      </c>
      <c r="N2302">
        <v>-1.6351919999999999E-2</v>
      </c>
      <c r="O2302">
        <v>-0.4744525</v>
      </c>
      <c r="P2302">
        <v>-0.8199109</v>
      </c>
      <c r="Q2302">
        <v>0.18592510000000001</v>
      </c>
      <c r="R2302">
        <v>-0.54145900000000002</v>
      </c>
      <c r="S2302">
        <v>-1.8267519999999999</v>
      </c>
      <c r="T2302">
        <v>0.17650150000000001</v>
      </c>
      <c r="U2302">
        <v>-2.7338559999999998</v>
      </c>
      <c r="V2302">
        <v>-9.4298149999999997E-2</v>
      </c>
      <c r="W2302">
        <v>0.19884379999999999</v>
      </c>
      <c r="X2302">
        <v>0.97548400000000002</v>
      </c>
      <c r="Y2302">
        <v>-0.46869159999999999</v>
      </c>
      <c r="Z2302">
        <v>-2.5030170000000001E-2</v>
      </c>
      <c r="AA2302">
        <v>0.88300719999999999</v>
      </c>
      <c r="AB2302">
        <v>33</v>
      </c>
      <c r="AC2302">
        <v>-32.258699999999898</v>
      </c>
      <c r="AD2302">
        <v>3.1309650000000002</v>
      </c>
      <c r="AE2302">
        <v>-48.412699999999901</v>
      </c>
      <c r="AF2302">
        <v>-27.228995332771898</v>
      </c>
      <c r="AG2302">
        <v>3.1309650000000002</v>
      </c>
      <c r="AH2302">
        <v>51.219859734910898</v>
      </c>
      <c r="AI2302">
        <v>86.910458349382495</v>
      </c>
      <c r="AJ2302">
        <v>117.99556341506501</v>
      </c>
      <c r="AK2302">
        <v>58.092126488253903</v>
      </c>
      <c r="AL2302">
        <v>78.530644436858495</v>
      </c>
      <c r="AM2302">
        <v>95.521515749694302</v>
      </c>
      <c r="AN2302">
        <v>1.00000001607393</v>
      </c>
    </row>
    <row r="2303" spans="1:40" x14ac:dyDescent="0.25">
      <c r="A2303" t="str">
        <f>"20190303170543370"</f>
        <v>20190303170543370</v>
      </c>
      <c r="B2303" t="str">
        <f>"1551603943357209"</f>
        <v>1551603943357209</v>
      </c>
      <c r="C2303" t="s">
        <v>40</v>
      </c>
      <c r="D2303">
        <v>5.435638</v>
      </c>
      <c r="E2303">
        <v>0.3406843</v>
      </c>
      <c r="F2303" t="s">
        <v>48</v>
      </c>
      <c r="G2303">
        <v>-502.06900000000002</v>
      </c>
      <c r="H2303">
        <v>3.2599879999999999</v>
      </c>
      <c r="I2303">
        <v>249.17750000000001</v>
      </c>
      <c r="J2303">
        <v>-480.7328</v>
      </c>
      <c r="K2303">
        <v>1.1348149999999999</v>
      </c>
      <c r="L2303">
        <v>281.85860000000002</v>
      </c>
      <c r="M2303">
        <v>-0.87567659999999903</v>
      </c>
      <c r="N2303">
        <v>-1.6381920000000001E-2</v>
      </c>
      <c r="O2303">
        <v>-0.4826201</v>
      </c>
      <c r="P2303">
        <v>-0.81445009999999995</v>
      </c>
      <c r="Q2303">
        <v>0.1868272</v>
      </c>
      <c r="R2303">
        <v>-0.54933319999999997</v>
      </c>
      <c r="S2303">
        <v>-1.8031919999999999</v>
      </c>
      <c r="T2303">
        <v>0.1782339</v>
      </c>
      <c r="U2303">
        <v>-2.7489620000000001</v>
      </c>
      <c r="V2303">
        <v>-9.4783279999999998E-2</v>
      </c>
      <c r="W2303">
        <v>0.19974230000000001</v>
      </c>
      <c r="X2303">
        <v>0.97525329999999999</v>
      </c>
      <c r="Y2303">
        <v>-0.46800510000000001</v>
      </c>
      <c r="Z2303">
        <v>-2.5818089999999998E-2</v>
      </c>
      <c r="AA2303">
        <v>0.88334849999999998</v>
      </c>
      <c r="AB2303">
        <v>33</v>
      </c>
      <c r="AC2303">
        <v>-21.336200000000002</v>
      </c>
      <c r="AD2303">
        <v>2.12517299999999</v>
      </c>
      <c r="AE2303">
        <v>-32.681100000000001</v>
      </c>
      <c r="AF2303">
        <v>-18.269088476142599</v>
      </c>
      <c r="AG2303">
        <v>2.12517299999999</v>
      </c>
      <c r="AH2303">
        <v>34.358920624450803</v>
      </c>
      <c r="AI2303">
        <v>86.8740611848756</v>
      </c>
      <c r="AJ2303">
        <v>118.000164217326</v>
      </c>
      <c r="AK2303">
        <v>38.971930674606902</v>
      </c>
      <c r="AL2303">
        <v>78.478109310307403</v>
      </c>
      <c r="AM2303">
        <v>95.551049682524507</v>
      </c>
      <c r="AN2303">
        <v>0.99999992786886605</v>
      </c>
    </row>
    <row r="2304" spans="1:40" x14ac:dyDescent="0.25">
      <c r="A2304" t="str">
        <f>"20190303170543382"</f>
        <v>20190303170543382</v>
      </c>
      <c r="B2304" t="str">
        <f>"1551603943376730"</f>
        <v>1551603943376730</v>
      </c>
      <c r="C2304" t="s">
        <v>40</v>
      </c>
      <c r="D2304">
        <v>5.405138</v>
      </c>
      <c r="E2304">
        <v>0.34134379999999998</v>
      </c>
      <c r="F2304" t="s">
        <v>68</v>
      </c>
      <c r="G2304">
        <v>-512.82659999999998</v>
      </c>
      <c r="H2304">
        <v>4.3909599999999998</v>
      </c>
      <c r="I2304">
        <v>231.92150000000001</v>
      </c>
      <c r="J2304">
        <v>-480.88510000000002</v>
      </c>
      <c r="K2304">
        <v>1.1348780000000001</v>
      </c>
      <c r="L2304">
        <v>281.76740000000001</v>
      </c>
      <c r="M2304">
        <v>-0.87146250000000003</v>
      </c>
      <c r="N2304">
        <v>-1.6408240000000001E-2</v>
      </c>
      <c r="O2304">
        <v>-0.4901876</v>
      </c>
      <c r="P2304">
        <v>-0.80947720000000001</v>
      </c>
      <c r="Q2304">
        <v>0.18773609999999999</v>
      </c>
      <c r="R2304">
        <v>-0.55632869999999901</v>
      </c>
      <c r="S2304">
        <v>-1.7770999999999999</v>
      </c>
      <c r="T2304">
        <v>0.18030209999999999</v>
      </c>
      <c r="U2304">
        <v>-2.7651059999999998</v>
      </c>
      <c r="V2304">
        <v>-9.4897200000000001E-2</v>
      </c>
      <c r="W2304">
        <v>0.20065849999999999</v>
      </c>
      <c r="X2304">
        <v>0.97505419999999998</v>
      </c>
      <c r="Y2304">
        <v>-0.46860839999999998</v>
      </c>
      <c r="Z2304">
        <v>-2.6572180000000001E-2</v>
      </c>
      <c r="AA2304">
        <v>0.88300630000000002</v>
      </c>
      <c r="AB2304">
        <v>33</v>
      </c>
      <c r="AC2304">
        <v>-31.941499999999898</v>
      </c>
      <c r="AD2304">
        <v>3.2560820000000001</v>
      </c>
      <c r="AE2304">
        <v>-49.8459</v>
      </c>
      <c r="AF2304">
        <v>-27.701450403631199</v>
      </c>
      <c r="AG2304">
        <v>3.2560820000000001</v>
      </c>
      <c r="AH2304">
        <v>52.119041628335701</v>
      </c>
      <c r="AI2304">
        <v>86.842425768488695</v>
      </c>
      <c r="AJ2304">
        <v>117.990798482885</v>
      </c>
      <c r="AK2304">
        <v>59.113170484349403</v>
      </c>
      <c r="AL2304">
        <v>78.424531076881294</v>
      </c>
      <c r="AM2304">
        <v>95.558807477750506</v>
      </c>
      <c r="AN2304">
        <v>1.00000000256386</v>
      </c>
    </row>
    <row r="2305" spans="1:40" x14ac:dyDescent="0.25">
      <c r="A2305" t="str">
        <f>"20190303170543395"</f>
        <v>20190303170543395</v>
      </c>
      <c r="B2305" t="str">
        <f>"1551603943387466"</f>
        <v>1551603943387466</v>
      </c>
      <c r="C2305" t="s">
        <v>40</v>
      </c>
      <c r="D2305">
        <v>5.4574129999999998</v>
      </c>
      <c r="E2305">
        <v>0.34167350000000002</v>
      </c>
      <c r="F2305" t="s">
        <v>68</v>
      </c>
      <c r="G2305">
        <v>-512.82659999999998</v>
      </c>
      <c r="H2305">
        <v>4.3964610000000004</v>
      </c>
      <c r="I2305">
        <v>231.28450000000001</v>
      </c>
      <c r="J2305">
        <v>-481.04410000000001</v>
      </c>
      <c r="K2305">
        <v>1.1349320000000001</v>
      </c>
      <c r="L2305">
        <v>281.66930000000002</v>
      </c>
      <c r="M2305">
        <v>-0.86692999999999998</v>
      </c>
      <c r="N2305">
        <v>-1.64336E-2</v>
      </c>
      <c r="O2305">
        <v>-0.49815890000000002</v>
      </c>
      <c r="P2305">
        <v>-0.8040562</v>
      </c>
      <c r="Q2305">
        <v>0.18883539999999999</v>
      </c>
      <c r="R2305">
        <v>-0.56376839999999995</v>
      </c>
      <c r="S2305">
        <v>-1.7565310000000001</v>
      </c>
      <c r="T2305">
        <v>0.17936440000000001</v>
      </c>
      <c r="U2305">
        <v>-2.776154</v>
      </c>
      <c r="V2305">
        <v>-9.5136059999999995E-2</v>
      </c>
      <c r="W2305">
        <v>0.20176079999999999</v>
      </c>
      <c r="X2305">
        <v>0.97480339999999999</v>
      </c>
      <c r="Y2305">
        <v>-0.46677269999999998</v>
      </c>
      <c r="Z2305">
        <v>-2.7165149999999999E-2</v>
      </c>
      <c r="AA2305">
        <v>0.88395999999999997</v>
      </c>
      <c r="AB2305">
        <v>33</v>
      </c>
      <c r="AC2305">
        <v>-31.782499999999899</v>
      </c>
      <c r="AD2305">
        <v>3.2615289999999999</v>
      </c>
      <c r="AE2305">
        <v>-50.384799999999998</v>
      </c>
      <c r="AF2305">
        <v>-27.767885147927899</v>
      </c>
      <c r="AG2305">
        <v>3.2615289999999999</v>
      </c>
      <c r="AH2305">
        <v>52.502572012427599</v>
      </c>
      <c r="AI2305">
        <v>86.856816461177601</v>
      </c>
      <c r="AJ2305">
        <v>117.873744948826</v>
      </c>
      <c r="AK2305">
        <v>59.482880603804801</v>
      </c>
      <c r="AL2305">
        <v>78.3600550173215</v>
      </c>
      <c r="AM2305">
        <v>95.574135984750797</v>
      </c>
      <c r="AN2305">
        <v>0.99999997949026098</v>
      </c>
    </row>
    <row r="2306" spans="1:40" x14ac:dyDescent="0.25">
      <c r="A2306" t="str">
        <f>"20190303170543406"</f>
        <v>20190303170543406</v>
      </c>
      <c r="B2306" t="str">
        <f>"1551603943397225"</f>
        <v>1551603943397225</v>
      </c>
      <c r="C2306" t="s">
        <v>40</v>
      </c>
      <c r="D2306">
        <v>5.4630929999999998</v>
      </c>
      <c r="E2306">
        <v>0.3420725</v>
      </c>
      <c r="F2306" t="s">
        <v>68</v>
      </c>
      <c r="G2306">
        <v>-512.82659999999998</v>
      </c>
      <c r="H2306">
        <v>4.4463949999999999</v>
      </c>
      <c r="I2306">
        <v>230.47929999999999</v>
      </c>
      <c r="J2306">
        <v>-481.18540000000002</v>
      </c>
      <c r="K2306">
        <v>1.134981</v>
      </c>
      <c r="L2306">
        <v>281.58100000000002</v>
      </c>
      <c r="M2306">
        <v>-0.86281759999999996</v>
      </c>
      <c r="N2306">
        <v>-1.6454759999999999E-2</v>
      </c>
      <c r="O2306">
        <v>-0.50524760000000002</v>
      </c>
      <c r="P2306">
        <v>-0.79916599999999904</v>
      </c>
      <c r="Q2306">
        <v>0.1894681</v>
      </c>
      <c r="R2306">
        <v>-0.57046989999999997</v>
      </c>
      <c r="S2306">
        <v>-1.7323299999999999</v>
      </c>
      <c r="T2306">
        <v>0.1804963</v>
      </c>
      <c r="U2306">
        <v>-2.7901310000000001</v>
      </c>
      <c r="V2306">
        <v>-9.5412899999999995E-2</v>
      </c>
      <c r="W2306">
        <v>0.20239360000000001</v>
      </c>
      <c r="X2306">
        <v>0.97464519999999999</v>
      </c>
      <c r="Y2306">
        <v>-0.4670532</v>
      </c>
      <c r="Z2306">
        <v>-2.7821350000000002E-2</v>
      </c>
      <c r="AA2306">
        <v>0.8837914</v>
      </c>
      <c r="AB2306">
        <v>33</v>
      </c>
      <c r="AC2306">
        <v>-31.641199999999898</v>
      </c>
      <c r="AD2306">
        <v>3.3114140000000001</v>
      </c>
      <c r="AE2306">
        <v>-51.101699999999902</v>
      </c>
      <c r="AF2306">
        <v>-28.0235477311046</v>
      </c>
      <c r="AG2306">
        <v>3.3114140000000001</v>
      </c>
      <c r="AH2306">
        <v>52.966013423731702</v>
      </c>
      <c r="AI2306">
        <v>86.836965191458702</v>
      </c>
      <c r="AJ2306">
        <v>117.882666191022</v>
      </c>
      <c r="AK2306">
        <v>60.014025595020897</v>
      </c>
      <c r="AL2306">
        <v>78.323035076798107</v>
      </c>
      <c r="AM2306">
        <v>95.591155410920607</v>
      </c>
      <c r="AN2306">
        <v>1.0000000283452</v>
      </c>
    </row>
    <row r="2307" spans="1:40" x14ac:dyDescent="0.25">
      <c r="A2307" t="str">
        <f>"20190303170543420"</f>
        <v>20190303170543420</v>
      </c>
      <c r="B2307" t="str">
        <f>"1551603943416745"</f>
        <v>1551603943416745</v>
      </c>
      <c r="C2307" t="s">
        <v>40</v>
      </c>
      <c r="D2307">
        <v>5.4772189999999998</v>
      </c>
      <c r="E2307">
        <v>0.3429102</v>
      </c>
      <c r="F2307" t="s">
        <v>68</v>
      </c>
      <c r="G2307">
        <v>-512.82669999999996</v>
      </c>
      <c r="H2307">
        <v>4.4601259999999998</v>
      </c>
      <c r="I2307">
        <v>229.75819999999999</v>
      </c>
      <c r="J2307">
        <v>-481.3646</v>
      </c>
      <c r="K2307">
        <v>1.13503</v>
      </c>
      <c r="L2307">
        <v>281.46660000000003</v>
      </c>
      <c r="M2307">
        <v>-0.85746290000000003</v>
      </c>
      <c r="N2307">
        <v>-1.647931E-2</v>
      </c>
      <c r="O2307">
        <v>-0.51428200000000002</v>
      </c>
      <c r="P2307">
        <v>-0.7924061</v>
      </c>
      <c r="Q2307">
        <v>0.1901166</v>
      </c>
      <c r="R2307">
        <v>-0.57961079999999998</v>
      </c>
      <c r="S2307">
        <v>-1.710968</v>
      </c>
      <c r="T2307">
        <v>0.17980639999999901</v>
      </c>
      <c r="U2307">
        <v>-2.8022459999999998</v>
      </c>
      <c r="V2307">
        <v>-9.6498340000000002E-2</v>
      </c>
      <c r="W2307">
        <v>0.20301559999999999</v>
      </c>
      <c r="X2307">
        <v>0.97440890000000002</v>
      </c>
      <c r="Y2307">
        <v>-0.46438170000000001</v>
      </c>
      <c r="Z2307">
        <v>-2.8528290000000001E-2</v>
      </c>
      <c r="AA2307">
        <v>0.88517559999999995</v>
      </c>
      <c r="AB2307">
        <v>33</v>
      </c>
      <c r="AC2307">
        <v>-31.4620999999999</v>
      </c>
      <c r="AD2307">
        <v>3.3250959999999998</v>
      </c>
      <c r="AE2307">
        <v>-51.708399999999997</v>
      </c>
      <c r="AF2307">
        <v>-28.076733296050001</v>
      </c>
      <c r="AG2307">
        <v>3.3250959999999998</v>
      </c>
      <c r="AH2307">
        <v>53.416351286392597</v>
      </c>
      <c r="AI2307">
        <v>86.846148869095998</v>
      </c>
      <c r="AJ2307">
        <v>117.72733935694301</v>
      </c>
      <c r="AK2307">
        <v>60.437288164990001</v>
      </c>
      <c r="AL2307">
        <v>78.286641043078902</v>
      </c>
      <c r="AM2307">
        <v>95.655714176925997</v>
      </c>
      <c r="AN2307">
        <v>0.99999998393266198</v>
      </c>
    </row>
    <row r="2308" spans="1:40" x14ac:dyDescent="0.25">
      <c r="A2308" t="str">
        <f>"20190303170543433"</f>
        <v>20190303170543433</v>
      </c>
      <c r="B2308" t="str">
        <f>"1551603943427482"</f>
        <v>1551603943427482</v>
      </c>
      <c r="C2308" t="s">
        <v>40</v>
      </c>
      <c r="D2308">
        <v>5.4809039999999998</v>
      </c>
      <c r="E2308">
        <v>0.34335870000000002</v>
      </c>
      <c r="F2308" t="s">
        <v>68</v>
      </c>
      <c r="G2308">
        <v>-512.82659999999998</v>
      </c>
      <c r="H2308">
        <v>4.408792</v>
      </c>
      <c r="I2308">
        <v>228.84460000000001</v>
      </c>
      <c r="J2308">
        <v>-481.505</v>
      </c>
      <c r="K2308">
        <v>1.1350640000000001</v>
      </c>
      <c r="L2308">
        <v>281.37439999999998</v>
      </c>
      <c r="M2308">
        <v>-0.85314639999999997</v>
      </c>
      <c r="N2308">
        <v>-1.6496730000000001E-2</v>
      </c>
      <c r="O2308">
        <v>-0.5214107</v>
      </c>
      <c r="P2308">
        <v>-0.78753319999999905</v>
      </c>
      <c r="Q2308">
        <v>0.1906929</v>
      </c>
      <c r="R2308">
        <v>-0.58602719999999997</v>
      </c>
      <c r="S2308">
        <v>-1.6838679999999999</v>
      </c>
      <c r="T2308">
        <v>0.17521639999999999</v>
      </c>
      <c r="U2308">
        <v>-2.8163450000000001</v>
      </c>
      <c r="V2308">
        <v>-9.6398979999999995E-2</v>
      </c>
      <c r="W2308">
        <v>0.2036038</v>
      </c>
      <c r="X2308">
        <v>0.97429600000000005</v>
      </c>
      <c r="Y2308">
        <v>-0.46521839999999998</v>
      </c>
      <c r="Z2308">
        <v>-2.864941E-2</v>
      </c>
      <c r="AA2308">
        <v>0.88473219999999997</v>
      </c>
      <c r="AB2308">
        <v>33</v>
      </c>
      <c r="AC2308">
        <v>-31.321599999999901</v>
      </c>
      <c r="AD2308">
        <v>3.27372799999999</v>
      </c>
      <c r="AE2308">
        <v>-52.529799999999902</v>
      </c>
      <c r="AF2308">
        <v>-28.406675873537498</v>
      </c>
      <c r="AG2308">
        <v>3.27372799999999</v>
      </c>
      <c r="AH2308">
        <v>53.964251716342901</v>
      </c>
      <c r="AI2308">
        <v>86.927224488327695</v>
      </c>
      <c r="AJ2308">
        <v>117.762230443834</v>
      </c>
      <c r="AK2308">
        <v>61.0720639286656</v>
      </c>
      <c r="AL2308">
        <v>78.252220770227794</v>
      </c>
      <c r="AM2308">
        <v>95.650578908111001</v>
      </c>
      <c r="AN2308">
        <v>0.99999998316773997</v>
      </c>
    </row>
    <row r="2309" spans="1:40" x14ac:dyDescent="0.25">
      <c r="A2309" t="str">
        <f>"20190303170543444"</f>
        <v>20190303170543444</v>
      </c>
      <c r="B2309" t="str">
        <f>"1551603943437241"</f>
        <v>1551603943437241</v>
      </c>
      <c r="C2309" t="s">
        <v>40</v>
      </c>
      <c r="D2309">
        <v>5.4308509999999997</v>
      </c>
      <c r="E2309">
        <v>0.34335870000000002</v>
      </c>
      <c r="F2309" t="s">
        <v>68</v>
      </c>
      <c r="G2309">
        <v>-512.82659999999998</v>
      </c>
      <c r="H2309">
        <v>4.4120140000000001</v>
      </c>
      <c r="I2309">
        <v>228.1207</v>
      </c>
      <c r="J2309">
        <v>-481.63760000000002</v>
      </c>
      <c r="K2309">
        <v>1.135089</v>
      </c>
      <c r="L2309">
        <v>281.28680000000003</v>
      </c>
      <c r="M2309">
        <v>-0.8490065</v>
      </c>
      <c r="N2309">
        <v>-1.6512329999999999E-2</v>
      </c>
      <c r="O2309">
        <v>-0.52812440000000005</v>
      </c>
      <c r="P2309">
        <v>-0.78288389999999997</v>
      </c>
      <c r="Q2309">
        <v>0.19139349999999999</v>
      </c>
      <c r="R2309">
        <v>-0.59199789999999997</v>
      </c>
      <c r="S2309">
        <v>-1.6630860000000001</v>
      </c>
      <c r="T2309">
        <v>0.1739993</v>
      </c>
      <c r="U2309">
        <v>-2.8276059999999998</v>
      </c>
      <c r="V2309">
        <v>-9.6248700000000006E-2</v>
      </c>
      <c r="W2309">
        <v>0.2043171</v>
      </c>
      <c r="X2309">
        <v>0.97416159999999996</v>
      </c>
      <c r="Y2309">
        <v>-0.46461029999999998</v>
      </c>
      <c r="Z2309">
        <v>-2.9065420000000002E-2</v>
      </c>
      <c r="AA2309">
        <v>0.88503809999999905</v>
      </c>
      <c r="AB2309">
        <v>33</v>
      </c>
      <c r="AC2309">
        <v>-31.188999999999901</v>
      </c>
      <c r="AD2309">
        <v>3.2769249999999999</v>
      </c>
      <c r="AE2309">
        <v>-53.1661</v>
      </c>
      <c r="AF2309">
        <v>-28.589796817044</v>
      </c>
      <c r="AG2309">
        <v>3.2769249999999999</v>
      </c>
      <c r="AH2309">
        <v>54.411631661182298</v>
      </c>
      <c r="AI2309">
        <v>86.948263204158593</v>
      </c>
      <c r="AJ2309">
        <v>117.71902514460299</v>
      </c>
      <c r="AK2309">
        <v>61.552744695323398</v>
      </c>
      <c r="AL2309">
        <v>78.210475012481496</v>
      </c>
      <c r="AM2309">
        <v>95.642600233154596</v>
      </c>
      <c r="AN2309">
        <v>1.0000000562593201</v>
      </c>
    </row>
    <row r="2310" spans="1:40" x14ac:dyDescent="0.25">
      <c r="A2310" t="str">
        <f>"20190303170543454"</f>
        <v>20190303170543454</v>
      </c>
      <c r="B2310" t="str">
        <f>"1551603943447001"</f>
        <v>1551603943447001</v>
      </c>
      <c r="C2310" t="s">
        <v>40</v>
      </c>
      <c r="D2310">
        <v>5.5331910000000004</v>
      </c>
      <c r="E2310">
        <v>0.36302849999999998</v>
      </c>
      <c r="F2310" t="s">
        <v>68</v>
      </c>
      <c r="G2310">
        <v>-512.82669999999996</v>
      </c>
      <c r="H2310">
        <v>4.4875030000000002</v>
      </c>
      <c r="I2310">
        <v>227.3056</v>
      </c>
      <c r="J2310">
        <v>-481.77510000000001</v>
      </c>
      <c r="K2310">
        <v>1.1351070000000001</v>
      </c>
      <c r="L2310">
        <v>281.19330000000002</v>
      </c>
      <c r="M2310">
        <v>-0.84460020000000002</v>
      </c>
      <c r="N2310">
        <v>-1.6526869999999999E-2</v>
      </c>
      <c r="O2310">
        <v>-0.53514240000000002</v>
      </c>
      <c r="P2310">
        <v>-0.77829150000000002</v>
      </c>
      <c r="Q2310">
        <v>0.19243859999999999</v>
      </c>
      <c r="R2310">
        <v>-0.59768679999999996</v>
      </c>
      <c r="S2310">
        <v>-1.6410830000000001</v>
      </c>
      <c r="T2310">
        <v>0.17639779999999999</v>
      </c>
      <c r="U2310">
        <v>-2.8403320000000001</v>
      </c>
      <c r="V2310">
        <v>-9.5457860000000005E-2</v>
      </c>
      <c r="W2310">
        <v>0.20539660000000001</v>
      </c>
      <c r="X2310">
        <v>0.97401230000000005</v>
      </c>
      <c r="Y2310">
        <v>-0.46414519999999998</v>
      </c>
      <c r="Z2310">
        <v>-2.9850680000000001E-2</v>
      </c>
      <c r="AA2310">
        <v>0.88525599999999904</v>
      </c>
      <c r="AB2310">
        <v>33</v>
      </c>
      <c r="AC2310">
        <v>-31.051599999999901</v>
      </c>
      <c r="AD2310">
        <v>3.3523960000000002</v>
      </c>
      <c r="AE2310">
        <v>-53.887700000000002</v>
      </c>
      <c r="AF2310">
        <v>-28.8167554279486</v>
      </c>
      <c r="AG2310">
        <v>3.3523960000000002</v>
      </c>
      <c r="AH2310">
        <v>54.911757793005997</v>
      </c>
      <c r="AI2310">
        <v>86.905664819149294</v>
      </c>
      <c r="AJ2310">
        <v>117.689723920589</v>
      </c>
      <c r="AK2310">
        <v>62.104308193979499</v>
      </c>
      <c r="AL2310">
        <v>78.147282945260997</v>
      </c>
      <c r="AM2310">
        <v>95.597385025322197</v>
      </c>
      <c r="AN2310">
        <v>0.99999996343931397</v>
      </c>
    </row>
    <row r="2311" spans="1:40" x14ac:dyDescent="0.25">
      <c r="A2311" t="str">
        <f>"20190303170543466"</f>
        <v>20190303170543466</v>
      </c>
      <c r="B2311" t="str">
        <f>"1551603943456761"</f>
        <v>1551603943456761</v>
      </c>
      <c r="C2311" t="s">
        <v>40</v>
      </c>
      <c r="D2311">
        <v>5.4459090000000003</v>
      </c>
      <c r="E2311">
        <v>0.36195769999999999</v>
      </c>
      <c r="F2311" t="s">
        <v>68</v>
      </c>
      <c r="G2311">
        <v>-512.82600000000002</v>
      </c>
      <c r="H2311">
        <v>2.7058239999999998</v>
      </c>
      <c r="I2311">
        <v>231.828</v>
      </c>
      <c r="J2311">
        <v>-481.90530000000001</v>
      </c>
      <c r="K2311">
        <v>1.1351199999999999</v>
      </c>
      <c r="L2311">
        <v>281.10390000000001</v>
      </c>
      <c r="M2311">
        <v>-0.840360199999999</v>
      </c>
      <c r="N2311">
        <v>-1.6539870000000002E-2</v>
      </c>
      <c r="O2311">
        <v>-0.54177600000000004</v>
      </c>
      <c r="P2311">
        <v>-0.77369309999999902</v>
      </c>
      <c r="Q2311">
        <v>0.192523</v>
      </c>
      <c r="R2311">
        <v>-0.6036009</v>
      </c>
      <c r="S2311">
        <v>-1.7258910000000001</v>
      </c>
      <c r="T2311">
        <v>8.7307930000000006E-2</v>
      </c>
      <c r="U2311">
        <v>-2.7438349999999998</v>
      </c>
      <c r="V2311">
        <v>-9.5236139999999997E-2</v>
      </c>
      <c r="W2311">
        <v>0.2054965</v>
      </c>
      <c r="X2311">
        <v>0.97401300000000002</v>
      </c>
      <c r="Y2311">
        <v>-0.4231974</v>
      </c>
      <c r="Z2311">
        <v>-2.1609179999999999E-2</v>
      </c>
      <c r="AA2311">
        <v>0.90577980000000002</v>
      </c>
      <c r="AB2311">
        <v>33</v>
      </c>
      <c r="AC2311">
        <v>-30.9207</v>
      </c>
      <c r="AD2311">
        <v>1.5707040000000001</v>
      </c>
      <c r="AE2311">
        <v>-49.2759</v>
      </c>
      <c r="AF2311">
        <v>-24.6428198024939</v>
      </c>
      <c r="AG2311">
        <v>1.5707040000000001</v>
      </c>
      <c r="AH2311">
        <v>52.649849095322303</v>
      </c>
      <c r="AI2311">
        <v>88.452254507715494</v>
      </c>
      <c r="AJ2311">
        <v>115.0819957603</v>
      </c>
      <c r="AK2311">
        <v>58.152749622300902</v>
      </c>
      <c r="AL2311">
        <v>78.141435125121902</v>
      </c>
      <c r="AM2311">
        <v>95.584462266712805</v>
      </c>
      <c r="AN2311">
        <v>1.00000002902167</v>
      </c>
    </row>
    <row r="2312" spans="1:40" x14ac:dyDescent="0.25">
      <c r="A2312" t="str">
        <f>"20190303170543477"</f>
        <v>20190303170543477</v>
      </c>
      <c r="B2312" t="str">
        <f>"1551603943467497"</f>
        <v>1551603943467497</v>
      </c>
      <c r="C2312" t="s">
        <v>40</v>
      </c>
      <c r="D2312">
        <v>5.5137510000000001</v>
      </c>
      <c r="E2312">
        <v>0.36151810000000001</v>
      </c>
      <c r="F2312" t="s">
        <v>68</v>
      </c>
      <c r="G2312">
        <v>-512.8261</v>
      </c>
      <c r="H2312">
        <v>2.8527999999999998</v>
      </c>
      <c r="I2312">
        <v>230.8005</v>
      </c>
      <c r="J2312">
        <v>-482.04809999999998</v>
      </c>
      <c r="K2312">
        <v>1.1351359999999999</v>
      </c>
      <c r="L2312">
        <v>281.00369999999998</v>
      </c>
      <c r="M2312">
        <v>-0.83560230000000002</v>
      </c>
      <c r="N2312">
        <v>-1.6552819999999999E-2</v>
      </c>
      <c r="O2312">
        <v>-0.54908570000000001</v>
      </c>
      <c r="P2312">
        <v>-0.76829879999999995</v>
      </c>
      <c r="Q2312">
        <v>0.1924681</v>
      </c>
      <c r="R2312">
        <v>-0.61046979999999995</v>
      </c>
      <c r="S2312">
        <v>-1.6984250000000001</v>
      </c>
      <c r="T2312">
        <v>9.4352359999999996E-2</v>
      </c>
      <c r="U2312">
        <v>-2.7630620000000001</v>
      </c>
      <c r="V2312">
        <v>-9.5419749999999998E-2</v>
      </c>
      <c r="W2312">
        <v>0.2054433</v>
      </c>
      <c r="X2312">
        <v>0.97400620000000004</v>
      </c>
      <c r="Y2312">
        <v>-0.42467060000000001</v>
      </c>
      <c r="Z2312">
        <v>-2.2721399999999999E-2</v>
      </c>
      <c r="AA2312">
        <v>0.90506279999999995</v>
      </c>
      <c r="AB2312">
        <v>33</v>
      </c>
      <c r="AC2312">
        <v>-30.777999999999999</v>
      </c>
      <c r="AD2312">
        <v>1.7176639999999901</v>
      </c>
      <c r="AE2312">
        <v>-50.203199999999903</v>
      </c>
      <c r="AF2312">
        <v>-25.032280251543799</v>
      </c>
      <c r="AG2312">
        <v>1.7176639999999901</v>
      </c>
      <c r="AH2312">
        <v>53.246016777299801</v>
      </c>
      <c r="AI2312">
        <v>88.327795257377005</v>
      </c>
      <c r="AJ2312">
        <v>115.17938740006301</v>
      </c>
      <c r="AK2312">
        <v>58.861733977663398</v>
      </c>
      <c r="AL2312">
        <v>78.144549100540999</v>
      </c>
      <c r="AM2312">
        <v>95.595199361988307</v>
      </c>
      <c r="AN2312">
        <v>0.99999997792169604</v>
      </c>
    </row>
    <row r="2313" spans="1:40" x14ac:dyDescent="0.25">
      <c r="A2313" t="str">
        <f>"20190303170543490"</f>
        <v>20190303170543490</v>
      </c>
      <c r="B2313" t="str">
        <f>"1551603943476718"</f>
        <v>1551603943476718</v>
      </c>
      <c r="C2313" t="s">
        <v>40</v>
      </c>
      <c r="D2313">
        <v>5.3539469999999998</v>
      </c>
      <c r="E2313">
        <v>0.359541</v>
      </c>
      <c r="F2313" t="s">
        <v>68</v>
      </c>
      <c r="G2313">
        <v>-512.8261</v>
      </c>
      <c r="H2313">
        <v>2.9681649999999999</v>
      </c>
      <c r="I2313">
        <v>229.7842</v>
      </c>
      <c r="J2313">
        <v>-482.17669999999998</v>
      </c>
      <c r="K2313">
        <v>1.135149</v>
      </c>
      <c r="L2313">
        <v>280.91180000000003</v>
      </c>
      <c r="M2313">
        <v>-0.83123019999999903</v>
      </c>
      <c r="N2313">
        <v>-1.6563580000000001E-2</v>
      </c>
      <c r="O2313">
        <v>-0.5556818</v>
      </c>
      <c r="P2313">
        <v>-0.76326930000000004</v>
      </c>
      <c r="Q2313">
        <v>0.19217629999999999</v>
      </c>
      <c r="R2313">
        <v>-0.61683769999999905</v>
      </c>
      <c r="S2313">
        <v>-1.67068499999999</v>
      </c>
      <c r="T2313">
        <v>9.9503159999999993E-2</v>
      </c>
      <c r="U2313">
        <v>-2.7802730000000002</v>
      </c>
      <c r="V2313">
        <v>-9.5769519999999997E-2</v>
      </c>
      <c r="W2313">
        <v>0.20514650000000001</v>
      </c>
      <c r="X2313">
        <v>0.97403439999999997</v>
      </c>
      <c r="Y2313">
        <v>-0.42663309999999999</v>
      </c>
      <c r="Z2313">
        <v>-2.361545E-2</v>
      </c>
      <c r="AA2313">
        <v>0.90411649999999999</v>
      </c>
      <c r="AB2313">
        <v>33</v>
      </c>
      <c r="AC2313">
        <v>-30.6494</v>
      </c>
      <c r="AD2313">
        <v>1.833016</v>
      </c>
      <c r="AE2313">
        <v>-51.127600000000001</v>
      </c>
      <c r="AF2313">
        <v>-25.446920908502001</v>
      </c>
      <c r="AG2313">
        <v>1.833016</v>
      </c>
      <c r="AH2313">
        <v>53.843857979506502</v>
      </c>
      <c r="AI2313">
        <v>88.237053401758601</v>
      </c>
      <c r="AJ2313">
        <v>115.295690887642</v>
      </c>
      <c r="AK2313">
        <v>59.582436787169698</v>
      </c>
      <c r="AL2313">
        <v>78.161924246877206</v>
      </c>
      <c r="AM2313">
        <v>95.615416690254307</v>
      </c>
      <c r="AN2313">
        <v>0.99999994990331897</v>
      </c>
    </row>
    <row r="2314" spans="1:40" x14ac:dyDescent="0.25">
      <c r="A2314" t="str">
        <f>"20190303170543504"</f>
        <v>20190303170543504</v>
      </c>
      <c r="B2314" t="str">
        <f>"1551603943497214"</f>
        <v>1551603943497214</v>
      </c>
      <c r="C2314" t="s">
        <v>40</v>
      </c>
      <c r="D2314">
        <v>5.4052069999999999</v>
      </c>
      <c r="E2314">
        <v>0.35900490000000002</v>
      </c>
      <c r="F2314" t="s">
        <v>68</v>
      </c>
      <c r="G2314">
        <v>-512.82619999999997</v>
      </c>
      <c r="H2314">
        <v>3.3390249999999999</v>
      </c>
      <c r="I2314">
        <v>228.3724</v>
      </c>
      <c r="J2314">
        <v>-482.34879999999998</v>
      </c>
      <c r="K2314">
        <v>1.1351719999999901</v>
      </c>
      <c r="L2314">
        <v>280.78710000000001</v>
      </c>
      <c r="M2314">
        <v>-0.82526029999999995</v>
      </c>
      <c r="N2314">
        <v>-1.6576830000000001E-2</v>
      </c>
      <c r="O2314">
        <v>-0.56450919999999905</v>
      </c>
      <c r="P2314">
        <v>-0.75634630000000003</v>
      </c>
      <c r="Q2314">
        <v>0.19131429999999999</v>
      </c>
      <c r="R2314">
        <v>-0.62557130000000005</v>
      </c>
      <c r="S2314">
        <v>-1.6353759999999999</v>
      </c>
      <c r="T2314">
        <v>0.117595699999999</v>
      </c>
      <c r="U2314">
        <v>-2.8033450000000002</v>
      </c>
      <c r="V2314">
        <v>-9.6445660000000002E-2</v>
      </c>
      <c r="W2314">
        <v>0.20427090000000001</v>
      </c>
      <c r="X2314">
        <v>0.97415169999999995</v>
      </c>
      <c r="Y2314">
        <v>-0.42879810000000002</v>
      </c>
      <c r="Z2314">
        <v>-2.6146300000000001E-2</v>
      </c>
      <c r="AA2314">
        <v>0.90302190000000004</v>
      </c>
      <c r="AB2314">
        <v>33</v>
      </c>
      <c r="AC2314">
        <v>-30.4773999999999</v>
      </c>
      <c r="AD2314">
        <v>2.2038530000000001</v>
      </c>
      <c r="AE2314">
        <v>-52.414700000000003</v>
      </c>
      <c r="AF2314">
        <v>-26.0202005535781</v>
      </c>
      <c r="AG2314">
        <v>2.2038530000000001</v>
      </c>
      <c r="AH2314">
        <v>54.675653916221599</v>
      </c>
      <c r="AI2314">
        <v>87.915561642780801</v>
      </c>
      <c r="AJ2314">
        <v>115.44982540114999</v>
      </c>
      <c r="AK2314">
        <v>60.5915417864612</v>
      </c>
      <c r="AL2314">
        <v>78.213177840604203</v>
      </c>
      <c r="AM2314">
        <v>95.654129400918094</v>
      </c>
      <c r="AN2314">
        <v>0.99999995026626598</v>
      </c>
    </row>
    <row r="2315" spans="1:40" x14ac:dyDescent="0.25">
      <c r="A2315" t="str">
        <f>"20190303170543522"</f>
        <v>20190303170543522</v>
      </c>
      <c r="B2315" t="str">
        <f>"1551603943516733"</f>
        <v>1551603943516733</v>
      </c>
      <c r="C2315" t="s">
        <v>40</v>
      </c>
      <c r="D2315">
        <v>5.3885540000000001</v>
      </c>
      <c r="E2315">
        <v>0.3594909</v>
      </c>
      <c r="F2315" t="s">
        <v>68</v>
      </c>
      <c r="G2315">
        <v>-512.82629999999995</v>
      </c>
      <c r="H2315">
        <v>3.4946990000000002</v>
      </c>
      <c r="I2315">
        <v>227.00479999999999</v>
      </c>
      <c r="J2315">
        <v>-482.56830000000002</v>
      </c>
      <c r="K2315">
        <v>1.135181</v>
      </c>
      <c r="L2315">
        <v>280.62329999999997</v>
      </c>
      <c r="M2315">
        <v>-0.81741180000000002</v>
      </c>
      <c r="N2315">
        <v>-1.6591359999999999E-2</v>
      </c>
      <c r="O2315">
        <v>-0.57581499999999997</v>
      </c>
      <c r="P2315">
        <v>-0.7469517</v>
      </c>
      <c r="Q2315">
        <v>0.18902959999999999</v>
      </c>
      <c r="R2315">
        <v>-0.63744129999999999</v>
      </c>
      <c r="S2315">
        <v>-1.599945</v>
      </c>
      <c r="T2315">
        <v>0.1238682</v>
      </c>
      <c r="U2315">
        <v>-2.823334</v>
      </c>
      <c r="V2315">
        <v>-9.8028119999999996E-2</v>
      </c>
      <c r="W2315">
        <v>0.20194480000000001</v>
      </c>
      <c r="X2315">
        <v>0.97447870000000003</v>
      </c>
      <c r="Y2315">
        <v>-0.42771039999999999</v>
      </c>
      <c r="Z2315">
        <v>-2.755668E-2</v>
      </c>
      <c r="AA2315">
        <v>0.90349570000000001</v>
      </c>
      <c r="AB2315">
        <v>33</v>
      </c>
      <c r="AC2315">
        <v>-30.2579999999999</v>
      </c>
      <c r="AD2315">
        <v>2.359518</v>
      </c>
      <c r="AE2315">
        <v>-53.618499999999898</v>
      </c>
      <c r="AF2315">
        <v>-26.370284626244</v>
      </c>
      <c r="AG2315">
        <v>2.359518</v>
      </c>
      <c r="AH2315">
        <v>55.5336657160234</v>
      </c>
      <c r="AI2315">
        <v>87.8020260728956</v>
      </c>
      <c r="AJ2315">
        <v>115.40080941064301</v>
      </c>
      <c r="AK2315">
        <v>61.521925070014497</v>
      </c>
      <c r="AL2315">
        <v>78.349290980959793</v>
      </c>
      <c r="AM2315">
        <v>95.744369929815505</v>
      </c>
      <c r="AN2315">
        <v>0.99999997565573195</v>
      </c>
    </row>
    <row r="2316" spans="1:40" x14ac:dyDescent="0.25">
      <c r="A2316" t="str">
        <f>"20190303170543536"</f>
        <v>20190303170543536</v>
      </c>
      <c r="B2316" t="str">
        <f>"1551603943527470"</f>
        <v>1551603943527470</v>
      </c>
      <c r="C2316" t="s">
        <v>40</v>
      </c>
      <c r="D2316">
        <v>5.4060959999999998</v>
      </c>
      <c r="E2316">
        <v>0.36015190000000002</v>
      </c>
      <c r="F2316" t="s">
        <v>68</v>
      </c>
      <c r="G2316">
        <v>-512.82629999999995</v>
      </c>
      <c r="H2316">
        <v>3.4508290000000001</v>
      </c>
      <c r="I2316">
        <v>225.42</v>
      </c>
      <c r="J2316">
        <v>-482.72050000000002</v>
      </c>
      <c r="K2316">
        <v>1.135184</v>
      </c>
      <c r="L2316">
        <v>280.50619999999998</v>
      </c>
      <c r="M2316">
        <v>-0.81180240000000004</v>
      </c>
      <c r="N2316">
        <v>-1.6599989999999998E-2</v>
      </c>
      <c r="O2316">
        <v>-0.5836962</v>
      </c>
      <c r="P2316">
        <v>-0.74071759999999998</v>
      </c>
      <c r="Q2316">
        <v>0.1882624</v>
      </c>
      <c r="R2316">
        <v>-0.644899</v>
      </c>
      <c r="S2316">
        <v>-1.5589599999999999</v>
      </c>
      <c r="T2316">
        <v>0.1193099</v>
      </c>
      <c r="U2316">
        <v>-2.8441770000000002</v>
      </c>
      <c r="V2316">
        <v>-9.8237249999999998E-2</v>
      </c>
      <c r="W2316">
        <v>0.20117789999999999</v>
      </c>
      <c r="X2316">
        <v>0.97461629999999999</v>
      </c>
      <c r="Y2316">
        <v>-0.43174590000000002</v>
      </c>
      <c r="Z2316">
        <v>-2.742874E-2</v>
      </c>
      <c r="AA2316">
        <v>0.90157810000000005</v>
      </c>
      <c r="AB2316">
        <v>33</v>
      </c>
      <c r="AC2316">
        <v>-30.105799999999899</v>
      </c>
      <c r="AD2316">
        <v>2.315645</v>
      </c>
      <c r="AE2316">
        <v>-55.086199999999899</v>
      </c>
      <c r="AF2316">
        <v>-27.113317597438499</v>
      </c>
      <c r="AG2316">
        <v>2.315645</v>
      </c>
      <c r="AH2316">
        <v>56.524455401509201</v>
      </c>
      <c r="AI2316">
        <v>87.884598194462995</v>
      </c>
      <c r="AJ2316">
        <v>115.625828045376</v>
      </c>
      <c r="AK2316">
        <v>62.733629429061402</v>
      </c>
      <c r="AL2316">
        <v>78.394152349837</v>
      </c>
      <c r="AM2316">
        <v>95.755735291599393</v>
      </c>
      <c r="AN2316">
        <v>1.00000001848083</v>
      </c>
    </row>
    <row r="2317" spans="1:40" x14ac:dyDescent="0.25">
      <c r="A2317" t="str">
        <f>"20190303170543547"</f>
        <v>20190303170543547</v>
      </c>
      <c r="B2317" t="str">
        <f>"1551603943537230"</f>
        <v>1551603943537230</v>
      </c>
      <c r="C2317" t="s">
        <v>40</v>
      </c>
      <c r="D2317">
        <v>5.3823189999999999</v>
      </c>
      <c r="E2317">
        <v>0.36071039999999999</v>
      </c>
      <c r="F2317" t="s">
        <v>68</v>
      </c>
      <c r="G2317">
        <v>-512.82629999999995</v>
      </c>
      <c r="H2317">
        <v>3.3719640000000002</v>
      </c>
      <c r="I2317">
        <v>224.48480000000001</v>
      </c>
      <c r="J2317">
        <v>-482.85489999999999</v>
      </c>
      <c r="K2317">
        <v>1.135186</v>
      </c>
      <c r="L2317">
        <v>280.4015</v>
      </c>
      <c r="M2317">
        <v>-0.80676230000000004</v>
      </c>
      <c r="N2317">
        <v>-1.6606989999999999E-2</v>
      </c>
      <c r="O2317">
        <v>-0.59064269999999996</v>
      </c>
      <c r="P2317">
        <v>-0.73525790000000002</v>
      </c>
      <c r="Q2317">
        <v>0.18836839999999999</v>
      </c>
      <c r="R2317">
        <v>-0.65108599999999905</v>
      </c>
      <c r="S2317">
        <v>-1.534729</v>
      </c>
      <c r="T2317">
        <v>0.1140292</v>
      </c>
      <c r="U2317">
        <v>-2.8558349999999999</v>
      </c>
      <c r="V2317">
        <v>-9.8065680000000002E-2</v>
      </c>
      <c r="W2317">
        <v>0.2012951</v>
      </c>
      <c r="X2317">
        <v>0.97460939999999996</v>
      </c>
      <c r="Y2317">
        <v>-0.43145699999999998</v>
      </c>
      <c r="Z2317">
        <v>-2.7174070000000002E-2</v>
      </c>
      <c r="AA2317">
        <v>0.90172410000000003</v>
      </c>
      <c r="AB2317">
        <v>33</v>
      </c>
      <c r="AC2317">
        <v>-29.9713999999999</v>
      </c>
      <c r="AD2317">
        <v>2.2367780000000002</v>
      </c>
      <c r="AE2317">
        <v>-55.916699999999899</v>
      </c>
      <c r="AF2317">
        <v>-27.378844362322599</v>
      </c>
      <c r="AG2317">
        <v>2.2367780000000002</v>
      </c>
      <c r="AH2317">
        <v>57.143445058122801</v>
      </c>
      <c r="AI2317">
        <v>87.978266884967994</v>
      </c>
      <c r="AJ2317">
        <v>115.600238839404</v>
      </c>
      <c r="AK2317">
        <v>63.403293349385798</v>
      </c>
      <c r="AL2317">
        <v>78.387297281778302</v>
      </c>
      <c r="AM2317">
        <v>95.745790702828103</v>
      </c>
      <c r="AN2317">
        <v>1.0000000387231101</v>
      </c>
    </row>
    <row r="2318" spans="1:40" x14ac:dyDescent="0.25">
      <c r="A2318" t="str">
        <f>"20190303170543558"</f>
        <v>20190303170543558</v>
      </c>
      <c r="B2318" t="str">
        <f>"1551603943546990"</f>
        <v>1551603943546990</v>
      </c>
      <c r="C2318" t="s">
        <v>40</v>
      </c>
      <c r="D2318">
        <v>5.408379</v>
      </c>
      <c r="E2318">
        <v>0.36140489999999997</v>
      </c>
      <c r="F2318" t="s">
        <v>68</v>
      </c>
      <c r="G2318">
        <v>-512.82629999999995</v>
      </c>
      <c r="H2318">
        <v>3.3675959999999998</v>
      </c>
      <c r="I2318">
        <v>223.6609</v>
      </c>
      <c r="J2318">
        <v>-482.98180000000002</v>
      </c>
      <c r="K2318">
        <v>1.135192</v>
      </c>
      <c r="L2318">
        <v>280.30079999999998</v>
      </c>
      <c r="M2318">
        <v>-0.80190899999999998</v>
      </c>
      <c r="N2318">
        <v>-1.6612979999999999E-2</v>
      </c>
      <c r="O2318">
        <v>-0.59721519999999995</v>
      </c>
      <c r="P2318">
        <v>-0.73045569999999904</v>
      </c>
      <c r="Q2318">
        <v>0.18840390000000001</v>
      </c>
      <c r="R2318">
        <v>-0.65645909999999996</v>
      </c>
      <c r="S2318">
        <v>-1.5137020000000001</v>
      </c>
      <c r="T2318">
        <v>0.1127504</v>
      </c>
      <c r="U2318">
        <v>-2.8656619999999999</v>
      </c>
      <c r="V2318">
        <v>-9.7254190000000004E-2</v>
      </c>
      <c r="W2318">
        <v>0.20136470000000001</v>
      </c>
      <c r="X2318">
        <v>0.97467630000000005</v>
      </c>
      <c r="Y2318">
        <v>-0.43053219999999998</v>
      </c>
      <c r="Z2318">
        <v>-2.738904E-2</v>
      </c>
      <c r="AA2318">
        <v>0.90215959999999995</v>
      </c>
      <c r="AB2318">
        <v>33</v>
      </c>
      <c r="AC2318">
        <v>-29.844499999999901</v>
      </c>
      <c r="AD2318">
        <v>2.2324039999999998</v>
      </c>
      <c r="AE2318">
        <v>-56.639899999999898</v>
      </c>
      <c r="AF2318">
        <v>-27.566747150062501</v>
      </c>
      <c r="AG2318">
        <v>2.2324039999999998</v>
      </c>
      <c r="AH2318">
        <v>57.696601266313998</v>
      </c>
      <c r="AI2318">
        <v>88.000506952700206</v>
      </c>
      <c r="AJ2318">
        <v>115.53791399814</v>
      </c>
      <c r="AK2318">
        <v>63.982864688436102</v>
      </c>
      <c r="AL2318">
        <v>78.383225733556898</v>
      </c>
      <c r="AM2318">
        <v>95.698170149250402</v>
      </c>
      <c r="AN2318">
        <v>1.00000000483016</v>
      </c>
    </row>
    <row r="2319" spans="1:40" x14ac:dyDescent="0.25">
      <c r="A2319" t="str">
        <f>"20190303170543570"</f>
        <v>20190303170543570</v>
      </c>
      <c r="B2319" t="str">
        <f>"1551603943567486"</f>
        <v>1551603943567486</v>
      </c>
      <c r="C2319" t="s">
        <v>40</v>
      </c>
      <c r="D2319">
        <v>5.4915409999999998</v>
      </c>
      <c r="E2319">
        <v>0.36231459999999999</v>
      </c>
      <c r="F2319" t="s">
        <v>68</v>
      </c>
      <c r="G2319">
        <v>-512.82629999999995</v>
      </c>
      <c r="H2319">
        <v>3.3693330000000001</v>
      </c>
      <c r="I2319">
        <v>222.9836</v>
      </c>
      <c r="J2319">
        <v>-483.10640000000001</v>
      </c>
      <c r="K2319">
        <v>1.1351869999999999</v>
      </c>
      <c r="L2319">
        <v>280.20010000000002</v>
      </c>
      <c r="M2319">
        <v>-0.7970545</v>
      </c>
      <c r="N2319">
        <v>-1.6618040000000001E-2</v>
      </c>
      <c r="O2319">
        <v>-0.60367890000000002</v>
      </c>
      <c r="P2319">
        <v>-0.72534350000000003</v>
      </c>
      <c r="Q2319">
        <v>0.1887315</v>
      </c>
      <c r="R2319">
        <v>-0.6620104</v>
      </c>
      <c r="S2319">
        <v>-1.4960329999999999</v>
      </c>
      <c r="T2319">
        <v>0.1119951</v>
      </c>
      <c r="U2319">
        <v>-2.8731689999999999</v>
      </c>
      <c r="V2319">
        <v>-9.6870719999999993E-2</v>
      </c>
      <c r="W2319">
        <v>0.20170940000000001</v>
      </c>
      <c r="X2319">
        <v>0.97464320000000004</v>
      </c>
      <c r="Y2319">
        <v>-0.42856309999999898</v>
      </c>
      <c r="Z2319">
        <v>-2.766996E-2</v>
      </c>
      <c r="AA2319">
        <v>0.903088</v>
      </c>
      <c r="AB2319">
        <v>33</v>
      </c>
      <c r="AC2319">
        <v>-29.7198999999999</v>
      </c>
      <c r="AD2319">
        <v>2.234146</v>
      </c>
      <c r="AE2319">
        <v>-57.216500000000003</v>
      </c>
      <c r="AF2319">
        <v>-27.6340285186335</v>
      </c>
      <c r="AG2319">
        <v>2.234146</v>
      </c>
      <c r="AH2319">
        <v>58.166965973444803</v>
      </c>
      <c r="AI2319">
        <v>88.013030691038793</v>
      </c>
      <c r="AJ2319">
        <v>115.411511150683</v>
      </c>
      <c r="AK2319">
        <v>64.436223283754401</v>
      </c>
      <c r="AL2319">
        <v>78.363061998294498</v>
      </c>
      <c r="AM2319">
        <v>95.676040943420503</v>
      </c>
      <c r="AN2319">
        <v>0.99999999287395902</v>
      </c>
    </row>
    <row r="2320" spans="1:40" x14ac:dyDescent="0.25">
      <c r="A2320" t="str">
        <f>"20190303170543581"</f>
        <v>20190303170543581</v>
      </c>
      <c r="B2320" t="str">
        <f>"1551603943567486"</f>
        <v>1551603943567486</v>
      </c>
      <c r="C2320" t="s">
        <v>40</v>
      </c>
      <c r="D2320">
        <v>5.4915409999999998</v>
      </c>
      <c r="E2320">
        <v>0.36231459999999999</v>
      </c>
      <c r="F2320" t="s">
        <v>68</v>
      </c>
      <c r="G2320">
        <v>-512.75689999999997</v>
      </c>
      <c r="H2320">
        <v>3.3944130000000001</v>
      </c>
      <c r="I2320">
        <v>222.446</v>
      </c>
      <c r="J2320">
        <v>-483.22460000000001</v>
      </c>
      <c r="K2320">
        <v>1.1351880000000001</v>
      </c>
      <c r="L2320">
        <v>280.1035</v>
      </c>
      <c r="M2320">
        <v>-0.79237840000000004</v>
      </c>
      <c r="N2320">
        <v>-1.6622459999999999E-2</v>
      </c>
      <c r="O2320">
        <v>-0.60980330000000005</v>
      </c>
      <c r="P2320">
        <v>-0.72060789999999997</v>
      </c>
      <c r="Q2320">
        <v>0.18883330000000001</v>
      </c>
      <c r="R2320">
        <v>-0.66713290000000003</v>
      </c>
      <c r="S2320">
        <v>-1.478424</v>
      </c>
      <c r="T2320">
        <v>0.1126513</v>
      </c>
      <c r="U2320">
        <v>-2.8797000000000001</v>
      </c>
      <c r="V2320">
        <v>-9.6283960000000002E-2</v>
      </c>
      <c r="W2320">
        <v>0.20183599999999999</v>
      </c>
      <c r="X2320">
        <v>0.97467510000000002</v>
      </c>
      <c r="Y2320">
        <v>-0.42680400000000002</v>
      </c>
      <c r="Z2320">
        <v>-2.8118170000000001E-2</v>
      </c>
      <c r="AA2320">
        <v>0.90390689999999996</v>
      </c>
      <c r="AB2320">
        <v>33</v>
      </c>
      <c r="AC2320">
        <v>-29.5322999999999</v>
      </c>
      <c r="AD2320">
        <v>2.2592249999999998</v>
      </c>
      <c r="AE2320">
        <v>-57.657499999999999</v>
      </c>
      <c r="AF2320">
        <v>-27.647862489840399</v>
      </c>
      <c r="AG2320">
        <v>2.2592249999999998</v>
      </c>
      <c r="AH2320">
        <v>58.497437103581497</v>
      </c>
      <c r="AI2320">
        <v>88.000194713254501</v>
      </c>
      <c r="AJ2320">
        <v>115.296998290348</v>
      </c>
      <c r="AK2320">
        <v>64.741474693933498</v>
      </c>
      <c r="AL2320">
        <v>78.3556556554271</v>
      </c>
      <c r="AM2320">
        <v>95.641699358866603</v>
      </c>
      <c r="AN2320">
        <v>0.99999996120464496</v>
      </c>
    </row>
    <row r="2321" spans="1:40" x14ac:dyDescent="0.25">
      <c r="A2321" t="str">
        <f>"20190303170543590"</f>
        <v>20190303170543590</v>
      </c>
      <c r="B2321" t="str">
        <f>"1551603943587006"</f>
        <v>1551603943587006</v>
      </c>
      <c r="C2321" t="s">
        <v>40</v>
      </c>
      <c r="D2321">
        <v>5.5023629999999999</v>
      </c>
      <c r="E2321">
        <v>0.36345260000000001</v>
      </c>
      <c r="F2321" t="s">
        <v>68</v>
      </c>
      <c r="G2321">
        <v>-512.31200000000001</v>
      </c>
      <c r="H2321">
        <v>3.3870909999999999</v>
      </c>
      <c r="I2321">
        <v>222.446</v>
      </c>
      <c r="J2321">
        <v>-483.32960000000003</v>
      </c>
      <c r="K2321">
        <v>1.1351899999999999</v>
      </c>
      <c r="L2321">
        <v>280.01569999999998</v>
      </c>
      <c r="M2321">
        <v>-0.78814229999999996</v>
      </c>
      <c r="N2321">
        <v>-1.662547E-2</v>
      </c>
      <c r="O2321">
        <v>-0.6152687</v>
      </c>
      <c r="P2321">
        <v>-0.71616139999999995</v>
      </c>
      <c r="Q2321">
        <v>0.18884190000000001</v>
      </c>
      <c r="R2321">
        <v>-0.67190179999999999</v>
      </c>
      <c r="S2321">
        <v>-1.4579770000000001</v>
      </c>
      <c r="T2321">
        <v>0.11287709999999999</v>
      </c>
      <c r="U2321">
        <v>-2.890015</v>
      </c>
      <c r="V2321">
        <v>-9.6013490000000007E-2</v>
      </c>
      <c r="W2321">
        <v>0.20185790000000001</v>
      </c>
      <c r="X2321">
        <v>0.97469729999999999</v>
      </c>
      <c r="Y2321">
        <v>-0.4269482</v>
      </c>
      <c r="Z2321">
        <v>-2.8448359999999999E-2</v>
      </c>
      <c r="AA2321">
        <v>0.90382850000000003</v>
      </c>
      <c r="AB2321">
        <v>33</v>
      </c>
      <c r="AC2321">
        <v>-28.982399999999899</v>
      </c>
      <c r="AD2321">
        <v>2.2519009999999899</v>
      </c>
      <c r="AE2321">
        <v>-57.569699999999898</v>
      </c>
      <c r="AF2321">
        <v>-27.511372713284199</v>
      </c>
      <c r="AG2321">
        <v>2.2519009999999899</v>
      </c>
      <c r="AH2321">
        <v>58.200091610484201</v>
      </c>
      <c r="AI2321">
        <v>87.996550572571195</v>
      </c>
      <c r="AJ2321">
        <v>115.300253826481</v>
      </c>
      <c r="AK2321">
        <v>64.414263561355696</v>
      </c>
      <c r="AL2321">
        <v>78.354375135514701</v>
      </c>
      <c r="AM2321">
        <v>95.625825831187697</v>
      </c>
      <c r="AN2321">
        <v>1.0000000143408401</v>
      </c>
    </row>
    <row r="2322" spans="1:40" x14ac:dyDescent="0.25">
      <c r="A2322" t="str">
        <f>"20190303170543600"</f>
        <v>20190303170543600</v>
      </c>
      <c r="B2322" t="str">
        <f>"1551603943587006"</f>
        <v>1551603943587006</v>
      </c>
      <c r="C2322" t="s">
        <v>40</v>
      </c>
      <c r="D2322">
        <v>5.5023629999999999</v>
      </c>
      <c r="E2322">
        <v>0.36345260000000001</v>
      </c>
      <c r="F2322" t="s">
        <v>68</v>
      </c>
      <c r="G2322">
        <v>-512.09249999999997</v>
      </c>
      <c r="H2322">
        <v>3.3468369999999998</v>
      </c>
      <c r="I2322">
        <v>222.446</v>
      </c>
      <c r="J2322">
        <v>-483.43920000000003</v>
      </c>
      <c r="K2322">
        <v>1.1351869999999999</v>
      </c>
      <c r="L2322">
        <v>279.92349999999999</v>
      </c>
      <c r="M2322">
        <v>-0.78367019999999998</v>
      </c>
      <c r="N2322">
        <v>-1.6628400000000002E-2</v>
      </c>
      <c r="O2322">
        <v>-0.62095480000000003</v>
      </c>
      <c r="P2322">
        <v>-0.7111729</v>
      </c>
      <c r="Q2322">
        <v>0.18874569999999999</v>
      </c>
      <c r="R2322">
        <v>-0.67720630000000004</v>
      </c>
      <c r="S2322">
        <v>-1.445435</v>
      </c>
      <c r="T2322">
        <v>0.11114589999999901</v>
      </c>
      <c r="U2322">
        <v>-2.8930660000000001</v>
      </c>
      <c r="V2322">
        <v>-9.6187460000000002E-2</v>
      </c>
      <c r="W2322">
        <v>0.20175889999999999</v>
      </c>
      <c r="X2322">
        <v>0.97470060000000003</v>
      </c>
      <c r="Y2322">
        <v>-0.42391440000000002</v>
      </c>
      <c r="Z2322">
        <v>-2.8562089999999998E-2</v>
      </c>
      <c r="AA2322">
        <v>0.90525180000000005</v>
      </c>
      <c r="AB2322">
        <v>33</v>
      </c>
      <c r="AC2322">
        <v>-28.653299999999899</v>
      </c>
      <c r="AD2322">
        <v>2.2116500000000001</v>
      </c>
      <c r="AE2322">
        <v>-57.4774999999999</v>
      </c>
      <c r="AF2322">
        <v>-27.222480494579301</v>
      </c>
      <c r="AG2322">
        <v>2.2116500000000001</v>
      </c>
      <c r="AH2322">
        <v>58.084815105689003</v>
      </c>
      <c r="AI2322">
        <v>88.025364634454903</v>
      </c>
      <c r="AJ2322">
        <v>115.11097184899199</v>
      </c>
      <c r="AK2322">
        <v>64.185672746044602</v>
      </c>
      <c r="AL2322">
        <v>78.360166057948206</v>
      </c>
      <c r="AM2322">
        <v>95.635934922652197</v>
      </c>
      <c r="AN2322">
        <v>0.99999997041541</v>
      </c>
    </row>
    <row r="2323" spans="1:40" x14ac:dyDescent="0.25">
      <c r="A2323" t="str">
        <f>"20190303170543613"</f>
        <v>20190303170543613</v>
      </c>
      <c r="B2323" t="str">
        <f>"1551603943607276"</f>
        <v>1551603943607276</v>
      </c>
      <c r="C2323" t="s">
        <v>40</v>
      </c>
      <c r="D2323">
        <v>5.529433</v>
      </c>
      <c r="E2323">
        <v>0.36490250000000002</v>
      </c>
      <c r="F2323" t="s">
        <v>68</v>
      </c>
      <c r="G2323">
        <v>-511.9597</v>
      </c>
      <c r="H2323">
        <v>3.3405339999999901</v>
      </c>
      <c r="I2323">
        <v>221.79570000000001</v>
      </c>
      <c r="J2323">
        <v>-483.57279999999997</v>
      </c>
      <c r="K2323">
        <v>1.1351819999999999</v>
      </c>
      <c r="L2323">
        <v>279.80829999999997</v>
      </c>
      <c r="M2323">
        <v>-0.77810259999999998</v>
      </c>
      <c r="N2323">
        <v>-1.6630639999999999E-2</v>
      </c>
      <c r="O2323">
        <v>-0.62791709999999901</v>
      </c>
      <c r="P2323">
        <v>-0.70497109999999996</v>
      </c>
      <c r="Q2323">
        <v>0.18813270000000001</v>
      </c>
      <c r="R2323">
        <v>-0.68382869999999996</v>
      </c>
      <c r="S2323">
        <v>-1.4245000000000001</v>
      </c>
      <c r="T2323">
        <v>0.1101519</v>
      </c>
      <c r="U2323">
        <v>-2.9032589999999998</v>
      </c>
      <c r="V2323">
        <v>-9.648814E-2</v>
      </c>
      <c r="W2323">
        <v>0.20114009999999999</v>
      </c>
      <c r="X2323">
        <v>0.97479879999999997</v>
      </c>
      <c r="Y2323">
        <v>-0.42235620000000001</v>
      </c>
      <c r="Z2323">
        <v>-2.881413E-2</v>
      </c>
      <c r="AA2323">
        <v>0.90597179999999999</v>
      </c>
      <c r="AB2323">
        <v>33</v>
      </c>
      <c r="AC2323">
        <v>-28.386900000000001</v>
      </c>
      <c r="AD2323">
        <v>2.2053519999999902</v>
      </c>
      <c r="AE2323">
        <v>-58.0125999999999</v>
      </c>
      <c r="AF2323">
        <v>-27.2870956262215</v>
      </c>
      <c r="AG2323">
        <v>2.2053519999999902</v>
      </c>
      <c r="AH2323">
        <v>58.454957819578098</v>
      </c>
      <c r="AI2323">
        <v>88.042043811482401</v>
      </c>
      <c r="AJ2323">
        <v>115.023425013222</v>
      </c>
      <c r="AK2323">
        <v>64.547898949904805</v>
      </c>
      <c r="AL2323">
        <v>78.396363116918593</v>
      </c>
      <c r="AM2323">
        <v>95.652872953770398</v>
      </c>
      <c r="AN2323">
        <v>1.00000000073505</v>
      </c>
    </row>
    <row r="2324" spans="1:40" x14ac:dyDescent="0.25">
      <c r="A2324" t="str">
        <f>"20190303170543623"</f>
        <v>20190303170543623</v>
      </c>
      <c r="B2324" t="str">
        <f>"1551603943617035"</f>
        <v>1551603943617035</v>
      </c>
      <c r="C2324" t="s">
        <v>40</v>
      </c>
      <c r="D2324">
        <v>5.533798</v>
      </c>
      <c r="E2324">
        <v>0.36568079999999997</v>
      </c>
      <c r="F2324" t="s">
        <v>68</v>
      </c>
      <c r="G2324">
        <v>-511.9597</v>
      </c>
      <c r="H2324">
        <v>3.2179009999999999</v>
      </c>
      <c r="I2324">
        <v>221.10640000000001</v>
      </c>
      <c r="J2324">
        <v>-483.68880000000001</v>
      </c>
      <c r="K2324">
        <v>1.1351739999999999</v>
      </c>
      <c r="L2324">
        <v>279.70760000000001</v>
      </c>
      <c r="M2324">
        <v>-0.7732059</v>
      </c>
      <c r="N2324">
        <v>-1.6632310000000001E-2</v>
      </c>
      <c r="O2324">
        <v>-0.63393710000000003</v>
      </c>
      <c r="P2324">
        <v>-0.69976539999999998</v>
      </c>
      <c r="Q2324">
        <v>0.18767510000000001</v>
      </c>
      <c r="R2324">
        <v>-0.68927969999999905</v>
      </c>
      <c r="S2324">
        <v>-1.406555</v>
      </c>
      <c r="T2324">
        <v>0.10320029999999999</v>
      </c>
      <c r="U2324">
        <v>-2.90863</v>
      </c>
      <c r="V2324">
        <v>-9.639172E-2</v>
      </c>
      <c r="W2324">
        <v>0.20069020000000001</v>
      </c>
      <c r="X2324">
        <v>0.97490109999999996</v>
      </c>
      <c r="Y2324">
        <v>-0.42047950000000001</v>
      </c>
      <c r="Z2324">
        <v>-2.8173440000000001E-2</v>
      </c>
      <c r="AA2324">
        <v>0.90686449999999996</v>
      </c>
      <c r="AB2324">
        <v>33</v>
      </c>
      <c r="AC2324">
        <v>-28.270899999999902</v>
      </c>
      <c r="AD2324">
        <v>2.0827270000000002</v>
      </c>
      <c r="AE2324">
        <v>-58.601199999999999</v>
      </c>
      <c r="AF2324">
        <v>-27.364567539908499</v>
      </c>
      <c r="AG2324">
        <v>2.0827270000000002</v>
      </c>
      <c r="AH2324">
        <v>58.956447349707901</v>
      </c>
      <c r="AI2324">
        <v>88.164690207638401</v>
      </c>
      <c r="AJ2324">
        <v>114.898317580685</v>
      </c>
      <c r="AK2324">
        <v>65.030915667101198</v>
      </c>
      <c r="AL2324">
        <v>78.422677495952101</v>
      </c>
      <c r="AM2324">
        <v>95.646671846578997</v>
      </c>
      <c r="AN2324">
        <v>1.0000000374208999</v>
      </c>
    </row>
    <row r="2325" spans="1:40" x14ac:dyDescent="0.25">
      <c r="A2325" t="str">
        <f>"20190303170543634"</f>
        <v>20190303170543634</v>
      </c>
      <c r="B2325" t="str">
        <f>"1551603943626796"</f>
        <v>1551603943626796</v>
      </c>
      <c r="C2325" t="s">
        <v>40</v>
      </c>
      <c r="D2325">
        <v>5.5379500000000004</v>
      </c>
      <c r="E2325">
        <v>0.36649979999999999</v>
      </c>
      <c r="F2325" t="s">
        <v>68</v>
      </c>
      <c r="G2325">
        <v>-511.9597</v>
      </c>
      <c r="H2325">
        <v>3.1362459999999999</v>
      </c>
      <c r="I2325">
        <v>220.36920000000001</v>
      </c>
      <c r="J2325">
        <v>-483.80799999999999</v>
      </c>
      <c r="K2325">
        <v>1.1351659999999999</v>
      </c>
      <c r="L2325">
        <v>279.60120000000001</v>
      </c>
      <c r="M2325">
        <v>-0.76806869999999905</v>
      </c>
      <c r="N2325">
        <v>-1.6632859999999999E-2</v>
      </c>
      <c r="O2325">
        <v>-0.64015140000000004</v>
      </c>
      <c r="P2325">
        <v>-0.69443540000000004</v>
      </c>
      <c r="Q2325">
        <v>0.18727469999999999</v>
      </c>
      <c r="R2325">
        <v>-0.69475719999999996</v>
      </c>
      <c r="S2325">
        <v>-1.3889769999999999</v>
      </c>
      <c r="T2325">
        <v>9.8317500000000002E-2</v>
      </c>
      <c r="U2325">
        <v>-2.9153440000000002</v>
      </c>
      <c r="V2325">
        <v>-9.6101950000000005E-2</v>
      </c>
      <c r="W2325">
        <v>0.20030439999999999</v>
      </c>
      <c r="X2325">
        <v>0.97500900000000001</v>
      </c>
      <c r="Y2325">
        <v>-0.41841240000000002</v>
      </c>
      <c r="Z2325">
        <v>-2.7802139999999999E-2</v>
      </c>
      <c r="AA2325">
        <v>0.90783150000000001</v>
      </c>
      <c r="AB2325">
        <v>33</v>
      </c>
      <c r="AC2325">
        <v>-28.151699999999899</v>
      </c>
      <c r="AD2325">
        <v>2.00108</v>
      </c>
      <c r="AE2325">
        <v>-59.231999999999999</v>
      </c>
      <c r="AF2325">
        <v>-27.451138252294001</v>
      </c>
      <c r="AG2325">
        <v>2.00108</v>
      </c>
      <c r="AH2325">
        <v>59.492735470800497</v>
      </c>
      <c r="AI2325">
        <v>88.250660257457398</v>
      </c>
      <c r="AJ2325">
        <v>114.769545094237</v>
      </c>
      <c r="AK2325">
        <v>65.551162356678304</v>
      </c>
      <c r="AL2325">
        <v>78.445239851454303</v>
      </c>
      <c r="AM2325">
        <v>95.629187171394307</v>
      </c>
      <c r="AN2325">
        <v>0.99999999376708104</v>
      </c>
    </row>
    <row r="2326" spans="1:40" x14ac:dyDescent="0.25">
      <c r="A2326" t="str">
        <f>"20190303170543646"</f>
        <v>20190303170543646</v>
      </c>
      <c r="B2326" t="str">
        <f>"1551603943637531"</f>
        <v>1551603943637531</v>
      </c>
      <c r="C2326" t="s">
        <v>40</v>
      </c>
      <c r="D2326">
        <v>5.5789109999999997</v>
      </c>
      <c r="E2326">
        <v>0.36649979999999999</v>
      </c>
      <c r="F2326" t="s">
        <v>68</v>
      </c>
      <c r="G2326">
        <v>-511.95960000000002</v>
      </c>
      <c r="H2326">
        <v>3.0466730000000002</v>
      </c>
      <c r="I2326">
        <v>219.63290000000001</v>
      </c>
      <c r="J2326">
        <v>-483.92140000000001</v>
      </c>
      <c r="K2326">
        <v>1.1351530000000001</v>
      </c>
      <c r="L2326">
        <v>279.49919999999997</v>
      </c>
      <c r="M2326">
        <v>-0.76311709999999899</v>
      </c>
      <c r="N2326">
        <v>-1.6632709999999998E-2</v>
      </c>
      <c r="O2326">
        <v>-0.64604619999999902</v>
      </c>
      <c r="P2326">
        <v>-0.68913480000000005</v>
      </c>
      <c r="Q2326">
        <v>0.18747730000000001</v>
      </c>
      <c r="R2326">
        <v>-0.6999611</v>
      </c>
      <c r="S2326">
        <v>-1.3716740000000001</v>
      </c>
      <c r="T2326">
        <v>9.3139650000000004E-2</v>
      </c>
      <c r="U2326">
        <v>-2.9219059999999999</v>
      </c>
      <c r="V2326">
        <v>-9.5964770000000005E-2</v>
      </c>
      <c r="W2326">
        <v>0.2005141</v>
      </c>
      <c r="X2326">
        <v>0.97497940000000005</v>
      </c>
      <c r="Y2326">
        <v>-0.41658970000000001</v>
      </c>
      <c r="Z2326">
        <v>-2.7344139999999999E-2</v>
      </c>
      <c r="AA2326">
        <v>0.90868329999999997</v>
      </c>
      <c r="AB2326">
        <v>33</v>
      </c>
      <c r="AC2326">
        <v>-28.0382</v>
      </c>
      <c r="AD2326">
        <v>1.9115200000000001</v>
      </c>
      <c r="AE2326">
        <v>-59.866299999999903</v>
      </c>
      <c r="AF2326">
        <v>-27.551802116650599</v>
      </c>
      <c r="AG2326">
        <v>1.9115200000000001</v>
      </c>
      <c r="AH2326">
        <v>60.030942626838502</v>
      </c>
      <c r="AI2326">
        <v>88.342334731229698</v>
      </c>
      <c r="AJ2326">
        <v>114.653230429396</v>
      </c>
      <c r="AK2326">
        <v>66.079268921896002</v>
      </c>
      <c r="AL2326">
        <v>78.432976030951707</v>
      </c>
      <c r="AM2326">
        <v>95.621372894219505</v>
      </c>
      <c r="AN2326">
        <v>0.99999998590216099</v>
      </c>
    </row>
    <row r="2327" spans="1:40" x14ac:dyDescent="0.25">
      <c r="A2327" t="str">
        <f>"20190303170543657"</f>
        <v>20190303170543657</v>
      </c>
      <c r="B2327" t="str">
        <f>"1551603943647292"</f>
        <v>1551603943647292</v>
      </c>
      <c r="C2327" t="s">
        <v>40</v>
      </c>
      <c r="D2327">
        <v>5.5983219999999996</v>
      </c>
      <c r="E2327">
        <v>0.38458049999999999</v>
      </c>
      <c r="F2327" t="s">
        <v>70</v>
      </c>
      <c r="G2327">
        <v>-516.27560000000005</v>
      </c>
      <c r="H2327">
        <v>3.383975</v>
      </c>
      <c r="I2327">
        <v>209.2</v>
      </c>
      <c r="J2327">
        <v>-484.03969999999998</v>
      </c>
      <c r="K2327">
        <v>1.1351370000000001</v>
      </c>
      <c r="L2327">
        <v>279.39060000000001</v>
      </c>
      <c r="M2327">
        <v>-0.75785709999999995</v>
      </c>
      <c r="N2327">
        <v>-1.66299E-2</v>
      </c>
      <c r="O2327">
        <v>-0.65220869999999997</v>
      </c>
      <c r="P2327">
        <v>-0.68364919999999996</v>
      </c>
      <c r="Q2327">
        <v>0.18790319999999999</v>
      </c>
      <c r="R2327">
        <v>-0.70520660000000002</v>
      </c>
      <c r="S2327">
        <v>-1.349518</v>
      </c>
      <c r="T2327">
        <v>9.3802209999999997E-2</v>
      </c>
      <c r="U2327">
        <v>-2.93222</v>
      </c>
      <c r="V2327">
        <v>-9.5596139999999996E-2</v>
      </c>
      <c r="W2327">
        <v>0.20095279999999999</v>
      </c>
      <c r="X2327">
        <v>0.97492529999999999</v>
      </c>
      <c r="Y2327">
        <v>-0.41610720000000001</v>
      </c>
      <c r="Z2327">
        <v>-2.773838E-2</v>
      </c>
      <c r="AA2327">
        <v>0.90889240000000004</v>
      </c>
      <c r="AB2327">
        <v>33</v>
      </c>
      <c r="AC2327">
        <v>-32.235900000000001</v>
      </c>
      <c r="AD2327">
        <v>2.2488380000000001</v>
      </c>
      <c r="AE2327">
        <v>-70.190600000000003</v>
      </c>
      <c r="AF2327">
        <v>-32.147106269775399</v>
      </c>
      <c r="AG2327">
        <v>2.2488380000000001</v>
      </c>
      <c r="AH2327">
        <v>70.159357448460099</v>
      </c>
      <c r="AI2327">
        <v>88.330874869053204</v>
      </c>
      <c r="AJ2327">
        <v>114.61731110420099</v>
      </c>
      <c r="AK2327">
        <v>77.206406155520995</v>
      </c>
      <c r="AL2327">
        <v>78.407318237488695</v>
      </c>
      <c r="AM2327">
        <v>95.600225769370098</v>
      </c>
      <c r="AN2327">
        <v>0.99999999519541405</v>
      </c>
    </row>
    <row r="2328" spans="1:40" x14ac:dyDescent="0.25">
      <c r="A2328" t="str">
        <f>"20190303170543668"</f>
        <v>20190303170543668</v>
      </c>
      <c r="B2328" t="str">
        <f>"1551603943657052"</f>
        <v>1551603943657052</v>
      </c>
      <c r="C2328" t="s">
        <v>40</v>
      </c>
      <c r="D2328">
        <v>5.5654029999999999</v>
      </c>
      <c r="E2328">
        <v>0.38426759999999999</v>
      </c>
      <c r="F2328" t="s">
        <v>68</v>
      </c>
      <c r="G2328">
        <v>-512.69740000000002</v>
      </c>
      <c r="H2328">
        <v>1.966518</v>
      </c>
      <c r="I2328">
        <v>222.446</v>
      </c>
      <c r="J2328">
        <v>-484.1551</v>
      </c>
      <c r="K2328">
        <v>1.1351249999999999</v>
      </c>
      <c r="L2328">
        <v>279.28309999999999</v>
      </c>
      <c r="M2328">
        <v>-0.75265029999999999</v>
      </c>
      <c r="N2328">
        <v>-1.6625689999999999E-2</v>
      </c>
      <c r="O2328">
        <v>-0.65821059999999998</v>
      </c>
      <c r="P2328">
        <v>-0.67822519999999997</v>
      </c>
      <c r="Q2328">
        <v>0.18862180000000001</v>
      </c>
      <c r="R2328">
        <v>-0.71023419999999904</v>
      </c>
      <c r="S2328">
        <v>-1.4351499999999999</v>
      </c>
      <c r="T2328">
        <v>4.1637779999999999E-2</v>
      </c>
      <c r="U2328">
        <v>-2.851715</v>
      </c>
      <c r="V2328">
        <v>-9.5191049999999999E-2</v>
      </c>
      <c r="W2328">
        <v>0.20168369999999999</v>
      </c>
      <c r="X2328">
        <v>0.97481399999999996</v>
      </c>
      <c r="Y2328">
        <v>-0.37659819999999999</v>
      </c>
      <c r="Z2328">
        <v>-2.0055090000000001E-2</v>
      </c>
      <c r="AA2328">
        <v>0.92615959999999997</v>
      </c>
      <c r="AB2328">
        <v>33</v>
      </c>
      <c r="AC2328">
        <v>-28.542300000000001</v>
      </c>
      <c r="AD2328">
        <v>0.83139300000000005</v>
      </c>
      <c r="AE2328">
        <v>-56.8370999999999</v>
      </c>
      <c r="AF2328">
        <v>-23.990832009058401</v>
      </c>
      <c r="AG2328">
        <v>0.83139300000000005</v>
      </c>
      <c r="AH2328">
        <v>58.891227961621297</v>
      </c>
      <c r="AI2328">
        <v>89.250946539073595</v>
      </c>
      <c r="AJ2328">
        <v>112.16476835335099</v>
      </c>
      <c r="AK2328">
        <v>63.595817202351803</v>
      </c>
      <c r="AL2328">
        <v>78.364565395805997</v>
      </c>
      <c r="AM2328">
        <v>95.5772773411299</v>
      </c>
      <c r="AN2328">
        <v>0.99999999272089601</v>
      </c>
    </row>
    <row r="2329" spans="1:40" x14ac:dyDescent="0.25">
      <c r="A2329" t="str">
        <f>"20190303170543678"</f>
        <v>20190303170543678</v>
      </c>
      <c r="B2329" t="str">
        <f>"1551603943666812"</f>
        <v>1551603943666812</v>
      </c>
      <c r="C2329" t="s">
        <v>40</v>
      </c>
      <c r="D2329">
        <v>5.5673579999999996</v>
      </c>
      <c r="E2329">
        <v>0.38462299999999999</v>
      </c>
      <c r="F2329" t="s">
        <v>68</v>
      </c>
      <c r="G2329">
        <v>-512.17430000000002</v>
      </c>
      <c r="H2329">
        <v>2.0279630000000002</v>
      </c>
      <c r="I2329">
        <v>222.446</v>
      </c>
      <c r="J2329">
        <v>-484.27050000000003</v>
      </c>
      <c r="K2329">
        <v>1.1351070000000001</v>
      </c>
      <c r="L2329">
        <v>279.1739</v>
      </c>
      <c r="M2329">
        <v>-0.74736069999999999</v>
      </c>
      <c r="N2329">
        <v>-1.661961E-2</v>
      </c>
      <c r="O2329">
        <v>-0.66421070000000004</v>
      </c>
      <c r="P2329">
        <v>-0.67293389999999997</v>
      </c>
      <c r="Q2329">
        <v>0.18921350000000001</v>
      </c>
      <c r="R2329">
        <v>-0.71509339999999999</v>
      </c>
      <c r="S2329">
        <v>-1.4118040000000001</v>
      </c>
      <c r="T2329">
        <v>4.4990299999999997E-2</v>
      </c>
      <c r="U2329">
        <v>-2.8638309999999998</v>
      </c>
      <c r="V2329">
        <v>-9.4520610000000005E-2</v>
      </c>
      <c r="W2329">
        <v>0.20229739999999999</v>
      </c>
      <c r="X2329">
        <v>0.97475210000000001</v>
      </c>
      <c r="Y2329">
        <v>-0.37682749999999998</v>
      </c>
      <c r="Z2329">
        <v>-2.076749E-2</v>
      </c>
      <c r="AA2329">
        <v>0.92605059999999995</v>
      </c>
      <c r="AB2329">
        <v>33</v>
      </c>
      <c r="AC2329">
        <v>-27.903799999999901</v>
      </c>
      <c r="AD2329">
        <v>0.89285599999999998</v>
      </c>
      <c r="AE2329">
        <v>-56.727899999999998</v>
      </c>
      <c r="AF2329">
        <v>-23.8607363909748</v>
      </c>
      <c r="AG2329">
        <v>0.89285599999999998</v>
      </c>
      <c r="AH2329">
        <v>58.529890184097802</v>
      </c>
      <c r="AI2329">
        <v>89.190694898690793</v>
      </c>
      <c r="AJ2329">
        <v>112.17912749663201</v>
      </c>
      <c r="AK2329">
        <v>63.212973177338199</v>
      </c>
      <c r="AL2329">
        <v>78.328663258605701</v>
      </c>
      <c r="AM2329">
        <v>95.538590611684398</v>
      </c>
      <c r="AN2329">
        <v>1.00000002010797</v>
      </c>
    </row>
    <row r="2330" spans="1:40" x14ac:dyDescent="0.25">
      <c r="A2330" t="str">
        <f>"20190303170543689"</f>
        <v>20190303170543689</v>
      </c>
      <c r="B2330" t="str">
        <f>"1551603943677549"</f>
        <v>1551603943677549</v>
      </c>
      <c r="C2330" t="s">
        <v>40</v>
      </c>
      <c r="D2330">
        <v>5.6026910000000001</v>
      </c>
      <c r="E2330">
        <v>0.38516650000000002</v>
      </c>
      <c r="F2330" t="s">
        <v>68</v>
      </c>
      <c r="G2330">
        <v>-511.95929999999998</v>
      </c>
      <c r="H2330">
        <v>2.0083129999999998</v>
      </c>
      <c r="I2330">
        <v>222.0412</v>
      </c>
      <c r="J2330">
        <v>-484.37549999999999</v>
      </c>
      <c r="K2330">
        <v>1.135086</v>
      </c>
      <c r="L2330">
        <v>279.07279999999997</v>
      </c>
      <c r="M2330">
        <v>-0.74248009999999998</v>
      </c>
      <c r="N2330">
        <v>-1.66123E-2</v>
      </c>
      <c r="O2330">
        <v>-0.66966230000000004</v>
      </c>
      <c r="P2330">
        <v>-0.66770459999999998</v>
      </c>
      <c r="Q2330">
        <v>0.1897057</v>
      </c>
      <c r="R2330">
        <v>-0.71984930000000003</v>
      </c>
      <c r="S2330">
        <v>-1.392487</v>
      </c>
      <c r="T2330">
        <v>4.391718E-2</v>
      </c>
      <c r="U2330">
        <v>-2.87323</v>
      </c>
      <c r="V2330">
        <v>-9.4398770000000007E-2</v>
      </c>
      <c r="W2330">
        <v>0.20279050000000001</v>
      </c>
      <c r="X2330">
        <v>0.97466140000000001</v>
      </c>
      <c r="Y2330">
        <v>-0.37627670000000002</v>
      </c>
      <c r="Z2330">
        <v>-2.0749799999999999E-2</v>
      </c>
      <c r="AA2330">
        <v>0.92627499999999996</v>
      </c>
      <c r="AB2330">
        <v>33</v>
      </c>
      <c r="AC2330">
        <v>-27.5838</v>
      </c>
      <c r="AD2330">
        <v>0.87322699999999998</v>
      </c>
      <c r="AE2330">
        <v>-57.031599999999898</v>
      </c>
      <c r="AF2330">
        <v>-23.8717533220467</v>
      </c>
      <c r="AG2330">
        <v>0.87322699999999998</v>
      </c>
      <c r="AH2330">
        <v>58.6692781449919</v>
      </c>
      <c r="AI2330">
        <v>89.210149675467505</v>
      </c>
      <c r="AJ2330">
        <v>112.140757477938</v>
      </c>
      <c r="AK2330">
        <v>63.345933808860998</v>
      </c>
      <c r="AL2330">
        <v>78.299812250131794</v>
      </c>
      <c r="AM2330">
        <v>95.532007060868807</v>
      </c>
      <c r="AN2330">
        <v>0.999999979658861</v>
      </c>
    </row>
    <row r="2331" spans="1:40" x14ac:dyDescent="0.25">
      <c r="A2331" t="str">
        <f>"20190303170543701"</f>
        <v>20190303170543701</v>
      </c>
      <c r="B2331" t="str">
        <f>"1551603943687308"</f>
        <v>1551603943687308</v>
      </c>
      <c r="C2331" t="s">
        <v>40</v>
      </c>
      <c r="D2331">
        <v>5.6074010000000003</v>
      </c>
      <c r="E2331">
        <v>0.3858741</v>
      </c>
      <c r="F2331" t="s">
        <v>68</v>
      </c>
      <c r="G2331">
        <v>-511.95929999999998</v>
      </c>
      <c r="H2331">
        <v>1.979757</v>
      </c>
      <c r="I2331">
        <v>221.30199999999999</v>
      </c>
      <c r="J2331">
        <v>-484.50310000000002</v>
      </c>
      <c r="K2331">
        <v>1.135057</v>
      </c>
      <c r="L2331">
        <v>278.9486</v>
      </c>
      <c r="M2331">
        <v>-0.73647359999999995</v>
      </c>
      <c r="N2331">
        <v>-1.66024E-2</v>
      </c>
      <c r="O2331">
        <v>-0.67626239999999904</v>
      </c>
      <c r="P2331">
        <v>-0.66116969999999997</v>
      </c>
      <c r="Q2331">
        <v>0.1898445</v>
      </c>
      <c r="R2331">
        <v>-0.72581929999999995</v>
      </c>
      <c r="S2331">
        <v>-1.3754580000000001</v>
      </c>
      <c r="T2331">
        <v>4.2122239999999998E-2</v>
      </c>
      <c r="U2331">
        <v>-2.8807070000000001</v>
      </c>
      <c r="V2331">
        <v>-9.4471849999999996E-2</v>
      </c>
      <c r="W2331">
        <v>0.20292399999999999</v>
      </c>
      <c r="X2331">
        <v>0.97462649999999995</v>
      </c>
      <c r="Y2331">
        <v>-0.37339319999999998</v>
      </c>
      <c r="Z2331">
        <v>-2.0636990000000001E-2</v>
      </c>
      <c r="AA2331">
        <v>0.92744360000000003</v>
      </c>
      <c r="AB2331">
        <v>32</v>
      </c>
      <c r="AC2331">
        <v>-27.4561999999999</v>
      </c>
      <c r="AD2331">
        <v>0.84470000000000001</v>
      </c>
      <c r="AE2331">
        <v>-57.6465999999999</v>
      </c>
      <c r="AF2331">
        <v>-23.8867176836456</v>
      </c>
      <c r="AG2331">
        <v>0.84470000000000001</v>
      </c>
      <c r="AH2331">
        <v>59.202799483271598</v>
      </c>
      <c r="AI2331">
        <v>89.241934303661395</v>
      </c>
      <c r="AJ2331">
        <v>111.97273419402001</v>
      </c>
      <c r="AK2331">
        <v>63.845597079553201</v>
      </c>
      <c r="AL2331">
        <v>78.292000467797706</v>
      </c>
      <c r="AM2331">
        <v>95.536460150937302</v>
      </c>
      <c r="AN2331">
        <v>0.99999994736033404</v>
      </c>
    </row>
    <row r="2332" spans="1:40" x14ac:dyDescent="0.25">
      <c r="A2332" t="str">
        <f>"20190303170543714"</f>
        <v>20190303170543714</v>
      </c>
      <c r="B2332" t="str">
        <f>"1551603943707424"</f>
        <v>1551603943707424</v>
      </c>
      <c r="C2332" t="s">
        <v>40</v>
      </c>
      <c r="D2332">
        <v>5.632015</v>
      </c>
      <c r="E2332">
        <v>0.387237</v>
      </c>
      <c r="F2332" t="s">
        <v>68</v>
      </c>
      <c r="G2332">
        <v>-511.95929999999998</v>
      </c>
      <c r="H2332">
        <v>1.907143</v>
      </c>
      <c r="I2332">
        <v>220.35929999999999</v>
      </c>
      <c r="J2332">
        <v>-484.61989999999997</v>
      </c>
      <c r="K2332">
        <v>1.1350150000000001</v>
      </c>
      <c r="L2332">
        <v>278.83190000000002</v>
      </c>
      <c r="M2332">
        <v>-0.73087440000000004</v>
      </c>
      <c r="N2332">
        <v>-1.6590230000000001E-2</v>
      </c>
      <c r="O2332">
        <v>-0.68231030000000004</v>
      </c>
      <c r="P2332">
        <v>-0.65491769999999905</v>
      </c>
      <c r="Q2332">
        <v>0.1895172</v>
      </c>
      <c r="R2332">
        <v>-0.73155049999999999</v>
      </c>
      <c r="S2332">
        <v>-1.354187</v>
      </c>
      <c r="T2332">
        <v>3.8083550000000001E-2</v>
      </c>
      <c r="U2332">
        <v>-2.8897089999999999</v>
      </c>
      <c r="V2332">
        <v>-9.483142E-2</v>
      </c>
      <c r="W2332">
        <v>0.20258219999999999</v>
      </c>
      <c r="X2332">
        <v>0.97466269999999999</v>
      </c>
      <c r="Y2332">
        <v>-0.37243999999999999</v>
      </c>
      <c r="Z2332">
        <v>-2.0119809999999998E-2</v>
      </c>
      <c r="AA2332">
        <v>0.9278381</v>
      </c>
      <c r="AB2332">
        <v>32</v>
      </c>
      <c r="AC2332">
        <v>-27.339400000000001</v>
      </c>
      <c r="AD2332">
        <v>0.77212800000000004</v>
      </c>
      <c r="AE2332">
        <v>-58.4726</v>
      </c>
      <c r="AF2332">
        <v>-24.082041517861501</v>
      </c>
      <c r="AG2332">
        <v>0.77212800000000004</v>
      </c>
      <c r="AH2332">
        <v>59.8777998262197</v>
      </c>
      <c r="AI2332">
        <v>89.3145618076272</v>
      </c>
      <c r="AJ2332">
        <v>111.90932459225</v>
      </c>
      <c r="AK2332">
        <v>64.543720200692107</v>
      </c>
      <c r="AL2332">
        <v>78.311999727470706</v>
      </c>
      <c r="AM2332">
        <v>95.557195726764704</v>
      </c>
      <c r="AN2332">
        <v>0.99999996237367195</v>
      </c>
    </row>
    <row r="2333" spans="1:40" x14ac:dyDescent="0.25">
      <c r="A2333" t="str">
        <f>"20190303170543726"</f>
        <v>20190303170543726</v>
      </c>
      <c r="B2333" t="str">
        <f>"1551603943717184"</f>
        <v>1551603943717184</v>
      </c>
      <c r="C2333" t="s">
        <v>40</v>
      </c>
      <c r="D2333">
        <v>5.6546719999999997</v>
      </c>
      <c r="E2333">
        <v>0.38803900000000002</v>
      </c>
      <c r="F2333" t="s">
        <v>68</v>
      </c>
      <c r="G2333">
        <v>-511.95920000000001</v>
      </c>
      <c r="H2333">
        <v>1.6897720000000001</v>
      </c>
      <c r="I2333">
        <v>219.6979</v>
      </c>
      <c r="J2333">
        <v>-484.7457</v>
      </c>
      <c r="K2333">
        <v>1.1349640000000001</v>
      </c>
      <c r="L2333">
        <v>278.70499999999998</v>
      </c>
      <c r="M2333">
        <v>-0.72477769999999897</v>
      </c>
      <c r="N2333">
        <v>-1.657633E-2</v>
      </c>
      <c r="O2333">
        <v>-0.68878319999999904</v>
      </c>
      <c r="P2333">
        <v>-0.64820029999999995</v>
      </c>
      <c r="Q2333">
        <v>0.18899560000000001</v>
      </c>
      <c r="R2333">
        <v>-0.7376431</v>
      </c>
      <c r="S2333">
        <v>-1.3386229999999999</v>
      </c>
      <c r="T2333">
        <v>2.7165769999999999E-2</v>
      </c>
      <c r="U2333">
        <v>-2.8953859999999998</v>
      </c>
      <c r="V2333">
        <v>-9.5131229999999997E-2</v>
      </c>
      <c r="W2333">
        <v>0.20204800000000001</v>
      </c>
      <c r="X2333">
        <v>0.97474439999999996</v>
      </c>
      <c r="Y2333">
        <v>-0.36895139999999998</v>
      </c>
      <c r="Z2333">
        <v>-1.840145E-2</v>
      </c>
      <c r="AA2333">
        <v>0.9292665</v>
      </c>
      <c r="AB2333">
        <v>32</v>
      </c>
      <c r="AC2333">
        <v>-27.2135</v>
      </c>
      <c r="AD2333">
        <v>0.55480799999999997</v>
      </c>
      <c r="AE2333">
        <v>-59.007099999999902</v>
      </c>
      <c r="AF2333">
        <v>-24.0243809301396</v>
      </c>
      <c r="AG2333">
        <v>0.55480799999999997</v>
      </c>
      <c r="AH2333">
        <v>60.370737920463597</v>
      </c>
      <c r="AI2333">
        <v>89.510777834659805</v>
      </c>
      <c r="AJ2333">
        <v>111.699956132541</v>
      </c>
      <c r="AK2333">
        <v>64.977724552762098</v>
      </c>
      <c r="AL2333">
        <v>78.343253835400503</v>
      </c>
      <c r="AM2333">
        <v>95.574190024760796</v>
      </c>
      <c r="AN2333">
        <v>0.99999999527833605</v>
      </c>
    </row>
    <row r="2334" spans="1:40" x14ac:dyDescent="0.25">
      <c r="A2334" t="str">
        <f>"20190303170543739"</f>
        <v>20190303170543739</v>
      </c>
      <c r="B2334" t="str">
        <f>"1551603943726945"</f>
        <v>1551603943726945</v>
      </c>
      <c r="C2334" t="s">
        <v>40</v>
      </c>
      <c r="D2334">
        <v>5.6492509999999996</v>
      </c>
      <c r="E2334">
        <v>0.38859159999999998</v>
      </c>
      <c r="F2334" t="s">
        <v>68</v>
      </c>
      <c r="G2334">
        <v>-511.95909999999998</v>
      </c>
      <c r="H2334">
        <v>1.5685260000000001</v>
      </c>
      <c r="I2334">
        <v>218.72329999999999</v>
      </c>
      <c r="J2334">
        <v>-484.87650000000002</v>
      </c>
      <c r="K2334">
        <v>1.134898</v>
      </c>
      <c r="L2334">
        <v>278.57029999999997</v>
      </c>
      <c r="M2334">
        <v>-0.7183446</v>
      </c>
      <c r="N2334">
        <v>-1.6558819999999998E-2</v>
      </c>
      <c r="O2334">
        <v>-0.69549039999999995</v>
      </c>
      <c r="P2334">
        <v>-0.64090619999999998</v>
      </c>
      <c r="Q2334">
        <v>0.188361</v>
      </c>
      <c r="R2334">
        <v>-0.74415030000000004</v>
      </c>
      <c r="S2334">
        <v>-1.3175049999999999</v>
      </c>
      <c r="T2334">
        <v>2.0993350000000001E-2</v>
      </c>
      <c r="U2334">
        <v>-2.903931</v>
      </c>
      <c r="V2334">
        <v>-9.5732410000000004E-2</v>
      </c>
      <c r="W2334">
        <v>0.20139000000000001</v>
      </c>
      <c r="X2334">
        <v>0.97482170000000001</v>
      </c>
      <c r="Y2334">
        <v>-0.366925</v>
      </c>
      <c r="Z2334">
        <v>-1.7458680000000001E-2</v>
      </c>
      <c r="AA2334">
        <v>0.93008670000000004</v>
      </c>
      <c r="AB2334">
        <v>32</v>
      </c>
      <c r="AC2334">
        <v>-27.0825999999999</v>
      </c>
      <c r="AD2334">
        <v>0.43362800000000001</v>
      </c>
      <c r="AE2334">
        <v>-59.846999999999902</v>
      </c>
      <c r="AF2334">
        <v>-24.157339912779001</v>
      </c>
      <c r="AG2334">
        <v>0.43362800000000001</v>
      </c>
      <c r="AH2334">
        <v>61.083365314896298</v>
      </c>
      <c r="AI2334">
        <v>89.621770331952405</v>
      </c>
      <c r="AJ2334">
        <v>111.57787962518999</v>
      </c>
      <c r="AK2334">
        <v>65.688222864506002</v>
      </c>
      <c r="AL2334">
        <v>78.381745618041705</v>
      </c>
      <c r="AM2334">
        <v>95.608750113524707</v>
      </c>
      <c r="AN2334">
        <v>0.99999998660764899</v>
      </c>
    </row>
    <row r="2335" spans="1:40" x14ac:dyDescent="0.25">
      <c r="A2335" t="str">
        <f>"20190303170543752"</f>
        <v>20190303170543752</v>
      </c>
      <c r="B2335" t="str">
        <f>"1551603943747440"</f>
        <v>1551603943747440</v>
      </c>
      <c r="C2335" t="s">
        <v>40</v>
      </c>
      <c r="D2335">
        <v>5.661098</v>
      </c>
      <c r="E2335">
        <v>0.38922950000000001</v>
      </c>
      <c r="F2335" t="s">
        <v>70</v>
      </c>
      <c r="G2335">
        <v>-515.65239999999994</v>
      </c>
      <c r="H2335">
        <v>1.529984</v>
      </c>
      <c r="I2335">
        <v>209.2</v>
      </c>
      <c r="J2335">
        <v>-485.00049999999999</v>
      </c>
      <c r="K2335">
        <v>1.1348279999999999</v>
      </c>
      <c r="L2335">
        <v>278.44009999999997</v>
      </c>
      <c r="M2335">
        <v>-0.71215919999999999</v>
      </c>
      <c r="N2335">
        <v>-1.653957E-2</v>
      </c>
      <c r="O2335">
        <v>-0.70182309999999903</v>
      </c>
      <c r="P2335">
        <v>-0.63417080000000003</v>
      </c>
      <c r="Q2335">
        <v>0.1878427</v>
      </c>
      <c r="R2335">
        <v>-0.75002849999999999</v>
      </c>
      <c r="S2335">
        <v>-1.2927249999999999</v>
      </c>
      <c r="T2335">
        <v>1.6597870000000001E-2</v>
      </c>
      <c r="U2335">
        <v>-2.9138489999999999</v>
      </c>
      <c r="V2335">
        <v>-9.5932219999999999E-2</v>
      </c>
      <c r="W2335">
        <v>0.20086209999999999</v>
      </c>
      <c r="X2335">
        <v>0.97491099999999997</v>
      </c>
      <c r="Y2335">
        <v>-0.36645689999999997</v>
      </c>
      <c r="Z2335">
        <v>-1.67957E-2</v>
      </c>
      <c r="AA2335">
        <v>0.93028339999999998</v>
      </c>
      <c r="AB2335">
        <v>32</v>
      </c>
      <c r="AC2335">
        <v>-30.651899999999898</v>
      </c>
      <c r="AD2335">
        <v>0.39515599999999901</v>
      </c>
      <c r="AE2335">
        <v>-69.240099999999899</v>
      </c>
      <c r="AF2335">
        <v>-27.8008092936488</v>
      </c>
      <c r="AG2335">
        <v>0.39515599999999901</v>
      </c>
      <c r="AH2335">
        <v>70.431052387894297</v>
      </c>
      <c r="AI2335">
        <v>89.700993614968397</v>
      </c>
      <c r="AJ2335">
        <v>111.540327043948</v>
      </c>
      <c r="AK2335">
        <v>75.720369030482701</v>
      </c>
      <c r="AL2335">
        <v>78.412623374523903</v>
      </c>
      <c r="AM2335">
        <v>95.619870144011202</v>
      </c>
      <c r="AN2335">
        <v>1.00000001598576</v>
      </c>
    </row>
    <row r="2336" spans="1:40" x14ac:dyDescent="0.25">
      <c r="A2336" t="str">
        <f>"20190303170543764"</f>
        <v>20190303170543764</v>
      </c>
      <c r="B2336" t="str">
        <f>"1551603943757202"</f>
        <v>1551603943757202</v>
      </c>
      <c r="C2336" t="s">
        <v>40</v>
      </c>
      <c r="D2336">
        <v>5.6744680000000001</v>
      </c>
      <c r="E2336">
        <v>0.39832450000000003</v>
      </c>
      <c r="F2336" t="s">
        <v>70</v>
      </c>
      <c r="G2336">
        <v>-514.5616</v>
      </c>
      <c r="H2336">
        <v>1.4203539999999999</v>
      </c>
      <c r="I2336">
        <v>210.4254</v>
      </c>
      <c r="J2336">
        <v>-485.1207</v>
      </c>
      <c r="K2336">
        <v>1.134754</v>
      </c>
      <c r="L2336">
        <v>278.3125</v>
      </c>
      <c r="M2336">
        <v>-0.70609889999999997</v>
      </c>
      <c r="N2336">
        <v>-1.6520159999999999E-2</v>
      </c>
      <c r="O2336">
        <v>-0.70792049999999995</v>
      </c>
      <c r="P2336">
        <v>-0.62739489999999998</v>
      </c>
      <c r="Q2336">
        <v>0.1879835</v>
      </c>
      <c r="R2336">
        <v>-0.75567079999999998</v>
      </c>
      <c r="S2336">
        <v>-1.270294</v>
      </c>
      <c r="T2336">
        <v>1.2272119999999999E-2</v>
      </c>
      <c r="U2336">
        <v>-2.9226990000000002</v>
      </c>
      <c r="V2336">
        <v>-9.6269969999999996E-2</v>
      </c>
      <c r="W2336">
        <v>0.20098730000000001</v>
      </c>
      <c r="X2336">
        <v>0.97485189999999999</v>
      </c>
      <c r="Y2336">
        <v>-0.36547829999999998</v>
      </c>
      <c r="Z2336">
        <v>-1.6116080000000001E-2</v>
      </c>
      <c r="AA2336">
        <v>0.93068030000000002</v>
      </c>
      <c r="AB2336">
        <v>32</v>
      </c>
      <c r="AC2336">
        <v>-29.440899999999999</v>
      </c>
      <c r="AD2336">
        <v>0.28560000000000002</v>
      </c>
      <c r="AE2336">
        <v>-67.887100000000004</v>
      </c>
      <c r="AF2336">
        <v>-27.096484075547298</v>
      </c>
      <c r="AG2336">
        <v>0.28560000000000002</v>
      </c>
      <c r="AH2336">
        <v>68.855227534943594</v>
      </c>
      <c r="AI2336">
        <v>89.778855453663795</v>
      </c>
      <c r="AJ2336">
        <v>111.481044237852</v>
      </c>
      <c r="AK2336">
        <v>73.995563215001297</v>
      </c>
      <c r="AL2336">
        <v>78.405300589046604</v>
      </c>
      <c r="AM2336">
        <v>95.639868470847304</v>
      </c>
      <c r="AN2336">
        <v>1.0000000144093499</v>
      </c>
    </row>
    <row r="2337" spans="1:40" x14ac:dyDescent="0.25">
      <c r="A2337" t="str">
        <f>"20190303170543774"</f>
        <v>20190303170543774</v>
      </c>
      <c r="B2337" t="str">
        <f>"1551603943766961"</f>
        <v>1551603943766961</v>
      </c>
      <c r="C2337" t="s">
        <v>40</v>
      </c>
      <c r="D2337">
        <v>5.6872730000000002</v>
      </c>
      <c r="E2337">
        <v>0.39858840000000001</v>
      </c>
      <c r="F2337" t="s">
        <v>68</v>
      </c>
      <c r="G2337">
        <v>-511.95890000000003</v>
      </c>
      <c r="H2337">
        <v>0.80134550000000004</v>
      </c>
      <c r="I2337">
        <v>218.7139</v>
      </c>
      <c r="J2337">
        <v>-485.22280000000001</v>
      </c>
      <c r="K2337">
        <v>1.1346879999999999</v>
      </c>
      <c r="L2337">
        <v>278.2013</v>
      </c>
      <c r="M2337">
        <v>-0.70088399999999995</v>
      </c>
      <c r="N2337">
        <v>-1.65007E-2</v>
      </c>
      <c r="O2337">
        <v>-0.71308439999999995</v>
      </c>
      <c r="P2337">
        <v>-0.62164259999999905</v>
      </c>
      <c r="Q2337">
        <v>0.18815460000000001</v>
      </c>
      <c r="R2337">
        <v>-0.76036719999999902</v>
      </c>
      <c r="S2337">
        <v>-1.3025819999999999</v>
      </c>
      <c r="T2337">
        <v>-1.6178729999999999E-2</v>
      </c>
      <c r="U2337">
        <v>-2.8925779999999999</v>
      </c>
      <c r="V2337">
        <v>-9.6453120000000003E-2</v>
      </c>
      <c r="W2337">
        <v>0.20114799999999999</v>
      </c>
      <c r="X2337">
        <v>0.97480060000000002</v>
      </c>
      <c r="Y2337">
        <v>-0.3462924</v>
      </c>
      <c r="Z2337">
        <v>-1.083683E-2</v>
      </c>
      <c r="AA2337">
        <v>0.93806400000000001</v>
      </c>
      <c r="AB2337">
        <v>32</v>
      </c>
      <c r="AC2337">
        <v>-26.7361</v>
      </c>
      <c r="AD2337">
        <v>-0.33334249999999899</v>
      </c>
      <c r="AE2337">
        <v>-59.487400000000001</v>
      </c>
      <c r="AF2337">
        <v>-22.631160870880301</v>
      </c>
      <c r="AG2337">
        <v>-0.33334249999999899</v>
      </c>
      <c r="AH2337">
        <v>61.165170921609104</v>
      </c>
      <c r="AI2337">
        <v>90.292849240315206</v>
      </c>
      <c r="AJ2337">
        <v>110.30451295416999</v>
      </c>
      <c r="AK2337">
        <v>65.218545625118196</v>
      </c>
      <c r="AL2337">
        <v>78.395900627559797</v>
      </c>
      <c r="AM2337">
        <v>95.6508241793953</v>
      </c>
      <c r="AN2337">
        <v>0.99999996601104602</v>
      </c>
    </row>
    <row r="2338" spans="1:40" x14ac:dyDescent="0.25">
      <c r="A2338" t="str">
        <f>"20190303170543785"</f>
        <v>20190303170543785</v>
      </c>
      <c r="B2338" t="str">
        <f>"1551603943776721"</f>
        <v>1551603943776721</v>
      </c>
      <c r="C2338" t="s">
        <v>40</v>
      </c>
      <c r="D2338">
        <v>5.6647999999999996</v>
      </c>
      <c r="E2338">
        <v>0.39962160000000002</v>
      </c>
      <c r="F2338" t="s">
        <v>70</v>
      </c>
      <c r="G2338">
        <v>-515.7133</v>
      </c>
      <c r="H2338">
        <v>0.72114999999999996</v>
      </c>
      <c r="I2338">
        <v>209.2</v>
      </c>
      <c r="J2338">
        <v>-485.32260000000002</v>
      </c>
      <c r="K2338">
        <v>1.134619</v>
      </c>
      <c r="L2338">
        <v>278.09199999999998</v>
      </c>
      <c r="M2338">
        <v>-0.69574769999999997</v>
      </c>
      <c r="N2338">
        <v>-1.6481900000000001E-2</v>
      </c>
      <c r="O2338">
        <v>-0.71809719999999999</v>
      </c>
      <c r="P2338">
        <v>-0.6158148</v>
      </c>
      <c r="Q2338">
        <v>0.1880898</v>
      </c>
      <c r="R2338">
        <v>-0.76511079999999998</v>
      </c>
      <c r="S2338">
        <v>-1.2821659999999999</v>
      </c>
      <c r="T2338">
        <v>-1.7387150000000001E-2</v>
      </c>
      <c r="U2338">
        <v>-2.9015810000000002</v>
      </c>
      <c r="V2338">
        <v>-9.6878710000000007E-2</v>
      </c>
      <c r="W2338">
        <v>0.2010653</v>
      </c>
      <c r="X2338">
        <v>0.97477550000000002</v>
      </c>
      <c r="Y2338">
        <v>-0.34615400000000002</v>
      </c>
      <c r="Z2338">
        <v>-1.0630880000000001E-2</v>
      </c>
      <c r="AA2338">
        <v>0.93811739999999999</v>
      </c>
      <c r="AB2338">
        <v>32</v>
      </c>
      <c r="AC2338">
        <v>-30.390699999999899</v>
      </c>
      <c r="AD2338">
        <v>-0.41346899999999998</v>
      </c>
      <c r="AE2338">
        <v>-68.891999999999996</v>
      </c>
      <c r="AF2338">
        <v>-26.110732187385601</v>
      </c>
      <c r="AG2338">
        <v>-0.41346899999999998</v>
      </c>
      <c r="AH2338">
        <v>70.622872197075495</v>
      </c>
      <c r="AI2338">
        <v>90.314625694667896</v>
      </c>
      <c r="AJ2338">
        <v>110.290392722129</v>
      </c>
      <c r="AK2338">
        <v>75.296290541697999</v>
      </c>
      <c r="AL2338">
        <v>78.400738301833897</v>
      </c>
      <c r="AM2338">
        <v>95.675740646911905</v>
      </c>
      <c r="AN2338">
        <v>1.0000000073577999</v>
      </c>
    </row>
    <row r="2339" spans="1:40" x14ac:dyDescent="0.25">
      <c r="A2339" t="str">
        <f>"20190303170543795"</f>
        <v>20190303170543795</v>
      </c>
      <c r="B2339" t="str">
        <f>"1551603943787457"</f>
        <v>1551603943787457</v>
      </c>
      <c r="C2339" t="s">
        <v>40</v>
      </c>
      <c r="D2339">
        <v>5.6677879999999998</v>
      </c>
      <c r="E2339">
        <v>0.40055610000000003</v>
      </c>
      <c r="F2339" t="s">
        <v>70</v>
      </c>
      <c r="G2339">
        <v>-514.81119999999999</v>
      </c>
      <c r="H2339">
        <v>0.72009519999999905</v>
      </c>
      <c r="I2339">
        <v>210.4254</v>
      </c>
      <c r="J2339">
        <v>-485.42450000000002</v>
      </c>
      <c r="K2339">
        <v>1.1345400000000001</v>
      </c>
      <c r="L2339">
        <v>277.97809999999998</v>
      </c>
      <c r="M2339">
        <v>-0.6904515</v>
      </c>
      <c r="N2339">
        <v>-1.6460559999999999E-2</v>
      </c>
      <c r="O2339">
        <v>-0.72319140000000004</v>
      </c>
      <c r="P2339">
        <v>-0.60998669999999899</v>
      </c>
      <c r="Q2339">
        <v>0.18763869999999999</v>
      </c>
      <c r="R2339">
        <v>-0.76987539999999999</v>
      </c>
      <c r="S2339">
        <v>-1.2664489999999999</v>
      </c>
      <c r="T2339">
        <v>-1.7799849999999999E-2</v>
      </c>
      <c r="U2339">
        <v>-2.9060670000000002</v>
      </c>
      <c r="V2339">
        <v>-9.713956E-2</v>
      </c>
      <c r="W2339">
        <v>0.20060339999999999</v>
      </c>
      <c r="X2339">
        <v>0.97484470000000001</v>
      </c>
      <c r="Y2339">
        <v>-0.34404820000000003</v>
      </c>
      <c r="Z2339">
        <v>-1.055004E-2</v>
      </c>
      <c r="AA2339">
        <v>0.93889270000000002</v>
      </c>
      <c r="AB2339">
        <v>32</v>
      </c>
      <c r="AC2339">
        <v>-29.386699999999902</v>
      </c>
      <c r="AD2339">
        <v>-0.4144448</v>
      </c>
      <c r="AE2339">
        <v>-67.552699999999902</v>
      </c>
      <c r="AF2339">
        <v>-25.3922907023622</v>
      </c>
      <c r="AG2339">
        <v>-0.4144448</v>
      </c>
      <c r="AH2339">
        <v>69.150802413209504</v>
      </c>
      <c r="AI2339">
        <v>90.322344870732195</v>
      </c>
      <c r="AJ2339">
        <v>110.163319829968</v>
      </c>
      <c r="AK2339">
        <v>73.666638758641994</v>
      </c>
      <c r="AL2339">
        <v>78.427753611093195</v>
      </c>
      <c r="AM2339">
        <v>95.690521315081497</v>
      </c>
      <c r="AN2339">
        <v>1.0000000036633201</v>
      </c>
    </row>
    <row r="2340" spans="1:40" x14ac:dyDescent="0.25">
      <c r="A2340" t="str">
        <f>"20190303170543806"</f>
        <v>20190303170543806</v>
      </c>
      <c r="B2340" t="str">
        <f>"1551603943797217"</f>
        <v>1551603943797217</v>
      </c>
      <c r="C2340" t="s">
        <v>40</v>
      </c>
      <c r="D2340">
        <v>5.6869129999999997</v>
      </c>
      <c r="E2340">
        <v>0.40111330000000001</v>
      </c>
      <c r="F2340" t="s">
        <v>70</v>
      </c>
      <c r="G2340">
        <v>-514.41759999999999</v>
      </c>
      <c r="H2340">
        <v>0.64197499999999996</v>
      </c>
      <c r="I2340">
        <v>210.4255</v>
      </c>
      <c r="J2340">
        <v>-485.51679999999999</v>
      </c>
      <c r="K2340">
        <v>1.1344590000000001</v>
      </c>
      <c r="L2340">
        <v>277.87400000000002</v>
      </c>
      <c r="M2340">
        <v>-0.68561759999999905</v>
      </c>
      <c r="N2340">
        <v>-1.6441069999999999E-2</v>
      </c>
      <c r="O2340">
        <v>-0.72777650000000005</v>
      </c>
      <c r="P2340">
        <v>-0.60421899999999995</v>
      </c>
      <c r="Q2340">
        <v>0.18685950000000001</v>
      </c>
      <c r="R2340">
        <v>-0.77459899999999904</v>
      </c>
      <c r="S2340">
        <v>-1.249695</v>
      </c>
      <c r="T2340">
        <v>-2.122831E-2</v>
      </c>
      <c r="U2340">
        <v>-2.9117130000000002</v>
      </c>
      <c r="V2340">
        <v>-9.7994659999999997E-2</v>
      </c>
      <c r="W2340">
        <v>0.1997932</v>
      </c>
      <c r="X2340">
        <v>0.9749255</v>
      </c>
      <c r="Y2340">
        <v>-0.34300380000000003</v>
      </c>
      <c r="Z2340">
        <v>-9.8977690000000007E-3</v>
      </c>
      <c r="AA2340">
        <v>0.9392819</v>
      </c>
      <c r="AB2340">
        <v>32</v>
      </c>
      <c r="AC2340">
        <v>-28.9008</v>
      </c>
      <c r="AD2340">
        <v>-0.49248399999999998</v>
      </c>
      <c r="AE2340">
        <v>-67.448499999999996</v>
      </c>
      <c r="AF2340">
        <v>-25.212822450920498</v>
      </c>
      <c r="AG2340">
        <v>-0.49248399999999998</v>
      </c>
      <c r="AH2340">
        <v>68.908525805887393</v>
      </c>
      <c r="AI2340">
        <v>90.384550015935005</v>
      </c>
      <c r="AJ2340">
        <v>110.096981010089</v>
      </c>
      <c r="AK2340">
        <v>73.377884169363696</v>
      </c>
      <c r="AL2340">
        <v>78.475133843333893</v>
      </c>
      <c r="AM2340">
        <v>95.739808179619303</v>
      </c>
      <c r="AN2340">
        <v>1.0000000033525001</v>
      </c>
    </row>
    <row r="2341" spans="1:40" x14ac:dyDescent="0.25">
      <c r="A2341" t="str">
        <f>"20190303170543818"</f>
        <v>20190303170543818</v>
      </c>
      <c r="B2341" t="str">
        <f>"1551603943806652"</f>
        <v>1551603943806652</v>
      </c>
      <c r="C2341" t="s">
        <v>40</v>
      </c>
      <c r="D2341">
        <v>5.6943890000000001</v>
      </c>
      <c r="E2341">
        <v>0.4018775</v>
      </c>
      <c r="F2341" t="s">
        <v>70</v>
      </c>
      <c r="G2341">
        <v>-513.99289999999996</v>
      </c>
      <c r="H2341">
        <v>0.56263419999999997</v>
      </c>
      <c r="I2341">
        <v>210.4254</v>
      </c>
      <c r="J2341">
        <v>-485.63659999999999</v>
      </c>
      <c r="K2341">
        <v>1.1343540000000001</v>
      </c>
      <c r="L2341">
        <v>277.73630000000003</v>
      </c>
      <c r="M2341">
        <v>-0.679284</v>
      </c>
      <c r="N2341">
        <v>-1.6413589999999999E-2</v>
      </c>
      <c r="O2341">
        <v>-0.73369200000000001</v>
      </c>
      <c r="P2341">
        <v>-0.59692789999999996</v>
      </c>
      <c r="Q2341">
        <v>0.1861874</v>
      </c>
      <c r="R2341">
        <v>-0.78039219999999998</v>
      </c>
      <c r="S2341">
        <v>-1.2319340000000001</v>
      </c>
      <c r="T2341">
        <v>-2.4735449999999999E-2</v>
      </c>
      <c r="U2341">
        <v>-2.9179379999999999</v>
      </c>
      <c r="V2341">
        <v>-9.8725800000000002E-2</v>
      </c>
      <c r="W2341">
        <v>0.19909470000000001</v>
      </c>
      <c r="X2341">
        <v>0.97499460000000004</v>
      </c>
      <c r="Y2341">
        <v>-0.34042250000000002</v>
      </c>
      <c r="Z2341">
        <v>-9.2017460000000002E-3</v>
      </c>
      <c r="AA2341">
        <v>0.94022760000000005</v>
      </c>
      <c r="AB2341">
        <v>32</v>
      </c>
      <c r="AC2341">
        <v>-28.356299999999901</v>
      </c>
      <c r="AD2341">
        <v>-0.5717198</v>
      </c>
      <c r="AE2341">
        <v>-67.310900000000004</v>
      </c>
      <c r="AF2341">
        <v>-24.920255981094002</v>
      </c>
      <c r="AG2341">
        <v>-0.5717198</v>
      </c>
      <c r="AH2341">
        <v>68.652488544500997</v>
      </c>
      <c r="AI2341">
        <v>90.448500597130504</v>
      </c>
      <c r="AJ2341">
        <v>109.950456704571</v>
      </c>
      <c r="AK2341">
        <v>73.037731379375501</v>
      </c>
      <c r="AL2341">
        <v>78.5159751744321</v>
      </c>
      <c r="AM2341">
        <v>95.781936838823597</v>
      </c>
      <c r="AN2341">
        <v>0.99999997659144402</v>
      </c>
    </row>
    <row r="2342" spans="1:40" x14ac:dyDescent="0.25">
      <c r="A2342" t="str">
        <f>"20190303170543831"</f>
        <v>20190303170543831</v>
      </c>
      <c r="B2342" t="str">
        <f>"1551603943817365"</f>
        <v>1551603943817365</v>
      </c>
      <c r="C2342" t="s">
        <v>40</v>
      </c>
      <c r="D2342">
        <v>5.7261129999999998</v>
      </c>
      <c r="E2342">
        <v>0.40247939999999999</v>
      </c>
      <c r="F2342" t="s">
        <v>70</v>
      </c>
      <c r="G2342">
        <v>-513.47170000000006</v>
      </c>
      <c r="H2342">
        <v>0.46687669999999998</v>
      </c>
      <c r="I2342">
        <v>210.4255</v>
      </c>
      <c r="J2342">
        <v>-485.74119999999999</v>
      </c>
      <c r="K2342">
        <v>1.1342570000000001</v>
      </c>
      <c r="L2342">
        <v>277.61410000000001</v>
      </c>
      <c r="M2342">
        <v>-0.67370889999999894</v>
      </c>
      <c r="N2342">
        <v>-1.6388219999999998E-2</v>
      </c>
      <c r="O2342">
        <v>-0.73881509999999995</v>
      </c>
      <c r="P2342">
        <v>-0.59014960000000005</v>
      </c>
      <c r="Q2342">
        <v>0.18539310000000001</v>
      </c>
      <c r="R2342">
        <v>-0.78571800000000003</v>
      </c>
      <c r="S2342">
        <v>-1.2098690000000001</v>
      </c>
      <c r="T2342">
        <v>-2.9009460000000001E-2</v>
      </c>
      <c r="U2342">
        <v>-2.9256899999999999</v>
      </c>
      <c r="V2342">
        <v>-9.9839200000000003E-2</v>
      </c>
      <c r="W2342">
        <v>0.1982614</v>
      </c>
      <c r="X2342">
        <v>0.975051</v>
      </c>
      <c r="Y2342">
        <v>-0.34022599999999997</v>
      </c>
      <c r="Z2342">
        <v>-8.3586600000000004E-3</v>
      </c>
      <c r="AA2342">
        <v>0.94030650000000005</v>
      </c>
      <c r="AB2342">
        <v>32</v>
      </c>
      <c r="AC2342">
        <v>-27.730499999999999</v>
      </c>
      <c r="AD2342">
        <v>-0.66738030000000004</v>
      </c>
      <c r="AE2342">
        <v>-67.188599999999994</v>
      </c>
      <c r="AF2342">
        <v>-24.779084634388099</v>
      </c>
      <c r="AG2342">
        <v>-0.66738030000000004</v>
      </c>
      <c r="AH2342">
        <v>68.325653195517503</v>
      </c>
      <c r="AI2342">
        <v>90.5260999407773</v>
      </c>
      <c r="AJ2342">
        <v>109.933759351856</v>
      </c>
      <c r="AK2342">
        <v>72.683170791986797</v>
      </c>
      <c r="AL2342">
        <v>78.564690606358695</v>
      </c>
      <c r="AM2342">
        <v>95.846358708800196</v>
      </c>
      <c r="AN2342">
        <v>0.99999995059379798</v>
      </c>
    </row>
    <row r="2343" spans="1:40" x14ac:dyDescent="0.25">
      <c r="A2343" t="str">
        <f>"20190303170543841"</f>
        <v>20190303170543841</v>
      </c>
      <c r="B2343" t="str">
        <f>"1551603943836884"</f>
        <v>1551603943836884</v>
      </c>
      <c r="C2343" t="s">
        <v>40</v>
      </c>
      <c r="D2343">
        <v>5.7410139999999998</v>
      </c>
      <c r="E2343">
        <v>0.40894779999999997</v>
      </c>
      <c r="F2343" t="s">
        <v>70</v>
      </c>
      <c r="G2343">
        <v>-512.976</v>
      </c>
      <c r="H2343">
        <v>0.3469759</v>
      </c>
      <c r="I2343">
        <v>210.4254</v>
      </c>
      <c r="J2343">
        <v>-485.84710000000001</v>
      </c>
      <c r="K2343">
        <v>1.1341509999999999</v>
      </c>
      <c r="L2343">
        <v>277.48910000000001</v>
      </c>
      <c r="M2343">
        <v>-0.66802569999999994</v>
      </c>
      <c r="N2343">
        <v>-1.636263E-2</v>
      </c>
      <c r="O2343">
        <v>-0.74395840000000002</v>
      </c>
      <c r="P2343">
        <v>-0.58349209999999996</v>
      </c>
      <c r="Q2343">
        <v>0.18492790000000001</v>
      </c>
      <c r="R2343">
        <v>-0.79078359999999903</v>
      </c>
      <c r="S2343">
        <v>-1.188995</v>
      </c>
      <c r="T2343">
        <v>-3.4367679999999998E-2</v>
      </c>
      <c r="U2343">
        <v>-2.9332579999999999</v>
      </c>
      <c r="V2343">
        <v>-0.10061</v>
      </c>
      <c r="W2343">
        <v>0.19776879999999999</v>
      </c>
      <c r="X2343">
        <v>0.97507180000000004</v>
      </c>
      <c r="Y2343">
        <v>-0.339597599999999</v>
      </c>
      <c r="Z2343">
        <v>-7.27926599999999E-3</v>
      </c>
      <c r="AA2343">
        <v>0.94054260000000001</v>
      </c>
      <c r="AB2343">
        <v>32</v>
      </c>
      <c r="AC2343">
        <v>-27.128899999999899</v>
      </c>
      <c r="AD2343">
        <v>-0.78717510000000002</v>
      </c>
      <c r="AE2343">
        <v>-67.063699999999997</v>
      </c>
      <c r="AF2343">
        <v>-24.617881389934599</v>
      </c>
      <c r="AG2343">
        <v>-0.78717510000000002</v>
      </c>
      <c r="AH2343">
        <v>68.016453300335201</v>
      </c>
      <c r="AI2343">
        <v>90.623492784164995</v>
      </c>
      <c r="AJ2343">
        <v>109.897221173915</v>
      </c>
      <c r="AK2343">
        <v>72.338770022192307</v>
      </c>
      <c r="AL2343">
        <v>78.593484570460703</v>
      </c>
      <c r="AM2343">
        <v>95.891053987774697</v>
      </c>
      <c r="AN2343">
        <v>0.99999994275433801</v>
      </c>
    </row>
    <row r="2344" spans="1:40" x14ac:dyDescent="0.25">
      <c r="A2344" t="str">
        <f>"20190303170543853"</f>
        <v>20190303170543853</v>
      </c>
      <c r="B2344" t="str">
        <f>"1551603943846645"</f>
        <v>1551603943846645</v>
      </c>
      <c r="C2344" t="s">
        <v>40</v>
      </c>
      <c r="D2344">
        <v>5.7700659999999999</v>
      </c>
      <c r="E2344">
        <v>0.40894779999999997</v>
      </c>
      <c r="F2344" t="s">
        <v>70</v>
      </c>
      <c r="G2344">
        <v>-513.60450000000003</v>
      </c>
      <c r="H2344">
        <v>1.998788E-2</v>
      </c>
      <c r="I2344">
        <v>210.4254</v>
      </c>
      <c r="J2344">
        <v>-485.9529</v>
      </c>
      <c r="K2344">
        <v>1.1340399999999999</v>
      </c>
      <c r="L2344">
        <v>277.36149999999998</v>
      </c>
      <c r="M2344">
        <v>-0.66231569999999995</v>
      </c>
      <c r="N2344">
        <v>-1.6333770000000001E-2</v>
      </c>
      <c r="O2344">
        <v>-0.74904700000000002</v>
      </c>
      <c r="P2344">
        <v>-0.57717589999999996</v>
      </c>
      <c r="Q2344">
        <v>0.18449879999999999</v>
      </c>
      <c r="R2344">
        <v>-0.79550520000000002</v>
      </c>
      <c r="S2344">
        <v>-1.2064509999999999</v>
      </c>
      <c r="T2344">
        <v>-4.8423290000000001E-2</v>
      </c>
      <c r="U2344">
        <v>-2.9148559999999999</v>
      </c>
      <c r="V2344">
        <v>-0.1009163</v>
      </c>
      <c r="W2344">
        <v>0.197328</v>
      </c>
      <c r="X2344">
        <v>0.97512949999999998</v>
      </c>
      <c r="Y2344">
        <v>-0.32546170000000002</v>
      </c>
      <c r="Z2344">
        <v>-4.2496820000000003E-3</v>
      </c>
      <c r="AA2344">
        <v>0.94554570000000004</v>
      </c>
      <c r="AB2344">
        <v>32</v>
      </c>
      <c r="AC2344">
        <v>-27.651599999999998</v>
      </c>
      <c r="AD2344">
        <v>-1.11405212</v>
      </c>
      <c r="AE2344">
        <v>-66.936099999999897</v>
      </c>
      <c r="AF2344">
        <v>-23.618041396735599</v>
      </c>
      <c r="AG2344">
        <v>-1.11405212</v>
      </c>
      <c r="AH2344">
        <v>68.445301101373204</v>
      </c>
      <c r="AI2344">
        <v>90.881498765927205</v>
      </c>
      <c r="AJ2344">
        <v>109.037735137583</v>
      </c>
      <c r="AK2344">
        <v>72.4141715025563</v>
      </c>
      <c r="AL2344">
        <v>78.619248824056697</v>
      </c>
      <c r="AM2344">
        <v>95.908515014776896</v>
      </c>
      <c r="AN2344">
        <v>0.99999999047997001</v>
      </c>
    </row>
    <row r="2345" spans="1:40" x14ac:dyDescent="0.25">
      <c r="A2345" t="str">
        <f>"20190303170543865"</f>
        <v>20190303170543865</v>
      </c>
      <c r="B2345" t="str">
        <f>"1551603943857380"</f>
        <v>1551603943857380</v>
      </c>
      <c r="C2345" t="s">
        <v>40</v>
      </c>
      <c r="D2345">
        <v>5.726254</v>
      </c>
      <c r="E2345">
        <v>0.40085739999999997</v>
      </c>
      <c r="F2345" t="s">
        <v>70</v>
      </c>
      <c r="G2345">
        <v>-513.04150000000004</v>
      </c>
      <c r="H2345">
        <v>-1.5944360000000001E-2</v>
      </c>
      <c r="I2345">
        <v>210.4254</v>
      </c>
      <c r="J2345">
        <v>-486.05439999999999</v>
      </c>
      <c r="K2345">
        <v>1.1339349999999999</v>
      </c>
      <c r="L2345">
        <v>277.23809999999997</v>
      </c>
      <c r="M2345">
        <v>-0.6567984</v>
      </c>
      <c r="N2345">
        <v>-1.6306499999999901E-2</v>
      </c>
      <c r="O2345">
        <v>-0.7538899</v>
      </c>
      <c r="P2345">
        <v>-0.57123859999999904</v>
      </c>
      <c r="Q2345">
        <v>0.18418999999999999</v>
      </c>
      <c r="R2345">
        <v>-0.79985030000000001</v>
      </c>
      <c r="S2345">
        <v>-1.183411</v>
      </c>
      <c r="T2345">
        <v>-5.0235990000000001E-2</v>
      </c>
      <c r="U2345">
        <v>-2.924194</v>
      </c>
      <c r="V2345">
        <v>-0.10099900000000001</v>
      </c>
      <c r="W2345">
        <v>0.19701569999999999</v>
      </c>
      <c r="X2345">
        <v>0.9751841</v>
      </c>
      <c r="Y2345">
        <v>-0.32596819999999999</v>
      </c>
      <c r="Z2345">
        <v>-3.8371799999999999E-3</v>
      </c>
      <c r="AA2345">
        <v>0.94537289999999996</v>
      </c>
      <c r="AB2345">
        <v>32</v>
      </c>
      <c r="AC2345">
        <v>-26.987100000000002</v>
      </c>
      <c r="AD2345">
        <v>-1.1498793599999999</v>
      </c>
      <c r="AE2345">
        <v>-66.812699999999893</v>
      </c>
      <c r="AF2345">
        <v>-23.5343089046332</v>
      </c>
      <c r="AG2345">
        <v>-1.1498793599999999</v>
      </c>
      <c r="AH2345">
        <v>68.086219727485002</v>
      </c>
      <c r="AI2345">
        <v>90.914473687678296</v>
      </c>
      <c r="AJ2345">
        <v>109.06793948631901</v>
      </c>
      <c r="AK2345">
        <v>72.048034219821901</v>
      </c>
      <c r="AL2345">
        <v>78.637500782008104</v>
      </c>
      <c r="AM2345">
        <v>95.912993955621104</v>
      </c>
      <c r="AN2345">
        <v>1.00000000647015</v>
      </c>
    </row>
    <row r="2346" spans="1:40" x14ac:dyDescent="0.25">
      <c r="A2346" t="str">
        <f>"20190303170543875"</f>
        <v>20190303170543875</v>
      </c>
      <c r="B2346" t="str">
        <f>"1551603943867141"</f>
        <v>1551603943867141</v>
      </c>
      <c r="C2346" t="s">
        <v>40</v>
      </c>
      <c r="D2346">
        <v>5.6796879999999996</v>
      </c>
      <c r="E2346">
        <v>0.39793909999999899</v>
      </c>
      <c r="F2346" t="s">
        <v>70</v>
      </c>
      <c r="G2346">
        <v>-511.05869999999999</v>
      </c>
      <c r="H2346">
        <v>0.12997419999999901</v>
      </c>
      <c r="I2346">
        <v>210.2672</v>
      </c>
      <c r="J2346">
        <v>-486.15609999999998</v>
      </c>
      <c r="K2346">
        <v>1.133826</v>
      </c>
      <c r="L2346">
        <v>277.11169999999998</v>
      </c>
      <c r="M2346">
        <v>-0.651236699999999</v>
      </c>
      <c r="N2346">
        <v>-1.6276579999999999E-2</v>
      </c>
      <c r="O2346">
        <v>-0.75870019999999905</v>
      </c>
      <c r="P2346">
        <v>-0.56535459999999904</v>
      </c>
      <c r="Q2346">
        <v>0.18396699999999999</v>
      </c>
      <c r="R2346">
        <v>-0.80407119999999999</v>
      </c>
      <c r="S2346">
        <v>-1.108582</v>
      </c>
      <c r="T2346">
        <v>-4.4508220000000001E-2</v>
      </c>
      <c r="U2346">
        <v>-2.9691770000000002</v>
      </c>
      <c r="V2346">
        <v>-0.1009525</v>
      </c>
      <c r="W2346">
        <v>0.1967923</v>
      </c>
      <c r="X2346">
        <v>0.97523400000000005</v>
      </c>
      <c r="Y2346">
        <v>-0.34468019999999999</v>
      </c>
      <c r="Z2346">
        <v>-5.2071280000000001E-3</v>
      </c>
      <c r="AA2346">
        <v>0.93870569999999998</v>
      </c>
      <c r="AB2346">
        <v>32</v>
      </c>
      <c r="AC2346">
        <v>-24.9026</v>
      </c>
      <c r="AD2346">
        <v>-1.0038518000000001</v>
      </c>
      <c r="AE2346">
        <v>-66.844499999999897</v>
      </c>
      <c r="AF2346">
        <v>-24.636367191034601</v>
      </c>
      <c r="AG2346">
        <v>-1.0038518000000001</v>
      </c>
      <c r="AH2346">
        <v>66.928030303670099</v>
      </c>
      <c r="AI2346">
        <v>90.8064214378972</v>
      </c>
      <c r="AJ2346">
        <v>110.208781258126</v>
      </c>
      <c r="AK2346">
        <v>71.325448103301994</v>
      </c>
      <c r="AL2346">
        <v>78.650556009788602</v>
      </c>
      <c r="AM2346">
        <v>95.909990612344401</v>
      </c>
      <c r="AN2346">
        <v>0.99999998567576898</v>
      </c>
    </row>
    <row r="2347" spans="1:40" x14ac:dyDescent="0.25">
      <c r="A2347" t="str">
        <f>"20190303170543891"</f>
        <v>20190303170543891</v>
      </c>
      <c r="B2347" t="str">
        <f>"1551603943876901"</f>
        <v>1551603943876901</v>
      </c>
      <c r="C2347" t="s">
        <v>40</v>
      </c>
      <c r="D2347">
        <v>5.7234290000000003</v>
      </c>
      <c r="E2347">
        <v>0.39615250000000002</v>
      </c>
      <c r="F2347" t="s">
        <v>70</v>
      </c>
      <c r="G2347">
        <v>-511.05869999999999</v>
      </c>
      <c r="H2347">
        <v>0.2036916</v>
      </c>
      <c r="I2347">
        <v>207.3672</v>
      </c>
      <c r="J2347">
        <v>-486.2817</v>
      </c>
      <c r="K2347">
        <v>1.1336820000000001</v>
      </c>
      <c r="L2347">
        <v>276.95339999999999</v>
      </c>
      <c r="M2347">
        <v>-0.64432840000000002</v>
      </c>
      <c r="N2347">
        <v>-1.6238820000000001E-2</v>
      </c>
      <c r="O2347">
        <v>-0.76457649999999999</v>
      </c>
      <c r="P2347">
        <v>-0.55813429999999997</v>
      </c>
      <c r="Q2347">
        <v>0.1833198</v>
      </c>
      <c r="R2347">
        <v>-0.80924680000000004</v>
      </c>
      <c r="S2347">
        <v>-1.0674440000000001</v>
      </c>
      <c r="T2347">
        <v>-3.9867159999999999E-2</v>
      </c>
      <c r="U2347">
        <v>-2.989563</v>
      </c>
      <c r="V2347">
        <v>-0.10083880000000001</v>
      </c>
      <c r="W2347">
        <v>0.19614709999999999</v>
      </c>
      <c r="X2347">
        <v>0.97537580000000002</v>
      </c>
      <c r="Y2347">
        <v>-0.34967229999999999</v>
      </c>
      <c r="Z2347">
        <v>-6.1655729999999997E-3</v>
      </c>
      <c r="AA2347">
        <v>0.93685180000000001</v>
      </c>
      <c r="AB2347">
        <v>32</v>
      </c>
      <c r="AC2347">
        <v>-24.776999999999902</v>
      </c>
      <c r="AD2347">
        <v>-0.92999039999999999</v>
      </c>
      <c r="AE2347">
        <v>-69.586199999999906</v>
      </c>
      <c r="AF2347">
        <v>-25.891763171566001</v>
      </c>
      <c r="AG2347">
        <v>-0.92999039999999999</v>
      </c>
      <c r="AH2347">
        <v>69.166655306035196</v>
      </c>
      <c r="AI2347">
        <v>90.7214467317811</v>
      </c>
      <c r="AJ2347">
        <v>110.522824967017</v>
      </c>
      <c r="AK2347">
        <v>73.859830005899994</v>
      </c>
      <c r="AL2347">
        <v>78.688258800203201</v>
      </c>
      <c r="AM2347">
        <v>95.902529215204297</v>
      </c>
      <c r="AN2347">
        <v>1.0000000498247399</v>
      </c>
    </row>
    <row r="2348" spans="1:40" x14ac:dyDescent="0.25">
      <c r="A2348" t="str">
        <f>"20190303170543902"</f>
        <v>20190303170543902</v>
      </c>
      <c r="B2348" t="str">
        <f>"1551603943897396"</f>
        <v>1551603943897396</v>
      </c>
      <c r="C2348" t="s">
        <v>40</v>
      </c>
      <c r="D2348">
        <v>5.7293810000000001</v>
      </c>
      <c r="E2348">
        <v>0.394818</v>
      </c>
      <c r="F2348" t="s">
        <v>70</v>
      </c>
      <c r="G2348">
        <v>-511.92520000000002</v>
      </c>
      <c r="H2348">
        <v>0.14368989999999901</v>
      </c>
      <c r="I2348">
        <v>202.00120000000001</v>
      </c>
      <c r="J2348">
        <v>-486.38400000000001</v>
      </c>
      <c r="K2348">
        <v>1.1335569999999999</v>
      </c>
      <c r="L2348">
        <v>276.82319999999999</v>
      </c>
      <c r="M2348">
        <v>-0.63866889999999998</v>
      </c>
      <c r="N2348">
        <v>-1.620802E-2</v>
      </c>
      <c r="O2348">
        <v>-0.76931099999999997</v>
      </c>
      <c r="P2348">
        <v>-0.55221239999999905</v>
      </c>
      <c r="Q2348">
        <v>0.1826198</v>
      </c>
      <c r="R2348">
        <v>-0.81345669999999903</v>
      </c>
      <c r="S2348">
        <v>-1.0286869999999999</v>
      </c>
      <c r="T2348">
        <v>-3.9710759999999998E-2</v>
      </c>
      <c r="U2348">
        <v>-3.0066830000000002</v>
      </c>
      <c r="V2348">
        <v>-0.1007806</v>
      </c>
      <c r="W2348">
        <v>0.19544890000000001</v>
      </c>
      <c r="X2348">
        <v>0.97552190000000005</v>
      </c>
      <c r="Y2348">
        <v>-0.35520970000000002</v>
      </c>
      <c r="Z2348">
        <v>-6.2232590000000001E-3</v>
      </c>
      <c r="AA2348">
        <v>0.93476590000000004</v>
      </c>
      <c r="AB2348">
        <v>32</v>
      </c>
      <c r="AC2348">
        <v>-25.5412</v>
      </c>
      <c r="AD2348">
        <v>-0.9898671</v>
      </c>
      <c r="AE2348">
        <v>-74.821999999999903</v>
      </c>
      <c r="AF2348">
        <v>-28.136643179263402</v>
      </c>
      <c r="AG2348">
        <v>-0.9898671</v>
      </c>
      <c r="AH2348">
        <v>73.871880164127802</v>
      </c>
      <c r="AI2348">
        <v>90.717432596616007</v>
      </c>
      <c r="AJ2348">
        <v>110.851054146724</v>
      </c>
      <c r="AK2348">
        <v>79.055077036557904</v>
      </c>
      <c r="AL2348">
        <v>78.729051613649702</v>
      </c>
      <c r="AM2348">
        <v>95.898269287554299</v>
      </c>
      <c r="AN2348">
        <v>0.99999998961359005</v>
      </c>
    </row>
    <row r="2349" spans="1:40" x14ac:dyDescent="0.25">
      <c r="A2349" t="str">
        <f>"20190303170543914"</f>
        <v>20190303170543914</v>
      </c>
      <c r="B2349" t="str">
        <f>"1551603943907156"</f>
        <v>1551603943907156</v>
      </c>
      <c r="C2349" t="s">
        <v>40</v>
      </c>
      <c r="D2349">
        <v>5.7442690000000001</v>
      </c>
      <c r="E2349">
        <v>0.39456340000000001</v>
      </c>
      <c r="F2349" t="s">
        <v>70</v>
      </c>
      <c r="G2349">
        <v>-511.92520000000002</v>
      </c>
      <c r="H2349">
        <v>4.8756059999999997E-2</v>
      </c>
      <c r="I2349">
        <v>199.511</v>
      </c>
      <c r="J2349">
        <v>-486.48320000000001</v>
      </c>
      <c r="K2349">
        <v>1.1334340000000001</v>
      </c>
      <c r="L2349">
        <v>276.69369999999998</v>
      </c>
      <c r="M2349">
        <v>-0.63315679999999996</v>
      </c>
      <c r="N2349">
        <v>-1.6176139999999999E-2</v>
      </c>
      <c r="O2349">
        <v>-0.77385470000000001</v>
      </c>
      <c r="P2349">
        <v>-0.54621409999999904</v>
      </c>
      <c r="Q2349">
        <v>0.1818158</v>
      </c>
      <c r="R2349">
        <v>-0.81767570000000001</v>
      </c>
      <c r="S2349">
        <v>-0.9977722</v>
      </c>
      <c r="T2349">
        <v>-4.2375450000000002E-2</v>
      </c>
      <c r="U2349">
        <v>-3.020203</v>
      </c>
      <c r="V2349">
        <v>-0.1010172</v>
      </c>
      <c r="W2349">
        <v>0.19463659999999999</v>
      </c>
      <c r="X2349">
        <v>0.97565979999999997</v>
      </c>
      <c r="Y2349">
        <v>-0.35840660000000002</v>
      </c>
      <c r="Z2349">
        <v>-5.6724940000000001E-3</v>
      </c>
      <c r="AA2349">
        <v>0.9335483</v>
      </c>
      <c r="AB2349">
        <v>32</v>
      </c>
      <c r="AC2349">
        <v>-25.442</v>
      </c>
      <c r="AD2349">
        <v>-1.08467794</v>
      </c>
      <c r="AE2349">
        <v>-77.182699999999897</v>
      </c>
      <c r="AF2349">
        <v>-29.1789562791237</v>
      </c>
      <c r="AG2349">
        <v>-1.08467794</v>
      </c>
      <c r="AH2349">
        <v>75.8333741165291</v>
      </c>
      <c r="AI2349">
        <v>90.764814647087903</v>
      </c>
      <c r="AJ2349">
        <v>111.045589087675</v>
      </c>
      <c r="AK2349">
        <v>81.260621740606993</v>
      </c>
      <c r="AL2349">
        <v>78.776504016732204</v>
      </c>
      <c r="AM2349">
        <v>95.911188847751703</v>
      </c>
      <c r="AN2349">
        <v>0.99999996304571903</v>
      </c>
    </row>
    <row r="2350" spans="1:40" x14ac:dyDescent="0.25">
      <c r="A2350" t="str">
        <f>"20190303170543926"</f>
        <v>20190303170543926</v>
      </c>
      <c r="B2350" t="str">
        <f>"1551603943916917"</f>
        <v>1551603943916917</v>
      </c>
      <c r="C2350" t="s">
        <v>40</v>
      </c>
      <c r="D2350">
        <v>5.7691439999999998</v>
      </c>
      <c r="E2350">
        <v>0.39446130000000001</v>
      </c>
      <c r="F2350" t="s">
        <v>43</v>
      </c>
      <c r="G2350">
        <v>-511.59660000000002</v>
      </c>
      <c r="H2350">
        <v>-0.05</v>
      </c>
      <c r="I2350">
        <v>198.6138</v>
      </c>
      <c r="J2350">
        <v>-486.58580000000001</v>
      </c>
      <c r="K2350">
        <v>1.1333059999999999</v>
      </c>
      <c r="L2350">
        <v>276.55880000000002</v>
      </c>
      <c r="M2350">
        <v>-0.62742600000000004</v>
      </c>
      <c r="N2350">
        <v>-1.6144120000000001E-2</v>
      </c>
      <c r="O2350">
        <v>-0.77850900000000001</v>
      </c>
      <c r="P2350">
        <v>-0.53993380000000002</v>
      </c>
      <c r="Q2350">
        <v>0.18058399999999999</v>
      </c>
      <c r="R2350">
        <v>-0.82210819999999996</v>
      </c>
      <c r="S2350">
        <v>-0.97406009999999998</v>
      </c>
      <c r="T2350">
        <v>-4.590118E-2</v>
      </c>
      <c r="U2350">
        <v>-3.0284420000000001</v>
      </c>
      <c r="V2350">
        <v>-0.1013608</v>
      </c>
      <c r="W2350">
        <v>0.19339509999999999</v>
      </c>
      <c r="X2350">
        <v>0.97587109999999999</v>
      </c>
      <c r="Y2350">
        <v>-0.35887390000000002</v>
      </c>
      <c r="Z2350">
        <v>-4.8982089999999997E-3</v>
      </c>
      <c r="AA2350">
        <v>0.93337320000000001</v>
      </c>
      <c r="AB2350">
        <v>32</v>
      </c>
      <c r="AC2350">
        <v>-25.0108</v>
      </c>
      <c r="AD2350">
        <v>-1.183306</v>
      </c>
      <c r="AE2350">
        <v>-77.944999999999993</v>
      </c>
      <c r="AF2350">
        <v>-29.431269090096301</v>
      </c>
      <c r="AG2350">
        <v>-1.183306</v>
      </c>
      <c r="AH2350">
        <v>76.367296617829197</v>
      </c>
      <c r="AI2350">
        <v>90.828345589764396</v>
      </c>
      <c r="AJ2350">
        <v>111.076213894155</v>
      </c>
      <c r="AK2350">
        <v>81.850863196784999</v>
      </c>
      <c r="AL2350">
        <v>78.849015422401806</v>
      </c>
      <c r="AM2350">
        <v>95.9298769914991</v>
      </c>
      <c r="AN2350">
        <v>1.0000000401479201</v>
      </c>
    </row>
    <row r="2351" spans="1:40" x14ac:dyDescent="0.25">
      <c r="A2351" t="str">
        <f>"20190303170543939"</f>
        <v>20190303170543939</v>
      </c>
      <c r="B2351" t="str">
        <f>"1551603943927652"</f>
        <v>1551603943927652</v>
      </c>
      <c r="C2351" t="s">
        <v>40</v>
      </c>
      <c r="D2351">
        <v>5.756259</v>
      </c>
      <c r="E2351">
        <v>0.39426610000000001</v>
      </c>
      <c r="F2351" t="s">
        <v>43</v>
      </c>
      <c r="G2351">
        <v>-508.10509999999999</v>
      </c>
      <c r="H2351">
        <v>-0.05</v>
      </c>
      <c r="I2351">
        <v>207.80719999999999</v>
      </c>
      <c r="J2351">
        <v>-486.69389999999999</v>
      </c>
      <c r="K2351">
        <v>1.1331739999999999</v>
      </c>
      <c r="L2351">
        <v>276.41410000000002</v>
      </c>
      <c r="M2351">
        <v>-0.6213592</v>
      </c>
      <c r="N2351">
        <v>-1.6109660000000001E-2</v>
      </c>
      <c r="O2351">
        <v>-0.78336030000000001</v>
      </c>
      <c r="P2351">
        <v>-0.53330440000000001</v>
      </c>
      <c r="Q2351">
        <v>0.1798264</v>
      </c>
      <c r="R2351">
        <v>-0.82658899999999902</v>
      </c>
      <c r="S2351">
        <v>-0.9504089</v>
      </c>
      <c r="T2351">
        <v>-5.226111E-2</v>
      </c>
      <c r="U2351">
        <v>-3.036438</v>
      </c>
      <c r="V2351">
        <v>-0.1016431</v>
      </c>
      <c r="W2351">
        <v>0.1926282</v>
      </c>
      <c r="X2351">
        <v>0.97599340000000001</v>
      </c>
      <c r="Y2351">
        <v>-0.35893659999999999</v>
      </c>
      <c r="Z2351">
        <v>-3.5080300000000001E-3</v>
      </c>
      <c r="AA2351">
        <v>0.9333553</v>
      </c>
      <c r="AB2351">
        <v>32</v>
      </c>
      <c r="AC2351">
        <v>-21.411200000000001</v>
      </c>
      <c r="AD2351">
        <v>-1.1831739999999999</v>
      </c>
      <c r="AE2351">
        <v>-68.606899999999996</v>
      </c>
      <c r="AF2351">
        <v>-25.853191858988701</v>
      </c>
      <c r="AG2351">
        <v>-1.1831739999999999</v>
      </c>
      <c r="AH2351">
        <v>67.038496553149201</v>
      </c>
      <c r="AI2351">
        <v>90.943408895868501</v>
      </c>
      <c r="AJ2351">
        <v>111.08898112315499</v>
      </c>
      <c r="AK2351">
        <v>71.860611256226903</v>
      </c>
      <c r="AL2351">
        <v>78.893797504900505</v>
      </c>
      <c r="AM2351">
        <v>95.945534344630403</v>
      </c>
      <c r="AN2351">
        <v>1.0000000300281999</v>
      </c>
    </row>
    <row r="2352" spans="1:40" x14ac:dyDescent="0.25">
      <c r="A2352" t="str">
        <f>"20190303170543951"</f>
        <v>20190303170543951</v>
      </c>
      <c r="B2352" t="str">
        <f>"1551603943937412"</f>
        <v>1551603943937412</v>
      </c>
      <c r="C2352" t="s">
        <v>40</v>
      </c>
      <c r="D2352">
        <v>5.7624019999999998</v>
      </c>
      <c r="E2352">
        <v>0.39432970000000001</v>
      </c>
      <c r="F2352" t="s">
        <v>52</v>
      </c>
      <c r="G2352">
        <v>-504.65890000000002</v>
      </c>
      <c r="H2352">
        <v>7.9981120000000003E-2</v>
      </c>
      <c r="I2352">
        <v>217.31389999999999</v>
      </c>
      <c r="J2352">
        <v>-486.79169999999999</v>
      </c>
      <c r="K2352">
        <v>1.133054</v>
      </c>
      <c r="L2352">
        <v>276.28100000000001</v>
      </c>
      <c r="M2352">
        <v>-0.61584589999999995</v>
      </c>
      <c r="N2352">
        <v>-1.6077910000000001E-2</v>
      </c>
      <c r="O2352">
        <v>-0.78770269999999898</v>
      </c>
      <c r="P2352">
        <v>-0.52725310000000003</v>
      </c>
      <c r="Q2352">
        <v>0.17935200000000001</v>
      </c>
      <c r="R2352">
        <v>-0.83056459999999999</v>
      </c>
      <c r="S2352">
        <v>-0.92532349999999997</v>
      </c>
      <c r="T2352">
        <v>-5.4246660000000002E-2</v>
      </c>
      <c r="U2352">
        <v>-3.0440670000000001</v>
      </c>
      <c r="V2352">
        <v>-0.10191169999999999</v>
      </c>
      <c r="W2352">
        <v>0.19214490000000001</v>
      </c>
      <c r="X2352">
        <v>0.97606059999999994</v>
      </c>
      <c r="Y2352">
        <v>-0.36007410000000001</v>
      </c>
      <c r="Z2352">
        <v>-3.0370240000000001E-3</v>
      </c>
      <c r="AA2352">
        <v>0.93291880000000005</v>
      </c>
      <c r="AB2352">
        <v>32</v>
      </c>
      <c r="AC2352">
        <v>-17.8672</v>
      </c>
      <c r="AD2352">
        <v>-1.05307288</v>
      </c>
      <c r="AE2352">
        <v>-58.967100000000002</v>
      </c>
      <c r="AF2352">
        <v>-22.2369821419841</v>
      </c>
      <c r="AG2352">
        <v>-1.05307288</v>
      </c>
      <c r="AH2352">
        <v>57.442626941432003</v>
      </c>
      <c r="AI2352">
        <v>90.979449725042798</v>
      </c>
      <c r="AJ2352">
        <v>111.16223704894</v>
      </c>
      <c r="AK2352">
        <v>61.605581948440701</v>
      </c>
      <c r="AL2352">
        <v>78.922015086554097</v>
      </c>
      <c r="AM2352">
        <v>95.960725446887807</v>
      </c>
      <c r="AN2352">
        <v>0.99999997603262902</v>
      </c>
    </row>
    <row r="2353" spans="1:40" x14ac:dyDescent="0.25">
      <c r="A2353" t="str">
        <f>"20190303170543962"</f>
        <v>20190303170543962</v>
      </c>
      <c r="B2353" t="str">
        <f>"1551603943956933"</f>
        <v>1551603943956933</v>
      </c>
      <c r="C2353" t="s">
        <v>40</v>
      </c>
      <c r="D2353">
        <v>5.7878179999999997</v>
      </c>
      <c r="E2353">
        <v>0.39468429999999999</v>
      </c>
      <c r="F2353" t="s">
        <v>52</v>
      </c>
      <c r="G2353">
        <v>-503.68689999999998</v>
      </c>
      <c r="H2353">
        <v>7.9980830000000003E-2</v>
      </c>
      <c r="I2353">
        <v>219.25110000000001</v>
      </c>
      <c r="J2353">
        <v>-486.88940000000002</v>
      </c>
      <c r="K2353">
        <v>1.1329370000000001</v>
      </c>
      <c r="L2353">
        <v>276.14690000000002</v>
      </c>
      <c r="M2353">
        <v>-0.6103035</v>
      </c>
      <c r="N2353">
        <v>-1.6046919999999999E-2</v>
      </c>
      <c r="O2353">
        <v>-0.79200539999999997</v>
      </c>
      <c r="P2353">
        <v>-0.52106709999999901</v>
      </c>
      <c r="Q2353">
        <v>0.17940420000000001</v>
      </c>
      <c r="R2353">
        <v>-0.83444810000000003</v>
      </c>
      <c r="S2353">
        <v>-0.90371699999999999</v>
      </c>
      <c r="T2353">
        <v>-5.6328419999999997E-2</v>
      </c>
      <c r="U2353">
        <v>-3.0505070000000001</v>
      </c>
      <c r="V2353">
        <v>-0.102252</v>
      </c>
      <c r="W2353">
        <v>0.1921851</v>
      </c>
      <c r="X2353">
        <v>0.97601709999999997</v>
      </c>
      <c r="Y2353">
        <v>-0.36013590000000001</v>
      </c>
      <c r="Z2353">
        <v>-2.5273299999999999E-3</v>
      </c>
      <c r="AA2353">
        <v>0.93289639999999996</v>
      </c>
      <c r="AB2353">
        <v>32</v>
      </c>
      <c r="AC2353">
        <v>-16.7974999999999</v>
      </c>
      <c r="AD2353">
        <v>-1.0529561700000001</v>
      </c>
      <c r="AE2353">
        <v>-56.895800000000001</v>
      </c>
      <c r="AF2353">
        <v>-21.416002173142498</v>
      </c>
      <c r="AG2353">
        <v>-1.0529561700000001</v>
      </c>
      <c r="AH2353">
        <v>55.303042672610502</v>
      </c>
      <c r="AI2353">
        <v>91.017177364815893</v>
      </c>
      <c r="AJ2353">
        <v>111.168803453791</v>
      </c>
      <c r="AK2353">
        <v>59.314251193322498</v>
      </c>
      <c r="AL2353">
        <v>78.919668118681699</v>
      </c>
      <c r="AM2353">
        <v>95.980749889000194</v>
      </c>
      <c r="AN2353">
        <v>0.99999998182920902</v>
      </c>
    </row>
    <row r="2354" spans="1:40" x14ac:dyDescent="0.25">
      <c r="A2354" t="str">
        <f>"20190303170543973"</f>
        <v>20190303170543973</v>
      </c>
      <c r="B2354" t="str">
        <f>"1551603943966693"</f>
        <v>1551603943966693</v>
      </c>
      <c r="C2354" t="s">
        <v>40</v>
      </c>
      <c r="D2354">
        <v>5.7592949999999998</v>
      </c>
      <c r="E2354">
        <v>0.39496979999999998</v>
      </c>
      <c r="F2354" t="s">
        <v>52</v>
      </c>
      <c r="G2354">
        <v>-503.13279999999997</v>
      </c>
      <c r="H2354">
        <v>8.0003740000000004E-2</v>
      </c>
      <c r="I2354">
        <v>219.99619999999999</v>
      </c>
      <c r="J2354">
        <v>-486.97489999999999</v>
      </c>
      <c r="K2354">
        <v>1.132841</v>
      </c>
      <c r="L2354">
        <v>276.02690000000001</v>
      </c>
      <c r="M2354">
        <v>-0.60544039999999999</v>
      </c>
      <c r="N2354">
        <v>-1.6018790000000001E-2</v>
      </c>
      <c r="O2354">
        <v>-0.79572959999999904</v>
      </c>
      <c r="P2354">
        <v>-0.51608509999999996</v>
      </c>
      <c r="Q2354">
        <v>0.18004999999999999</v>
      </c>
      <c r="R2354">
        <v>-0.83739979999999903</v>
      </c>
      <c r="S2354">
        <v>-0.88391109999999995</v>
      </c>
      <c r="T2354">
        <v>-5.7297229999999998E-2</v>
      </c>
      <c r="U2354">
        <v>-3.055542</v>
      </c>
      <c r="V2354">
        <v>-0.10197299999999999</v>
      </c>
      <c r="W2354">
        <v>0.19283510000000001</v>
      </c>
      <c r="X2354">
        <v>0.97591810000000001</v>
      </c>
      <c r="Y2354">
        <v>-0.36040889999999998</v>
      </c>
      <c r="Z2354">
        <v>-2.2573770000000001E-3</v>
      </c>
      <c r="AA2354">
        <v>0.9327917</v>
      </c>
      <c r="AB2354">
        <v>32</v>
      </c>
      <c r="AC2354">
        <v>-16.157899999999898</v>
      </c>
      <c r="AD2354">
        <v>-1.05283726</v>
      </c>
      <c r="AE2354">
        <v>-56.030700000000003</v>
      </c>
      <c r="AF2354">
        <v>-21.061765003601099</v>
      </c>
      <c r="AG2354">
        <v>-1.05283726</v>
      </c>
      <c r="AH2354">
        <v>54.357182421001902</v>
      </c>
      <c r="AI2354">
        <v>91.034679225965107</v>
      </c>
      <c r="AJ2354">
        <v>111.179843588197</v>
      </c>
      <c r="AK2354">
        <v>58.304456880353897</v>
      </c>
      <c r="AL2354">
        <v>78.8817162059986</v>
      </c>
      <c r="AM2354">
        <v>95.965149596711896</v>
      </c>
      <c r="AN2354">
        <v>1.0000000032143099</v>
      </c>
    </row>
    <row r="2355" spans="1:40" x14ac:dyDescent="0.25">
      <c r="A2355" t="str">
        <f>"20190303170543986"</f>
        <v>20190303170543986</v>
      </c>
      <c r="B2355" t="str">
        <f>"1551603943977429"</f>
        <v>1551603943977429</v>
      </c>
      <c r="C2355" t="s">
        <v>40</v>
      </c>
      <c r="D2355">
        <v>5.7701209999999996</v>
      </c>
      <c r="E2355">
        <v>0.39532420000000001</v>
      </c>
      <c r="F2355" t="s">
        <v>52</v>
      </c>
      <c r="G2355">
        <v>-503.5924</v>
      </c>
      <c r="H2355">
        <v>7.9981060000000007E-2</v>
      </c>
      <c r="I2355">
        <v>217.43539999999999</v>
      </c>
      <c r="J2355">
        <v>-487.07100000000003</v>
      </c>
      <c r="K2355">
        <v>1.132728</v>
      </c>
      <c r="L2355">
        <v>275.89120000000003</v>
      </c>
      <c r="M2355">
        <v>-0.59993589999999997</v>
      </c>
      <c r="N2355">
        <v>-1.5988470000000001E-2</v>
      </c>
      <c r="O2355">
        <v>-0.79988840000000005</v>
      </c>
      <c r="P2355">
        <v>-0.51032849999999996</v>
      </c>
      <c r="Q2355">
        <v>0.1806372</v>
      </c>
      <c r="R2355">
        <v>-0.8407945</v>
      </c>
      <c r="S2355">
        <v>-0.86773679999999997</v>
      </c>
      <c r="T2355">
        <v>-5.4978369999999999E-2</v>
      </c>
      <c r="U2355">
        <v>-3.0595400000000001</v>
      </c>
      <c r="V2355">
        <v>-0.10181809999999999</v>
      </c>
      <c r="W2355">
        <v>0.1934236</v>
      </c>
      <c r="X2355">
        <v>0.97581779999999996</v>
      </c>
      <c r="Y2355">
        <v>-0.3588595</v>
      </c>
      <c r="Z2355">
        <v>-2.6685609999999998E-3</v>
      </c>
      <c r="AA2355">
        <v>0.93338779999999999</v>
      </c>
      <c r="AB2355">
        <v>32</v>
      </c>
      <c r="AC2355">
        <v>-16.5214</v>
      </c>
      <c r="AD2355">
        <v>-1.05274694</v>
      </c>
      <c r="AE2355">
        <v>-58.455800000000004</v>
      </c>
      <c r="AF2355">
        <v>-21.850686117418</v>
      </c>
      <c r="AG2355">
        <v>-1.05274694</v>
      </c>
      <c r="AH2355">
        <v>56.660119782323498</v>
      </c>
      <c r="AI2355">
        <v>90.993157588678997</v>
      </c>
      <c r="AJ2355">
        <v>111.088878679556</v>
      </c>
      <c r="AK2355">
        <v>60.736561753764498</v>
      </c>
      <c r="AL2355">
        <v>78.847350575419696</v>
      </c>
      <c r="AM2355">
        <v>95.956761351655999</v>
      </c>
      <c r="AN2355">
        <v>0.99999999666070505</v>
      </c>
    </row>
    <row r="2356" spans="1:40" x14ac:dyDescent="0.25">
      <c r="A2356" t="str">
        <f>"20190303170543996"</f>
        <v>20190303170543996</v>
      </c>
      <c r="B2356" t="str">
        <f>"1551603943987188"</f>
        <v>1551603943987188</v>
      </c>
      <c r="C2356" t="s">
        <v>40</v>
      </c>
      <c r="D2356">
        <v>5.7719170000000002</v>
      </c>
      <c r="E2356">
        <v>0.39571719999999999</v>
      </c>
      <c r="F2356" t="s">
        <v>52</v>
      </c>
      <c r="G2356">
        <v>-503.86509999999998</v>
      </c>
      <c r="H2356">
        <v>7.9981339999999998E-2</v>
      </c>
      <c r="I2356">
        <v>215.33369999999999</v>
      </c>
      <c r="J2356">
        <v>-487.16520000000003</v>
      </c>
      <c r="K2356">
        <v>1.132622</v>
      </c>
      <c r="L2356">
        <v>275.75560000000002</v>
      </c>
      <c r="M2356">
        <v>-0.59451560000000003</v>
      </c>
      <c r="N2356">
        <v>-1.5958509999999999E-2</v>
      </c>
      <c r="O2356">
        <v>-0.80392580000000002</v>
      </c>
      <c r="P2356">
        <v>-0.50475009999999998</v>
      </c>
      <c r="Q2356">
        <v>0.18074989999999999</v>
      </c>
      <c r="R2356">
        <v>-0.84413079999999996</v>
      </c>
      <c r="S2356">
        <v>-0.84967039999999905</v>
      </c>
      <c r="T2356">
        <v>-5.3262110000000001E-2</v>
      </c>
      <c r="U2356">
        <v>-3.063812</v>
      </c>
      <c r="V2356">
        <v>-0.1016166</v>
      </c>
      <c r="W2356">
        <v>0.19353960000000001</v>
      </c>
      <c r="X2356">
        <v>0.97581580000000001</v>
      </c>
      <c r="Y2356">
        <v>-0.35799760000000003</v>
      </c>
      <c r="Z2356">
        <v>-2.9646170000000001E-3</v>
      </c>
      <c r="AA2356">
        <v>0.93371780000000004</v>
      </c>
      <c r="AB2356">
        <v>32</v>
      </c>
      <c r="AC2356">
        <v>-16.6998999999999</v>
      </c>
      <c r="AD2356">
        <v>-1.05264066</v>
      </c>
      <c r="AE2356">
        <v>-60.421900000000001</v>
      </c>
      <c r="AF2356">
        <v>-22.492802690988501</v>
      </c>
      <c r="AG2356">
        <v>-1.05264066</v>
      </c>
      <c r="AH2356">
        <v>58.494028062391003</v>
      </c>
      <c r="AI2356">
        <v>90.962288031133994</v>
      </c>
      <c r="AJ2356">
        <v>111.03332944283</v>
      </c>
      <c r="AK2356">
        <v>62.67842965661</v>
      </c>
      <c r="AL2356">
        <v>78.840576213684898</v>
      </c>
      <c r="AM2356">
        <v>95.945069416121399</v>
      </c>
      <c r="AN2356">
        <v>0.99999999284667995</v>
      </c>
    </row>
    <row r="2357" spans="1:40" x14ac:dyDescent="0.25">
      <c r="A2357" t="str">
        <f>"20190303170544008"</f>
        <v>20190303170544008</v>
      </c>
      <c r="B2357" t="str">
        <f>"1551603943996949"</f>
        <v>1551603943996949</v>
      </c>
      <c r="C2357" t="s">
        <v>40</v>
      </c>
      <c r="D2357">
        <v>5.7646470000000001</v>
      </c>
      <c r="E2357">
        <v>0.39606930000000001</v>
      </c>
      <c r="F2357" t="s">
        <v>52</v>
      </c>
      <c r="G2357">
        <v>-503.50560000000002</v>
      </c>
      <c r="H2357">
        <v>7.9981330000000003E-2</v>
      </c>
      <c r="I2357">
        <v>215.46850000000001</v>
      </c>
      <c r="J2357">
        <v>-487.2543</v>
      </c>
      <c r="K2357">
        <v>1.132517</v>
      </c>
      <c r="L2357">
        <v>275.6259</v>
      </c>
      <c r="M2357">
        <v>-0.58935209999999905</v>
      </c>
      <c r="N2357">
        <v>-1.5930989999999999E-2</v>
      </c>
      <c r="O2357">
        <v>-0.80771919999999897</v>
      </c>
      <c r="P2357">
        <v>-0.49923040000000002</v>
      </c>
      <c r="Q2357">
        <v>0.18077750000000001</v>
      </c>
      <c r="R2357">
        <v>-0.84740110000000002</v>
      </c>
      <c r="S2357">
        <v>-0.83160400000000001</v>
      </c>
      <c r="T2357">
        <v>-5.3571220000000003E-2</v>
      </c>
      <c r="U2357">
        <v>-3.068146</v>
      </c>
      <c r="V2357">
        <v>-0.1016789</v>
      </c>
      <c r="W2357">
        <v>0.19356300000000001</v>
      </c>
      <c r="X2357">
        <v>0.97580469999999997</v>
      </c>
      <c r="Y2357">
        <v>-0.35746820000000001</v>
      </c>
      <c r="Z2357">
        <v>-2.829303E-3</v>
      </c>
      <c r="AA2357">
        <v>0.933921</v>
      </c>
      <c r="AB2357">
        <v>32</v>
      </c>
      <c r="AC2357">
        <v>-16.251300000000001</v>
      </c>
      <c r="AD2357">
        <v>-1.0525356699999999</v>
      </c>
      <c r="AE2357">
        <v>-60.157400000000003</v>
      </c>
      <c r="AF2357">
        <v>-22.323867793280399</v>
      </c>
      <c r="AG2357">
        <v>-1.0525356699999999</v>
      </c>
      <c r="AH2357">
        <v>58.158814795030601</v>
      </c>
      <c r="AI2357">
        <v>90.967959857595901</v>
      </c>
      <c r="AJ2357">
        <v>110.998961445997</v>
      </c>
      <c r="AK2357">
        <v>62.304980883964298</v>
      </c>
      <c r="AL2357">
        <v>78.839209993025705</v>
      </c>
      <c r="AM2357">
        <v>95.948755325339306</v>
      </c>
      <c r="AN2357">
        <v>1.0000000231081401</v>
      </c>
    </row>
    <row r="2358" spans="1:40" x14ac:dyDescent="0.25">
      <c r="A2358" t="str">
        <f>"20190303170544019"</f>
        <v>20190303170544019</v>
      </c>
      <c r="B2358" t="str">
        <f>"1551603944006709"</f>
        <v>1551603944006709</v>
      </c>
      <c r="C2358" t="s">
        <v>40</v>
      </c>
      <c r="D2358">
        <v>5.7563800000000001</v>
      </c>
      <c r="E2358">
        <v>0.3965574</v>
      </c>
      <c r="F2358" t="s">
        <v>52</v>
      </c>
      <c r="G2358">
        <v>-503.0213</v>
      </c>
      <c r="H2358">
        <v>7.9981200000000002E-2</v>
      </c>
      <c r="I2358">
        <v>216.11019999999999</v>
      </c>
      <c r="J2358">
        <v>-487.34030000000001</v>
      </c>
      <c r="K2358">
        <v>1.1324209999999999</v>
      </c>
      <c r="L2358">
        <v>275.49900000000002</v>
      </c>
      <c r="M2358">
        <v>-0.58433819999999903</v>
      </c>
      <c r="N2358">
        <v>-1.5904950000000001E-2</v>
      </c>
      <c r="O2358">
        <v>-0.81135459999999904</v>
      </c>
      <c r="P2358">
        <v>-0.4937011</v>
      </c>
      <c r="Q2358">
        <v>0.18022250000000001</v>
      </c>
      <c r="R2358">
        <v>-0.85075259999999997</v>
      </c>
      <c r="S2358">
        <v>-0.8139343</v>
      </c>
      <c r="T2358">
        <v>-5.4334639999999997E-2</v>
      </c>
      <c r="U2358">
        <v>-3.0723569999999998</v>
      </c>
      <c r="V2358">
        <v>-0.10199709999999999</v>
      </c>
      <c r="W2358">
        <v>0.19299830000000001</v>
      </c>
      <c r="X2358">
        <v>0.97588330000000001</v>
      </c>
      <c r="Y2358">
        <v>-0.35701809999999901</v>
      </c>
      <c r="Z2358">
        <v>-2.5960129999999999E-3</v>
      </c>
      <c r="AA2358">
        <v>0.93409390000000003</v>
      </c>
      <c r="AB2358">
        <v>32</v>
      </c>
      <c r="AC2358">
        <v>-15.6809999999999</v>
      </c>
      <c r="AD2358">
        <v>-1.0524397999999999</v>
      </c>
      <c r="AE2358">
        <v>-59.388800000000003</v>
      </c>
      <c r="AF2358">
        <v>-21.976617690527501</v>
      </c>
      <c r="AG2358">
        <v>-1.0524397999999999</v>
      </c>
      <c r="AH2358">
        <v>57.338794174527202</v>
      </c>
      <c r="AI2358">
        <v>90.981896848126794</v>
      </c>
      <c r="AJ2358">
        <v>110.970658906784</v>
      </c>
      <c r="AK2358">
        <v>61.4151176180346</v>
      </c>
      <c r="AL2358">
        <v>78.872186301228794</v>
      </c>
      <c r="AM2358">
        <v>95.966760446070097</v>
      </c>
      <c r="AN2358">
        <v>0.99999998371509402</v>
      </c>
    </row>
    <row r="2359" spans="1:40" x14ac:dyDescent="0.25">
      <c r="A2359" t="str">
        <f>"20190303170544031"</f>
        <v>20190303170544031</v>
      </c>
      <c r="B2359" t="str">
        <f>"1551603944027206"</f>
        <v>1551603944027206</v>
      </c>
      <c r="C2359" t="s">
        <v>40</v>
      </c>
      <c r="D2359">
        <v>5.7562430000000004</v>
      </c>
      <c r="E2359">
        <v>0.39752470000000001</v>
      </c>
      <c r="F2359" t="s">
        <v>52</v>
      </c>
      <c r="G2359">
        <v>-501.93419999999998</v>
      </c>
      <c r="H2359">
        <v>7.9980750000000003E-2</v>
      </c>
      <c r="I2359">
        <v>219.197</v>
      </c>
      <c r="J2359">
        <v>-487.42590000000001</v>
      </c>
      <c r="K2359">
        <v>1.1323299999999901</v>
      </c>
      <c r="L2359">
        <v>275.37079999999997</v>
      </c>
      <c r="M2359">
        <v>-0.5793104</v>
      </c>
      <c r="N2359">
        <v>-1.5879689999999998E-2</v>
      </c>
      <c r="O2359">
        <v>-0.81495260000000003</v>
      </c>
      <c r="P2359">
        <v>-0.4880427</v>
      </c>
      <c r="Q2359">
        <v>0.18003429999999901</v>
      </c>
      <c r="R2359">
        <v>-0.85405059999999999</v>
      </c>
      <c r="S2359">
        <v>-0.79727169999999903</v>
      </c>
      <c r="T2359">
        <v>-5.7495360000000002E-2</v>
      </c>
      <c r="U2359">
        <v>-3.075806</v>
      </c>
      <c r="V2359">
        <v>-0.10241500000000001</v>
      </c>
      <c r="W2359">
        <v>0.1927953</v>
      </c>
      <c r="X2359">
        <v>0.97587970000000002</v>
      </c>
      <c r="Y2359">
        <v>-0.35623329999999997</v>
      </c>
      <c r="Z2359">
        <v>-1.8216840000000001E-3</v>
      </c>
      <c r="AA2359">
        <v>0.93439530000000004</v>
      </c>
      <c r="AB2359">
        <v>32</v>
      </c>
      <c r="AC2359">
        <v>-14.508299999999901</v>
      </c>
      <c r="AD2359">
        <v>-1.05234924999999</v>
      </c>
      <c r="AE2359">
        <v>-56.1737999999999</v>
      </c>
      <c r="AF2359">
        <v>-20.714282684892598</v>
      </c>
      <c r="AG2359">
        <v>-1.05234924999999</v>
      </c>
      <c r="AH2359">
        <v>54.172790982967697</v>
      </c>
      <c r="AI2359">
        <v>91.039492950069501</v>
      </c>
      <c r="AJ2359">
        <v>110.925569099789</v>
      </c>
      <c r="AK2359">
        <v>58.007587684525603</v>
      </c>
      <c r="AL2359">
        <v>78.884040425814504</v>
      </c>
      <c r="AM2359">
        <v>95.991051804944107</v>
      </c>
      <c r="AN2359">
        <v>1.0000000243995899</v>
      </c>
    </row>
    <row r="2360" spans="1:40" x14ac:dyDescent="0.25">
      <c r="A2360" t="str">
        <f>"20190303170544040"</f>
        <v>20190303170544040</v>
      </c>
      <c r="B2360" t="str">
        <f>"1551603944027206"</f>
        <v>1551603944027206</v>
      </c>
      <c r="C2360" t="s">
        <v>40</v>
      </c>
      <c r="D2360">
        <v>5.7562430000000004</v>
      </c>
      <c r="E2360">
        <v>0.39752470000000001</v>
      </c>
      <c r="F2360" t="s">
        <v>52</v>
      </c>
      <c r="G2360">
        <v>-501.13319999999999</v>
      </c>
      <c r="H2360">
        <v>8.0003160000000004E-2</v>
      </c>
      <c r="I2360">
        <v>221.5624</v>
      </c>
      <c r="J2360">
        <v>-487.50650000000002</v>
      </c>
      <c r="K2360">
        <v>1.1322490000000001</v>
      </c>
      <c r="L2360">
        <v>275.24900000000002</v>
      </c>
      <c r="M2360">
        <v>-0.574546</v>
      </c>
      <c r="N2360">
        <v>-1.5856749999999999E-2</v>
      </c>
      <c r="O2360">
        <v>-0.81831869999999995</v>
      </c>
      <c r="P2360">
        <v>-0.48261510000000002</v>
      </c>
      <c r="Q2360">
        <v>0.17964160000000001</v>
      </c>
      <c r="R2360">
        <v>-0.85721159999999996</v>
      </c>
      <c r="S2360">
        <v>-0.7839661</v>
      </c>
      <c r="T2360">
        <v>-6.0186150000000001E-2</v>
      </c>
      <c r="U2360">
        <v>-3.0774840000000001</v>
      </c>
      <c r="V2360">
        <v>-0.1029091</v>
      </c>
      <c r="W2360">
        <v>0.19238769999999999</v>
      </c>
      <c r="X2360">
        <v>0.97590809999999995</v>
      </c>
      <c r="Y2360">
        <v>-0.35469250000000002</v>
      </c>
      <c r="Z2360">
        <v>-1.1357229999999999E-3</v>
      </c>
      <c r="AA2360">
        <v>0.93498230000000004</v>
      </c>
      <c r="AB2360">
        <v>32</v>
      </c>
      <c r="AC2360">
        <v>-13.6266999999999</v>
      </c>
      <c r="AD2360">
        <v>-1.0522458400000001</v>
      </c>
      <c r="AE2360">
        <v>-53.686599999999999</v>
      </c>
      <c r="AF2360">
        <v>-19.689807835642601</v>
      </c>
      <c r="AG2360">
        <v>-1.0522458400000001</v>
      </c>
      <c r="AH2360">
        <v>51.749745849081002</v>
      </c>
      <c r="AI2360">
        <v>91.088732020700604</v>
      </c>
      <c r="AJ2360">
        <v>110.830881381688</v>
      </c>
      <c r="AK2360">
        <v>55.378984726670502</v>
      </c>
      <c r="AL2360">
        <v>78.907839062114306</v>
      </c>
      <c r="AM2360">
        <v>96.019569940699895</v>
      </c>
      <c r="AN2360">
        <v>0.99999996480985398</v>
      </c>
    </row>
    <row r="2361" spans="1:40" x14ac:dyDescent="0.25">
      <c r="A2361" t="str">
        <f>"20190303170544051"</f>
        <v>20190303170544051</v>
      </c>
      <c r="B2361" t="str">
        <f>"1551603944036965"</f>
        <v>1551603944036965</v>
      </c>
      <c r="C2361" t="s">
        <v>40</v>
      </c>
      <c r="D2361">
        <v>5.7916919999999896</v>
      </c>
      <c r="E2361">
        <v>0.39791609999999999</v>
      </c>
      <c r="F2361" t="s">
        <v>52</v>
      </c>
      <c r="G2361">
        <v>-500.5444</v>
      </c>
      <c r="H2361">
        <v>8.0002909999999997E-2</v>
      </c>
      <c r="I2361">
        <v>222.68799999999999</v>
      </c>
      <c r="J2361">
        <v>-487.5874</v>
      </c>
      <c r="K2361">
        <v>1.13217099999999</v>
      </c>
      <c r="L2361">
        <v>275.12450000000001</v>
      </c>
      <c r="M2361">
        <v>-0.56971919999999898</v>
      </c>
      <c r="N2361">
        <v>-1.5834359999999999E-2</v>
      </c>
      <c r="O2361">
        <v>-0.8216869</v>
      </c>
      <c r="P2361">
        <v>-0.47746290000000002</v>
      </c>
      <c r="Q2361">
        <v>0.1795725</v>
      </c>
      <c r="R2361">
        <v>-0.86010679999999995</v>
      </c>
      <c r="S2361">
        <v>-0.76455689999999998</v>
      </c>
      <c r="T2361">
        <v>-6.1705110000000001E-2</v>
      </c>
      <c r="U2361">
        <v>-3.0822449999999999</v>
      </c>
      <c r="V2361">
        <v>-0.10298789999999999</v>
      </c>
      <c r="W2361">
        <v>0.19231380000000001</v>
      </c>
      <c r="X2361">
        <v>0.97591439999999996</v>
      </c>
      <c r="Y2361">
        <v>-0.35507080000000002</v>
      </c>
      <c r="Z2361">
        <v>-7.3445919999999998E-4</v>
      </c>
      <c r="AA2361">
        <v>0.93483910000000003</v>
      </c>
      <c r="AB2361">
        <v>32</v>
      </c>
      <c r="AC2361">
        <v>-12.956999999999899</v>
      </c>
      <c r="AD2361">
        <v>-1.0521680899999999</v>
      </c>
      <c r="AE2361">
        <v>-52.436500000000002</v>
      </c>
      <c r="AF2361">
        <v>-19.222599841240399</v>
      </c>
      <c r="AG2361">
        <v>-1.0521680899999999</v>
      </c>
      <c r="AH2361">
        <v>50.4554177549144</v>
      </c>
      <c r="AI2361">
        <v>91.116385871114005</v>
      </c>
      <c r="AJ2361">
        <v>110.85593392552499</v>
      </c>
      <c r="AK2361">
        <v>54.003375664573099</v>
      </c>
      <c r="AL2361">
        <v>78.912154307576898</v>
      </c>
      <c r="AM2361">
        <v>96.024106787050897</v>
      </c>
      <c r="AN2361">
        <v>1.0000000106721001</v>
      </c>
    </row>
    <row r="2362" spans="1:40" x14ac:dyDescent="0.25">
      <c r="A2362" t="str">
        <f>"20190303170544064"</f>
        <v>20190303170544064</v>
      </c>
      <c r="B2362" t="str">
        <f>"1551603944057461"</f>
        <v>1551603944057461</v>
      </c>
      <c r="C2362" t="s">
        <v>40</v>
      </c>
      <c r="D2362">
        <v>5.7873739999999998</v>
      </c>
      <c r="E2362">
        <v>0.40941509999999998</v>
      </c>
      <c r="F2362" t="s">
        <v>52</v>
      </c>
      <c r="G2362">
        <v>-500.17570000000001</v>
      </c>
      <c r="H2362">
        <v>8.0002760000000006E-2</v>
      </c>
      <c r="I2362">
        <v>223.2244</v>
      </c>
      <c r="J2362">
        <v>-487.68610000000001</v>
      </c>
      <c r="K2362">
        <v>1.1320779999999999</v>
      </c>
      <c r="L2362">
        <v>274.97149999999999</v>
      </c>
      <c r="M2362">
        <v>-0.56378869999999903</v>
      </c>
      <c r="N2362">
        <v>-1.5808309999999999E-2</v>
      </c>
      <c r="O2362">
        <v>-0.82576779999999905</v>
      </c>
      <c r="P2362">
        <v>-0.47153859999999997</v>
      </c>
      <c r="Q2362">
        <v>0.18005470000000001</v>
      </c>
      <c r="R2362">
        <v>-0.86326800000000004</v>
      </c>
      <c r="S2362">
        <v>-0.74838260000000001</v>
      </c>
      <c r="T2362">
        <v>-6.2552330000000003E-2</v>
      </c>
      <c r="U2362">
        <v>-3.0855100000000002</v>
      </c>
      <c r="V2362">
        <v>-0.10258050000000001</v>
      </c>
      <c r="W2362">
        <v>0.19280369999999999</v>
      </c>
      <c r="X2362">
        <v>0.97586070000000003</v>
      </c>
      <c r="Y2362">
        <v>-0.35319339999999999</v>
      </c>
      <c r="Z2362">
        <v>-4.407018E-4</v>
      </c>
      <c r="AA2362">
        <v>0.9355502</v>
      </c>
      <c r="AB2362">
        <v>32</v>
      </c>
      <c r="AC2362">
        <v>-12.4895999999999</v>
      </c>
      <c r="AD2362">
        <v>-1.05207524</v>
      </c>
      <c r="AE2362">
        <v>-51.747099999999897</v>
      </c>
      <c r="AF2362">
        <v>-18.855912181811401</v>
      </c>
      <c r="AG2362">
        <v>-1.05207524</v>
      </c>
      <c r="AH2362">
        <v>49.759367098919398</v>
      </c>
      <c r="AI2362">
        <v>91.132665047800302</v>
      </c>
      <c r="AJ2362">
        <v>110.75380043553901</v>
      </c>
      <c r="AK2362">
        <v>53.222616438914699</v>
      </c>
      <c r="AL2362">
        <v>78.883550404476793</v>
      </c>
      <c r="AM2362">
        <v>96.000778587576903</v>
      </c>
      <c r="AN2362">
        <v>1.0000000657592101</v>
      </c>
    </row>
    <row r="2363" spans="1:40" x14ac:dyDescent="0.25">
      <c r="A2363" t="str">
        <f>"20190303170544075"</f>
        <v>20190303170544075</v>
      </c>
      <c r="B2363" t="str">
        <f>"1551603944067220"</f>
        <v>1551603944067220</v>
      </c>
      <c r="C2363" t="s">
        <v>40</v>
      </c>
      <c r="D2363">
        <v>5.7763980000000004</v>
      </c>
      <c r="E2363">
        <v>0.40979890000000002</v>
      </c>
      <c r="F2363" t="s">
        <v>41</v>
      </c>
      <c r="G2363">
        <v>-498.1139</v>
      </c>
      <c r="H2363" s="1">
        <v>-4.3824480000000002E-6</v>
      </c>
      <c r="I2363">
        <v>235.6354</v>
      </c>
      <c r="J2363">
        <v>-487.77249999999998</v>
      </c>
      <c r="K2363">
        <v>1.13201</v>
      </c>
      <c r="L2363">
        <v>274.83440000000002</v>
      </c>
      <c r="M2363">
        <v>-0.55852659999999998</v>
      </c>
      <c r="N2363">
        <v>-1.5786169999999999E-2</v>
      </c>
      <c r="O2363">
        <v>-0.82933670000000004</v>
      </c>
      <c r="P2363">
        <v>-0.4665917</v>
      </c>
      <c r="Q2363">
        <v>0.1803408</v>
      </c>
      <c r="R2363">
        <v>-0.86589280000000002</v>
      </c>
      <c r="S2363">
        <v>-0.80896000000000001</v>
      </c>
      <c r="T2363">
        <v>-8.782363E-2</v>
      </c>
      <c r="U2363">
        <v>-3.0515750000000001</v>
      </c>
      <c r="V2363">
        <v>-0.1018935</v>
      </c>
      <c r="W2363">
        <v>0.19310550000000001</v>
      </c>
      <c r="X2363">
        <v>0.97587290000000004</v>
      </c>
      <c r="Y2363">
        <v>-0.32728469999999998</v>
      </c>
      <c r="Z2363">
        <v>5.8761200000000003E-3</v>
      </c>
      <c r="AA2363">
        <v>0.94490750000000001</v>
      </c>
      <c r="AB2363">
        <v>32</v>
      </c>
      <c r="AC2363">
        <v>-10.3414</v>
      </c>
      <c r="AD2363">
        <v>-1.132014382448</v>
      </c>
      <c r="AE2363">
        <v>-39.198999999999998</v>
      </c>
      <c r="AF2363">
        <v>-13.3084610517824</v>
      </c>
      <c r="AG2363">
        <v>-1.132014382448</v>
      </c>
      <c r="AH2363">
        <v>38.260045748084899</v>
      </c>
      <c r="AI2363">
        <v>91.600716378819698</v>
      </c>
      <c r="AJ2363">
        <v>109.179835021777</v>
      </c>
      <c r="AK2363">
        <v>40.524408604869599</v>
      </c>
      <c r="AL2363">
        <v>78.865926261599697</v>
      </c>
      <c r="AM2363">
        <v>95.960806640995301</v>
      </c>
      <c r="AN2363">
        <v>0.99999996821345405</v>
      </c>
    </row>
    <row r="2364" spans="1:40" x14ac:dyDescent="0.25">
      <c r="A2364" t="str">
        <f>"20190303170544086"</f>
        <v>20190303170544086</v>
      </c>
      <c r="B2364" t="str">
        <f>"1551603944076981"</f>
        <v>1551603944076981</v>
      </c>
      <c r="C2364" t="s">
        <v>40</v>
      </c>
      <c r="D2364">
        <v>5.7995289999999997</v>
      </c>
      <c r="E2364">
        <v>0.41022720000000001</v>
      </c>
      <c r="F2364" t="s">
        <v>41</v>
      </c>
      <c r="G2364">
        <v>-498.10019999999997</v>
      </c>
      <c r="H2364" s="1">
        <v>-4.18682E-6</v>
      </c>
      <c r="I2364">
        <v>235.0677</v>
      </c>
      <c r="J2364">
        <v>-487.85219999999998</v>
      </c>
      <c r="K2364">
        <v>1.131945</v>
      </c>
      <c r="L2364">
        <v>274.70690000000002</v>
      </c>
      <c r="M2364">
        <v>-0.55363180000000001</v>
      </c>
      <c r="N2364">
        <v>-1.576665E-2</v>
      </c>
      <c r="O2364">
        <v>-0.83261249999999998</v>
      </c>
      <c r="P2364">
        <v>-0.46189029999999998</v>
      </c>
      <c r="Q2364">
        <v>0.18065829999999999</v>
      </c>
      <c r="R2364">
        <v>-0.86834330000000004</v>
      </c>
      <c r="S2364">
        <v>-0.79345699999999997</v>
      </c>
      <c r="T2364">
        <v>-8.6970690000000003E-2</v>
      </c>
      <c r="U2364">
        <v>-3.0552060000000001</v>
      </c>
      <c r="V2364">
        <v>-0.10137309999999999</v>
      </c>
      <c r="W2364">
        <v>0.19343389999999999</v>
      </c>
      <c r="X2364">
        <v>0.97586209999999995</v>
      </c>
      <c r="Y2364">
        <v>-0.32648430000000001</v>
      </c>
      <c r="Z2364">
        <v>5.782995E-3</v>
      </c>
      <c r="AA2364">
        <v>0.94518489999999999</v>
      </c>
      <c r="AB2364">
        <v>32</v>
      </c>
      <c r="AC2364">
        <v>-10.2479999999999</v>
      </c>
      <c r="AD2364">
        <v>-1.13194918682</v>
      </c>
      <c r="AE2364">
        <v>-39.639200000000002</v>
      </c>
      <c r="AF2364">
        <v>-13.4043280607921</v>
      </c>
      <c r="AG2364">
        <v>-1.13194918682</v>
      </c>
      <c r="AH2364">
        <v>38.652968671987701</v>
      </c>
      <c r="AI2364">
        <v>91.584879824652603</v>
      </c>
      <c r="AJ2364">
        <v>109.125855887502</v>
      </c>
      <c r="AK2364">
        <v>40.926877560846798</v>
      </c>
      <c r="AL2364">
        <v>78.846749204408297</v>
      </c>
      <c r="AM2364">
        <v>95.930645751585303</v>
      </c>
      <c r="AN2364">
        <v>1.0000000086446099</v>
      </c>
    </row>
    <row r="2365" spans="1:40" x14ac:dyDescent="0.25">
      <c r="A2365" t="str">
        <f>"20190303170544098"</f>
        <v>20190303170544098</v>
      </c>
      <c r="B2365" t="str">
        <f>"1551603944086741"</f>
        <v>1551603944086741</v>
      </c>
      <c r="C2365" t="s">
        <v>40</v>
      </c>
      <c r="D2365">
        <v>5.7778559999999999</v>
      </c>
      <c r="E2365">
        <v>0.41048299999999999</v>
      </c>
      <c r="F2365" t="s">
        <v>41</v>
      </c>
      <c r="G2365">
        <v>-497.99889999999999</v>
      </c>
      <c r="H2365" s="1">
        <v>-4.1199659999999998E-6</v>
      </c>
      <c r="I2365">
        <v>234.92400000000001</v>
      </c>
      <c r="J2365">
        <v>-487.93680000000001</v>
      </c>
      <c r="K2365">
        <v>1.131877</v>
      </c>
      <c r="L2365">
        <v>274.56970000000001</v>
      </c>
      <c r="M2365">
        <v>-0.54838299999999995</v>
      </c>
      <c r="N2365">
        <v>-1.5746710000000001E-2</v>
      </c>
      <c r="O2365">
        <v>-0.83607900000000002</v>
      </c>
      <c r="P2365">
        <v>-0.45704230000000001</v>
      </c>
      <c r="Q2365">
        <v>0.18076239999999999</v>
      </c>
      <c r="R2365">
        <v>-0.87088290000000002</v>
      </c>
      <c r="S2365">
        <v>-0.77996829999999995</v>
      </c>
      <c r="T2365">
        <v>-8.7011930000000001E-2</v>
      </c>
      <c r="U2365">
        <v>-3.0580750000000001</v>
      </c>
      <c r="V2365">
        <v>-0.1006293</v>
      </c>
      <c r="W2365">
        <v>0.19355600000000001</v>
      </c>
      <c r="X2365">
        <v>0.97591479999999997</v>
      </c>
      <c r="Y2365">
        <v>-0.32466489999999998</v>
      </c>
      <c r="Z2365">
        <v>5.9174989999999997E-3</v>
      </c>
      <c r="AA2365">
        <v>0.94581059999999995</v>
      </c>
      <c r="AB2365">
        <v>32</v>
      </c>
      <c r="AC2365">
        <v>-10.0620999999999</v>
      </c>
      <c r="AD2365">
        <v>-1.1318811199659999</v>
      </c>
      <c r="AE2365">
        <v>-39.645699999999998</v>
      </c>
      <c r="AF2365">
        <v>-13.3197704703718</v>
      </c>
      <c r="AG2365">
        <v>-1.1318811199659999</v>
      </c>
      <c r="AH2365">
        <v>38.640027561925798</v>
      </c>
      <c r="AI2365">
        <v>91.586329411501197</v>
      </c>
      <c r="AJ2365">
        <v>109.019805345805</v>
      </c>
      <c r="AK2365">
        <v>40.887029364329102</v>
      </c>
      <c r="AL2365">
        <v>78.839617843848998</v>
      </c>
      <c r="AM2365">
        <v>95.887122189707597</v>
      </c>
      <c r="AN2365">
        <v>0.99999993900676298</v>
      </c>
    </row>
    <row r="2366" spans="1:40" x14ac:dyDescent="0.25">
      <c r="A2366" t="str">
        <f>"20190303170544109"</f>
        <v>20190303170544109</v>
      </c>
      <c r="B2366" t="str">
        <f>"1551603944097477"</f>
        <v>1551603944097477</v>
      </c>
      <c r="C2366" t="s">
        <v>40</v>
      </c>
      <c r="D2366">
        <v>5.7841170000000002</v>
      </c>
      <c r="E2366">
        <v>0.41048299999999999</v>
      </c>
      <c r="F2366" t="s">
        <v>41</v>
      </c>
      <c r="G2366">
        <v>-497.76749999999998</v>
      </c>
      <c r="H2366" s="1">
        <v>-4.1729899999999998E-6</v>
      </c>
      <c r="I2366">
        <v>235.20050000000001</v>
      </c>
      <c r="J2366">
        <v>-488.01440000000002</v>
      </c>
      <c r="K2366">
        <v>1.1318189999999999</v>
      </c>
      <c r="L2366">
        <v>274.44189999999998</v>
      </c>
      <c r="M2366">
        <v>-0.54351099999999997</v>
      </c>
      <c r="N2366">
        <v>-1.5729110000000001E-2</v>
      </c>
      <c r="O2366">
        <v>-0.83925469999999902</v>
      </c>
      <c r="P2366">
        <v>-0.45233519999999999</v>
      </c>
      <c r="Q2366">
        <v>0.18045700000000001</v>
      </c>
      <c r="R2366">
        <v>-0.87340059999999997</v>
      </c>
      <c r="S2366">
        <v>-0.76455689999999998</v>
      </c>
      <c r="T2366">
        <v>-8.8028910000000002E-2</v>
      </c>
      <c r="U2366">
        <v>-3.0618289999999999</v>
      </c>
      <c r="V2366">
        <v>-0.1002155</v>
      </c>
      <c r="W2366">
        <v>0.19325990000000001</v>
      </c>
      <c r="X2366">
        <v>0.97601610000000005</v>
      </c>
      <c r="Y2366">
        <v>-0.32391730000000002</v>
      </c>
      <c r="Z2366">
        <v>6.2581969999999897E-3</v>
      </c>
      <c r="AA2366">
        <v>0.94606469999999998</v>
      </c>
      <c r="AB2366">
        <v>32</v>
      </c>
      <c r="AC2366">
        <v>-9.7530999999999608</v>
      </c>
      <c r="AD2366">
        <v>-1.1318231729899999</v>
      </c>
      <c r="AE2366">
        <v>-39.241399999999899</v>
      </c>
      <c r="AF2366">
        <v>-13.1341326845377</v>
      </c>
      <c r="AG2366">
        <v>-1.1318231729899999</v>
      </c>
      <c r="AH2366">
        <v>38.209239101197497</v>
      </c>
      <c r="AI2366">
        <v>91.604602714251698</v>
      </c>
      <c r="AJ2366">
        <v>108.970014532541</v>
      </c>
      <c r="AK2366">
        <v>40.419455931054202</v>
      </c>
      <c r="AL2366">
        <v>78.856910100000505</v>
      </c>
      <c r="AM2366">
        <v>95.862478325960097</v>
      </c>
      <c r="AN2366">
        <v>0.99999998142373403</v>
      </c>
    </row>
    <row r="2367" spans="1:40" x14ac:dyDescent="0.25">
      <c r="A2367" t="str">
        <f>"20190303170544121"</f>
        <v>20190303170544121</v>
      </c>
      <c r="B2367" t="str">
        <f>"1551603944116997"</f>
        <v>1551603944116997</v>
      </c>
      <c r="C2367" t="s">
        <v>40</v>
      </c>
      <c r="D2367">
        <v>5.784097</v>
      </c>
      <c r="E2367">
        <v>0.41543409999999897</v>
      </c>
      <c r="F2367" t="s">
        <v>41</v>
      </c>
      <c r="G2367">
        <v>-497.52120000000002</v>
      </c>
      <c r="H2367" s="1">
        <v>-4.2192610000000004E-6</v>
      </c>
      <c r="I2367">
        <v>235.4649</v>
      </c>
      <c r="J2367">
        <v>-488.10570000000001</v>
      </c>
      <c r="K2367">
        <v>1.1317520000000001</v>
      </c>
      <c r="L2367">
        <v>274.28989999999999</v>
      </c>
      <c r="M2367">
        <v>-0.53771919999999995</v>
      </c>
      <c r="N2367">
        <v>-1.5709250000000001E-2</v>
      </c>
      <c r="O2367">
        <v>-0.8429778</v>
      </c>
      <c r="P2367">
        <v>-0.44684099999999999</v>
      </c>
      <c r="Q2367">
        <v>0.17996229999999999</v>
      </c>
      <c r="R2367">
        <v>-0.87632600000000005</v>
      </c>
      <c r="S2367">
        <v>-0.74780269999999904</v>
      </c>
      <c r="T2367">
        <v>-8.9028839999999998E-2</v>
      </c>
      <c r="U2367">
        <v>-3.0659179999999999</v>
      </c>
      <c r="V2367">
        <v>-9.9631209999999998E-2</v>
      </c>
      <c r="W2367">
        <v>0.1927798</v>
      </c>
      <c r="X2367">
        <v>0.97617080000000001</v>
      </c>
      <c r="Y2367">
        <v>-0.3225729</v>
      </c>
      <c r="Z2367">
        <v>6.6201599999999999E-3</v>
      </c>
      <c r="AA2367">
        <v>0.94652150000000002</v>
      </c>
      <c r="AB2367">
        <v>32</v>
      </c>
      <c r="AC2367">
        <v>-9.4154999999999998</v>
      </c>
      <c r="AD2367">
        <v>-1.131756219261</v>
      </c>
      <c r="AE2367">
        <v>-38.824999999999903</v>
      </c>
      <c r="AF2367">
        <v>-12.931107870264499</v>
      </c>
      <c r="AG2367">
        <v>-1.131756219261</v>
      </c>
      <c r="AH2367">
        <v>37.765858268500402</v>
      </c>
      <c r="AI2367">
        <v>91.624002751365197</v>
      </c>
      <c r="AJ2367">
        <v>108.901309767067</v>
      </c>
      <c r="AK2367">
        <v>39.934377091031699</v>
      </c>
      <c r="AL2367">
        <v>78.884944426641098</v>
      </c>
      <c r="AM2367">
        <v>95.827616784556298</v>
      </c>
      <c r="AN2367">
        <v>0.99999993003336896</v>
      </c>
    </row>
    <row r="2368" spans="1:40" x14ac:dyDescent="0.25">
      <c r="A2368" t="str">
        <f>"20190303170544138"</f>
        <v>20190303170544138</v>
      </c>
      <c r="B2368" t="str">
        <f>"1551603944126757"</f>
        <v>1551603944126757</v>
      </c>
      <c r="C2368" t="s">
        <v>40</v>
      </c>
      <c r="D2368">
        <v>5.7791439999999996</v>
      </c>
      <c r="E2368">
        <v>0.41613549999999999</v>
      </c>
      <c r="F2368" t="s">
        <v>41</v>
      </c>
      <c r="G2368">
        <v>-496.07389999999998</v>
      </c>
      <c r="H2368" s="1">
        <v>-2.8462049999999999E-6</v>
      </c>
      <c r="I2368">
        <v>242.45650000000001</v>
      </c>
      <c r="J2368">
        <v>-488.21839999999997</v>
      </c>
      <c r="K2368">
        <v>1.131678</v>
      </c>
      <c r="L2368">
        <v>274.09789999999998</v>
      </c>
      <c r="M2368">
        <v>-0.53044089999999999</v>
      </c>
      <c r="N2368">
        <v>-1.5685549999999999E-2</v>
      </c>
      <c r="O2368">
        <v>-0.84757700000000002</v>
      </c>
      <c r="P2368">
        <v>-0.44006329999999999</v>
      </c>
      <c r="Q2368">
        <v>0.17918229999999999</v>
      </c>
      <c r="R2368">
        <v>-0.87990829999999998</v>
      </c>
      <c r="S2368">
        <v>-0.76486209999999999</v>
      </c>
      <c r="T2368">
        <v>-0.10863639999999999</v>
      </c>
      <c r="U2368">
        <v>-3.0556640000000002</v>
      </c>
      <c r="V2368">
        <v>-9.8782690000000006E-2</v>
      </c>
      <c r="W2368">
        <v>0.19202130000000001</v>
      </c>
      <c r="X2368">
        <v>0.97640660000000001</v>
      </c>
      <c r="Y2368">
        <v>-0.30867899999999998</v>
      </c>
      <c r="Z2368">
        <v>1.1717470000000001E-2</v>
      </c>
      <c r="AA2368">
        <v>0.95109410000000005</v>
      </c>
      <c r="AB2368">
        <v>32</v>
      </c>
      <c r="AC2368">
        <v>-7.8555000000000001</v>
      </c>
      <c r="AD2368">
        <v>-1.1316808462050001</v>
      </c>
      <c r="AE2368">
        <v>-31.641399999999901</v>
      </c>
      <c r="AF2368">
        <v>-10.114808042504301</v>
      </c>
      <c r="AG2368">
        <v>-1.1316808462050001</v>
      </c>
      <c r="AH2368">
        <v>30.951913534189</v>
      </c>
      <c r="AI2368">
        <v>91.990449910435899</v>
      </c>
      <c r="AJ2368">
        <v>108.09692813890599</v>
      </c>
      <c r="AK2368">
        <v>32.582372453556701</v>
      </c>
      <c r="AL2368">
        <v>78.929231756971902</v>
      </c>
      <c r="AM2368">
        <v>95.776936515453102</v>
      </c>
      <c r="AN2368">
        <v>1.0000000240104401</v>
      </c>
    </row>
    <row r="2369" spans="1:40" x14ac:dyDescent="0.25">
      <c r="A2369" t="str">
        <f>"20190303170544160"</f>
        <v>20190303170544160</v>
      </c>
      <c r="B2369" t="str">
        <f>"1551603944157012"</f>
        <v>1551603944157012</v>
      </c>
      <c r="C2369" t="s">
        <v>40</v>
      </c>
      <c r="D2369">
        <v>5.7798600000000002</v>
      </c>
      <c r="E2369">
        <v>0.4177015</v>
      </c>
      <c r="F2369" t="s">
        <v>41</v>
      </c>
      <c r="G2369">
        <v>-495.63560000000001</v>
      </c>
      <c r="H2369" s="1">
        <v>-3.2561020000000001E-6</v>
      </c>
      <c r="I2369">
        <v>243.68379999999999</v>
      </c>
      <c r="J2369">
        <v>-488.37200000000001</v>
      </c>
      <c r="K2369">
        <v>1.131583</v>
      </c>
      <c r="L2369">
        <v>273.83089999999999</v>
      </c>
      <c r="M2369">
        <v>-0.52033649999999998</v>
      </c>
      <c r="N2369">
        <v>-1.565486E-2</v>
      </c>
      <c r="O2369">
        <v>-0.85381810000000002</v>
      </c>
      <c r="P2369">
        <v>-0.43079840000000003</v>
      </c>
      <c r="Q2369">
        <v>0.17966579999999999</v>
      </c>
      <c r="R2369">
        <v>-0.88438329999999998</v>
      </c>
      <c r="S2369">
        <v>-0.74612429999999996</v>
      </c>
      <c r="T2369">
        <v>-0.1138406</v>
      </c>
      <c r="U2369">
        <v>-3.0594790000000001</v>
      </c>
      <c r="V2369">
        <v>-9.7344589999999995E-2</v>
      </c>
      <c r="W2369">
        <v>0.19253790000000001</v>
      </c>
      <c r="X2369">
        <v>0.97644929999999996</v>
      </c>
      <c r="Y2369">
        <v>-0.30314940000000001</v>
      </c>
      <c r="Z2369">
        <v>1.3304059999999999E-2</v>
      </c>
      <c r="AA2369">
        <v>0.95285019999999998</v>
      </c>
      <c r="AB2369">
        <v>32</v>
      </c>
      <c r="AC2369">
        <v>-7.26360000000005</v>
      </c>
      <c r="AD2369">
        <v>-1.131586256102</v>
      </c>
      <c r="AE2369">
        <v>-30.147099999999899</v>
      </c>
      <c r="AF2369">
        <v>-9.4733885855846705</v>
      </c>
      <c r="AG2369">
        <v>-1.131586256102</v>
      </c>
      <c r="AH2369">
        <v>29.484005213575699</v>
      </c>
      <c r="AI2369">
        <v>92.092647719279697</v>
      </c>
      <c r="AJ2369">
        <v>107.81252491092999</v>
      </c>
      <c r="AK2369">
        <v>30.989226227555999</v>
      </c>
      <c r="AL2369">
        <v>78.899069941412506</v>
      </c>
      <c r="AM2369">
        <v>95.693143839911897</v>
      </c>
      <c r="AN2369">
        <v>1.0000000238045801</v>
      </c>
    </row>
    <row r="2370" spans="1:40" x14ac:dyDescent="0.25">
      <c r="A2370" t="str">
        <f>"20190303170544172"</f>
        <v>20190303170544172</v>
      </c>
      <c r="B2370" t="str">
        <f>"1551603944166773"</f>
        <v>1551603944166773</v>
      </c>
      <c r="C2370" t="s">
        <v>40</v>
      </c>
      <c r="D2370">
        <v>5.742229</v>
      </c>
      <c r="E2370">
        <v>0.4177015</v>
      </c>
      <c r="F2370" t="s">
        <v>41</v>
      </c>
      <c r="G2370">
        <v>-495.37689999999998</v>
      </c>
      <c r="H2370" s="1">
        <v>-3.4266279999999999E-6</v>
      </c>
      <c r="I2370">
        <v>244.2534</v>
      </c>
      <c r="J2370">
        <v>-488.45350000000002</v>
      </c>
      <c r="K2370">
        <v>1.131532</v>
      </c>
      <c r="L2370">
        <v>273.6857</v>
      </c>
      <c r="M2370">
        <v>-0.51486129999999997</v>
      </c>
      <c r="N2370">
        <v>-1.5638969999999999E-2</v>
      </c>
      <c r="O2370">
        <v>-0.85713079999999997</v>
      </c>
      <c r="P2370">
        <v>-0.42541230000000002</v>
      </c>
      <c r="Q2370">
        <v>0.18040619999999999</v>
      </c>
      <c r="R2370">
        <v>-0.88683579999999995</v>
      </c>
      <c r="S2370">
        <v>-0.72534180000000004</v>
      </c>
      <c r="T2370">
        <v>-0.11717320000000001</v>
      </c>
      <c r="U2370">
        <v>-3.0626829999999998</v>
      </c>
      <c r="V2370">
        <v>-9.6946879999999999E-2</v>
      </c>
      <c r="W2370">
        <v>0.1932847</v>
      </c>
      <c r="X2370">
        <v>0.97634129999999997</v>
      </c>
      <c r="Y2370">
        <v>-0.30339329999999998</v>
      </c>
      <c r="Z2370">
        <v>1.42647E-2</v>
      </c>
      <c r="AA2370">
        <v>0.95275860000000001</v>
      </c>
      <c r="AB2370">
        <v>32</v>
      </c>
      <c r="AC2370">
        <v>-6.9233999999999503</v>
      </c>
      <c r="AD2370">
        <v>-1.131535426628</v>
      </c>
      <c r="AE2370">
        <v>-29.432300000000001</v>
      </c>
      <c r="AF2370">
        <v>-9.2075251570575798</v>
      </c>
      <c r="AG2370">
        <v>-1.131535426628</v>
      </c>
      <c r="AH2370">
        <v>28.7551709459396</v>
      </c>
      <c r="AI2370">
        <v>92.146230161795103</v>
      </c>
      <c r="AJ2370">
        <v>107.755281577787</v>
      </c>
      <c r="AK2370">
        <v>30.2145453063548</v>
      </c>
      <c r="AL2370">
        <v>78.855462106781403</v>
      </c>
      <c r="AM2370">
        <v>95.670658978327495</v>
      </c>
      <c r="AN2370">
        <v>1.0000000034407499</v>
      </c>
    </row>
    <row r="2371" spans="1:40" x14ac:dyDescent="0.25">
      <c r="A2371" t="str">
        <f>"20190303170544184"</f>
        <v>20190303170544184</v>
      </c>
      <c r="B2371" t="str">
        <f>"1551603944177509"</f>
        <v>1551603944177509</v>
      </c>
      <c r="C2371" t="s">
        <v>40</v>
      </c>
      <c r="D2371">
        <v>5.7600569999999998</v>
      </c>
      <c r="E2371">
        <v>0.4228151</v>
      </c>
      <c r="F2371" t="s">
        <v>41</v>
      </c>
      <c r="G2371">
        <v>-495.41789999999997</v>
      </c>
      <c r="H2371" s="1">
        <v>-3.1054529999999999E-6</v>
      </c>
      <c r="I2371">
        <v>243.46770000000001</v>
      </c>
      <c r="J2371">
        <v>-488.53469999999999</v>
      </c>
      <c r="K2371">
        <v>1.1314820000000001</v>
      </c>
      <c r="L2371">
        <v>273.53980000000001</v>
      </c>
      <c r="M2371">
        <v>-0.50935909999999995</v>
      </c>
      <c r="N2371">
        <v>-1.5623720000000001E-2</v>
      </c>
      <c r="O2371">
        <v>-0.86041209999999901</v>
      </c>
      <c r="P2371">
        <v>-0.4201606</v>
      </c>
      <c r="Q2371">
        <v>0.18081449999999999</v>
      </c>
      <c r="R2371">
        <v>-0.88925309999999902</v>
      </c>
      <c r="S2371">
        <v>-0.70687869999999997</v>
      </c>
      <c r="T2371">
        <v>-0.1148489</v>
      </c>
      <c r="U2371">
        <v>-3.067078</v>
      </c>
      <c r="V2371">
        <v>-9.6404760000000006E-2</v>
      </c>
      <c r="W2371">
        <v>0.19370390000000001</v>
      </c>
      <c r="X2371">
        <v>0.97631190000000001</v>
      </c>
      <c r="Y2371">
        <v>-0.30303429999999998</v>
      </c>
      <c r="Z2371">
        <v>1.3823129999999999E-2</v>
      </c>
      <c r="AA2371">
        <v>0.95287940000000004</v>
      </c>
      <c r="AB2371">
        <v>32</v>
      </c>
      <c r="AC2371">
        <v>-6.88319999999998</v>
      </c>
      <c r="AD2371">
        <v>-1.131485105453</v>
      </c>
      <c r="AE2371">
        <v>-30.072099999999999</v>
      </c>
      <c r="AF2371">
        <v>-9.3836341174151592</v>
      </c>
      <c r="AG2371">
        <v>-1.131485105453</v>
      </c>
      <c r="AH2371">
        <v>29.344534273833599</v>
      </c>
      <c r="AI2371">
        <v>92.103332428119401</v>
      </c>
      <c r="AJ2371">
        <v>107.73295140054201</v>
      </c>
      <c r="AK2371">
        <v>30.829118371137</v>
      </c>
      <c r="AL2371">
        <v>78.830981046036996</v>
      </c>
      <c r="AM2371">
        <v>95.639322731001002</v>
      </c>
      <c r="AN2371">
        <v>1.0000000023537301</v>
      </c>
    </row>
    <row r="2372" spans="1:40" x14ac:dyDescent="0.25">
      <c r="A2372" t="str">
        <f>"20190303170544195"</f>
        <v>20190303170544195</v>
      </c>
      <c r="B2372" t="str">
        <f>"1551603944187269"</f>
        <v>1551603944187269</v>
      </c>
      <c r="C2372" t="s">
        <v>40</v>
      </c>
      <c r="D2372">
        <v>5.758292</v>
      </c>
      <c r="E2372">
        <v>0.42366110000000001</v>
      </c>
      <c r="F2372" t="s">
        <v>41</v>
      </c>
      <c r="G2372">
        <v>-494.65309999999999</v>
      </c>
      <c r="H2372" s="1">
        <v>-4.4996239999999999E-6</v>
      </c>
      <c r="I2372">
        <v>247.78370000000001</v>
      </c>
      <c r="J2372">
        <v>-488.61110000000002</v>
      </c>
      <c r="K2372">
        <v>1.131437</v>
      </c>
      <c r="L2372">
        <v>273.39909999999998</v>
      </c>
      <c r="M2372">
        <v>-0.50407259999999998</v>
      </c>
      <c r="N2372">
        <v>-1.5609369999999999E-2</v>
      </c>
      <c r="O2372">
        <v>-0.86352030000000002</v>
      </c>
      <c r="P2372">
        <v>-0.4147516</v>
      </c>
      <c r="Q2372">
        <v>0.18073729999999999</v>
      </c>
      <c r="R2372">
        <v>-0.89180419999999905</v>
      </c>
      <c r="S2372">
        <v>-0.72637940000000001</v>
      </c>
      <c r="T2372">
        <v>-0.13433049999999999</v>
      </c>
      <c r="U2372">
        <v>-3.0577700000000001</v>
      </c>
      <c r="V2372">
        <v>-9.6328040000000004E-2</v>
      </c>
      <c r="W2372">
        <v>0.1936262</v>
      </c>
      <c r="X2372">
        <v>0.97633490000000001</v>
      </c>
      <c r="Y2372">
        <v>-0.29078130000000002</v>
      </c>
      <c r="Z2372">
        <v>1.9039839999999999E-2</v>
      </c>
      <c r="AA2372">
        <v>0.95660009999999995</v>
      </c>
      <c r="AB2372">
        <v>31</v>
      </c>
      <c r="AC2372">
        <v>-6.0419999999999696</v>
      </c>
      <c r="AD2372">
        <v>-1.1314414996240001</v>
      </c>
      <c r="AE2372">
        <v>-25.615399999999902</v>
      </c>
      <c r="AF2372">
        <v>-7.6813719730976997</v>
      </c>
      <c r="AG2372">
        <v>-1.1314414996240001</v>
      </c>
      <c r="AH2372">
        <v>25.121659310987202</v>
      </c>
      <c r="AI2372">
        <v>92.466209714623005</v>
      </c>
      <c r="AJ2372">
        <v>107.00189793486101</v>
      </c>
      <c r="AK2372">
        <v>26.294132459419</v>
      </c>
      <c r="AL2372">
        <v>78.835519002128294</v>
      </c>
      <c r="AM2372">
        <v>95.634731898480993</v>
      </c>
      <c r="AN2372">
        <v>1.00000001678734</v>
      </c>
    </row>
    <row r="2373" spans="1:40" x14ac:dyDescent="0.25">
      <c r="A2373" t="str">
        <f>"20190303170544207"</f>
        <v>20190303170544207</v>
      </c>
      <c r="B2373" t="str">
        <f>"1551603944197029"</f>
        <v>1551603944197029</v>
      </c>
      <c r="C2373" t="s">
        <v>40</v>
      </c>
      <c r="D2373">
        <v>5.7884209999999996</v>
      </c>
      <c r="E2373">
        <v>0.42439329999999997</v>
      </c>
      <c r="F2373" t="s">
        <v>41</v>
      </c>
      <c r="G2373">
        <v>-494.45069999999998</v>
      </c>
      <c r="H2373" s="1">
        <v>-4.668092E-6</v>
      </c>
      <c r="I2373">
        <v>248.3843</v>
      </c>
      <c r="J2373">
        <v>-488.6884</v>
      </c>
      <c r="K2373">
        <v>1.1313879999999901</v>
      </c>
      <c r="L2373">
        <v>273.25569999999999</v>
      </c>
      <c r="M2373">
        <v>-0.49868200000000001</v>
      </c>
      <c r="N2373">
        <v>-1.5595360000000001E-2</v>
      </c>
      <c r="O2373">
        <v>-0.866645</v>
      </c>
      <c r="P2373">
        <v>-0.4090625</v>
      </c>
      <c r="Q2373">
        <v>0.18028669999999999</v>
      </c>
      <c r="R2373">
        <v>-0.89451919999999996</v>
      </c>
      <c r="S2373">
        <v>-0.7142944</v>
      </c>
      <c r="T2373">
        <v>-0.13839949999999901</v>
      </c>
      <c r="U2373">
        <v>-3.0598450000000001</v>
      </c>
      <c r="V2373">
        <v>-9.6473279999999995E-2</v>
      </c>
      <c r="W2373">
        <v>0.19317049999999999</v>
      </c>
      <c r="X2373">
        <v>0.97641080000000002</v>
      </c>
      <c r="Y2373">
        <v>-0.28854790000000002</v>
      </c>
      <c r="Z2373">
        <v>2.0252349999999999E-2</v>
      </c>
      <c r="AA2373">
        <v>0.95725130000000003</v>
      </c>
      <c r="AB2373">
        <v>31</v>
      </c>
      <c r="AC2373">
        <v>-5.7622999999999802</v>
      </c>
      <c r="AD2373">
        <v>-1.1313926680919999</v>
      </c>
      <c r="AE2373">
        <v>-24.871399999999898</v>
      </c>
      <c r="AF2373">
        <v>-7.3954264364625004</v>
      </c>
      <c r="AG2373">
        <v>-1.1313926680919999</v>
      </c>
      <c r="AH2373">
        <v>24.383308436057</v>
      </c>
      <c r="AI2373">
        <v>92.542428970204099</v>
      </c>
      <c r="AJ2373">
        <v>106.872483851429</v>
      </c>
      <c r="AK2373">
        <v>25.505256553001502</v>
      </c>
      <c r="AL2373">
        <v>78.8621308496175</v>
      </c>
      <c r="AM2373">
        <v>95.642737117521804</v>
      </c>
      <c r="AN2373">
        <v>0.99999999309042398</v>
      </c>
    </row>
    <row r="2374" spans="1:40" x14ac:dyDescent="0.25">
      <c r="A2374" t="str">
        <f>"20190303170544220"</f>
        <v>20190303170544220</v>
      </c>
      <c r="B2374" t="str">
        <f>"1551603944206789"</f>
        <v>1551603944206789</v>
      </c>
      <c r="C2374" t="s">
        <v>40</v>
      </c>
      <c r="D2374">
        <v>5.7460279999999999</v>
      </c>
      <c r="E2374">
        <v>0.42379489999999997</v>
      </c>
      <c r="F2374" t="s">
        <v>41</v>
      </c>
      <c r="G2374">
        <v>-494.19839999999999</v>
      </c>
      <c r="H2374" s="1">
        <v>-4.8851729999999997E-6</v>
      </c>
      <c r="I2374">
        <v>249.15369999999999</v>
      </c>
      <c r="J2374">
        <v>-488.77440000000001</v>
      </c>
      <c r="K2374">
        <v>1.1313359999999999</v>
      </c>
      <c r="L2374">
        <v>273.09370000000001</v>
      </c>
      <c r="M2374">
        <v>-0.49259740000000002</v>
      </c>
      <c r="N2374">
        <v>-1.558008E-2</v>
      </c>
      <c r="O2374">
        <v>-0.87011779999999905</v>
      </c>
      <c r="P2374">
        <v>-0.40235500000000002</v>
      </c>
      <c r="Q2374">
        <v>0.180503</v>
      </c>
      <c r="R2374">
        <v>-0.89751259999999999</v>
      </c>
      <c r="S2374">
        <v>-0.70013429999999999</v>
      </c>
      <c r="T2374">
        <v>-0.143762</v>
      </c>
      <c r="U2374">
        <v>-3.0625610000000001</v>
      </c>
      <c r="V2374">
        <v>-9.6899550000000001E-2</v>
      </c>
      <c r="W2374">
        <v>0.19337260000000001</v>
      </c>
      <c r="X2374">
        <v>0.97632859999999999</v>
      </c>
      <c r="Y2374">
        <v>-0.28623320000000002</v>
      </c>
      <c r="Z2374">
        <v>2.1820760000000002E-2</v>
      </c>
      <c r="AA2374">
        <v>0.95791150000000003</v>
      </c>
      <c r="AB2374">
        <v>31</v>
      </c>
      <c r="AC2374">
        <v>-5.4239999999999702</v>
      </c>
      <c r="AD2374">
        <v>-1.131340885173</v>
      </c>
      <c r="AE2374">
        <v>-23.94</v>
      </c>
      <c r="AF2374">
        <v>-7.0591266058980704</v>
      </c>
      <c r="AG2374">
        <v>-1.131340885173</v>
      </c>
      <c r="AH2374">
        <v>23.4554977922296</v>
      </c>
      <c r="AI2374">
        <v>92.644447678490096</v>
      </c>
      <c r="AJ2374">
        <v>106.749603613004</v>
      </c>
      <c r="AK2374">
        <v>24.520839653605801</v>
      </c>
      <c r="AL2374">
        <v>78.850329042552104</v>
      </c>
      <c r="AM2374">
        <v>95.667981809228493</v>
      </c>
      <c r="AN2374">
        <v>1.0000000101994599</v>
      </c>
    </row>
    <row r="2375" spans="1:40" x14ac:dyDescent="0.25">
      <c r="A2375" t="str">
        <f>"20190303170544235"</f>
        <v>20190303170544235</v>
      </c>
      <c r="B2375" t="str">
        <f>"1551603944227285"</f>
        <v>1551603944227285</v>
      </c>
      <c r="C2375" t="s">
        <v>40</v>
      </c>
      <c r="D2375">
        <v>5.7314769999999999</v>
      </c>
      <c r="E2375">
        <v>0.39928439999999998</v>
      </c>
      <c r="F2375" t="s">
        <v>41</v>
      </c>
      <c r="G2375">
        <v>-494.07769999999999</v>
      </c>
      <c r="H2375" s="1">
        <v>-4.7916549999999996E-6</v>
      </c>
      <c r="I2375">
        <v>248.9418</v>
      </c>
      <c r="J2375">
        <v>-488.85890000000001</v>
      </c>
      <c r="K2375">
        <v>1.1312869999999999</v>
      </c>
      <c r="L2375">
        <v>272.93079999999998</v>
      </c>
      <c r="M2375">
        <v>-0.4865004</v>
      </c>
      <c r="N2375">
        <v>-1.556535E-2</v>
      </c>
      <c r="O2375">
        <v>-0.87354189999999998</v>
      </c>
      <c r="P2375">
        <v>-0.3956673</v>
      </c>
      <c r="Q2375">
        <v>0.1807125</v>
      </c>
      <c r="R2375">
        <v>-0.90043930000000005</v>
      </c>
      <c r="S2375">
        <v>-0.67398069999999999</v>
      </c>
      <c r="T2375">
        <v>-0.1437775</v>
      </c>
      <c r="U2375">
        <v>-3.069366</v>
      </c>
      <c r="V2375">
        <v>-9.7296099999999996E-2</v>
      </c>
      <c r="W2375">
        <v>0.19356770000000001</v>
      </c>
      <c r="X2375">
        <v>0.97625050000000002</v>
      </c>
      <c r="Y2375">
        <v>-0.28776620000000003</v>
      </c>
      <c r="Z2375">
        <v>2.1961319999999999E-2</v>
      </c>
      <c r="AA2375">
        <v>0.95744890000000005</v>
      </c>
      <c r="AB2375">
        <v>31</v>
      </c>
      <c r="AC2375">
        <v>-5.2187999999999803</v>
      </c>
      <c r="AD2375">
        <v>-1.131291791655</v>
      </c>
      <c r="AE2375">
        <v>-23.988999999999901</v>
      </c>
      <c r="AF2375">
        <v>-7.0976065705608304</v>
      </c>
      <c r="AG2375">
        <v>-1.131291791655</v>
      </c>
      <c r="AH2375">
        <v>23.447397788785601</v>
      </c>
      <c r="AI2375">
        <v>92.643970436544294</v>
      </c>
      <c r="AJ2375">
        <v>106.841241302314</v>
      </c>
      <c r="AK2375">
        <v>24.5241983194942</v>
      </c>
      <c r="AL2375">
        <v>78.8389353878827</v>
      </c>
      <c r="AM2375">
        <v>95.691477695128697</v>
      </c>
      <c r="AN2375">
        <v>1.00000001215437</v>
      </c>
    </row>
    <row r="2376" spans="1:40" x14ac:dyDescent="0.25">
      <c r="A2376" t="str">
        <f>"20190303170544250"</f>
        <v>20190303170544250</v>
      </c>
      <c r="B2376" t="str">
        <f>"1551603944237045"</f>
        <v>1551603944237045</v>
      </c>
      <c r="C2376" t="s">
        <v>40</v>
      </c>
      <c r="D2376">
        <v>5.6700839999999904</v>
      </c>
      <c r="E2376">
        <v>0.39732240000000002</v>
      </c>
      <c r="F2376" t="s">
        <v>43</v>
      </c>
      <c r="G2376">
        <v>-530.11609999999996</v>
      </c>
      <c r="H2376">
        <v>-0.05</v>
      </c>
      <c r="I2376">
        <v>-2.8777010000000001</v>
      </c>
      <c r="J2376">
        <v>-488.95940000000002</v>
      </c>
      <c r="K2376">
        <v>1.131224</v>
      </c>
      <c r="L2376">
        <v>272.73439999999999</v>
      </c>
      <c r="M2376">
        <v>-0.47914830000000003</v>
      </c>
      <c r="N2376">
        <v>-1.554843E-2</v>
      </c>
      <c r="O2376">
        <v>-0.87759619999999905</v>
      </c>
      <c r="P2376">
        <v>-0.38798179999999999</v>
      </c>
      <c r="Q2376">
        <v>0.1818285</v>
      </c>
      <c r="R2376">
        <v>-0.90355339999999995</v>
      </c>
      <c r="S2376">
        <v>-0.46801759999999898</v>
      </c>
      <c r="T2376">
        <v>-1.340044E-2</v>
      </c>
      <c r="U2376">
        <v>-3.1287539999999998</v>
      </c>
      <c r="V2376">
        <v>-9.7307359999999996E-2</v>
      </c>
      <c r="W2376">
        <v>0.19467770000000001</v>
      </c>
      <c r="X2376">
        <v>0.97602860000000002</v>
      </c>
      <c r="Y2376">
        <v>-0.34404289999999998</v>
      </c>
      <c r="Z2376">
        <v>-1.161184E-2</v>
      </c>
      <c r="AA2376">
        <v>0.93888210000000005</v>
      </c>
      <c r="AB2376">
        <v>31</v>
      </c>
      <c r="AC2376">
        <v>-41.156699999999901</v>
      </c>
      <c r="AD2376">
        <v>-1.1812240000000001</v>
      </c>
      <c r="AE2376">
        <v>-275.612101</v>
      </c>
      <c r="AF2376">
        <v>-95.949984185693793</v>
      </c>
      <c r="AG2376">
        <v>-1.1812240000000001</v>
      </c>
      <c r="AH2376">
        <v>261.62322947746998</v>
      </c>
      <c r="AI2376">
        <v>90.242869431595906</v>
      </c>
      <c r="AJ2376">
        <v>110.140447402813</v>
      </c>
      <c r="AK2376">
        <v>278.66558624558201</v>
      </c>
      <c r="AL2376">
        <v>78.774103413313895</v>
      </c>
      <c r="AM2376">
        <v>95.693417644739199</v>
      </c>
      <c r="AN2376">
        <v>0.99999997860270895</v>
      </c>
    </row>
    <row r="2377" spans="1:40" x14ac:dyDescent="0.25">
      <c r="A2377" t="str">
        <f>"20190303170544265"</f>
        <v>20190303170544265</v>
      </c>
      <c r="B2377" t="str">
        <f>"1551603944257541"</f>
        <v>1551603944257541</v>
      </c>
      <c r="C2377" t="s">
        <v>40</v>
      </c>
      <c r="D2377">
        <v>5.7048160000000001</v>
      </c>
      <c r="E2377">
        <v>0.39600180000000001</v>
      </c>
      <c r="F2377" t="s">
        <v>51</v>
      </c>
      <c r="G2377">
        <v>-620.92160000000001</v>
      </c>
      <c r="H2377">
        <v>-0.1</v>
      </c>
      <c r="I2377">
        <v>-696.57560000000001</v>
      </c>
      <c r="J2377">
        <v>-489.05259999999998</v>
      </c>
      <c r="K2377">
        <v>1.131175</v>
      </c>
      <c r="L2377">
        <v>272.54860000000002</v>
      </c>
      <c r="M2377">
        <v>-0.47220279999999998</v>
      </c>
      <c r="N2377">
        <v>-1.5533129999999999E-2</v>
      </c>
      <c r="O2377">
        <v>-0.881353099999999</v>
      </c>
      <c r="P2377">
        <v>-0.38098860000000001</v>
      </c>
      <c r="Q2377">
        <v>0.1821199</v>
      </c>
      <c r="R2377">
        <v>-0.90646559999999998</v>
      </c>
      <c r="S2377">
        <v>-0.42715449999999999</v>
      </c>
      <c r="T2377">
        <v>-3.985405E-3</v>
      </c>
      <c r="U2377">
        <v>-3.1376040000000001</v>
      </c>
      <c r="V2377">
        <v>-9.7093079999999998E-2</v>
      </c>
      <c r="W2377">
        <v>0.19497149999999999</v>
      </c>
      <c r="X2377">
        <v>0.97599130000000001</v>
      </c>
      <c r="Y2377">
        <v>-0.34900639999999999</v>
      </c>
      <c r="Z2377">
        <v>-1.401143E-2</v>
      </c>
      <c r="AA2377">
        <v>0.9370155</v>
      </c>
      <c r="AB2377">
        <v>31</v>
      </c>
      <c r="AC2377">
        <v>-131.869</v>
      </c>
      <c r="AD2377">
        <v>-1.2311749999999999</v>
      </c>
      <c r="AE2377">
        <v>-969.12419999999997</v>
      </c>
      <c r="AF2377">
        <v>-341.44065301241301</v>
      </c>
      <c r="AG2377">
        <v>-1.2311749999999999</v>
      </c>
      <c r="AH2377">
        <v>916.51862887807101</v>
      </c>
      <c r="AI2377">
        <v>90.072123982693597</v>
      </c>
      <c r="AJ2377">
        <v>110.432418958797</v>
      </c>
      <c r="AK2377">
        <v>978.05400280453</v>
      </c>
      <c r="AL2377">
        <v>78.756941120311495</v>
      </c>
      <c r="AM2377">
        <v>95.681177992130003</v>
      </c>
      <c r="AN2377">
        <v>0.99999998483591301</v>
      </c>
    </row>
    <row r="2378" spans="1:40" x14ac:dyDescent="0.25">
      <c r="A2378" t="str">
        <f>"20190303170544278"</f>
        <v>20190303170544278</v>
      </c>
      <c r="B2378" t="str">
        <f>"1551603944267301"</f>
        <v>1551603944267301</v>
      </c>
      <c r="C2378" t="s">
        <v>40</v>
      </c>
      <c r="D2378">
        <v>5.7128500000000004</v>
      </c>
      <c r="E2378">
        <v>0.3958759</v>
      </c>
      <c r="F2378" t="s">
        <v>46</v>
      </c>
      <c r="G2378">
        <v>0</v>
      </c>
      <c r="H2378">
        <v>0</v>
      </c>
      <c r="I2378">
        <v>0</v>
      </c>
      <c r="J2378">
        <v>-489.13529999999997</v>
      </c>
      <c r="K2378">
        <v>1.1311389999999999</v>
      </c>
      <c r="L2378">
        <v>272.3802</v>
      </c>
      <c r="M2378">
        <v>-0.46592689999999998</v>
      </c>
      <c r="N2378">
        <v>-1.5519389999999999E-2</v>
      </c>
      <c r="O2378">
        <v>-0.88468740000000001</v>
      </c>
      <c r="P2378">
        <v>-0.37471670000000001</v>
      </c>
      <c r="Q2378">
        <v>0.18229290000000001</v>
      </c>
      <c r="R2378">
        <v>-0.90904200000000002</v>
      </c>
      <c r="S2378">
        <v>-0.39242549999999998</v>
      </c>
      <c r="T2378">
        <v>7.8040359999999899E-3</v>
      </c>
      <c r="U2378">
        <v>-3.1429749999999999</v>
      </c>
      <c r="V2378">
        <v>-9.6864839999999994E-2</v>
      </c>
      <c r="W2378">
        <v>0.1951473</v>
      </c>
      <c r="X2378">
        <v>0.97597889999999998</v>
      </c>
      <c r="Y2378">
        <v>-0.35275459999999997</v>
      </c>
      <c r="Z2378">
        <v>-1.7019920000000001E-2</v>
      </c>
      <c r="AA2378">
        <v>0.93556110000000003</v>
      </c>
      <c r="AB2378">
        <v>31</v>
      </c>
      <c r="AC2378">
        <v>-0.39242549999999998</v>
      </c>
      <c r="AD2378">
        <v>7.8040359999999899E-3</v>
      </c>
      <c r="AE2378">
        <v>-3.1429749999999999</v>
      </c>
      <c r="AF2378">
        <v>-1.11735019437441</v>
      </c>
      <c r="AG2378">
        <v>7.8040359999999899E-3</v>
      </c>
      <c r="AH2378">
        <v>2.9637301432418002</v>
      </c>
      <c r="AI2378">
        <v>89.858829607084104</v>
      </c>
      <c r="AJ2378">
        <v>110.656847992301</v>
      </c>
      <c r="AK2378">
        <v>3.1673693693357698</v>
      </c>
      <c r="AL2378">
        <v>78.746671876794096</v>
      </c>
      <c r="AM2378">
        <v>95.667981654829902</v>
      </c>
      <c r="AN2378">
        <v>1.0000000395853601</v>
      </c>
    </row>
    <row r="2379" spans="1:40" x14ac:dyDescent="0.25">
      <c r="A2379" t="str">
        <f>"20190303170544295"</f>
        <v>20190303170544295</v>
      </c>
      <c r="B2379" t="str">
        <f>"1551603944286822"</f>
        <v>1551603944286822</v>
      </c>
      <c r="C2379" t="s">
        <v>40</v>
      </c>
      <c r="D2379">
        <v>5.7100619999999997</v>
      </c>
      <c r="E2379">
        <v>0.39581450000000001</v>
      </c>
      <c r="F2379" t="s">
        <v>46</v>
      </c>
      <c r="G2379">
        <v>0</v>
      </c>
      <c r="H2379">
        <v>0</v>
      </c>
      <c r="I2379">
        <v>0</v>
      </c>
      <c r="J2379">
        <v>-489.2355</v>
      </c>
      <c r="K2379">
        <v>1.131084</v>
      </c>
      <c r="L2379">
        <v>272.17200000000003</v>
      </c>
      <c r="M2379">
        <v>-0.45817999999999998</v>
      </c>
      <c r="N2379">
        <v>-1.5502790000000001E-2</v>
      </c>
      <c r="O2379">
        <v>-0.88872430000000002</v>
      </c>
      <c r="P2379">
        <v>-0.3666719</v>
      </c>
      <c r="Q2379">
        <v>0.1818177</v>
      </c>
      <c r="R2379">
        <v>-0.91241150000000004</v>
      </c>
      <c r="S2379">
        <v>-0.36987300000000001</v>
      </c>
      <c r="T2379">
        <v>9.9279880000000004E-3</v>
      </c>
      <c r="U2379">
        <v>-3.1456909999999998</v>
      </c>
      <c r="V2379">
        <v>-9.6964090000000003E-2</v>
      </c>
      <c r="W2379">
        <v>0.19466749999999999</v>
      </c>
      <c r="X2379">
        <v>0.97606479999999995</v>
      </c>
      <c r="Y2379">
        <v>-0.35129189999999999</v>
      </c>
      <c r="Z2379">
        <v>-1.7593310000000001E-2</v>
      </c>
      <c r="AA2379">
        <v>0.93610070000000001</v>
      </c>
      <c r="AB2379">
        <v>31</v>
      </c>
      <c r="AC2379">
        <v>-0.36987300000000001</v>
      </c>
      <c r="AD2379">
        <v>9.9279880000000004E-3</v>
      </c>
      <c r="AE2379">
        <v>-3.1456909999999998</v>
      </c>
      <c r="AF2379">
        <v>-1.11270029530727</v>
      </c>
      <c r="AG2379">
        <v>9.9279880000000004E-3</v>
      </c>
      <c r="AH2379">
        <v>2.96544749227612</v>
      </c>
      <c r="AI2379">
        <v>89.820407122880994</v>
      </c>
      <c r="AJ2379">
        <v>110.56718160262901</v>
      </c>
      <c r="AK2379">
        <v>3.1673457881275602</v>
      </c>
      <c r="AL2379">
        <v>78.774699268490096</v>
      </c>
      <c r="AM2379">
        <v>95.673255260684002</v>
      </c>
      <c r="AN2379">
        <v>0.99999998205240803</v>
      </c>
    </row>
    <row r="2380" spans="1:40" x14ac:dyDescent="0.25">
      <c r="A2380" t="str">
        <f>"20190303170544309"</f>
        <v>20190303170544309</v>
      </c>
      <c r="B2380" t="str">
        <f>"1551603944297557"</f>
        <v>1551603944297557</v>
      </c>
      <c r="C2380" t="s">
        <v>40</v>
      </c>
      <c r="D2380">
        <v>5.7201309999999896</v>
      </c>
      <c r="E2380">
        <v>0.3960555</v>
      </c>
      <c r="F2380" t="s">
        <v>46</v>
      </c>
      <c r="G2380">
        <v>0</v>
      </c>
      <c r="H2380">
        <v>0</v>
      </c>
      <c r="I2380">
        <v>0</v>
      </c>
      <c r="J2380">
        <v>-489.3116</v>
      </c>
      <c r="K2380">
        <v>1.1310450000000001</v>
      </c>
      <c r="L2380">
        <v>272.01100000000002</v>
      </c>
      <c r="M2380">
        <v>-0.45219930000000003</v>
      </c>
      <c r="N2380">
        <v>-1.5490200000000001E-2</v>
      </c>
      <c r="O2380">
        <v>-0.89178259999999898</v>
      </c>
      <c r="P2380">
        <v>-0.36028320000000003</v>
      </c>
      <c r="Q2380">
        <v>0.18137449999999999</v>
      </c>
      <c r="R2380">
        <v>-0.91504090000000005</v>
      </c>
      <c r="S2380">
        <v>-0.34170529999999999</v>
      </c>
      <c r="T2380">
        <v>1.2130739999999999E-2</v>
      </c>
      <c r="U2380">
        <v>-3.1482239999999999</v>
      </c>
      <c r="V2380">
        <v>-9.7240569999999998E-2</v>
      </c>
      <c r="W2380">
        <v>0.19421559999999999</v>
      </c>
      <c r="X2380">
        <v>0.97612730000000003</v>
      </c>
      <c r="Y2380">
        <v>-0.35336139999999999</v>
      </c>
      <c r="Z2380">
        <v>-1.819436E-2</v>
      </c>
      <c r="AA2380">
        <v>0.93530990000000003</v>
      </c>
      <c r="AB2380">
        <v>31</v>
      </c>
      <c r="AC2380">
        <v>-0.34170529999999999</v>
      </c>
      <c r="AD2380">
        <v>1.2130739999999999E-2</v>
      </c>
      <c r="AE2380">
        <v>-3.1482239999999999</v>
      </c>
      <c r="AF2380">
        <v>-1.11901548843628</v>
      </c>
      <c r="AG2380">
        <v>1.2130739999999999E-2</v>
      </c>
      <c r="AH2380">
        <v>2.96236170979101</v>
      </c>
      <c r="AI2380">
        <v>89.780514745665101</v>
      </c>
      <c r="AJ2380">
        <v>110.69377616861701</v>
      </c>
      <c r="AK2380">
        <v>3.1666906571133802</v>
      </c>
      <c r="AL2380">
        <v>78.801094845128404</v>
      </c>
      <c r="AM2380">
        <v>95.688963917091002</v>
      </c>
      <c r="AN2380">
        <v>0.999999966771287</v>
      </c>
    </row>
    <row r="2381" spans="1:40" x14ac:dyDescent="0.25">
      <c r="A2381" t="str">
        <f>"20190303170544322"</f>
        <v>20190303170544322</v>
      </c>
      <c r="B2381" t="str">
        <f>"1551603944317076"</f>
        <v>1551603944317076</v>
      </c>
      <c r="C2381" t="s">
        <v>40</v>
      </c>
      <c r="D2381">
        <v>5.7290590000000003</v>
      </c>
      <c r="E2381">
        <v>0.39675510000000003</v>
      </c>
      <c r="F2381" t="s">
        <v>46</v>
      </c>
      <c r="G2381">
        <v>0</v>
      </c>
      <c r="H2381">
        <v>0</v>
      </c>
      <c r="I2381">
        <v>0</v>
      </c>
      <c r="J2381">
        <v>-489.39729999999997</v>
      </c>
      <c r="K2381">
        <v>1.1309979999999999</v>
      </c>
      <c r="L2381">
        <v>271.82670000000002</v>
      </c>
      <c r="M2381">
        <v>-0.44536720000000002</v>
      </c>
      <c r="N2381">
        <v>-1.547604E-2</v>
      </c>
      <c r="O2381">
        <v>-0.89521450000000002</v>
      </c>
      <c r="P2381">
        <v>-0.35366690000000001</v>
      </c>
      <c r="Q2381">
        <v>0.18104190000000001</v>
      </c>
      <c r="R2381">
        <v>-0.9176841</v>
      </c>
      <c r="S2381">
        <v>-0.32128909999999899</v>
      </c>
      <c r="T2381">
        <v>1.0181549999999999E-2</v>
      </c>
      <c r="U2381">
        <v>-3.149994</v>
      </c>
      <c r="V2381">
        <v>-9.6820059999999999E-2</v>
      </c>
      <c r="W2381">
        <v>0.19389239999999999</v>
      </c>
      <c r="X2381">
        <v>0.97623340000000003</v>
      </c>
      <c r="Y2381">
        <v>-0.3522573</v>
      </c>
      <c r="Z2381">
        <v>-1.772835E-2</v>
      </c>
      <c r="AA2381">
        <v>0.93573530000000005</v>
      </c>
      <c r="AB2381">
        <v>31</v>
      </c>
      <c r="AC2381">
        <v>-0.32128909999999899</v>
      </c>
      <c r="AD2381">
        <v>1.0181549999999999E-2</v>
      </c>
      <c r="AE2381">
        <v>-3.149994</v>
      </c>
      <c r="AF2381">
        <v>-1.1154031450416899</v>
      </c>
      <c r="AG2381">
        <v>1.0181549999999999E-2</v>
      </c>
      <c r="AH2381">
        <v>2.9633355168020801</v>
      </c>
      <c r="AI2381">
        <v>89.815760641578606</v>
      </c>
      <c r="AJ2381">
        <v>110.62639943839</v>
      </c>
      <c r="AK2381">
        <v>3.16632045520821</v>
      </c>
      <c r="AL2381">
        <v>78.819972266153499</v>
      </c>
      <c r="AM2381">
        <v>95.663911096319296</v>
      </c>
      <c r="AN2381">
        <v>1.00000001903586</v>
      </c>
    </row>
    <row r="2382" spans="1:40" x14ac:dyDescent="0.25">
      <c r="A2382" t="str">
        <f>"20190303170544338"</f>
        <v>20190303170544338</v>
      </c>
      <c r="B2382" t="str">
        <f>"1551603944326837"</f>
        <v>1551603944326837</v>
      </c>
      <c r="C2382" t="s">
        <v>40</v>
      </c>
      <c r="D2382">
        <v>5.7403890000000004</v>
      </c>
      <c r="E2382">
        <v>0.39711659999999999</v>
      </c>
      <c r="F2382" t="s">
        <v>46</v>
      </c>
      <c r="G2382">
        <v>0</v>
      </c>
      <c r="H2382">
        <v>0</v>
      </c>
      <c r="I2382">
        <v>0</v>
      </c>
      <c r="J2382">
        <v>-489.48719999999997</v>
      </c>
      <c r="K2382">
        <v>1.1309530000000001</v>
      </c>
      <c r="L2382">
        <v>271.62830000000002</v>
      </c>
      <c r="M2382">
        <v>-0.43804789999999999</v>
      </c>
      <c r="N2382">
        <v>-1.546031E-2</v>
      </c>
      <c r="O2382">
        <v>-0.89881869999999997</v>
      </c>
      <c r="P2382">
        <v>-0.34701470000000001</v>
      </c>
      <c r="Q2382">
        <v>0.18187449999999999</v>
      </c>
      <c r="R2382">
        <v>-0.92005550000000003</v>
      </c>
      <c r="S2382">
        <v>-0.30438229999999999</v>
      </c>
      <c r="T2382">
        <v>7.5811150000000002E-3</v>
      </c>
      <c r="U2382">
        <v>-3.1503299999999999</v>
      </c>
      <c r="V2382">
        <v>-9.5839439999999998E-2</v>
      </c>
      <c r="W2382">
        <v>0.1947451</v>
      </c>
      <c r="X2382">
        <v>0.97616040000000004</v>
      </c>
      <c r="Y2382">
        <v>-0.34959879999999999</v>
      </c>
      <c r="Z2382">
        <v>-1.708378E-2</v>
      </c>
      <c r="AA2382">
        <v>0.93674369999999996</v>
      </c>
      <c r="AB2382">
        <v>31</v>
      </c>
      <c r="AC2382">
        <v>-0.30438229999999999</v>
      </c>
      <c r="AD2382">
        <v>7.5811150000000002E-3</v>
      </c>
      <c r="AE2382">
        <v>-3.1503299999999999</v>
      </c>
      <c r="AF2382">
        <v>-1.10653681868198</v>
      </c>
      <c r="AG2382">
        <v>7.5811150000000002E-3</v>
      </c>
      <c r="AH2382">
        <v>2.9652468728142001</v>
      </c>
      <c r="AI2382">
        <v>89.862759084824901</v>
      </c>
      <c r="AJ2382">
        <v>110.46399165810899</v>
      </c>
      <c r="AK2382">
        <v>3.1649913461394901</v>
      </c>
      <c r="AL2382">
        <v>78.770166446680605</v>
      </c>
      <c r="AM2382">
        <v>95.607329474575806</v>
      </c>
      <c r="AN2382">
        <v>0.999999989380841</v>
      </c>
    </row>
    <row r="2383" spans="1:40" x14ac:dyDescent="0.25">
      <c r="A2383" t="str">
        <f>"20190303170544353"</f>
        <v>20190303170544353</v>
      </c>
      <c r="B2383" t="str">
        <f>"1551603944347333"</f>
        <v>1551603944347333</v>
      </c>
      <c r="C2383" t="s">
        <v>40</v>
      </c>
      <c r="D2383">
        <v>5.7295619999999996</v>
      </c>
      <c r="E2383">
        <v>0.39767819999999998</v>
      </c>
      <c r="F2383" t="s">
        <v>46</v>
      </c>
      <c r="G2383">
        <v>0</v>
      </c>
      <c r="H2383">
        <v>0</v>
      </c>
      <c r="I2383">
        <v>0</v>
      </c>
      <c r="J2383">
        <v>-489.56040000000002</v>
      </c>
      <c r="K2383">
        <v>1.130914</v>
      </c>
      <c r="L2383">
        <v>271.46350000000001</v>
      </c>
      <c r="M2383">
        <v>-0.43198180000000003</v>
      </c>
      <c r="N2383">
        <v>-1.5447209999999999E-2</v>
      </c>
      <c r="O2383">
        <v>-0.9017501</v>
      </c>
      <c r="P2383">
        <v>-0.34132820000000003</v>
      </c>
      <c r="Q2383">
        <v>0.18235309999999999</v>
      </c>
      <c r="R2383">
        <v>-0.92208610000000002</v>
      </c>
      <c r="S2383">
        <v>-0.2846069</v>
      </c>
      <c r="T2383">
        <v>9.8491910000000002E-3</v>
      </c>
      <c r="U2383">
        <v>-3.1513979999999999</v>
      </c>
      <c r="V2383">
        <v>-9.5234630000000001E-2</v>
      </c>
      <c r="W2383">
        <v>0.1952352</v>
      </c>
      <c r="X2383">
        <v>0.97612169999999998</v>
      </c>
      <c r="Y2383">
        <v>-0.34914659999999997</v>
      </c>
      <c r="Z2383">
        <v>-1.7698559999999999E-2</v>
      </c>
      <c r="AA2383">
        <v>0.93690099999999998</v>
      </c>
      <c r="AB2383">
        <v>31</v>
      </c>
      <c r="AC2383">
        <v>-0.2846069</v>
      </c>
      <c r="AD2383">
        <v>9.8491910000000002E-3</v>
      </c>
      <c r="AE2383">
        <v>-3.1513979999999999</v>
      </c>
      <c r="AF2383">
        <v>-1.1048233248460999</v>
      </c>
      <c r="AG2383">
        <v>9.8491910000000002E-3</v>
      </c>
      <c r="AH2383">
        <v>2.9650433137646499</v>
      </c>
      <c r="AI2383">
        <v>89.821655860112401</v>
      </c>
      <c r="AJ2383">
        <v>110.436211220923</v>
      </c>
      <c r="AK2383">
        <v>3.1642081850263599</v>
      </c>
      <c r="AL2383">
        <v>78.741536304696496</v>
      </c>
      <c r="AM2383">
        <v>95.572386459750405</v>
      </c>
      <c r="AN2383">
        <v>0.99999999564058295</v>
      </c>
    </row>
    <row r="2384" spans="1:40" x14ac:dyDescent="0.25">
      <c r="A2384" t="str">
        <f>"20190303170544365"</f>
        <v>20190303170544365</v>
      </c>
      <c r="B2384" t="str">
        <f>"1551603944357093"</f>
        <v>1551603944357093</v>
      </c>
      <c r="C2384" t="s">
        <v>40</v>
      </c>
      <c r="D2384">
        <v>5.7353569999999996</v>
      </c>
      <c r="E2384">
        <v>0.39804970000000001</v>
      </c>
      <c r="F2384" t="s">
        <v>46</v>
      </c>
      <c r="G2384">
        <v>0</v>
      </c>
      <c r="H2384">
        <v>0</v>
      </c>
      <c r="I2384">
        <v>0</v>
      </c>
      <c r="J2384">
        <v>-489.63619999999997</v>
      </c>
      <c r="K2384">
        <v>1.13087</v>
      </c>
      <c r="L2384">
        <v>271.29050000000001</v>
      </c>
      <c r="M2384">
        <v>-0.42562430000000001</v>
      </c>
      <c r="N2384">
        <v>-1.543365E-2</v>
      </c>
      <c r="O2384">
        <v>-0.90476849999999998</v>
      </c>
      <c r="P2384">
        <v>-0.33513179999999998</v>
      </c>
      <c r="Q2384">
        <v>0.1827445</v>
      </c>
      <c r="R2384">
        <v>-0.92427899999999996</v>
      </c>
      <c r="S2384">
        <v>-0.26974490000000001</v>
      </c>
      <c r="T2384">
        <v>8.6948870000000001E-3</v>
      </c>
      <c r="U2384">
        <v>-3.1519780000000002</v>
      </c>
      <c r="V2384">
        <v>-9.4867170000000001E-2</v>
      </c>
      <c r="W2384">
        <v>0.19563269999999999</v>
      </c>
      <c r="X2384">
        <v>0.97607790000000005</v>
      </c>
      <c r="Y2384">
        <v>-0.34694799999999998</v>
      </c>
      <c r="Z2384">
        <v>-1.7419069999999998E-2</v>
      </c>
      <c r="AA2384">
        <v>0.93772259999999996</v>
      </c>
      <c r="AB2384">
        <v>31</v>
      </c>
      <c r="AC2384">
        <v>-0.26974490000000001</v>
      </c>
      <c r="AD2384">
        <v>8.6948870000000001E-3</v>
      </c>
      <c r="AE2384">
        <v>-3.1519780000000002</v>
      </c>
      <c r="AF2384">
        <v>-1.0976240298369799</v>
      </c>
      <c r="AG2384">
        <v>8.6948870000000001E-3</v>
      </c>
      <c r="AH2384">
        <v>2.9669509453777301</v>
      </c>
      <c r="AI2384">
        <v>89.842521589221604</v>
      </c>
      <c r="AJ2384">
        <v>110.301962806004</v>
      </c>
      <c r="AK2384">
        <v>3.1634873200652098</v>
      </c>
      <c r="AL2384">
        <v>78.718313472626207</v>
      </c>
      <c r="AM2384">
        <v>95.551267658681596</v>
      </c>
      <c r="AN2384">
        <v>1.0000000000607501</v>
      </c>
    </row>
    <row r="2385" spans="1:40" x14ac:dyDescent="0.25">
      <c r="A2385" t="str">
        <f>"20190303170544377"</f>
        <v>20190303170544377</v>
      </c>
      <c r="B2385" t="str">
        <f>"1551603944366853"</f>
        <v>1551603944366853</v>
      </c>
      <c r="C2385" t="s">
        <v>40</v>
      </c>
      <c r="D2385">
        <v>5.7629549999999998</v>
      </c>
      <c r="E2385">
        <v>0.3984202</v>
      </c>
      <c r="F2385" t="s">
        <v>46</v>
      </c>
      <c r="G2385">
        <v>0</v>
      </c>
      <c r="H2385">
        <v>0</v>
      </c>
      <c r="I2385">
        <v>0</v>
      </c>
      <c r="J2385">
        <v>-489.69869999999997</v>
      </c>
      <c r="K2385">
        <v>1.1308279999999999</v>
      </c>
      <c r="L2385">
        <v>271.14449999999999</v>
      </c>
      <c r="M2385">
        <v>-0.42028490000000002</v>
      </c>
      <c r="N2385">
        <v>-1.5422180000000001E-2</v>
      </c>
      <c r="O2385">
        <v>-0.90726119999999999</v>
      </c>
      <c r="P2385">
        <v>-0.32969080000000001</v>
      </c>
      <c r="Q2385">
        <v>0.18316109999999999</v>
      </c>
      <c r="R2385">
        <v>-0.92615119999999895</v>
      </c>
      <c r="S2385">
        <v>-0.25134279999999998</v>
      </c>
      <c r="T2385">
        <v>1.0035509999999999E-2</v>
      </c>
      <c r="U2385">
        <v>-3.152679</v>
      </c>
      <c r="V2385">
        <v>-9.4809350000000001E-2</v>
      </c>
      <c r="W2385">
        <v>0.1960479</v>
      </c>
      <c r="X2385">
        <v>0.97600019999999998</v>
      </c>
      <c r="Y2385">
        <v>-0.34687669999999998</v>
      </c>
      <c r="Z2385">
        <v>-1.7794049999999999E-2</v>
      </c>
      <c r="AA2385">
        <v>0.93774190000000002</v>
      </c>
      <c r="AB2385">
        <v>31</v>
      </c>
      <c r="AC2385">
        <v>-0.25134279999999998</v>
      </c>
      <c r="AD2385">
        <v>1.0035509999999999E-2</v>
      </c>
      <c r="AE2385">
        <v>-3.152679</v>
      </c>
      <c r="AF2385">
        <v>-1.0971091718432799</v>
      </c>
      <c r="AG2385">
        <v>1.0035509999999999E-2</v>
      </c>
      <c r="AH2385">
        <v>2.96626164141504</v>
      </c>
      <c r="AI2385">
        <v>89.818193479715902</v>
      </c>
      <c r="AJ2385">
        <v>110.297547712791</v>
      </c>
      <c r="AK2385">
        <v>3.16266618088819</v>
      </c>
      <c r="AL2385">
        <v>78.694054407584204</v>
      </c>
      <c r="AM2385">
        <v>95.548344282659698</v>
      </c>
      <c r="AN2385">
        <v>0.99999999117093596</v>
      </c>
    </row>
    <row r="2386" spans="1:40" x14ac:dyDescent="0.25">
      <c r="A2386" t="str">
        <f>"20190303170544396"</f>
        <v>20190303170544396</v>
      </c>
      <c r="B2386" t="str">
        <f>"1551603944387349"</f>
        <v>1551603944387349</v>
      </c>
      <c r="C2386" t="s">
        <v>40</v>
      </c>
      <c r="D2386">
        <v>5.7217969999999996</v>
      </c>
      <c r="E2386">
        <v>0.39902310000000002</v>
      </c>
      <c r="F2386" t="s">
        <v>46</v>
      </c>
      <c r="G2386">
        <v>0</v>
      </c>
      <c r="H2386">
        <v>0</v>
      </c>
      <c r="I2386">
        <v>0</v>
      </c>
      <c r="J2386">
        <v>-489.79570000000001</v>
      </c>
      <c r="K2386">
        <v>1.130763</v>
      </c>
      <c r="L2386">
        <v>270.91390000000001</v>
      </c>
      <c r="M2386">
        <v>-0.41187750000000001</v>
      </c>
      <c r="N2386">
        <v>-1.540395E-2</v>
      </c>
      <c r="O2386">
        <v>-0.91110919999999895</v>
      </c>
      <c r="P2386">
        <v>-0.32078640000000003</v>
      </c>
      <c r="Q2386">
        <v>0.18272360000000001</v>
      </c>
      <c r="R2386">
        <v>-0.92935939999999995</v>
      </c>
      <c r="S2386">
        <v>-0.23559569999999999</v>
      </c>
      <c r="T2386">
        <v>1.0419009999999999E-2</v>
      </c>
      <c r="U2386">
        <v>-3.1532589999999998</v>
      </c>
      <c r="V2386">
        <v>-9.5144240000000005E-2</v>
      </c>
      <c r="W2386">
        <v>0.19560050000000001</v>
      </c>
      <c r="X2386">
        <v>0.97605739999999996</v>
      </c>
      <c r="Y2386">
        <v>-0.34287020000000001</v>
      </c>
      <c r="Z2386">
        <v>-1.7920309999999998E-2</v>
      </c>
      <c r="AA2386">
        <v>0.93921180000000004</v>
      </c>
      <c r="AB2386">
        <v>31</v>
      </c>
      <c r="AC2386">
        <v>-0.23559569999999999</v>
      </c>
      <c r="AD2386">
        <v>1.0419009999999999E-2</v>
      </c>
      <c r="AE2386">
        <v>-3.1532589999999998</v>
      </c>
      <c r="AF2386">
        <v>-1.0842197147802199</v>
      </c>
      <c r="AG2386">
        <v>1.0419009999999999E-2</v>
      </c>
      <c r="AH2386">
        <v>2.9703195378643001</v>
      </c>
      <c r="AI2386">
        <v>89.811207920455303</v>
      </c>
      <c r="AJ2386">
        <v>110.05298571241801</v>
      </c>
      <c r="AK2386">
        <v>3.1620308510047499</v>
      </c>
      <c r="AL2386">
        <v>78.720194913299096</v>
      </c>
      <c r="AM2386">
        <v>95.5674952276391</v>
      </c>
      <c r="AN2386">
        <v>1.0000000150500901</v>
      </c>
    </row>
    <row r="2387" spans="1:40" x14ac:dyDescent="0.25">
      <c r="A2387" t="str">
        <f>"20190303170544406"</f>
        <v>20190303170544406</v>
      </c>
      <c r="B2387" t="str">
        <f>"1551603944397109"</f>
        <v>1551603944397109</v>
      </c>
      <c r="C2387" t="s">
        <v>40</v>
      </c>
      <c r="D2387">
        <v>5.7523540000000004</v>
      </c>
      <c r="E2387">
        <v>0.39932669999999998</v>
      </c>
      <c r="F2387" t="s">
        <v>46</v>
      </c>
      <c r="G2387">
        <v>0</v>
      </c>
      <c r="H2387">
        <v>0</v>
      </c>
      <c r="I2387">
        <v>0</v>
      </c>
      <c r="J2387">
        <v>-489.85379999999998</v>
      </c>
      <c r="K2387">
        <v>1.1307199999999999</v>
      </c>
      <c r="L2387">
        <v>270.7731</v>
      </c>
      <c r="M2387">
        <v>-0.4067616</v>
      </c>
      <c r="N2387">
        <v>-1.539278E-2</v>
      </c>
      <c r="O2387">
        <v>-0.91340460000000001</v>
      </c>
      <c r="P2387">
        <v>-0.31515520000000002</v>
      </c>
      <c r="Q2387">
        <v>0.18248429999999999</v>
      </c>
      <c r="R2387">
        <v>-0.93133069999999896</v>
      </c>
      <c r="S2387">
        <v>-0.21066280000000001</v>
      </c>
      <c r="T2387">
        <v>7.9104899999999992E-3</v>
      </c>
      <c r="U2387">
        <v>-3.1538089999999999</v>
      </c>
      <c r="V2387">
        <v>-9.5572669999999998E-2</v>
      </c>
      <c r="W2387">
        <v>0.1953493</v>
      </c>
      <c r="X2387">
        <v>0.97606579999999998</v>
      </c>
      <c r="Y2387">
        <v>-0.34499829999999998</v>
      </c>
      <c r="Z2387">
        <v>-1.72807E-2</v>
      </c>
      <c r="AA2387">
        <v>0.93844419999999995</v>
      </c>
      <c r="AB2387">
        <v>31</v>
      </c>
      <c r="AC2387">
        <v>-0.21066280000000001</v>
      </c>
      <c r="AD2387">
        <v>7.9104899999999992E-3</v>
      </c>
      <c r="AE2387">
        <v>-3.1538089999999999</v>
      </c>
      <c r="AF2387">
        <v>-1.0905504530574599</v>
      </c>
      <c r="AG2387">
        <v>7.9104899999999992E-3</v>
      </c>
      <c r="AH2387">
        <v>2.9667262399137302</v>
      </c>
      <c r="AI2387">
        <v>89.856607729188596</v>
      </c>
      <c r="AJ2387">
        <v>110.183119581329</v>
      </c>
      <c r="AK2387">
        <v>3.1608270198017099</v>
      </c>
      <c r="AL2387">
        <v>78.734870158304901</v>
      </c>
      <c r="AM2387">
        <v>95.592358999727693</v>
      </c>
      <c r="AN2387">
        <v>0.99999996509552802</v>
      </c>
    </row>
    <row r="2388" spans="1:40" x14ac:dyDescent="0.25">
      <c r="A2388" t="str">
        <f>"20190303170544417"</f>
        <v>20190303170544417</v>
      </c>
      <c r="B2388" t="str">
        <f>"1551603944406870"</f>
        <v>1551603944406870</v>
      </c>
      <c r="C2388" t="s">
        <v>40</v>
      </c>
      <c r="D2388">
        <v>5.7515419999999997</v>
      </c>
      <c r="E2388">
        <v>0.39965909999999999</v>
      </c>
      <c r="F2388" t="s">
        <v>46</v>
      </c>
      <c r="G2388">
        <v>0</v>
      </c>
      <c r="H2388">
        <v>0</v>
      </c>
      <c r="I2388">
        <v>0</v>
      </c>
      <c r="J2388">
        <v>-489.91160000000002</v>
      </c>
      <c r="K2388">
        <v>1.130681</v>
      </c>
      <c r="L2388">
        <v>270.63049999999998</v>
      </c>
      <c r="M2388">
        <v>-0.40160259999999998</v>
      </c>
      <c r="N2388">
        <v>-1.5381239999999999E-2</v>
      </c>
      <c r="O2388">
        <v>-0.91568490000000002</v>
      </c>
      <c r="P2388">
        <v>-0.30973109999999998</v>
      </c>
      <c r="Q2388">
        <v>0.1821054</v>
      </c>
      <c r="R2388">
        <v>-0.93322280000000002</v>
      </c>
      <c r="S2388">
        <v>-0.19354250000000001</v>
      </c>
      <c r="T2388">
        <v>6.8479780000000002E-3</v>
      </c>
      <c r="U2388">
        <v>-3.1543580000000002</v>
      </c>
      <c r="V2388">
        <v>-9.5744850000000006E-2</v>
      </c>
      <c r="W2388">
        <v>0.1949668</v>
      </c>
      <c r="X2388">
        <v>0.97612540000000003</v>
      </c>
      <c r="Y2388">
        <v>-0.34478579999999998</v>
      </c>
      <c r="Z2388">
        <v>-1.7014209999999998E-2</v>
      </c>
      <c r="AA2388">
        <v>0.93852720000000001</v>
      </c>
      <c r="AB2388">
        <v>31</v>
      </c>
      <c r="AC2388">
        <v>-0.19354250000000001</v>
      </c>
      <c r="AD2388">
        <v>6.8479780000000002E-3</v>
      </c>
      <c r="AE2388">
        <v>-3.1543580000000002</v>
      </c>
      <c r="AF2388">
        <v>-1.0896981863522901</v>
      </c>
      <c r="AG2388">
        <v>6.8479780000000002E-3</v>
      </c>
      <c r="AH2388">
        <v>2.96646206198325</v>
      </c>
      <c r="AI2388">
        <v>89.8758463743183</v>
      </c>
      <c r="AJ2388">
        <v>110.170269294882</v>
      </c>
      <c r="AK2388">
        <v>3.1602826135217899</v>
      </c>
      <c r="AL2388">
        <v>78.757215430339301</v>
      </c>
      <c r="AM2388">
        <v>95.602030046437406</v>
      </c>
      <c r="AN2388">
        <v>0.99999996296446003</v>
      </c>
    </row>
    <row r="2389" spans="1:40" x14ac:dyDescent="0.25">
      <c r="A2389" t="str">
        <f>"20190303170544429"</f>
        <v>20190303170544429</v>
      </c>
      <c r="B2389" t="str">
        <f>"1551603944417606"</f>
        <v>1551603944417606</v>
      </c>
      <c r="C2389" t="s">
        <v>40</v>
      </c>
      <c r="D2389">
        <v>5.7541419999999999</v>
      </c>
      <c r="E2389">
        <v>0.39965909999999999</v>
      </c>
      <c r="F2389" t="s">
        <v>46</v>
      </c>
      <c r="G2389">
        <v>0</v>
      </c>
      <c r="H2389">
        <v>0</v>
      </c>
      <c r="I2389">
        <v>0</v>
      </c>
      <c r="J2389">
        <v>-489.96499999999997</v>
      </c>
      <c r="K2389">
        <v>1.1306419999999999</v>
      </c>
      <c r="L2389">
        <v>270.49669999999998</v>
      </c>
      <c r="M2389">
        <v>-0.39678340000000001</v>
      </c>
      <c r="N2389">
        <v>-1.537031E-2</v>
      </c>
      <c r="O2389">
        <v>-0.91778360000000003</v>
      </c>
      <c r="P2389">
        <v>-0.30466300000000002</v>
      </c>
      <c r="Q2389">
        <v>0.1823951</v>
      </c>
      <c r="R2389">
        <v>-0.93483289999999997</v>
      </c>
      <c r="S2389">
        <v>-0.17803959999999999</v>
      </c>
      <c r="T2389">
        <v>5.2940849999999996E-3</v>
      </c>
      <c r="U2389">
        <v>-3.1545100000000001</v>
      </c>
      <c r="V2389">
        <v>-9.5872890000000002E-2</v>
      </c>
      <c r="W2389">
        <v>0.19525110000000001</v>
      </c>
      <c r="X2389">
        <v>0.97605600000000003</v>
      </c>
      <c r="Y2389">
        <v>-0.3444487</v>
      </c>
      <c r="Z2389">
        <v>-1.66117E-2</v>
      </c>
      <c r="AA2389">
        <v>0.9386582</v>
      </c>
      <c r="AB2389">
        <v>31</v>
      </c>
      <c r="AC2389">
        <v>-0.17803959999999999</v>
      </c>
      <c r="AD2389">
        <v>5.2940849999999996E-3</v>
      </c>
      <c r="AE2389">
        <v>-3.1545100000000001</v>
      </c>
      <c r="AF2389">
        <v>-1.0883808664841299</v>
      </c>
      <c r="AG2389">
        <v>5.2940849999999996E-3</v>
      </c>
      <c r="AH2389">
        <v>2.96614269284259</v>
      </c>
      <c r="AI2389">
        <v>89.903995445510404</v>
      </c>
      <c r="AJ2389">
        <v>110.149842624619</v>
      </c>
      <c r="AK2389">
        <v>3.1595258207788399</v>
      </c>
      <c r="AL2389">
        <v>78.740607008727693</v>
      </c>
      <c r="AM2389">
        <v>95.609870219827101</v>
      </c>
      <c r="AN2389">
        <v>0.99999995911207995</v>
      </c>
    </row>
    <row r="2390" spans="1:40" x14ac:dyDescent="0.25">
      <c r="A2390" t="str">
        <f>"20190303170544450"</f>
        <v>20190303170544450</v>
      </c>
      <c r="B2390" t="str">
        <f>"1551603944437125"</f>
        <v>1551603944437125</v>
      </c>
      <c r="C2390" t="s">
        <v>40</v>
      </c>
      <c r="D2390">
        <v>5.7680259999999999</v>
      </c>
      <c r="E2390">
        <v>0.40974729999999998</v>
      </c>
      <c r="F2390" t="s">
        <v>46</v>
      </c>
      <c r="G2390">
        <v>0</v>
      </c>
      <c r="H2390">
        <v>0</v>
      </c>
      <c r="I2390">
        <v>0</v>
      </c>
      <c r="J2390">
        <v>-490.0736</v>
      </c>
      <c r="K2390">
        <v>1.130552</v>
      </c>
      <c r="L2390">
        <v>270.2183</v>
      </c>
      <c r="M2390">
        <v>-0.38680409999999998</v>
      </c>
      <c r="N2390">
        <v>-1.534719E-2</v>
      </c>
      <c r="O2390">
        <v>-0.92203420000000003</v>
      </c>
      <c r="P2390">
        <v>-0.29479899999999998</v>
      </c>
      <c r="Q2390">
        <v>0.1832502</v>
      </c>
      <c r="R2390">
        <v>-0.93782359999999998</v>
      </c>
      <c r="S2390">
        <v>-0.16003419999999999</v>
      </c>
      <c r="T2390">
        <v>6.4311029999999996E-3</v>
      </c>
      <c r="U2390">
        <v>-3.1557309999999998</v>
      </c>
      <c r="V2390">
        <v>-9.5474059999999999E-2</v>
      </c>
      <c r="W2390">
        <v>0.1961125</v>
      </c>
      <c r="X2390">
        <v>0.97592250000000003</v>
      </c>
      <c r="Y2390">
        <v>-0.33962239999999999</v>
      </c>
      <c r="Z2390">
        <v>-1.6930239999999999E-2</v>
      </c>
      <c r="AA2390">
        <v>0.94040950000000001</v>
      </c>
      <c r="AB2390">
        <v>31</v>
      </c>
      <c r="AC2390">
        <v>-0.16003419999999999</v>
      </c>
      <c r="AD2390">
        <v>6.4311029999999996E-3</v>
      </c>
      <c r="AE2390">
        <v>-3.1557309999999998</v>
      </c>
      <c r="AF2390">
        <v>-1.0732146289373701</v>
      </c>
      <c r="AG2390">
        <v>6.4311029999999996E-3</v>
      </c>
      <c r="AH2390">
        <v>2.9719314817316702</v>
      </c>
      <c r="AI2390">
        <v>89.883385758092302</v>
      </c>
      <c r="AJ2390">
        <v>109.855506851852</v>
      </c>
      <c r="AK2390">
        <v>3.1597796965862699</v>
      </c>
      <c r="AL2390">
        <v>78.690280701001299</v>
      </c>
      <c r="AM2390">
        <v>95.587440558645199</v>
      </c>
      <c r="AN2390">
        <v>1.0000000673976801</v>
      </c>
    </row>
    <row r="2391" spans="1:40" x14ac:dyDescent="0.25">
      <c r="A2391" t="str">
        <f>"20190303170544461"</f>
        <v>20190303170544461</v>
      </c>
      <c r="B2391" t="str">
        <f>"1551603944456646"</f>
        <v>1551603944456646</v>
      </c>
      <c r="C2391" t="s">
        <v>40</v>
      </c>
      <c r="D2391">
        <v>5.7684319999999998</v>
      </c>
      <c r="E2391">
        <v>0.4106978</v>
      </c>
      <c r="F2391" t="s">
        <v>43</v>
      </c>
      <c r="G2391">
        <v>-509.0924</v>
      </c>
      <c r="H2391">
        <v>-0.05</v>
      </c>
      <c r="I2391">
        <v>-21.092089999999999</v>
      </c>
      <c r="J2391">
        <v>-490.12970000000001</v>
      </c>
      <c r="K2391">
        <v>1.130506</v>
      </c>
      <c r="L2391">
        <v>270.07150000000001</v>
      </c>
      <c r="M2391">
        <v>-0.38156899999999999</v>
      </c>
      <c r="N2391">
        <v>-1.5335049999999999E-2</v>
      </c>
      <c r="O2391">
        <v>-0.92421310000000001</v>
      </c>
      <c r="P2391">
        <v>-0.2897979</v>
      </c>
      <c r="Q2391">
        <v>0.18365960000000001</v>
      </c>
      <c r="R2391">
        <v>-0.93930119999999895</v>
      </c>
      <c r="S2391">
        <v>-0.2048035</v>
      </c>
      <c r="T2391">
        <v>-1.271272E-2</v>
      </c>
      <c r="U2391">
        <v>-3.1369630000000002</v>
      </c>
      <c r="V2391">
        <v>-9.5092270000000007E-2</v>
      </c>
      <c r="W2391">
        <v>0.19653000000000001</v>
      </c>
      <c r="X2391">
        <v>0.97587570000000001</v>
      </c>
      <c r="Y2391">
        <v>-0.32054149999999998</v>
      </c>
      <c r="Z2391">
        <v>-1.165446E-2</v>
      </c>
      <c r="AA2391">
        <v>0.94716270000000002</v>
      </c>
      <c r="AB2391">
        <v>31</v>
      </c>
      <c r="AC2391">
        <v>-18.962699999999899</v>
      </c>
      <c r="AD2391">
        <v>-1.1805060000000001</v>
      </c>
      <c r="AE2391">
        <v>-291.16359</v>
      </c>
      <c r="AF2391">
        <v>-93.582900492880697</v>
      </c>
      <c r="AG2391">
        <v>-1.1805060000000001</v>
      </c>
      <c r="AH2391">
        <v>276.36076738191201</v>
      </c>
      <c r="AI2391">
        <v>90.231813865210597</v>
      </c>
      <c r="AJ2391">
        <v>108.707429250777</v>
      </c>
      <c r="AK2391">
        <v>291.77804339428297</v>
      </c>
      <c r="AL2391">
        <v>78.665883975502098</v>
      </c>
      <c r="AM2391">
        <v>95.565502778291204</v>
      </c>
      <c r="AN2391">
        <v>0.99999998128212098</v>
      </c>
    </row>
    <row r="2392" spans="1:40" x14ac:dyDescent="0.25">
      <c r="A2392" t="str">
        <f>"20190303170544474"</f>
        <v>20190303170544474</v>
      </c>
      <c r="B2392" t="str">
        <f>"1551603944467381"</f>
        <v>1551603944467381</v>
      </c>
      <c r="C2392" t="s">
        <v>40</v>
      </c>
      <c r="D2392">
        <v>5.7597769999999997</v>
      </c>
      <c r="E2392">
        <v>0.41124690000000003</v>
      </c>
      <c r="F2392" t="s">
        <v>43</v>
      </c>
      <c r="G2392">
        <v>-504.67070000000001</v>
      </c>
      <c r="H2392">
        <v>-0.05</v>
      </c>
      <c r="I2392">
        <v>37.170430000000003</v>
      </c>
      <c r="J2392">
        <v>-490.18830000000003</v>
      </c>
      <c r="K2392">
        <v>1.1304510000000001</v>
      </c>
      <c r="L2392">
        <v>269.91419999999999</v>
      </c>
      <c r="M2392">
        <v>-0.3760039</v>
      </c>
      <c r="N2392">
        <v>-1.5321359999999999E-2</v>
      </c>
      <c r="O2392">
        <v>-0.92649130000000002</v>
      </c>
      <c r="P2392">
        <v>-0.28426560000000001</v>
      </c>
      <c r="Q2392">
        <v>0.18444389999999999</v>
      </c>
      <c r="R2392">
        <v>-0.94083680000000003</v>
      </c>
      <c r="S2392">
        <v>-0.19583130000000001</v>
      </c>
      <c r="T2392">
        <v>-1.5898470000000001E-2</v>
      </c>
      <c r="U2392">
        <v>-3.1365970000000001</v>
      </c>
      <c r="V2392">
        <v>-9.4897809999999999E-2</v>
      </c>
      <c r="W2392">
        <v>0.19731589999999999</v>
      </c>
      <c r="X2392">
        <v>0.9757361</v>
      </c>
      <c r="Y2392">
        <v>-0.31753160000000002</v>
      </c>
      <c r="Z2392">
        <v>-1.075889E-2</v>
      </c>
      <c r="AA2392">
        <v>0.94818659999999999</v>
      </c>
      <c r="AB2392">
        <v>31</v>
      </c>
      <c r="AC2392">
        <v>-14.482399999999901</v>
      </c>
      <c r="AD2392">
        <v>-1.1804509999999999</v>
      </c>
      <c r="AE2392">
        <v>-232.74377000000001</v>
      </c>
      <c r="AF2392">
        <v>-74.101554153248998</v>
      </c>
      <c r="AG2392">
        <v>-1.1804509999999999</v>
      </c>
      <c r="AH2392">
        <v>221.10082594517201</v>
      </c>
      <c r="AI2392">
        <v>90.290041939413896</v>
      </c>
      <c r="AJ2392">
        <v>108.528485998256</v>
      </c>
      <c r="AK2392">
        <v>233.19092826721999</v>
      </c>
      <c r="AL2392">
        <v>78.619956668002004</v>
      </c>
      <c r="AM2392">
        <v>95.5549824569203</v>
      </c>
      <c r="AN2392">
        <v>1.0000000477894</v>
      </c>
    </row>
    <row r="2393" spans="1:40" x14ac:dyDescent="0.25">
      <c r="A2393" t="str">
        <f>"20190303170544486"</f>
        <v>20190303170544486</v>
      </c>
      <c r="B2393" t="str">
        <f>"1551603944477141"</f>
        <v>1551603944477141</v>
      </c>
      <c r="C2393" t="s">
        <v>40</v>
      </c>
      <c r="D2393">
        <v>5.7723789999999999</v>
      </c>
      <c r="E2393">
        <v>0.41191739999999999</v>
      </c>
      <c r="F2393" t="s">
        <v>43</v>
      </c>
      <c r="G2393">
        <v>-503.1902</v>
      </c>
      <c r="H2393">
        <v>-0.05</v>
      </c>
      <c r="I2393">
        <v>45.825940000000003</v>
      </c>
      <c r="J2393">
        <v>-490.2466</v>
      </c>
      <c r="K2393">
        <v>1.130398</v>
      </c>
      <c r="L2393">
        <v>269.75619999999998</v>
      </c>
      <c r="M2393">
        <v>-0.3704247</v>
      </c>
      <c r="N2393">
        <v>-1.5307960000000001E-2</v>
      </c>
      <c r="O2393">
        <v>-0.92873660000000002</v>
      </c>
      <c r="P2393">
        <v>-0.27896169999999998</v>
      </c>
      <c r="Q2393">
        <v>0.18485080000000001</v>
      </c>
      <c r="R2393">
        <v>-0.94234370000000001</v>
      </c>
      <c r="S2393">
        <v>-0.1820068</v>
      </c>
      <c r="T2393">
        <v>-1.6524549999999999E-2</v>
      </c>
      <c r="U2393">
        <v>-3.1369020000000001</v>
      </c>
      <c r="V2393">
        <v>-9.4475660000000003E-2</v>
      </c>
      <c r="W2393">
        <v>0.1977314</v>
      </c>
      <c r="X2393">
        <v>0.97569289999999997</v>
      </c>
      <c r="Y2393">
        <v>-0.31599680000000002</v>
      </c>
      <c r="Z2393">
        <v>-1.0570039999999999E-2</v>
      </c>
      <c r="AA2393">
        <v>0.94870140000000003</v>
      </c>
      <c r="AB2393">
        <v>31</v>
      </c>
      <c r="AC2393">
        <v>-12.9436</v>
      </c>
      <c r="AD2393">
        <v>-1.1803980000000001</v>
      </c>
      <c r="AE2393">
        <v>-223.93026</v>
      </c>
      <c r="AF2393">
        <v>-70.934435294035197</v>
      </c>
      <c r="AG2393">
        <v>-1.1803980000000001</v>
      </c>
      <c r="AH2393">
        <v>212.78584880349399</v>
      </c>
      <c r="AI2393">
        <v>90.301524105435504</v>
      </c>
      <c r="AJ2393">
        <v>108.436358985383</v>
      </c>
      <c r="AK2393">
        <v>224.300924877597</v>
      </c>
      <c r="AL2393">
        <v>78.595671216777603</v>
      </c>
      <c r="AM2393">
        <v>95.530668176701894</v>
      </c>
      <c r="AN2393">
        <v>0.99999999599440204</v>
      </c>
    </row>
    <row r="2394" spans="1:40" x14ac:dyDescent="0.25">
      <c r="A2394" t="str">
        <f>"20190303170544498"</f>
        <v>20190303170544498</v>
      </c>
      <c r="B2394" t="str">
        <f>"1551603944486901"</f>
        <v>1551603944486901</v>
      </c>
      <c r="C2394" t="s">
        <v>40</v>
      </c>
      <c r="D2394">
        <v>5.7805030000000004</v>
      </c>
      <c r="E2394">
        <v>0.41260829999999998</v>
      </c>
      <c r="F2394" t="s">
        <v>43</v>
      </c>
      <c r="G2394">
        <v>-502.00200000000001</v>
      </c>
      <c r="H2394">
        <v>-0.05</v>
      </c>
      <c r="I2394">
        <v>52.04806</v>
      </c>
      <c r="J2394">
        <v>-490.30189999999999</v>
      </c>
      <c r="K2394">
        <v>1.1303460000000001</v>
      </c>
      <c r="L2394">
        <v>269.6028</v>
      </c>
      <c r="M2394">
        <v>-0.36504209999999998</v>
      </c>
      <c r="N2394">
        <v>-1.529492E-2</v>
      </c>
      <c r="O2394">
        <v>-0.93086550000000001</v>
      </c>
      <c r="P2394">
        <v>-0.27368520000000002</v>
      </c>
      <c r="Q2394">
        <v>0.18538019999999999</v>
      </c>
      <c r="R2394">
        <v>-0.9437854</v>
      </c>
      <c r="S2394">
        <v>-0.16937260000000001</v>
      </c>
      <c r="T2394">
        <v>-1.7007230000000002E-2</v>
      </c>
      <c r="U2394">
        <v>-3.136749</v>
      </c>
      <c r="V2394">
        <v>-9.4232209999999997E-2</v>
      </c>
      <c r="W2394">
        <v>0.1982642</v>
      </c>
      <c r="X2394">
        <v>0.97560829999999998</v>
      </c>
      <c r="Y2394">
        <v>-0.31431029999999999</v>
      </c>
      <c r="Z2394">
        <v>-1.0418490000000001E-2</v>
      </c>
      <c r="AA2394">
        <v>0.94926310000000003</v>
      </c>
      <c r="AB2394">
        <v>31</v>
      </c>
      <c r="AC2394">
        <v>-11.7000999999999</v>
      </c>
      <c r="AD2394">
        <v>-1.1803459999999999</v>
      </c>
      <c r="AE2394">
        <v>-217.55473999999899</v>
      </c>
      <c r="AF2394">
        <v>-68.531416356053697</v>
      </c>
      <c r="AG2394">
        <v>-1.1803459999999999</v>
      </c>
      <c r="AH2394">
        <v>206.80332661256799</v>
      </c>
      <c r="AI2394">
        <v>90.310416477333803</v>
      </c>
      <c r="AJ2394">
        <v>108.33439604780899</v>
      </c>
      <c r="AK2394">
        <v>217.86593157827801</v>
      </c>
      <c r="AL2394">
        <v>78.564527254921799</v>
      </c>
      <c r="AM2394">
        <v>95.516979889990694</v>
      </c>
      <c r="AN2394">
        <v>0.99999997871600599</v>
      </c>
    </row>
    <row r="2395" spans="1:40" x14ac:dyDescent="0.25">
      <c r="A2395" t="str">
        <f>"20190303170544514"</f>
        <v>20190303170544514</v>
      </c>
      <c r="B2395" t="str">
        <f>"1551603944507397"</f>
        <v>1551603944507397</v>
      </c>
      <c r="C2395" t="s">
        <v>40</v>
      </c>
      <c r="D2395">
        <v>5.7988200000000001</v>
      </c>
      <c r="E2395">
        <v>0.41318670000000002</v>
      </c>
      <c r="F2395" t="s">
        <v>43</v>
      </c>
      <c r="G2395">
        <v>-501.23599999999999</v>
      </c>
      <c r="H2395">
        <v>-0.05</v>
      </c>
      <c r="I2395">
        <v>52.000109999999999</v>
      </c>
      <c r="J2395">
        <v>-490.36610000000002</v>
      </c>
      <c r="K2395">
        <v>1.130287</v>
      </c>
      <c r="L2395">
        <v>269.42110000000002</v>
      </c>
      <c r="M2395">
        <v>-0.35870269999999999</v>
      </c>
      <c r="N2395">
        <v>-1.527953E-2</v>
      </c>
      <c r="O2395">
        <v>-0.93332680000000001</v>
      </c>
      <c r="P2395">
        <v>-0.267202299999999</v>
      </c>
      <c r="Q2395">
        <v>0.18565509999999999</v>
      </c>
      <c r="R2395">
        <v>-0.94558750000000003</v>
      </c>
      <c r="S2395">
        <v>-0.15759279999999901</v>
      </c>
      <c r="T2395">
        <v>-1.7012240000000001E-2</v>
      </c>
      <c r="U2395">
        <v>-3.1362920000000001</v>
      </c>
      <c r="V2395">
        <v>-9.424594E-2</v>
      </c>
      <c r="W2395">
        <v>0.1985381</v>
      </c>
      <c r="X2395">
        <v>0.97555130000000001</v>
      </c>
      <c r="Y2395">
        <v>-0.31140109999999999</v>
      </c>
      <c r="Z2395">
        <v>-1.039169E-2</v>
      </c>
      <c r="AA2395">
        <v>0.95022169999999895</v>
      </c>
      <c r="AB2395">
        <v>31</v>
      </c>
      <c r="AC2395">
        <v>-10.8698999999999</v>
      </c>
      <c r="AD2395">
        <v>-1.1802870000000001</v>
      </c>
      <c r="AE2395">
        <v>-217.42098999999999</v>
      </c>
      <c r="AF2395">
        <v>-67.850253408179299</v>
      </c>
      <c r="AG2395">
        <v>-1.1802870000000001</v>
      </c>
      <c r="AH2395">
        <v>206.84196551734601</v>
      </c>
      <c r="AI2395">
        <v>90.310652763745694</v>
      </c>
      <c r="AJ2395">
        <v>108.161013219605</v>
      </c>
      <c r="AK2395">
        <v>217.689339803389</v>
      </c>
      <c r="AL2395">
        <v>78.548515968292506</v>
      </c>
      <c r="AM2395">
        <v>95.518099180646502</v>
      </c>
      <c r="AN2395">
        <v>1.00000000664489</v>
      </c>
    </row>
    <row r="2396" spans="1:40" x14ac:dyDescent="0.25">
      <c r="A2396" t="str">
        <f>"20190303170544529"</f>
        <v>20190303170544529</v>
      </c>
      <c r="B2396" t="str">
        <f>"1551603944517156"</f>
        <v>1551603944517156</v>
      </c>
      <c r="C2396" t="s">
        <v>40</v>
      </c>
      <c r="D2396">
        <v>5.7951860000000002</v>
      </c>
      <c r="E2396">
        <v>0.42028749999999998</v>
      </c>
      <c r="F2396" t="s">
        <v>43</v>
      </c>
      <c r="G2396">
        <v>-499.49259999999998</v>
      </c>
      <c r="H2396">
        <v>-0.05</v>
      </c>
      <c r="I2396">
        <v>65.058639999999997</v>
      </c>
      <c r="J2396">
        <v>-490.43790000000001</v>
      </c>
      <c r="K2396">
        <v>1.1302179999999999</v>
      </c>
      <c r="L2396">
        <v>269.214</v>
      </c>
      <c r="M2396">
        <v>-0.35150930000000002</v>
      </c>
      <c r="N2396">
        <v>-1.526227E-2</v>
      </c>
      <c r="O2396">
        <v>-0.93606009999999995</v>
      </c>
      <c r="P2396">
        <v>-0.26003219999999999</v>
      </c>
      <c r="Q2396">
        <v>0.18575130000000001</v>
      </c>
      <c r="R2396">
        <v>-0.94756530000000005</v>
      </c>
      <c r="S2396">
        <v>-0.1400757</v>
      </c>
      <c r="T2396">
        <v>-1.8115280000000001E-2</v>
      </c>
      <c r="U2396">
        <v>-3.1365970000000001</v>
      </c>
      <c r="V2396">
        <v>-9.4087270000000001E-2</v>
      </c>
      <c r="W2396">
        <v>0.1986367</v>
      </c>
      <c r="X2396">
        <v>0.97554649999999998</v>
      </c>
      <c r="Y2396">
        <v>-0.30938599999999999</v>
      </c>
      <c r="Z2396">
        <v>-1.0059770000000001E-2</v>
      </c>
      <c r="AA2396">
        <v>0.95088329999999999</v>
      </c>
      <c r="AB2396">
        <v>31</v>
      </c>
      <c r="AC2396">
        <v>-9.0546999999999596</v>
      </c>
      <c r="AD2396">
        <v>-1.180218</v>
      </c>
      <c r="AE2396">
        <v>-204.15536</v>
      </c>
      <c r="AF2396">
        <v>-63.292017986485298</v>
      </c>
      <c r="AG2396">
        <v>-1.180218</v>
      </c>
      <c r="AH2396">
        <v>194.30062629424199</v>
      </c>
      <c r="AI2396">
        <v>90.330907800867294</v>
      </c>
      <c r="AJ2396">
        <v>108.042643416602</v>
      </c>
      <c r="AK2396">
        <v>204.35265066463899</v>
      </c>
      <c r="AL2396">
        <v>78.542751297398794</v>
      </c>
      <c r="AM2396">
        <v>95.508893188252799</v>
      </c>
      <c r="AN2396">
        <v>0.999999963312595</v>
      </c>
    </row>
    <row r="2397" spans="1:40" x14ac:dyDescent="0.25">
      <c r="A2397" t="str">
        <f>"20190303170544542"</f>
        <v>20190303170544542</v>
      </c>
      <c r="B2397" t="str">
        <f>"1551603944536677"</f>
        <v>1551603944536677</v>
      </c>
      <c r="C2397" t="s">
        <v>40</v>
      </c>
      <c r="D2397">
        <v>5.797911</v>
      </c>
      <c r="E2397">
        <v>0.42157129999999998</v>
      </c>
      <c r="F2397" t="s">
        <v>41</v>
      </c>
      <c r="G2397">
        <v>-494.6103</v>
      </c>
      <c r="H2397" s="1">
        <v>-2.885508E-6</v>
      </c>
      <c r="I2397">
        <v>193.45590000000001</v>
      </c>
      <c r="J2397">
        <v>-490.4966</v>
      </c>
      <c r="K2397">
        <v>1.1301589999999999</v>
      </c>
      <c r="L2397">
        <v>269.04129999999998</v>
      </c>
      <c r="M2397">
        <v>-0.34553460000000003</v>
      </c>
      <c r="N2397">
        <v>-1.524818E-2</v>
      </c>
      <c r="O2397">
        <v>-0.93828230000000001</v>
      </c>
      <c r="P2397">
        <v>-0.25387759999999998</v>
      </c>
      <c r="Q2397">
        <v>0.18638270000000001</v>
      </c>
      <c r="R2397">
        <v>-0.94910879999999997</v>
      </c>
      <c r="S2397">
        <v>-0.1722717</v>
      </c>
      <c r="T2397">
        <v>-4.6664949999999997E-2</v>
      </c>
      <c r="U2397">
        <v>-3.1279300000000001</v>
      </c>
      <c r="V2397">
        <v>-9.4140139999999997E-2</v>
      </c>
      <c r="W2397">
        <v>0.19926479999999999</v>
      </c>
      <c r="X2397">
        <v>0.97541330000000004</v>
      </c>
      <c r="Y2397">
        <v>-0.29337839999999998</v>
      </c>
      <c r="Z2397">
        <v>-1.894289E-3</v>
      </c>
      <c r="AA2397">
        <v>0.95599449999999997</v>
      </c>
      <c r="AB2397">
        <v>31</v>
      </c>
      <c r="AC2397">
        <v>-4.1136999999999899</v>
      </c>
      <c r="AD2397">
        <v>-1.130161885508</v>
      </c>
      <c r="AE2397">
        <v>-75.585399999999893</v>
      </c>
      <c r="AF2397">
        <v>-22.2551824233846</v>
      </c>
      <c r="AG2397">
        <v>-1.130161885508</v>
      </c>
      <c r="AH2397">
        <v>72.334144069397396</v>
      </c>
      <c r="AI2397">
        <v>90.855554427812805</v>
      </c>
      <c r="AJ2397">
        <v>107.101660006247</v>
      </c>
      <c r="AK2397">
        <v>75.688828824588995</v>
      </c>
      <c r="AL2397">
        <v>78.506029766430402</v>
      </c>
      <c r="AM2397">
        <v>95.512717779266296</v>
      </c>
      <c r="AN2397">
        <v>0.99999996614757403</v>
      </c>
    </row>
    <row r="2398" spans="1:40" x14ac:dyDescent="0.25">
      <c r="A2398" t="str">
        <f>"20190303170544556"</f>
        <v>20190303170544556</v>
      </c>
      <c r="B2398" t="str">
        <f>"1551603944547412"</f>
        <v>1551603944547412</v>
      </c>
      <c r="C2398" t="s">
        <v>40</v>
      </c>
      <c r="D2398">
        <v>5.8162430000000001</v>
      </c>
      <c r="E2398">
        <v>0.42224109999999998</v>
      </c>
      <c r="F2398" t="s">
        <v>41</v>
      </c>
      <c r="G2398">
        <v>-494.5548</v>
      </c>
      <c r="H2398" s="1">
        <v>-1.6052169999999999E-6</v>
      </c>
      <c r="I2398">
        <v>190.5059</v>
      </c>
      <c r="J2398">
        <v>-490.55439999999999</v>
      </c>
      <c r="K2398">
        <v>1.130104</v>
      </c>
      <c r="L2398">
        <v>268.8657</v>
      </c>
      <c r="M2398">
        <v>-0.339503</v>
      </c>
      <c r="N2398">
        <v>-1.523418E-2</v>
      </c>
      <c r="O2398">
        <v>-0.94048160000000003</v>
      </c>
      <c r="P2398">
        <v>-0.2481052</v>
      </c>
      <c r="Q2398">
        <v>0.18675120000000001</v>
      </c>
      <c r="R2398">
        <v>-0.95056189999999996</v>
      </c>
      <c r="S2398">
        <v>-0.16156010000000001</v>
      </c>
      <c r="T2398">
        <v>-4.4991730000000001E-2</v>
      </c>
      <c r="U2398">
        <v>-3.1264949999999998</v>
      </c>
      <c r="V2398">
        <v>-9.3760759999999999E-2</v>
      </c>
      <c r="W2398">
        <v>0.1996395</v>
      </c>
      <c r="X2398">
        <v>0.9753733</v>
      </c>
      <c r="Y2398">
        <v>-0.29048299999999999</v>
      </c>
      <c r="Z2398">
        <v>-2.3052770000000001E-3</v>
      </c>
      <c r="AA2398">
        <v>0.95687739999999999</v>
      </c>
      <c r="AB2398">
        <v>31</v>
      </c>
      <c r="AC2398">
        <v>-4.0004000000000097</v>
      </c>
      <c r="AD2398">
        <v>-1.130105605217</v>
      </c>
      <c r="AE2398">
        <v>-78.359800000000007</v>
      </c>
      <c r="AF2398">
        <v>-22.838997415753401</v>
      </c>
      <c r="AG2398">
        <v>-1.130105605217</v>
      </c>
      <c r="AH2398">
        <v>75.047239592849806</v>
      </c>
      <c r="AI2398">
        <v>90.825359545259602</v>
      </c>
      <c r="AJ2398">
        <v>106.926488140709</v>
      </c>
      <c r="AK2398">
        <v>78.453713182629798</v>
      </c>
      <c r="AL2398">
        <v>78.484121721135693</v>
      </c>
      <c r="AM2398">
        <v>95.490861633731697</v>
      </c>
      <c r="AN2398">
        <v>1.0000000422144499</v>
      </c>
    </row>
    <row r="2399" spans="1:40" x14ac:dyDescent="0.25">
      <c r="A2399" t="str">
        <f>"20190303170544574"</f>
        <v>20190303170544574</v>
      </c>
      <c r="B2399" t="str">
        <f>"1551603944566933"</f>
        <v>1551603944566933</v>
      </c>
      <c r="C2399" t="s">
        <v>40</v>
      </c>
      <c r="D2399">
        <v>5.8205859999999996</v>
      </c>
      <c r="E2399">
        <v>0.42324200000000001</v>
      </c>
      <c r="F2399" t="s">
        <v>41</v>
      </c>
      <c r="G2399">
        <v>-494.12150000000003</v>
      </c>
      <c r="H2399" s="1">
        <v>-2.7537590000000001E-6</v>
      </c>
      <c r="I2399">
        <v>193.452</v>
      </c>
      <c r="J2399">
        <v>-490.63099999999997</v>
      </c>
      <c r="K2399">
        <v>1.1300349999999999</v>
      </c>
      <c r="L2399">
        <v>268.62880000000001</v>
      </c>
      <c r="M2399">
        <v>-0.33139809999999997</v>
      </c>
      <c r="N2399">
        <v>-1.521634E-2</v>
      </c>
      <c r="O2399">
        <v>-0.94336830000000005</v>
      </c>
      <c r="P2399">
        <v>-0.24093590000000001</v>
      </c>
      <c r="Q2399">
        <v>0.18683900000000001</v>
      </c>
      <c r="R2399">
        <v>-0.95238699999999998</v>
      </c>
      <c r="S2399">
        <v>-0.1478882</v>
      </c>
      <c r="T2399">
        <v>-4.6854140000000002E-2</v>
      </c>
      <c r="U2399">
        <v>-3.1266479999999999</v>
      </c>
      <c r="V2399">
        <v>-9.2675370000000007E-2</v>
      </c>
      <c r="W2399">
        <v>0.19974929999999999</v>
      </c>
      <c r="X2399">
        <v>0.9754545</v>
      </c>
      <c r="Y2399">
        <v>-0.28642279999999998</v>
      </c>
      <c r="Z2399">
        <v>-1.6986389999999901E-3</v>
      </c>
      <c r="AA2399">
        <v>0.9581018</v>
      </c>
      <c r="AB2399">
        <v>31</v>
      </c>
      <c r="AC2399">
        <v>-3.4905000000000501</v>
      </c>
      <c r="AD2399">
        <v>-1.1300377537590001</v>
      </c>
      <c r="AE2399">
        <v>-75.1768</v>
      </c>
      <c r="AF2399">
        <v>-21.618250991521101</v>
      </c>
      <c r="AG2399">
        <v>-1.1300377537590001</v>
      </c>
      <c r="AH2399">
        <v>72.068252132283106</v>
      </c>
      <c r="AI2399">
        <v>90.860457423442199</v>
      </c>
      <c r="AJ2399">
        <v>106.69762161270199</v>
      </c>
      <c r="AK2399">
        <v>75.249310472984803</v>
      </c>
      <c r="AL2399">
        <v>78.477700767194506</v>
      </c>
      <c r="AM2399">
        <v>95.427231189218702</v>
      </c>
      <c r="AN2399">
        <v>0.99999999431268805</v>
      </c>
    </row>
    <row r="2400" spans="1:40" x14ac:dyDescent="0.25">
      <c r="A2400" t="str">
        <f>"20190303170544586"</f>
        <v>20190303170544586</v>
      </c>
      <c r="B2400" t="str">
        <f>"1551603944576694"</f>
        <v>1551603944576694</v>
      </c>
      <c r="C2400" t="s">
        <v>40</v>
      </c>
      <c r="D2400">
        <v>5.8319159999999997</v>
      </c>
      <c r="E2400">
        <v>0.42371940000000002</v>
      </c>
      <c r="F2400" t="s">
        <v>41</v>
      </c>
      <c r="G2400">
        <v>-493.65469999999999</v>
      </c>
      <c r="H2400" s="1">
        <v>-3.8760459999999998E-6</v>
      </c>
      <c r="I2400">
        <v>196.4717</v>
      </c>
      <c r="J2400">
        <v>-490.67869999999999</v>
      </c>
      <c r="K2400">
        <v>1.129993</v>
      </c>
      <c r="L2400">
        <v>268.4778</v>
      </c>
      <c r="M2400">
        <v>-0.32624340000000002</v>
      </c>
      <c r="N2400">
        <v>-1.520552E-2</v>
      </c>
      <c r="O2400">
        <v>-0.94516350000000005</v>
      </c>
      <c r="P2400">
        <v>-0.2365217</v>
      </c>
      <c r="Q2400">
        <v>0.18639739999999999</v>
      </c>
      <c r="R2400">
        <v>-0.95357939999999997</v>
      </c>
      <c r="S2400">
        <v>-0.13101199999999999</v>
      </c>
      <c r="T2400">
        <v>-4.8962470000000001E-2</v>
      </c>
      <c r="U2400">
        <v>-3.1264340000000002</v>
      </c>
      <c r="V2400">
        <v>-9.1864299999999996E-2</v>
      </c>
      <c r="W2400">
        <v>0.1993269</v>
      </c>
      <c r="X2400">
        <v>0.97561759999999997</v>
      </c>
      <c r="Y2400">
        <v>-0.28634939999999998</v>
      </c>
      <c r="Z2400">
        <v>-1.056429E-3</v>
      </c>
      <c r="AA2400">
        <v>0.95812470000000005</v>
      </c>
      <c r="AB2400">
        <v>31</v>
      </c>
      <c r="AC2400">
        <v>-2.9759999999999902</v>
      </c>
      <c r="AD2400">
        <v>-1.129996876046</v>
      </c>
      <c r="AE2400">
        <v>-72.006100000000004</v>
      </c>
      <c r="AF2400">
        <v>-20.6760159539919</v>
      </c>
      <c r="AG2400">
        <v>-1.129996876046</v>
      </c>
      <c r="AH2400">
        <v>69.0194503967831</v>
      </c>
      <c r="AI2400">
        <v>90.898527008726305</v>
      </c>
      <c r="AJ2400">
        <v>106.676531378444</v>
      </c>
      <c r="AK2400">
        <v>72.058719539994698</v>
      </c>
      <c r="AL2400">
        <v>78.5023990454998</v>
      </c>
      <c r="AM2400">
        <v>95.379119301054899</v>
      </c>
      <c r="AN2400">
        <v>0.99999998205392904</v>
      </c>
    </row>
    <row r="2401" spans="1:40" x14ac:dyDescent="0.25">
      <c r="A2401" t="str">
        <f>"20190303170544598"</f>
        <v>20190303170544598</v>
      </c>
      <c r="B2401" t="str">
        <f>"1551603944587429"</f>
        <v>1551603944587429</v>
      </c>
      <c r="C2401" t="s">
        <v>40</v>
      </c>
      <c r="D2401">
        <v>5.8199579999999997</v>
      </c>
      <c r="E2401">
        <v>0.42371940000000002</v>
      </c>
      <c r="F2401" t="s">
        <v>52</v>
      </c>
      <c r="G2401">
        <v>-493.28629999999998</v>
      </c>
      <c r="H2401" s="1">
        <v>2.4782699999999999E-7</v>
      </c>
      <c r="I2401">
        <v>200.41630000000001</v>
      </c>
      <c r="J2401">
        <v>-490.72890000000001</v>
      </c>
      <c r="K2401">
        <v>1.1299509999999999</v>
      </c>
      <c r="L2401">
        <v>268.31529999999998</v>
      </c>
      <c r="M2401">
        <v>-0.32072050000000002</v>
      </c>
      <c r="N2401">
        <v>-1.51942E-2</v>
      </c>
      <c r="O2401">
        <v>-0.94705220000000001</v>
      </c>
      <c r="P2401">
        <v>-0.2312283</v>
      </c>
      <c r="Q2401">
        <v>0.1860136</v>
      </c>
      <c r="R2401">
        <v>-0.95495189999999996</v>
      </c>
      <c r="S2401">
        <v>-0.1197815</v>
      </c>
      <c r="T2401">
        <v>-5.1908250000000003E-2</v>
      </c>
      <c r="U2401">
        <v>-3.1265260000000001</v>
      </c>
      <c r="V2401">
        <v>-9.1575149999999994E-2</v>
      </c>
      <c r="W2401">
        <v>0.1989484</v>
      </c>
      <c r="X2401">
        <v>0.97572210000000004</v>
      </c>
      <c r="Y2401">
        <v>-0.28419129999999998</v>
      </c>
      <c r="Z2401">
        <v>-1.5869920000000001E-4</v>
      </c>
      <c r="AA2401">
        <v>0.95876760000000005</v>
      </c>
      <c r="AB2401">
        <v>31</v>
      </c>
      <c r="AC2401">
        <v>-2.5573999999999701</v>
      </c>
      <c r="AD2401">
        <v>-1.1299507521729999</v>
      </c>
      <c r="AE2401">
        <v>-67.898999999999901</v>
      </c>
      <c r="AF2401">
        <v>-19.351489163417298</v>
      </c>
      <c r="AG2401">
        <v>-1.1299507521729999</v>
      </c>
      <c r="AH2401">
        <v>65.113607213991102</v>
      </c>
      <c r="AI2401">
        <v>90.952995766929206</v>
      </c>
      <c r="AJ2401">
        <v>106.551726964487</v>
      </c>
      <c r="AK2401">
        <v>67.937756556734499</v>
      </c>
      <c r="AL2401">
        <v>78.524529456616307</v>
      </c>
      <c r="AM2401">
        <v>95.361715999968297</v>
      </c>
      <c r="AN2401">
        <v>1.0000000451942399</v>
      </c>
    </row>
    <row r="2402" spans="1:40" x14ac:dyDescent="0.25">
      <c r="A2402" t="str">
        <f>"20190303170544612"</f>
        <v>20190303170544612</v>
      </c>
      <c r="B2402" t="str">
        <f>"1551603944606949"</f>
        <v>1551603944606949</v>
      </c>
      <c r="C2402" t="s">
        <v>40</v>
      </c>
      <c r="D2402">
        <v>5.7985629999999997</v>
      </c>
      <c r="E2402">
        <v>0.43168380000000001</v>
      </c>
      <c r="F2402" t="s">
        <v>52</v>
      </c>
      <c r="G2402">
        <v>-492.91019999999997</v>
      </c>
      <c r="H2402" s="1">
        <v>5.8172749999999999E-7</v>
      </c>
      <c r="I2402">
        <v>201.49420000000001</v>
      </c>
      <c r="J2402">
        <v>-490.78149999999999</v>
      </c>
      <c r="K2402">
        <v>1.1299060000000001</v>
      </c>
      <c r="L2402">
        <v>268.14139999999998</v>
      </c>
      <c r="M2402">
        <v>-0.3148281</v>
      </c>
      <c r="N2402">
        <v>-1.51827E-2</v>
      </c>
      <c r="O2402">
        <v>-0.94902719999999896</v>
      </c>
      <c r="P2402">
        <v>-0.22582769999999999</v>
      </c>
      <c r="Q2402">
        <v>0.18520210000000001</v>
      </c>
      <c r="R2402">
        <v>-0.95640080000000005</v>
      </c>
      <c r="S2402">
        <v>-0.1020813</v>
      </c>
      <c r="T2402">
        <v>-5.2879570000000001E-2</v>
      </c>
      <c r="U2402">
        <v>-3.1271059999999999</v>
      </c>
      <c r="V2402">
        <v>-9.1035119999999997E-2</v>
      </c>
      <c r="W2402">
        <v>0.1981493</v>
      </c>
      <c r="X2402">
        <v>0.9759352</v>
      </c>
      <c r="Y2402">
        <v>-0.28365859999999998</v>
      </c>
      <c r="Z2402">
        <v>1.6617539999999999E-4</v>
      </c>
      <c r="AA2402">
        <v>0.95892529999999998</v>
      </c>
      <c r="AB2402">
        <v>31</v>
      </c>
      <c r="AC2402">
        <v>-2.1286999999999798</v>
      </c>
      <c r="AD2402">
        <v>-1.1299054182724999</v>
      </c>
      <c r="AE2402">
        <v>-66.647199999999899</v>
      </c>
      <c r="AF2402">
        <v>-18.958960583935699</v>
      </c>
      <c r="AG2402">
        <v>-1.1299054182724999</v>
      </c>
      <c r="AH2402">
        <v>63.9092025603479</v>
      </c>
      <c r="AI2402">
        <v>90.971056502287098</v>
      </c>
      <c r="AJ2402">
        <v>106.523233358384</v>
      </c>
      <c r="AK2402">
        <v>66.671620983571799</v>
      </c>
      <c r="AL2402">
        <v>78.571244346814794</v>
      </c>
      <c r="AM2402">
        <v>95.329122761330893</v>
      </c>
      <c r="AN2402">
        <v>1.0000000263814699</v>
      </c>
    </row>
    <row r="2403" spans="1:40" x14ac:dyDescent="0.25">
      <c r="A2403" t="str">
        <f>"20190303170544626"</f>
        <v>20190303170544626</v>
      </c>
      <c r="B2403" t="str">
        <f>"1551603944616709"</f>
        <v>1551603944616709</v>
      </c>
      <c r="C2403" t="s">
        <v>40</v>
      </c>
      <c r="D2403">
        <v>5.8540330000000003</v>
      </c>
      <c r="E2403">
        <v>0.43163030000000002</v>
      </c>
      <c r="F2403" t="s">
        <v>52</v>
      </c>
      <c r="G2403">
        <v>-492.74680000000001</v>
      </c>
      <c r="H2403" s="1">
        <v>5.0205840000000002E-6</v>
      </c>
      <c r="I2403">
        <v>226.40809999999999</v>
      </c>
      <c r="J2403">
        <v>-490.83409999999998</v>
      </c>
      <c r="K2403">
        <v>1.129867</v>
      </c>
      <c r="L2403">
        <v>267.96409999999997</v>
      </c>
      <c r="M2403">
        <v>-0.30882609999999999</v>
      </c>
      <c r="N2403">
        <v>-1.5171489999999999E-2</v>
      </c>
      <c r="O2403">
        <v>-0.9509978</v>
      </c>
      <c r="P2403">
        <v>-0.2197057</v>
      </c>
      <c r="Q2403">
        <v>0.18432780000000001</v>
      </c>
      <c r="R2403">
        <v>-0.95799420000000002</v>
      </c>
      <c r="S2403">
        <v>-0.1468506</v>
      </c>
      <c r="T2403">
        <v>-8.4429619999999997E-2</v>
      </c>
      <c r="U2403">
        <v>-3.118439</v>
      </c>
      <c r="V2403">
        <v>-9.1125090000000006E-2</v>
      </c>
      <c r="W2403">
        <v>0.1972729</v>
      </c>
      <c r="X2403">
        <v>0.97610430000000004</v>
      </c>
      <c r="Y2403">
        <v>-0.26369490000000001</v>
      </c>
      <c r="Z2403">
        <v>9.5358160000000008E-3</v>
      </c>
      <c r="AA2403">
        <v>0.96455900000000006</v>
      </c>
      <c r="AB2403">
        <v>31</v>
      </c>
      <c r="AC2403">
        <v>-1.9127000000000201</v>
      </c>
      <c r="AD2403">
        <v>-1.1298619794160001</v>
      </c>
      <c r="AE2403">
        <v>-41.555999999999898</v>
      </c>
      <c r="AF2403">
        <v>-11.0077486225098</v>
      </c>
      <c r="AG2403">
        <v>-1.1298619794160001</v>
      </c>
      <c r="AH2403">
        <v>40.085392273351097</v>
      </c>
      <c r="AI2403">
        <v>91.556926421538606</v>
      </c>
      <c r="AJ2403">
        <v>105.35534070670199</v>
      </c>
      <c r="AK2403">
        <v>41.584682174297399</v>
      </c>
      <c r="AL2403">
        <v>78.622469137835594</v>
      </c>
      <c r="AM2403">
        <v>95.333440372343702</v>
      </c>
      <c r="AN2403">
        <v>0.99999999179020405</v>
      </c>
    </row>
    <row r="2404" spans="1:40" x14ac:dyDescent="0.25">
      <c r="A2404" t="str">
        <f>"20190303170544641"</f>
        <v>20190303170544641</v>
      </c>
      <c r="B2404" t="str">
        <f>"1551603944627446"</f>
        <v>1551603944627446</v>
      </c>
      <c r="C2404" t="s">
        <v>40</v>
      </c>
      <c r="D2404">
        <v>5.8160160000000003</v>
      </c>
      <c r="E2404">
        <v>0.43155399999999999</v>
      </c>
      <c r="F2404" t="s">
        <v>52</v>
      </c>
      <c r="G2404">
        <v>-492.43090000000001</v>
      </c>
      <c r="H2404" s="1">
        <v>5.7418910000000004E-6</v>
      </c>
      <c r="I2404">
        <v>228.56290000000001</v>
      </c>
      <c r="J2404">
        <v>-490.8904</v>
      </c>
      <c r="K2404">
        <v>1.129829</v>
      </c>
      <c r="L2404">
        <v>267.76949999999999</v>
      </c>
      <c r="M2404">
        <v>-0.30226130000000001</v>
      </c>
      <c r="N2404">
        <v>-1.515947E-2</v>
      </c>
      <c r="O2404">
        <v>-0.95310459999999997</v>
      </c>
      <c r="P2404">
        <v>-0.21311479999999999</v>
      </c>
      <c r="Q2404">
        <v>0.1840224</v>
      </c>
      <c r="R2404">
        <v>-0.95954059999999997</v>
      </c>
      <c r="S2404">
        <v>-0.1264343</v>
      </c>
      <c r="T2404">
        <v>-8.9460490000000004E-2</v>
      </c>
      <c r="U2404">
        <v>-3.11972</v>
      </c>
      <c r="V2404">
        <v>-9.1094949999999994E-2</v>
      </c>
      <c r="W2404">
        <v>0.19696659999999999</v>
      </c>
      <c r="X2404">
        <v>0.97616899999999995</v>
      </c>
      <c r="Y2404">
        <v>-0.26335989999999998</v>
      </c>
      <c r="Z2404">
        <v>1.1078569999999999E-2</v>
      </c>
      <c r="AA2404">
        <v>0.96463410000000005</v>
      </c>
      <c r="AB2404">
        <v>31</v>
      </c>
      <c r="AC2404">
        <v>-1.5405</v>
      </c>
      <c r="AD2404">
        <v>-1.129823258109</v>
      </c>
      <c r="AE2404">
        <v>-39.206599999999902</v>
      </c>
      <c r="AF2404">
        <v>-10.3749706167692</v>
      </c>
      <c r="AG2404">
        <v>-1.129823258109</v>
      </c>
      <c r="AH2404">
        <v>37.806623481127197</v>
      </c>
      <c r="AI2404">
        <v>91.650740228791804</v>
      </c>
      <c r="AJ2404">
        <v>105.345460082701</v>
      </c>
      <c r="AK2404">
        <v>39.220623336927098</v>
      </c>
      <c r="AL2404">
        <v>78.640370432586295</v>
      </c>
      <c r="AM2404">
        <v>95.3313351373926</v>
      </c>
      <c r="AN2404">
        <v>1.0000000239960301</v>
      </c>
    </row>
    <row r="2405" spans="1:40" x14ac:dyDescent="0.25">
      <c r="A2405" t="str">
        <f>"20190303170544653"</f>
        <v>20190303170544653</v>
      </c>
      <c r="B2405" t="str">
        <f>"1551603944646965"</f>
        <v>1551603944646965</v>
      </c>
      <c r="C2405" t="s">
        <v>40</v>
      </c>
      <c r="D2405">
        <v>5.8645779999999998</v>
      </c>
      <c r="E2405">
        <v>0.43193890000000001</v>
      </c>
      <c r="F2405" t="s">
        <v>41</v>
      </c>
      <c r="G2405">
        <v>-492.17540000000002</v>
      </c>
      <c r="H2405" s="1">
        <v>-6.0280349999999996E-7</v>
      </c>
      <c r="I2405">
        <v>229.64500000000001</v>
      </c>
      <c r="J2405">
        <v>-490.93669999999997</v>
      </c>
      <c r="K2405">
        <v>1.129796</v>
      </c>
      <c r="L2405">
        <v>267.60449999999997</v>
      </c>
      <c r="M2405">
        <v>-0.29671389999999997</v>
      </c>
      <c r="N2405">
        <v>-1.514939E-2</v>
      </c>
      <c r="O2405">
        <v>-0.95484630000000004</v>
      </c>
      <c r="P2405">
        <v>-0.20826449999999999</v>
      </c>
      <c r="Q2405">
        <v>0.1846313</v>
      </c>
      <c r="R2405">
        <v>-0.9604878</v>
      </c>
      <c r="S2405">
        <v>-0.1051941</v>
      </c>
      <c r="T2405">
        <v>-9.2488169999999995E-2</v>
      </c>
      <c r="U2405">
        <v>-3.1208800000000001</v>
      </c>
      <c r="V2405">
        <v>-9.0307419999999999E-2</v>
      </c>
      <c r="W2405">
        <v>0.1975893</v>
      </c>
      <c r="X2405">
        <v>0.97611630000000005</v>
      </c>
      <c r="Y2405">
        <v>-0.26431850000000001</v>
      </c>
      <c r="Z2405">
        <v>1.202139E-2</v>
      </c>
      <c r="AA2405">
        <v>0.96436049999999995</v>
      </c>
      <c r="AB2405">
        <v>31</v>
      </c>
      <c r="AC2405">
        <v>-1.2387000000000501</v>
      </c>
      <c r="AD2405">
        <v>-1.1297966028035</v>
      </c>
      <c r="AE2405">
        <v>-37.959499999999899</v>
      </c>
      <c r="AF2405">
        <v>-10.0725863180686</v>
      </c>
      <c r="AG2405">
        <v>-1.1297966028035</v>
      </c>
      <c r="AH2405">
        <v>36.584853787800803</v>
      </c>
      <c r="AI2405">
        <v>91.705403559298105</v>
      </c>
      <c r="AJ2405">
        <v>105.393360028182</v>
      </c>
      <c r="AK2405">
        <v>37.962941958881601</v>
      </c>
      <c r="AL2405">
        <v>78.603976815910201</v>
      </c>
      <c r="AM2405">
        <v>95.285790829380403</v>
      </c>
      <c r="AN2405">
        <v>0.99999999635361803</v>
      </c>
    </row>
    <row r="2406" spans="1:40" x14ac:dyDescent="0.25">
      <c r="A2406" t="str">
        <f>"20190303170544666"</f>
        <v>20190303170544666</v>
      </c>
      <c r="B2406" t="str">
        <f>"1551603944656725"</f>
        <v>1551603944656725</v>
      </c>
      <c r="C2406" t="s">
        <v>40</v>
      </c>
      <c r="D2406">
        <v>5.8254989999999998</v>
      </c>
      <c r="E2406">
        <v>0.43193890000000001</v>
      </c>
      <c r="F2406" t="s">
        <v>41</v>
      </c>
      <c r="G2406">
        <v>-492.03930000000003</v>
      </c>
      <c r="H2406" s="1">
        <v>-8.7239680000000004E-7</v>
      </c>
      <c r="I2406">
        <v>230.3579</v>
      </c>
      <c r="J2406">
        <v>-490.98180000000002</v>
      </c>
      <c r="K2406">
        <v>1.129761</v>
      </c>
      <c r="L2406">
        <v>267.44159999999999</v>
      </c>
      <c r="M2406">
        <v>-0.29124889999999998</v>
      </c>
      <c r="N2406">
        <v>-1.5139639999999999E-2</v>
      </c>
      <c r="O2406">
        <v>-0.95652769999999998</v>
      </c>
      <c r="P2406">
        <v>-0.20392350000000001</v>
      </c>
      <c r="Q2406">
        <v>0.18552489999999999</v>
      </c>
      <c r="R2406">
        <v>-0.96124699999999996</v>
      </c>
      <c r="S2406">
        <v>-9.2407230000000007E-2</v>
      </c>
      <c r="T2406">
        <v>-9.4687460000000001E-2</v>
      </c>
      <c r="U2406">
        <v>-3.121613</v>
      </c>
      <c r="V2406">
        <v>-8.9081750000000001E-2</v>
      </c>
      <c r="W2406">
        <v>0.1985064</v>
      </c>
      <c r="X2406">
        <v>0.97604290000000005</v>
      </c>
      <c r="Y2406">
        <v>-0.26275660000000001</v>
      </c>
      <c r="Z2406">
        <v>1.2741860000000001E-2</v>
      </c>
      <c r="AA2406">
        <v>0.96477800000000002</v>
      </c>
      <c r="AB2406">
        <v>31</v>
      </c>
      <c r="AC2406">
        <v>-1.0575000000000001</v>
      </c>
      <c r="AD2406">
        <v>-1.1297618723967999</v>
      </c>
      <c r="AE2406">
        <v>-37.083699999999901</v>
      </c>
      <c r="AF2406">
        <v>-9.7811082929914495</v>
      </c>
      <c r="AG2406">
        <v>-1.1297618723967999</v>
      </c>
      <c r="AH2406">
        <v>35.750522448364798</v>
      </c>
      <c r="AI2406">
        <v>91.745894900662407</v>
      </c>
      <c r="AJ2406">
        <v>105.301300315075</v>
      </c>
      <c r="AK2406">
        <v>37.081616694240601</v>
      </c>
      <c r="AL2406">
        <v>78.550369583846802</v>
      </c>
      <c r="AM2406">
        <v>95.214839186702704</v>
      </c>
      <c r="AN2406">
        <v>1.00000004583221</v>
      </c>
    </row>
    <row r="2407" spans="1:40" x14ac:dyDescent="0.25">
      <c r="A2407" t="str">
        <f>"20190303170544677"</f>
        <v>20190303170544677</v>
      </c>
      <c r="B2407" t="str">
        <f>"1551603944667461"</f>
        <v>1551603944667461</v>
      </c>
      <c r="C2407" t="s">
        <v>40</v>
      </c>
      <c r="D2407">
        <v>5.8712730000000004</v>
      </c>
      <c r="E2407">
        <v>0.438247</v>
      </c>
      <c r="F2407" t="s">
        <v>52</v>
      </c>
      <c r="G2407">
        <v>-491.94970000000001</v>
      </c>
      <c r="H2407" s="1">
        <v>5.9440850000000002E-6</v>
      </c>
      <c r="I2407">
        <v>228.89830000000001</v>
      </c>
      <c r="J2407">
        <v>-491.02069999999998</v>
      </c>
      <c r="K2407">
        <v>1.129726</v>
      </c>
      <c r="L2407">
        <v>267.2971</v>
      </c>
      <c r="M2407">
        <v>-0.28642570000000001</v>
      </c>
      <c r="N2407">
        <v>-1.5130869999999999E-2</v>
      </c>
      <c r="O2407">
        <v>-0.95798300000000003</v>
      </c>
      <c r="P2407">
        <v>-0.20038880000000001</v>
      </c>
      <c r="Q2407">
        <v>0.1862027</v>
      </c>
      <c r="R2407">
        <v>-0.96185920000000003</v>
      </c>
      <c r="S2407">
        <v>-7.8399659999999996E-2</v>
      </c>
      <c r="T2407">
        <v>-9.1509220000000002E-2</v>
      </c>
      <c r="U2407">
        <v>-3.1219790000000001</v>
      </c>
      <c r="V2407">
        <v>-8.7705649999999996E-2</v>
      </c>
      <c r="W2407">
        <v>0.199212</v>
      </c>
      <c r="X2407">
        <v>0.97602370000000005</v>
      </c>
      <c r="Y2407">
        <v>-0.26222620000000002</v>
      </c>
      <c r="Z2407">
        <v>1.1870510000000001E-2</v>
      </c>
      <c r="AA2407">
        <v>0.96493340000000005</v>
      </c>
      <c r="AB2407">
        <v>31</v>
      </c>
      <c r="AC2407">
        <v>-0.92900000000003002</v>
      </c>
      <c r="AD2407">
        <v>-1.129720055915</v>
      </c>
      <c r="AE2407">
        <v>-38.398800000000001</v>
      </c>
      <c r="AF2407">
        <v>-10.1008560537925</v>
      </c>
      <c r="AG2407">
        <v>-1.129720055915</v>
      </c>
      <c r="AH2407">
        <v>37.023700017479896</v>
      </c>
      <c r="AI2407">
        <v>91.686160403565694</v>
      </c>
      <c r="AJ2407">
        <v>105.26013597973299</v>
      </c>
      <c r="AK2407">
        <v>38.393461987798297</v>
      </c>
      <c r="AL2407">
        <v>78.509117067181606</v>
      </c>
      <c r="AM2407">
        <v>95.134816836513394</v>
      </c>
      <c r="AN2407">
        <v>0.99999998247380595</v>
      </c>
    </row>
    <row r="2408" spans="1:40" x14ac:dyDescent="0.25">
      <c r="A2408" t="str">
        <f>"20190303170544687"</f>
        <v>20190303170544687</v>
      </c>
      <c r="B2408" t="str">
        <f>"1551603944677222"</f>
        <v>1551603944677222</v>
      </c>
      <c r="C2408" t="s">
        <v>40</v>
      </c>
      <c r="D2408">
        <v>5.8424959999999997</v>
      </c>
      <c r="E2408">
        <v>0.43961440000000002</v>
      </c>
      <c r="F2408" t="s">
        <v>41</v>
      </c>
      <c r="G2408">
        <v>-492.32499999999999</v>
      </c>
      <c r="H2408" s="1">
        <v>-1.6530070000000001E-6</v>
      </c>
      <c r="I2408">
        <v>232.00030000000001</v>
      </c>
      <c r="J2408">
        <v>-491.05709999999999</v>
      </c>
      <c r="K2408">
        <v>1.1296870000000001</v>
      </c>
      <c r="L2408">
        <v>267.16019999999997</v>
      </c>
      <c r="M2408">
        <v>-0.28186660000000002</v>
      </c>
      <c r="N2408">
        <v>-1.5122170000000001E-2</v>
      </c>
      <c r="O2408">
        <v>-0.95933440000000003</v>
      </c>
      <c r="P2408">
        <v>-0.19731290000000001</v>
      </c>
      <c r="Q2408">
        <v>0.18671940000000001</v>
      </c>
      <c r="R2408">
        <v>-0.96239450000000004</v>
      </c>
      <c r="S2408">
        <v>-0.1150818</v>
      </c>
      <c r="T2408">
        <v>-9.96784E-2</v>
      </c>
      <c r="U2408">
        <v>-3.1143190000000001</v>
      </c>
      <c r="V2408">
        <v>-8.6142670000000005E-2</v>
      </c>
      <c r="W2408">
        <v>0.19976150000000001</v>
      </c>
      <c r="X2408">
        <v>0.97605059999999999</v>
      </c>
      <c r="Y2408">
        <v>-0.24618970000000001</v>
      </c>
      <c r="Z2408">
        <v>1.450764E-2</v>
      </c>
      <c r="AA2408">
        <v>0.96911309999999995</v>
      </c>
      <c r="AB2408">
        <v>31</v>
      </c>
      <c r="AC2408">
        <v>-1.26789999999999</v>
      </c>
      <c r="AD2408">
        <v>-1.1296886530069901</v>
      </c>
      <c r="AE2408">
        <v>-35.159899999999901</v>
      </c>
      <c r="AF2408">
        <v>-8.6861004917156208</v>
      </c>
      <c r="AG2408">
        <v>-1.1296886530069901</v>
      </c>
      <c r="AH2408">
        <v>34.056267347019798</v>
      </c>
      <c r="AI2408">
        <v>91.840982275548797</v>
      </c>
      <c r="AJ2408">
        <v>104.308319893309</v>
      </c>
      <c r="AK2408">
        <v>35.164668117538199</v>
      </c>
      <c r="AL2408">
        <v>78.476987390361501</v>
      </c>
      <c r="AM2408">
        <v>95.043648546333898</v>
      </c>
      <c r="AN2408">
        <v>0.99999999511866899</v>
      </c>
    </row>
    <row r="2409" spans="1:40" x14ac:dyDescent="0.25">
      <c r="A2409" t="str">
        <f>"20190303170544699"</f>
        <v>20190303170544699</v>
      </c>
      <c r="B2409" t="str">
        <f>"1551603944686982"</f>
        <v>1551603944686982</v>
      </c>
      <c r="C2409" t="s">
        <v>40</v>
      </c>
      <c r="D2409">
        <v>6.3754109999999997</v>
      </c>
      <c r="E2409">
        <v>0.43977339999999998</v>
      </c>
      <c r="F2409" t="s">
        <v>41</v>
      </c>
      <c r="G2409">
        <v>-492.36840000000001</v>
      </c>
      <c r="H2409" s="1">
        <v>-1.5792630000000001E-6</v>
      </c>
      <c r="I2409">
        <v>231.8014</v>
      </c>
      <c r="J2409">
        <v>-491.09719999999999</v>
      </c>
      <c r="K2409">
        <v>1.1296379999999999</v>
      </c>
      <c r="L2409">
        <v>267.00569999999999</v>
      </c>
      <c r="M2409">
        <v>-0.27675110000000003</v>
      </c>
      <c r="N2409">
        <v>-1.511174E-2</v>
      </c>
      <c r="O2409">
        <v>-0.96082279999999998</v>
      </c>
      <c r="P2409">
        <v>-0.1932073</v>
      </c>
      <c r="Q2409">
        <v>0.18633359999999999</v>
      </c>
      <c r="R2409">
        <v>-0.9633022</v>
      </c>
      <c r="S2409">
        <v>-0.115448</v>
      </c>
      <c r="T2409">
        <v>-9.9453689999999997E-2</v>
      </c>
      <c r="U2409">
        <v>-3.112854</v>
      </c>
      <c r="V2409">
        <v>-8.5089250000000005E-2</v>
      </c>
      <c r="W2409">
        <v>0.1993994</v>
      </c>
      <c r="X2409">
        <v>0.976217</v>
      </c>
      <c r="Y2409">
        <v>-0.24089360000000001</v>
      </c>
      <c r="Z2409">
        <v>1.4556309999999999E-2</v>
      </c>
      <c r="AA2409">
        <v>0.97044240000000004</v>
      </c>
      <c r="AB2409">
        <v>31</v>
      </c>
      <c r="AC2409">
        <v>-1.2712000000000201</v>
      </c>
      <c r="AD2409">
        <v>-1.1296395792629901</v>
      </c>
      <c r="AE2409">
        <v>-35.204299999999897</v>
      </c>
      <c r="AF2409">
        <v>-8.5136493778168401</v>
      </c>
      <c r="AG2409">
        <v>-1.1296395792629901</v>
      </c>
      <c r="AH2409">
        <v>34.145691123088902</v>
      </c>
      <c r="AI2409">
        <v>91.838574052945404</v>
      </c>
      <c r="AJ2409">
        <v>104.000272359661</v>
      </c>
      <c r="AK2409">
        <v>35.209182517928902</v>
      </c>
      <c r="AL2409">
        <v>78.498159819985503</v>
      </c>
      <c r="AM2409">
        <v>94.981438243701504</v>
      </c>
      <c r="AN2409">
        <v>0.99999996613746001</v>
      </c>
    </row>
    <row r="2410" spans="1:40" x14ac:dyDescent="0.25">
      <c r="A2410" t="str">
        <f>"20190303170544711"</f>
        <v>20190303170544711</v>
      </c>
      <c r="B2410" t="str">
        <f>"1551603944696741"</f>
        <v>1551603944696741</v>
      </c>
      <c r="C2410" t="s">
        <v>40</v>
      </c>
      <c r="D2410">
        <v>5.8359449999999997</v>
      </c>
      <c r="E2410">
        <v>0.43992690000000001</v>
      </c>
      <c r="F2410" t="s">
        <v>41</v>
      </c>
      <c r="G2410">
        <v>-492.2045</v>
      </c>
      <c r="H2410" s="1">
        <v>-2.225075E-6</v>
      </c>
      <c r="I2410">
        <v>233.4085</v>
      </c>
      <c r="J2410">
        <v>-491.13389999999998</v>
      </c>
      <c r="K2410">
        <v>1.129583</v>
      </c>
      <c r="L2410">
        <v>266.86079999999998</v>
      </c>
      <c r="M2410">
        <v>-0.27198810000000001</v>
      </c>
      <c r="N2410">
        <v>-1.510103E-2</v>
      </c>
      <c r="O2410">
        <v>-0.96218210000000004</v>
      </c>
      <c r="P2410">
        <v>-0.18900500000000001</v>
      </c>
      <c r="Q2410">
        <v>0.1856621</v>
      </c>
      <c r="R2410">
        <v>-0.96426500000000004</v>
      </c>
      <c r="S2410">
        <v>-0.1026306</v>
      </c>
      <c r="T2410">
        <v>-0.1047006</v>
      </c>
      <c r="U2410">
        <v>-3.113953</v>
      </c>
      <c r="V2410">
        <v>-8.4503980000000006E-2</v>
      </c>
      <c r="W2410">
        <v>0.1987428</v>
      </c>
      <c r="X2410">
        <v>0.97640170000000004</v>
      </c>
      <c r="Y2410">
        <v>-0.24008589999999999</v>
      </c>
      <c r="Z2410">
        <v>1.6179309999999999E-2</v>
      </c>
      <c r="AA2410">
        <v>0.97061679999999995</v>
      </c>
      <c r="AB2410">
        <v>31</v>
      </c>
      <c r="AC2410">
        <v>-1.07060000000001</v>
      </c>
      <c r="AD2410">
        <v>-1.129585225075</v>
      </c>
      <c r="AE2410">
        <v>-33.452299999999902</v>
      </c>
      <c r="AF2410">
        <v>-8.0602546472068095</v>
      </c>
      <c r="AG2410">
        <v>-1.129585225075</v>
      </c>
      <c r="AH2410">
        <v>32.445142666369001</v>
      </c>
      <c r="AI2410">
        <v>91.935185348682793</v>
      </c>
      <c r="AJ2410">
        <v>103.951396039275</v>
      </c>
      <c r="AK2410">
        <v>33.450425264853699</v>
      </c>
      <c r="AL2410">
        <v>78.536548409707294</v>
      </c>
      <c r="AM2410">
        <v>94.946413807436997</v>
      </c>
      <c r="AN2410">
        <v>0.99999995147528398</v>
      </c>
    </row>
    <row r="2411" spans="1:40" x14ac:dyDescent="0.25">
      <c r="A2411" t="str">
        <f>"20190303170544726"</f>
        <v>20190303170544726</v>
      </c>
      <c r="B2411" t="str">
        <f>"1551603944717227"</f>
        <v>1551603944717227</v>
      </c>
      <c r="C2411" t="s">
        <v>40</v>
      </c>
      <c r="D2411">
        <v>5.8826559999999999</v>
      </c>
      <c r="E2411">
        <v>0.44083600000000001</v>
      </c>
      <c r="F2411" t="s">
        <v>41</v>
      </c>
      <c r="G2411">
        <v>-492.04239999999999</v>
      </c>
      <c r="H2411" s="1">
        <v>-3.0837280000000001E-6</v>
      </c>
      <c r="I2411">
        <v>235.51060000000001</v>
      </c>
      <c r="J2411">
        <v>-491.18329999999997</v>
      </c>
      <c r="K2411">
        <v>1.1294949999999999</v>
      </c>
      <c r="L2411">
        <v>266.66230000000002</v>
      </c>
      <c r="M2411">
        <v>-0.26549630000000002</v>
      </c>
      <c r="N2411">
        <v>-1.508574E-2</v>
      </c>
      <c r="O2411">
        <v>-0.96399409999999996</v>
      </c>
      <c r="P2411">
        <v>-0.1827829</v>
      </c>
      <c r="Q2411">
        <v>0.1850291</v>
      </c>
      <c r="R2411">
        <v>-0.96558560000000004</v>
      </c>
      <c r="S2411">
        <v>-9.0271000000000004E-2</v>
      </c>
      <c r="T2411">
        <v>-0.1122423</v>
      </c>
      <c r="U2411">
        <v>-3.1151430000000002</v>
      </c>
      <c r="V2411">
        <v>-8.4197279999999999E-2</v>
      </c>
      <c r="W2411">
        <v>0.1981193</v>
      </c>
      <c r="X2411">
        <v>0.9765549</v>
      </c>
      <c r="Y2411">
        <v>-0.23739869999999999</v>
      </c>
      <c r="Z2411">
        <v>1.8529299999999999E-2</v>
      </c>
      <c r="AA2411">
        <v>0.97123559999999998</v>
      </c>
      <c r="AB2411">
        <v>31</v>
      </c>
      <c r="AC2411">
        <v>-0.85910000000001197</v>
      </c>
      <c r="AD2411">
        <v>-1.129498083728</v>
      </c>
      <c r="AE2411">
        <v>-31.151700000000002</v>
      </c>
      <c r="AF2411">
        <v>-7.4335738972705299</v>
      </c>
      <c r="AG2411">
        <v>-1.129498083728</v>
      </c>
      <c r="AH2411">
        <v>30.221878364560801</v>
      </c>
      <c r="AI2411">
        <v>92.078456142505502</v>
      </c>
      <c r="AJ2411">
        <v>103.81853723329</v>
      </c>
      <c r="AK2411">
        <v>31.143148824254101</v>
      </c>
      <c r="AL2411">
        <v>78.572997169474206</v>
      </c>
      <c r="AM2411">
        <v>94.927780433084294</v>
      </c>
      <c r="AN2411">
        <v>0.99999995585294799</v>
      </c>
    </row>
    <row r="2412" spans="1:40" x14ac:dyDescent="0.25">
      <c r="A2412" t="str">
        <f>"20190303170544743"</f>
        <v>20190303170544743</v>
      </c>
      <c r="B2412" t="str">
        <f>"1551603944736747"</f>
        <v>1551603944736747</v>
      </c>
      <c r="C2412" t="s">
        <v>40</v>
      </c>
      <c r="D2412">
        <v>5.87235</v>
      </c>
      <c r="E2412">
        <v>0.4424324</v>
      </c>
      <c r="F2412" t="s">
        <v>41</v>
      </c>
      <c r="G2412">
        <v>-491.91109999999998</v>
      </c>
      <c r="H2412" s="1">
        <v>-3.7356350000000002E-6</v>
      </c>
      <c r="I2412">
        <v>237.11160000000001</v>
      </c>
      <c r="J2412">
        <v>-491.238</v>
      </c>
      <c r="K2412">
        <v>1.129391</v>
      </c>
      <c r="L2412">
        <v>266.43610000000001</v>
      </c>
      <c r="M2412">
        <v>-0.2581927</v>
      </c>
      <c r="N2412">
        <v>-1.506645E-2</v>
      </c>
      <c r="O2412">
        <v>-0.96597619999999895</v>
      </c>
      <c r="P2412">
        <v>-0.17568529999999999</v>
      </c>
      <c r="Q2412">
        <v>0.18447910000000001</v>
      </c>
      <c r="R2412">
        <v>-0.96700730000000001</v>
      </c>
      <c r="S2412">
        <v>-7.6721189999999995E-2</v>
      </c>
      <c r="T2412">
        <v>-0.1190706</v>
      </c>
      <c r="U2412">
        <v>-3.1152039999999999</v>
      </c>
      <c r="V2412">
        <v>-8.3940730000000005E-2</v>
      </c>
      <c r="W2412">
        <v>0.197579</v>
      </c>
      <c r="X2412">
        <v>0.97668650000000001</v>
      </c>
      <c r="Y2412">
        <v>-0.23426569999999999</v>
      </c>
      <c r="Z2412">
        <v>2.0706269999999999E-2</v>
      </c>
      <c r="AA2412">
        <v>0.97195209999999999</v>
      </c>
      <c r="AB2412">
        <v>30</v>
      </c>
      <c r="AC2412">
        <v>-0.67309999999991899</v>
      </c>
      <c r="AD2412">
        <v>-1.129394735635</v>
      </c>
      <c r="AE2412">
        <v>-29.3245</v>
      </c>
      <c r="AF2412">
        <v>-6.9117104720804203</v>
      </c>
      <c r="AG2412">
        <v>-1.129394735635</v>
      </c>
      <c r="AH2412">
        <v>28.461591998676901</v>
      </c>
      <c r="AI2412">
        <v>92.208267385222399</v>
      </c>
      <c r="AJ2412">
        <v>103.649676913105</v>
      </c>
      <c r="AK2412">
        <v>29.310569650177399</v>
      </c>
      <c r="AL2412">
        <v>78.6045790267397</v>
      </c>
      <c r="AM2412">
        <v>94.912180310270401</v>
      </c>
      <c r="AN2412">
        <v>1.00000001333809</v>
      </c>
    </row>
    <row r="2413" spans="1:40" x14ac:dyDescent="0.25">
      <c r="A2413" t="str">
        <f>"20190303170544765"</f>
        <v>20190303170544765</v>
      </c>
      <c r="B2413" t="str">
        <f>"1551603944757243"</f>
        <v>1551603944757243</v>
      </c>
      <c r="C2413" t="s">
        <v>40</v>
      </c>
      <c r="D2413">
        <v>5.8741190000000003</v>
      </c>
      <c r="E2413">
        <v>0.44318299999999999</v>
      </c>
      <c r="F2413" t="s">
        <v>41</v>
      </c>
      <c r="G2413">
        <v>-491.84589999999997</v>
      </c>
      <c r="H2413" s="1">
        <v>-4.1582509999999998E-6</v>
      </c>
      <c r="I2413">
        <v>238.24379999999999</v>
      </c>
      <c r="J2413">
        <v>-491.30439999999999</v>
      </c>
      <c r="K2413">
        <v>1.1292359999999999</v>
      </c>
      <c r="L2413">
        <v>266.15050000000002</v>
      </c>
      <c r="M2413">
        <v>-0.24913250000000001</v>
      </c>
      <c r="N2413">
        <v>-1.5038569999999999E-2</v>
      </c>
      <c r="O2413">
        <v>-0.96835269999999996</v>
      </c>
      <c r="P2413">
        <v>-0.16795839999999901</v>
      </c>
      <c r="Q2413">
        <v>0.18527769999999999</v>
      </c>
      <c r="R2413">
        <v>-0.96822629999999998</v>
      </c>
      <c r="S2413">
        <v>-6.7138669999999998E-2</v>
      </c>
      <c r="T2413">
        <v>-0.1247462</v>
      </c>
      <c r="U2413">
        <v>-3.113953</v>
      </c>
      <c r="V2413">
        <v>-8.2486039999999997E-2</v>
      </c>
      <c r="W2413">
        <v>0.19840959999999999</v>
      </c>
      <c r="X2413">
        <v>0.97664200000000001</v>
      </c>
      <c r="Y2413">
        <v>-0.22813439999999999</v>
      </c>
      <c r="Z2413">
        <v>2.2614869999999999E-2</v>
      </c>
      <c r="AA2413">
        <v>0.97336699999999998</v>
      </c>
      <c r="AB2413">
        <v>30</v>
      </c>
      <c r="AC2413">
        <v>-0.54149999999998499</v>
      </c>
      <c r="AD2413">
        <v>-1.1292401582510001</v>
      </c>
      <c r="AE2413">
        <v>-27.906700000000001</v>
      </c>
      <c r="AF2413">
        <v>-6.4183241671460598</v>
      </c>
      <c r="AG2413">
        <v>-1.1292401582510001</v>
      </c>
      <c r="AH2413">
        <v>27.1171186398686</v>
      </c>
      <c r="AI2413">
        <v>92.320552666723401</v>
      </c>
      <c r="AJ2413">
        <v>103.316225576289</v>
      </c>
      <c r="AK2413">
        <v>27.8892128210584</v>
      </c>
      <c r="AL2413">
        <v>78.556027331758102</v>
      </c>
      <c r="AM2413">
        <v>94.827677138089598</v>
      </c>
      <c r="AN2413">
        <v>0.99999995616551896</v>
      </c>
    </row>
    <row r="2414" spans="1:40" x14ac:dyDescent="0.25">
      <c r="A2414" t="str">
        <f>"20190303170544776"</f>
        <v>20190303170544776</v>
      </c>
      <c r="B2414" t="str">
        <f>"1551603944767005"</f>
        <v>1551603944767005</v>
      </c>
      <c r="C2414" t="s">
        <v>40</v>
      </c>
      <c r="D2414">
        <v>5.7975009999999996</v>
      </c>
      <c r="E2414">
        <v>0.44318299999999999</v>
      </c>
      <c r="F2414" t="s">
        <v>41</v>
      </c>
      <c r="G2414">
        <v>-491.73020000000002</v>
      </c>
      <c r="H2414" s="1">
        <v>-4.262881E-6</v>
      </c>
      <c r="I2414">
        <v>238.61160000000001</v>
      </c>
      <c r="J2414">
        <v>-491.34120000000001</v>
      </c>
      <c r="K2414">
        <v>1.129143</v>
      </c>
      <c r="L2414">
        <v>265.98590000000002</v>
      </c>
      <c r="M2414">
        <v>-0.2439945</v>
      </c>
      <c r="N2414">
        <v>-1.502159E-2</v>
      </c>
      <c r="O2414">
        <v>-0.96966059999999998</v>
      </c>
      <c r="P2414">
        <v>-0.1638442</v>
      </c>
      <c r="Q2414">
        <v>0.18559059999999999</v>
      </c>
      <c r="R2414">
        <v>-0.96887129999999999</v>
      </c>
      <c r="S2414">
        <v>-4.8156740000000003E-2</v>
      </c>
      <c r="T2414">
        <v>-0.1277121</v>
      </c>
      <c r="U2414">
        <v>-3.1145320000000001</v>
      </c>
      <c r="V2414">
        <v>-8.1396650000000001E-2</v>
      </c>
      <c r="W2414">
        <v>0.19874610000000001</v>
      </c>
      <c r="X2414">
        <v>0.97666500000000001</v>
      </c>
      <c r="Y2414">
        <v>-0.2289043</v>
      </c>
      <c r="Z2414">
        <v>2.3583779999999999E-2</v>
      </c>
      <c r="AA2414">
        <v>0.97316320000000001</v>
      </c>
      <c r="AB2414">
        <v>30</v>
      </c>
      <c r="AC2414">
        <v>-0.38900000000001</v>
      </c>
      <c r="AD2414">
        <v>-1.129147262881</v>
      </c>
      <c r="AE2414">
        <v>-27.374300000000002</v>
      </c>
      <c r="AF2414">
        <v>-6.2919865365434102</v>
      </c>
      <c r="AG2414">
        <v>-1.129147262881</v>
      </c>
      <c r="AH2414">
        <v>26.596448477973802</v>
      </c>
      <c r="AI2414">
        <v>92.365797580281395</v>
      </c>
      <c r="AJ2414">
        <v>103.309899997605</v>
      </c>
      <c r="AK2414">
        <v>27.353887105104999</v>
      </c>
      <c r="AL2414">
        <v>78.5363557532702</v>
      </c>
      <c r="AM2414">
        <v>94.764101945496293</v>
      </c>
      <c r="AN2414">
        <v>0.99999997456071599</v>
      </c>
    </row>
    <row r="2415" spans="1:40" x14ac:dyDescent="0.25">
      <c r="A2415" t="str">
        <f>"20190303170544788"</f>
        <v>20190303170544788</v>
      </c>
      <c r="B2415" t="str">
        <f>"1551603944776763"</f>
        <v>1551603944776763</v>
      </c>
      <c r="C2415" t="s">
        <v>40</v>
      </c>
      <c r="D2415">
        <v>5.7883100000000001</v>
      </c>
      <c r="E2415">
        <v>0.44963890000000001</v>
      </c>
      <c r="F2415" t="s">
        <v>41</v>
      </c>
      <c r="G2415">
        <v>-491.64789999999999</v>
      </c>
      <c r="H2415" s="1">
        <v>-4.0869499999999999E-6</v>
      </c>
      <c r="I2415">
        <v>238.13749999999999</v>
      </c>
      <c r="J2415">
        <v>-491.37189999999998</v>
      </c>
      <c r="K2415">
        <v>1.12906</v>
      </c>
      <c r="L2415">
        <v>265.84690000000001</v>
      </c>
      <c r="M2415">
        <v>-0.23969750000000001</v>
      </c>
      <c r="N2415">
        <v>-1.5007329999999999E-2</v>
      </c>
      <c r="O2415">
        <v>-0.97073180000000003</v>
      </c>
      <c r="P2415">
        <v>-0.16060729999999901</v>
      </c>
      <c r="Q2415">
        <v>0.18558939999999999</v>
      </c>
      <c r="R2415">
        <v>-0.96941310000000003</v>
      </c>
      <c r="S2415">
        <v>-3.4301760000000001E-2</v>
      </c>
      <c r="T2415">
        <v>-0.1262935</v>
      </c>
      <c r="U2415">
        <v>-3.1148069999999999</v>
      </c>
      <c r="V2415">
        <v>-8.0288750000000006E-2</v>
      </c>
      <c r="W2415">
        <v>0.19876949999999999</v>
      </c>
      <c r="X2415">
        <v>0.97675199999999995</v>
      </c>
      <c r="Y2415">
        <v>-0.22892309999999999</v>
      </c>
      <c r="Z2415">
        <v>2.3223799999999999E-2</v>
      </c>
      <c r="AA2415">
        <v>0.97316740000000002</v>
      </c>
      <c r="AB2415">
        <v>30</v>
      </c>
      <c r="AC2415">
        <v>-0.27600000000001002</v>
      </c>
      <c r="AD2415">
        <v>-1.1290640869499999</v>
      </c>
      <c r="AE2415">
        <v>-27.709399999999999</v>
      </c>
      <c r="AF2415">
        <v>-6.3641035560644399</v>
      </c>
      <c r="AG2415">
        <v>-1.1290640869499999</v>
      </c>
      <c r="AH2415">
        <v>26.922889401695599</v>
      </c>
      <c r="AI2415">
        <v>92.337071468173207</v>
      </c>
      <c r="AJ2415">
        <v>103.29960130641599</v>
      </c>
      <c r="AK2415">
        <v>27.687877735945801</v>
      </c>
      <c r="AL2415">
        <v>78.534988423201995</v>
      </c>
      <c r="AM2415">
        <v>94.699132875746002</v>
      </c>
      <c r="AN2415">
        <v>1.0000000335054</v>
      </c>
    </row>
    <row r="2416" spans="1:40" x14ac:dyDescent="0.25">
      <c r="A2416" t="str">
        <f>"20190303170544799"</f>
        <v>20190303170544799</v>
      </c>
      <c r="B2416" t="str">
        <f>"1551603944787499"</f>
        <v>1551603944787499</v>
      </c>
      <c r="C2416" t="s">
        <v>40</v>
      </c>
      <c r="D2416">
        <v>5.8827099999999897</v>
      </c>
      <c r="E2416">
        <v>0.45041249999999999</v>
      </c>
      <c r="F2416" t="s">
        <v>41</v>
      </c>
      <c r="G2416">
        <v>-491.93889999999999</v>
      </c>
      <c r="H2416" s="1">
        <v>-1.55264E-6</v>
      </c>
      <c r="I2416">
        <v>242.00579999999999</v>
      </c>
      <c r="J2416">
        <v>-491.40350000000001</v>
      </c>
      <c r="K2416">
        <v>1.1289689999999999</v>
      </c>
      <c r="L2416">
        <v>265.70069999999998</v>
      </c>
      <c r="M2416">
        <v>-0.23522480000000001</v>
      </c>
      <c r="N2416">
        <v>-1.49923E-2</v>
      </c>
      <c r="O2416">
        <v>-0.97182539999999995</v>
      </c>
      <c r="P2416">
        <v>-0.15702260000000001</v>
      </c>
      <c r="Q2416">
        <v>0.1857029</v>
      </c>
      <c r="R2416">
        <v>-0.96997860000000002</v>
      </c>
      <c r="S2416">
        <v>-7.3974609999999996E-2</v>
      </c>
      <c r="T2416">
        <v>-0.14731069999999999</v>
      </c>
      <c r="U2416">
        <v>-3.1105960000000001</v>
      </c>
      <c r="V2416">
        <v>-7.9352679999999995E-2</v>
      </c>
      <c r="W2416">
        <v>0.19890360000000001</v>
      </c>
      <c r="X2416">
        <v>0.97680120000000004</v>
      </c>
      <c r="Y2416">
        <v>-0.2119849</v>
      </c>
      <c r="Z2416">
        <v>2.9833829999999999E-2</v>
      </c>
      <c r="AA2416">
        <v>0.97681739999999995</v>
      </c>
      <c r="AB2416">
        <v>30</v>
      </c>
      <c r="AC2416">
        <v>-0.535399999999981</v>
      </c>
      <c r="AD2416">
        <v>-1.12897055264</v>
      </c>
      <c r="AE2416">
        <v>-23.694899999999901</v>
      </c>
      <c r="AF2416">
        <v>-5.0424393165524997</v>
      </c>
      <c r="AG2416">
        <v>-1.12897055264</v>
      </c>
      <c r="AH2416">
        <v>23.103424978398301</v>
      </c>
      <c r="AI2416">
        <v>92.733343333737395</v>
      </c>
      <c r="AJ2416">
        <v>102.312021306926</v>
      </c>
      <c r="AK2416">
        <v>23.674226798405101</v>
      </c>
      <c r="AL2416">
        <v>78.527148559431893</v>
      </c>
      <c r="AM2416">
        <v>94.644354834382497</v>
      </c>
      <c r="AN2416">
        <v>1.00000003711879</v>
      </c>
    </row>
    <row r="2417" spans="1:40" x14ac:dyDescent="0.25">
      <c r="A2417" t="str">
        <f>"20190303170544810"</f>
        <v>20190303170544810</v>
      </c>
      <c r="B2417" t="str">
        <f>"1551603944807018"</f>
        <v>1551603944807018</v>
      </c>
      <c r="C2417" t="s">
        <v>40</v>
      </c>
      <c r="D2417">
        <v>5.8303779999999996</v>
      </c>
      <c r="E2417">
        <v>0.45183060000000003</v>
      </c>
      <c r="F2417" t="s">
        <v>41</v>
      </c>
      <c r="G2417">
        <v>-491.89839999999998</v>
      </c>
      <c r="H2417" s="1">
        <v>-1.9906360000000002E-6</v>
      </c>
      <c r="I2417">
        <v>243.05189999999999</v>
      </c>
      <c r="J2417">
        <v>-491.43520000000001</v>
      </c>
      <c r="K2417">
        <v>1.1288720000000001</v>
      </c>
      <c r="L2417">
        <v>265.5505</v>
      </c>
      <c r="M2417">
        <v>-0.230716</v>
      </c>
      <c r="N2417">
        <v>-1.497594E-2</v>
      </c>
      <c r="O2417">
        <v>-0.97290589999999999</v>
      </c>
      <c r="P2417">
        <v>-0.15311359999999999</v>
      </c>
      <c r="Q2417">
        <v>0.18522259999999999</v>
      </c>
      <c r="R2417">
        <v>-0.97069499999999997</v>
      </c>
      <c r="S2417">
        <v>-6.7993159999999997E-2</v>
      </c>
      <c r="T2417">
        <v>-0.15510170000000001</v>
      </c>
      <c r="U2417">
        <v>-3.1115719999999998</v>
      </c>
      <c r="V2417">
        <v>-7.8719299999999895E-2</v>
      </c>
      <c r="W2417">
        <v>0.19844000000000001</v>
      </c>
      <c r="X2417">
        <v>0.97694669999999895</v>
      </c>
      <c r="Y2417">
        <v>-0.20933570000000001</v>
      </c>
      <c r="Z2417">
        <v>3.2290569999999998E-2</v>
      </c>
      <c r="AA2417">
        <v>0.97731049999999997</v>
      </c>
      <c r="AB2417">
        <v>30</v>
      </c>
      <c r="AC2417">
        <v>-0.46319999999997202</v>
      </c>
      <c r="AD2417">
        <v>-1.1288739906359999</v>
      </c>
      <c r="AE2417">
        <v>-22.4986</v>
      </c>
      <c r="AF2417">
        <v>-4.7287686134491</v>
      </c>
      <c r="AG2417">
        <v>-1.1288739906359999</v>
      </c>
      <c r="AH2417">
        <v>21.943135126480101</v>
      </c>
      <c r="AI2417">
        <v>92.879031225610106</v>
      </c>
      <c r="AJ2417">
        <v>102.16131687958899</v>
      </c>
      <c r="AK2417">
        <v>22.4752483471316</v>
      </c>
      <c r="AL2417">
        <v>78.554250807590904</v>
      </c>
      <c r="AM2417">
        <v>94.606761355682295</v>
      </c>
      <c r="AN2417">
        <v>1.00000000821668</v>
      </c>
    </row>
    <row r="2418" spans="1:40" x14ac:dyDescent="0.25">
      <c r="A2418" t="str">
        <f>"20190303170544825"</f>
        <v>20190303170544825</v>
      </c>
      <c r="B2418" t="str">
        <f>"1551603944816780"</f>
        <v>1551603944816780</v>
      </c>
      <c r="C2418" t="s">
        <v>40</v>
      </c>
      <c r="D2418">
        <v>5.6525780000000001</v>
      </c>
      <c r="E2418">
        <v>0.45211129999999999</v>
      </c>
      <c r="F2418" t="s">
        <v>41</v>
      </c>
      <c r="G2418">
        <v>-491.91800000000001</v>
      </c>
      <c r="H2418" s="1">
        <v>-2.0312819999999999E-6</v>
      </c>
      <c r="I2418">
        <v>243.1344</v>
      </c>
      <c r="J2418">
        <v>-491.47239999999999</v>
      </c>
      <c r="K2418">
        <v>1.1287450000000001</v>
      </c>
      <c r="L2418">
        <v>265.37180000000001</v>
      </c>
      <c r="M2418">
        <v>-0.22541359999999999</v>
      </c>
      <c r="N2418">
        <v>-1.495632E-2</v>
      </c>
      <c r="O2418">
        <v>-0.97414829999999997</v>
      </c>
      <c r="P2418">
        <v>-0.14788109999999999</v>
      </c>
      <c r="Q2418">
        <v>0.18465989999999999</v>
      </c>
      <c r="R2418">
        <v>-0.97161319999999995</v>
      </c>
      <c r="S2418">
        <v>-6.6986080000000003E-2</v>
      </c>
      <c r="T2418">
        <v>-0.1566157</v>
      </c>
      <c r="U2418">
        <v>-3.1099239999999999</v>
      </c>
      <c r="V2418">
        <v>-7.8613240000000001E-2</v>
      </c>
      <c r="W2418">
        <v>0.1978847</v>
      </c>
      <c r="X2418">
        <v>0.97706780000000004</v>
      </c>
      <c r="Y2418">
        <v>-0.20431460000000001</v>
      </c>
      <c r="Z2418">
        <v>3.2914369999999998E-2</v>
      </c>
      <c r="AA2418">
        <v>0.97835179999999999</v>
      </c>
      <c r="AB2418">
        <v>30</v>
      </c>
      <c r="AC2418">
        <v>-0.44560000000001299</v>
      </c>
      <c r="AD2418">
        <v>-1.128747031282</v>
      </c>
      <c r="AE2418">
        <v>-22.237400000000001</v>
      </c>
      <c r="AF2418">
        <v>-4.56728158203346</v>
      </c>
      <c r="AG2418">
        <v>-1.128747031282</v>
      </c>
      <c r="AH2418">
        <v>21.709493948810199</v>
      </c>
      <c r="AI2418">
        <v>92.912666730525601</v>
      </c>
      <c r="AJ2418">
        <v>101.880726973089</v>
      </c>
      <c r="AK2418">
        <v>22.213425184415801</v>
      </c>
      <c r="AL2418">
        <v>78.5867100839844</v>
      </c>
      <c r="AM2418">
        <v>94.600013481442502</v>
      </c>
      <c r="AN2418">
        <v>0.99999994089711197</v>
      </c>
    </row>
    <row r="2419" spans="1:40" x14ac:dyDescent="0.25">
      <c r="A2419" t="str">
        <f>"20190303170544842"</f>
        <v>20190303170544842</v>
      </c>
      <c r="B2419" t="str">
        <f>"1551603944837275"</f>
        <v>1551603944837275</v>
      </c>
      <c r="C2419" t="s">
        <v>40</v>
      </c>
      <c r="D2419">
        <v>5.8552819999999999</v>
      </c>
      <c r="E2419">
        <v>0.45283489999999998</v>
      </c>
      <c r="F2419" t="s">
        <v>41</v>
      </c>
      <c r="G2419">
        <v>-491.83629999999999</v>
      </c>
      <c r="H2419" s="1">
        <v>-2.3919840000000001E-6</v>
      </c>
      <c r="I2419">
        <v>244.02600000000001</v>
      </c>
      <c r="J2419">
        <v>-491.52050000000003</v>
      </c>
      <c r="K2419">
        <v>1.1285449999999999</v>
      </c>
      <c r="L2419">
        <v>265.1318</v>
      </c>
      <c r="M2419">
        <v>-0.21850169999999999</v>
      </c>
      <c r="N2419">
        <v>-1.492625E-2</v>
      </c>
      <c r="O2419">
        <v>-0.9757226</v>
      </c>
      <c r="P2419">
        <v>-0.140796799999999</v>
      </c>
      <c r="Q2419">
        <v>0.18387539999999999</v>
      </c>
      <c r="R2419">
        <v>-0.97281359999999995</v>
      </c>
      <c r="S2419">
        <v>-5.3039549999999998E-2</v>
      </c>
      <c r="T2419">
        <v>-0.1644968</v>
      </c>
      <c r="U2419">
        <v>-3.1108090000000002</v>
      </c>
      <c r="V2419">
        <v>-7.8730190000000005E-2</v>
      </c>
      <c r="W2419">
        <v>0.1971069</v>
      </c>
      <c r="X2419">
        <v>0.97721559999999996</v>
      </c>
      <c r="Y2419">
        <v>-0.20176340000000001</v>
      </c>
      <c r="Z2419">
        <v>3.5463389999999997E-2</v>
      </c>
      <c r="AA2419">
        <v>0.97879210000000005</v>
      </c>
      <c r="AB2419">
        <v>30</v>
      </c>
      <c r="AC2419">
        <v>-0.315799999999967</v>
      </c>
      <c r="AD2419">
        <v>-1.1285473919839999</v>
      </c>
      <c r="AE2419">
        <v>-21.105799999999999</v>
      </c>
      <c r="AF2419">
        <v>-4.2917307184331204</v>
      </c>
      <c r="AG2419">
        <v>-1.1285473919839999</v>
      </c>
      <c r="AH2419">
        <v>20.605805316584799</v>
      </c>
      <c r="AI2419">
        <v>93.069135088623</v>
      </c>
      <c r="AJ2419">
        <v>101.76523654955</v>
      </c>
      <c r="AK2419">
        <v>21.0782301088229</v>
      </c>
      <c r="AL2419">
        <v>78.6321702535312</v>
      </c>
      <c r="AM2419">
        <v>94.606133550816807</v>
      </c>
      <c r="AN2419">
        <v>0.99999995086420101</v>
      </c>
    </row>
    <row r="2420" spans="1:40" x14ac:dyDescent="0.25">
      <c r="A2420" t="str">
        <f>"20190303170544853"</f>
        <v>20190303170544853</v>
      </c>
      <c r="B2420" t="str">
        <f>"1551603944847035"</f>
        <v>1551603944847035</v>
      </c>
      <c r="C2420" t="s">
        <v>40</v>
      </c>
      <c r="D2420">
        <v>5.7996930000000004</v>
      </c>
      <c r="E2420">
        <v>0.4534202</v>
      </c>
      <c r="F2420" t="s">
        <v>41</v>
      </c>
      <c r="G2420">
        <v>-491.77350000000001</v>
      </c>
      <c r="H2420" s="1">
        <v>-2.6770599999999902E-6</v>
      </c>
      <c r="I2420">
        <v>244.7294</v>
      </c>
      <c r="J2420">
        <v>-491.548</v>
      </c>
      <c r="K2420">
        <v>1.128422</v>
      </c>
      <c r="L2420">
        <v>264.99040000000002</v>
      </c>
      <c r="M2420">
        <v>-0.2145485</v>
      </c>
      <c r="N2420">
        <v>-1.4906569999999999E-2</v>
      </c>
      <c r="O2420">
        <v>-0.97659960000000001</v>
      </c>
      <c r="P2420">
        <v>-0.13659640000000001</v>
      </c>
      <c r="Q2420">
        <v>0.18396280000000001</v>
      </c>
      <c r="R2420">
        <v>-0.97339549999999997</v>
      </c>
      <c r="S2420">
        <v>-3.8574219999999999E-2</v>
      </c>
      <c r="T2420">
        <v>-0.172071</v>
      </c>
      <c r="U2420">
        <v>-3.110779</v>
      </c>
      <c r="V2420">
        <v>-7.8931029999999999E-2</v>
      </c>
      <c r="W2420">
        <v>0.1971929</v>
      </c>
      <c r="X2420">
        <v>0.97718210000000005</v>
      </c>
      <c r="Y2420">
        <v>-0.2023442</v>
      </c>
      <c r="Z2420">
        <v>3.7859259999999999E-2</v>
      </c>
      <c r="AA2420">
        <v>0.97858239999999996</v>
      </c>
      <c r="AB2420">
        <v>30</v>
      </c>
      <c r="AC2420">
        <v>-0.22550000000001</v>
      </c>
      <c r="AD2420">
        <v>-1.1284246770599999</v>
      </c>
      <c r="AE2420">
        <v>-20.260999999999999</v>
      </c>
      <c r="AF2420">
        <v>-4.1144415524593603</v>
      </c>
      <c r="AG2420">
        <v>-1.1284246770599999</v>
      </c>
      <c r="AH2420">
        <v>19.7761335049683</v>
      </c>
      <c r="AI2420">
        <v>93.197430709710403</v>
      </c>
      <c r="AJ2420">
        <v>101.75277667571</v>
      </c>
      <c r="AK2420">
        <v>20.231100512496401</v>
      </c>
      <c r="AL2420">
        <v>78.627144759665995</v>
      </c>
      <c r="AM2420">
        <v>94.617990626475702</v>
      </c>
      <c r="AN2420">
        <v>1.00000000193384</v>
      </c>
    </row>
    <row r="2421" spans="1:40" x14ac:dyDescent="0.25">
      <c r="A2421" t="str">
        <f>"20190303170544866"</f>
        <v>20190303170544866</v>
      </c>
      <c r="B2421" t="str">
        <f>"1551603944856795"</f>
        <v>1551603944856795</v>
      </c>
      <c r="C2421" t="s">
        <v>40</v>
      </c>
      <c r="D2421">
        <v>5.8577789999999998</v>
      </c>
      <c r="E2421">
        <v>0.4534202</v>
      </c>
      <c r="F2421" t="s">
        <v>41</v>
      </c>
      <c r="G2421">
        <v>-491.7473</v>
      </c>
      <c r="H2421" s="1">
        <v>-2.7510999999999998E-6</v>
      </c>
      <c r="I2421">
        <v>244.91829999999999</v>
      </c>
      <c r="J2421">
        <v>-491.58080000000001</v>
      </c>
      <c r="K2421">
        <v>1.128274</v>
      </c>
      <c r="L2421">
        <v>264.81909999999999</v>
      </c>
      <c r="M2421">
        <v>-0.20980679999999999</v>
      </c>
      <c r="N2421">
        <v>-1.4882589999999999E-2</v>
      </c>
      <c r="O2421">
        <v>-0.97762969999999905</v>
      </c>
      <c r="P2421">
        <v>-0.13223959999999901</v>
      </c>
      <c r="Q2421">
        <v>0.1841334</v>
      </c>
      <c r="R2421">
        <v>-0.97396479999999996</v>
      </c>
      <c r="S2421">
        <v>-3.0883790000000001E-2</v>
      </c>
      <c r="T2421">
        <v>-0.1748799</v>
      </c>
      <c r="U2421">
        <v>-3.1107179999999999</v>
      </c>
      <c r="V2421">
        <v>-7.8484499999999999E-2</v>
      </c>
      <c r="W2421">
        <v>0.1973753</v>
      </c>
      <c r="X2421">
        <v>0.97718130000000003</v>
      </c>
      <c r="Y2421">
        <v>-0.20001050000000001</v>
      </c>
      <c r="Z2421">
        <v>3.883926E-2</v>
      </c>
      <c r="AA2421">
        <v>0.97902359999999999</v>
      </c>
      <c r="AB2421">
        <v>30</v>
      </c>
      <c r="AC2421">
        <v>-0.16649999999998499</v>
      </c>
      <c r="AD2421">
        <v>-1.1282767511</v>
      </c>
      <c r="AE2421">
        <v>-19.9008</v>
      </c>
      <c r="AF2421">
        <v>-4.00013498860939</v>
      </c>
      <c r="AG2421">
        <v>-1.1282767511</v>
      </c>
      <c r="AH2421">
        <v>19.430251888676001</v>
      </c>
      <c r="AI2421">
        <v>93.2552064415828</v>
      </c>
      <c r="AJ2421">
        <v>101.633037135957</v>
      </c>
      <c r="AK2421">
        <v>19.869795590583401</v>
      </c>
      <c r="AL2421">
        <v>78.616485159761993</v>
      </c>
      <c r="AM2421">
        <v>94.5919814360077</v>
      </c>
      <c r="AN2421">
        <v>1.00000005943001</v>
      </c>
    </row>
    <row r="2422" spans="1:40" x14ac:dyDescent="0.25">
      <c r="A2422" t="str">
        <f>"20190303170544880"</f>
        <v>20190303170544880</v>
      </c>
      <c r="B2422" t="str">
        <f>"1551603944867532"</f>
        <v>1551603944867532</v>
      </c>
      <c r="C2422" t="s">
        <v>40</v>
      </c>
      <c r="D2422">
        <v>5.9183399999999997</v>
      </c>
      <c r="E2422">
        <v>0.46195409999999998</v>
      </c>
      <c r="F2422" t="s">
        <v>41</v>
      </c>
      <c r="G2422">
        <v>-491.69150000000002</v>
      </c>
      <c r="H2422" s="1">
        <v>-2.6420880000000002E-6</v>
      </c>
      <c r="I2422">
        <v>244.6987</v>
      </c>
      <c r="J2422">
        <v>-491.61520000000002</v>
      </c>
      <c r="K2422">
        <v>1.1281060000000001</v>
      </c>
      <c r="L2422">
        <v>264.63490000000002</v>
      </c>
      <c r="M2422">
        <v>-0.204841</v>
      </c>
      <c r="N2422">
        <v>-1.4854050000000001E-2</v>
      </c>
      <c r="O2422">
        <v>-0.97868279999999996</v>
      </c>
      <c r="P2422">
        <v>-0.1279633</v>
      </c>
      <c r="Q2422">
        <v>0.18460989999999999</v>
      </c>
      <c r="R2422">
        <v>-0.97444600000000003</v>
      </c>
      <c r="S2422">
        <v>-1.7120360000000001E-2</v>
      </c>
      <c r="T2422">
        <v>-0.17444460000000001</v>
      </c>
      <c r="U2422">
        <v>-3.11084</v>
      </c>
      <c r="V2422">
        <v>-7.7719440000000001E-2</v>
      </c>
      <c r="W2422">
        <v>0.1978665</v>
      </c>
      <c r="X2422">
        <v>0.97714299999999998</v>
      </c>
      <c r="Y2422">
        <v>-0.19936889999999999</v>
      </c>
      <c r="Z2422">
        <v>3.8817740000000003E-2</v>
      </c>
      <c r="AA2422">
        <v>0.97915540000000001</v>
      </c>
      <c r="AB2422">
        <v>30</v>
      </c>
      <c r="AC2422">
        <v>-7.6300000000003296E-2</v>
      </c>
      <c r="AD2422">
        <v>-1.128108642088</v>
      </c>
      <c r="AE2422">
        <v>-19.936199999999999</v>
      </c>
      <c r="AF2422">
        <v>-3.9967218111362199</v>
      </c>
      <c r="AG2422">
        <v>-1.128108642088</v>
      </c>
      <c r="AH2422">
        <v>19.4666643591829</v>
      </c>
      <c r="AI2422">
        <v>93.249005922415094</v>
      </c>
      <c r="AJ2422">
        <v>101.602229717223</v>
      </c>
      <c r="AK2422">
        <v>19.9047088804897</v>
      </c>
      <c r="AL2422">
        <v>78.587774039768306</v>
      </c>
      <c r="AM2422">
        <v>94.547585354541297</v>
      </c>
      <c r="AN2422">
        <v>0.99999995281258003</v>
      </c>
    </row>
    <row r="2423" spans="1:40" x14ac:dyDescent="0.25">
      <c r="A2423" t="str">
        <f>"20190303170544892"</f>
        <v>20190303170544892</v>
      </c>
      <c r="B2423" t="str">
        <f>"1551603944887051"</f>
        <v>1551603944887051</v>
      </c>
      <c r="C2423" t="s">
        <v>40</v>
      </c>
      <c r="D2423">
        <v>5.9830129999999997</v>
      </c>
      <c r="E2423">
        <v>0.46234809999999998</v>
      </c>
      <c r="F2423" t="s">
        <v>41</v>
      </c>
      <c r="G2423">
        <v>-492.03519999999997</v>
      </c>
      <c r="H2423" s="1">
        <v>-3.222829E-6</v>
      </c>
      <c r="I2423">
        <v>245.83930000000001</v>
      </c>
      <c r="J2423">
        <v>-491.64389999999997</v>
      </c>
      <c r="K2423">
        <v>1.1279629999999901</v>
      </c>
      <c r="L2423">
        <v>264.47710000000001</v>
      </c>
      <c r="M2423">
        <v>-0.2007081</v>
      </c>
      <c r="N2423">
        <v>-1.4827760000000001E-2</v>
      </c>
      <c r="O2423">
        <v>-0.97953889999999999</v>
      </c>
      <c r="P2423">
        <v>-0.1245044</v>
      </c>
      <c r="Q2423">
        <v>0.18453910000000001</v>
      </c>
      <c r="R2423">
        <v>-0.97490750000000004</v>
      </c>
      <c r="S2423">
        <v>-6.9366460000000005E-2</v>
      </c>
      <c r="T2423">
        <v>-0.18635370000000001</v>
      </c>
      <c r="U2423">
        <v>-3.1048580000000001</v>
      </c>
      <c r="V2423">
        <v>-7.6992530000000003E-2</v>
      </c>
      <c r="W2423">
        <v>0.19780900000000001</v>
      </c>
      <c r="X2423">
        <v>0.97721230000000003</v>
      </c>
      <c r="Y2423">
        <v>-0.17871709999999999</v>
      </c>
      <c r="Z2423">
        <v>4.2822109999999997E-2</v>
      </c>
      <c r="AA2423">
        <v>0.98296819999999896</v>
      </c>
      <c r="AB2423">
        <v>30</v>
      </c>
      <c r="AC2423">
        <v>-0.39130000000000098</v>
      </c>
      <c r="AD2423">
        <v>-1.12796622282899</v>
      </c>
      <c r="AE2423">
        <v>-18.637799999999999</v>
      </c>
      <c r="AF2423">
        <v>-3.3455843874732798</v>
      </c>
      <c r="AG2423">
        <v>-1.12796622282899</v>
      </c>
      <c r="AH2423">
        <v>18.270113854835401</v>
      </c>
      <c r="AI2423">
        <v>93.475221112333301</v>
      </c>
      <c r="AJ2423">
        <v>100.376913823511</v>
      </c>
      <c r="AK2423">
        <v>18.608124649254599</v>
      </c>
      <c r="AL2423">
        <v>78.591136270727205</v>
      </c>
      <c r="AM2423">
        <v>94.504909529907806</v>
      </c>
      <c r="AN2423">
        <v>1.0000000647140399</v>
      </c>
    </row>
    <row r="2424" spans="1:40" x14ac:dyDescent="0.25">
      <c r="A2424" t="str">
        <f>"20190303170544908"</f>
        <v>20190303170544908</v>
      </c>
      <c r="B2424" t="str">
        <f>"1551603944896812"</f>
        <v>1551603944896812</v>
      </c>
      <c r="C2424" t="s">
        <v>40</v>
      </c>
      <c r="D2424">
        <v>5.6383580000000002</v>
      </c>
      <c r="E2424">
        <v>0.46265580000000001</v>
      </c>
      <c r="F2424" t="s">
        <v>41</v>
      </c>
      <c r="G2424">
        <v>-491.99650000000003</v>
      </c>
      <c r="H2424" s="1">
        <v>-3.5319940000000001E-6</v>
      </c>
      <c r="I2424">
        <v>246.584</v>
      </c>
      <c r="J2424">
        <v>-491.68180000000001</v>
      </c>
      <c r="K2424">
        <v>1.127767</v>
      </c>
      <c r="L2424">
        <v>264.26429999999999</v>
      </c>
      <c r="M2424">
        <v>-0.19524630000000001</v>
      </c>
      <c r="N2424">
        <v>-1.4792080000000001E-2</v>
      </c>
      <c r="O2424">
        <v>-0.98064280000000004</v>
      </c>
      <c r="P2424">
        <v>-0.1200053</v>
      </c>
      <c r="Q2424">
        <v>0.18402750000000001</v>
      </c>
      <c r="R2424">
        <v>-0.97556830000000005</v>
      </c>
      <c r="S2424">
        <v>-6.1218259999999997E-2</v>
      </c>
      <c r="T2424">
        <v>-0.19583120000000001</v>
      </c>
      <c r="U2424">
        <v>-3.106506</v>
      </c>
      <c r="V2424">
        <v>-7.5969919999999996E-2</v>
      </c>
      <c r="W2424">
        <v>0.1973163</v>
      </c>
      <c r="X2424">
        <v>0.97739180000000003</v>
      </c>
      <c r="Y2424">
        <v>-0.1758226</v>
      </c>
      <c r="Z2424">
        <v>4.5863189999999998E-2</v>
      </c>
      <c r="AA2424">
        <v>0.98335300000000003</v>
      </c>
      <c r="AB2424">
        <v>30</v>
      </c>
      <c r="AC2424">
        <v>-0.31470000000001602</v>
      </c>
      <c r="AD2424">
        <v>-1.1277705319939999</v>
      </c>
      <c r="AE2424">
        <v>-17.6802999999999</v>
      </c>
      <c r="AF2424">
        <v>-3.1310131588329702</v>
      </c>
      <c r="AG2424">
        <v>-1.1277705319939999</v>
      </c>
      <c r="AH2424">
        <v>17.330911809139302</v>
      </c>
      <c r="AI2424">
        <v>93.663998461532699</v>
      </c>
      <c r="AJ2424">
        <v>100.240631991317</v>
      </c>
      <c r="AK2424">
        <v>17.647538466023601</v>
      </c>
      <c r="AL2424">
        <v>78.619932056828901</v>
      </c>
      <c r="AM2424">
        <v>94.444503909366304</v>
      </c>
      <c r="AN2424">
        <v>0.99999994084886601</v>
      </c>
    </row>
    <row r="2425" spans="1:40" x14ac:dyDescent="0.25">
      <c r="A2425" t="str">
        <f>"20190303170544924"</f>
        <v>20190303170544924</v>
      </c>
      <c r="B2425" t="str">
        <f>"1551603944917307"</f>
        <v>1551603944917307</v>
      </c>
      <c r="C2425" t="s">
        <v>40</v>
      </c>
      <c r="D2425">
        <v>5.8284500000000001</v>
      </c>
      <c r="E2425">
        <v>0.46356259999999999</v>
      </c>
      <c r="F2425" t="s">
        <v>41</v>
      </c>
      <c r="G2425">
        <v>-491.95100000000002</v>
      </c>
      <c r="H2425" s="1">
        <v>-3.4524639999999998E-6</v>
      </c>
      <c r="I2425">
        <v>246.42679999999999</v>
      </c>
      <c r="J2425">
        <v>-491.71480000000003</v>
      </c>
      <c r="K2425">
        <v>1.127597</v>
      </c>
      <c r="L2425">
        <v>264.07440000000003</v>
      </c>
      <c r="M2425">
        <v>-0.1904931</v>
      </c>
      <c r="N2425">
        <v>-1.4760290000000001E-2</v>
      </c>
      <c r="O2425">
        <v>-0.98157760000000005</v>
      </c>
      <c r="P2425">
        <v>-0.11535810000000001</v>
      </c>
      <c r="Q2425">
        <v>0.18354799999999999</v>
      </c>
      <c r="R2425">
        <v>-0.97621860000000005</v>
      </c>
      <c r="S2425">
        <v>-4.6875E-2</v>
      </c>
      <c r="T2425">
        <v>-0.1964004</v>
      </c>
      <c r="U2425">
        <v>-3.1063839999999998</v>
      </c>
      <c r="V2425">
        <v>-7.5816069999999999E-2</v>
      </c>
      <c r="W2425">
        <v>0.1968395</v>
      </c>
      <c r="X2425">
        <v>0.97750000000000004</v>
      </c>
      <c r="Y2425">
        <v>-0.175592</v>
      </c>
      <c r="Z2425">
        <v>4.6157410000000003E-2</v>
      </c>
      <c r="AA2425">
        <v>0.98338040000000004</v>
      </c>
      <c r="AB2425">
        <v>30</v>
      </c>
      <c r="AC2425">
        <v>-0.23619999999993899</v>
      </c>
      <c r="AD2425">
        <v>-1.127600452464</v>
      </c>
      <c r="AE2425">
        <v>-17.647600000000001</v>
      </c>
      <c r="AF2425">
        <v>-3.1175129470177199</v>
      </c>
      <c r="AG2425">
        <v>-1.127600452464</v>
      </c>
      <c r="AH2425">
        <v>17.298763236587899</v>
      </c>
      <c r="AI2425">
        <v>93.670521501303796</v>
      </c>
      <c r="AJ2425">
        <v>100.21595765704799</v>
      </c>
      <c r="AK2425">
        <v>17.6135623674129</v>
      </c>
      <c r="AL2425">
        <v>78.647798525175205</v>
      </c>
      <c r="AM2425">
        <v>94.435050091728201</v>
      </c>
      <c r="AN2425">
        <v>1.0000000576152399</v>
      </c>
    </row>
    <row r="2426" spans="1:40" x14ac:dyDescent="0.25">
      <c r="A2426" t="str">
        <f>"20190303170544937"</f>
        <v>20190303170544937</v>
      </c>
      <c r="B2426" t="str">
        <f>"1551603944927068"</f>
        <v>1551603944927068</v>
      </c>
      <c r="C2426" t="s">
        <v>40</v>
      </c>
      <c r="D2426">
        <v>5.8181909999999997</v>
      </c>
      <c r="E2426">
        <v>0.46401559999999997</v>
      </c>
      <c r="F2426" t="s">
        <v>41</v>
      </c>
      <c r="G2426">
        <v>-491.93310000000002</v>
      </c>
      <c r="H2426" s="1">
        <v>-3.613713E-6</v>
      </c>
      <c r="I2426">
        <v>246.81379999999999</v>
      </c>
      <c r="J2426">
        <v>-491.74770000000001</v>
      </c>
      <c r="K2426">
        <v>1.1274280000000001</v>
      </c>
      <c r="L2426">
        <v>263.87900000000002</v>
      </c>
      <c r="M2426">
        <v>-0.18577730000000001</v>
      </c>
      <c r="N2426">
        <v>-1.472759E-2</v>
      </c>
      <c r="O2426">
        <v>-0.98248159999999896</v>
      </c>
      <c r="P2426">
        <v>-0.10986949999999999</v>
      </c>
      <c r="Q2426">
        <v>0.1835765</v>
      </c>
      <c r="R2426">
        <v>-0.97684629999999995</v>
      </c>
      <c r="S2426">
        <v>-3.9276119999999998E-2</v>
      </c>
      <c r="T2426">
        <v>-0.20294999999999999</v>
      </c>
      <c r="U2426">
        <v>-3.1066280000000002</v>
      </c>
      <c r="V2426">
        <v>-7.6536899999999894E-2</v>
      </c>
      <c r="W2426">
        <v>0.196854</v>
      </c>
      <c r="X2426">
        <v>0.9774408</v>
      </c>
      <c r="Y2426">
        <v>-0.17327020000000001</v>
      </c>
      <c r="Z2426">
        <v>4.830711E-2</v>
      </c>
      <c r="AA2426">
        <v>0.98368889999999998</v>
      </c>
      <c r="AB2426">
        <v>30</v>
      </c>
      <c r="AC2426">
        <v>-0.185400000000015</v>
      </c>
      <c r="AD2426">
        <v>-1.127431613713</v>
      </c>
      <c r="AE2426">
        <v>-17.065200000000001</v>
      </c>
      <c r="AF2426">
        <v>-2.9755127284050999</v>
      </c>
      <c r="AG2426">
        <v>-1.127431613713</v>
      </c>
      <c r="AH2426">
        <v>16.729497598537002</v>
      </c>
      <c r="AI2426">
        <v>93.796041592995707</v>
      </c>
      <c r="AJ2426">
        <v>100.08517880738501</v>
      </c>
      <c r="AK2426">
        <v>17.029411849501901</v>
      </c>
      <c r="AL2426">
        <v>78.646949987386193</v>
      </c>
      <c r="AM2426">
        <v>94.477316268243399</v>
      </c>
      <c r="AN2426">
        <v>0.99999995594112401</v>
      </c>
    </row>
    <row r="2427" spans="1:40" x14ac:dyDescent="0.25">
      <c r="A2427" t="str">
        <f>"20190303170544956"</f>
        <v>20190303170544956</v>
      </c>
      <c r="B2427" t="str">
        <f>"1551603944947565"</f>
        <v>1551603944947565</v>
      </c>
      <c r="C2427" t="s">
        <v>40</v>
      </c>
      <c r="D2427">
        <v>5.8281890000000001</v>
      </c>
      <c r="E2427">
        <v>0.47065950000000001</v>
      </c>
      <c r="F2427" t="s">
        <v>41</v>
      </c>
      <c r="G2427">
        <v>-491.89249999999998</v>
      </c>
      <c r="H2427" s="1">
        <v>-3.5977179999999999E-6</v>
      </c>
      <c r="I2427">
        <v>246.80170000000001</v>
      </c>
      <c r="J2427">
        <v>-491.78609999999998</v>
      </c>
      <c r="K2427">
        <v>1.1272340000000001</v>
      </c>
      <c r="L2427">
        <v>263.6447</v>
      </c>
      <c r="M2427">
        <v>-0.18026210000000001</v>
      </c>
      <c r="N2427">
        <v>-1.4689829999999999E-2</v>
      </c>
      <c r="O2427">
        <v>-0.98350890000000002</v>
      </c>
      <c r="P2427">
        <v>-0.10343529999999999</v>
      </c>
      <c r="Q2427">
        <v>0.18364910000000001</v>
      </c>
      <c r="R2427">
        <v>-0.97753469999999998</v>
      </c>
      <c r="S2427">
        <v>-2.633667E-2</v>
      </c>
      <c r="T2427">
        <v>-0.20510149999999999</v>
      </c>
      <c r="U2427">
        <v>-3.1066889999999998</v>
      </c>
      <c r="V2427">
        <v>-7.7396820000000005E-2</v>
      </c>
      <c r="W2427">
        <v>0.1969101</v>
      </c>
      <c r="X2427">
        <v>0.97736190000000001</v>
      </c>
      <c r="Y2427">
        <v>-0.17184179999999999</v>
      </c>
      <c r="Z2427">
        <v>4.9113770000000001E-2</v>
      </c>
      <c r="AA2427">
        <v>0.98389950000000004</v>
      </c>
      <c r="AB2427">
        <v>30</v>
      </c>
      <c r="AC2427">
        <v>-0.106400000000007</v>
      </c>
      <c r="AD2427">
        <v>-1.127237597718</v>
      </c>
      <c r="AE2427">
        <v>-16.8429999999999</v>
      </c>
      <c r="AF2427">
        <v>-2.9187526902551402</v>
      </c>
      <c r="AG2427">
        <v>-1.127237597718</v>
      </c>
      <c r="AH2427">
        <v>16.512252897932999</v>
      </c>
      <c r="AI2427">
        <v>93.845899060868504</v>
      </c>
      <c r="AJ2427">
        <v>100.02421797617301</v>
      </c>
      <c r="AK2427">
        <v>16.806078591803502</v>
      </c>
      <c r="AL2427">
        <v>78.643672830880604</v>
      </c>
      <c r="AM2427">
        <v>94.527776536827105</v>
      </c>
      <c r="AN2427">
        <v>1.0000000693998601</v>
      </c>
    </row>
    <row r="2428" spans="1:40" x14ac:dyDescent="0.25">
      <c r="A2428" t="str">
        <f>"20190303170544976"</f>
        <v>20190303170544976</v>
      </c>
      <c r="B2428" t="str">
        <f>"1551603944967083"</f>
        <v>1551603944967083</v>
      </c>
      <c r="C2428" t="s">
        <v>40</v>
      </c>
      <c r="D2428">
        <v>5.8901260000000004</v>
      </c>
      <c r="E2428">
        <v>0.47159040000000002</v>
      </c>
      <c r="F2428" t="s">
        <v>41</v>
      </c>
      <c r="G2428">
        <v>-492.10050000000001</v>
      </c>
      <c r="H2428" s="1">
        <v>-3.8943839999999999E-6</v>
      </c>
      <c r="I2428">
        <v>247.36420000000001</v>
      </c>
      <c r="J2428">
        <v>-491.82889999999998</v>
      </c>
      <c r="K2428">
        <v>1.1270100000000001</v>
      </c>
      <c r="L2428">
        <v>263.37479999999999</v>
      </c>
      <c r="M2428">
        <v>-0.174153</v>
      </c>
      <c r="N2428">
        <v>-1.464726E-2</v>
      </c>
      <c r="O2428">
        <v>-0.98460979999999998</v>
      </c>
      <c r="P2428">
        <v>-9.6991350000000004E-2</v>
      </c>
      <c r="Q2428">
        <v>0.1832144</v>
      </c>
      <c r="R2428">
        <v>-0.97827699999999995</v>
      </c>
      <c r="S2428">
        <v>-5.993652E-2</v>
      </c>
      <c r="T2428">
        <v>-0.21484710000000001</v>
      </c>
      <c r="U2428">
        <v>-3.1029969999999998</v>
      </c>
      <c r="V2428">
        <v>-7.7669890000000005E-2</v>
      </c>
      <c r="W2428">
        <v>0.19647200000000001</v>
      </c>
      <c r="X2428">
        <v>0.97742830000000003</v>
      </c>
      <c r="Y2428">
        <v>-0.15505099999999999</v>
      </c>
      <c r="Z2428">
        <v>5.247309E-2</v>
      </c>
      <c r="AA2428">
        <v>0.9865119</v>
      </c>
      <c r="AB2428">
        <v>30</v>
      </c>
      <c r="AC2428">
        <v>-0.27160000000003398</v>
      </c>
      <c r="AD2428">
        <v>-1.127013894384</v>
      </c>
      <c r="AE2428">
        <v>-16.010599999999901</v>
      </c>
      <c r="AF2428">
        <v>-2.5087170156951299</v>
      </c>
      <c r="AG2428">
        <v>-1.127013894384</v>
      </c>
      <c r="AH2428">
        <v>15.735242254412499</v>
      </c>
      <c r="AI2428">
        <v>94.045806929562303</v>
      </c>
      <c r="AJ2428">
        <v>99.058598803277803</v>
      </c>
      <c r="AK2428">
        <v>15.9737807105275</v>
      </c>
      <c r="AL2428">
        <v>78.669273080376001</v>
      </c>
      <c r="AM2428">
        <v>94.543377202648799</v>
      </c>
      <c r="AN2428">
        <v>0.99999997011874997</v>
      </c>
    </row>
    <row r="2429" spans="1:40" x14ac:dyDescent="0.25">
      <c r="A2429" t="str">
        <f>"20190303170544990"</f>
        <v>20190303170544990</v>
      </c>
      <c r="B2429" t="str">
        <f>"1551603944987580"</f>
        <v>1551603944987580</v>
      </c>
      <c r="C2429" t="s">
        <v>40</v>
      </c>
      <c r="D2429">
        <v>5.9594399999999998</v>
      </c>
      <c r="E2429">
        <v>0.44928709999999999</v>
      </c>
      <c r="F2429" t="s">
        <v>41</v>
      </c>
      <c r="G2429">
        <v>-492.06670000000003</v>
      </c>
      <c r="H2429" s="1">
        <v>-4.0669799999999996E-6</v>
      </c>
      <c r="I2429">
        <v>247.8605</v>
      </c>
      <c r="J2429">
        <v>-491.85640000000001</v>
      </c>
      <c r="K2429">
        <v>1.126849</v>
      </c>
      <c r="L2429">
        <v>263.19589999999999</v>
      </c>
      <c r="M2429">
        <v>-0.17026279999999999</v>
      </c>
      <c r="N2429">
        <v>-1.46188E-2</v>
      </c>
      <c r="O2429">
        <v>-0.98529029999999995</v>
      </c>
      <c r="P2429">
        <v>-9.3330940000000001E-2</v>
      </c>
      <c r="Q2429">
        <v>0.1832105</v>
      </c>
      <c r="R2429">
        <v>-0.97863339999999999</v>
      </c>
      <c r="S2429">
        <v>-4.7576899999999998E-2</v>
      </c>
      <c r="T2429">
        <v>-0.22549459999999999</v>
      </c>
      <c r="U2429">
        <v>-3.1041259999999999</v>
      </c>
      <c r="V2429">
        <v>-7.7386960000000005E-2</v>
      </c>
      <c r="W2429">
        <v>0.19647390000000001</v>
      </c>
      <c r="X2429">
        <v>0.97745040000000005</v>
      </c>
      <c r="Y2429">
        <v>-0.15508169999999999</v>
      </c>
      <c r="Z2429">
        <v>5.5856349999999999E-2</v>
      </c>
      <c r="AA2429">
        <v>0.98632129999999996</v>
      </c>
      <c r="AB2429">
        <v>30</v>
      </c>
      <c r="AC2429">
        <v>-0.210300000000017</v>
      </c>
      <c r="AD2429">
        <v>-1.1268530669800001</v>
      </c>
      <c r="AE2429">
        <v>-15.3353999999999</v>
      </c>
      <c r="AF2429">
        <v>-2.3911898397579998</v>
      </c>
      <c r="AG2429">
        <v>-1.1268530669800001</v>
      </c>
      <c r="AH2429">
        <v>15.0659135873604</v>
      </c>
      <c r="AI2429">
        <v>94.224779695416501</v>
      </c>
      <c r="AJ2429">
        <v>99.018487724922196</v>
      </c>
      <c r="AK2429">
        <v>15.2960563187423</v>
      </c>
      <c r="AL2429">
        <v>78.669162508951402</v>
      </c>
      <c r="AM2429">
        <v>94.526793920095898</v>
      </c>
      <c r="AN2429">
        <v>1.0000000097096999</v>
      </c>
    </row>
    <row r="2430" spans="1:40" x14ac:dyDescent="0.25">
      <c r="A2430" t="str">
        <f>"20190303170545003"</f>
        <v>20190303170545003</v>
      </c>
      <c r="B2430" t="str">
        <f>"1551603944997340"</f>
        <v>1551603944997340</v>
      </c>
      <c r="C2430" t="s">
        <v>40</v>
      </c>
      <c r="D2430">
        <v>5.9055600000000004</v>
      </c>
      <c r="E2430">
        <v>0.44246990000000003</v>
      </c>
      <c r="F2430" t="s">
        <v>41</v>
      </c>
      <c r="G2430">
        <v>-490.73930000000001</v>
      </c>
      <c r="H2430" s="1">
        <v>-3.9187570000000004E-6</v>
      </c>
      <c r="I2430">
        <v>238.2653</v>
      </c>
      <c r="J2430">
        <v>-491.88209999999998</v>
      </c>
      <c r="K2430">
        <v>1.1266910000000001</v>
      </c>
      <c r="L2430">
        <v>263.02679999999998</v>
      </c>
      <c r="M2430">
        <v>-0.1666743</v>
      </c>
      <c r="N2430">
        <v>-1.4591990000000001E-2</v>
      </c>
      <c r="O2430">
        <v>-0.985904</v>
      </c>
      <c r="P2430">
        <v>-8.9641709999999999E-2</v>
      </c>
      <c r="Q2430">
        <v>0.182892</v>
      </c>
      <c r="R2430">
        <v>-0.97903810000000002</v>
      </c>
      <c r="S2430">
        <v>0.13912959999999999</v>
      </c>
      <c r="T2430">
        <v>-0.1403462</v>
      </c>
      <c r="U2430">
        <v>-3.1050420000000001</v>
      </c>
      <c r="V2430">
        <v>-7.7441339999999997E-2</v>
      </c>
      <c r="W2430">
        <v>0.19615869999999999</v>
      </c>
      <c r="X2430">
        <v>0.97750939999999997</v>
      </c>
      <c r="Y2430">
        <v>-0.21054819999999999</v>
      </c>
      <c r="Z2430">
        <v>2.904019E-2</v>
      </c>
      <c r="AA2430">
        <v>0.97715200000000002</v>
      </c>
      <c r="AB2430">
        <v>30</v>
      </c>
      <c r="AC2430">
        <v>1.1427999999999601</v>
      </c>
      <c r="AD2430">
        <v>-1.1266949187569999</v>
      </c>
      <c r="AE2430">
        <v>-24.761499999999899</v>
      </c>
      <c r="AF2430">
        <v>-5.2435231102634798</v>
      </c>
      <c r="AG2430">
        <v>-1.1266949187569999</v>
      </c>
      <c r="AH2430">
        <v>24.174621053105302</v>
      </c>
      <c r="AI2430">
        <v>92.607871933554605</v>
      </c>
      <c r="AJ2430">
        <v>102.237999822617</v>
      </c>
      <c r="AK2430">
        <v>24.762396473464801</v>
      </c>
      <c r="AL2430">
        <v>78.687580567227101</v>
      </c>
      <c r="AM2430">
        <v>94.529689394840801</v>
      </c>
      <c r="AN2430">
        <v>1.0000000119075201</v>
      </c>
    </row>
    <row r="2431" spans="1:40" x14ac:dyDescent="0.25">
      <c r="A2431" t="str">
        <f>"20190303170545022"</f>
        <v>20190303170545022</v>
      </c>
      <c r="B2431" t="str">
        <f>"1551603945016859"</f>
        <v>1551603945016859</v>
      </c>
      <c r="C2431" t="s">
        <v>40</v>
      </c>
      <c r="D2431">
        <v>5.9309729999999998</v>
      </c>
      <c r="E2431">
        <v>0.43406410000000001</v>
      </c>
      <c r="F2431" t="s">
        <v>41</v>
      </c>
      <c r="G2431">
        <v>-489.92430000000002</v>
      </c>
      <c r="H2431" s="1">
        <v>-1.543978E-6</v>
      </c>
      <c r="I2431">
        <v>233.20050000000001</v>
      </c>
      <c r="J2431">
        <v>-491.91950000000003</v>
      </c>
      <c r="K2431">
        <v>1.126422</v>
      </c>
      <c r="L2431">
        <v>262.7724</v>
      </c>
      <c r="M2431">
        <v>-0.16156479999999901</v>
      </c>
      <c r="N2431">
        <v>-1.454986E-2</v>
      </c>
      <c r="O2431">
        <v>-0.98675489999999999</v>
      </c>
      <c r="P2431">
        <v>-8.4987069999999998E-2</v>
      </c>
      <c r="Q2431">
        <v>0.18238119999999999</v>
      </c>
      <c r="R2431">
        <v>-0.97954850000000004</v>
      </c>
      <c r="S2431">
        <v>0.20379639999999999</v>
      </c>
      <c r="T2431">
        <v>-0.1172855</v>
      </c>
      <c r="U2431">
        <v>-3.1048279999999999</v>
      </c>
      <c r="V2431">
        <v>-7.6901399999999995E-2</v>
      </c>
      <c r="W2431">
        <v>0.19566449999999999</v>
      </c>
      <c r="X2431">
        <v>0.9776511</v>
      </c>
      <c r="Y2431">
        <v>-0.22576840000000001</v>
      </c>
      <c r="Z2431">
        <v>2.185542E-2</v>
      </c>
      <c r="AA2431">
        <v>0.97393580000000002</v>
      </c>
      <c r="AB2431">
        <v>30</v>
      </c>
      <c r="AC2431">
        <v>1.9952000000000101</v>
      </c>
      <c r="AD2431">
        <v>-1.1264235439779999</v>
      </c>
      <c r="AE2431">
        <v>-29.571899999999999</v>
      </c>
      <c r="AF2431">
        <v>-6.7375339672907604</v>
      </c>
      <c r="AG2431">
        <v>-1.1264235439779999</v>
      </c>
      <c r="AH2431">
        <v>28.819291386578499</v>
      </c>
      <c r="AI2431">
        <v>92.179596694715201</v>
      </c>
      <c r="AJ2431">
        <v>103.15859227894499</v>
      </c>
      <c r="AK2431">
        <v>29.617811363862501</v>
      </c>
      <c r="AL2431">
        <v>78.716456104492806</v>
      </c>
      <c r="AM2431">
        <v>94.497588061033596</v>
      </c>
      <c r="AN2431">
        <v>1.0000000476066999</v>
      </c>
    </row>
    <row r="2432" spans="1:40" x14ac:dyDescent="0.25">
      <c r="A2432" t="str">
        <f>"20190303170545034"</f>
        <v>20190303170545034</v>
      </c>
      <c r="B2432" t="str">
        <f>"1551603945026620"</f>
        <v>1551603945026620</v>
      </c>
      <c r="C2432" t="s">
        <v>40</v>
      </c>
      <c r="D2432">
        <v>5.9241659999999996</v>
      </c>
      <c r="E2432">
        <v>0.43195519999999998</v>
      </c>
      <c r="F2432" t="s">
        <v>52</v>
      </c>
      <c r="G2432">
        <v>-488.40699999999998</v>
      </c>
      <c r="H2432" s="1">
        <v>4.6926620000000002E-6</v>
      </c>
      <c r="I2432">
        <v>224.4633</v>
      </c>
      <c r="J2432">
        <v>-491.94240000000002</v>
      </c>
      <c r="K2432">
        <v>1.126231</v>
      </c>
      <c r="L2432">
        <v>262.61219999999997</v>
      </c>
      <c r="M2432">
        <v>-0.15854679999999999</v>
      </c>
      <c r="N2432">
        <v>-1.452285E-2</v>
      </c>
      <c r="O2432">
        <v>-0.98724480000000003</v>
      </c>
      <c r="P2432">
        <v>-8.2406480000000004E-2</v>
      </c>
      <c r="Q2432">
        <v>0.18236150000000001</v>
      </c>
      <c r="R2432">
        <v>-0.97977230000000004</v>
      </c>
      <c r="S2432">
        <v>0.28463749999999999</v>
      </c>
      <c r="T2432">
        <v>-9.1279150000000003E-2</v>
      </c>
      <c r="U2432">
        <v>-3.1043699999999999</v>
      </c>
      <c r="V2432">
        <v>-7.6394710000000005E-2</v>
      </c>
      <c r="W2432">
        <v>0.19565979999999999</v>
      </c>
      <c r="X2432">
        <v>0.97769170000000005</v>
      </c>
      <c r="Y2432">
        <v>-0.24796360000000001</v>
      </c>
      <c r="Z2432">
        <v>1.368746E-2</v>
      </c>
      <c r="AA2432">
        <v>0.96867259999999999</v>
      </c>
      <c r="AB2432">
        <v>30</v>
      </c>
      <c r="AC2432">
        <v>3.5354000000000299</v>
      </c>
      <c r="AD2432">
        <v>-1.1262263073380001</v>
      </c>
      <c r="AE2432">
        <v>-38.148899999999898</v>
      </c>
      <c r="AF2432">
        <v>-9.5314596378839695</v>
      </c>
      <c r="AG2432">
        <v>-1.1262263073380001</v>
      </c>
      <c r="AH2432">
        <v>37.073648518498103</v>
      </c>
      <c r="AI2432">
        <v>91.685229872851394</v>
      </c>
      <c r="AJ2432">
        <v>104.418215604911</v>
      </c>
      <c r="AK2432">
        <v>38.295855167329599</v>
      </c>
      <c r="AL2432">
        <v>78.716729982563393</v>
      </c>
      <c r="AM2432">
        <v>94.467889831413302</v>
      </c>
      <c r="AN2432">
        <v>0.99999998465045703</v>
      </c>
    </row>
    <row r="2433" spans="1:40" x14ac:dyDescent="0.25">
      <c r="A2433" t="str">
        <f>"20190303170545046"</f>
        <v>20190303170545046</v>
      </c>
      <c r="B2433" t="str">
        <f>"1551603945037355"</f>
        <v>1551603945037355</v>
      </c>
      <c r="C2433" t="s">
        <v>40</v>
      </c>
      <c r="D2433">
        <v>5.9089660000000004</v>
      </c>
      <c r="E2433">
        <v>0.430529</v>
      </c>
      <c r="F2433" t="s">
        <v>52</v>
      </c>
      <c r="G2433">
        <v>-487.815</v>
      </c>
      <c r="H2433" s="1">
        <v>3.55525E-6</v>
      </c>
      <c r="I2433">
        <v>221.21549999999999</v>
      </c>
      <c r="J2433">
        <v>-491.96530000000001</v>
      </c>
      <c r="K2433">
        <v>1.1260330000000001</v>
      </c>
      <c r="L2433">
        <v>262.4504</v>
      </c>
      <c r="M2433">
        <v>-0.1555782</v>
      </c>
      <c r="N2433">
        <v>-1.4496230000000001E-2</v>
      </c>
      <c r="O2433">
        <v>-0.98771739999999997</v>
      </c>
      <c r="P2433">
        <v>-8.0225950000000004E-2</v>
      </c>
      <c r="Q2433">
        <v>0.1824055</v>
      </c>
      <c r="R2433">
        <v>-0.97994510000000001</v>
      </c>
      <c r="S2433">
        <v>0.30944820000000001</v>
      </c>
      <c r="T2433">
        <v>-8.4438199999999894E-2</v>
      </c>
      <c r="U2433">
        <v>-3.1036990000000002</v>
      </c>
      <c r="V2433">
        <v>-7.5532150000000006E-2</v>
      </c>
      <c r="W2433">
        <v>0.1957248</v>
      </c>
      <c r="X2433">
        <v>0.97774570000000005</v>
      </c>
      <c r="Y2433">
        <v>-0.25274590000000002</v>
      </c>
      <c r="Z2433">
        <v>1.1584280000000001E-2</v>
      </c>
      <c r="AA2433">
        <v>0.96746330000000003</v>
      </c>
      <c r="AB2433">
        <v>30</v>
      </c>
      <c r="AC2433">
        <v>4.1503000000000103</v>
      </c>
      <c r="AD2433">
        <v>-1.1260294447499899</v>
      </c>
      <c r="AE2433">
        <v>-41.234900000000003</v>
      </c>
      <c r="AF2433">
        <v>-10.507920723737101</v>
      </c>
      <c r="AG2433">
        <v>-1.1260294447499899</v>
      </c>
      <c r="AH2433">
        <v>40.0573650017487</v>
      </c>
      <c r="AI2433">
        <v>91.5575148583996</v>
      </c>
      <c r="AJ2433">
        <v>104.69875240829001</v>
      </c>
      <c r="AK2433">
        <v>41.427971602893003</v>
      </c>
      <c r="AL2433">
        <v>78.7129322595747</v>
      </c>
      <c r="AM2433">
        <v>94.417401434895396</v>
      </c>
      <c r="AN2433">
        <v>0.99999997844357602</v>
      </c>
    </row>
    <row r="2434" spans="1:40" x14ac:dyDescent="0.25">
      <c r="A2434" t="str">
        <f>"20190303170545058"</f>
        <v>20190303170545058</v>
      </c>
      <c r="B2434" t="str">
        <f>"1551603945047116"</f>
        <v>1551603945047116</v>
      </c>
      <c r="C2434" t="s">
        <v>40</v>
      </c>
      <c r="D2434">
        <v>5.8850429999999996</v>
      </c>
      <c r="E2434">
        <v>0.42955399999999999</v>
      </c>
      <c r="F2434" t="s">
        <v>52</v>
      </c>
      <c r="G2434">
        <v>-487.3657</v>
      </c>
      <c r="H2434" s="1">
        <v>3.0399509999999998E-6</v>
      </c>
      <c r="I2434">
        <v>218.81010000000001</v>
      </c>
      <c r="J2434">
        <v>-491.98750000000001</v>
      </c>
      <c r="K2434">
        <v>1.125823</v>
      </c>
      <c r="L2434">
        <v>262.29050000000001</v>
      </c>
      <c r="M2434">
        <v>-0.1528012</v>
      </c>
      <c r="N2434">
        <v>-1.4469849999999999E-2</v>
      </c>
      <c r="O2434">
        <v>-0.988151</v>
      </c>
      <c r="P2434">
        <v>-7.8444710000000001E-2</v>
      </c>
      <c r="Q2434">
        <v>0.18262639999999999</v>
      </c>
      <c r="R2434">
        <v>-0.98004780000000002</v>
      </c>
      <c r="S2434">
        <v>0.32705689999999998</v>
      </c>
      <c r="T2434">
        <v>-8.0067399999999997E-2</v>
      </c>
      <c r="U2434">
        <v>-3.1030880000000001</v>
      </c>
      <c r="V2434">
        <v>-7.4453729999999996E-2</v>
      </c>
      <c r="W2434">
        <v>0.19597029999999999</v>
      </c>
      <c r="X2434">
        <v>0.97777930000000002</v>
      </c>
      <c r="Y2434">
        <v>-0.2554804</v>
      </c>
      <c r="Z2434">
        <v>1.025652E-2</v>
      </c>
      <c r="AA2434">
        <v>0.96675979999999995</v>
      </c>
      <c r="AB2434">
        <v>30</v>
      </c>
      <c r="AC2434">
        <v>4.6218000000000004</v>
      </c>
      <c r="AD2434">
        <v>-1.125819960049</v>
      </c>
      <c r="AE2434">
        <v>-43.480400000000003</v>
      </c>
      <c r="AF2434">
        <v>-11.204639568462101</v>
      </c>
      <c r="AG2434">
        <v>-1.125819960049</v>
      </c>
      <c r="AH2434">
        <v>42.235409893874099</v>
      </c>
      <c r="AI2434">
        <v>91.4758765353168</v>
      </c>
      <c r="AJ2434">
        <v>104.857761171349</v>
      </c>
      <c r="AK2434">
        <v>43.710882710660897</v>
      </c>
      <c r="AL2434">
        <v>78.698589047975503</v>
      </c>
      <c r="AM2434">
        <v>94.354426691574901</v>
      </c>
      <c r="AN2434">
        <v>1.0000000379507401</v>
      </c>
    </row>
    <row r="2435" spans="1:40" x14ac:dyDescent="0.25">
      <c r="A2435" t="str">
        <f>"20190303170545070"</f>
        <v>20190303170545070</v>
      </c>
      <c r="B2435" t="str">
        <f>"1551603945066636"</f>
        <v>1551603945066636</v>
      </c>
      <c r="C2435" t="s">
        <v>40</v>
      </c>
      <c r="D2435">
        <v>5.890549</v>
      </c>
      <c r="E2435">
        <v>0.42831580000000002</v>
      </c>
      <c r="F2435" t="s">
        <v>52</v>
      </c>
      <c r="G2435">
        <v>-487.02229999999997</v>
      </c>
      <c r="H2435" s="1">
        <v>2.8987159999999999E-6</v>
      </c>
      <c r="I2435">
        <v>216.97239999999999</v>
      </c>
      <c r="J2435">
        <v>-492.0086</v>
      </c>
      <c r="K2435">
        <v>1.1256250000000001</v>
      </c>
      <c r="L2435">
        <v>262.137</v>
      </c>
      <c r="M2435">
        <v>-0.15026519999999999</v>
      </c>
      <c r="N2435">
        <v>-1.444524E-2</v>
      </c>
      <c r="O2435">
        <v>-0.98854039999999999</v>
      </c>
      <c r="P2435">
        <v>-7.7483389999999999E-2</v>
      </c>
      <c r="Q2435">
        <v>0.18279429999999999</v>
      </c>
      <c r="R2435">
        <v>-0.9800934</v>
      </c>
      <c r="S2435">
        <v>0.3399353</v>
      </c>
      <c r="T2435">
        <v>-7.7077629999999994E-2</v>
      </c>
      <c r="U2435">
        <v>-3.1026310000000001</v>
      </c>
      <c r="V2435">
        <v>-7.2799730000000007E-2</v>
      </c>
      <c r="W2435">
        <v>0.1961686</v>
      </c>
      <c r="X2435">
        <v>0.97786399999999996</v>
      </c>
      <c r="Y2435">
        <v>-0.25698369999999998</v>
      </c>
      <c r="Z2435">
        <v>9.3592310000000008E-3</v>
      </c>
      <c r="AA2435">
        <v>0.96637039999999996</v>
      </c>
      <c r="AB2435">
        <v>30</v>
      </c>
      <c r="AC2435">
        <v>4.9863000000000204</v>
      </c>
      <c r="AD2435">
        <v>-1.125622101284</v>
      </c>
      <c r="AE2435">
        <v>-45.1646</v>
      </c>
      <c r="AF2435">
        <v>-11.709860867498801</v>
      </c>
      <c r="AG2435">
        <v>-1.125622101284</v>
      </c>
      <c r="AH2435">
        <v>43.875411334167801</v>
      </c>
      <c r="AI2435">
        <v>91.419919817285702</v>
      </c>
      <c r="AJ2435">
        <v>104.943304936609</v>
      </c>
      <c r="AK2435">
        <v>45.425098639337101</v>
      </c>
      <c r="AL2435">
        <v>78.687001521200798</v>
      </c>
      <c r="AM2435">
        <v>94.257684830981603</v>
      </c>
      <c r="AN2435">
        <v>0.99999996140501501</v>
      </c>
    </row>
    <row r="2436" spans="1:40" x14ac:dyDescent="0.25">
      <c r="A2436" t="str">
        <f>"20190303170545087"</f>
        <v>20190303170545087</v>
      </c>
      <c r="B2436" t="str">
        <f>"1551603945077372"</f>
        <v>1551603945077372</v>
      </c>
      <c r="C2436" t="s">
        <v>40</v>
      </c>
      <c r="D2436">
        <v>5.8644249999999998</v>
      </c>
      <c r="E2436">
        <v>0.42800949999999999</v>
      </c>
      <c r="F2436" t="s">
        <v>52</v>
      </c>
      <c r="G2436">
        <v>-486.53359999999998</v>
      </c>
      <c r="H2436" s="1">
        <v>2.6849100000000002E-6</v>
      </c>
      <c r="I2436">
        <v>214.0643</v>
      </c>
      <c r="J2436">
        <v>-492.03890000000001</v>
      </c>
      <c r="K2436">
        <v>1.1253500000000001</v>
      </c>
      <c r="L2436">
        <v>261.9128</v>
      </c>
      <c r="M2436">
        <v>-0.14674409999999999</v>
      </c>
      <c r="N2436">
        <v>-1.4410640000000001E-2</v>
      </c>
      <c r="O2436">
        <v>-0.98906970000000005</v>
      </c>
      <c r="P2436">
        <v>-7.6317380000000004E-2</v>
      </c>
      <c r="Q2436">
        <v>0.18349579999999999</v>
      </c>
      <c r="R2436">
        <v>-0.98005390000000003</v>
      </c>
      <c r="S2436">
        <v>0.35333249999999999</v>
      </c>
      <c r="T2436">
        <v>-7.2643159999999998E-2</v>
      </c>
      <c r="U2436">
        <v>-3.102417</v>
      </c>
      <c r="V2436">
        <v>-7.0323109999999994E-2</v>
      </c>
      <c r="W2436">
        <v>0.19691149999999999</v>
      </c>
      <c r="X2436">
        <v>0.97789599999999999</v>
      </c>
      <c r="Y2436">
        <v>-0.2576753</v>
      </c>
      <c r="Z2436">
        <v>8.0290320000000002E-3</v>
      </c>
      <c r="AA2436">
        <v>0.96619820000000001</v>
      </c>
      <c r="AB2436">
        <v>30</v>
      </c>
      <c r="AC2436">
        <v>5.5053000000000303</v>
      </c>
      <c r="AD2436">
        <v>-1.12534731509</v>
      </c>
      <c r="AE2436">
        <v>-47.848500000000001</v>
      </c>
      <c r="AF2436">
        <v>-12.461100137783401</v>
      </c>
      <c r="AG2436">
        <v>-1.12534731509</v>
      </c>
      <c r="AH2436">
        <v>46.497070048329</v>
      </c>
      <c r="AI2436">
        <v>91.339192647931498</v>
      </c>
      <c r="AJ2436">
        <v>105.00258422796</v>
      </c>
      <c r="AK2436">
        <v>48.151043044805</v>
      </c>
      <c r="AL2436">
        <v>78.643590592908794</v>
      </c>
      <c r="AM2436">
        <v>94.113211701004005</v>
      </c>
      <c r="AN2436">
        <v>1.00000003272416</v>
      </c>
    </row>
    <row r="2437" spans="1:40" x14ac:dyDescent="0.25">
      <c r="A2437" t="str">
        <f>"20190303170545098"</f>
        <v>20190303170545098</v>
      </c>
      <c r="B2437" t="str">
        <f>"1551603945087131"</f>
        <v>1551603945087131</v>
      </c>
      <c r="C2437" t="s">
        <v>40</v>
      </c>
      <c r="D2437">
        <v>5.8980009999999998</v>
      </c>
      <c r="E2437">
        <v>0.4275967</v>
      </c>
      <c r="F2437" t="s">
        <v>52</v>
      </c>
      <c r="G2437">
        <v>-486.24380000000002</v>
      </c>
      <c r="H2437" s="1">
        <v>2.5371989999999998E-6</v>
      </c>
      <c r="I2437">
        <v>211.8612</v>
      </c>
      <c r="J2437">
        <v>-492.05990000000003</v>
      </c>
      <c r="K2437">
        <v>1.1251639999999901</v>
      </c>
      <c r="L2437">
        <v>261.7552</v>
      </c>
      <c r="M2437">
        <v>-0.144426</v>
      </c>
      <c r="N2437">
        <v>-1.4387209999999999E-2</v>
      </c>
      <c r="O2437">
        <v>-0.98941120000000005</v>
      </c>
      <c r="P2437">
        <v>-7.5304259999999998E-2</v>
      </c>
      <c r="Q2437">
        <v>0.184063</v>
      </c>
      <c r="R2437">
        <v>-0.98002599999999995</v>
      </c>
      <c r="S2437">
        <v>0.35916140000000002</v>
      </c>
      <c r="T2437">
        <v>-6.9745779999999993E-2</v>
      </c>
      <c r="U2437">
        <v>-3.1020509999999999</v>
      </c>
      <c r="V2437">
        <v>-6.8933040000000001E-2</v>
      </c>
      <c r="W2437">
        <v>0.19750239999999999</v>
      </c>
      <c r="X2437">
        <v>0.97787579999999996</v>
      </c>
      <c r="Y2437">
        <v>-0.25721850000000002</v>
      </c>
      <c r="Z2437">
        <v>7.1661669999999898E-3</v>
      </c>
      <c r="AA2437">
        <v>0.96632669999999998</v>
      </c>
      <c r="AB2437">
        <v>30</v>
      </c>
      <c r="AC2437">
        <v>5.8160999999999996</v>
      </c>
      <c r="AD2437">
        <v>-1.1251614628009901</v>
      </c>
      <c r="AE2437">
        <v>-49.893999999999998</v>
      </c>
      <c r="AF2437">
        <v>-12.9553442974492</v>
      </c>
      <c r="AG2437">
        <v>-1.1251614628009901</v>
      </c>
      <c r="AH2437">
        <v>48.506362850607402</v>
      </c>
      <c r="AI2437">
        <v>91.283818133425996</v>
      </c>
      <c r="AJ2437">
        <v>104.953816965933</v>
      </c>
      <c r="AK2437">
        <v>50.219260958098602</v>
      </c>
      <c r="AL2437">
        <v>78.609056195436395</v>
      </c>
      <c r="AM2437">
        <v>94.032260140853396</v>
      </c>
      <c r="AN2437">
        <v>1.00000002111752</v>
      </c>
    </row>
    <row r="2438" spans="1:40" x14ac:dyDescent="0.25">
      <c r="A2438" t="str">
        <f>"20190303170545110"</f>
        <v>20190303170545110</v>
      </c>
      <c r="B2438" t="str">
        <f>"1551603945096891"</f>
        <v>1551603945096891</v>
      </c>
      <c r="C2438" t="s">
        <v>40</v>
      </c>
      <c r="D2438">
        <v>5.8953049999999996</v>
      </c>
      <c r="E2438">
        <v>0.42750539999999998</v>
      </c>
      <c r="F2438" t="s">
        <v>52</v>
      </c>
      <c r="G2438">
        <v>-485.99439999999998</v>
      </c>
      <c r="H2438" s="1">
        <v>2.4232209999999999E-6</v>
      </c>
      <c r="I2438">
        <v>210.26609999999999</v>
      </c>
      <c r="J2438">
        <v>-492.07850000000002</v>
      </c>
      <c r="K2438">
        <v>1.1250039999999999</v>
      </c>
      <c r="L2438">
        <v>261.61290000000002</v>
      </c>
      <c r="M2438">
        <v>-0.14244979999999999</v>
      </c>
      <c r="N2438">
        <v>-1.436693E-2</v>
      </c>
      <c r="O2438">
        <v>-0.98969759999999996</v>
      </c>
      <c r="P2438">
        <v>-7.4380000000000002E-2</v>
      </c>
      <c r="Q2438">
        <v>0.1852847</v>
      </c>
      <c r="R2438">
        <v>-0.97986589999999996</v>
      </c>
      <c r="S2438">
        <v>0.36541750000000001</v>
      </c>
      <c r="T2438">
        <v>-6.778526E-2</v>
      </c>
      <c r="U2438">
        <v>-3.1019589999999999</v>
      </c>
      <c r="V2438">
        <v>-6.7797079999999996E-2</v>
      </c>
      <c r="W2438">
        <v>0.19873959999999999</v>
      </c>
      <c r="X2438">
        <v>0.97770449999999998</v>
      </c>
      <c r="Y2438">
        <v>-0.25721630000000001</v>
      </c>
      <c r="Z2438">
        <v>6.5847040000000003E-3</v>
      </c>
      <c r="AA2438">
        <v>0.96633139999999995</v>
      </c>
      <c r="AB2438">
        <v>30</v>
      </c>
      <c r="AC2438">
        <v>6.0841000000000296</v>
      </c>
      <c r="AD2438">
        <v>-1.125001576779</v>
      </c>
      <c r="AE2438">
        <v>-51.346800000000002</v>
      </c>
      <c r="AF2438">
        <v>-13.3308283650998</v>
      </c>
      <c r="AG2438">
        <v>-1.125001576779</v>
      </c>
      <c r="AH2438">
        <v>49.932651615457999</v>
      </c>
      <c r="AI2438">
        <v>91.247015375124406</v>
      </c>
      <c r="AJ2438">
        <v>104.947972125308</v>
      </c>
      <c r="AK2438">
        <v>51.693774391102501</v>
      </c>
      <c r="AL2438">
        <v>78.536735831000101</v>
      </c>
      <c r="AM2438">
        <v>93.966718272642396</v>
      </c>
      <c r="AN2438">
        <v>0.99999998099246801</v>
      </c>
    </row>
    <row r="2439" spans="1:40" x14ac:dyDescent="0.25">
      <c r="A2439" t="str">
        <f>"20190303170545121"</f>
        <v>20190303170545121</v>
      </c>
      <c r="B2439" t="str">
        <f>"1551603945116939"</f>
        <v>1551603945116939</v>
      </c>
      <c r="C2439" t="s">
        <v>40</v>
      </c>
      <c r="D2439">
        <v>5.9026249999999996</v>
      </c>
      <c r="E2439">
        <v>0.42731859999999999</v>
      </c>
      <c r="F2439" t="s">
        <v>52</v>
      </c>
      <c r="G2439">
        <v>-485.51369999999997</v>
      </c>
      <c r="H2439" s="1">
        <v>1.3998050000000001E-6</v>
      </c>
      <c r="I2439">
        <v>206.46690000000001</v>
      </c>
      <c r="J2439">
        <v>-492.09899999999999</v>
      </c>
      <c r="K2439">
        <v>1.124833</v>
      </c>
      <c r="L2439">
        <v>261.45580000000001</v>
      </c>
      <c r="M2439">
        <v>-0.14033099999999901</v>
      </c>
      <c r="N2439">
        <v>-1.434538E-2</v>
      </c>
      <c r="O2439">
        <v>-0.99000080000000001</v>
      </c>
      <c r="P2439">
        <v>-7.3394609999999999E-2</v>
      </c>
      <c r="Q2439">
        <v>0.1864142</v>
      </c>
      <c r="R2439">
        <v>-0.97972619999999999</v>
      </c>
      <c r="S2439">
        <v>0.36923220000000001</v>
      </c>
      <c r="T2439">
        <v>-6.3275100000000001E-2</v>
      </c>
      <c r="U2439">
        <v>-3.1016539999999999</v>
      </c>
      <c r="V2439">
        <v>-6.6576510000000005E-2</v>
      </c>
      <c r="W2439">
        <v>0.1998857</v>
      </c>
      <c r="X2439">
        <v>0.9775547</v>
      </c>
      <c r="Y2439">
        <v>-0.25633479999999997</v>
      </c>
      <c r="Z2439">
        <v>5.2174279999999996E-3</v>
      </c>
      <c r="AA2439">
        <v>0.96657400000000004</v>
      </c>
      <c r="AB2439">
        <v>30</v>
      </c>
      <c r="AC2439">
        <v>6.5853000000000099</v>
      </c>
      <c r="AD2439">
        <v>-1.1248316001950001</v>
      </c>
      <c r="AE2439">
        <v>-54.988900000000001</v>
      </c>
      <c r="AF2439">
        <v>-14.231692679964301</v>
      </c>
      <c r="AG2439">
        <v>-1.1248316001950001</v>
      </c>
      <c r="AH2439">
        <v>53.498367222252803</v>
      </c>
      <c r="AI2439">
        <v>91.164025048514105</v>
      </c>
      <c r="AJ2439">
        <v>104.896877219966</v>
      </c>
      <c r="AK2439">
        <v>55.370403810273601</v>
      </c>
      <c r="AL2439">
        <v>78.469724348937405</v>
      </c>
      <c r="AM2439">
        <v>93.896121313338796</v>
      </c>
      <c r="AN2439">
        <v>0.99999995812017906</v>
      </c>
    </row>
    <row r="2440" spans="1:40" x14ac:dyDescent="0.25">
      <c r="A2440" t="str">
        <f>"20190303170545135"</f>
        <v>20190303170545135</v>
      </c>
      <c r="B2440" t="str">
        <f>"1551603945126698"</f>
        <v>1551603945126698</v>
      </c>
      <c r="C2440" t="s">
        <v>40</v>
      </c>
      <c r="D2440">
        <v>5.8865689999999997</v>
      </c>
      <c r="E2440">
        <v>0.4272029</v>
      </c>
      <c r="F2440" t="s">
        <v>52</v>
      </c>
      <c r="G2440">
        <v>-484.9144</v>
      </c>
      <c r="H2440" s="1">
        <v>2.9908870000000001E-7</v>
      </c>
      <c r="I2440">
        <v>201.87520000000001</v>
      </c>
      <c r="J2440">
        <v>-492.12119999999999</v>
      </c>
      <c r="K2440">
        <v>1.12466</v>
      </c>
      <c r="L2440">
        <v>261.28199999999998</v>
      </c>
      <c r="M2440">
        <v>-0.13817860000000001</v>
      </c>
      <c r="N2440">
        <v>-1.432223E-2</v>
      </c>
      <c r="O2440">
        <v>-0.99030379999999996</v>
      </c>
      <c r="P2440">
        <v>-7.2366390000000003E-2</v>
      </c>
      <c r="Q2440">
        <v>0.18740709999999999</v>
      </c>
      <c r="R2440">
        <v>-0.97961290000000001</v>
      </c>
      <c r="S2440">
        <v>0.37396239999999997</v>
      </c>
      <c r="T2440">
        <v>-5.854869E-2</v>
      </c>
      <c r="U2440">
        <v>-3.1012270000000002</v>
      </c>
      <c r="V2440">
        <v>-6.5367079999999994E-2</v>
      </c>
      <c r="W2440">
        <v>0.20089299999999999</v>
      </c>
      <c r="X2440">
        <v>0.97742989999999996</v>
      </c>
      <c r="Y2440">
        <v>-0.25570670000000001</v>
      </c>
      <c r="Z2440">
        <v>3.7821539999999998E-3</v>
      </c>
      <c r="AA2440">
        <v>0.96674700000000002</v>
      </c>
      <c r="AB2440">
        <v>30</v>
      </c>
      <c r="AC2440">
        <v>7.2067999999999799</v>
      </c>
      <c r="AD2440">
        <v>-1.1246597009113</v>
      </c>
      <c r="AE2440">
        <v>-59.406799999999897</v>
      </c>
      <c r="AF2440">
        <v>-15.341824712553001</v>
      </c>
      <c r="AG2440">
        <v>-1.1246597009113</v>
      </c>
      <c r="AH2440">
        <v>57.820462534567902</v>
      </c>
      <c r="AI2440">
        <v>91.077053792887497</v>
      </c>
      <c r="AJ2440">
        <v>104.860190085452</v>
      </c>
      <c r="AK2440">
        <v>59.8317836326557</v>
      </c>
      <c r="AL2440">
        <v>78.410816272528095</v>
      </c>
      <c r="AM2440">
        <v>93.826043409777299</v>
      </c>
      <c r="AN2440">
        <v>1.0000000310053601</v>
      </c>
    </row>
    <row r="2441" spans="1:40" x14ac:dyDescent="0.25">
      <c r="A2441" t="str">
        <f>"20190303170545150"</f>
        <v>20190303170545150</v>
      </c>
      <c r="B2441" t="str">
        <f>"1551603945137436"</f>
        <v>1551603945137436</v>
      </c>
      <c r="C2441" t="s">
        <v>40</v>
      </c>
      <c r="D2441">
        <v>5.8976030000000002</v>
      </c>
      <c r="E2441">
        <v>0.42724820000000002</v>
      </c>
      <c r="F2441" t="s">
        <v>41</v>
      </c>
      <c r="G2441">
        <v>-484.32389999999998</v>
      </c>
      <c r="H2441" s="1">
        <v>-4.32139E-6</v>
      </c>
      <c r="I2441">
        <v>197.35910000000001</v>
      </c>
      <c r="J2441">
        <v>-492.14479999999998</v>
      </c>
      <c r="K2441">
        <v>1.1244809999999901</v>
      </c>
      <c r="L2441">
        <v>261.09559999999999</v>
      </c>
      <c r="M2441">
        <v>-0.135970799999999</v>
      </c>
      <c r="N2441">
        <v>-1.4298389999999999E-2</v>
      </c>
      <c r="O2441">
        <v>-0.99060959999999998</v>
      </c>
      <c r="P2441">
        <v>-7.1052649999999995E-2</v>
      </c>
      <c r="Q2441">
        <v>0.1884942</v>
      </c>
      <c r="R2441">
        <v>-0.9795007</v>
      </c>
      <c r="S2441">
        <v>0.37823489999999999</v>
      </c>
      <c r="T2441">
        <v>-5.4555649999999997E-2</v>
      </c>
      <c r="U2441">
        <v>-3.1008</v>
      </c>
      <c r="V2441">
        <v>-6.4385559999999994E-2</v>
      </c>
      <c r="W2441">
        <v>0.20199110000000001</v>
      </c>
      <c r="X2441">
        <v>0.97726869999999999</v>
      </c>
      <c r="Y2441">
        <v>-0.25488329999999998</v>
      </c>
      <c r="Z2441">
        <v>2.574986E-3</v>
      </c>
      <c r="AA2441">
        <v>0.96696839999999995</v>
      </c>
      <c r="AB2441">
        <v>30</v>
      </c>
      <c r="AC2441">
        <v>7.8208999999999902</v>
      </c>
      <c r="AD2441">
        <v>-1.1244853213899999</v>
      </c>
      <c r="AE2441">
        <v>-63.7364999999999</v>
      </c>
      <c r="AF2441">
        <v>-16.410408361853801</v>
      </c>
      <c r="AG2441">
        <v>-1.1244853213899999</v>
      </c>
      <c r="AH2441">
        <v>62.06189358009</v>
      </c>
      <c r="AI2441">
        <v>91.0035332100624</v>
      </c>
      <c r="AJ2441">
        <v>104.811173728887</v>
      </c>
      <c r="AK2441">
        <v>64.204708585798002</v>
      </c>
      <c r="AL2441">
        <v>78.346582754575607</v>
      </c>
      <c r="AM2441">
        <v>93.769380105819593</v>
      </c>
      <c r="AN2441">
        <v>1.0000000084077001</v>
      </c>
    </row>
    <row r="2442" spans="1:40" x14ac:dyDescent="0.25">
      <c r="A2442" t="str">
        <f>"20190303170545167"</f>
        <v>20190303170545167</v>
      </c>
      <c r="B2442" t="str">
        <f>"1551603945156954"</f>
        <v>1551603945156954</v>
      </c>
      <c r="C2442" t="s">
        <v>40</v>
      </c>
      <c r="D2442">
        <v>5.9165359999999998</v>
      </c>
      <c r="E2442">
        <v>0.42743039999999999</v>
      </c>
      <c r="F2442" t="s">
        <v>41</v>
      </c>
      <c r="G2442">
        <v>-483.7235</v>
      </c>
      <c r="H2442" s="1">
        <v>-2.7554879999999998E-6</v>
      </c>
      <c r="I2442">
        <v>192.83770000000001</v>
      </c>
      <c r="J2442">
        <v>-492.17439999999999</v>
      </c>
      <c r="K2442">
        <v>1.1242760000000001</v>
      </c>
      <c r="L2442">
        <v>260.85840000000002</v>
      </c>
      <c r="M2442">
        <v>-0.13333729999999999</v>
      </c>
      <c r="N2442">
        <v>-1.4269489999999999E-2</v>
      </c>
      <c r="O2442">
        <v>-0.99096799999999996</v>
      </c>
      <c r="P2442">
        <v>-6.9612759999999996E-2</v>
      </c>
      <c r="Q2442">
        <v>0.18974099999999999</v>
      </c>
      <c r="R2442">
        <v>-0.97936350000000005</v>
      </c>
      <c r="S2442">
        <v>0.38250729999999999</v>
      </c>
      <c r="T2442">
        <v>-5.1075219999999998E-2</v>
      </c>
      <c r="U2442">
        <v>-3.1003419999999999</v>
      </c>
      <c r="V2442">
        <v>-6.3092369999999995E-2</v>
      </c>
      <c r="W2442">
        <v>0.2032494</v>
      </c>
      <c r="X2442">
        <v>0.97709210000000002</v>
      </c>
      <c r="Y2442">
        <v>-0.25364569999999997</v>
      </c>
      <c r="Z2442">
        <v>1.533752E-3</v>
      </c>
      <c r="AA2442">
        <v>0.96729600000000004</v>
      </c>
      <c r="AB2442">
        <v>30</v>
      </c>
      <c r="AC2442">
        <v>8.4508999999999901</v>
      </c>
      <c r="AD2442">
        <v>-1.124278755488</v>
      </c>
      <c r="AE2442">
        <v>-68.020700000000005</v>
      </c>
      <c r="AF2442">
        <v>-17.441351556928002</v>
      </c>
      <c r="AG2442">
        <v>-1.124278755488</v>
      </c>
      <c r="AH2442">
        <v>66.268435997505904</v>
      </c>
      <c r="AI2442">
        <v>90.9399553146838</v>
      </c>
      <c r="AJ2442">
        <v>104.74541408070699</v>
      </c>
      <c r="AK2442">
        <v>68.534446495232899</v>
      </c>
      <c r="AL2442">
        <v>78.272959878481601</v>
      </c>
      <c r="AM2442">
        <v>93.694549287264607</v>
      </c>
      <c r="AN2442">
        <v>0.99999996881749298</v>
      </c>
    </row>
    <row r="2443" spans="1:40" x14ac:dyDescent="0.25">
      <c r="A2443" t="str">
        <f>"20190303170545188"</f>
        <v>20190303170545188</v>
      </c>
      <c r="B2443" t="str">
        <f>"1551603945177451"</f>
        <v>1551603945177451</v>
      </c>
      <c r="C2443" t="s">
        <v>40</v>
      </c>
      <c r="D2443">
        <v>5.9377620000000002</v>
      </c>
      <c r="E2443">
        <v>0.42768899999999999</v>
      </c>
      <c r="F2443" t="s">
        <v>41</v>
      </c>
      <c r="G2443">
        <v>-482.8904</v>
      </c>
      <c r="H2443" s="1">
        <v>-4.1879500000000003E-6</v>
      </c>
      <c r="I2443">
        <v>186.39580000000001</v>
      </c>
      <c r="J2443">
        <v>-492.2072</v>
      </c>
      <c r="K2443">
        <v>1.1240779999999999</v>
      </c>
      <c r="L2443">
        <v>260.59120000000001</v>
      </c>
      <c r="M2443">
        <v>-0.13056669999999901</v>
      </c>
      <c r="N2443">
        <v>-1.423925E-2</v>
      </c>
      <c r="O2443">
        <v>-0.99133729999999998</v>
      </c>
      <c r="P2443">
        <v>-6.7363339999999994E-2</v>
      </c>
      <c r="Q2443">
        <v>0.190778</v>
      </c>
      <c r="R2443">
        <v>-0.9793193</v>
      </c>
      <c r="S2443">
        <v>0.3864746</v>
      </c>
      <c r="T2443">
        <v>-4.6801570000000001E-2</v>
      </c>
      <c r="U2443">
        <v>-3.0997309999999998</v>
      </c>
      <c r="V2443">
        <v>-6.2480750000000002E-2</v>
      </c>
      <c r="W2443">
        <v>0.20429</v>
      </c>
      <c r="X2443">
        <v>0.97691439999999996</v>
      </c>
      <c r="Y2443">
        <v>-0.25218689999999999</v>
      </c>
      <c r="Z2443">
        <v>2.4640989999999999E-4</v>
      </c>
      <c r="AA2443">
        <v>0.9676785</v>
      </c>
      <c r="AB2443">
        <v>30</v>
      </c>
      <c r="AC2443">
        <v>9.3168000000000006</v>
      </c>
      <c r="AD2443">
        <v>-1.12408218795</v>
      </c>
      <c r="AE2443">
        <v>-74.195400000000006</v>
      </c>
      <c r="AF2443">
        <v>-18.921182441745099</v>
      </c>
      <c r="AG2443">
        <v>-1.12408218795</v>
      </c>
      <c r="AH2443">
        <v>72.327192211448704</v>
      </c>
      <c r="AI2443">
        <v>90.861413816477594</v>
      </c>
      <c r="AJ2443">
        <v>104.660339609326</v>
      </c>
      <c r="AK2443">
        <v>74.769629121394701</v>
      </c>
      <c r="AL2443">
        <v>78.212060470542596</v>
      </c>
      <c r="AM2443">
        <v>93.659495669052902</v>
      </c>
      <c r="AN2443">
        <v>0.99999999657396099</v>
      </c>
    </row>
    <row r="2444" spans="1:40" x14ac:dyDescent="0.25">
      <c r="A2444" t="str">
        <f>"20190303170545199"</f>
        <v>20190303170545199</v>
      </c>
      <c r="B2444" t="str">
        <f>"1551603945187211"</f>
        <v>1551603945187211</v>
      </c>
      <c r="C2444" t="s">
        <v>40</v>
      </c>
      <c r="D2444">
        <v>5.9224860000000001</v>
      </c>
      <c r="E2444">
        <v>0.42789270000000001</v>
      </c>
      <c r="F2444" t="s">
        <v>41</v>
      </c>
      <c r="G2444">
        <v>-482.30739999999997</v>
      </c>
      <c r="H2444" s="1">
        <v>-2.9848370000000002E-6</v>
      </c>
      <c r="I2444">
        <v>182.40450000000001</v>
      </c>
      <c r="J2444">
        <v>-492.22629999999998</v>
      </c>
      <c r="K2444">
        <v>1.1239730000000001</v>
      </c>
      <c r="L2444">
        <v>260.43380000000002</v>
      </c>
      <c r="M2444">
        <v>-0.12900790000000001</v>
      </c>
      <c r="N2444">
        <v>-1.422269E-2</v>
      </c>
      <c r="O2444">
        <v>-0.99154180000000003</v>
      </c>
      <c r="P2444">
        <v>-6.6424349999999993E-2</v>
      </c>
      <c r="Q2444">
        <v>0.1912655</v>
      </c>
      <c r="R2444">
        <v>-0.97928850000000001</v>
      </c>
      <c r="S2444">
        <v>0.39239499999999999</v>
      </c>
      <c r="T2444">
        <v>-4.4554829999999997E-2</v>
      </c>
      <c r="U2444">
        <v>-3.0990600000000001</v>
      </c>
      <c r="V2444">
        <v>-6.181652E-2</v>
      </c>
      <c r="W2444">
        <v>0.20478109999999999</v>
      </c>
      <c r="X2444">
        <v>0.97685379999999999</v>
      </c>
      <c r="Y2444">
        <v>-0.25251240000000003</v>
      </c>
      <c r="Z2444">
        <v>-4.330475E-4</v>
      </c>
      <c r="AA2444">
        <v>0.96759360000000005</v>
      </c>
      <c r="AB2444">
        <v>30</v>
      </c>
      <c r="AC2444">
        <v>9.9189000000000007</v>
      </c>
      <c r="AD2444">
        <v>-1.1239759848369999</v>
      </c>
      <c r="AE2444">
        <v>-78.029300000000006</v>
      </c>
      <c r="AF2444">
        <v>-19.899345380478501</v>
      </c>
      <c r="AG2444">
        <v>-1.1239759848369999</v>
      </c>
      <c r="AH2444">
        <v>76.081840269321305</v>
      </c>
      <c r="AI2444">
        <v>90.818842250815806</v>
      </c>
      <c r="AJ2444">
        <v>104.657468614796</v>
      </c>
      <c r="AK2444">
        <v>78.649181097787505</v>
      </c>
      <c r="AL2444">
        <v>78.183314411937801</v>
      </c>
      <c r="AM2444">
        <v>93.620919795871302</v>
      </c>
      <c r="AN2444">
        <v>0.99999996381827905</v>
      </c>
    </row>
    <row r="2445" spans="1:40" x14ac:dyDescent="0.25">
      <c r="A2445" t="str">
        <f>"20190303170545213"</f>
        <v>20190303170545213</v>
      </c>
      <c r="B2445" t="str">
        <f>"1551603945207707"</f>
        <v>1551603945207707</v>
      </c>
      <c r="C2445" t="s">
        <v>40</v>
      </c>
      <c r="D2445">
        <v>5.9505080000000001</v>
      </c>
      <c r="E2445">
        <v>0.42816920000000003</v>
      </c>
      <c r="F2445" t="s">
        <v>41</v>
      </c>
      <c r="G2445">
        <v>-482.06150000000002</v>
      </c>
      <c r="H2445" s="1">
        <v>-2.3790949999999999E-6</v>
      </c>
      <c r="I2445">
        <v>180.43219999999999</v>
      </c>
      <c r="J2445">
        <v>-492.24630000000002</v>
      </c>
      <c r="K2445">
        <v>1.123869</v>
      </c>
      <c r="L2445">
        <v>260.26589999999999</v>
      </c>
      <c r="M2445">
        <v>-0.12741250000000001</v>
      </c>
      <c r="N2445">
        <v>-1.420623E-2</v>
      </c>
      <c r="O2445">
        <v>-0.99174819999999997</v>
      </c>
      <c r="P2445">
        <v>-6.5509890000000001E-2</v>
      </c>
      <c r="Q2445">
        <v>0.1917267</v>
      </c>
      <c r="R2445">
        <v>-0.97925989999999996</v>
      </c>
      <c r="S2445">
        <v>0.39370729999999998</v>
      </c>
      <c r="T2445">
        <v>-4.3534400000000001E-2</v>
      </c>
      <c r="U2445">
        <v>-3.0986630000000002</v>
      </c>
      <c r="V2445">
        <v>-6.1094019999999999E-2</v>
      </c>
      <c r="W2445">
        <v>0.20524539999999999</v>
      </c>
      <c r="X2445">
        <v>0.97680180000000005</v>
      </c>
      <c r="Y2445">
        <v>-0.25137520000000002</v>
      </c>
      <c r="Z2445">
        <v>-7.2606929999999997E-4</v>
      </c>
      <c r="AA2445">
        <v>0.96788949999999996</v>
      </c>
      <c r="AB2445">
        <v>30</v>
      </c>
      <c r="AC2445">
        <v>10.1847999999999</v>
      </c>
      <c r="AD2445">
        <v>-1.1238713790949999</v>
      </c>
      <c r="AE2445">
        <v>-79.833699999999993</v>
      </c>
      <c r="AF2445">
        <v>-20.270658861726702</v>
      </c>
      <c r="AG2445">
        <v>-1.1238713790949999</v>
      </c>
      <c r="AH2445">
        <v>77.869922056123102</v>
      </c>
      <c r="AI2445">
        <v>90.800209524567407</v>
      </c>
      <c r="AJ2445">
        <v>104.591085883888</v>
      </c>
      <c r="AK2445">
        <v>80.472898907594598</v>
      </c>
      <c r="AL2445">
        <v>78.156134554448201</v>
      </c>
      <c r="AM2445">
        <v>93.578899807055706</v>
      </c>
      <c r="AN2445">
        <v>0.99999995499207905</v>
      </c>
    </row>
    <row r="2446" spans="1:40" x14ac:dyDescent="0.25">
      <c r="A2446" t="str">
        <f>"20190303170545226"</f>
        <v>20190303170545226</v>
      </c>
      <c r="B2446" t="str">
        <f>"1551603945217467"</f>
        <v>1551603945217467</v>
      </c>
      <c r="C2446" t="s">
        <v>40</v>
      </c>
      <c r="D2446">
        <v>6.2122120000000001</v>
      </c>
      <c r="E2446">
        <v>0.4282379</v>
      </c>
      <c r="F2446" t="s">
        <v>41</v>
      </c>
      <c r="G2446">
        <v>-481.89710000000002</v>
      </c>
      <c r="H2446" s="1">
        <v>-5.4948180000000004E-6</v>
      </c>
      <c r="I2446">
        <v>179.0909</v>
      </c>
      <c r="J2446">
        <v>-492.26690000000002</v>
      </c>
      <c r="K2446">
        <v>1.123764</v>
      </c>
      <c r="L2446">
        <v>260.09210000000002</v>
      </c>
      <c r="M2446">
        <v>-0.12580730000000001</v>
      </c>
      <c r="N2446">
        <v>-1.418998E-2</v>
      </c>
      <c r="O2446">
        <v>-0.99195330000000004</v>
      </c>
      <c r="P2446">
        <v>-6.4786280000000002E-2</v>
      </c>
      <c r="Q2446">
        <v>0.19168360000000001</v>
      </c>
      <c r="R2446">
        <v>-0.97931639999999998</v>
      </c>
      <c r="S2446">
        <v>0.39501950000000002</v>
      </c>
      <c r="T2446">
        <v>-4.2896990000000003E-2</v>
      </c>
      <c r="U2446">
        <v>-3.0983580000000002</v>
      </c>
      <c r="V2446">
        <v>-6.0181100000000001E-2</v>
      </c>
      <c r="W2446">
        <v>0.2052081</v>
      </c>
      <c r="X2446">
        <v>0.97686640000000002</v>
      </c>
      <c r="Y2446">
        <v>-0.25022450000000002</v>
      </c>
      <c r="Z2446">
        <v>-9.0038929999999905E-4</v>
      </c>
      <c r="AA2446">
        <v>0.96818740000000003</v>
      </c>
      <c r="AB2446">
        <v>30</v>
      </c>
      <c r="AC2446">
        <v>10.3697999999999</v>
      </c>
      <c r="AD2446">
        <v>-1.1237694948179999</v>
      </c>
      <c r="AE2446">
        <v>-81.001199999999997</v>
      </c>
      <c r="AF2446">
        <v>-20.475082249206402</v>
      </c>
      <c r="AG2446">
        <v>-1.1237694948179999</v>
      </c>
      <c r="AH2446">
        <v>79.037795780720799</v>
      </c>
      <c r="AI2446">
        <v>90.7885572139174</v>
      </c>
      <c r="AJ2446">
        <v>104.52345179290501</v>
      </c>
      <c r="AK2446">
        <v>81.654546798474001</v>
      </c>
      <c r="AL2446">
        <v>78.158319263113299</v>
      </c>
      <c r="AM2446">
        <v>93.525324122960598</v>
      </c>
      <c r="AN2446">
        <v>1.00000004627588</v>
      </c>
    </row>
    <row r="2447" spans="1:40" x14ac:dyDescent="0.25">
      <c r="A2447" t="str">
        <f>"20190303170545238"</f>
        <v>20190303170545238</v>
      </c>
      <c r="B2447" t="str">
        <f>"1551603945227228"</f>
        <v>1551603945227228</v>
      </c>
      <c r="C2447" t="s">
        <v>40</v>
      </c>
      <c r="D2447">
        <v>5.9183409999999999</v>
      </c>
      <c r="E2447">
        <v>0.42841590000000002</v>
      </c>
      <c r="F2447" t="s">
        <v>41</v>
      </c>
      <c r="G2447">
        <v>-481.94529999999997</v>
      </c>
      <c r="H2447" s="1">
        <v>-2.1476649999999999E-6</v>
      </c>
      <c r="I2447">
        <v>179.66130000000001</v>
      </c>
      <c r="J2447">
        <v>-492.28730000000002</v>
      </c>
      <c r="K2447">
        <v>1.123661</v>
      </c>
      <c r="L2447">
        <v>259.9178</v>
      </c>
      <c r="M2447">
        <v>-0.1242819</v>
      </c>
      <c r="N2447">
        <v>-1.41745E-2</v>
      </c>
      <c r="O2447">
        <v>-0.99214590000000003</v>
      </c>
      <c r="P2447">
        <v>-6.3743439999999998E-2</v>
      </c>
      <c r="Q2447">
        <v>0.19151360000000001</v>
      </c>
      <c r="R2447">
        <v>-0.97941809999999996</v>
      </c>
      <c r="S2447">
        <v>0.39758300000000002</v>
      </c>
      <c r="T2447">
        <v>-4.32868E-2</v>
      </c>
      <c r="U2447">
        <v>-3.0981450000000001</v>
      </c>
      <c r="V2447">
        <v>-5.9668029999999997E-2</v>
      </c>
      <c r="W2447">
        <v>0.2050419</v>
      </c>
      <c r="X2447">
        <v>0.97693269999999999</v>
      </c>
      <c r="Y2447">
        <v>-0.24953230000000001</v>
      </c>
      <c r="Z2447">
        <v>-7.568392E-4</v>
      </c>
      <c r="AA2447">
        <v>0.96836610000000001</v>
      </c>
      <c r="AB2447">
        <v>30</v>
      </c>
      <c r="AC2447">
        <v>10.342000000000001</v>
      </c>
      <c r="AD2447">
        <v>-1.1236631476649901</v>
      </c>
      <c r="AE2447">
        <v>-80.256499999999903</v>
      </c>
      <c r="AF2447">
        <v>-20.233330859524798</v>
      </c>
      <c r="AG2447">
        <v>-1.1236631476649901</v>
      </c>
      <c r="AH2447">
        <v>78.333585204810504</v>
      </c>
      <c r="AI2447">
        <v>90.795716136250405</v>
      </c>
      <c r="AJ2447">
        <v>104.48278258255</v>
      </c>
      <c r="AK2447">
        <v>80.912303561199707</v>
      </c>
      <c r="AL2447">
        <v>78.168047884102606</v>
      </c>
      <c r="AM2447">
        <v>93.495107412160607</v>
      </c>
      <c r="AN2447">
        <v>0.99999997744448998</v>
      </c>
    </row>
    <row r="2448" spans="1:40" x14ac:dyDescent="0.25">
      <c r="A2448" t="str">
        <f>"20190303170545257"</f>
        <v>20190303170545257</v>
      </c>
      <c r="B2448" t="str">
        <f>"1551603945246747"</f>
        <v>1551603945246747</v>
      </c>
      <c r="C2448" t="s">
        <v>40</v>
      </c>
      <c r="D2448">
        <v>5.9458149999999996</v>
      </c>
      <c r="E2448">
        <v>0.42888670000000001</v>
      </c>
      <c r="F2448" t="s">
        <v>41</v>
      </c>
      <c r="G2448">
        <v>-482.12299999999999</v>
      </c>
      <c r="H2448" s="1">
        <v>-2.6340589999999998E-6</v>
      </c>
      <c r="I2448">
        <v>181.2295</v>
      </c>
      <c r="J2448">
        <v>-492.31420000000003</v>
      </c>
      <c r="K2448">
        <v>1.123518</v>
      </c>
      <c r="L2448">
        <v>259.68529999999998</v>
      </c>
      <c r="M2448">
        <v>-0.1223487</v>
      </c>
      <c r="N2448">
        <v>-1.4154669999999999E-2</v>
      </c>
      <c r="O2448">
        <v>-0.99238649999999995</v>
      </c>
      <c r="P2448">
        <v>-6.2281429999999999E-2</v>
      </c>
      <c r="Q2448">
        <v>0.19041640000000001</v>
      </c>
      <c r="R2448">
        <v>-0.97972610000000004</v>
      </c>
      <c r="S2448">
        <v>0.40014650000000002</v>
      </c>
      <c r="T2448">
        <v>-4.4236060000000001E-2</v>
      </c>
      <c r="U2448">
        <v>-3.0977779999999999</v>
      </c>
      <c r="V2448">
        <v>-5.9170309999999997E-2</v>
      </c>
      <c r="W2448">
        <v>0.20395160000000001</v>
      </c>
      <c r="X2448">
        <v>0.97719120000000004</v>
      </c>
      <c r="Y2448">
        <v>-0.248448</v>
      </c>
      <c r="Z2448">
        <v>-4.3107729999999997E-4</v>
      </c>
      <c r="AA2448">
        <v>0.96864519999999998</v>
      </c>
      <c r="AB2448">
        <v>30</v>
      </c>
      <c r="AC2448">
        <v>10.191199999999901</v>
      </c>
      <c r="AD2448">
        <v>-1.123520634059</v>
      </c>
      <c r="AE2448">
        <v>-78.455799999999897</v>
      </c>
      <c r="AF2448">
        <v>-19.710569249911</v>
      </c>
      <c r="AG2448">
        <v>-1.123520634059</v>
      </c>
      <c r="AH2448">
        <v>76.603803673178504</v>
      </c>
      <c r="AI2448">
        <v>90.813773560755294</v>
      </c>
      <c r="AJ2448">
        <v>104.429506026128</v>
      </c>
      <c r="AK2448">
        <v>79.106962879190206</v>
      </c>
      <c r="AL2448">
        <v>78.231866534228402</v>
      </c>
      <c r="AM2448">
        <v>93.4651097509511</v>
      </c>
      <c r="AN2448">
        <v>1.0000000110427401</v>
      </c>
    </row>
    <row r="2449" spans="1:40" x14ac:dyDescent="0.25">
      <c r="A2449" t="str">
        <f>"20190303170545272"</f>
        <v>20190303170545272</v>
      </c>
      <c r="B2449" t="str">
        <f>"1551603945267243"</f>
        <v>1551603945267243</v>
      </c>
      <c r="C2449" t="s">
        <v>40</v>
      </c>
      <c r="D2449">
        <v>5.9624360000000003</v>
      </c>
      <c r="E2449">
        <v>0.42936800000000003</v>
      </c>
      <c r="F2449" t="s">
        <v>41</v>
      </c>
      <c r="G2449">
        <v>-483.19900000000001</v>
      </c>
      <c r="H2449" s="1">
        <v>-5.4390979999999997E-6</v>
      </c>
      <c r="I2449">
        <v>189.49930000000001</v>
      </c>
      <c r="J2449">
        <v>-492.3356</v>
      </c>
      <c r="K2449">
        <v>1.123391</v>
      </c>
      <c r="L2449">
        <v>259.49810000000002</v>
      </c>
      <c r="M2449">
        <v>-0.1208814</v>
      </c>
      <c r="N2449">
        <v>-1.413941E-2</v>
      </c>
      <c r="O2449">
        <v>-0.99256619999999995</v>
      </c>
      <c r="P2449">
        <v>-6.0586550000000003E-2</v>
      </c>
      <c r="Q2449">
        <v>0.18919250000000001</v>
      </c>
      <c r="R2449">
        <v>-0.98006919999999997</v>
      </c>
      <c r="S2449">
        <v>0.4022522</v>
      </c>
      <c r="T2449">
        <v>-4.9580810000000003E-2</v>
      </c>
      <c r="U2449">
        <v>-3.0972900000000001</v>
      </c>
      <c r="V2449">
        <v>-5.937949E-2</v>
      </c>
      <c r="W2449">
        <v>0.2027321</v>
      </c>
      <c r="X2449">
        <v>0.97743230000000003</v>
      </c>
      <c r="Y2449">
        <v>-0.24768009999999999</v>
      </c>
      <c r="Z2449">
        <v>1.2641880000000001E-3</v>
      </c>
      <c r="AA2449">
        <v>0.96884099999999995</v>
      </c>
      <c r="AB2449">
        <v>30</v>
      </c>
      <c r="AC2449">
        <v>9.1365999999999801</v>
      </c>
      <c r="AD2449">
        <v>-1.123396439098</v>
      </c>
      <c r="AE2449">
        <v>-69.998800000000003</v>
      </c>
      <c r="AF2449">
        <v>-17.527547958355999</v>
      </c>
      <c r="AG2449">
        <v>-1.123396439098</v>
      </c>
      <c r="AH2449">
        <v>68.363524213880098</v>
      </c>
      <c r="AI2449">
        <v>90.911947928801496</v>
      </c>
      <c r="AJ2449">
        <v>104.38016715737901</v>
      </c>
      <c r="AK2449">
        <v>70.583626996164099</v>
      </c>
      <c r="AL2449">
        <v>78.303230310153495</v>
      </c>
      <c r="AM2449">
        <v>93.476474029183194</v>
      </c>
      <c r="AN2449">
        <v>1.0000000646431699</v>
      </c>
    </row>
    <row r="2450" spans="1:40" x14ac:dyDescent="0.25">
      <c r="A2450" t="str">
        <f>"20190303170545286"</f>
        <v>20190303170545286</v>
      </c>
      <c r="B2450" t="str">
        <f>"1551603945277002"</f>
        <v>1551603945277002</v>
      </c>
      <c r="C2450" t="s">
        <v>40</v>
      </c>
      <c r="D2450">
        <v>5.9618010000000004</v>
      </c>
      <c r="E2450">
        <v>0.42957879999999998</v>
      </c>
      <c r="F2450" t="s">
        <v>41</v>
      </c>
      <c r="G2450">
        <v>-484.21710000000002</v>
      </c>
      <c r="H2450" s="1">
        <v>-4.2985340000000001E-6</v>
      </c>
      <c r="I2450">
        <v>197.26159999999999</v>
      </c>
      <c r="J2450">
        <v>-492.35809999999998</v>
      </c>
      <c r="K2450">
        <v>1.1232549999999999</v>
      </c>
      <c r="L2450">
        <v>259.29989999999998</v>
      </c>
      <c r="M2450">
        <v>-0.1194099</v>
      </c>
      <c r="N2450">
        <v>-1.412391E-2</v>
      </c>
      <c r="O2450">
        <v>-0.99274470000000004</v>
      </c>
      <c r="P2450">
        <v>-5.8721040000000002E-2</v>
      </c>
      <c r="Q2450">
        <v>0.18770690000000001</v>
      </c>
      <c r="R2450">
        <v>-0.98046880000000003</v>
      </c>
      <c r="S2450">
        <v>0.40396120000000002</v>
      </c>
      <c r="T2450">
        <v>-5.5898070000000001E-2</v>
      </c>
      <c r="U2450">
        <v>-3.0967709999999999</v>
      </c>
      <c r="V2450">
        <v>-5.9752800000000002E-2</v>
      </c>
      <c r="W2450">
        <v>0.20125219999999999</v>
      </c>
      <c r="X2450">
        <v>0.97771529999999995</v>
      </c>
      <c r="Y2450">
        <v>-0.24678639999999999</v>
      </c>
      <c r="Z2450">
        <v>3.2663280000000002E-3</v>
      </c>
      <c r="AA2450">
        <v>0.96906440000000005</v>
      </c>
      <c r="AB2450">
        <v>30</v>
      </c>
      <c r="AC2450">
        <v>8.1409999999999592</v>
      </c>
      <c r="AD2450">
        <v>-1.123259298534</v>
      </c>
      <c r="AE2450">
        <v>-62.0382999999999</v>
      </c>
      <c r="AF2450">
        <v>-15.486474221915101</v>
      </c>
      <c r="AG2450">
        <v>-1.123259298534</v>
      </c>
      <c r="AH2450">
        <v>60.602586252461798</v>
      </c>
      <c r="AI2450">
        <v>91.028794327408903</v>
      </c>
      <c r="AJ2450">
        <v>104.334678067334</v>
      </c>
      <c r="AK2450">
        <v>62.560099550471101</v>
      </c>
      <c r="AL2450">
        <v>78.389806480099494</v>
      </c>
      <c r="AM2450">
        <v>93.497265930889697</v>
      </c>
      <c r="AN2450">
        <v>1.0000000264833799</v>
      </c>
    </row>
    <row r="2451" spans="1:40" x14ac:dyDescent="0.25">
      <c r="A2451" t="str">
        <f>"20190303170545301"</f>
        <v>20190303170545301</v>
      </c>
      <c r="B2451" t="str">
        <f>"1551603945286763"</f>
        <v>1551603945286763</v>
      </c>
      <c r="C2451" t="s">
        <v>40</v>
      </c>
      <c r="D2451">
        <v>5.9612819999999997</v>
      </c>
      <c r="E2451">
        <v>0.42981940000000002</v>
      </c>
      <c r="F2451" t="s">
        <v>52</v>
      </c>
      <c r="G2451">
        <v>-484.99599999999998</v>
      </c>
      <c r="H2451" s="1">
        <v>7.3399419999999895E-7</v>
      </c>
      <c r="I2451">
        <v>203.40620000000001</v>
      </c>
      <c r="J2451">
        <v>-492.38060000000002</v>
      </c>
      <c r="K2451">
        <v>1.1231089999999999</v>
      </c>
      <c r="L2451">
        <v>259.10059999999999</v>
      </c>
      <c r="M2451">
        <v>-0.1180358</v>
      </c>
      <c r="N2451">
        <v>-1.410905E-2</v>
      </c>
      <c r="O2451">
        <v>-0.99290909999999999</v>
      </c>
      <c r="P2451">
        <v>-5.7239720000000001E-2</v>
      </c>
      <c r="Q2451">
        <v>0.1863273</v>
      </c>
      <c r="R2451">
        <v>-0.9808192</v>
      </c>
      <c r="S2451">
        <v>0.40780640000000001</v>
      </c>
      <c r="T2451">
        <v>-6.22201E-2</v>
      </c>
      <c r="U2451">
        <v>-3.0960999999999999</v>
      </c>
      <c r="V2451">
        <v>-5.9832860000000002E-2</v>
      </c>
      <c r="W2451">
        <v>0.199882</v>
      </c>
      <c r="X2451">
        <v>0.97799139999999996</v>
      </c>
      <c r="Y2451">
        <v>-0.2466507</v>
      </c>
      <c r="Z2451">
        <v>5.2682800000000002E-3</v>
      </c>
      <c r="AA2451">
        <v>0.96909009999999995</v>
      </c>
      <c r="AB2451">
        <v>30</v>
      </c>
      <c r="AC2451">
        <v>7.38460000000003</v>
      </c>
      <c r="AD2451">
        <v>-1.1231082660057901</v>
      </c>
      <c r="AE2451">
        <v>-55.694399999999902</v>
      </c>
      <c r="AF2451">
        <v>-13.9019983797448</v>
      </c>
      <c r="AG2451">
        <v>-1.1231082660057901</v>
      </c>
      <c r="AH2451">
        <v>54.411503532186501</v>
      </c>
      <c r="AI2451">
        <v>91.145681692671204</v>
      </c>
      <c r="AJ2451">
        <v>104.332308269244</v>
      </c>
      <c r="AK2451">
        <v>56.170620859669597</v>
      </c>
      <c r="AL2451">
        <v>78.469940985964101</v>
      </c>
      <c r="AM2451">
        <v>93.500953916554593</v>
      </c>
      <c r="AN2451">
        <v>0.99999998176686899</v>
      </c>
    </row>
    <row r="2452" spans="1:40" x14ac:dyDescent="0.25">
      <c r="A2452" t="str">
        <f>"20190303170545315"</f>
        <v>20190303170545315</v>
      </c>
      <c r="B2452" t="str">
        <f>"1551603945307259"</f>
        <v>1551603945307259</v>
      </c>
      <c r="C2452" t="s">
        <v>40</v>
      </c>
      <c r="D2452">
        <v>6.0139399999999998</v>
      </c>
      <c r="E2452">
        <v>0.43006270000000002</v>
      </c>
      <c r="F2452" t="s">
        <v>52</v>
      </c>
      <c r="G2452">
        <v>-485.60919999999999</v>
      </c>
      <c r="H2452" s="1">
        <v>1.8104610000000001E-6</v>
      </c>
      <c r="I2452">
        <v>207.95050000000001</v>
      </c>
      <c r="J2452">
        <v>-492.40030000000002</v>
      </c>
      <c r="K2452">
        <v>1.1229849999999999</v>
      </c>
      <c r="L2452">
        <v>258.92320000000001</v>
      </c>
      <c r="M2452">
        <v>-0.1169203</v>
      </c>
      <c r="N2452">
        <v>-1.409678E-2</v>
      </c>
      <c r="O2452">
        <v>-0.99304130000000002</v>
      </c>
      <c r="P2452">
        <v>-5.6546449999999998E-2</v>
      </c>
      <c r="Q2452">
        <v>0.1866796</v>
      </c>
      <c r="R2452">
        <v>-0.98079229999999995</v>
      </c>
      <c r="S2452">
        <v>0.40978999999999999</v>
      </c>
      <c r="T2452">
        <v>-6.7968609999999999E-2</v>
      </c>
      <c r="U2452">
        <v>-3.09552</v>
      </c>
      <c r="V2452">
        <v>-5.9355999999999902E-2</v>
      </c>
      <c r="W2452">
        <v>0.2002418</v>
      </c>
      <c r="X2452">
        <v>0.97794689999999995</v>
      </c>
      <c r="Y2452">
        <v>-0.2461912</v>
      </c>
      <c r="Z2452">
        <v>7.0897340000000003E-3</v>
      </c>
      <c r="AA2452">
        <v>0.96919540000000004</v>
      </c>
      <c r="AB2452">
        <v>30</v>
      </c>
      <c r="AC2452">
        <v>6.7911000000000197</v>
      </c>
      <c r="AD2452">
        <v>-1.1229831895389999</v>
      </c>
      <c r="AE2452">
        <v>-50.972700000000003</v>
      </c>
      <c r="AF2452">
        <v>-12.6987918377189</v>
      </c>
      <c r="AG2452">
        <v>-1.1229831895389999</v>
      </c>
      <c r="AH2452">
        <v>49.805175343352701</v>
      </c>
      <c r="AI2452">
        <v>91.251628986324505</v>
      </c>
      <c r="AJ2452">
        <v>104.30390148420599</v>
      </c>
      <c r="AK2452">
        <v>51.410853877015199</v>
      </c>
      <c r="AL2452">
        <v>78.448901116326894</v>
      </c>
      <c r="AM2452">
        <v>93.473278001374197</v>
      </c>
      <c r="AN2452">
        <v>1.0000000262114199</v>
      </c>
    </row>
    <row r="2453" spans="1:40" x14ac:dyDescent="0.25">
      <c r="A2453" t="str">
        <f>"20190303170545327"</f>
        <v>20190303170545327</v>
      </c>
      <c r="B2453" t="str">
        <f>"1551603945316835"</f>
        <v>1551603945316835</v>
      </c>
      <c r="C2453" t="s">
        <v>40</v>
      </c>
      <c r="D2453">
        <v>5.9772350000000003</v>
      </c>
      <c r="E2453">
        <v>0.43025419999999998</v>
      </c>
      <c r="F2453" t="s">
        <v>52</v>
      </c>
      <c r="G2453">
        <v>-485.77370000000002</v>
      </c>
      <c r="H2453" s="1">
        <v>2.1389470000000002E-6</v>
      </c>
      <c r="I2453">
        <v>208.91669999999999</v>
      </c>
      <c r="J2453">
        <v>-492.41800000000001</v>
      </c>
      <c r="K2453">
        <v>1.1228739999999999</v>
      </c>
      <c r="L2453">
        <v>258.76459999999997</v>
      </c>
      <c r="M2453">
        <v>-0.1159825</v>
      </c>
      <c r="N2453">
        <v>-1.408526E-2</v>
      </c>
      <c r="O2453">
        <v>-0.99315140000000002</v>
      </c>
      <c r="P2453">
        <v>-5.6500149999999999E-2</v>
      </c>
      <c r="Q2453">
        <v>0.1871582</v>
      </c>
      <c r="R2453">
        <v>-0.98070380000000001</v>
      </c>
      <c r="S2453">
        <v>0.41021730000000001</v>
      </c>
      <c r="T2453">
        <v>-6.9517969999999998E-2</v>
      </c>
      <c r="U2453">
        <v>-3.0956419999999998</v>
      </c>
      <c r="V2453">
        <v>-5.8410860000000002E-2</v>
      </c>
      <c r="W2453">
        <v>0.2007285</v>
      </c>
      <c r="X2453">
        <v>0.977904</v>
      </c>
      <c r="Y2453">
        <v>-0.24540129999999999</v>
      </c>
      <c r="Z2453">
        <v>7.5923029999999999E-3</v>
      </c>
      <c r="AA2453">
        <v>0.96939180000000003</v>
      </c>
      <c r="AB2453">
        <v>30</v>
      </c>
      <c r="AC2453">
        <v>6.6442999999999799</v>
      </c>
      <c r="AD2453">
        <v>-1.122871861053</v>
      </c>
      <c r="AE2453">
        <v>-49.847899999999903</v>
      </c>
      <c r="AF2453">
        <v>-12.3753380819808</v>
      </c>
      <c r="AG2453">
        <v>-1.122871861053</v>
      </c>
      <c r="AH2453">
        <v>48.716435280002003</v>
      </c>
      <c r="AI2453">
        <v>91.279752837429498</v>
      </c>
      <c r="AJ2453">
        <v>104.25324783428</v>
      </c>
      <c r="AK2453">
        <v>50.2762458846153</v>
      </c>
      <c r="AL2453">
        <v>78.420437001960707</v>
      </c>
      <c r="AM2453">
        <v>93.418253931825703</v>
      </c>
      <c r="AN2453">
        <v>0.99999999624709401</v>
      </c>
    </row>
    <row r="2454" spans="1:40" x14ac:dyDescent="0.25">
      <c r="A2454" t="str">
        <f>"20190303170545347"</f>
        <v>20190303170545347</v>
      </c>
      <c r="B2454" t="str">
        <f>"1551603945337303"</f>
        <v>1551603945337303</v>
      </c>
      <c r="C2454" t="s">
        <v>40</v>
      </c>
      <c r="D2454">
        <v>6.0259210000000003</v>
      </c>
      <c r="E2454">
        <v>0.43073080000000002</v>
      </c>
      <c r="F2454" t="s">
        <v>52</v>
      </c>
      <c r="G2454">
        <v>-485.68639999999999</v>
      </c>
      <c r="H2454" s="1">
        <v>1.8006569999999901E-6</v>
      </c>
      <c r="I2454">
        <v>207.87469999999999</v>
      </c>
      <c r="J2454">
        <v>-492.44589999999999</v>
      </c>
      <c r="K2454">
        <v>1.1226940000000001</v>
      </c>
      <c r="L2454">
        <v>258.512</v>
      </c>
      <c r="M2454">
        <v>-0.1146726</v>
      </c>
      <c r="N2454">
        <v>-1.406407E-2</v>
      </c>
      <c r="O2454">
        <v>-0.99330379999999996</v>
      </c>
      <c r="P2454">
        <v>-5.589206E-2</v>
      </c>
      <c r="Q2454">
        <v>0.18771640000000001</v>
      </c>
      <c r="R2454">
        <v>-0.98063199999999995</v>
      </c>
      <c r="S2454">
        <v>0.40948489999999999</v>
      </c>
      <c r="T2454">
        <v>-6.8304779999999995E-2</v>
      </c>
      <c r="U2454">
        <v>-3.0956570000000001</v>
      </c>
      <c r="V2454">
        <v>-5.7620629999999999E-2</v>
      </c>
      <c r="W2454">
        <v>0.2012951</v>
      </c>
      <c r="X2454">
        <v>0.97783439999999999</v>
      </c>
      <c r="Y2454">
        <v>-0.243898</v>
      </c>
      <c r="Z2454">
        <v>7.2444299999999996E-3</v>
      </c>
      <c r="AA2454">
        <v>0.96977380000000002</v>
      </c>
      <c r="AB2454">
        <v>30</v>
      </c>
      <c r="AC2454">
        <v>6.7595000000000001</v>
      </c>
      <c r="AD2454">
        <v>-1.1226921993429999</v>
      </c>
      <c r="AE2454">
        <v>-50.637300000000003</v>
      </c>
      <c r="AF2454">
        <v>-12.5161413370872</v>
      </c>
      <c r="AG2454">
        <v>-1.1226921993429999</v>
      </c>
      <c r="AH2454">
        <v>49.504082125242398</v>
      </c>
      <c r="AI2454">
        <v>91.259555201008098</v>
      </c>
      <c r="AJ2454">
        <v>104.18877693381</v>
      </c>
      <c r="AK2454">
        <v>51.074145894054404</v>
      </c>
      <c r="AL2454">
        <v>78.387296638089396</v>
      </c>
      <c r="AM2454">
        <v>93.3723559014866</v>
      </c>
      <c r="AN2454">
        <v>0.99999998405448298</v>
      </c>
    </row>
    <row r="2455" spans="1:40" x14ac:dyDescent="0.25">
      <c r="A2455" t="str">
        <f>"20190303170545369"</f>
        <v>20190303170545369</v>
      </c>
      <c r="B2455" t="str">
        <f>"1551603945356824"</f>
        <v>1551603945356824</v>
      </c>
      <c r="C2455" t="s">
        <v>40</v>
      </c>
      <c r="D2455">
        <v>5.9733390000000002</v>
      </c>
      <c r="E2455">
        <v>0.43112830000000002</v>
      </c>
      <c r="F2455" t="s">
        <v>52</v>
      </c>
      <c r="G2455">
        <v>-485.69650000000001</v>
      </c>
      <c r="H2455" s="1">
        <v>1.6101470000000001E-6</v>
      </c>
      <c r="I2455">
        <v>207.25389999999999</v>
      </c>
      <c r="J2455">
        <v>-492.47859999999997</v>
      </c>
      <c r="K2455">
        <v>1.1224700000000001</v>
      </c>
      <c r="L2455">
        <v>258.21559999999999</v>
      </c>
      <c r="M2455">
        <v>-0.1134135</v>
      </c>
      <c r="N2455">
        <v>-1.403716E-2</v>
      </c>
      <c r="O2455">
        <v>-0.99344869999999996</v>
      </c>
      <c r="P2455">
        <v>-5.3761990000000003E-2</v>
      </c>
      <c r="Q2455">
        <v>0.18661549999999999</v>
      </c>
      <c r="R2455">
        <v>-0.98096110000000003</v>
      </c>
      <c r="S2455">
        <v>0.40759279999999998</v>
      </c>
      <c r="T2455">
        <v>-6.779897E-2</v>
      </c>
      <c r="U2455">
        <v>-3.095459</v>
      </c>
      <c r="V2455">
        <v>-5.8414519999999998E-2</v>
      </c>
      <c r="W2455">
        <v>0.20019970000000001</v>
      </c>
      <c r="X2455">
        <v>0.9780122</v>
      </c>
      <c r="Y2455">
        <v>-0.2420949</v>
      </c>
      <c r="Z2455">
        <v>7.1265460000000001E-3</v>
      </c>
      <c r="AA2455">
        <v>0.97022640000000004</v>
      </c>
      <c r="AB2455">
        <v>30</v>
      </c>
      <c r="AC2455">
        <v>6.7820999999999501</v>
      </c>
      <c r="AD2455">
        <v>-1.1224683898529999</v>
      </c>
      <c r="AE2455">
        <v>-50.9617</v>
      </c>
      <c r="AF2455">
        <v>-12.5126820349382</v>
      </c>
      <c r="AG2455">
        <v>-1.1224683898529999</v>
      </c>
      <c r="AH2455">
        <v>49.839808042076797</v>
      </c>
      <c r="AI2455">
        <v>91.251349278810807</v>
      </c>
      <c r="AJ2455">
        <v>104.093281832188</v>
      </c>
      <c r="AK2455">
        <v>51.398770536509403</v>
      </c>
      <c r="AL2455">
        <v>78.451363045826398</v>
      </c>
      <c r="AM2455">
        <v>93.418090313143907</v>
      </c>
      <c r="AN2455">
        <v>1.00000001968788</v>
      </c>
    </row>
    <row r="2456" spans="1:40" x14ac:dyDescent="0.25">
      <c r="A2456" t="str">
        <f>"20190303170545388"</f>
        <v>20190303170545388</v>
      </c>
      <c r="B2456" t="str">
        <f>"1551603945377320"</f>
        <v>1551603945377320</v>
      </c>
      <c r="C2456" t="s">
        <v>40</v>
      </c>
      <c r="D2456">
        <v>5.9876659999999999</v>
      </c>
      <c r="E2456">
        <v>0.43149799999999999</v>
      </c>
      <c r="F2456" t="s">
        <v>52</v>
      </c>
      <c r="G2456">
        <v>-486.22340000000003</v>
      </c>
      <c r="H2456" s="1">
        <v>2.4955589999999998E-6</v>
      </c>
      <c r="I2456">
        <v>210.99119999999999</v>
      </c>
      <c r="J2456">
        <v>-492.5059</v>
      </c>
      <c r="K2456">
        <v>1.1222780000000001</v>
      </c>
      <c r="L2456">
        <v>257.96690000000001</v>
      </c>
      <c r="M2456">
        <v>-0.11256289999999999</v>
      </c>
      <c r="N2456">
        <v>-1.4015359999999999E-2</v>
      </c>
      <c r="O2456">
        <v>-0.99354569999999998</v>
      </c>
      <c r="P2456">
        <v>-5.1723449999999997E-2</v>
      </c>
      <c r="Q2456">
        <v>0.18574360000000001</v>
      </c>
      <c r="R2456">
        <v>-0.98123590000000005</v>
      </c>
      <c r="S2456">
        <v>0.4099121</v>
      </c>
      <c r="T2456">
        <v>-7.3557849999999994E-2</v>
      </c>
      <c r="U2456">
        <v>-3.0947269999999998</v>
      </c>
      <c r="V2456">
        <v>-5.9536529999999997E-2</v>
      </c>
      <c r="W2456">
        <v>0.1993325</v>
      </c>
      <c r="X2456">
        <v>0.97812160000000004</v>
      </c>
      <c r="Y2456">
        <v>-0.24200350000000001</v>
      </c>
      <c r="Z2456">
        <v>8.9626069999999992E-3</v>
      </c>
      <c r="AA2456">
        <v>0.97023400000000004</v>
      </c>
      <c r="AB2456">
        <v>29</v>
      </c>
      <c r="AC2456">
        <v>6.2824999999999704</v>
      </c>
      <c r="AD2456">
        <v>-1.122275504441</v>
      </c>
      <c r="AE2456">
        <v>-46.975700000000003</v>
      </c>
      <c r="AF2456">
        <v>-11.524343007800001</v>
      </c>
      <c r="AG2456">
        <v>-1.122275504441</v>
      </c>
      <c r="AH2456">
        <v>45.944083705078597</v>
      </c>
      <c r="AI2456">
        <v>91.357254991072494</v>
      </c>
      <c r="AJ2456">
        <v>104.081213984309</v>
      </c>
      <c r="AK2456">
        <v>47.380679728857501</v>
      </c>
      <c r="AL2456">
        <v>78.502071293541704</v>
      </c>
      <c r="AM2456">
        <v>93.483195218913707</v>
      </c>
      <c r="AN2456">
        <v>0.99999995417362397</v>
      </c>
    </row>
    <row r="2457" spans="1:40" x14ac:dyDescent="0.25">
      <c r="A2457" t="str">
        <f>"20190303170545414"</f>
        <v>20190303170545414</v>
      </c>
      <c r="B2457" t="str">
        <f>"1551603945407576"</f>
        <v>1551603945407576</v>
      </c>
      <c r="C2457" t="s">
        <v>40</v>
      </c>
      <c r="D2457">
        <v>6.0037269999999996</v>
      </c>
      <c r="E2457">
        <v>0.43200430000000001</v>
      </c>
      <c r="F2457" t="s">
        <v>52</v>
      </c>
      <c r="G2457">
        <v>-486.62849999999997</v>
      </c>
      <c r="H2457" s="1">
        <v>2.692873E-6</v>
      </c>
      <c r="I2457">
        <v>213.8614</v>
      </c>
      <c r="J2457">
        <v>-492.54230000000001</v>
      </c>
      <c r="K2457">
        <v>1.12202</v>
      </c>
      <c r="L2457">
        <v>257.63529999999997</v>
      </c>
      <c r="M2457">
        <v>-0.11177089999999899</v>
      </c>
      <c r="N2457">
        <v>-1.3986180000000001E-2</v>
      </c>
      <c r="O2457">
        <v>-0.99363579999999996</v>
      </c>
      <c r="P2457">
        <v>-4.9877110000000002E-2</v>
      </c>
      <c r="Q2457">
        <v>0.18561259999999999</v>
      </c>
      <c r="R2457">
        <v>-0.98135669999999997</v>
      </c>
      <c r="S2457">
        <v>0.41229250000000001</v>
      </c>
      <c r="T2457">
        <v>-7.8727130000000006E-2</v>
      </c>
      <c r="U2457">
        <v>-3.093979</v>
      </c>
      <c r="V2457">
        <v>-6.0477879999999998E-2</v>
      </c>
      <c r="W2457">
        <v>0.19920779999999999</v>
      </c>
      <c r="X2457">
        <v>0.97808930000000005</v>
      </c>
      <c r="Y2457">
        <v>-0.24198919999999999</v>
      </c>
      <c r="Z2457">
        <v>1.062168E-2</v>
      </c>
      <c r="AA2457">
        <v>0.97022079999999999</v>
      </c>
      <c r="AB2457">
        <v>29</v>
      </c>
      <c r="AC2457">
        <v>5.9138000000000304</v>
      </c>
      <c r="AD2457">
        <v>-1.1220173071269901</v>
      </c>
      <c r="AE2457">
        <v>-43.773899999999898</v>
      </c>
      <c r="AF2457">
        <v>-10.762918042776001</v>
      </c>
      <c r="AG2457">
        <v>-1.1220173071269901</v>
      </c>
      <c r="AH2457">
        <v>42.810881046331502</v>
      </c>
      <c r="AI2457">
        <v>91.456015532054593</v>
      </c>
      <c r="AJ2457">
        <v>104.11204467021101</v>
      </c>
      <c r="AK2457">
        <v>44.1573421255871</v>
      </c>
      <c r="AL2457">
        <v>78.509362837362403</v>
      </c>
      <c r="AM2457">
        <v>93.538246794047396</v>
      </c>
      <c r="AN2457">
        <v>1.0000000001623099</v>
      </c>
    </row>
    <row r="2458" spans="1:40" x14ac:dyDescent="0.25">
      <c r="A2458" t="str">
        <f>"20190303170545426"</f>
        <v>20190303170545426</v>
      </c>
      <c r="B2458" t="str">
        <f>"1551603945417336"</f>
        <v>1551603945417336</v>
      </c>
      <c r="C2458" t="s">
        <v>40</v>
      </c>
      <c r="D2458">
        <v>6.0030169999999998</v>
      </c>
      <c r="E2458">
        <v>0.43219249999999998</v>
      </c>
      <c r="F2458" t="s">
        <v>52</v>
      </c>
      <c r="G2458">
        <v>-486.83539999999999</v>
      </c>
      <c r="H2458" s="1">
        <v>2.7750710000000002E-6</v>
      </c>
      <c r="I2458">
        <v>214.9025</v>
      </c>
      <c r="J2458">
        <v>-492.56049999999999</v>
      </c>
      <c r="K2458">
        <v>1.1218900000000001</v>
      </c>
      <c r="L2458">
        <v>257.47019999999998</v>
      </c>
      <c r="M2458">
        <v>-0.1115076</v>
      </c>
      <c r="N2458">
        <v>-1.3970170000000001E-2</v>
      </c>
      <c r="O2458">
        <v>-0.99366549999999998</v>
      </c>
      <c r="P2458">
        <v>-4.9438370000000002E-2</v>
      </c>
      <c r="Q2458">
        <v>0.1859082</v>
      </c>
      <c r="R2458">
        <v>-0.98132280000000005</v>
      </c>
      <c r="S2458">
        <v>0.4131165</v>
      </c>
      <c r="T2458">
        <v>-8.1220870000000001E-2</v>
      </c>
      <c r="U2458">
        <v>-3.093353</v>
      </c>
      <c r="V2458">
        <v>-6.0586069999999999E-2</v>
      </c>
      <c r="W2458">
        <v>0.19950590000000001</v>
      </c>
      <c r="X2458">
        <v>0.9780219</v>
      </c>
      <c r="Y2458">
        <v>-0.24200930000000001</v>
      </c>
      <c r="Z2458">
        <v>1.142599E-2</v>
      </c>
      <c r="AA2458">
        <v>0.97020669999999998</v>
      </c>
      <c r="AB2458">
        <v>29</v>
      </c>
      <c r="AC2458">
        <v>5.7250999999999896</v>
      </c>
      <c r="AD2458">
        <v>-1.1218872249289999</v>
      </c>
      <c r="AE2458">
        <v>-42.567699999999903</v>
      </c>
      <c r="AF2458">
        <v>-10.4293580797546</v>
      </c>
      <c r="AG2458">
        <v>-1.1218872249289999</v>
      </c>
      <c r="AH2458">
        <v>41.635317403227802</v>
      </c>
      <c r="AI2458">
        <v>91.497256421473693</v>
      </c>
      <c r="AJ2458">
        <v>104.06282888401201</v>
      </c>
      <c r="AK2458">
        <v>42.936345864182798</v>
      </c>
      <c r="AL2458">
        <v>78.491933754120893</v>
      </c>
      <c r="AM2458">
        <v>93.544803955368593</v>
      </c>
      <c r="AN2458">
        <v>1.0000000564462299</v>
      </c>
    </row>
    <row r="2459" spans="1:40" x14ac:dyDescent="0.25">
      <c r="A2459" t="str">
        <f>"20190303170545437"</f>
        <v>20190303170545437</v>
      </c>
      <c r="B2459" t="str">
        <f>"1551603945427096"</f>
        <v>1551603945427096</v>
      </c>
      <c r="C2459" t="s">
        <v>40</v>
      </c>
      <c r="D2459">
        <v>6.2832980000000003</v>
      </c>
      <c r="E2459">
        <v>0.43227480000000001</v>
      </c>
      <c r="F2459" t="s">
        <v>52</v>
      </c>
      <c r="G2459">
        <v>-486.83420000000001</v>
      </c>
      <c r="H2459" s="1">
        <v>2.7628929999999999E-6</v>
      </c>
      <c r="I2459">
        <v>214.62860000000001</v>
      </c>
      <c r="J2459">
        <v>-492.57729999999998</v>
      </c>
      <c r="K2459">
        <v>1.1217760000000001</v>
      </c>
      <c r="L2459">
        <v>257.31799999999998</v>
      </c>
      <c r="M2459">
        <v>-0.1113716</v>
      </c>
      <c r="N2459">
        <v>-1.3954630000000001E-2</v>
      </c>
      <c r="O2459">
        <v>-0.99368109999999998</v>
      </c>
      <c r="P2459">
        <v>-4.9055389999999997E-2</v>
      </c>
      <c r="Q2459">
        <v>0.18642710000000001</v>
      </c>
      <c r="R2459">
        <v>-0.98124370000000005</v>
      </c>
      <c r="S2459">
        <v>0.41345209999999999</v>
      </c>
      <c r="T2459">
        <v>-8.1003069999999996E-2</v>
      </c>
      <c r="U2459">
        <v>-3.0932770000000001</v>
      </c>
      <c r="V2459">
        <v>-6.0763690000000002E-2</v>
      </c>
      <c r="W2459">
        <v>0.20002590000000001</v>
      </c>
      <c r="X2459">
        <v>0.97790460000000001</v>
      </c>
      <c r="Y2459">
        <v>-0.24198330000000001</v>
      </c>
      <c r="Z2459">
        <v>1.1374469999999999E-2</v>
      </c>
      <c r="AA2459">
        <v>0.97021380000000002</v>
      </c>
      <c r="AB2459">
        <v>29</v>
      </c>
      <c r="AC2459">
        <v>5.7430999999999699</v>
      </c>
      <c r="AD2459">
        <v>-1.1217732371069999</v>
      </c>
      <c r="AE2459">
        <v>-42.6893999999999</v>
      </c>
      <c r="AF2459">
        <v>-10.455121809105099</v>
      </c>
      <c r="AG2459">
        <v>-1.1217732371069999</v>
      </c>
      <c r="AH2459">
        <v>41.755769728791797</v>
      </c>
      <c r="AI2459">
        <v>91.492824770515995</v>
      </c>
      <c r="AJ2459">
        <v>104.057136399386</v>
      </c>
      <c r="AK2459">
        <v>43.059403768312897</v>
      </c>
      <c r="AL2459">
        <v>78.461526363428703</v>
      </c>
      <c r="AM2459">
        <v>93.555594981307195</v>
      </c>
      <c r="AN2459">
        <v>0.99999999669719297</v>
      </c>
    </row>
    <row r="2460" spans="1:40" x14ac:dyDescent="0.25">
      <c r="A2460" t="str">
        <f>"20190303170545449"</f>
        <v>20190303170545449</v>
      </c>
      <c r="B2460" t="str">
        <f>"1551603945436856"</f>
        <v>1551603945436856</v>
      </c>
      <c r="C2460" t="s">
        <v>40</v>
      </c>
      <c r="D2460">
        <v>6.0004759999999999</v>
      </c>
      <c r="E2460">
        <v>0.43227480000000001</v>
      </c>
      <c r="F2460" t="s">
        <v>52</v>
      </c>
      <c r="G2460">
        <v>-486.79410000000001</v>
      </c>
      <c r="H2460" s="1">
        <v>2.730212E-6</v>
      </c>
      <c r="I2460">
        <v>214.0438</v>
      </c>
      <c r="J2460">
        <v>-492.59370000000001</v>
      </c>
      <c r="K2460">
        <v>1.1216569999999999</v>
      </c>
      <c r="L2460">
        <v>257.17020000000002</v>
      </c>
      <c r="M2460">
        <v>-0.1113176</v>
      </c>
      <c r="N2460">
        <v>-1.393991E-2</v>
      </c>
      <c r="O2460">
        <v>-0.99368719999999999</v>
      </c>
      <c r="P2460">
        <v>-4.8701849999999998E-2</v>
      </c>
      <c r="Q2460">
        <v>0.1868496</v>
      </c>
      <c r="R2460">
        <v>-0.98118079999999996</v>
      </c>
      <c r="S2460">
        <v>0.41339110000000001</v>
      </c>
      <c r="T2460">
        <v>-8.0185290000000006E-2</v>
      </c>
      <c r="U2460">
        <v>-3.0932770000000001</v>
      </c>
      <c r="V2460">
        <v>-6.099425E-2</v>
      </c>
      <c r="W2460">
        <v>0.20045109999999999</v>
      </c>
      <c r="X2460">
        <v>0.97780319999999998</v>
      </c>
      <c r="Y2460">
        <v>-0.24191270000000001</v>
      </c>
      <c r="Z2460">
        <v>1.1133219999999999E-2</v>
      </c>
      <c r="AA2460">
        <v>0.97023419999999905</v>
      </c>
      <c r="AB2460">
        <v>29</v>
      </c>
      <c r="AC2460">
        <v>5.7995999999999901</v>
      </c>
      <c r="AD2460">
        <v>-1.1216542697880001</v>
      </c>
      <c r="AE2460">
        <v>-43.126399999999997</v>
      </c>
      <c r="AF2460">
        <v>-10.557726355650701</v>
      </c>
      <c r="AG2460">
        <v>-1.1216542697880001</v>
      </c>
      <c r="AH2460">
        <v>42.184623268005602</v>
      </c>
      <c r="AI2460">
        <v>91.477538052051401</v>
      </c>
      <c r="AJ2460">
        <v>104.05103336185</v>
      </c>
      <c r="AK2460">
        <v>43.5001854520794</v>
      </c>
      <c r="AL2460">
        <v>78.436660868757599</v>
      </c>
      <c r="AM2460">
        <v>93.569420582221795</v>
      </c>
      <c r="AN2460">
        <v>1.0000000199772501</v>
      </c>
    </row>
    <row r="2461" spans="1:40" x14ac:dyDescent="0.25">
      <c r="A2461" t="str">
        <f>"20190303170545462"</f>
        <v>20190303170545462</v>
      </c>
      <c r="B2461" t="str">
        <f>"1551603945457352"</f>
        <v>1551603945457352</v>
      </c>
      <c r="C2461" t="s">
        <v>40</v>
      </c>
      <c r="D2461">
        <v>5.995355</v>
      </c>
      <c r="E2461">
        <v>0.439689</v>
      </c>
      <c r="F2461" t="s">
        <v>52</v>
      </c>
      <c r="G2461">
        <v>-486.72640000000001</v>
      </c>
      <c r="H2461" s="1">
        <v>2.6877129999999998E-6</v>
      </c>
      <c r="I2461">
        <v>213.346</v>
      </c>
      <c r="J2461">
        <v>-492.61270000000002</v>
      </c>
      <c r="K2461">
        <v>1.1215109999999999</v>
      </c>
      <c r="L2461">
        <v>256.99979999999999</v>
      </c>
      <c r="M2461">
        <v>-0.11133270000000001</v>
      </c>
      <c r="N2461">
        <v>-1.392326E-2</v>
      </c>
      <c r="O2461">
        <v>-0.99368570000000001</v>
      </c>
      <c r="P2461">
        <v>-4.8464029999999998E-2</v>
      </c>
      <c r="Q2461">
        <v>0.1874151</v>
      </c>
      <c r="R2461">
        <v>-0.98108470000000003</v>
      </c>
      <c r="S2461">
        <v>0.41412349999999998</v>
      </c>
      <c r="T2461">
        <v>-7.9168559999999999E-2</v>
      </c>
      <c r="U2461">
        <v>-3.0932010000000001</v>
      </c>
      <c r="V2461">
        <v>-6.1163200000000001E-2</v>
      </c>
      <c r="W2461">
        <v>0.20102</v>
      </c>
      <c r="X2461">
        <v>0.97767579999999998</v>
      </c>
      <c r="Y2461">
        <v>-0.24215729999999999</v>
      </c>
      <c r="Z2461">
        <v>1.0830080000000001E-2</v>
      </c>
      <c r="AA2461">
        <v>0.97017659999999994</v>
      </c>
      <c r="AB2461">
        <v>29</v>
      </c>
      <c r="AC2461">
        <v>5.8863000000000003</v>
      </c>
      <c r="AD2461">
        <v>-1.121508312287</v>
      </c>
      <c r="AE2461">
        <v>-43.653799999999997</v>
      </c>
      <c r="AF2461">
        <v>-10.7033268941786</v>
      </c>
      <c r="AG2461">
        <v>-1.121508312287</v>
      </c>
      <c r="AH2461">
        <v>42.699279357556001</v>
      </c>
      <c r="AI2461">
        <v>91.459411869455096</v>
      </c>
      <c r="AJ2461">
        <v>104.072239715031</v>
      </c>
      <c r="AK2461">
        <v>44.034616441531398</v>
      </c>
      <c r="AL2461">
        <v>78.403387502712704</v>
      </c>
      <c r="AM2461">
        <v>93.579747171354896</v>
      </c>
      <c r="AN2461">
        <v>0.99999997366993898</v>
      </c>
    </row>
    <row r="2462" spans="1:40" x14ac:dyDescent="0.25">
      <c r="A2462" t="str">
        <f>"20190303170545478"</f>
        <v>20190303170545478</v>
      </c>
      <c r="B2462" t="str">
        <f>"1551603945467112"</f>
        <v>1551603945467112</v>
      </c>
      <c r="C2462" t="s">
        <v>40</v>
      </c>
      <c r="D2462">
        <v>5.9916980000000004</v>
      </c>
      <c r="E2462">
        <v>0.43922860000000002</v>
      </c>
      <c r="F2462" t="s">
        <v>52</v>
      </c>
      <c r="G2462">
        <v>-488.07170000000002</v>
      </c>
      <c r="H2462" s="1">
        <v>3.1038759999999998E-6</v>
      </c>
      <c r="I2462">
        <v>217.40770000000001</v>
      </c>
      <c r="J2462">
        <v>-492.63639999999998</v>
      </c>
      <c r="K2462">
        <v>1.121329</v>
      </c>
      <c r="L2462">
        <v>256.78879999999998</v>
      </c>
      <c r="M2462">
        <v>-0.11155669999999999</v>
      </c>
      <c r="N2462">
        <v>-1.3904659999999999E-2</v>
      </c>
      <c r="O2462">
        <v>-0.99366100000000002</v>
      </c>
      <c r="P2462">
        <v>-4.8269529999999998E-2</v>
      </c>
      <c r="Q2462">
        <v>0.18861169999999999</v>
      </c>
      <c r="R2462">
        <v>-0.98086510000000005</v>
      </c>
      <c r="S2462">
        <v>0.35464479999999998</v>
      </c>
      <c r="T2462">
        <v>-8.7588189999999996E-2</v>
      </c>
      <c r="U2462">
        <v>-3.0920869999999998</v>
      </c>
      <c r="V2462">
        <v>-6.1458600000000002E-2</v>
      </c>
      <c r="W2462">
        <v>0.2022236</v>
      </c>
      <c r="X2462">
        <v>0.97740910000000003</v>
      </c>
      <c r="Y2462">
        <v>-0.22400020000000001</v>
      </c>
      <c r="Z2462">
        <v>1.360836E-2</v>
      </c>
      <c r="AA2462">
        <v>0.97449410000000003</v>
      </c>
      <c r="AB2462">
        <v>29</v>
      </c>
      <c r="AC2462">
        <v>4.5646999999999496</v>
      </c>
      <c r="AD2462">
        <v>-1.121325896124</v>
      </c>
      <c r="AE2462">
        <v>-39.381099999999897</v>
      </c>
      <c r="AF2462">
        <v>-8.9227131358917493</v>
      </c>
      <c r="AG2462">
        <v>-1.121325896124</v>
      </c>
      <c r="AH2462">
        <v>38.595090161240499</v>
      </c>
      <c r="AI2462">
        <v>91.621436552141603</v>
      </c>
      <c r="AJ2462">
        <v>103.017383170562</v>
      </c>
      <c r="AK2462">
        <v>39.628943539098003</v>
      </c>
      <c r="AL2462">
        <v>78.332981235951806</v>
      </c>
      <c r="AM2462">
        <v>93.597969911419597</v>
      </c>
      <c r="AN2462">
        <v>1.0000000463368599</v>
      </c>
    </row>
    <row r="2463" spans="1:40" x14ac:dyDescent="0.25">
      <c r="A2463" t="str">
        <f>"20190303170545490"</f>
        <v>20190303170545490</v>
      </c>
      <c r="B2463" t="str">
        <f>"1551603945476873"</f>
        <v>1551603945476873</v>
      </c>
      <c r="C2463" t="s">
        <v>40</v>
      </c>
      <c r="D2463">
        <v>6.0214109999999996</v>
      </c>
      <c r="E2463">
        <v>0.43906610000000001</v>
      </c>
      <c r="F2463" t="s">
        <v>52</v>
      </c>
      <c r="G2463">
        <v>-488.00240000000002</v>
      </c>
      <c r="H2463" s="1">
        <v>3.0622099999999999E-6</v>
      </c>
      <c r="I2463">
        <v>216.7355</v>
      </c>
      <c r="J2463">
        <v>-492.65390000000002</v>
      </c>
      <c r="K2463">
        <v>1.121192</v>
      </c>
      <c r="L2463">
        <v>256.63499999999999</v>
      </c>
      <c r="M2463">
        <v>-0.1118223</v>
      </c>
      <c r="N2463">
        <v>-1.3892160000000001E-2</v>
      </c>
      <c r="O2463">
        <v>-0.9936313</v>
      </c>
      <c r="P2463">
        <v>-4.8487950000000002E-2</v>
      </c>
      <c r="Q2463">
        <v>0.1894169</v>
      </c>
      <c r="R2463">
        <v>-0.98069890000000004</v>
      </c>
      <c r="S2463">
        <v>0.35781859999999999</v>
      </c>
      <c r="T2463">
        <v>-8.6584449999999993E-2</v>
      </c>
      <c r="U2463">
        <v>-3.0927579999999999</v>
      </c>
      <c r="V2463">
        <v>-6.1414499999999997E-2</v>
      </c>
      <c r="W2463">
        <v>0.20303560000000001</v>
      </c>
      <c r="X2463">
        <v>0.97724350000000004</v>
      </c>
      <c r="Y2463">
        <v>-0.22522420000000001</v>
      </c>
      <c r="Z2463">
        <v>1.329115E-2</v>
      </c>
      <c r="AA2463">
        <v>0.97421630000000004</v>
      </c>
      <c r="AB2463">
        <v>29</v>
      </c>
      <c r="AC2463">
        <v>4.6514999999999898</v>
      </c>
      <c r="AD2463">
        <v>-1.12118893779</v>
      </c>
      <c r="AE2463">
        <v>-39.899499999999897</v>
      </c>
      <c r="AF2463">
        <v>-9.0773331707028397</v>
      </c>
      <c r="AG2463">
        <v>-1.12118893779</v>
      </c>
      <c r="AH2463">
        <v>39.098559827737603</v>
      </c>
      <c r="AI2463">
        <v>91.600029161900494</v>
      </c>
      <c r="AJ2463">
        <v>103.07054399543701</v>
      </c>
      <c r="AK2463">
        <v>40.154108416565997</v>
      </c>
      <c r="AL2463">
        <v>78.285471265853701</v>
      </c>
      <c r="AM2463">
        <v>93.596002603881402</v>
      </c>
      <c r="AN2463">
        <v>1.0000000269849201</v>
      </c>
    </row>
    <row r="2464" spans="1:40" x14ac:dyDescent="0.25">
      <c r="A2464" t="str">
        <f>"20190303170545512"</f>
        <v>20190303170545512</v>
      </c>
      <c r="B2464" t="str">
        <f>"1551603945507128"</f>
        <v>1551603945507128</v>
      </c>
      <c r="C2464" t="s">
        <v>40</v>
      </c>
      <c r="D2464">
        <v>6.0002199999999997</v>
      </c>
      <c r="E2464">
        <v>0.4390521</v>
      </c>
      <c r="F2464" t="s">
        <v>52</v>
      </c>
      <c r="G2464">
        <v>-487.9513</v>
      </c>
      <c r="H2464" s="1">
        <v>3.0208380000000001E-6</v>
      </c>
      <c r="I2464">
        <v>215.9965</v>
      </c>
      <c r="J2464">
        <v>-492.68770000000001</v>
      </c>
      <c r="K2464">
        <v>1.120943</v>
      </c>
      <c r="L2464">
        <v>256.33980000000003</v>
      </c>
      <c r="M2464">
        <v>-0.11256149999999999</v>
      </c>
      <c r="N2464">
        <v>-1.387042E-2</v>
      </c>
      <c r="O2464">
        <v>-0.99354790000000004</v>
      </c>
      <c r="P2464">
        <v>-4.8718039999999997E-2</v>
      </c>
      <c r="Q2464">
        <v>0.1910085</v>
      </c>
      <c r="R2464">
        <v>-0.98037870000000005</v>
      </c>
      <c r="S2464">
        <v>0.3579407</v>
      </c>
      <c r="T2464">
        <v>-8.5340260000000001E-2</v>
      </c>
      <c r="U2464">
        <v>-3.0932309999999998</v>
      </c>
      <c r="V2464">
        <v>-6.1745220000000003E-2</v>
      </c>
      <c r="W2464">
        <v>0.2046415</v>
      </c>
      <c r="X2464">
        <v>0.97688759999999997</v>
      </c>
      <c r="Y2464">
        <v>-0.22597110000000001</v>
      </c>
      <c r="Z2464">
        <v>1.291075E-2</v>
      </c>
      <c r="AA2464">
        <v>0.97404840000000004</v>
      </c>
      <c r="AB2464">
        <v>29</v>
      </c>
      <c r="AC2464">
        <v>4.7363999999999997</v>
      </c>
      <c r="AD2464">
        <v>-1.1209399791620001</v>
      </c>
      <c r="AE2464">
        <v>-40.343299999999999</v>
      </c>
      <c r="AF2464">
        <v>-9.2407957101321898</v>
      </c>
      <c r="AG2464">
        <v>-1.1209399791620001</v>
      </c>
      <c r="AH2464">
        <v>39.523573841975598</v>
      </c>
      <c r="AI2464">
        <v>91.581908003578604</v>
      </c>
      <c r="AJ2464">
        <v>103.159630257201</v>
      </c>
      <c r="AK2464">
        <v>40.604946755726402</v>
      </c>
      <c r="AL2464">
        <v>78.191486382718594</v>
      </c>
      <c r="AM2464">
        <v>93.616629664170006</v>
      </c>
      <c r="AN2464">
        <v>0.99999999937442896</v>
      </c>
    </row>
    <row r="2465" spans="1:40" x14ac:dyDescent="0.25">
      <c r="A2465" t="str">
        <f>"20190303170545524"</f>
        <v>20190303170545524</v>
      </c>
      <c r="B2465" t="str">
        <f>"1551603945516888"</f>
        <v>1551603945516888</v>
      </c>
      <c r="C2465" t="s">
        <v>40</v>
      </c>
      <c r="D2465">
        <v>6.0063269999999997</v>
      </c>
      <c r="E2465">
        <v>0.41315619999999997</v>
      </c>
      <c r="F2465" t="s">
        <v>52</v>
      </c>
      <c r="G2465">
        <v>-487.93419999999998</v>
      </c>
      <c r="H2465" s="1">
        <v>2.979139E-6</v>
      </c>
      <c r="I2465">
        <v>215.11199999999999</v>
      </c>
      <c r="J2465">
        <v>-492.70569999999998</v>
      </c>
      <c r="K2465">
        <v>1.120816</v>
      </c>
      <c r="L2465">
        <v>256.18369999999999</v>
      </c>
      <c r="M2465">
        <v>-0.11304740000000001</v>
      </c>
      <c r="N2465">
        <v>-1.3859730000000001E-2</v>
      </c>
      <c r="O2465">
        <v>-0.99349330000000002</v>
      </c>
      <c r="P2465">
        <v>-4.8875849999999998E-2</v>
      </c>
      <c r="Q2465">
        <v>0.19170480000000001</v>
      </c>
      <c r="R2465">
        <v>-0.98023539999999998</v>
      </c>
      <c r="S2465">
        <v>0.35675050000000003</v>
      </c>
      <c r="T2465">
        <v>-8.412683E-2</v>
      </c>
      <c r="U2465">
        <v>-3.0941619999999999</v>
      </c>
      <c r="V2465">
        <v>-6.1984640000000001E-2</v>
      </c>
      <c r="W2465">
        <v>0.20534530000000001</v>
      </c>
      <c r="X2465">
        <v>0.9767247</v>
      </c>
      <c r="Y2465">
        <v>-0.22604550000000001</v>
      </c>
      <c r="Z2465">
        <v>1.2529770000000001E-2</v>
      </c>
      <c r="AA2465">
        <v>0.97403620000000002</v>
      </c>
      <c r="AB2465">
        <v>29</v>
      </c>
      <c r="AC2465">
        <v>4.7714999999999996</v>
      </c>
      <c r="AD2465">
        <v>-1.1208130208609901</v>
      </c>
      <c r="AE2465">
        <v>-41.0716999999999</v>
      </c>
      <c r="AF2465">
        <v>-9.3775096385611398</v>
      </c>
      <c r="AG2465">
        <v>-1.1208130208609901</v>
      </c>
      <c r="AH2465">
        <v>40.239338822865903</v>
      </c>
      <c r="AI2465">
        <v>91.553869254859194</v>
      </c>
      <c r="AJ2465">
        <v>103.118263430762</v>
      </c>
      <c r="AK2465">
        <v>41.332775103426599</v>
      </c>
      <c r="AL2465">
        <v>78.150286239643904</v>
      </c>
      <c r="AM2465">
        <v>93.631219780177403</v>
      </c>
      <c r="AN2465">
        <v>0.99999996370905397</v>
      </c>
    </row>
    <row r="2466" spans="1:40" x14ac:dyDescent="0.25">
      <c r="A2466" t="str">
        <f>"20190303170545537"</f>
        <v>20190303170545537</v>
      </c>
      <c r="B2466" t="str">
        <f>"1551603945527624"</f>
        <v>1551603945527624</v>
      </c>
      <c r="C2466" t="s">
        <v>40</v>
      </c>
      <c r="D2466">
        <v>6.0048000000000004</v>
      </c>
      <c r="E2466">
        <v>0.4058467</v>
      </c>
      <c r="F2466" t="s">
        <v>71</v>
      </c>
      <c r="G2466">
        <v>-473.19170000000003</v>
      </c>
      <c r="H2466" s="1">
        <v>-6.0897619999999898E-6</v>
      </c>
      <c r="I2466">
        <v>148.59989999999999</v>
      </c>
      <c r="J2466">
        <v>-492.72559999999999</v>
      </c>
      <c r="K2466">
        <v>1.1206910000000001</v>
      </c>
      <c r="L2466">
        <v>256.01459999999997</v>
      </c>
      <c r="M2466">
        <v>-0.11367629999999999</v>
      </c>
      <c r="N2466">
        <v>-1.384896E-2</v>
      </c>
      <c r="O2466">
        <v>-0.99342129999999995</v>
      </c>
      <c r="P2466">
        <v>-4.9186899999999999E-2</v>
      </c>
      <c r="Q2466">
        <v>0.19215940000000001</v>
      </c>
      <c r="R2466">
        <v>-0.98013050000000002</v>
      </c>
      <c r="S2466">
        <v>0.56134030000000001</v>
      </c>
      <c r="T2466">
        <v>-3.2241579999999999E-2</v>
      </c>
      <c r="U2466">
        <v>-3.094757</v>
      </c>
      <c r="V2466">
        <v>-6.2221119999999998E-2</v>
      </c>
      <c r="W2466">
        <v>0.20580680000000001</v>
      </c>
      <c r="X2466">
        <v>0.97661260000000005</v>
      </c>
      <c r="Y2466">
        <v>-0.28912759999999998</v>
      </c>
      <c r="Z2466">
        <v>-3.9802370000000002E-3</v>
      </c>
      <c r="AA2466">
        <v>0.95728230000000003</v>
      </c>
      <c r="AB2466">
        <v>29</v>
      </c>
      <c r="AC2466">
        <v>19.5338999999999</v>
      </c>
      <c r="AD2466">
        <v>-1.1206970897620001</v>
      </c>
      <c r="AE2466">
        <v>-107.414699999999</v>
      </c>
      <c r="AF2466">
        <v>-31.615599353758</v>
      </c>
      <c r="AG2466">
        <v>-1.1206970897620001</v>
      </c>
      <c r="AH2466">
        <v>104.486522460251</v>
      </c>
      <c r="AI2466">
        <v>90.588183075692001</v>
      </c>
      <c r="AJ2466">
        <v>106.83479913490601</v>
      </c>
      <c r="AK2466">
        <v>109.170671245994</v>
      </c>
      <c r="AL2466">
        <v>78.123268041321097</v>
      </c>
      <c r="AM2466">
        <v>93.6454533745856</v>
      </c>
      <c r="AN2466">
        <v>1.00000003858952</v>
      </c>
    </row>
    <row r="2467" spans="1:40" x14ac:dyDescent="0.25">
      <c r="A2467" t="str">
        <f>"20190303170545552"</f>
        <v>20190303170545552</v>
      </c>
      <c r="B2467" t="str">
        <f>"1551603945547144"</f>
        <v>1551603945547144</v>
      </c>
      <c r="C2467" t="s">
        <v>40</v>
      </c>
      <c r="D2467">
        <v>5.905691</v>
      </c>
      <c r="E2467">
        <v>0.39186739999999998</v>
      </c>
      <c r="F2467" t="s">
        <v>72</v>
      </c>
      <c r="G2467">
        <v>-473.87380000000002</v>
      </c>
      <c r="H2467">
        <v>0.70093139999999998</v>
      </c>
      <c r="I2467">
        <v>161.67019999999999</v>
      </c>
      <c r="J2467">
        <v>-492.74799999999999</v>
      </c>
      <c r="K2467">
        <v>1.120574</v>
      </c>
      <c r="L2467">
        <v>255.82560000000001</v>
      </c>
      <c r="M2467">
        <v>-0.114445699999999</v>
      </c>
      <c r="N2467">
        <v>-1.3837199999999999E-2</v>
      </c>
      <c r="O2467">
        <v>-0.99333340000000003</v>
      </c>
      <c r="P2467">
        <v>-4.9520080000000001E-2</v>
      </c>
      <c r="Q2467">
        <v>0.19225829999999999</v>
      </c>
      <c r="R2467">
        <v>-0.98009469999999999</v>
      </c>
      <c r="S2467">
        <v>0.61834719999999999</v>
      </c>
      <c r="T2467">
        <v>-1.3768320000000001E-2</v>
      </c>
      <c r="U2467">
        <v>-3.0945429999999998</v>
      </c>
      <c r="V2467">
        <v>-6.2585719999999997E-2</v>
      </c>
      <c r="W2467">
        <v>0.20591229999999999</v>
      </c>
      <c r="X2467">
        <v>0.97656699999999996</v>
      </c>
      <c r="Y2467">
        <v>-0.3068477</v>
      </c>
      <c r="Z2467">
        <v>-9.7397879999999992E-3</v>
      </c>
      <c r="AA2467">
        <v>0.95170880000000002</v>
      </c>
      <c r="AB2467">
        <v>29</v>
      </c>
      <c r="AC2467">
        <v>18.874199999999998</v>
      </c>
      <c r="AD2467">
        <v>-0.41964259999999898</v>
      </c>
      <c r="AE2467">
        <v>-94.1554</v>
      </c>
      <c r="AF2467">
        <v>-29.526309102933801</v>
      </c>
      <c r="AG2467">
        <v>-0.41964259999999898</v>
      </c>
      <c r="AH2467">
        <v>91.374611658945298</v>
      </c>
      <c r="AI2467">
        <v>90.250384556905402</v>
      </c>
      <c r="AJ2467">
        <v>107.90744573615299</v>
      </c>
      <c r="AK2467">
        <v>96.027593351998505</v>
      </c>
      <c r="AL2467">
        <v>78.117090287110997</v>
      </c>
      <c r="AM2467">
        <v>93.666927448219099</v>
      </c>
      <c r="AN2467">
        <v>0.999999976564103</v>
      </c>
    </row>
    <row r="2468" spans="1:40" x14ac:dyDescent="0.25">
      <c r="A2468" t="str">
        <f>"20190303170545569"</f>
        <v>20190303170545569</v>
      </c>
      <c r="B2468" t="str">
        <f>"1551603945556905"</f>
        <v>1551603945556905</v>
      </c>
      <c r="C2468" t="s">
        <v>40</v>
      </c>
      <c r="D2468">
        <v>6.0960140000000003</v>
      </c>
      <c r="E2468">
        <v>0.38800859999999998</v>
      </c>
      <c r="F2468" t="s">
        <v>72</v>
      </c>
      <c r="G2468">
        <v>-473.52499999999998</v>
      </c>
      <c r="H2468">
        <v>1.9568289999999999</v>
      </c>
      <c r="I2468">
        <v>174.15629999999999</v>
      </c>
      <c r="J2468">
        <v>-492.77339999999998</v>
      </c>
      <c r="K2468">
        <v>1.120458</v>
      </c>
      <c r="L2468">
        <v>255.61279999999999</v>
      </c>
      <c r="M2468">
        <v>-0.115382</v>
      </c>
      <c r="N2468">
        <v>-1.3824360000000001E-2</v>
      </c>
      <c r="O2468">
        <v>-0.99322509999999997</v>
      </c>
      <c r="P2468">
        <v>-4.9537909999999998E-2</v>
      </c>
      <c r="Q2468">
        <v>0.19237940000000001</v>
      </c>
      <c r="R2468">
        <v>-0.98006990000000005</v>
      </c>
      <c r="S2468">
        <v>0.72766109999999995</v>
      </c>
      <c r="T2468">
        <v>3.1655429999999998E-2</v>
      </c>
      <c r="U2468">
        <v>-3.0914920000000001</v>
      </c>
      <c r="V2468">
        <v>-6.3433829999999997E-2</v>
      </c>
      <c r="W2468">
        <v>0.20603779999999999</v>
      </c>
      <c r="X2468">
        <v>0.97648579999999996</v>
      </c>
      <c r="Y2468">
        <v>-0.33983370000000002</v>
      </c>
      <c r="Z2468">
        <v>-2.3708449999999999E-2</v>
      </c>
      <c r="AA2468">
        <v>0.94018670000000004</v>
      </c>
      <c r="AB2468">
        <v>29</v>
      </c>
      <c r="AC2468">
        <v>19.2484</v>
      </c>
      <c r="AD2468">
        <v>0.83637099999999998</v>
      </c>
      <c r="AE2468">
        <v>-81.456500000000005</v>
      </c>
      <c r="AF2468">
        <v>-28.516482748600499</v>
      </c>
      <c r="AG2468">
        <v>0.83637099999999998</v>
      </c>
      <c r="AH2468">
        <v>78.683376154509702</v>
      </c>
      <c r="AI2468">
        <v>89.427433540010099</v>
      </c>
      <c r="AJ2468">
        <v>109.921563732789</v>
      </c>
      <c r="AK2468">
        <v>83.695656923599898</v>
      </c>
      <c r="AL2468">
        <v>78.1097420426741</v>
      </c>
      <c r="AM2468">
        <v>93.716788462306596</v>
      </c>
      <c r="AN2468">
        <v>0.99999997170947397</v>
      </c>
    </row>
    <row r="2469" spans="1:40" x14ac:dyDescent="0.25">
      <c r="A2469" t="str">
        <f>"20190303170545582"</f>
        <v>20190303170545582</v>
      </c>
      <c r="B2469" t="str">
        <f>"1551603945567640"</f>
        <v>1551603945567640</v>
      </c>
      <c r="C2469" t="s">
        <v>40</v>
      </c>
      <c r="D2469">
        <v>5.9476259999999996</v>
      </c>
      <c r="E2469">
        <v>0.38459460000000001</v>
      </c>
      <c r="F2469" t="s">
        <v>72</v>
      </c>
      <c r="G2469">
        <v>-474.17140000000001</v>
      </c>
      <c r="H2469">
        <v>2.3458709999999998</v>
      </c>
      <c r="I2469">
        <v>179.8381</v>
      </c>
      <c r="J2469">
        <v>-492.79480000000001</v>
      </c>
      <c r="K2469">
        <v>1.120382</v>
      </c>
      <c r="L2469">
        <v>255.43520000000001</v>
      </c>
      <c r="M2469">
        <v>-0.1162065</v>
      </c>
      <c r="N2469">
        <v>-1.381404E-2</v>
      </c>
      <c r="O2469">
        <v>-0.99312929999999999</v>
      </c>
      <c r="P2469">
        <v>-4.9952789999999997E-2</v>
      </c>
      <c r="Q2469">
        <v>0.19252949999999999</v>
      </c>
      <c r="R2469">
        <v>-0.98001950000000004</v>
      </c>
      <c r="S2469">
        <v>0.75845340000000006</v>
      </c>
      <c r="T2469">
        <v>4.9963359999999998E-2</v>
      </c>
      <c r="U2469">
        <v>-3.0895389999999998</v>
      </c>
      <c r="V2469">
        <v>-6.3793539999999996E-2</v>
      </c>
      <c r="W2469">
        <v>0.20618900000000001</v>
      </c>
      <c r="X2469">
        <v>0.97643049999999998</v>
      </c>
      <c r="Y2469">
        <v>-0.34956419999999999</v>
      </c>
      <c r="Z2469">
        <v>-2.9274709999999999E-2</v>
      </c>
      <c r="AA2469">
        <v>0.93645500000000004</v>
      </c>
      <c r="AB2469">
        <v>29</v>
      </c>
      <c r="AC2469">
        <v>18.6234</v>
      </c>
      <c r="AD2469">
        <v>1.2254889999999901</v>
      </c>
      <c r="AE2469">
        <v>-75.597099999999998</v>
      </c>
      <c r="AF2469">
        <v>-27.2761561436165</v>
      </c>
      <c r="AG2469">
        <v>1.2254889999999901</v>
      </c>
      <c r="AH2469">
        <v>72.9024096398757</v>
      </c>
      <c r="AI2469">
        <v>89.098003915030802</v>
      </c>
      <c r="AJ2469">
        <v>110.513142835503</v>
      </c>
      <c r="AK2469">
        <v>77.847619414856396</v>
      </c>
      <c r="AL2469">
        <v>78.100889413086406</v>
      </c>
      <c r="AM2469">
        <v>93.738016516548001</v>
      </c>
      <c r="AN2469">
        <v>1.00000002039849</v>
      </c>
    </row>
    <row r="2470" spans="1:40" x14ac:dyDescent="0.25">
      <c r="A2470" t="str">
        <f>"20190303170545594"</f>
        <v>20190303170545594</v>
      </c>
      <c r="B2470" t="str">
        <f>"1551603945587160"</f>
        <v>1551603945587160</v>
      </c>
      <c r="C2470" t="s">
        <v>40</v>
      </c>
      <c r="D2470">
        <v>5.9474580000000001</v>
      </c>
      <c r="E2470">
        <v>0.38030649999999999</v>
      </c>
      <c r="F2470" t="s">
        <v>72</v>
      </c>
      <c r="G2470">
        <v>-473.976</v>
      </c>
      <c r="H2470">
        <v>2.6326969999999998</v>
      </c>
      <c r="I2470">
        <v>181.34540000000001</v>
      </c>
      <c r="J2470">
        <v>-492.81479999999999</v>
      </c>
      <c r="K2470">
        <v>1.1203350000000001</v>
      </c>
      <c r="L2470">
        <v>255.27119999999999</v>
      </c>
      <c r="M2470">
        <v>-0.1170023</v>
      </c>
      <c r="N2470">
        <v>-1.380516E-2</v>
      </c>
      <c r="O2470">
        <v>-0.99303589999999997</v>
      </c>
      <c r="P2470">
        <v>-4.9976600000000003E-2</v>
      </c>
      <c r="Q2470">
        <v>0.191993</v>
      </c>
      <c r="R2470">
        <v>-0.98012319999999997</v>
      </c>
      <c r="S2470">
        <v>0.78454590000000002</v>
      </c>
      <c r="T2470">
        <v>6.3047889999999995E-2</v>
      </c>
      <c r="U2470">
        <v>-3.0887760000000002</v>
      </c>
      <c r="V2470">
        <v>-6.4547309999999997E-2</v>
      </c>
      <c r="W2470">
        <v>0.20565330000000001</v>
      </c>
      <c r="X2470">
        <v>0.97649390000000003</v>
      </c>
      <c r="Y2470">
        <v>-0.35778019999999999</v>
      </c>
      <c r="Z2470">
        <v>-3.3220329999999999E-2</v>
      </c>
      <c r="AA2470">
        <v>0.93321469999999995</v>
      </c>
      <c r="AB2470">
        <v>29</v>
      </c>
      <c r="AC2470">
        <v>18.8387999999999</v>
      </c>
      <c r="AD2470">
        <v>1.512362</v>
      </c>
      <c r="AE2470">
        <v>-73.925799999999896</v>
      </c>
      <c r="AF2470">
        <v>-27.348946691886301</v>
      </c>
      <c r="AG2470">
        <v>1.512362</v>
      </c>
      <c r="AH2470">
        <v>71.185585784894499</v>
      </c>
      <c r="AI2470">
        <v>88.863855845127205</v>
      </c>
      <c r="AJ2470">
        <v>111.01638582889299</v>
      </c>
      <c r="AK2470">
        <v>76.273453753670097</v>
      </c>
      <c r="AL2470">
        <v>78.132254554571603</v>
      </c>
      <c r="AM2470">
        <v>93.781811788003793</v>
      </c>
      <c r="AN2470">
        <v>0.99999998588316796</v>
      </c>
    </row>
    <row r="2471" spans="1:40" x14ac:dyDescent="0.25">
      <c r="A2471" t="str">
        <f>"20190303170545606"</f>
        <v>20190303170545606</v>
      </c>
      <c r="B2471" t="str">
        <f>"1551603945596920"</f>
        <v>1551603945596920</v>
      </c>
      <c r="C2471" t="s">
        <v>40</v>
      </c>
      <c r="D2471">
        <v>5.9128069999999999</v>
      </c>
      <c r="E2471">
        <v>0.37890889999999999</v>
      </c>
      <c r="F2471" t="s">
        <v>72</v>
      </c>
      <c r="G2471">
        <v>-473.1318</v>
      </c>
      <c r="H2471">
        <v>2.980445</v>
      </c>
      <c r="I2471">
        <v>180.99950000000001</v>
      </c>
      <c r="J2471">
        <v>-492.8338</v>
      </c>
      <c r="K2471">
        <v>1.1202989999999999</v>
      </c>
      <c r="L2471">
        <v>255.1165</v>
      </c>
      <c r="M2471">
        <v>-0.1177593</v>
      </c>
      <c r="N2471">
        <v>-1.379697E-2</v>
      </c>
      <c r="O2471">
        <v>-0.99294640000000001</v>
      </c>
      <c r="P2471">
        <v>-5.0259709999999999E-2</v>
      </c>
      <c r="Q2471">
        <v>0.1910385</v>
      </c>
      <c r="R2471">
        <v>-0.98029540000000004</v>
      </c>
      <c r="S2471">
        <v>0.81820680000000001</v>
      </c>
      <c r="T2471">
        <v>7.7323320000000001E-2</v>
      </c>
      <c r="U2471">
        <v>-3.087418</v>
      </c>
      <c r="V2471">
        <v>-6.5019229999999997E-2</v>
      </c>
      <c r="W2471">
        <v>0.2046994</v>
      </c>
      <c r="X2471">
        <v>0.97666310000000001</v>
      </c>
      <c r="Y2471">
        <v>-0.36807210000000001</v>
      </c>
      <c r="Z2471">
        <v>-3.7494220000000002E-2</v>
      </c>
      <c r="AA2471">
        <v>0.92904100000000001</v>
      </c>
      <c r="AB2471">
        <v>29</v>
      </c>
      <c r="AC2471">
        <v>19.702000000000002</v>
      </c>
      <c r="AD2471">
        <v>1.8601459999999901</v>
      </c>
      <c r="AE2471">
        <v>-74.116999999999905</v>
      </c>
      <c r="AF2471">
        <v>-28.2770511174514</v>
      </c>
      <c r="AG2471">
        <v>1.8601459999999901</v>
      </c>
      <c r="AH2471">
        <v>71.238982930273707</v>
      </c>
      <c r="AI2471">
        <v>88.609740569953402</v>
      </c>
      <c r="AJ2471">
        <v>111.649725198653</v>
      </c>
      <c r="AK2471">
        <v>76.668405826520896</v>
      </c>
      <c r="AL2471">
        <v>78.188098150806397</v>
      </c>
      <c r="AM2471">
        <v>93.808722348628905</v>
      </c>
      <c r="AN2471">
        <v>1.00000007776587</v>
      </c>
    </row>
    <row r="2472" spans="1:40" x14ac:dyDescent="0.25">
      <c r="A2472" t="str">
        <f>"20190303170545625"</f>
        <v>20190303170545625</v>
      </c>
      <c r="B2472" t="str">
        <f>"1551603945617417"</f>
        <v>1551603945617417</v>
      </c>
      <c r="C2472" t="s">
        <v>40</v>
      </c>
      <c r="D2472">
        <v>5.8999040000000003</v>
      </c>
      <c r="E2472">
        <v>0.37669269999999999</v>
      </c>
      <c r="F2472" t="s">
        <v>72</v>
      </c>
      <c r="G2472">
        <v>-472.9255</v>
      </c>
      <c r="H2472">
        <v>3.0357120000000002</v>
      </c>
      <c r="I2472">
        <v>180.99950000000001</v>
      </c>
      <c r="J2472">
        <v>-492.863</v>
      </c>
      <c r="K2472">
        <v>1.120252</v>
      </c>
      <c r="L2472">
        <v>254.88040000000001</v>
      </c>
      <c r="M2472">
        <v>-0.11893040000000001</v>
      </c>
      <c r="N2472">
        <v>-1.3785189999999999E-2</v>
      </c>
      <c r="O2472">
        <v>-0.99280710000000005</v>
      </c>
      <c r="P2472">
        <v>-5.1161909999999998E-2</v>
      </c>
      <c r="Q2472">
        <v>0.1880627</v>
      </c>
      <c r="R2472">
        <v>-0.98082389999999997</v>
      </c>
      <c r="S2472">
        <v>0.82925419999999905</v>
      </c>
      <c r="T2472">
        <v>7.9784389999999997E-2</v>
      </c>
      <c r="U2472">
        <v>-3.0872649999999999</v>
      </c>
      <c r="V2472">
        <v>-6.5334699999999996E-2</v>
      </c>
      <c r="W2472">
        <v>0.20172580000000001</v>
      </c>
      <c r="X2472">
        <v>0.97726049999999998</v>
      </c>
      <c r="Y2472">
        <v>-0.37227500000000002</v>
      </c>
      <c r="Z2472">
        <v>-3.8197639999999998E-2</v>
      </c>
      <c r="AA2472">
        <v>0.92733620000000005</v>
      </c>
      <c r="AB2472">
        <v>29</v>
      </c>
      <c r="AC2472">
        <v>19.9375</v>
      </c>
      <c r="AD2472">
        <v>1.9154599999999999</v>
      </c>
      <c r="AE2472">
        <v>-73.880899999999997</v>
      </c>
      <c r="AF2472">
        <v>-28.565589041056999</v>
      </c>
      <c r="AG2472">
        <v>1.9154599999999999</v>
      </c>
      <c r="AH2472">
        <v>70.940590146884503</v>
      </c>
      <c r="AI2472">
        <v>88.565236082605395</v>
      </c>
      <c r="AJ2472">
        <v>111.933126442922</v>
      </c>
      <c r="AK2472">
        <v>76.499864017280402</v>
      </c>
      <c r="AL2472">
        <v>78.362102747477095</v>
      </c>
      <c r="AM2472">
        <v>93.824814697670405</v>
      </c>
      <c r="AN2472">
        <v>1.00000000313499</v>
      </c>
    </row>
    <row r="2473" spans="1:40" x14ac:dyDescent="0.25">
      <c r="A2473" t="str">
        <f>"20190303170545636"</f>
        <v>20190303170545636</v>
      </c>
      <c r="B2473" t="str">
        <f>"1551603945627176"</f>
        <v>1551603945627176</v>
      </c>
      <c r="C2473" t="s">
        <v>40</v>
      </c>
      <c r="D2473">
        <v>5.9351640000000003</v>
      </c>
      <c r="E2473">
        <v>0.37582749999999998</v>
      </c>
      <c r="F2473" t="s">
        <v>73</v>
      </c>
      <c r="G2473">
        <v>-474.1146</v>
      </c>
      <c r="H2473">
        <v>2.871883</v>
      </c>
      <c r="I2473">
        <v>186.33529999999999</v>
      </c>
      <c r="J2473">
        <v>-492.88220000000001</v>
      </c>
      <c r="K2473">
        <v>1.120241</v>
      </c>
      <c r="L2473">
        <v>254.72669999999999</v>
      </c>
      <c r="M2473">
        <v>-0.1196929</v>
      </c>
      <c r="N2473">
        <v>-1.3778220000000001E-2</v>
      </c>
      <c r="O2473">
        <v>-0.99271540000000003</v>
      </c>
      <c r="P2473">
        <v>-5.1698139999999997E-2</v>
      </c>
      <c r="Q2473">
        <v>0.18624589999999999</v>
      </c>
      <c r="R2473">
        <v>-0.98114199999999996</v>
      </c>
      <c r="S2473">
        <v>0.84451290000000001</v>
      </c>
      <c r="T2473">
        <v>7.8902719999999996E-2</v>
      </c>
      <c r="U2473">
        <v>-3.0875699999999999</v>
      </c>
      <c r="V2473">
        <v>-6.5592620000000004E-2</v>
      </c>
      <c r="W2473">
        <v>0.19990869999999999</v>
      </c>
      <c r="X2473">
        <v>0.9776165</v>
      </c>
      <c r="Y2473">
        <v>-0.3772315</v>
      </c>
      <c r="Z2473">
        <v>-3.7882680000000002E-2</v>
      </c>
      <c r="AA2473">
        <v>0.9253439</v>
      </c>
      <c r="AB2473">
        <v>29</v>
      </c>
      <c r="AC2473">
        <v>18.767600000000002</v>
      </c>
      <c r="AD2473">
        <v>1.7516419999999999</v>
      </c>
      <c r="AE2473">
        <v>-68.391400000000004</v>
      </c>
      <c r="AF2473">
        <v>-26.803044208012</v>
      </c>
      <c r="AG2473">
        <v>1.7516419999999999</v>
      </c>
      <c r="AH2473">
        <v>65.613050044876204</v>
      </c>
      <c r="AI2473">
        <v>88.584279759963096</v>
      </c>
      <c r="AJ2473">
        <v>112.220099595606</v>
      </c>
      <c r="AK2473">
        <v>70.898122434266497</v>
      </c>
      <c r="AL2473">
        <v>78.468379312820502</v>
      </c>
      <c r="AM2473">
        <v>93.838474620104293</v>
      </c>
      <c r="AN2473">
        <v>0.99999995060320102</v>
      </c>
    </row>
    <row r="2474" spans="1:40" x14ac:dyDescent="0.25">
      <c r="A2474" t="str">
        <f>"20190303170545650"</f>
        <v>20190303170545650</v>
      </c>
      <c r="B2474" t="str">
        <f>"1551603945636936"</f>
        <v>1551603945636936</v>
      </c>
      <c r="C2474" t="s">
        <v>40</v>
      </c>
      <c r="D2474">
        <v>5.967276</v>
      </c>
      <c r="E2474">
        <v>0.37505949999999999</v>
      </c>
      <c r="F2474" t="s">
        <v>73</v>
      </c>
      <c r="G2474">
        <v>-474.1146</v>
      </c>
      <c r="H2474">
        <v>2.8109299999999999</v>
      </c>
      <c r="I2474">
        <v>186.5351</v>
      </c>
      <c r="J2474">
        <v>-492.90199999999999</v>
      </c>
      <c r="K2474">
        <v>1.1202259999999999</v>
      </c>
      <c r="L2474">
        <v>254.56950000000001</v>
      </c>
      <c r="M2474">
        <v>-0.1204686</v>
      </c>
      <c r="N2474">
        <v>-1.3771419999999999E-2</v>
      </c>
      <c r="O2474">
        <v>-0.9926218</v>
      </c>
      <c r="P2474">
        <v>-5.2516710000000001E-2</v>
      </c>
      <c r="Q2474">
        <v>0.18436089999999999</v>
      </c>
      <c r="R2474">
        <v>-0.98145459999999995</v>
      </c>
      <c r="S2474">
        <v>0.84985350000000004</v>
      </c>
      <c r="T2474">
        <v>7.6560740000000002E-2</v>
      </c>
      <c r="U2474">
        <v>-3.0879059999999998</v>
      </c>
      <c r="V2474">
        <v>-6.5585610000000003E-2</v>
      </c>
      <c r="W2474">
        <v>0.19802310000000001</v>
      </c>
      <c r="X2474">
        <v>0.97800069999999995</v>
      </c>
      <c r="Y2474">
        <v>-0.3794225</v>
      </c>
      <c r="Z2474">
        <v>-3.7148359999999998E-2</v>
      </c>
      <c r="AA2474">
        <v>0.92447749999999995</v>
      </c>
      <c r="AB2474">
        <v>29</v>
      </c>
      <c r="AC2474">
        <v>18.787399999999899</v>
      </c>
      <c r="AD2474">
        <v>1.690704</v>
      </c>
      <c r="AE2474">
        <v>-68.034400000000005</v>
      </c>
      <c r="AF2474">
        <v>-26.8319364305469</v>
      </c>
      <c r="AG2474">
        <v>1.690704</v>
      </c>
      <c r="AH2474">
        <v>65.237881068603997</v>
      </c>
      <c r="AI2474">
        <v>88.627002430277798</v>
      </c>
      <c r="AJ2474">
        <v>112.35706206023301</v>
      </c>
      <c r="AK2474">
        <v>70.560558522093999</v>
      </c>
      <c r="AL2474">
        <v>78.578620884547405</v>
      </c>
      <c r="AM2474">
        <v>93.836562371037203</v>
      </c>
      <c r="AN2474">
        <v>0.99999999478658597</v>
      </c>
    </row>
    <row r="2475" spans="1:40" x14ac:dyDescent="0.25">
      <c r="A2475" t="str">
        <f>"20190303170545662"</f>
        <v>20190303170545662</v>
      </c>
      <c r="B2475" t="str">
        <f>"1551603945647672"</f>
        <v>1551603945647672</v>
      </c>
      <c r="C2475" t="s">
        <v>40</v>
      </c>
      <c r="D2475">
        <v>5.9313039999999999</v>
      </c>
      <c r="E2475">
        <v>0.37440600000000002</v>
      </c>
      <c r="F2475" t="s">
        <v>73</v>
      </c>
      <c r="G2475">
        <v>-474.1146</v>
      </c>
      <c r="H2475">
        <v>2.742435</v>
      </c>
      <c r="I2475">
        <v>186.6122</v>
      </c>
      <c r="J2475">
        <v>-492.92380000000003</v>
      </c>
      <c r="K2475">
        <v>1.120212</v>
      </c>
      <c r="L2475">
        <v>254.3965</v>
      </c>
      <c r="M2475">
        <v>-0.12131790000000001</v>
      </c>
      <c r="N2475">
        <v>-1.376428E-2</v>
      </c>
      <c r="O2475">
        <v>-0.99251829999999996</v>
      </c>
      <c r="P2475">
        <v>-5.3422669999999998E-2</v>
      </c>
      <c r="Q2475">
        <v>0.18298510000000001</v>
      </c>
      <c r="R2475">
        <v>-0.98166330000000002</v>
      </c>
      <c r="S2475">
        <v>0.85385129999999998</v>
      </c>
      <c r="T2475">
        <v>7.3727609999999999E-2</v>
      </c>
      <c r="U2475">
        <v>-3.0885159999999998</v>
      </c>
      <c r="V2475">
        <v>-6.555192E-2</v>
      </c>
      <c r="W2475">
        <v>0.19664499999999999</v>
      </c>
      <c r="X2475">
        <v>0.97828099999999996</v>
      </c>
      <c r="Y2475">
        <v>-0.38128509999999999</v>
      </c>
      <c r="Z2475">
        <v>-3.626704E-2</v>
      </c>
      <c r="AA2475">
        <v>0.92374579999999995</v>
      </c>
      <c r="AB2475">
        <v>29</v>
      </c>
      <c r="AC2475">
        <v>18.809200000000001</v>
      </c>
      <c r="AD2475">
        <v>1.622223</v>
      </c>
      <c r="AE2475">
        <v>-67.784300000000002</v>
      </c>
      <c r="AF2475">
        <v>-26.880176188281698</v>
      </c>
      <c r="AG2475">
        <v>1.622223</v>
      </c>
      <c r="AH2475">
        <v>64.966871863893502</v>
      </c>
      <c r="AI2475">
        <v>88.678246823058004</v>
      </c>
      <c r="AJ2475">
        <v>112.477425880712</v>
      </c>
      <c r="AK2475">
        <v>70.3268790659329</v>
      </c>
      <c r="AL2475">
        <v>78.659164185528397</v>
      </c>
      <c r="AM2475">
        <v>93.833502063867996</v>
      </c>
      <c r="AN2475">
        <v>1.0000000126008399</v>
      </c>
    </row>
    <row r="2476" spans="1:40" x14ac:dyDescent="0.25">
      <c r="A2476" t="str">
        <f>"20190303170545679"</f>
        <v>20190303170545679</v>
      </c>
      <c r="B2476" t="str">
        <f>"1551603945667192"</f>
        <v>1551603945667192</v>
      </c>
      <c r="C2476" t="s">
        <v>40</v>
      </c>
      <c r="D2476">
        <v>5.9509930000000004</v>
      </c>
      <c r="E2476">
        <v>0.37357990000000002</v>
      </c>
      <c r="F2476" t="s">
        <v>73</v>
      </c>
      <c r="G2476">
        <v>-474.1146</v>
      </c>
      <c r="H2476">
        <v>2.6987260000000002</v>
      </c>
      <c r="I2476">
        <v>186.5317</v>
      </c>
      <c r="J2476">
        <v>-492.95119999999997</v>
      </c>
      <c r="K2476">
        <v>1.120201</v>
      </c>
      <c r="L2476">
        <v>254.18180000000001</v>
      </c>
      <c r="M2476">
        <v>-0.1223558</v>
      </c>
      <c r="N2476">
        <v>-1.375621E-2</v>
      </c>
      <c r="O2476">
        <v>-0.99239100000000002</v>
      </c>
      <c r="P2476">
        <v>-5.5300879999999997E-2</v>
      </c>
      <c r="Q2476">
        <v>0.18193129999999999</v>
      </c>
      <c r="R2476">
        <v>-0.98175500000000004</v>
      </c>
      <c r="S2476">
        <v>0.856201199999999</v>
      </c>
      <c r="T2476">
        <v>7.18559E-2</v>
      </c>
      <c r="U2476">
        <v>-3.0892179999999998</v>
      </c>
      <c r="V2476">
        <v>-6.4726699999999998E-2</v>
      </c>
      <c r="W2476">
        <v>0.19558449999999999</v>
      </c>
      <c r="X2476">
        <v>0.97854850000000004</v>
      </c>
      <c r="Y2476">
        <v>-0.38285439999999998</v>
      </c>
      <c r="Z2476">
        <v>-3.567762E-2</v>
      </c>
      <c r="AA2476">
        <v>0.92311949999999998</v>
      </c>
      <c r="AB2476">
        <v>29</v>
      </c>
      <c r="AC2476">
        <v>18.836599999999901</v>
      </c>
      <c r="AD2476">
        <v>1.57852499999999</v>
      </c>
      <c r="AE2476">
        <v>-67.650099999999995</v>
      </c>
      <c r="AF2476">
        <v>-26.959583395339699</v>
      </c>
      <c r="AG2476">
        <v>1.57852499999999</v>
      </c>
      <c r="AH2476">
        <v>64.803971212781704</v>
      </c>
      <c r="AI2476">
        <v>88.711640068827407</v>
      </c>
      <c r="AJ2476">
        <v>112.58816324764101</v>
      </c>
      <c r="AK2476">
        <v>70.205879831912497</v>
      </c>
      <c r="AL2476">
        <v>78.721129581444501</v>
      </c>
      <c r="AM2476">
        <v>93.784352291815793</v>
      </c>
      <c r="AN2476">
        <v>1.00000000459269</v>
      </c>
    </row>
    <row r="2477" spans="1:40" x14ac:dyDescent="0.25">
      <c r="A2477" t="str">
        <f>"20190303170545693"</f>
        <v>20190303170545693</v>
      </c>
      <c r="B2477" t="str">
        <f>"1551603945676952"</f>
        <v>1551603945676952</v>
      </c>
      <c r="C2477" t="s">
        <v>40</v>
      </c>
      <c r="D2477">
        <v>5.9794359999999998</v>
      </c>
      <c r="E2477">
        <v>0.37332739999999998</v>
      </c>
      <c r="F2477" t="s">
        <v>73</v>
      </c>
      <c r="G2477">
        <v>-474.1146</v>
      </c>
      <c r="H2477">
        <v>2.6670099999999999</v>
      </c>
      <c r="I2477">
        <v>186.2355</v>
      </c>
      <c r="J2477">
        <v>-492.97309999999999</v>
      </c>
      <c r="K2477">
        <v>1.1202049999999999</v>
      </c>
      <c r="L2477">
        <v>254.01130000000001</v>
      </c>
      <c r="M2477">
        <v>-0.123168899999999</v>
      </c>
      <c r="N2477">
        <v>-1.375025E-2</v>
      </c>
      <c r="O2477">
        <v>-0.99229069999999997</v>
      </c>
      <c r="P2477">
        <v>-5.6777840000000003E-2</v>
      </c>
      <c r="Q2477">
        <v>0.1821178</v>
      </c>
      <c r="R2477">
        <v>-0.98163650000000002</v>
      </c>
      <c r="S2477">
        <v>0.85690309999999903</v>
      </c>
      <c r="T2477">
        <v>7.0367810000000003E-2</v>
      </c>
      <c r="U2477">
        <v>-3.0909580000000001</v>
      </c>
      <c r="V2477">
        <v>-6.4050560000000006E-2</v>
      </c>
      <c r="W2477">
        <v>0.1957632</v>
      </c>
      <c r="X2477">
        <v>0.97855729999999996</v>
      </c>
      <c r="Y2477">
        <v>-0.3836754</v>
      </c>
      <c r="Z2477">
        <v>-3.520496E-2</v>
      </c>
      <c r="AA2477">
        <v>0.92279670000000003</v>
      </c>
      <c r="AB2477">
        <v>29</v>
      </c>
      <c r="AC2477">
        <v>18.8584999999999</v>
      </c>
      <c r="AD2477">
        <v>1.546805</v>
      </c>
      <c r="AE2477">
        <v>-67.775800000000004</v>
      </c>
      <c r="AF2477">
        <v>-27.05045988386</v>
      </c>
      <c r="AG2477">
        <v>1.546805</v>
      </c>
      <c r="AH2477">
        <v>64.905261453145698</v>
      </c>
      <c r="AI2477">
        <v>88.739826129719503</v>
      </c>
      <c r="AJ2477">
        <v>112.624829830276</v>
      </c>
      <c r="AK2477">
        <v>70.333583371939397</v>
      </c>
      <c r="AL2477">
        <v>78.710689484662794</v>
      </c>
      <c r="AM2477">
        <v>93.744900164048104</v>
      </c>
      <c r="AN2477">
        <v>1.0000000470469199</v>
      </c>
    </row>
    <row r="2478" spans="1:40" x14ac:dyDescent="0.25">
      <c r="A2478" t="str">
        <f>"20190303170545705"</f>
        <v>20190303170545705</v>
      </c>
      <c r="B2478" t="str">
        <f>"1551603945697448"</f>
        <v>1551603945697448</v>
      </c>
      <c r="C2478" t="s">
        <v>40</v>
      </c>
      <c r="D2478">
        <v>5.9815360000000002</v>
      </c>
      <c r="E2478">
        <v>0.37284479999999998</v>
      </c>
      <c r="F2478" t="s">
        <v>72</v>
      </c>
      <c r="G2478">
        <v>-472.88850000000002</v>
      </c>
      <c r="H2478">
        <v>2.7824390000000001</v>
      </c>
      <c r="I2478">
        <v>181.34549999999999</v>
      </c>
      <c r="J2478">
        <v>-492.99459999999999</v>
      </c>
      <c r="K2478">
        <v>1.120204</v>
      </c>
      <c r="L2478">
        <v>253.84479999999999</v>
      </c>
      <c r="M2478">
        <v>-0.1239565</v>
      </c>
      <c r="N2478">
        <v>-1.374467E-2</v>
      </c>
      <c r="O2478">
        <v>-0.99219270000000004</v>
      </c>
      <c r="P2478">
        <v>-5.7904089999999998E-2</v>
      </c>
      <c r="Q2478">
        <v>0.1825396</v>
      </c>
      <c r="R2478">
        <v>-0.98149240000000004</v>
      </c>
      <c r="S2478">
        <v>0.8547363</v>
      </c>
      <c r="T2478">
        <v>7.0739629999999998E-2</v>
      </c>
      <c r="U2478">
        <v>-3.092438</v>
      </c>
      <c r="V2478">
        <v>-6.3693830000000007E-2</v>
      </c>
      <c r="W2478">
        <v>0.19617789999999999</v>
      </c>
      <c r="X2478">
        <v>0.97849750000000002</v>
      </c>
      <c r="Y2478">
        <v>-0.38369350000000002</v>
      </c>
      <c r="Z2478">
        <v>-3.5300900000000003E-2</v>
      </c>
      <c r="AA2478">
        <v>0.92278550000000004</v>
      </c>
      <c r="AB2478">
        <v>29</v>
      </c>
      <c r="AC2478">
        <v>20.106099999999898</v>
      </c>
      <c r="AD2478">
        <v>1.6622349999999999</v>
      </c>
      <c r="AE2478">
        <v>-72.499300000000005</v>
      </c>
      <c r="AF2478">
        <v>-28.924492761588802</v>
      </c>
      <c r="AG2478">
        <v>1.6622349999999999</v>
      </c>
      <c r="AH2478">
        <v>69.413654775750103</v>
      </c>
      <c r="AI2478">
        <v>88.733711762753501</v>
      </c>
      <c r="AJ2478">
        <v>112.621367650537</v>
      </c>
      <c r="AK2478">
        <v>75.217316995738798</v>
      </c>
      <c r="AL2478">
        <v>78.686458725554203</v>
      </c>
      <c r="AM2478">
        <v>93.724328731463203</v>
      </c>
      <c r="AN2478">
        <v>1.00000001496736</v>
      </c>
    </row>
    <row r="2479" spans="1:40" x14ac:dyDescent="0.25">
      <c r="A2479" t="str">
        <f>"20190303170545717"</f>
        <v>20190303170545717</v>
      </c>
      <c r="B2479" t="str">
        <f>"1551603945707208"</f>
        <v>1551603945707208</v>
      </c>
      <c r="C2479" t="s">
        <v>40</v>
      </c>
      <c r="D2479">
        <v>5.9510680000000002</v>
      </c>
      <c r="E2479">
        <v>0.37237799999999999</v>
      </c>
      <c r="F2479" t="s">
        <v>72</v>
      </c>
      <c r="G2479">
        <v>-472.95209999999997</v>
      </c>
      <c r="H2479">
        <v>2.7747700000000002</v>
      </c>
      <c r="I2479">
        <v>181.34549999999999</v>
      </c>
      <c r="J2479">
        <v>-493.01549999999997</v>
      </c>
      <c r="K2479">
        <v>1.120212</v>
      </c>
      <c r="L2479">
        <v>253.68350000000001</v>
      </c>
      <c r="M2479">
        <v>-0.124708</v>
      </c>
      <c r="N2479">
        <v>-1.3739629999999999E-2</v>
      </c>
      <c r="O2479">
        <v>-0.99209849999999999</v>
      </c>
      <c r="P2479">
        <v>-5.8806079999999997E-2</v>
      </c>
      <c r="Q2479">
        <v>0.1828505</v>
      </c>
      <c r="R2479">
        <v>-0.98138069999999999</v>
      </c>
      <c r="S2479">
        <v>0.85531619999999997</v>
      </c>
      <c r="T2479">
        <v>7.0608850000000001E-2</v>
      </c>
      <c r="U2479">
        <v>-3.0939179999999999</v>
      </c>
      <c r="V2479">
        <v>-6.3529379999999996E-2</v>
      </c>
      <c r="W2479">
        <v>0.19648189999999999</v>
      </c>
      <c r="X2479">
        <v>0.97844719999999996</v>
      </c>
      <c r="Y2479">
        <v>-0.38444050000000002</v>
      </c>
      <c r="Z2479">
        <v>-3.5240859999999999E-2</v>
      </c>
      <c r="AA2479">
        <v>0.92247690000000004</v>
      </c>
      <c r="AB2479">
        <v>29</v>
      </c>
      <c r="AC2479">
        <v>20.063400000000001</v>
      </c>
      <c r="AD2479">
        <v>1.654558</v>
      </c>
      <c r="AE2479">
        <v>-72.337999999999994</v>
      </c>
      <c r="AF2479">
        <v>-28.914676392371899</v>
      </c>
      <c r="AG2479">
        <v>1.654558</v>
      </c>
      <c r="AH2479">
        <v>69.237248756421806</v>
      </c>
      <c r="AI2479">
        <v>88.7367606649523</v>
      </c>
      <c r="AJ2479">
        <v>112.66626173927899</v>
      </c>
      <c r="AK2479">
        <v>75.050600853088298</v>
      </c>
      <c r="AL2479">
        <v>78.668695162325605</v>
      </c>
      <c r="AM2479">
        <v>93.714930342661802</v>
      </c>
      <c r="AN2479">
        <v>1.0000000211693101</v>
      </c>
    </row>
    <row r="2480" spans="1:40" x14ac:dyDescent="0.25">
      <c r="A2480" t="str">
        <f>"20190303170545729"</f>
        <v>20190303170545729</v>
      </c>
      <c r="B2480" t="str">
        <f>"1551603945716968"</f>
        <v>1551603945716968</v>
      </c>
      <c r="C2480" t="s">
        <v>40</v>
      </c>
      <c r="D2480">
        <v>6.0034689999999999</v>
      </c>
      <c r="E2480">
        <v>0.37202279999999999</v>
      </c>
      <c r="F2480" t="s">
        <v>72</v>
      </c>
      <c r="G2480">
        <v>-472.8965</v>
      </c>
      <c r="H2480">
        <v>2.8643040000000002</v>
      </c>
      <c r="I2480">
        <v>180.99940000000001</v>
      </c>
      <c r="J2480">
        <v>-493.03550000000001</v>
      </c>
      <c r="K2480">
        <v>1.1202219999999901</v>
      </c>
      <c r="L2480">
        <v>253.5309</v>
      </c>
      <c r="M2480">
        <v>-0.12541160000000001</v>
      </c>
      <c r="N2480">
        <v>-1.373512E-2</v>
      </c>
      <c r="O2480">
        <v>-0.9920099</v>
      </c>
      <c r="P2480">
        <v>-5.9682850000000003E-2</v>
      </c>
      <c r="Q2480">
        <v>0.1833224</v>
      </c>
      <c r="R2480">
        <v>-0.98123970000000005</v>
      </c>
      <c r="S2480">
        <v>0.85653690000000005</v>
      </c>
      <c r="T2480">
        <v>7.4252250000000006E-2</v>
      </c>
      <c r="U2480">
        <v>-3.0944210000000001</v>
      </c>
      <c r="V2480">
        <v>-6.3339519999999996E-2</v>
      </c>
      <c r="W2480">
        <v>0.1969466</v>
      </c>
      <c r="X2480">
        <v>0.97836610000000002</v>
      </c>
      <c r="Y2480">
        <v>-0.38538699999999998</v>
      </c>
      <c r="Z2480">
        <v>-3.6321970000000002E-2</v>
      </c>
      <c r="AA2480">
        <v>0.92203990000000002</v>
      </c>
      <c r="AB2480">
        <v>29</v>
      </c>
      <c r="AC2480">
        <v>20.138999999999999</v>
      </c>
      <c r="AD2480">
        <v>1.7440819999999999</v>
      </c>
      <c r="AE2480">
        <v>-72.531499999999994</v>
      </c>
      <c r="AF2480">
        <v>-29.061515686483698</v>
      </c>
      <c r="AG2480">
        <v>1.7440819999999999</v>
      </c>
      <c r="AH2480">
        <v>69.395586101823397</v>
      </c>
      <c r="AI2480">
        <v>88.672020721489204</v>
      </c>
      <c r="AJ2480">
        <v>112.72298314677199</v>
      </c>
      <c r="AK2480">
        <v>75.255304706273293</v>
      </c>
      <c r="AL2480">
        <v>78.641539447900897</v>
      </c>
      <c r="AM2480">
        <v>93.704165250980594</v>
      </c>
      <c r="AN2480">
        <v>1.0000000418372901</v>
      </c>
    </row>
    <row r="2481" spans="1:40" x14ac:dyDescent="0.25">
      <c r="A2481" t="str">
        <f>"20190303170545748"</f>
        <v>20190303170545748</v>
      </c>
      <c r="B2481" t="str">
        <f>"1551603945737464"</f>
        <v>1551603945737464</v>
      </c>
      <c r="C2481" t="s">
        <v>40</v>
      </c>
      <c r="D2481">
        <v>6.0114169999999998</v>
      </c>
      <c r="E2481">
        <v>0.37145109999999998</v>
      </c>
      <c r="F2481" t="s">
        <v>72</v>
      </c>
      <c r="G2481">
        <v>-472.95600000000002</v>
      </c>
      <c r="H2481">
        <v>2.910501</v>
      </c>
      <c r="I2481">
        <v>180.99940000000001</v>
      </c>
      <c r="J2481">
        <v>-493.06569999999999</v>
      </c>
      <c r="K2481">
        <v>1.120244</v>
      </c>
      <c r="L2481">
        <v>253.3005</v>
      </c>
      <c r="M2481">
        <v>-0.1264614</v>
      </c>
      <c r="N2481">
        <v>-1.372872E-2</v>
      </c>
      <c r="O2481">
        <v>-0.99187650000000005</v>
      </c>
      <c r="P2481">
        <v>-6.0990709999999997E-2</v>
      </c>
      <c r="Q2481">
        <v>0.1843475</v>
      </c>
      <c r="R2481">
        <v>-0.98096719999999904</v>
      </c>
      <c r="S2481">
        <v>0.85687259999999998</v>
      </c>
      <c r="T2481">
        <v>7.6398489999999999E-2</v>
      </c>
      <c r="U2481">
        <v>-3.095215</v>
      </c>
      <c r="V2481">
        <v>-6.3049270000000004E-2</v>
      </c>
      <c r="W2481">
        <v>0.19796050000000001</v>
      </c>
      <c r="X2481">
        <v>0.97818020000000006</v>
      </c>
      <c r="Y2481">
        <v>-0.38639089999999998</v>
      </c>
      <c r="Z2481">
        <v>-3.6947059999999997E-2</v>
      </c>
      <c r="AA2481">
        <v>0.92159480000000005</v>
      </c>
      <c r="AB2481">
        <v>29</v>
      </c>
      <c r="AC2481">
        <v>20.1097</v>
      </c>
      <c r="AD2481">
        <v>1.790257</v>
      </c>
      <c r="AE2481">
        <v>-72.301099999999906</v>
      </c>
      <c r="AF2481">
        <v>-29.075832881117002</v>
      </c>
      <c r="AG2481">
        <v>1.790257</v>
      </c>
      <c r="AH2481">
        <v>69.137836710355799</v>
      </c>
      <c r="AI2481">
        <v>88.632658067919905</v>
      </c>
      <c r="AJ2481">
        <v>112.80912845825701</v>
      </c>
      <c r="AK2481">
        <v>75.0243263404912</v>
      </c>
      <c r="AL2481">
        <v>78.582280524765594</v>
      </c>
      <c r="AM2481">
        <v>93.687936857716707</v>
      </c>
      <c r="AN2481">
        <v>1.00000003683991</v>
      </c>
    </row>
    <row r="2482" spans="1:40" x14ac:dyDescent="0.25">
      <c r="A2482" t="str">
        <f>"20190303170545761"</f>
        <v>20190303170545761</v>
      </c>
      <c r="B2482" t="str">
        <f>"1551603945747224"</f>
        <v>1551603945747224</v>
      </c>
      <c r="C2482" t="s">
        <v>40</v>
      </c>
      <c r="D2482">
        <v>6.0391180000000002</v>
      </c>
      <c r="E2482">
        <v>0.37112810000000002</v>
      </c>
      <c r="F2482" t="s">
        <v>72</v>
      </c>
      <c r="G2482">
        <v>-473.03280000000001</v>
      </c>
      <c r="H2482">
        <v>3.0005410000000001</v>
      </c>
      <c r="I2482">
        <v>180.99950000000001</v>
      </c>
      <c r="J2482">
        <v>-493.08920000000001</v>
      </c>
      <c r="K2482">
        <v>1.120261</v>
      </c>
      <c r="L2482">
        <v>253.1232</v>
      </c>
      <c r="M2482">
        <v>-0.12725839999999999</v>
      </c>
      <c r="N2482">
        <v>-1.3724109999999999E-2</v>
      </c>
      <c r="O2482">
        <v>-0.99177490000000001</v>
      </c>
      <c r="P2482">
        <v>-6.2235930000000002E-2</v>
      </c>
      <c r="Q2482">
        <v>0.18504670000000001</v>
      </c>
      <c r="R2482">
        <v>-0.98075749999999995</v>
      </c>
      <c r="S2482">
        <v>0.857940699999999</v>
      </c>
      <c r="T2482">
        <v>8.0526589999999995E-2</v>
      </c>
      <c r="U2482">
        <v>-3.0964049999999999</v>
      </c>
      <c r="V2482">
        <v>-6.257952E-2</v>
      </c>
      <c r="W2482">
        <v>0.19865079999999999</v>
      </c>
      <c r="X2482">
        <v>0.97807040000000001</v>
      </c>
      <c r="Y2482">
        <v>-0.38732689999999997</v>
      </c>
      <c r="Z2482">
        <v>-3.816572E-2</v>
      </c>
      <c r="AA2482">
        <v>0.92115210000000003</v>
      </c>
      <c r="AB2482">
        <v>29</v>
      </c>
      <c r="AC2482">
        <v>20.0564</v>
      </c>
      <c r="AD2482">
        <v>1.88028</v>
      </c>
      <c r="AE2482">
        <v>-72.1236999999999</v>
      </c>
      <c r="AF2482">
        <v>-29.054182069998799</v>
      </c>
      <c r="AG2482">
        <v>1.88028</v>
      </c>
      <c r="AH2482">
        <v>68.941116663065898</v>
      </c>
      <c r="AI2482">
        <v>88.560289431450997</v>
      </c>
      <c r="AJ2482">
        <v>112.852248326237</v>
      </c>
      <c r="AK2482">
        <v>74.836879380326295</v>
      </c>
      <c r="AL2482">
        <v>78.541927681756604</v>
      </c>
      <c r="AM2482">
        <v>93.6609446097508</v>
      </c>
      <c r="AN2482">
        <v>1.00000002201011</v>
      </c>
    </row>
    <row r="2483" spans="1:40" x14ac:dyDescent="0.25">
      <c r="A2483" t="str">
        <f>"20190303170545775"</f>
        <v>20190303170545775</v>
      </c>
      <c r="B2483" t="str">
        <f>"1551603945766744"</f>
        <v>1551603945766744</v>
      </c>
      <c r="C2483" t="s">
        <v>40</v>
      </c>
      <c r="D2483">
        <v>6.0273949999999896</v>
      </c>
      <c r="E2483">
        <v>0.37048560000000003</v>
      </c>
      <c r="F2483" t="s">
        <v>72</v>
      </c>
      <c r="G2483">
        <v>-473.14010000000002</v>
      </c>
      <c r="H2483">
        <v>3.0739420000000002</v>
      </c>
      <c r="I2483">
        <v>180.99950000000001</v>
      </c>
      <c r="J2483">
        <v>-493.11270000000002</v>
      </c>
      <c r="K2483">
        <v>1.1202829999999999</v>
      </c>
      <c r="L2483">
        <v>252.9477</v>
      </c>
      <c r="M2483">
        <v>-0.1280346</v>
      </c>
      <c r="N2483">
        <v>-1.371985E-2</v>
      </c>
      <c r="O2483">
        <v>-0.99167499999999997</v>
      </c>
      <c r="P2483">
        <v>-6.3152599999999906E-2</v>
      </c>
      <c r="Q2483">
        <v>0.1861593</v>
      </c>
      <c r="R2483">
        <v>-0.98048820000000003</v>
      </c>
      <c r="S2483">
        <v>0.85672000000000004</v>
      </c>
      <c r="T2483">
        <v>8.3901169999999997E-2</v>
      </c>
      <c r="U2483">
        <v>-3.0973660000000001</v>
      </c>
      <c r="V2483">
        <v>-6.2407610000000002E-2</v>
      </c>
      <c r="W2483">
        <v>0.1997535</v>
      </c>
      <c r="X2483">
        <v>0.97785679999999997</v>
      </c>
      <c r="Y2483">
        <v>-0.38762970000000002</v>
      </c>
      <c r="Z2483">
        <v>-3.9163799999999999E-2</v>
      </c>
      <c r="AA2483">
        <v>0.92098279999999999</v>
      </c>
      <c r="AB2483">
        <v>29</v>
      </c>
      <c r="AC2483">
        <v>19.9726</v>
      </c>
      <c r="AD2483">
        <v>1.953659</v>
      </c>
      <c r="AE2483">
        <v>-71.9481999999999</v>
      </c>
      <c r="AF2483">
        <v>-29.001059571106101</v>
      </c>
      <c r="AG2483">
        <v>1.953659</v>
      </c>
      <c r="AH2483">
        <v>68.751443928052296</v>
      </c>
      <c r="AI2483">
        <v>88.500213306471593</v>
      </c>
      <c r="AJ2483">
        <v>112.871220272128</v>
      </c>
      <c r="AK2483">
        <v>74.643414189915205</v>
      </c>
      <c r="AL2483">
        <v>78.477455778292097</v>
      </c>
      <c r="AM2483">
        <v>93.651710332104201</v>
      </c>
      <c r="AN2483">
        <v>1.0000000459272</v>
      </c>
    </row>
    <row r="2484" spans="1:40" x14ac:dyDescent="0.25">
      <c r="A2484" t="str">
        <f>"20190303170545792"</f>
        <v>20190303170545792</v>
      </c>
      <c r="B2484" t="str">
        <f>"1551603945787241"</f>
        <v>1551603945787241</v>
      </c>
      <c r="C2484" t="s">
        <v>40</v>
      </c>
      <c r="D2484">
        <v>5.9811420000000002</v>
      </c>
      <c r="E2484">
        <v>0.3698729</v>
      </c>
      <c r="F2484" t="s">
        <v>72</v>
      </c>
      <c r="G2484">
        <v>-473.15539999999999</v>
      </c>
      <c r="H2484">
        <v>3.2145890000000001</v>
      </c>
      <c r="I2484">
        <v>180.99950000000001</v>
      </c>
      <c r="J2484">
        <v>-493.1413</v>
      </c>
      <c r="K2484">
        <v>1.1203050000000001</v>
      </c>
      <c r="L2484">
        <v>252.7336</v>
      </c>
      <c r="M2484">
        <v>-0.12897140000000001</v>
      </c>
      <c r="N2484">
        <v>-1.371491E-2</v>
      </c>
      <c r="O2484">
        <v>-0.99155349999999998</v>
      </c>
      <c r="P2484">
        <v>-6.4552570000000004E-2</v>
      </c>
      <c r="Q2484">
        <v>0.1866835</v>
      </c>
      <c r="R2484">
        <v>-0.98029710000000003</v>
      </c>
      <c r="S2484">
        <v>0.85931399999999902</v>
      </c>
      <c r="T2484">
        <v>9.0176220000000001E-2</v>
      </c>
      <c r="U2484">
        <v>-3.097931</v>
      </c>
      <c r="V2484">
        <v>-6.1928599999999903E-2</v>
      </c>
      <c r="W2484">
        <v>0.20026840000000001</v>
      </c>
      <c r="X2484">
        <v>0.97778189999999998</v>
      </c>
      <c r="Y2484">
        <v>-0.3891579</v>
      </c>
      <c r="Z2484">
        <v>-4.1022080000000002E-2</v>
      </c>
      <c r="AA2484">
        <v>0.9202572</v>
      </c>
      <c r="AB2484">
        <v>29</v>
      </c>
      <c r="AC2484">
        <v>19.985900000000001</v>
      </c>
      <c r="AD2484">
        <v>2.094284</v>
      </c>
      <c r="AE2484">
        <v>-71.734099999999899</v>
      </c>
      <c r="AF2484">
        <v>-29.048493656421599</v>
      </c>
      <c r="AG2484">
        <v>2.094284</v>
      </c>
      <c r="AH2484">
        <v>68.502851498810998</v>
      </c>
      <c r="AI2484">
        <v>88.387767579659993</v>
      </c>
      <c r="AJ2484">
        <v>112.97927308873101</v>
      </c>
      <c r="AK2484">
        <v>74.436830081942503</v>
      </c>
      <c r="AL2484">
        <v>78.447345392601903</v>
      </c>
      <c r="AM2484">
        <v>93.624033427029502</v>
      </c>
      <c r="AN2484">
        <v>1.0000000137520599</v>
      </c>
    </row>
    <row r="2485" spans="1:40" x14ac:dyDescent="0.25">
      <c r="A2485" t="str">
        <f>"20190303170545803"</f>
        <v>20190303170545803</v>
      </c>
      <c r="B2485" t="str">
        <f>"1551603945797000"</f>
        <v>1551603945797000</v>
      </c>
      <c r="C2485" t="s">
        <v>40</v>
      </c>
      <c r="D2485">
        <v>5.9811030000000001</v>
      </c>
      <c r="E2485">
        <v>0.36958180000000002</v>
      </c>
      <c r="F2485" t="s">
        <v>72</v>
      </c>
      <c r="G2485">
        <v>-473.21730000000002</v>
      </c>
      <c r="H2485">
        <v>3.300033</v>
      </c>
      <c r="I2485">
        <v>180.99959999999999</v>
      </c>
      <c r="J2485">
        <v>-493.16160000000002</v>
      </c>
      <c r="K2485">
        <v>1.120312</v>
      </c>
      <c r="L2485">
        <v>252.5829</v>
      </c>
      <c r="M2485">
        <v>-0.12962480000000001</v>
      </c>
      <c r="N2485">
        <v>-1.3711589999999999E-2</v>
      </c>
      <c r="O2485">
        <v>-0.99146840000000003</v>
      </c>
      <c r="P2485">
        <v>-6.5320279999999994E-2</v>
      </c>
      <c r="Q2485">
        <v>0.1867297</v>
      </c>
      <c r="R2485">
        <v>-0.98023740000000004</v>
      </c>
      <c r="S2485">
        <v>0.86074830000000002</v>
      </c>
      <c r="T2485">
        <v>9.4167829999999994E-2</v>
      </c>
      <c r="U2485">
        <v>-3.09903</v>
      </c>
      <c r="V2485">
        <v>-6.1811989999999997E-2</v>
      </c>
      <c r="W2485">
        <v>0.20030899999999999</v>
      </c>
      <c r="X2485">
        <v>0.97778089999999995</v>
      </c>
      <c r="Y2485">
        <v>-0.39006619999999997</v>
      </c>
      <c r="Z2485">
        <v>-4.2195959999999998E-2</v>
      </c>
      <c r="AA2485">
        <v>0.91981950000000001</v>
      </c>
      <c r="AB2485">
        <v>29</v>
      </c>
      <c r="AC2485">
        <v>19.944299999999998</v>
      </c>
      <c r="AD2485">
        <v>2.1797209999999998</v>
      </c>
      <c r="AE2485">
        <v>-71.583299999999994</v>
      </c>
      <c r="AF2485">
        <v>-29.030864264785599</v>
      </c>
      <c r="AG2485">
        <v>2.1797209999999998</v>
      </c>
      <c r="AH2485">
        <v>68.334930629295997</v>
      </c>
      <c r="AI2485">
        <v>88.318385930736596</v>
      </c>
      <c r="AJ2485">
        <v>113.01733776949</v>
      </c>
      <c r="AK2485">
        <v>74.277890436582396</v>
      </c>
      <c r="AL2485">
        <v>78.444970361258996</v>
      </c>
      <c r="AM2485">
        <v>93.617231287443602</v>
      </c>
      <c r="AN2485">
        <v>0.99999995299678301</v>
      </c>
    </row>
    <row r="2486" spans="1:40" x14ac:dyDescent="0.25">
      <c r="A2486" t="str">
        <f>"20190303170545815"</f>
        <v>20190303170545815</v>
      </c>
      <c r="B2486" t="str">
        <f>"1551603945806760"</f>
        <v>1551603945806760</v>
      </c>
      <c r="C2486" t="s">
        <v>40</v>
      </c>
      <c r="D2486">
        <v>5.9401679999999999</v>
      </c>
      <c r="E2486">
        <v>0.36929020000000001</v>
      </c>
      <c r="F2486" t="s">
        <v>72</v>
      </c>
      <c r="G2486">
        <v>-473.28719999999998</v>
      </c>
      <c r="H2486">
        <v>3.2960699999999998</v>
      </c>
      <c r="I2486">
        <v>180.99959999999999</v>
      </c>
      <c r="J2486">
        <v>-493.18259999999998</v>
      </c>
      <c r="K2486">
        <v>1.120323</v>
      </c>
      <c r="L2486">
        <v>252.42840000000001</v>
      </c>
      <c r="M2486">
        <v>-0.13028489999999901</v>
      </c>
      <c r="N2486">
        <v>-1.3708400000000001E-2</v>
      </c>
      <c r="O2486">
        <v>-0.99138210000000004</v>
      </c>
      <c r="P2486">
        <v>-6.5983440000000004E-2</v>
      </c>
      <c r="Q2486">
        <v>0.1869654</v>
      </c>
      <c r="R2486">
        <v>-0.98014840000000003</v>
      </c>
      <c r="S2486">
        <v>0.86065669999999905</v>
      </c>
      <c r="T2486">
        <v>9.4220639999999994E-2</v>
      </c>
      <c r="U2486">
        <v>-3.0998990000000002</v>
      </c>
      <c r="V2486">
        <v>-6.1800630000000002E-2</v>
      </c>
      <c r="W2486">
        <v>0.20053889999999999</v>
      </c>
      <c r="X2486">
        <v>0.97773460000000001</v>
      </c>
      <c r="Y2486">
        <v>-0.39058730000000003</v>
      </c>
      <c r="Z2486">
        <v>-4.2194990000000002E-2</v>
      </c>
      <c r="AA2486">
        <v>0.91959829999999998</v>
      </c>
      <c r="AB2486">
        <v>29</v>
      </c>
      <c r="AC2486">
        <v>19.895399999999899</v>
      </c>
      <c r="AD2486">
        <v>2.1757469999999999</v>
      </c>
      <c r="AE2486">
        <v>-71.428799999999995</v>
      </c>
      <c r="AF2486">
        <v>-29.007780991382099</v>
      </c>
      <c r="AG2486">
        <v>2.1757469999999999</v>
      </c>
      <c r="AH2486">
        <v>68.168860314574204</v>
      </c>
      <c r="AI2486">
        <v>88.317784783489302</v>
      </c>
      <c r="AJ2486">
        <v>113.05112679701</v>
      </c>
      <c r="AK2486">
        <v>74.115981742401104</v>
      </c>
      <c r="AL2486">
        <v>78.431526483024797</v>
      </c>
      <c r="AM2486">
        <v>93.616739071679604</v>
      </c>
      <c r="AN2486">
        <v>1.00000005815938</v>
      </c>
    </row>
    <row r="2487" spans="1:40" x14ac:dyDescent="0.25">
      <c r="A2487" t="str">
        <f>"20190303170545837"</f>
        <v>20190303170545837</v>
      </c>
      <c r="B2487" t="str">
        <f>"1551603945827257"</f>
        <v>1551603945827257</v>
      </c>
      <c r="C2487" t="s">
        <v>40</v>
      </c>
      <c r="D2487">
        <v>5.9361879999999996</v>
      </c>
      <c r="E2487">
        <v>0.36872830000000001</v>
      </c>
      <c r="F2487" t="s">
        <v>72</v>
      </c>
      <c r="G2487">
        <v>-473.3424</v>
      </c>
      <c r="H2487">
        <v>3.31738</v>
      </c>
      <c r="I2487">
        <v>180.99959999999999</v>
      </c>
      <c r="J2487">
        <v>-493.21910000000003</v>
      </c>
      <c r="K2487">
        <v>1.120341</v>
      </c>
      <c r="L2487">
        <v>252.1602</v>
      </c>
      <c r="M2487">
        <v>-0.13142190000000001</v>
      </c>
      <c r="N2487">
        <v>-1.3703119999999999E-2</v>
      </c>
      <c r="O2487">
        <v>-0.991232</v>
      </c>
      <c r="P2487">
        <v>-6.7444669999999998E-2</v>
      </c>
      <c r="Q2487">
        <v>0.18741930000000001</v>
      </c>
      <c r="R2487">
        <v>-0.979962</v>
      </c>
      <c r="S2487">
        <v>0.86120609999999997</v>
      </c>
      <c r="T2487">
        <v>9.5368030000000006E-2</v>
      </c>
      <c r="U2487">
        <v>-3.1005250000000002</v>
      </c>
      <c r="V2487">
        <v>-6.1459229999999997E-2</v>
      </c>
      <c r="W2487">
        <v>0.2009831</v>
      </c>
      <c r="X2487">
        <v>0.9776648</v>
      </c>
      <c r="Y2487">
        <v>-0.39174350000000002</v>
      </c>
      <c r="Z2487">
        <v>-4.2514940000000001E-2</v>
      </c>
      <c r="AA2487">
        <v>0.91909169999999996</v>
      </c>
      <c r="AB2487">
        <v>29</v>
      </c>
      <c r="AC2487">
        <v>19.8767</v>
      </c>
      <c r="AD2487">
        <v>2.19703899999999</v>
      </c>
      <c r="AE2487">
        <v>-71.160600000000002</v>
      </c>
      <c r="AF2487">
        <v>-29.031534440632701</v>
      </c>
      <c r="AG2487">
        <v>2.19703899999999</v>
      </c>
      <c r="AH2487">
        <v>67.870781873046099</v>
      </c>
      <c r="AI2487">
        <v>88.2952412397063</v>
      </c>
      <c r="AJ2487">
        <v>113.158680020047</v>
      </c>
      <c r="AK2487">
        <v>73.851878814311604</v>
      </c>
      <c r="AL2487">
        <v>78.405545513949406</v>
      </c>
      <c r="AM2487">
        <v>93.5970681392741</v>
      </c>
      <c r="AN2487">
        <v>0.99999995229841998</v>
      </c>
    </row>
    <row r="2488" spans="1:40" x14ac:dyDescent="0.25">
      <c r="A2488" t="str">
        <f>"20190303170545850"</f>
        <v>20190303170545850</v>
      </c>
      <c r="B2488" t="str">
        <f>"1551603945837016"</f>
        <v>1551603945837016</v>
      </c>
      <c r="C2488" t="s">
        <v>40</v>
      </c>
      <c r="D2488">
        <v>5.9810449999999999</v>
      </c>
      <c r="E2488">
        <v>0.36845460000000002</v>
      </c>
      <c r="F2488" t="s">
        <v>72</v>
      </c>
      <c r="G2488">
        <v>-473.47019999999998</v>
      </c>
      <c r="H2488">
        <v>3.3407870000000002</v>
      </c>
      <c r="I2488">
        <v>180.99959999999999</v>
      </c>
      <c r="J2488">
        <v>-493.24239999999998</v>
      </c>
      <c r="K2488">
        <v>1.12035</v>
      </c>
      <c r="L2488">
        <v>251.99019999999999</v>
      </c>
      <c r="M2488">
        <v>-0.132134</v>
      </c>
      <c r="N2488">
        <v>-1.369999E-2</v>
      </c>
      <c r="O2488">
        <v>-0.9911375</v>
      </c>
      <c r="P2488">
        <v>-6.8291210000000005E-2</v>
      </c>
      <c r="Q2488">
        <v>0.18770790000000001</v>
      </c>
      <c r="R2488">
        <v>-0.97984830000000001</v>
      </c>
      <c r="S2488">
        <v>0.86090089999999997</v>
      </c>
      <c r="T2488">
        <v>9.6794720000000001E-2</v>
      </c>
      <c r="U2488">
        <v>-3.1020660000000002</v>
      </c>
      <c r="V2488">
        <v>-6.1312949999999998E-2</v>
      </c>
      <c r="W2488">
        <v>0.20126659999999999</v>
      </c>
      <c r="X2488">
        <v>0.97761569999999998</v>
      </c>
      <c r="Y2488">
        <v>-0.39219910000000002</v>
      </c>
      <c r="Z2488">
        <v>-4.2918860000000003E-2</v>
      </c>
      <c r="AA2488">
        <v>0.91887859999999999</v>
      </c>
      <c r="AB2488">
        <v>29</v>
      </c>
      <c r="AC2488">
        <v>19.772200000000002</v>
      </c>
      <c r="AD2488">
        <v>2.220437</v>
      </c>
      <c r="AE2488">
        <v>-70.990600000000001</v>
      </c>
      <c r="AF2488">
        <v>-28.953665003054699</v>
      </c>
      <c r="AG2488">
        <v>2.220437</v>
      </c>
      <c r="AH2488">
        <v>67.693745615025605</v>
      </c>
      <c r="AI2488">
        <v>88.272573945553503</v>
      </c>
      <c r="AJ2488">
        <v>113.157146944414</v>
      </c>
      <c r="AK2488">
        <v>73.659271330715001</v>
      </c>
      <c r="AL2488">
        <v>78.388963750462096</v>
      </c>
      <c r="AM2488">
        <v>93.588708864071094</v>
      </c>
      <c r="AN2488">
        <v>0.99999998949987601</v>
      </c>
    </row>
    <row r="2489" spans="1:40" x14ac:dyDescent="0.25">
      <c r="A2489" t="str">
        <f>"20190303170545862"</f>
        <v>20190303170545862</v>
      </c>
      <c r="B2489" t="str">
        <f>"1551603945857512"</f>
        <v>1551603945857512</v>
      </c>
      <c r="C2489" t="s">
        <v>40</v>
      </c>
      <c r="D2489">
        <v>5.9571489999999896</v>
      </c>
      <c r="E2489">
        <v>0.3678382</v>
      </c>
      <c r="F2489" t="s">
        <v>72</v>
      </c>
      <c r="G2489">
        <v>-473.55520000000001</v>
      </c>
      <c r="H2489">
        <v>3.3665919999999998</v>
      </c>
      <c r="I2489">
        <v>180.99959999999999</v>
      </c>
      <c r="J2489">
        <v>-493.26420000000002</v>
      </c>
      <c r="K2489">
        <v>1.1203590000000001</v>
      </c>
      <c r="L2489">
        <v>251.8314</v>
      </c>
      <c r="M2489">
        <v>-0.13279449999999901</v>
      </c>
      <c r="N2489">
        <v>-1.369717E-2</v>
      </c>
      <c r="O2489">
        <v>-0.99104910000000002</v>
      </c>
      <c r="P2489">
        <v>-6.8911570000000005E-2</v>
      </c>
      <c r="Q2489">
        <v>0.18781329999999999</v>
      </c>
      <c r="R2489">
        <v>-0.97978480000000001</v>
      </c>
      <c r="S2489">
        <v>0.86047359999999995</v>
      </c>
      <c r="T2489">
        <v>9.8177310000000004E-2</v>
      </c>
      <c r="U2489">
        <v>-3.102814</v>
      </c>
      <c r="V2489">
        <v>-6.1347069999999997E-2</v>
      </c>
      <c r="W2489">
        <v>0.2013675</v>
      </c>
      <c r="X2489">
        <v>0.97759280000000004</v>
      </c>
      <c r="Y2489">
        <v>-0.39263389999999998</v>
      </c>
      <c r="Z2489">
        <v>-4.3317080000000001E-2</v>
      </c>
      <c r="AA2489">
        <v>0.9186742</v>
      </c>
      <c r="AB2489">
        <v>29</v>
      </c>
      <c r="AC2489">
        <v>19.709</v>
      </c>
      <c r="AD2489">
        <v>2.2462330000000001</v>
      </c>
      <c r="AE2489">
        <v>-70.831800000000001</v>
      </c>
      <c r="AF2489">
        <v>-28.914382083487801</v>
      </c>
      <c r="AG2489">
        <v>2.2462330000000001</v>
      </c>
      <c r="AH2489">
        <v>67.523848132144494</v>
      </c>
      <c r="AI2489">
        <v>88.248436843273097</v>
      </c>
      <c r="AJ2489">
        <v>113.181089722967</v>
      </c>
      <c r="AK2489">
        <v>73.488482910814895</v>
      </c>
      <c r="AL2489">
        <v>78.383061985818003</v>
      </c>
      <c r="AM2489">
        <v>93.590784610380894</v>
      </c>
      <c r="AN2489">
        <v>1.0000000078328299</v>
      </c>
    </row>
    <row r="2490" spans="1:40" x14ac:dyDescent="0.25">
      <c r="A2490" t="str">
        <f>"20190303170545874"</f>
        <v>20190303170545874</v>
      </c>
      <c r="B2490" t="str">
        <f>"1551603945867272"</f>
        <v>1551603945867272</v>
      </c>
      <c r="C2490" t="s">
        <v>40</v>
      </c>
      <c r="D2490">
        <v>5.8722430000000001</v>
      </c>
      <c r="E2490">
        <v>0.36752380000000001</v>
      </c>
      <c r="F2490" t="s">
        <v>72</v>
      </c>
      <c r="G2490">
        <v>-473.55630000000002</v>
      </c>
      <c r="H2490">
        <v>3.3744459999999998</v>
      </c>
      <c r="I2490">
        <v>180.99959999999999</v>
      </c>
      <c r="J2490">
        <v>-493.28559999999999</v>
      </c>
      <c r="K2490">
        <v>1.1203669999999999</v>
      </c>
      <c r="L2490">
        <v>251.67670000000001</v>
      </c>
      <c r="M2490">
        <v>-0.1334264</v>
      </c>
      <c r="N2490">
        <v>-1.369455E-2</v>
      </c>
      <c r="O2490">
        <v>-0.99096419999999996</v>
      </c>
      <c r="P2490">
        <v>-6.9170850000000006E-2</v>
      </c>
      <c r="Q2490">
        <v>0.18781780000000001</v>
      </c>
      <c r="R2490">
        <v>-0.97976540000000001</v>
      </c>
      <c r="S2490">
        <v>0.86355590000000004</v>
      </c>
      <c r="T2490">
        <v>9.8768830000000002E-2</v>
      </c>
      <c r="U2490">
        <v>-3.1036830000000002</v>
      </c>
      <c r="V2490">
        <v>-6.1716710000000001E-2</v>
      </c>
      <c r="W2490">
        <v>0.20136850000000001</v>
      </c>
      <c r="X2490">
        <v>0.97756929999999997</v>
      </c>
      <c r="Y2490">
        <v>-0.3939993</v>
      </c>
      <c r="Z2490">
        <v>-4.346821E-2</v>
      </c>
      <c r="AA2490">
        <v>0.91808219999999996</v>
      </c>
      <c r="AB2490">
        <v>29</v>
      </c>
      <c r="AC2490">
        <v>19.729299999999899</v>
      </c>
      <c r="AD2490">
        <v>2.2540789999999999</v>
      </c>
      <c r="AE2490">
        <v>-70.677099999999996</v>
      </c>
      <c r="AF2490">
        <v>-28.956612422858001</v>
      </c>
      <c r="AG2490">
        <v>2.2540789999999999</v>
      </c>
      <c r="AH2490">
        <v>67.348830432636603</v>
      </c>
      <c r="AI2490">
        <v>88.238867733602206</v>
      </c>
      <c r="AJ2490">
        <v>113.26527465350701</v>
      </c>
      <c r="AK2490">
        <v>73.344606044274897</v>
      </c>
      <c r="AL2490">
        <v>78.383003172163797</v>
      </c>
      <c r="AM2490">
        <v>93.612449976479098</v>
      </c>
      <c r="AN2490">
        <v>0.99999998069398099</v>
      </c>
    </row>
    <row r="2491" spans="1:40" x14ac:dyDescent="0.25">
      <c r="A2491" t="str">
        <f>"20190303170545885"</f>
        <v>20190303170545885</v>
      </c>
      <c r="B2491" t="str">
        <f>"1551603945877032"</f>
        <v>1551603945877032</v>
      </c>
      <c r="C2491" t="s">
        <v>40</v>
      </c>
      <c r="D2491">
        <v>6.0506070000000003</v>
      </c>
      <c r="E2491">
        <v>0.3675407</v>
      </c>
      <c r="F2491" t="s">
        <v>72</v>
      </c>
      <c r="G2491">
        <v>-473.59280000000001</v>
      </c>
      <c r="H2491">
        <v>3.3703470000000002</v>
      </c>
      <c r="I2491">
        <v>180.99959999999999</v>
      </c>
      <c r="J2491">
        <v>-493.30669999999998</v>
      </c>
      <c r="K2491">
        <v>1.120376</v>
      </c>
      <c r="L2491">
        <v>251.52529999999999</v>
      </c>
      <c r="M2491">
        <v>-0.13403860000000001</v>
      </c>
      <c r="N2491">
        <v>-1.3692019999999999E-2</v>
      </c>
      <c r="O2491">
        <v>-0.99088180000000003</v>
      </c>
      <c r="P2491">
        <v>-6.9186109999999995E-2</v>
      </c>
      <c r="Q2491">
        <v>0.1874719</v>
      </c>
      <c r="R2491">
        <v>-0.97983070000000005</v>
      </c>
      <c r="S2491">
        <v>0.86489869999999902</v>
      </c>
      <c r="T2491">
        <v>9.8817710000000003E-2</v>
      </c>
      <c r="U2491">
        <v>-3.104095</v>
      </c>
      <c r="V2491">
        <v>-6.232211E-2</v>
      </c>
      <c r="W2491">
        <v>0.20102</v>
      </c>
      <c r="X2491">
        <v>0.97760270000000005</v>
      </c>
      <c r="Y2491">
        <v>-0.39490409999999998</v>
      </c>
      <c r="Z2491">
        <v>-4.3466329999999997E-2</v>
      </c>
      <c r="AA2491">
        <v>0.9176936</v>
      </c>
      <c r="AB2491">
        <v>29</v>
      </c>
      <c r="AC2491">
        <v>19.713899999999899</v>
      </c>
      <c r="AD2491">
        <v>2.2499709999999999</v>
      </c>
      <c r="AE2491">
        <v>-70.525700000000001</v>
      </c>
      <c r="AF2491">
        <v>-28.962678607194398</v>
      </c>
      <c r="AG2491">
        <v>2.2499709999999999</v>
      </c>
      <c r="AH2491">
        <v>67.183071094194503</v>
      </c>
      <c r="AI2491">
        <v>88.238476932212393</v>
      </c>
      <c r="AJ2491">
        <v>113.3209147618</v>
      </c>
      <c r="AK2491">
        <v>73.194700376817394</v>
      </c>
      <c r="AL2491">
        <v>78.403388546213293</v>
      </c>
      <c r="AM2491">
        <v>93.647666208845706</v>
      </c>
      <c r="AN2491">
        <v>1.0000000624210601</v>
      </c>
    </row>
    <row r="2492" spans="1:40" x14ac:dyDescent="0.25">
      <c r="A2492" t="str">
        <f>"20190303170545898"</f>
        <v>20190303170545898</v>
      </c>
      <c r="B2492" t="str">
        <f>"1551603945886794"</f>
        <v>1551603945886794</v>
      </c>
      <c r="C2492" t="s">
        <v>40</v>
      </c>
      <c r="D2492">
        <v>6.2759869999999998</v>
      </c>
      <c r="E2492">
        <v>0.3675407</v>
      </c>
      <c r="F2492" t="s">
        <v>72</v>
      </c>
      <c r="G2492">
        <v>-473.6662</v>
      </c>
      <c r="H2492">
        <v>3.305072</v>
      </c>
      <c r="I2492">
        <v>180.99959999999999</v>
      </c>
      <c r="J2492">
        <v>-493.32889999999998</v>
      </c>
      <c r="K2492">
        <v>1.1203879999999999</v>
      </c>
      <c r="L2492">
        <v>251.3664</v>
      </c>
      <c r="M2492">
        <v>-0.13466439999999999</v>
      </c>
      <c r="N2492">
        <v>-1.3689460000000001E-2</v>
      </c>
      <c r="O2492">
        <v>-0.99079689999999998</v>
      </c>
      <c r="P2492">
        <v>-6.8964769999999995E-2</v>
      </c>
      <c r="Q2492">
        <v>0.18722030000000001</v>
      </c>
      <c r="R2492">
        <v>-0.97989409999999999</v>
      </c>
      <c r="S2492">
        <v>0.86453250000000004</v>
      </c>
      <c r="T2492">
        <v>9.6165420000000001E-2</v>
      </c>
      <c r="U2492">
        <v>-3.1043850000000002</v>
      </c>
      <c r="V2492">
        <v>-6.3178059999999994E-2</v>
      </c>
      <c r="W2492">
        <v>0.20076540000000001</v>
      </c>
      <c r="X2492">
        <v>0.97760000000000002</v>
      </c>
      <c r="Y2492">
        <v>-0.39536900000000003</v>
      </c>
      <c r="Z2492">
        <v>-4.2664349999999997E-2</v>
      </c>
      <c r="AA2492">
        <v>0.91753099999999999</v>
      </c>
      <c r="AB2492">
        <v>29</v>
      </c>
      <c r="AC2492">
        <v>19.662699999999901</v>
      </c>
      <c r="AD2492">
        <v>2.1846839999999998</v>
      </c>
      <c r="AE2492">
        <v>-70.366799999999998</v>
      </c>
      <c r="AF2492">
        <v>-28.934482514842699</v>
      </c>
      <c r="AG2492">
        <v>2.1846839999999998</v>
      </c>
      <c r="AH2492">
        <v>67.017692692562505</v>
      </c>
      <c r="AI2492">
        <v>88.285742391908002</v>
      </c>
      <c r="AJ2492">
        <v>113.351979416003</v>
      </c>
      <c r="AK2492">
        <v>73.029776505315596</v>
      </c>
      <c r="AL2492">
        <v>78.418278740712793</v>
      </c>
      <c r="AM2492">
        <v>93.697636454382703</v>
      </c>
      <c r="AN2492">
        <v>0.99999998655126099</v>
      </c>
    </row>
    <row r="2493" spans="1:40" x14ac:dyDescent="0.25">
      <c r="A2493" t="str">
        <f>"20190303170545916"</f>
        <v>20190303170545916</v>
      </c>
      <c r="B2493" t="str">
        <f>"1551603945907288"</f>
        <v>1551603945907288</v>
      </c>
      <c r="C2493" t="s">
        <v>40</v>
      </c>
      <c r="D2493">
        <v>6.0839759999999998</v>
      </c>
      <c r="E2493">
        <v>0.41595779999999899</v>
      </c>
      <c r="F2493" t="s">
        <v>72</v>
      </c>
      <c r="G2493">
        <v>-473.73439999999999</v>
      </c>
      <c r="H2493">
        <v>3.2731889999999999</v>
      </c>
      <c r="I2493">
        <v>180.99950000000001</v>
      </c>
      <c r="J2493">
        <v>-493.35930000000002</v>
      </c>
      <c r="K2493">
        <v>1.120404</v>
      </c>
      <c r="L2493">
        <v>251.1498</v>
      </c>
      <c r="M2493">
        <v>-0.1354832</v>
      </c>
      <c r="N2493">
        <v>-1.3685879999999999E-2</v>
      </c>
      <c r="O2493">
        <v>-0.99068520000000004</v>
      </c>
      <c r="P2493">
        <v>-6.8691390000000005E-2</v>
      </c>
      <c r="Q2493">
        <v>0.18584600000000001</v>
      </c>
      <c r="R2493">
        <v>-0.98017520000000002</v>
      </c>
      <c r="S2493">
        <v>0.86441039999999902</v>
      </c>
      <c r="T2493">
        <v>9.4970819999999997E-2</v>
      </c>
      <c r="U2493">
        <v>-3.1042329999999998</v>
      </c>
      <c r="V2493">
        <v>-6.4315239999999996E-2</v>
      </c>
      <c r="W2493">
        <v>0.19938810000000001</v>
      </c>
      <c r="X2493">
        <v>0.97780769999999995</v>
      </c>
      <c r="Y2493">
        <v>-0.3961094</v>
      </c>
      <c r="Z2493">
        <v>-4.2297540000000002E-2</v>
      </c>
      <c r="AA2493">
        <v>0.91722859999999995</v>
      </c>
      <c r="AB2493">
        <v>29</v>
      </c>
      <c r="AC2493">
        <v>19.6249</v>
      </c>
      <c r="AD2493">
        <v>2.1527850000000002</v>
      </c>
      <c r="AE2493">
        <v>-70.150299999999902</v>
      </c>
      <c r="AF2493">
        <v>-28.923731703654902</v>
      </c>
      <c r="AG2493">
        <v>2.1527850000000002</v>
      </c>
      <c r="AH2493">
        <v>66.785943110752896</v>
      </c>
      <c r="AI2493">
        <v>88.305724737351198</v>
      </c>
      <c r="AJ2493">
        <v>113.41652595210201</v>
      </c>
      <c r="AK2493">
        <v>72.811942263024207</v>
      </c>
      <c r="AL2493">
        <v>78.498820707064596</v>
      </c>
      <c r="AM2493">
        <v>93.763205570730193</v>
      </c>
      <c r="AN2493">
        <v>0.99999998134857804</v>
      </c>
    </row>
    <row r="2494" spans="1:40" x14ac:dyDescent="0.25">
      <c r="A2494" t="str">
        <f>"20190303170545928"</f>
        <v>20190303170545928</v>
      </c>
      <c r="B2494" t="str">
        <f>"1551603945917048"</f>
        <v>1551603945917048</v>
      </c>
      <c r="C2494" t="s">
        <v>40</v>
      </c>
      <c r="D2494">
        <v>5.8810060000000002</v>
      </c>
      <c r="E2494">
        <v>0.42386439999999997</v>
      </c>
      <c r="F2494" t="s">
        <v>41</v>
      </c>
      <c r="G2494">
        <v>-482.60219999999998</v>
      </c>
      <c r="H2494" s="1">
        <v>-2.8889800000000001E-6</v>
      </c>
      <c r="I2494">
        <v>182.35329999999999</v>
      </c>
      <c r="J2494">
        <v>-493.38260000000002</v>
      </c>
      <c r="K2494">
        <v>1.1204379999999901</v>
      </c>
      <c r="L2494">
        <v>250.9836</v>
      </c>
      <c r="M2494">
        <v>-0.13607420000000001</v>
      </c>
      <c r="N2494">
        <v>-1.368306E-2</v>
      </c>
      <c r="O2494">
        <v>-0.9906045</v>
      </c>
      <c r="P2494">
        <v>-6.8799269999999996E-2</v>
      </c>
      <c r="Q2494">
        <v>0.1847963</v>
      </c>
      <c r="R2494">
        <v>-0.98036639999999997</v>
      </c>
      <c r="S2494">
        <v>0.48538209999999998</v>
      </c>
      <c r="T2494">
        <v>-5.055523E-2</v>
      </c>
      <c r="U2494">
        <v>-3.1042480000000001</v>
      </c>
      <c r="V2494">
        <v>-6.4839469999999996E-2</v>
      </c>
      <c r="W2494">
        <v>0.19833339999999999</v>
      </c>
      <c r="X2494">
        <v>0.97798759999999996</v>
      </c>
      <c r="Y2494">
        <v>-0.28744069999999999</v>
      </c>
      <c r="Z2494">
        <v>1.788317E-3</v>
      </c>
      <c r="AA2494">
        <v>0.9577968</v>
      </c>
      <c r="AB2494">
        <v>29</v>
      </c>
      <c r="AC2494">
        <v>10.7804</v>
      </c>
      <c r="AD2494">
        <v>-1.1204408889799899</v>
      </c>
      <c r="AE2494">
        <v>-68.630300000000005</v>
      </c>
      <c r="AF2494">
        <v>-20.0145871852095</v>
      </c>
      <c r="AG2494">
        <v>-1.1204408889799899</v>
      </c>
      <c r="AH2494">
        <v>66.507455264571405</v>
      </c>
      <c r="AI2494">
        <v>90.924225880602904</v>
      </c>
      <c r="AJ2494">
        <v>106.748511031069</v>
      </c>
      <c r="AK2494">
        <v>69.462800791135905</v>
      </c>
      <c r="AL2494">
        <v>78.560482535454398</v>
      </c>
      <c r="AM2494">
        <v>93.793094209943504</v>
      </c>
      <c r="AN2494">
        <v>1.0000000200896</v>
      </c>
    </row>
    <row r="2495" spans="1:40" x14ac:dyDescent="0.25">
      <c r="A2495" t="str">
        <f>"20190303170545940"</f>
        <v>20190303170545940</v>
      </c>
      <c r="B2495" t="str">
        <f>"1551603945926809"</f>
        <v>1551603945926809</v>
      </c>
      <c r="C2495" t="s">
        <v>40</v>
      </c>
      <c r="D2495">
        <v>5.9632860000000001</v>
      </c>
      <c r="E2495">
        <v>0.42386439999999997</v>
      </c>
      <c r="F2495" t="s">
        <v>52</v>
      </c>
      <c r="G2495">
        <v>-487.5598</v>
      </c>
      <c r="H2495" s="1">
        <v>2.260414E-6</v>
      </c>
      <c r="I2495">
        <v>208.2861</v>
      </c>
      <c r="J2495">
        <v>-493.40429999999998</v>
      </c>
      <c r="K2495">
        <v>1.120482</v>
      </c>
      <c r="L2495">
        <v>250.83009999999999</v>
      </c>
      <c r="M2495">
        <v>-0.13658580000000001</v>
      </c>
      <c r="N2495">
        <v>-1.368042E-2</v>
      </c>
      <c r="O2495">
        <v>-0.99053389999999997</v>
      </c>
      <c r="P2495">
        <v>-6.9083699999999998E-2</v>
      </c>
      <c r="Q2495">
        <v>0.18406980000000001</v>
      </c>
      <c r="R2495">
        <v>-0.98048270000000004</v>
      </c>
      <c r="S2495">
        <v>0.4234619</v>
      </c>
      <c r="T2495">
        <v>-8.1483009999999995E-2</v>
      </c>
      <c r="U2495">
        <v>-3.1051479999999998</v>
      </c>
      <c r="V2495">
        <v>-6.5102549999999995E-2</v>
      </c>
      <c r="W2495">
        <v>0.1975992</v>
      </c>
      <c r="X2495">
        <v>0.97811870000000001</v>
      </c>
      <c r="Y2495">
        <v>-0.26912009999999997</v>
      </c>
      <c r="Z2495">
        <v>1.1455450000000001E-2</v>
      </c>
      <c r="AA2495">
        <v>0.96303850000000002</v>
      </c>
      <c r="AB2495">
        <v>29</v>
      </c>
      <c r="AC2495">
        <v>5.8444999999999796</v>
      </c>
      <c r="AD2495">
        <v>-1.120479739586</v>
      </c>
      <c r="AE2495">
        <v>-42.543999999999897</v>
      </c>
      <c r="AF2495">
        <v>-11.593273345357</v>
      </c>
      <c r="AG2495">
        <v>-1.120479739586</v>
      </c>
      <c r="AH2495">
        <v>41.318733541898602</v>
      </c>
      <c r="AI2495">
        <v>91.495634270503999</v>
      </c>
      <c r="AJ2495">
        <v>105.67313852118301</v>
      </c>
      <c r="AK2495">
        <v>42.92897859504</v>
      </c>
      <c r="AL2495">
        <v>78.603398089372504</v>
      </c>
      <c r="AM2495">
        <v>93.807930175743607</v>
      </c>
      <c r="AN2495">
        <v>0.99999998857341599</v>
      </c>
    </row>
    <row r="2496" spans="1:40" x14ac:dyDescent="0.25">
      <c r="A2496" t="str">
        <f>"20190303170545955"</f>
        <v>20190303170545955</v>
      </c>
      <c r="B2496" t="str">
        <f>"1551603945947304"</f>
        <v>1551603945947304</v>
      </c>
      <c r="C2496" t="s">
        <v>40</v>
      </c>
      <c r="D2496">
        <v>6.0251789999999996</v>
      </c>
      <c r="E2496">
        <v>0.47767589999999999</v>
      </c>
      <c r="F2496" t="s">
        <v>52</v>
      </c>
      <c r="G2496">
        <v>-487.75220000000002</v>
      </c>
      <c r="H2496" s="1">
        <v>2.606541E-6</v>
      </c>
      <c r="I2496">
        <v>209.29320000000001</v>
      </c>
      <c r="J2496">
        <v>-493.4289</v>
      </c>
      <c r="K2496">
        <v>1.1205540000000001</v>
      </c>
      <c r="L2496">
        <v>250.65600000000001</v>
      </c>
      <c r="M2496">
        <v>-0.13708110000000001</v>
      </c>
      <c r="N2496">
        <v>-1.367729E-2</v>
      </c>
      <c r="O2496">
        <v>-0.99046579999999995</v>
      </c>
      <c r="P2496">
        <v>-6.9190169999999995E-2</v>
      </c>
      <c r="Q2496">
        <v>0.18301039999999999</v>
      </c>
      <c r="R2496">
        <v>-0.98067360000000003</v>
      </c>
      <c r="S2496">
        <v>0.42254639999999999</v>
      </c>
      <c r="T2496">
        <v>-8.3765629999999994E-2</v>
      </c>
      <c r="U2496">
        <v>-3.1052399999999998</v>
      </c>
      <c r="V2496">
        <v>-6.5550670000000005E-2</v>
      </c>
      <c r="W2496">
        <v>0.19652910000000001</v>
      </c>
      <c r="X2496">
        <v>0.97830439999999996</v>
      </c>
      <c r="Y2496">
        <v>-0.26931640000000001</v>
      </c>
      <c r="Z2496">
        <v>1.2162040000000001E-2</v>
      </c>
      <c r="AA2496">
        <v>0.96297500000000003</v>
      </c>
      <c r="AB2496">
        <v>29</v>
      </c>
      <c r="AC2496">
        <v>5.6766999999999799</v>
      </c>
      <c r="AD2496">
        <v>-1.1205513934589999</v>
      </c>
      <c r="AE2496">
        <v>-41.362799999999901</v>
      </c>
      <c r="AF2496">
        <v>-11.2855577426973</v>
      </c>
      <c r="AG2496">
        <v>-1.1205513934589999</v>
      </c>
      <c r="AH2496">
        <v>40.165081515896603</v>
      </c>
      <c r="AI2496">
        <v>91.538511779709907</v>
      </c>
      <c r="AJ2496">
        <v>105.694265435246</v>
      </c>
      <c r="AK2496">
        <v>41.735515118035401</v>
      </c>
      <c r="AL2496">
        <v>78.665937221840196</v>
      </c>
      <c r="AM2496">
        <v>93.833337763166796</v>
      </c>
      <c r="AN2496">
        <v>1.0000000382718</v>
      </c>
    </row>
    <row r="2497" spans="1:40" x14ac:dyDescent="0.25">
      <c r="A2497" t="str">
        <f>"20190303170545971"</f>
        <v>20190303170545971</v>
      </c>
      <c r="B2497" t="str">
        <f>"1551603945957065"</f>
        <v>1551603945957065</v>
      </c>
      <c r="C2497" t="s">
        <v>40</v>
      </c>
      <c r="D2497">
        <v>5.9826759999999997</v>
      </c>
      <c r="E2497">
        <v>0.47808210000000001</v>
      </c>
      <c r="F2497" t="s">
        <v>41</v>
      </c>
      <c r="G2497">
        <v>-493.44380000000001</v>
      </c>
      <c r="H2497" s="1">
        <v>-2.3353899999999998E-6</v>
      </c>
      <c r="I2497">
        <v>232.89699999999999</v>
      </c>
      <c r="J2497">
        <v>-493.4579</v>
      </c>
      <c r="K2497">
        <v>1.1206689999999999</v>
      </c>
      <c r="L2497">
        <v>250.45070000000001</v>
      </c>
      <c r="M2497">
        <v>-0.13757030000000001</v>
      </c>
      <c r="N2497">
        <v>-1.367374E-2</v>
      </c>
      <c r="O2497">
        <v>-0.99039779999999999</v>
      </c>
      <c r="P2497">
        <v>-6.8424719999999994E-2</v>
      </c>
      <c r="Q2497">
        <v>0.18192939999999999</v>
      </c>
      <c r="R2497">
        <v>-0.98092820000000003</v>
      </c>
      <c r="S2497">
        <v>-2.5939940000000001E-3</v>
      </c>
      <c r="T2497">
        <v>-0.1953136</v>
      </c>
      <c r="U2497">
        <v>-3.0953979999999999</v>
      </c>
      <c r="V2497">
        <v>-6.6882029999999995E-2</v>
      </c>
      <c r="W2497">
        <v>0.1954302</v>
      </c>
      <c r="X2497">
        <v>0.97843440000000004</v>
      </c>
      <c r="Y2497">
        <v>-0.13668079999999999</v>
      </c>
      <c r="Z2497">
        <v>4.8128020000000001E-2</v>
      </c>
      <c r="AA2497">
        <v>0.98944529999999997</v>
      </c>
      <c r="AB2497">
        <v>29</v>
      </c>
      <c r="AC2497">
        <v>1.4099999999984901E-2</v>
      </c>
      <c r="AD2497">
        <v>-1.12067133539</v>
      </c>
      <c r="AE2497">
        <v>-17.5536999999999</v>
      </c>
      <c r="AF2497">
        <v>-2.4191987311113801</v>
      </c>
      <c r="AG2497">
        <v>-1.12067133539</v>
      </c>
      <c r="AH2497">
        <v>17.314257857045099</v>
      </c>
      <c r="AI2497">
        <v>93.667792894590605</v>
      </c>
      <c r="AJ2497">
        <v>97.954039679522396</v>
      </c>
      <c r="AK2497">
        <v>17.5183318807136</v>
      </c>
      <c r="AL2497">
        <v>78.730144483176701</v>
      </c>
      <c r="AM2497">
        <v>93.910437129547702</v>
      </c>
      <c r="AN2497">
        <v>1.00000002205616</v>
      </c>
    </row>
    <row r="2498" spans="1:40" x14ac:dyDescent="0.25">
      <c r="A2498" t="str">
        <f>"20190303170546003"</f>
        <v>20190303170546003</v>
      </c>
      <c r="B2498" t="str">
        <f>"1551603945997080"</f>
        <v>1551603945997080</v>
      </c>
      <c r="C2498" t="s">
        <v>40</v>
      </c>
      <c r="D2498">
        <v>5.9513860000000003</v>
      </c>
      <c r="E2498">
        <v>0.4762845</v>
      </c>
      <c r="F2498" t="s">
        <v>41</v>
      </c>
      <c r="G2498">
        <v>-493.48419999999999</v>
      </c>
      <c r="H2498" s="1">
        <v>-2.3623639999999999E-6</v>
      </c>
      <c r="I2498">
        <v>232.9348</v>
      </c>
      <c r="J2498">
        <v>-493.51729999999998</v>
      </c>
      <c r="K2498">
        <v>1.1209720000000001</v>
      </c>
      <c r="L2498">
        <v>250.02969999999999</v>
      </c>
      <c r="M2498">
        <v>-0.1381657</v>
      </c>
      <c r="N2498">
        <v>-1.3667800000000001E-2</v>
      </c>
      <c r="O2498">
        <v>-0.9903151</v>
      </c>
      <c r="P2498">
        <v>-6.8892510000000004E-2</v>
      </c>
      <c r="Q2498">
        <v>0.18225839999999999</v>
      </c>
      <c r="R2498">
        <v>-0.9808344</v>
      </c>
      <c r="S2498">
        <v>-4.6386719999999999E-3</v>
      </c>
      <c r="T2498">
        <v>-0.1980026</v>
      </c>
      <c r="U2498">
        <v>-3.0947420000000001</v>
      </c>
      <c r="V2498">
        <v>-6.7135340000000002E-2</v>
      </c>
      <c r="W2498">
        <v>0.1957052</v>
      </c>
      <c r="X2498">
        <v>0.97836210000000001</v>
      </c>
      <c r="Y2498">
        <v>-0.13662170000000001</v>
      </c>
      <c r="Z2498">
        <v>4.8987940000000001E-2</v>
      </c>
      <c r="AA2498">
        <v>0.98941129999999999</v>
      </c>
      <c r="AB2498">
        <v>29</v>
      </c>
      <c r="AC2498">
        <v>3.3099999999990297E-2</v>
      </c>
      <c r="AD2498">
        <v>-1.1209743623639901</v>
      </c>
      <c r="AE2498">
        <v>-17.0948999999999</v>
      </c>
      <c r="AF2498">
        <v>-2.3846774504080699</v>
      </c>
      <c r="AG2498">
        <v>-1.1209743623639901</v>
      </c>
      <c r="AH2498">
        <v>16.8538709228907</v>
      </c>
      <c r="AI2498">
        <v>93.767798648761001</v>
      </c>
      <c r="AJ2498">
        <v>98.053400319397099</v>
      </c>
      <c r="AK2498">
        <v>17.058611759138699</v>
      </c>
      <c r="AL2498">
        <v>78.714078094860298</v>
      </c>
      <c r="AM2498">
        <v>93.925490529707901</v>
      </c>
      <c r="AN2498">
        <v>1.00000003895018</v>
      </c>
    </row>
    <row r="2499" spans="1:40" x14ac:dyDescent="0.25">
      <c r="A2499" t="str">
        <f>"20190303170546016"</f>
        <v>20190303170546016</v>
      </c>
      <c r="B2499" t="str">
        <f>"1551603946006840"</f>
        <v>1551603946006840</v>
      </c>
      <c r="C2499" t="s">
        <v>40</v>
      </c>
      <c r="D2499">
        <v>5.9231119999999997</v>
      </c>
      <c r="E2499">
        <v>0.4760955</v>
      </c>
      <c r="F2499" t="s">
        <v>41</v>
      </c>
      <c r="G2499">
        <v>-493.46550000000002</v>
      </c>
      <c r="H2499" s="1">
        <v>-2.5723189999999998E-6</v>
      </c>
      <c r="I2499">
        <v>233.4358</v>
      </c>
      <c r="J2499">
        <v>-493.54070000000002</v>
      </c>
      <c r="K2499">
        <v>1.121113</v>
      </c>
      <c r="L2499">
        <v>249.86320000000001</v>
      </c>
      <c r="M2499">
        <v>-0.1381926</v>
      </c>
      <c r="N2499">
        <v>-1.366619E-2</v>
      </c>
      <c r="O2499">
        <v>-0.99031139999999995</v>
      </c>
      <c r="P2499">
        <v>-6.9071460000000001E-2</v>
      </c>
      <c r="Q2499">
        <v>0.18292839999999999</v>
      </c>
      <c r="R2499">
        <v>-0.98069729999999999</v>
      </c>
      <c r="S2499">
        <v>9.6740720000000006E-3</v>
      </c>
      <c r="T2499">
        <v>-0.20929519999999999</v>
      </c>
      <c r="U2499">
        <v>-3.0982059999999998</v>
      </c>
      <c r="V2499">
        <v>-6.7030450000000005E-2</v>
      </c>
      <c r="W2499">
        <v>0.1963491</v>
      </c>
      <c r="X2499">
        <v>0.97824029999999995</v>
      </c>
      <c r="Y2499">
        <v>-0.1412128</v>
      </c>
      <c r="Z2499">
        <v>5.2448380000000003E-2</v>
      </c>
      <c r="AA2499">
        <v>0.98858889999999999</v>
      </c>
      <c r="AB2499">
        <v>29</v>
      </c>
      <c r="AC2499">
        <v>7.5199999999995201E-2</v>
      </c>
      <c r="AD2499">
        <v>-1.1211155723190001</v>
      </c>
      <c r="AE2499">
        <v>-16.427399999999999</v>
      </c>
      <c r="AF2499">
        <v>-2.3339643068257101</v>
      </c>
      <c r="AG2499">
        <v>-1.1211155723190001</v>
      </c>
      <c r="AH2499">
        <v>16.1839855973498</v>
      </c>
      <c r="AI2499">
        <v>93.922279282575701</v>
      </c>
      <c r="AJ2499">
        <v>98.206299487801104</v>
      </c>
      <c r="AK2499">
        <v>16.389804127178</v>
      </c>
      <c r="AL2499">
        <v>78.676455732045</v>
      </c>
      <c r="AM2499">
        <v>93.919863082328703</v>
      </c>
      <c r="AN2499">
        <v>1.0000000674210401</v>
      </c>
    </row>
    <row r="2500" spans="1:40" x14ac:dyDescent="0.25">
      <c r="A2500" t="str">
        <f>"20190303170546029"</f>
        <v>20190303170546029</v>
      </c>
      <c r="B2500" t="str">
        <f>"1551603946017576"</f>
        <v>1551603946017576</v>
      </c>
      <c r="C2500" t="s">
        <v>40</v>
      </c>
      <c r="D2500">
        <v>5.9849199999999998</v>
      </c>
      <c r="E2500">
        <v>0.47586580000000001</v>
      </c>
      <c r="F2500" t="s">
        <v>41</v>
      </c>
      <c r="G2500">
        <v>-493.48020000000002</v>
      </c>
      <c r="H2500" s="1">
        <v>-2.5141359999999999E-6</v>
      </c>
      <c r="I2500">
        <v>233.2911</v>
      </c>
      <c r="J2500">
        <v>-493.56200000000001</v>
      </c>
      <c r="K2500">
        <v>1.1212470000000001</v>
      </c>
      <c r="L2500">
        <v>249.71039999999999</v>
      </c>
      <c r="M2500">
        <v>-0.13813800000000001</v>
      </c>
      <c r="N2500">
        <v>-1.366494E-2</v>
      </c>
      <c r="O2500">
        <v>-0.99031899999999995</v>
      </c>
      <c r="P2500">
        <v>-6.8951699999999894E-2</v>
      </c>
      <c r="Q2500">
        <v>0.1832096</v>
      </c>
      <c r="R2500">
        <v>-0.98065290000000005</v>
      </c>
      <c r="S2500">
        <v>1.132202E-2</v>
      </c>
      <c r="T2500">
        <v>-0.20964669999999999</v>
      </c>
      <c r="U2500">
        <v>-3.0989529999999998</v>
      </c>
      <c r="V2500">
        <v>-6.7150039999999994E-2</v>
      </c>
      <c r="W2500">
        <v>0.19660759999999999</v>
      </c>
      <c r="X2500">
        <v>0.9781801</v>
      </c>
      <c r="Y2500">
        <v>-0.1416828</v>
      </c>
      <c r="Z2500">
        <v>5.254226E-2</v>
      </c>
      <c r="AA2500">
        <v>0.98851670000000003</v>
      </c>
      <c r="AB2500">
        <v>29</v>
      </c>
      <c r="AC2500">
        <v>8.1799999999930095E-2</v>
      </c>
      <c r="AD2500">
        <v>-1.1212495141359999</v>
      </c>
      <c r="AE2500">
        <v>-16.4192999999999</v>
      </c>
      <c r="AF2500">
        <v>-2.3384513815005801</v>
      </c>
      <c r="AG2500">
        <v>-1.1212495141359999</v>
      </c>
      <c r="AH2500">
        <v>16.175129889745001</v>
      </c>
      <c r="AI2500">
        <v>93.924690161289703</v>
      </c>
      <c r="AJ2500">
        <v>98.226300498916999</v>
      </c>
      <c r="AK2500">
        <v>16.3817087718807</v>
      </c>
      <c r="AL2500">
        <v>78.661349477364894</v>
      </c>
      <c r="AM2500">
        <v>93.927075619557598</v>
      </c>
      <c r="AN2500">
        <v>0.99999999214288504</v>
      </c>
    </row>
    <row r="2501" spans="1:40" x14ac:dyDescent="0.25">
      <c r="A2501" t="str">
        <f>"20190303170546041"</f>
        <v>20190303170546041</v>
      </c>
      <c r="B2501" t="str">
        <f>"1551603946027337"</f>
        <v>1551603946027337</v>
      </c>
      <c r="C2501" t="s">
        <v>40</v>
      </c>
      <c r="D2501">
        <v>5.9125680000000003</v>
      </c>
      <c r="E2501">
        <v>0.47554109999999999</v>
      </c>
      <c r="F2501" t="s">
        <v>41</v>
      </c>
      <c r="G2501">
        <v>-493.49059999999997</v>
      </c>
      <c r="H2501" s="1">
        <v>-2.4716779999999998E-6</v>
      </c>
      <c r="I2501">
        <v>233.1857</v>
      </c>
      <c r="J2501">
        <v>-493.58510000000001</v>
      </c>
      <c r="K2501">
        <v>1.121394</v>
      </c>
      <c r="L2501">
        <v>249.54490000000001</v>
      </c>
      <c r="M2501">
        <v>-0.13799169999999999</v>
      </c>
      <c r="N2501">
        <v>-1.366378E-2</v>
      </c>
      <c r="O2501">
        <v>-0.99033939999999998</v>
      </c>
      <c r="P2501">
        <v>-6.834221E-2</v>
      </c>
      <c r="Q2501">
        <v>0.1832713</v>
      </c>
      <c r="R2501">
        <v>-0.98068420000000001</v>
      </c>
      <c r="S2501">
        <v>1.339722E-2</v>
      </c>
      <c r="T2501">
        <v>-0.21030560000000001</v>
      </c>
      <c r="U2501">
        <v>-3.0994259999999998</v>
      </c>
      <c r="V2501">
        <v>-6.7680799999999999E-2</v>
      </c>
      <c r="W2501">
        <v>0.19664409999999999</v>
      </c>
      <c r="X2501">
        <v>0.97813620000000001</v>
      </c>
      <c r="Y2501">
        <v>-0.1421972</v>
      </c>
      <c r="Z2501">
        <v>5.2739389999999997E-2</v>
      </c>
      <c r="AA2501">
        <v>0.98843230000000004</v>
      </c>
      <c r="AB2501">
        <v>29</v>
      </c>
      <c r="AC2501">
        <v>9.4500000000039094E-2</v>
      </c>
      <c r="AD2501">
        <v>-1.1213964716780001</v>
      </c>
      <c r="AE2501">
        <v>-16.359200000000001</v>
      </c>
      <c r="AF2501">
        <v>-2.3402436054571099</v>
      </c>
      <c r="AG2501">
        <v>-1.1213964716780001</v>
      </c>
      <c r="AH2501">
        <v>16.1139123309604</v>
      </c>
      <c r="AI2501">
        <v>93.939699977884004</v>
      </c>
      <c r="AJ2501">
        <v>98.263363527863405</v>
      </c>
      <c r="AK2501">
        <v>16.321533040417801</v>
      </c>
      <c r="AL2501">
        <v>78.659216740134497</v>
      </c>
      <c r="AM2501">
        <v>93.958194385697396</v>
      </c>
      <c r="AN2501">
        <v>1.0000000092519401</v>
      </c>
    </row>
    <row r="2502" spans="1:40" x14ac:dyDescent="0.25">
      <c r="A2502" t="str">
        <f>"20190303170546058"</f>
        <v>20190303170546058</v>
      </c>
      <c r="B2502" t="str">
        <f>"1551603946046856"</f>
        <v>1551603946046856</v>
      </c>
      <c r="C2502" t="s">
        <v>40</v>
      </c>
      <c r="D2502">
        <v>5.8935820000000003</v>
      </c>
      <c r="E2502">
        <v>0.4756899</v>
      </c>
      <c r="F2502" t="s">
        <v>41</v>
      </c>
      <c r="G2502">
        <v>-493.49160000000001</v>
      </c>
      <c r="H2502" s="1">
        <v>-2.467434E-6</v>
      </c>
      <c r="I2502">
        <v>233.17519999999999</v>
      </c>
      <c r="J2502">
        <v>-493.61360000000002</v>
      </c>
      <c r="K2502">
        <v>1.1215949999999999</v>
      </c>
      <c r="L2502">
        <v>249.33709999999999</v>
      </c>
      <c r="M2502">
        <v>-0.13756380000000001</v>
      </c>
      <c r="N2502">
        <v>-1.3662860000000001E-2</v>
      </c>
      <c r="O2502">
        <v>-0.99039909999999998</v>
      </c>
      <c r="P2502">
        <v>-6.6624500000000003E-2</v>
      </c>
      <c r="Q2502">
        <v>0.18345590000000001</v>
      </c>
      <c r="R2502">
        <v>-0.98076830000000004</v>
      </c>
      <c r="S2502">
        <v>1.7700199999999999E-2</v>
      </c>
      <c r="T2502">
        <v>-0.21236540000000001</v>
      </c>
      <c r="U2502">
        <v>-3.1000209999999999</v>
      </c>
      <c r="V2502">
        <v>-6.906292E-2</v>
      </c>
      <c r="W2502">
        <v>0.19679369999999999</v>
      </c>
      <c r="X2502">
        <v>0.97800949999999998</v>
      </c>
      <c r="Y2502">
        <v>-0.14313919999999999</v>
      </c>
      <c r="Z2502">
        <v>5.3375119999999998E-2</v>
      </c>
      <c r="AA2502">
        <v>0.98826219999999998</v>
      </c>
      <c r="AB2502">
        <v>29</v>
      </c>
      <c r="AC2502">
        <v>0.122000000000014</v>
      </c>
      <c r="AD2502">
        <v>-1.1215974674339999</v>
      </c>
      <c r="AE2502">
        <v>-16.161899999999999</v>
      </c>
      <c r="AF2502">
        <v>-2.3331032407008601</v>
      </c>
      <c r="AG2502">
        <v>-1.1215974674339999</v>
      </c>
      <c r="AH2502">
        <v>15.914792537363599</v>
      </c>
      <c r="AI2502">
        <v>93.988769094426999</v>
      </c>
      <c r="AJ2502">
        <v>98.340133426766897</v>
      </c>
      <c r="AK2502">
        <v>16.123956497027901</v>
      </c>
      <c r="AL2502">
        <v>78.650474529438398</v>
      </c>
      <c r="AM2502">
        <v>94.039281939419396</v>
      </c>
      <c r="AN2502">
        <v>1.0000000146844299</v>
      </c>
    </row>
    <row r="2503" spans="1:40" x14ac:dyDescent="0.25">
      <c r="A2503" t="str">
        <f>"20190303170546072"</f>
        <v>20190303170546072</v>
      </c>
      <c r="B2503" t="str">
        <f>"1551603946057593"</f>
        <v>1551603946057593</v>
      </c>
      <c r="C2503" t="s">
        <v>40</v>
      </c>
      <c r="D2503">
        <v>5.9887180000000004</v>
      </c>
      <c r="E2503">
        <v>0.47618080000000002</v>
      </c>
      <c r="F2503" t="s">
        <v>41</v>
      </c>
      <c r="G2503">
        <v>-493.50749999999999</v>
      </c>
      <c r="H2503" s="1">
        <v>-2.4491259999999999E-6</v>
      </c>
      <c r="I2503">
        <v>233.12260000000001</v>
      </c>
      <c r="J2503">
        <v>-493.63659999999999</v>
      </c>
      <c r="K2503">
        <v>1.121761</v>
      </c>
      <c r="L2503">
        <v>249.16909999999999</v>
      </c>
      <c r="M2503">
        <v>-0.13706189999999999</v>
      </c>
      <c r="N2503">
        <v>-1.3662789999999999E-2</v>
      </c>
      <c r="O2503">
        <v>-0.99046829999999997</v>
      </c>
      <c r="P2503">
        <v>-6.5679310000000005E-2</v>
      </c>
      <c r="Q2503">
        <v>0.18363009999999999</v>
      </c>
      <c r="R2503">
        <v>-0.98079879999999997</v>
      </c>
      <c r="S2503">
        <v>2.029419E-2</v>
      </c>
      <c r="T2503">
        <v>-0.21445639999999999</v>
      </c>
      <c r="U2503">
        <v>-3.100311</v>
      </c>
      <c r="V2503">
        <v>-6.9585969999999997E-2</v>
      </c>
      <c r="W2503">
        <v>0.19693820000000001</v>
      </c>
      <c r="X2503">
        <v>0.97794340000000002</v>
      </c>
      <c r="Y2503">
        <v>-0.1434629</v>
      </c>
      <c r="Z2503">
        <v>5.4030839999999997E-2</v>
      </c>
      <c r="AA2503">
        <v>0.98817969999999999</v>
      </c>
      <c r="AB2503">
        <v>29</v>
      </c>
      <c r="AC2503">
        <v>0.129099999999994</v>
      </c>
      <c r="AD2503">
        <v>-1.121763449126</v>
      </c>
      <c r="AE2503">
        <v>-16.046499999999899</v>
      </c>
      <c r="AF2503">
        <v>-2.31613218179809</v>
      </c>
      <c r="AG2503">
        <v>-1.121763449126</v>
      </c>
      <c r="AH2503">
        <v>15.800126023042701</v>
      </c>
      <c r="AI2503">
        <v>94.018220861943504</v>
      </c>
      <c r="AJ2503">
        <v>98.339561925485896</v>
      </c>
      <c r="AK2503">
        <v>16.0083354494896</v>
      </c>
      <c r="AL2503">
        <v>78.642030759649401</v>
      </c>
      <c r="AM2503">
        <v>94.070045301791296</v>
      </c>
      <c r="AN2503">
        <v>1.0000000777218101</v>
      </c>
    </row>
    <row r="2504" spans="1:40" x14ac:dyDescent="0.25">
      <c r="A2504" t="str">
        <f>"20190303170546084"</f>
        <v>20190303170546084</v>
      </c>
      <c r="B2504" t="str">
        <f>"1551603946077113"</f>
        <v>1551603946077113</v>
      </c>
      <c r="C2504" t="s">
        <v>40</v>
      </c>
      <c r="D2504">
        <v>5.9387619999999997</v>
      </c>
      <c r="E2504">
        <v>0.47666750000000002</v>
      </c>
      <c r="F2504" t="s">
        <v>41</v>
      </c>
      <c r="G2504">
        <v>-493.5367</v>
      </c>
      <c r="H2504" s="1">
        <v>-2.3306219999999999E-6</v>
      </c>
      <c r="I2504">
        <v>232.82830000000001</v>
      </c>
      <c r="J2504">
        <v>-493.65839999999997</v>
      </c>
      <c r="K2504">
        <v>1.121923</v>
      </c>
      <c r="L2504">
        <v>249.00839999999999</v>
      </c>
      <c r="M2504">
        <v>-0.1364889</v>
      </c>
      <c r="N2504">
        <v>-1.3663089999999999E-2</v>
      </c>
      <c r="O2504">
        <v>-0.99054759999999997</v>
      </c>
      <c r="P2504">
        <v>-6.4637189999999997E-2</v>
      </c>
      <c r="Q2504">
        <v>0.18409229999999999</v>
      </c>
      <c r="R2504">
        <v>-0.98078169999999998</v>
      </c>
      <c r="S2504">
        <v>1.895142E-2</v>
      </c>
      <c r="T2504">
        <v>-0.21279619999999999</v>
      </c>
      <c r="U2504">
        <v>-3.0998230000000002</v>
      </c>
      <c r="V2504">
        <v>-7.012765E-2</v>
      </c>
      <c r="W2504">
        <v>0.19737099999999999</v>
      </c>
      <c r="X2504">
        <v>0.97781739999999995</v>
      </c>
      <c r="Y2504">
        <v>-0.1424646</v>
      </c>
      <c r="Z2504">
        <v>5.353277E-2</v>
      </c>
      <c r="AA2504">
        <v>0.98835119999999999</v>
      </c>
      <c r="AB2504">
        <v>29</v>
      </c>
      <c r="AC2504">
        <v>0.12169999999997499</v>
      </c>
      <c r="AD2504">
        <v>-1.1219253306219901</v>
      </c>
      <c r="AE2504">
        <v>-16.1800999999999</v>
      </c>
      <c r="AF2504">
        <v>-2.3180261213925899</v>
      </c>
      <c r="AG2504">
        <v>-1.1219253306219901</v>
      </c>
      <c r="AH2504">
        <v>15.9354261934183</v>
      </c>
      <c r="AI2504">
        <v>93.985426876885896</v>
      </c>
      <c r="AJ2504">
        <v>98.276406709091404</v>
      </c>
      <c r="AK2504">
        <v>16.1421736303644</v>
      </c>
      <c r="AL2504">
        <v>78.616736174400401</v>
      </c>
      <c r="AM2504">
        <v>94.102146877133407</v>
      </c>
      <c r="AN2504">
        <v>1.0000000333391399</v>
      </c>
    </row>
    <row r="2505" spans="1:40" x14ac:dyDescent="0.25">
      <c r="A2505" t="str">
        <f>"20190303170546095"</f>
        <v>20190303170546095</v>
      </c>
      <c r="B2505" t="str">
        <f>"1551603946086872"</f>
        <v>1551603946086872</v>
      </c>
      <c r="C2505" t="s">
        <v>40</v>
      </c>
      <c r="D2505">
        <v>5.9358009999999997</v>
      </c>
      <c r="E2505">
        <v>0.47698420000000002</v>
      </c>
      <c r="F2505" t="s">
        <v>41</v>
      </c>
      <c r="G2505">
        <v>-493.5625</v>
      </c>
      <c r="H2505" s="1">
        <v>-2.2097889999999999E-6</v>
      </c>
      <c r="I2505">
        <v>232.53059999999999</v>
      </c>
      <c r="J2505">
        <v>-493.67809999999997</v>
      </c>
      <c r="K2505">
        <v>1.122074</v>
      </c>
      <c r="L2505">
        <v>248.86070000000001</v>
      </c>
      <c r="M2505">
        <v>-0.1358132</v>
      </c>
      <c r="N2505">
        <v>-1.3664330000000001E-2</v>
      </c>
      <c r="O2505">
        <v>-0.99064030000000003</v>
      </c>
      <c r="P2505">
        <v>-6.3887979999999997E-2</v>
      </c>
      <c r="Q2505">
        <v>0.18449560000000001</v>
      </c>
      <c r="R2505">
        <v>-0.98075489999999999</v>
      </c>
      <c r="S2505">
        <v>1.8035889999999999E-2</v>
      </c>
      <c r="T2505">
        <v>-0.2110436</v>
      </c>
      <c r="U2505">
        <v>-3.0996090000000001</v>
      </c>
      <c r="V2505">
        <v>-7.0270460000000007E-2</v>
      </c>
      <c r="W2505">
        <v>0.1977487</v>
      </c>
      <c r="X2505">
        <v>0.97773080000000001</v>
      </c>
      <c r="Y2505">
        <v>-0.14149919999999999</v>
      </c>
      <c r="Z2505">
        <v>5.2999440000000002E-2</v>
      </c>
      <c r="AA2505">
        <v>0.98851860000000003</v>
      </c>
      <c r="AB2505">
        <v>29</v>
      </c>
      <c r="AC2505">
        <v>0.115599999999972</v>
      </c>
      <c r="AD2505">
        <v>-1.122076209789</v>
      </c>
      <c r="AE2505">
        <v>-16.330100000000002</v>
      </c>
      <c r="AF2505">
        <v>-2.3216181183500901</v>
      </c>
      <c r="AG2505">
        <v>-1.122076209789</v>
      </c>
      <c r="AH2505">
        <v>16.087113771783901</v>
      </c>
      <c r="AI2505">
        <v>93.949137850315694</v>
      </c>
      <c r="AJ2505">
        <v>98.211966035419394</v>
      </c>
      <c r="AK2505">
        <v>16.2924582311677</v>
      </c>
      <c r="AL2505">
        <v>78.594660098073703</v>
      </c>
      <c r="AM2505">
        <v>94.110834830633294</v>
      </c>
      <c r="AN2505">
        <v>1.0000000015844701</v>
      </c>
    </row>
    <row r="2506" spans="1:40" x14ac:dyDescent="0.25">
      <c r="A2506" t="str">
        <f>"20190303170546108"</f>
        <v>20190303170546108</v>
      </c>
      <c r="B2506" t="str">
        <f>"1551603946097608"</f>
        <v>1551603946097608</v>
      </c>
      <c r="C2506" t="s">
        <v>40</v>
      </c>
      <c r="D2506">
        <v>5.9021819999999998</v>
      </c>
      <c r="E2506">
        <v>0.4771436</v>
      </c>
      <c r="F2506" t="s">
        <v>41</v>
      </c>
      <c r="G2506">
        <v>-493.57479999999998</v>
      </c>
      <c r="H2506" s="1">
        <v>-2.0623339999999998E-6</v>
      </c>
      <c r="I2506">
        <v>232.17930000000001</v>
      </c>
      <c r="J2506">
        <v>-493.69760000000002</v>
      </c>
      <c r="K2506">
        <v>1.1222219999999901</v>
      </c>
      <c r="L2506">
        <v>248.71350000000001</v>
      </c>
      <c r="M2506">
        <v>-0.1350799</v>
      </c>
      <c r="N2506">
        <v>-1.366562E-2</v>
      </c>
      <c r="O2506">
        <v>-0.99074070000000003</v>
      </c>
      <c r="P2506">
        <v>-6.2612070000000006E-2</v>
      </c>
      <c r="Q2506">
        <v>0.18463109999999999</v>
      </c>
      <c r="R2506">
        <v>-0.98081180000000001</v>
      </c>
      <c r="S2506">
        <v>1.919556E-2</v>
      </c>
      <c r="T2506">
        <v>-0.20847689999999999</v>
      </c>
      <c r="U2506">
        <v>-3.099335</v>
      </c>
      <c r="V2506">
        <v>-7.0886599999999994E-2</v>
      </c>
      <c r="W2506">
        <v>0.19785810000000001</v>
      </c>
      <c r="X2506">
        <v>0.97766419999999998</v>
      </c>
      <c r="Y2506">
        <v>-0.14113800000000001</v>
      </c>
      <c r="Z2506">
        <v>5.220785E-2</v>
      </c>
      <c r="AA2506">
        <v>0.98861239999999995</v>
      </c>
      <c r="AB2506">
        <v>29</v>
      </c>
      <c r="AC2506">
        <v>0.12280000000004</v>
      </c>
      <c r="AD2506">
        <v>-1.1222240623339901</v>
      </c>
      <c r="AE2506">
        <v>-16.534199999999998</v>
      </c>
      <c r="AF2506">
        <v>-2.3445204548513598</v>
      </c>
      <c r="AG2506">
        <v>-1.1222240623339901</v>
      </c>
      <c r="AH2506">
        <v>16.290997432575999</v>
      </c>
      <c r="AI2506">
        <v>93.900599461435505</v>
      </c>
      <c r="AJ2506">
        <v>98.189497444843695</v>
      </c>
      <c r="AK2506">
        <v>16.497053081004999</v>
      </c>
      <c r="AL2506">
        <v>78.588265725994205</v>
      </c>
      <c r="AM2506">
        <v>94.1470354385539</v>
      </c>
      <c r="AN2506">
        <v>1.0000000128783999</v>
      </c>
    </row>
    <row r="2507" spans="1:40" x14ac:dyDescent="0.25">
      <c r="A2507" t="str">
        <f>"20190303170546120"</f>
        <v>20190303170546120</v>
      </c>
      <c r="B2507" t="str">
        <f>"1551603946107368"</f>
        <v>1551603946107368</v>
      </c>
      <c r="C2507" t="s">
        <v>40</v>
      </c>
      <c r="D2507">
        <v>5.9653140000000002</v>
      </c>
      <c r="E2507">
        <v>0.47741400000000001</v>
      </c>
      <c r="F2507" t="s">
        <v>41</v>
      </c>
      <c r="G2507">
        <v>-493.57499999999999</v>
      </c>
      <c r="H2507" s="1">
        <v>-1.9131910000000001E-6</v>
      </c>
      <c r="I2507">
        <v>231.83150000000001</v>
      </c>
      <c r="J2507">
        <v>-493.71730000000002</v>
      </c>
      <c r="K2507">
        <v>1.122366</v>
      </c>
      <c r="L2507">
        <v>248.56309999999999</v>
      </c>
      <c r="M2507">
        <v>-0.13424720000000001</v>
      </c>
      <c r="N2507">
        <v>-1.366708E-2</v>
      </c>
      <c r="O2507">
        <v>-0.99085380000000001</v>
      </c>
      <c r="P2507">
        <v>-6.115462E-2</v>
      </c>
      <c r="Q2507">
        <v>0.18517910000000001</v>
      </c>
      <c r="R2507">
        <v>-0.98080029999999996</v>
      </c>
      <c r="S2507">
        <v>2.2521969999999999E-2</v>
      </c>
      <c r="T2507">
        <v>-0.20599999999999999</v>
      </c>
      <c r="U2507">
        <v>-3.0989230000000001</v>
      </c>
      <c r="V2507">
        <v>-7.1573970000000001E-2</v>
      </c>
      <c r="W2507">
        <v>0.1983801</v>
      </c>
      <c r="X2507">
        <v>0.9775083</v>
      </c>
      <c r="Y2507">
        <v>-0.1413691</v>
      </c>
      <c r="Z2507">
        <v>5.1444330000000003E-2</v>
      </c>
      <c r="AA2507">
        <v>0.98861940000000004</v>
      </c>
      <c r="AB2507">
        <v>29</v>
      </c>
      <c r="AC2507">
        <v>0.14230000000003401</v>
      </c>
      <c r="AD2507">
        <v>-1.122367913191</v>
      </c>
      <c r="AE2507">
        <v>-16.731599999999901</v>
      </c>
      <c r="AF2507">
        <v>-2.37669755843124</v>
      </c>
      <c r="AG2507">
        <v>-1.122367913191</v>
      </c>
      <c r="AH2507">
        <v>16.4868274645019</v>
      </c>
      <c r="AI2507">
        <v>93.854769950815907</v>
      </c>
      <c r="AJ2507">
        <v>98.203096167061901</v>
      </c>
      <c r="AK2507">
        <v>16.695025632237599</v>
      </c>
      <c r="AL2507">
        <v>78.557752193310094</v>
      </c>
      <c r="AM2507">
        <v>94.187771304099499</v>
      </c>
      <c r="AN2507">
        <v>0.99999998691323</v>
      </c>
    </row>
    <row r="2508" spans="1:40" x14ac:dyDescent="0.25">
      <c r="A2508" t="str">
        <f>"20190303170546136"</f>
        <v>20190303170546136</v>
      </c>
      <c r="B2508" t="str">
        <f>"1551603946126889"</f>
        <v>1551603946126889</v>
      </c>
      <c r="C2508" t="s">
        <v>40</v>
      </c>
      <c r="D2508">
        <v>5.9360369999999998</v>
      </c>
      <c r="E2508">
        <v>0.4775317</v>
      </c>
      <c r="F2508" t="s">
        <v>41</v>
      </c>
      <c r="G2508">
        <v>-493.58080000000001</v>
      </c>
      <c r="H2508" s="1">
        <v>-1.7513249999999999E-6</v>
      </c>
      <c r="I2508">
        <v>231.45060000000001</v>
      </c>
      <c r="J2508">
        <v>-493.7448</v>
      </c>
      <c r="K2508">
        <v>1.122544</v>
      </c>
      <c r="L2508">
        <v>248.3511</v>
      </c>
      <c r="M2508">
        <v>-0.13293479999999999</v>
      </c>
      <c r="N2508">
        <v>-1.366848E-2</v>
      </c>
      <c r="O2508">
        <v>-0.99103059999999998</v>
      </c>
      <c r="P2508">
        <v>-5.6985800000000003E-2</v>
      </c>
      <c r="Q2508">
        <v>0.18478059999999999</v>
      </c>
      <c r="R2508">
        <v>-0.98112619999999895</v>
      </c>
      <c r="S2508">
        <v>2.471924E-2</v>
      </c>
      <c r="T2508">
        <v>-0.20323160000000001</v>
      </c>
      <c r="U2508">
        <v>-3.098633</v>
      </c>
      <c r="V2508">
        <v>-7.4532219999999996E-2</v>
      </c>
      <c r="W2508">
        <v>0.1979436</v>
      </c>
      <c r="X2508">
        <v>0.97737569999999996</v>
      </c>
      <c r="Y2508">
        <v>-0.1407612</v>
      </c>
      <c r="Z2508">
        <v>5.0596580000000002E-2</v>
      </c>
      <c r="AA2508">
        <v>0.98874989999999996</v>
      </c>
      <c r="AB2508">
        <v>29</v>
      </c>
      <c r="AC2508">
        <v>0.16399999999998699</v>
      </c>
      <c r="AD2508">
        <v>-1.1225457513249999</v>
      </c>
      <c r="AE2508">
        <v>-16.900499999999901</v>
      </c>
      <c r="AF2508">
        <v>-2.3988364978778902</v>
      </c>
      <c r="AG2508">
        <v>-1.1225457513249999</v>
      </c>
      <c r="AH2508">
        <v>16.655201603262501</v>
      </c>
      <c r="AI2508">
        <v>93.816587896218806</v>
      </c>
      <c r="AJ2508">
        <v>98.195906202896794</v>
      </c>
      <c r="AK2508">
        <v>16.8644675561574</v>
      </c>
      <c r="AL2508">
        <v>78.583267826643194</v>
      </c>
      <c r="AM2508">
        <v>94.360792570531601</v>
      </c>
      <c r="AN2508">
        <v>0.99999998977478899</v>
      </c>
    </row>
    <row r="2509" spans="1:40" x14ac:dyDescent="0.25">
      <c r="A2509" t="str">
        <f>"20190303170546162"</f>
        <v>20190303170546162</v>
      </c>
      <c r="B2509" t="str">
        <f>"1551603946147384"</f>
        <v>1551603946147384</v>
      </c>
      <c r="C2509" t="s">
        <v>40</v>
      </c>
      <c r="D2509">
        <v>5.857081</v>
      </c>
      <c r="E2509">
        <v>0.4776627</v>
      </c>
      <c r="F2509" t="s">
        <v>41</v>
      </c>
      <c r="G2509">
        <v>-493.55889999999999</v>
      </c>
      <c r="H2509" s="1">
        <v>-1.8183959999999999E-6</v>
      </c>
      <c r="I2509">
        <v>231.62049999999999</v>
      </c>
      <c r="J2509">
        <v>-493.78359999999998</v>
      </c>
      <c r="K2509">
        <v>1.122736</v>
      </c>
      <c r="L2509">
        <v>248.0453</v>
      </c>
      <c r="M2509">
        <v>-0.13085350000000001</v>
      </c>
      <c r="N2509">
        <v>-1.3668929999999999E-2</v>
      </c>
      <c r="O2509">
        <v>-0.99130750000000001</v>
      </c>
      <c r="P2509">
        <v>-5.2229020000000001E-2</v>
      </c>
      <c r="Q2509">
        <v>0.1839219</v>
      </c>
      <c r="R2509">
        <v>-0.98155210000000004</v>
      </c>
      <c r="S2509">
        <v>3.4423830000000002E-2</v>
      </c>
      <c r="T2509">
        <v>-0.2079194</v>
      </c>
      <c r="U2509">
        <v>-3.098862</v>
      </c>
      <c r="V2509">
        <v>-7.7336509999999997E-2</v>
      </c>
      <c r="W2509">
        <v>0.1970401</v>
      </c>
      <c r="X2509">
        <v>0.9773404</v>
      </c>
      <c r="Y2509">
        <v>-0.14177490000000001</v>
      </c>
      <c r="Z2509">
        <v>5.2087189999999998E-2</v>
      </c>
      <c r="AA2509">
        <v>0.98852759999999995</v>
      </c>
      <c r="AB2509">
        <v>28</v>
      </c>
      <c r="AC2509">
        <v>0.224699999999984</v>
      </c>
      <c r="AD2509">
        <v>-1.122737818396</v>
      </c>
      <c r="AE2509">
        <v>-16.424800000000001</v>
      </c>
      <c r="AF2509">
        <v>-2.3611802059692799</v>
      </c>
      <c r="AG2509">
        <v>-1.122737818396</v>
      </c>
      <c r="AH2509">
        <v>16.178561430222501</v>
      </c>
      <c r="AI2509">
        <v>93.928286790671805</v>
      </c>
      <c r="AJ2509">
        <v>98.303409864256807</v>
      </c>
      <c r="AK2509">
        <v>16.388458198543301</v>
      </c>
      <c r="AL2509">
        <v>78.636074705424207</v>
      </c>
      <c r="AM2509">
        <v>94.524362120106602</v>
      </c>
      <c r="AN2509">
        <v>0.99999999712957499</v>
      </c>
    </row>
    <row r="2510" spans="1:40" x14ac:dyDescent="0.25">
      <c r="A2510" t="str">
        <f>"20190303170546177"</f>
        <v>20190303170546177</v>
      </c>
      <c r="B2510" t="str">
        <f>"1551603946166905"</f>
        <v>1551603946166905</v>
      </c>
      <c r="C2510" t="s">
        <v>40</v>
      </c>
      <c r="D2510">
        <v>5.9716969999999998</v>
      </c>
      <c r="E2510">
        <v>0.47802240000000001</v>
      </c>
      <c r="F2510" t="s">
        <v>41</v>
      </c>
      <c r="G2510">
        <v>-493.54309999999998</v>
      </c>
      <c r="H2510" s="1">
        <v>-1.858228E-6</v>
      </c>
      <c r="I2510">
        <v>231.72309999999999</v>
      </c>
      <c r="J2510">
        <v>-493.80770000000001</v>
      </c>
      <c r="K2510">
        <v>1.122817</v>
      </c>
      <c r="L2510">
        <v>247.85149999999999</v>
      </c>
      <c r="M2510">
        <v>-0.12943350000000001</v>
      </c>
      <c r="N2510">
        <v>-1.3668390000000001E-2</v>
      </c>
      <c r="O2510">
        <v>-0.99149410000000004</v>
      </c>
      <c r="P2510">
        <v>-4.9984960000000002E-2</v>
      </c>
      <c r="Q2510">
        <v>0.1834925</v>
      </c>
      <c r="R2510">
        <v>-0.9817496</v>
      </c>
      <c r="S2510">
        <v>4.5654300000000002E-2</v>
      </c>
      <c r="T2510">
        <v>-0.2131528</v>
      </c>
      <c r="U2510">
        <v>-3.09877</v>
      </c>
      <c r="V2510">
        <v>-7.8221180000000001E-2</v>
      </c>
      <c r="W2510">
        <v>0.19659219999999999</v>
      </c>
      <c r="X2510">
        <v>0.97736020000000001</v>
      </c>
      <c r="Y2510">
        <v>-0.1439346</v>
      </c>
      <c r="Z2510">
        <v>5.374193E-2</v>
      </c>
      <c r="AA2510">
        <v>0.98812679999999997</v>
      </c>
      <c r="AB2510">
        <v>28</v>
      </c>
      <c r="AC2510">
        <v>0.26460000000002898</v>
      </c>
      <c r="AD2510">
        <v>-1.1228188582280001</v>
      </c>
      <c r="AE2510">
        <v>-16.128399999999999</v>
      </c>
      <c r="AF2510">
        <v>-2.3387915362411098</v>
      </c>
      <c r="AG2510">
        <v>-1.1228188582280001</v>
      </c>
      <c r="AH2510">
        <v>15.8815023696165</v>
      </c>
      <c r="AI2510">
        <v>94.001060003996002</v>
      </c>
      <c r="AJ2510">
        <v>98.377456137204803</v>
      </c>
      <c r="AK2510">
        <v>16.092009991126599</v>
      </c>
      <c r="AL2510">
        <v>78.662249523792596</v>
      </c>
      <c r="AM2510">
        <v>94.575806464123005</v>
      </c>
      <c r="AN2510">
        <v>1.0000000033227301</v>
      </c>
    </row>
    <row r="2511" spans="1:40" x14ac:dyDescent="0.25">
      <c r="A2511" t="str">
        <f>"20190303170546195"</f>
        <v>20190303170546195</v>
      </c>
      <c r="B2511" t="str">
        <f>"1551603946187401"</f>
        <v>1551603946187401</v>
      </c>
      <c r="C2511" t="s">
        <v>40</v>
      </c>
      <c r="D2511">
        <v>5.9578800000000003</v>
      </c>
      <c r="E2511">
        <v>0.47851339999999998</v>
      </c>
      <c r="F2511" t="s">
        <v>41</v>
      </c>
      <c r="G2511">
        <v>-493.55250000000001</v>
      </c>
      <c r="H2511" s="1">
        <v>-1.868701E-6</v>
      </c>
      <c r="I2511">
        <v>231.74180000000001</v>
      </c>
      <c r="J2511">
        <v>-493.8365</v>
      </c>
      <c r="K2511">
        <v>1.122887</v>
      </c>
      <c r="L2511">
        <v>247.61680000000001</v>
      </c>
      <c r="M2511">
        <v>-0.12766379999999999</v>
      </c>
      <c r="N2511">
        <v>-1.3667220000000001E-2</v>
      </c>
      <c r="O2511">
        <v>-0.99172340000000003</v>
      </c>
      <c r="P2511">
        <v>-4.7026560000000002E-2</v>
      </c>
      <c r="Q2511">
        <v>0.1831303</v>
      </c>
      <c r="R2511">
        <v>-0.98196329999999998</v>
      </c>
      <c r="S2511">
        <v>4.9102779999999999E-2</v>
      </c>
      <c r="T2511">
        <v>-0.21596750000000001</v>
      </c>
      <c r="U2511">
        <v>-3.0986180000000001</v>
      </c>
      <c r="V2511">
        <v>-7.9465140000000004E-2</v>
      </c>
      <c r="W2511">
        <v>0.1962102</v>
      </c>
      <c r="X2511">
        <v>0.9773366</v>
      </c>
      <c r="Y2511">
        <v>-0.14326739999999999</v>
      </c>
      <c r="Z2511">
        <v>5.4658850000000002E-2</v>
      </c>
      <c r="AA2511">
        <v>0.98817350000000004</v>
      </c>
      <c r="AB2511">
        <v>28</v>
      </c>
      <c r="AC2511">
        <v>0.28399999999999098</v>
      </c>
      <c r="AD2511">
        <v>-1.1228888687009999</v>
      </c>
      <c r="AE2511">
        <v>-15.875</v>
      </c>
      <c r="AF2511">
        <v>-2.2970389053215499</v>
      </c>
      <c r="AG2511">
        <v>-1.1228888687009999</v>
      </c>
      <c r="AH2511">
        <v>15.630640685019801</v>
      </c>
      <c r="AI2511">
        <v>94.065492984561999</v>
      </c>
      <c r="AJ2511">
        <v>98.3602000306458</v>
      </c>
      <c r="AK2511">
        <v>15.8383772959293</v>
      </c>
      <c r="AL2511">
        <v>78.684571109843105</v>
      </c>
      <c r="AM2511">
        <v>94.648371369143007</v>
      </c>
      <c r="AN2511">
        <v>0.99999999037940901</v>
      </c>
    </row>
    <row r="2512" spans="1:40" x14ac:dyDescent="0.25">
      <c r="A2512" t="str">
        <f>"20190303170546207"</f>
        <v>20190303170546207</v>
      </c>
      <c r="B2512" t="str">
        <f>"1551603946197161"</f>
        <v>1551603946197161</v>
      </c>
      <c r="C2512" t="s">
        <v>40</v>
      </c>
      <c r="D2512">
        <v>5.9415750000000003</v>
      </c>
      <c r="E2512">
        <v>0.47870000000000001</v>
      </c>
      <c r="F2512" t="s">
        <v>41</v>
      </c>
      <c r="G2512">
        <v>-493.5609</v>
      </c>
      <c r="H2512" s="1">
        <v>-1.7979129999999999E-6</v>
      </c>
      <c r="I2512">
        <v>231.57149999999999</v>
      </c>
      <c r="J2512">
        <v>-493.85579999999999</v>
      </c>
      <c r="K2512">
        <v>1.122914</v>
      </c>
      <c r="L2512">
        <v>247.4571</v>
      </c>
      <c r="M2512">
        <v>-0.12644069999999999</v>
      </c>
      <c r="N2512">
        <v>-1.366618E-2</v>
      </c>
      <c r="O2512">
        <v>-0.99187999999999998</v>
      </c>
      <c r="P2512">
        <v>-4.5376710000000001E-2</v>
      </c>
      <c r="Q2512">
        <v>0.18341160000000001</v>
      </c>
      <c r="R2512">
        <v>-0.98198850000000004</v>
      </c>
      <c r="S2512">
        <v>5.3222659999999998E-2</v>
      </c>
      <c r="T2512">
        <v>-0.21681300000000001</v>
      </c>
      <c r="U2512">
        <v>-3.0980989999999999</v>
      </c>
      <c r="V2512">
        <v>-7.9912269999999994E-2</v>
      </c>
      <c r="W2512">
        <v>0.19648180000000001</v>
      </c>
      <c r="X2512">
        <v>0.97724560000000005</v>
      </c>
      <c r="Y2512">
        <v>-0.14336270000000001</v>
      </c>
      <c r="Z2512">
        <v>5.4951809999999997E-2</v>
      </c>
      <c r="AA2512">
        <v>0.98814340000000001</v>
      </c>
      <c r="AB2512">
        <v>28</v>
      </c>
      <c r="AC2512">
        <v>0.29489999999998401</v>
      </c>
      <c r="AD2512">
        <v>-1.122915797913</v>
      </c>
      <c r="AE2512">
        <v>-15.8856</v>
      </c>
      <c r="AF2512">
        <v>-2.28986881772795</v>
      </c>
      <c r="AG2512">
        <v>-1.122915797913</v>
      </c>
      <c r="AH2512">
        <v>15.6426546531779</v>
      </c>
      <c r="AI2512">
        <v>94.062810236248197</v>
      </c>
      <c r="AJ2512">
        <v>98.328159951254705</v>
      </c>
      <c r="AK2512">
        <v>15.8491982033854</v>
      </c>
      <c r="AL2512">
        <v>78.668700942708995</v>
      </c>
      <c r="AM2512">
        <v>94.674844329897397</v>
      </c>
      <c r="AN2512">
        <v>1.00000001567357</v>
      </c>
    </row>
    <row r="2513" spans="1:40" x14ac:dyDescent="0.25">
      <c r="A2513" t="str">
        <f>"20190303170546222"</f>
        <v>20190303170546222</v>
      </c>
      <c r="B2513" t="str">
        <f>"1551603946217656"</f>
        <v>1551603946217656</v>
      </c>
      <c r="C2513" t="s">
        <v>40</v>
      </c>
      <c r="D2513">
        <v>5.9867220000000003</v>
      </c>
      <c r="E2513">
        <v>0.4791725</v>
      </c>
      <c r="F2513" t="s">
        <v>41</v>
      </c>
      <c r="G2513">
        <v>-493.56079999999997</v>
      </c>
      <c r="H2513" s="1">
        <v>-1.6809610000000001E-6</v>
      </c>
      <c r="I2513">
        <v>231.29900000000001</v>
      </c>
      <c r="J2513">
        <v>-493.87610000000001</v>
      </c>
      <c r="K2513">
        <v>1.122935</v>
      </c>
      <c r="L2513">
        <v>247.28749999999999</v>
      </c>
      <c r="M2513">
        <v>-0.12513279999999999</v>
      </c>
      <c r="N2513">
        <v>-1.3664910000000001E-2</v>
      </c>
      <c r="O2513">
        <v>-0.99204610000000004</v>
      </c>
      <c r="P2513">
        <v>-4.3470670000000003E-2</v>
      </c>
      <c r="Q2513">
        <v>0.18353040000000001</v>
      </c>
      <c r="R2513">
        <v>-0.98205260000000005</v>
      </c>
      <c r="S2513">
        <v>5.654907E-2</v>
      </c>
      <c r="T2513">
        <v>-0.21528430000000001</v>
      </c>
      <c r="U2513">
        <v>-3.0978240000000001</v>
      </c>
      <c r="V2513">
        <v>-8.052927E-2</v>
      </c>
      <c r="W2513">
        <v>0.19659219999999999</v>
      </c>
      <c r="X2513">
        <v>0.97717270000000001</v>
      </c>
      <c r="Y2513">
        <v>-0.1431212</v>
      </c>
      <c r="Z2513">
        <v>5.4494330000000001E-2</v>
      </c>
      <c r="AA2513">
        <v>0.98820379999999997</v>
      </c>
      <c r="AB2513">
        <v>28</v>
      </c>
      <c r="AC2513">
        <v>0.315300000000036</v>
      </c>
      <c r="AD2513">
        <v>-1.122936680961</v>
      </c>
      <c r="AE2513">
        <v>-15.988499999999901</v>
      </c>
      <c r="AF2513">
        <v>-2.30234084590762</v>
      </c>
      <c r="AG2513">
        <v>-1.122936680961</v>
      </c>
      <c r="AH2513">
        <v>15.7457083329162</v>
      </c>
      <c r="AI2513">
        <v>94.036478298028797</v>
      </c>
      <c r="AJ2513">
        <v>98.318848804474001</v>
      </c>
      <c r="AK2513">
        <v>15.9527142225218</v>
      </c>
      <c r="AL2513">
        <v>78.662249152769704</v>
      </c>
      <c r="AM2513">
        <v>94.711126680067196</v>
      </c>
      <c r="AN2513">
        <v>0.99999997102643101</v>
      </c>
    </row>
    <row r="2514" spans="1:40" x14ac:dyDescent="0.25">
      <c r="A2514" t="str">
        <f>"20190303170546238"</f>
        <v>20190303170546238</v>
      </c>
      <c r="B2514" t="str">
        <f>"1551603946227417"</f>
        <v>1551603946227417</v>
      </c>
      <c r="C2514" t="s">
        <v>40</v>
      </c>
      <c r="D2514">
        <v>5.96943</v>
      </c>
      <c r="E2514">
        <v>0.47940240000000001</v>
      </c>
      <c r="F2514" t="s">
        <v>41</v>
      </c>
      <c r="G2514">
        <v>-493.56909999999999</v>
      </c>
      <c r="H2514" s="1">
        <v>-1.587684E-6</v>
      </c>
      <c r="I2514">
        <v>231.07640000000001</v>
      </c>
      <c r="J2514">
        <v>-493.90069999999997</v>
      </c>
      <c r="K2514">
        <v>1.122951</v>
      </c>
      <c r="L2514">
        <v>247.0787</v>
      </c>
      <c r="M2514">
        <v>-0.1235251</v>
      </c>
      <c r="N2514">
        <v>-1.3663140000000001E-2</v>
      </c>
      <c r="O2514">
        <v>-0.9922474</v>
      </c>
      <c r="P2514">
        <v>-4.0416840000000002E-2</v>
      </c>
      <c r="Q2514">
        <v>0.1828871</v>
      </c>
      <c r="R2514">
        <v>-0.98230300000000004</v>
      </c>
      <c r="S2514">
        <v>5.8654789999999998E-2</v>
      </c>
      <c r="T2514">
        <v>-0.21456439999999999</v>
      </c>
      <c r="U2514">
        <v>-3.097534</v>
      </c>
      <c r="V2514">
        <v>-8.2005540000000002E-2</v>
      </c>
      <c r="W2514">
        <v>0.195939</v>
      </c>
      <c r="X2514">
        <v>0.97718110000000002</v>
      </c>
      <c r="Y2514">
        <v>-0.1421916</v>
      </c>
      <c r="Z2514">
        <v>5.4300109999999999E-2</v>
      </c>
      <c r="AA2514">
        <v>0.98834869999999997</v>
      </c>
      <c r="AB2514">
        <v>28</v>
      </c>
      <c r="AC2514">
        <v>0.33159999999998002</v>
      </c>
      <c r="AD2514">
        <v>-1.1229525876840001</v>
      </c>
      <c r="AE2514">
        <v>-16.002299999999899</v>
      </c>
      <c r="AF2514">
        <v>-2.2946351792009398</v>
      </c>
      <c r="AG2514">
        <v>-1.1229525876840001</v>
      </c>
      <c r="AH2514">
        <v>15.7611759806023</v>
      </c>
      <c r="AI2514">
        <v>94.032950144823005</v>
      </c>
      <c r="AJ2514">
        <v>98.283370286873605</v>
      </c>
      <c r="AK2514">
        <v>15.966873250932</v>
      </c>
      <c r="AL2514">
        <v>78.700416868545105</v>
      </c>
      <c r="AM2514">
        <v>94.797051006279304</v>
      </c>
      <c r="AN2514">
        <v>0.99999995125444896</v>
      </c>
    </row>
    <row r="2515" spans="1:40" x14ac:dyDescent="0.25">
      <c r="A2515" t="str">
        <f>"20190303170546252"</f>
        <v>20190303170546252</v>
      </c>
      <c r="B2515" t="str">
        <f>"1551603946237177"</f>
        <v>1551603946237177</v>
      </c>
      <c r="C2515" t="s">
        <v>40</v>
      </c>
      <c r="D2515">
        <v>5.9644339999999998</v>
      </c>
      <c r="E2515">
        <v>0.47959279999999999</v>
      </c>
      <c r="F2515" t="s">
        <v>41</v>
      </c>
      <c r="G2515">
        <v>-493.56709999999998</v>
      </c>
      <c r="H2515" s="1">
        <v>-1.5656779999999999E-6</v>
      </c>
      <c r="I2515">
        <v>231.02629999999999</v>
      </c>
      <c r="J2515">
        <v>-493.92110000000002</v>
      </c>
      <c r="K2515">
        <v>1.122952</v>
      </c>
      <c r="L2515">
        <v>246.9041</v>
      </c>
      <c r="M2515">
        <v>-0.1221894</v>
      </c>
      <c r="N2515">
        <v>-1.3661660000000001E-2</v>
      </c>
      <c r="O2515">
        <v>-0.99241290000000004</v>
      </c>
      <c r="P2515">
        <v>-3.8566290000000003E-2</v>
      </c>
      <c r="Q2515">
        <v>0.18210770000000001</v>
      </c>
      <c r="R2515">
        <v>-0.98252229999999996</v>
      </c>
      <c r="S2515">
        <v>6.4361570000000007E-2</v>
      </c>
      <c r="T2515">
        <v>-0.2166526</v>
      </c>
      <c r="U2515">
        <v>-3.0970149999999999</v>
      </c>
      <c r="V2515">
        <v>-8.2548430000000006E-2</v>
      </c>
      <c r="W2515">
        <v>0.1951571</v>
      </c>
      <c r="X2515">
        <v>0.97729189999999999</v>
      </c>
      <c r="Y2515">
        <v>-0.14268110000000001</v>
      </c>
      <c r="Z2515">
        <v>5.4983940000000002E-2</v>
      </c>
      <c r="AA2515">
        <v>0.98824029999999996</v>
      </c>
      <c r="AB2515">
        <v>28</v>
      </c>
      <c r="AC2515">
        <v>0.354000000000041</v>
      </c>
      <c r="AD2515">
        <v>-1.1229535656780001</v>
      </c>
      <c r="AE2515">
        <v>-15.877800000000001</v>
      </c>
      <c r="AF2515">
        <v>-2.28022658880827</v>
      </c>
      <c r="AG2515">
        <v>-1.1229535656780001</v>
      </c>
      <c r="AH2515">
        <v>15.637364046757799</v>
      </c>
      <c r="AI2515">
        <v>94.064645052358699</v>
      </c>
      <c r="AJ2515">
        <v>98.296347291644395</v>
      </c>
      <c r="AK2515">
        <v>15.842588561778999</v>
      </c>
      <c r="AL2515">
        <v>78.746098889527502</v>
      </c>
      <c r="AM2515">
        <v>94.828113738701006</v>
      </c>
      <c r="AN2515">
        <v>0.99999999739074197</v>
      </c>
    </row>
    <row r="2516" spans="1:40" x14ac:dyDescent="0.25">
      <c r="A2516" t="str">
        <f>"20190303170546266"</f>
        <v>20190303170546266</v>
      </c>
      <c r="B2516" t="str">
        <f>"1551603946257673"</f>
        <v>1551603946257673</v>
      </c>
      <c r="C2516" t="s">
        <v>40</v>
      </c>
      <c r="D2516">
        <v>5.9773560000000003</v>
      </c>
      <c r="E2516">
        <v>0.47996680000000003</v>
      </c>
      <c r="F2516" t="s">
        <v>41</v>
      </c>
      <c r="G2516">
        <v>-493.5779</v>
      </c>
      <c r="H2516" s="1">
        <v>-1.5741549999999999E-6</v>
      </c>
      <c r="I2516">
        <v>231.0394</v>
      </c>
      <c r="J2516">
        <v>-493.94200000000001</v>
      </c>
      <c r="K2516">
        <v>1.1229469999999999</v>
      </c>
      <c r="L2516">
        <v>246.7226</v>
      </c>
      <c r="M2516">
        <v>-0.1208118</v>
      </c>
      <c r="N2516">
        <v>-1.366011E-2</v>
      </c>
      <c r="O2516">
        <v>-0.99258150000000001</v>
      </c>
      <c r="P2516">
        <v>-3.664941E-2</v>
      </c>
      <c r="Q2516">
        <v>0.18105869999999999</v>
      </c>
      <c r="R2516">
        <v>-0.98278929999999998</v>
      </c>
      <c r="S2516">
        <v>6.6986080000000003E-2</v>
      </c>
      <c r="T2516">
        <v>-0.21918860000000001</v>
      </c>
      <c r="U2516">
        <v>-3.096619</v>
      </c>
      <c r="V2516">
        <v>-8.3119719999999994E-2</v>
      </c>
      <c r="W2516">
        <v>0.19410659999999999</v>
      </c>
      <c r="X2516">
        <v>0.97745269999999995</v>
      </c>
      <c r="Y2516">
        <v>-0.14214570000000001</v>
      </c>
      <c r="Z2516">
        <v>5.5813920000000003E-2</v>
      </c>
      <c r="AA2516">
        <v>0.98827089999999995</v>
      </c>
      <c r="AB2516">
        <v>28</v>
      </c>
      <c r="AC2516">
        <v>0.36409999999995002</v>
      </c>
      <c r="AD2516">
        <v>-1.1229485741549901</v>
      </c>
      <c r="AE2516">
        <v>-15.683199999999999</v>
      </c>
      <c r="AF2516">
        <v>-2.2448222685526802</v>
      </c>
      <c r="AG2516">
        <v>-1.1229485741549901</v>
      </c>
      <c r="AH2516">
        <v>15.4451717394165</v>
      </c>
      <c r="AI2516">
        <v>94.115311940228395</v>
      </c>
      <c r="AJ2516">
        <v>98.269542046638094</v>
      </c>
      <c r="AK2516">
        <v>15.6477976270674</v>
      </c>
      <c r="AL2516">
        <v>78.807461847727495</v>
      </c>
      <c r="AM2516">
        <v>94.860571999780007</v>
      </c>
      <c r="AN2516">
        <v>1.00000002037686</v>
      </c>
    </row>
    <row r="2517" spans="1:40" x14ac:dyDescent="0.25">
      <c r="A2517" t="str">
        <f>"20190303170546280"</f>
        <v>20190303170546280</v>
      </c>
      <c r="B2517" t="str">
        <f>"1551603946267434"</f>
        <v>1551603946267434</v>
      </c>
      <c r="C2517" t="s">
        <v>40</v>
      </c>
      <c r="D2517">
        <v>5.9822220000000002</v>
      </c>
      <c r="E2517">
        <v>0.48016180000000003</v>
      </c>
      <c r="F2517" t="s">
        <v>41</v>
      </c>
      <c r="G2517">
        <v>-493.59679999999997</v>
      </c>
      <c r="H2517" s="1">
        <v>-1.613879E-6</v>
      </c>
      <c r="I2517">
        <v>231.12029999999999</v>
      </c>
      <c r="J2517">
        <v>-493.96129999999999</v>
      </c>
      <c r="K2517">
        <v>1.122941</v>
      </c>
      <c r="L2517">
        <v>246.5532</v>
      </c>
      <c r="M2517">
        <v>-0.1195399</v>
      </c>
      <c r="N2517">
        <v>-1.36586E-2</v>
      </c>
      <c r="O2517">
        <v>-0.9927357</v>
      </c>
      <c r="P2517">
        <v>-3.4956899999999999E-2</v>
      </c>
      <c r="Q2517">
        <v>0.18007529999999999</v>
      </c>
      <c r="R2517">
        <v>-0.98303180000000001</v>
      </c>
      <c r="S2517">
        <v>6.8511959999999997E-2</v>
      </c>
      <c r="T2517">
        <v>-0.22283800000000001</v>
      </c>
      <c r="U2517">
        <v>-3.09613</v>
      </c>
      <c r="V2517">
        <v>-8.3567379999999997E-2</v>
      </c>
      <c r="W2517">
        <v>0.19312280000000001</v>
      </c>
      <c r="X2517">
        <v>0.97760939999999996</v>
      </c>
      <c r="Y2517">
        <v>-0.141365299999999</v>
      </c>
      <c r="Z2517">
        <v>5.6998220000000002E-2</v>
      </c>
      <c r="AA2517">
        <v>0.98831530000000001</v>
      </c>
      <c r="AB2517">
        <v>28</v>
      </c>
      <c r="AC2517">
        <v>0.36450000000001997</v>
      </c>
      <c r="AD2517">
        <v>-1.122942613879</v>
      </c>
      <c r="AE2517">
        <v>-15.4329</v>
      </c>
      <c r="AF2517">
        <v>-2.1952884403795201</v>
      </c>
      <c r="AG2517">
        <v>-1.122942613879</v>
      </c>
      <c r="AH2517">
        <v>15.198218596098901</v>
      </c>
      <c r="AI2517">
        <v>94.182454260606804</v>
      </c>
      <c r="AJ2517">
        <v>98.219173054216299</v>
      </c>
      <c r="AK2517">
        <v>15.396952294052801</v>
      </c>
      <c r="AL2517">
        <v>78.864916735463297</v>
      </c>
      <c r="AM2517">
        <v>94.885843803994007</v>
      </c>
      <c r="AN2517">
        <v>1.0000000309241299</v>
      </c>
    </row>
    <row r="2518" spans="1:40" x14ac:dyDescent="0.25">
      <c r="A2518" t="str">
        <f>"20190303170546295"</f>
        <v>20190303170546295</v>
      </c>
      <c r="B2518" t="str">
        <f>"1551603946286953"</f>
        <v>1551603946286953</v>
      </c>
      <c r="C2518" t="s">
        <v>40</v>
      </c>
      <c r="D2518">
        <v>6.0379069999999997</v>
      </c>
      <c r="E2518">
        <v>0.4804525</v>
      </c>
      <c r="F2518" t="s">
        <v>41</v>
      </c>
      <c r="G2518">
        <v>-493.60700000000003</v>
      </c>
      <c r="H2518" s="1">
        <v>-1.639128E-6</v>
      </c>
      <c r="I2518">
        <v>231.1728</v>
      </c>
      <c r="J2518">
        <v>-493.98320000000001</v>
      </c>
      <c r="K2518">
        <v>1.122927</v>
      </c>
      <c r="L2518">
        <v>246.3587</v>
      </c>
      <c r="M2518">
        <v>-0.11809790000000001</v>
      </c>
      <c r="N2518">
        <v>-1.365683E-2</v>
      </c>
      <c r="O2518">
        <v>-0.99290809999999996</v>
      </c>
      <c r="P2518">
        <v>-3.2646590000000003E-2</v>
      </c>
      <c r="Q2518">
        <v>0.17902489999999999</v>
      </c>
      <c r="R2518">
        <v>-0.98330320000000004</v>
      </c>
      <c r="S2518">
        <v>7.1319579999999994E-2</v>
      </c>
      <c r="T2518">
        <v>-0.2260211</v>
      </c>
      <c r="U2518">
        <v>-3.0957029999999999</v>
      </c>
      <c r="V2518">
        <v>-8.4462410000000002E-2</v>
      </c>
      <c r="W2518">
        <v>0.19207050000000001</v>
      </c>
      <c r="X2518">
        <v>0.97773980000000005</v>
      </c>
      <c r="Y2518">
        <v>-0.14082430000000001</v>
      </c>
      <c r="Z2518">
        <v>5.8034950000000002E-2</v>
      </c>
      <c r="AA2518">
        <v>0.98833219999999999</v>
      </c>
      <c r="AB2518">
        <v>28</v>
      </c>
      <c r="AC2518">
        <v>0.376200000000039</v>
      </c>
      <c r="AD2518">
        <v>-1.122928639128</v>
      </c>
      <c r="AE2518">
        <v>-15.1859</v>
      </c>
      <c r="AF2518">
        <v>-2.1553786660129801</v>
      </c>
      <c r="AG2518">
        <v>-1.122928639128</v>
      </c>
      <c r="AH2518">
        <v>14.9534615723838</v>
      </c>
      <c r="AI2518">
        <v>94.250793112283901</v>
      </c>
      <c r="AJ2518">
        <v>98.202071768598799</v>
      </c>
      <c r="AK2518">
        <v>15.1496745482943</v>
      </c>
      <c r="AL2518">
        <v>78.926359584887607</v>
      </c>
      <c r="AM2518">
        <v>94.937259879135595</v>
      </c>
      <c r="AN2518">
        <v>1.00000004608864</v>
      </c>
    </row>
    <row r="2519" spans="1:40" x14ac:dyDescent="0.25">
      <c r="A2519" t="str">
        <f>"20190303170546309"</f>
        <v>20190303170546309</v>
      </c>
      <c r="B2519" t="str">
        <f>"1551603946297689"</f>
        <v>1551603946297689</v>
      </c>
      <c r="C2519" t="s">
        <v>40</v>
      </c>
      <c r="D2519">
        <v>5.9634549999999997</v>
      </c>
      <c r="E2519">
        <v>0.48050549999999997</v>
      </c>
      <c r="F2519" t="s">
        <v>41</v>
      </c>
      <c r="G2519">
        <v>-493.62540000000001</v>
      </c>
      <c r="H2519" s="1">
        <v>-1.7059930000000001E-6</v>
      </c>
      <c r="I2519">
        <v>231.31720000000001</v>
      </c>
      <c r="J2519">
        <v>-494.00130000000001</v>
      </c>
      <c r="K2519">
        <v>1.122916</v>
      </c>
      <c r="L2519">
        <v>246.19550000000001</v>
      </c>
      <c r="M2519">
        <v>-0.116899</v>
      </c>
      <c r="N2519">
        <v>-1.365534E-2</v>
      </c>
      <c r="O2519">
        <v>-0.99305030000000005</v>
      </c>
      <c r="P2519">
        <v>-3.134315E-2</v>
      </c>
      <c r="Q2519">
        <v>0.17967849999999999</v>
      </c>
      <c r="R2519">
        <v>-0.98322639999999994</v>
      </c>
      <c r="S2519">
        <v>7.3638919999999997E-2</v>
      </c>
      <c r="T2519">
        <v>-0.23109399999999999</v>
      </c>
      <c r="U2519">
        <v>-3.095459</v>
      </c>
      <c r="V2519">
        <v>-8.4563310000000003E-2</v>
      </c>
      <c r="W2519">
        <v>0.1927218</v>
      </c>
      <c r="X2519">
        <v>0.97760279999999999</v>
      </c>
      <c r="Y2519">
        <v>-0.1403672</v>
      </c>
      <c r="Z2519">
        <v>5.9660940000000003E-2</v>
      </c>
      <c r="AA2519">
        <v>0.98830039999999997</v>
      </c>
      <c r="AB2519">
        <v>28</v>
      </c>
      <c r="AC2519">
        <v>0.37590000000000101</v>
      </c>
      <c r="AD2519">
        <v>-1.122917705993</v>
      </c>
      <c r="AE2519">
        <v>-14.8782999999999</v>
      </c>
      <c r="AF2519">
        <v>-2.1007832452948598</v>
      </c>
      <c r="AG2519">
        <v>-1.122917705993</v>
      </c>
      <c r="AH2519">
        <v>14.6489352868442</v>
      </c>
      <c r="AI2519">
        <v>94.339228501904401</v>
      </c>
      <c r="AJ2519">
        <v>98.161063990895698</v>
      </c>
      <c r="AK2519">
        <v>14.841345608006501</v>
      </c>
      <c r="AL2519">
        <v>78.888331202740204</v>
      </c>
      <c r="AM2519">
        <v>94.943818084605297</v>
      </c>
      <c r="AN2519">
        <v>0.99999994008061599</v>
      </c>
    </row>
    <row r="2520" spans="1:40" x14ac:dyDescent="0.25">
      <c r="A2520" t="str">
        <f>"20190303170546321"</f>
        <v>20190303170546321</v>
      </c>
      <c r="B2520" t="str">
        <f>"1551603946307449"</f>
        <v>1551603946307449</v>
      </c>
      <c r="C2520" t="s">
        <v>40</v>
      </c>
      <c r="D2520">
        <v>5.950863</v>
      </c>
      <c r="E2520">
        <v>0.48068119999999998</v>
      </c>
      <c r="F2520" t="s">
        <v>41</v>
      </c>
      <c r="G2520">
        <v>-493.6284</v>
      </c>
      <c r="H2520" s="1">
        <v>-1.6059970000000001E-6</v>
      </c>
      <c r="I2520">
        <v>231.0823</v>
      </c>
      <c r="J2520">
        <v>-494.01839999999999</v>
      </c>
      <c r="K2520">
        <v>1.1229100000000001</v>
      </c>
      <c r="L2520">
        <v>246.04060000000001</v>
      </c>
      <c r="M2520">
        <v>-0.1157696</v>
      </c>
      <c r="N2520">
        <v>-1.3653899999999899E-2</v>
      </c>
      <c r="O2520">
        <v>-0.99318249999999997</v>
      </c>
      <c r="P2520">
        <v>-3.0167090000000001E-2</v>
      </c>
      <c r="Q2520">
        <v>0.1811149</v>
      </c>
      <c r="R2520">
        <v>-0.98299959999999997</v>
      </c>
      <c r="S2520">
        <v>7.6385499999999995E-2</v>
      </c>
      <c r="T2520">
        <v>-0.23001150000000001</v>
      </c>
      <c r="U2520">
        <v>-3.095688</v>
      </c>
      <c r="V2520">
        <v>-8.4592550000000002E-2</v>
      </c>
      <c r="W2520">
        <v>0.19415479999999999</v>
      </c>
      <c r="X2520">
        <v>0.97731670000000004</v>
      </c>
      <c r="Y2520">
        <v>-0.14011689999999999</v>
      </c>
      <c r="Z2520">
        <v>5.9329890000000003E-2</v>
      </c>
      <c r="AA2520">
        <v>0.98835580000000001</v>
      </c>
      <c r="AB2520">
        <v>28</v>
      </c>
      <c r="AC2520">
        <v>0.38999999999998602</v>
      </c>
      <c r="AD2520">
        <v>-1.1229116059969999</v>
      </c>
      <c r="AE2520">
        <v>-14.958299999999999</v>
      </c>
      <c r="AF2520">
        <v>-2.10738664767754</v>
      </c>
      <c r="AG2520">
        <v>-1.1229116059969999</v>
      </c>
      <c r="AH2520">
        <v>14.729597542714499</v>
      </c>
      <c r="AI2520">
        <v>94.315736050814394</v>
      </c>
      <c r="AJ2520">
        <v>98.142142054201599</v>
      </c>
      <c r="AK2520">
        <v>14.9218984290885</v>
      </c>
      <c r="AL2520">
        <v>78.804645937516497</v>
      </c>
      <c r="AM2520">
        <v>94.946959633285701</v>
      </c>
      <c r="AN2520">
        <v>0.99999995898871497</v>
      </c>
    </row>
    <row r="2521" spans="1:40" x14ac:dyDescent="0.25">
      <c r="A2521" t="str">
        <f>"20190303170546338"</f>
        <v>20190303170546338</v>
      </c>
      <c r="B2521" t="str">
        <f>"1551603946326970"</f>
        <v>1551603946326970</v>
      </c>
      <c r="C2521" t="s">
        <v>40</v>
      </c>
      <c r="D2521">
        <v>5.9816029999999998</v>
      </c>
      <c r="E2521">
        <v>0.48096450000000002</v>
      </c>
      <c r="F2521" t="s">
        <v>41</v>
      </c>
      <c r="G2521">
        <v>-493.62889999999999</v>
      </c>
      <c r="H2521" s="1">
        <v>-1.402977E-6</v>
      </c>
      <c r="I2521">
        <v>230.6087</v>
      </c>
      <c r="J2521">
        <v>-494.04129999999998</v>
      </c>
      <c r="K2521">
        <v>1.1229070000000001</v>
      </c>
      <c r="L2521">
        <v>245.82980000000001</v>
      </c>
      <c r="M2521">
        <v>-0.1142413</v>
      </c>
      <c r="N2521">
        <v>-1.3651989999999999E-2</v>
      </c>
      <c r="O2521">
        <v>-0.99335929999999995</v>
      </c>
      <c r="P2521">
        <v>-2.8577439999999999E-2</v>
      </c>
      <c r="Q2521">
        <v>0.18383260000000001</v>
      </c>
      <c r="R2521">
        <v>-0.98254200000000003</v>
      </c>
      <c r="S2521">
        <v>7.8125E-2</v>
      </c>
      <c r="T2521">
        <v>-0.22526789999999999</v>
      </c>
      <c r="U2521">
        <v>-3.0957949999999999</v>
      </c>
      <c r="V2521">
        <v>-8.4617200000000004E-2</v>
      </c>
      <c r="W2521">
        <v>0.19686519999999999</v>
      </c>
      <c r="X2521">
        <v>0.97677219999999998</v>
      </c>
      <c r="Y2521">
        <v>-0.1391519</v>
      </c>
      <c r="Z2521">
        <v>5.785452E-2</v>
      </c>
      <c r="AA2521">
        <v>0.9885796</v>
      </c>
      <c r="AB2521">
        <v>28</v>
      </c>
      <c r="AC2521">
        <v>0.412399999999991</v>
      </c>
      <c r="AD2521">
        <v>-1.12290840297699</v>
      </c>
      <c r="AE2521">
        <v>-15.2211</v>
      </c>
      <c r="AF2521">
        <v>-2.1371170343478001</v>
      </c>
      <c r="AG2521">
        <v>-1.12290840297699</v>
      </c>
      <c r="AH2521">
        <v>14.9927738445332</v>
      </c>
      <c r="AI2521">
        <v>94.240558760111199</v>
      </c>
      <c r="AJ2521">
        <v>98.112470261667795</v>
      </c>
      <c r="AK2521">
        <v>15.185896748407499</v>
      </c>
      <c r="AL2521">
        <v>78.646295445580293</v>
      </c>
      <c r="AM2521">
        <v>94.951138770844906</v>
      </c>
      <c r="AN2521">
        <v>0.99999995409985898</v>
      </c>
    </row>
    <row r="2522" spans="1:40" x14ac:dyDescent="0.25">
      <c r="A2522" t="str">
        <f>"20190303170546363"</f>
        <v>20190303170546363</v>
      </c>
      <c r="B2522" t="str">
        <f>"1551603946347465"</f>
        <v>1551603946347465</v>
      </c>
      <c r="C2522" t="s">
        <v>40</v>
      </c>
      <c r="D2522">
        <v>5.9815149999999999</v>
      </c>
      <c r="E2522">
        <v>0.48125299999999999</v>
      </c>
      <c r="F2522" t="s">
        <v>41</v>
      </c>
      <c r="G2522">
        <v>-493.62189999999998</v>
      </c>
      <c r="H2522" s="1">
        <v>-1.0236729999999999E-6</v>
      </c>
      <c r="I2522">
        <v>229.72890000000001</v>
      </c>
      <c r="J2522">
        <v>-494.07350000000002</v>
      </c>
      <c r="K2522">
        <v>1.1228959999999999</v>
      </c>
      <c r="L2522">
        <v>245.52780000000001</v>
      </c>
      <c r="M2522">
        <v>-0.1120386</v>
      </c>
      <c r="N2522">
        <v>-1.364952E-2</v>
      </c>
      <c r="O2522">
        <v>-0.99361010000000005</v>
      </c>
      <c r="P2522">
        <v>-2.59892E-2</v>
      </c>
      <c r="Q2522">
        <v>0.18393670000000001</v>
      </c>
      <c r="R2522">
        <v>-0.98259479999999999</v>
      </c>
      <c r="S2522">
        <v>8.0627439999999995E-2</v>
      </c>
      <c r="T2522">
        <v>-0.2159249</v>
      </c>
      <c r="U2522">
        <v>-3.0960540000000001</v>
      </c>
      <c r="V2522">
        <v>-8.5022559999999997E-2</v>
      </c>
      <c r="W2522">
        <v>0.1969648</v>
      </c>
      <c r="X2522">
        <v>0.97671699999999995</v>
      </c>
      <c r="Y2522">
        <v>-0.13776089999999999</v>
      </c>
      <c r="Z2522">
        <v>5.4929890000000002E-2</v>
      </c>
      <c r="AA2522">
        <v>0.98894119999999996</v>
      </c>
      <c r="AB2522">
        <v>28</v>
      </c>
      <c r="AC2522">
        <v>0.45160000000004102</v>
      </c>
      <c r="AD2522">
        <v>-1.12289702367299</v>
      </c>
      <c r="AE2522">
        <v>-15.7989</v>
      </c>
      <c r="AF2522">
        <v>-2.2078636257426201</v>
      </c>
      <c r="AG2522">
        <v>-1.12289702367299</v>
      </c>
      <c r="AH2522">
        <v>15.5702181028489</v>
      </c>
      <c r="AI2522">
        <v>94.084213764088005</v>
      </c>
      <c r="AJ2522">
        <v>98.070759325900497</v>
      </c>
      <c r="AK2522">
        <v>15.7660157073985</v>
      </c>
      <c r="AL2522">
        <v>78.640475730685907</v>
      </c>
      <c r="AM2522">
        <v>94.975018274944901</v>
      </c>
      <c r="AN2522">
        <v>1.00000003311849</v>
      </c>
    </row>
    <row r="2523" spans="1:40" x14ac:dyDescent="0.25">
      <c r="A2523" t="str">
        <f>"20190303170546377"</f>
        <v>20190303170546377</v>
      </c>
      <c r="B2523" t="str">
        <f>"1551603946366985"</f>
        <v>1551603946366985</v>
      </c>
      <c r="C2523" t="s">
        <v>40</v>
      </c>
      <c r="D2523">
        <v>5.9339250000000003</v>
      </c>
      <c r="E2523">
        <v>0.48146369999999999</v>
      </c>
      <c r="F2523" t="s">
        <v>52</v>
      </c>
      <c r="G2523">
        <v>-493.61829999999998</v>
      </c>
      <c r="H2523" s="1">
        <v>5.6046770000000003E-6</v>
      </c>
      <c r="I2523">
        <v>229.37119999999999</v>
      </c>
      <c r="J2523">
        <v>-494.09219999999999</v>
      </c>
      <c r="K2523">
        <v>1.1229039999999999</v>
      </c>
      <c r="L2523">
        <v>245.34889999999999</v>
      </c>
      <c r="M2523">
        <v>-0.11070149999999999</v>
      </c>
      <c r="N2523">
        <v>-1.3648510000000001E-2</v>
      </c>
      <c r="O2523">
        <v>-0.99375999999999998</v>
      </c>
      <c r="P2523">
        <v>-2.424407E-2</v>
      </c>
      <c r="Q2523">
        <v>0.182534</v>
      </c>
      <c r="R2523">
        <v>-0.98290060000000001</v>
      </c>
      <c r="S2523">
        <v>8.7219240000000003E-2</v>
      </c>
      <c r="T2523">
        <v>-0.21515490000000001</v>
      </c>
      <c r="U2523">
        <v>-3.0957340000000002</v>
      </c>
      <c r="V2523">
        <v>-8.5474129999999995E-2</v>
      </c>
      <c r="W2523">
        <v>0.1955597</v>
      </c>
      <c r="X2523">
        <v>0.97695980000000004</v>
      </c>
      <c r="Y2523">
        <v>-0.1385352</v>
      </c>
      <c r="Z2523">
        <v>5.4702840000000003E-2</v>
      </c>
      <c r="AA2523">
        <v>0.98884559999999999</v>
      </c>
      <c r="AB2523">
        <v>28</v>
      </c>
      <c r="AC2523">
        <v>0.47390000000001398</v>
      </c>
      <c r="AD2523">
        <v>-1.1228983953230001</v>
      </c>
      <c r="AE2523">
        <v>-15.9777</v>
      </c>
      <c r="AF2523">
        <v>-2.2289075735294399</v>
      </c>
      <c r="AG2523">
        <v>-1.1228983953230001</v>
      </c>
      <c r="AH2523">
        <v>15.749291817937699</v>
      </c>
      <c r="AI2523">
        <v>94.038088888652794</v>
      </c>
      <c r="AJ2523">
        <v>98.0552497464205</v>
      </c>
      <c r="AK2523">
        <v>15.945818340371099</v>
      </c>
      <c r="AL2523">
        <v>78.722577723904394</v>
      </c>
      <c r="AM2523">
        <v>95.000071167625094</v>
      </c>
      <c r="AN2523">
        <v>0.99999993698969103</v>
      </c>
    </row>
    <row r="2524" spans="1:40" x14ac:dyDescent="0.25">
      <c r="A2524" t="str">
        <f>"20190303170546391"</f>
        <v>20190303170546391</v>
      </c>
      <c r="B2524" t="str">
        <f>"1551603946376744"</f>
        <v>1551603946376744</v>
      </c>
      <c r="C2524" t="s">
        <v>40</v>
      </c>
      <c r="D2524">
        <v>5.930002</v>
      </c>
      <c r="E2524">
        <v>0.48162080000000002</v>
      </c>
      <c r="F2524" t="s">
        <v>52</v>
      </c>
      <c r="G2524">
        <v>-493.62400000000002</v>
      </c>
      <c r="H2524" s="1">
        <v>5.6372659999999997E-6</v>
      </c>
      <c r="I2524">
        <v>229.52549999999999</v>
      </c>
      <c r="J2524">
        <v>-494.1103</v>
      </c>
      <c r="K2524">
        <v>1.1229169999999999</v>
      </c>
      <c r="L2524">
        <v>245.1738</v>
      </c>
      <c r="M2524">
        <v>-0.1093597</v>
      </c>
      <c r="N2524">
        <v>-1.3647889999999999E-2</v>
      </c>
      <c r="O2524">
        <v>-0.99390860000000003</v>
      </c>
      <c r="P2524">
        <v>-2.1952329999999999E-2</v>
      </c>
      <c r="Q2524">
        <v>0.18069470000000001</v>
      </c>
      <c r="R2524">
        <v>-0.98329440000000001</v>
      </c>
      <c r="S2524">
        <v>9.1583250000000005E-2</v>
      </c>
      <c r="T2524">
        <v>-0.21965190000000001</v>
      </c>
      <c r="U2524">
        <v>-3.0952449999999998</v>
      </c>
      <c r="V2524">
        <v>-8.6478159999999998E-2</v>
      </c>
      <c r="W2524">
        <v>0.1937142</v>
      </c>
      <c r="X2524">
        <v>0.97723910000000003</v>
      </c>
      <c r="Y2524">
        <v>-0.13859170000000001</v>
      </c>
      <c r="Z2524">
        <v>5.6150409999999998E-2</v>
      </c>
      <c r="AA2524">
        <v>0.98875650000000004</v>
      </c>
      <c r="AB2524">
        <v>28</v>
      </c>
      <c r="AC2524">
        <v>0.48629999999997098</v>
      </c>
      <c r="AD2524">
        <v>-1.1229113627339999</v>
      </c>
      <c r="AE2524">
        <v>-15.648300000000001</v>
      </c>
      <c r="AF2524">
        <v>-2.1836020490196799</v>
      </c>
      <c r="AG2524">
        <v>-1.1229113627339999</v>
      </c>
      <c r="AH2524">
        <v>15.421904243249701</v>
      </c>
      <c r="AI2524">
        <v>94.123529229441502</v>
      </c>
      <c r="AJ2524">
        <v>98.058993142805903</v>
      </c>
      <c r="AK2524">
        <v>15.6161512007602</v>
      </c>
      <c r="AL2524">
        <v>78.830379037942507</v>
      </c>
      <c r="AM2524">
        <v>95.057063753299303</v>
      </c>
      <c r="AN2524">
        <v>0.99999996100371702</v>
      </c>
    </row>
    <row r="2525" spans="1:40" x14ac:dyDescent="0.25">
      <c r="A2525" t="str">
        <f>"20190303170546407"</f>
        <v>20190303170546407</v>
      </c>
      <c r="B2525" t="str">
        <f>"1551603946397241"</f>
        <v>1551603946397241</v>
      </c>
      <c r="C2525" t="s">
        <v>40</v>
      </c>
      <c r="D2525">
        <v>5.9048879999999997</v>
      </c>
      <c r="E2525">
        <v>0.48188629999999999</v>
      </c>
      <c r="F2525" t="s">
        <v>41</v>
      </c>
      <c r="G2525">
        <v>-493.62509999999997</v>
      </c>
      <c r="H2525" s="1">
        <v>-1.041648E-6</v>
      </c>
      <c r="I2525">
        <v>229.7688</v>
      </c>
      <c r="J2525">
        <v>-494.13119999999998</v>
      </c>
      <c r="K2525">
        <v>1.122952</v>
      </c>
      <c r="L2525">
        <v>244.9682</v>
      </c>
      <c r="M2525">
        <v>-0.1077316</v>
      </c>
      <c r="N2525">
        <v>-1.364773E-2</v>
      </c>
      <c r="O2525">
        <v>-0.99408640000000004</v>
      </c>
      <c r="P2525">
        <v>-1.802461E-2</v>
      </c>
      <c r="Q2525">
        <v>0.1772193</v>
      </c>
      <c r="R2525">
        <v>-0.98400650000000001</v>
      </c>
      <c r="S2525">
        <v>9.747314E-2</v>
      </c>
      <c r="T2525">
        <v>-0.22557749999999999</v>
      </c>
      <c r="U2525">
        <v>-3.0946199999999999</v>
      </c>
      <c r="V2525">
        <v>-8.8863540000000005E-2</v>
      </c>
      <c r="W2525">
        <v>0.19022500000000001</v>
      </c>
      <c r="X2525">
        <v>0.97771039999999998</v>
      </c>
      <c r="Y2525">
        <v>-0.1388501</v>
      </c>
      <c r="Z2525">
        <v>5.8054580000000001E-2</v>
      </c>
      <c r="AA2525">
        <v>0.98861030000000005</v>
      </c>
      <c r="AB2525">
        <v>28</v>
      </c>
      <c r="AC2525">
        <v>0.50610000000000299</v>
      </c>
      <c r="AD2525">
        <v>-1.122953041648</v>
      </c>
      <c r="AE2525">
        <v>-15.199399999999899</v>
      </c>
      <c r="AF2525">
        <v>-2.1291530191321399</v>
      </c>
      <c r="AG2525">
        <v>-1.122953041648</v>
      </c>
      <c r="AH2525">
        <v>14.9747466042745</v>
      </c>
      <c r="AI2525">
        <v>94.246025868863697</v>
      </c>
      <c r="AJ2525">
        <v>98.092240591704893</v>
      </c>
      <c r="AK2525">
        <v>15.166982296253099</v>
      </c>
      <c r="AL2525">
        <v>79.034084247244706</v>
      </c>
      <c r="AM2525">
        <v>95.193311596283706</v>
      </c>
      <c r="AN2525">
        <v>0.99999995281724396</v>
      </c>
    </row>
    <row r="2526" spans="1:40" x14ac:dyDescent="0.25">
      <c r="A2526" t="str">
        <f>"20190303170546419"</f>
        <v>20190303170546419</v>
      </c>
      <c r="B2526" t="str">
        <f>"1551603946407001"</f>
        <v>1551603946407001</v>
      </c>
      <c r="C2526" t="s">
        <v>40</v>
      </c>
      <c r="D2526">
        <v>5.9775150000000004</v>
      </c>
      <c r="E2526">
        <v>0.48204029999999998</v>
      </c>
      <c r="F2526" t="s">
        <v>41</v>
      </c>
      <c r="G2526">
        <v>-493.62360000000001</v>
      </c>
      <c r="H2526" s="1">
        <v>-1.2962880000000001E-6</v>
      </c>
      <c r="I2526">
        <v>230.36330000000001</v>
      </c>
      <c r="J2526">
        <v>-494.14679999999998</v>
      </c>
      <c r="K2526">
        <v>1.122995</v>
      </c>
      <c r="L2526">
        <v>244.81219999999999</v>
      </c>
      <c r="M2526">
        <v>-0.10644579999999999</v>
      </c>
      <c r="N2526">
        <v>-1.364815E-2</v>
      </c>
      <c r="O2526">
        <v>-0.99422500000000003</v>
      </c>
      <c r="P2526">
        <v>-1.5906960000000001E-2</v>
      </c>
      <c r="Q2526">
        <v>0.17654979999999901</v>
      </c>
      <c r="R2526">
        <v>-0.98416349999999997</v>
      </c>
      <c r="S2526">
        <v>0.1075134</v>
      </c>
      <c r="T2526">
        <v>-0.2378625</v>
      </c>
      <c r="U2526">
        <v>-3.0935820000000001</v>
      </c>
      <c r="V2526">
        <v>-8.9738499999999999E-2</v>
      </c>
      <c r="W2526">
        <v>0.1895424</v>
      </c>
      <c r="X2526">
        <v>0.9777631</v>
      </c>
      <c r="Y2526">
        <v>-0.14077110000000001</v>
      </c>
      <c r="Z2526">
        <v>6.1964690000000003E-2</v>
      </c>
      <c r="AA2526">
        <v>0.98810109999999995</v>
      </c>
      <c r="AB2526">
        <v>28</v>
      </c>
      <c r="AC2526">
        <v>0.52319999999997402</v>
      </c>
      <c r="AD2526">
        <v>-1.122996296288</v>
      </c>
      <c r="AE2526">
        <v>-14.448899999999901</v>
      </c>
      <c r="AF2526">
        <v>-2.0460512268546198</v>
      </c>
      <c r="AG2526">
        <v>-1.122996296288</v>
      </c>
      <c r="AH2526">
        <v>14.2252776586352</v>
      </c>
      <c r="AI2526">
        <v>94.467990040509207</v>
      </c>
      <c r="AJ2526">
        <v>98.184837267643005</v>
      </c>
      <c r="AK2526">
        <v>14.415476779130699</v>
      </c>
      <c r="AL2526">
        <v>79.0739195996874</v>
      </c>
      <c r="AM2526">
        <v>95.243880703407797</v>
      </c>
      <c r="AN2526">
        <v>0.99999999975081</v>
      </c>
    </row>
    <row r="2527" spans="1:40" x14ac:dyDescent="0.25">
      <c r="A2527" t="str">
        <f>"20190303170546432"</f>
        <v>20190303170546432</v>
      </c>
      <c r="B2527" t="str">
        <f>"1551603946427498"</f>
        <v>1551603946427498</v>
      </c>
      <c r="C2527" t="s">
        <v>40</v>
      </c>
      <c r="D2527">
        <v>5.6982039999999996</v>
      </c>
      <c r="E2527">
        <v>0.48216959999999998</v>
      </c>
      <c r="F2527" t="s">
        <v>41</v>
      </c>
      <c r="G2527">
        <v>-493.61799999999999</v>
      </c>
      <c r="H2527" s="1">
        <v>-1.2714199999999999E-6</v>
      </c>
      <c r="I2527">
        <v>230.30879999999999</v>
      </c>
      <c r="J2527">
        <v>-494.16230000000002</v>
      </c>
      <c r="K2527">
        <v>1.1230500000000001</v>
      </c>
      <c r="L2527">
        <v>244.65360000000001</v>
      </c>
      <c r="M2527">
        <v>-0.1050833</v>
      </c>
      <c r="N2527">
        <v>-1.3649039999999999E-2</v>
      </c>
      <c r="O2527">
        <v>-0.99436970000000002</v>
      </c>
      <c r="P2527">
        <v>-1.4193829999999999E-2</v>
      </c>
      <c r="Q2527">
        <v>0.17647179999999901</v>
      </c>
      <c r="R2527">
        <v>-0.98420350000000001</v>
      </c>
      <c r="S2527">
        <v>0.1127625</v>
      </c>
      <c r="T2527">
        <v>-0.23949599999999999</v>
      </c>
      <c r="U2527">
        <v>-3.0930629999999999</v>
      </c>
      <c r="V2527">
        <v>-9.0129899999999999E-2</v>
      </c>
      <c r="W2527">
        <v>0.1894507</v>
      </c>
      <c r="X2527">
        <v>0.97774490000000003</v>
      </c>
      <c r="Y2527">
        <v>-0.141093</v>
      </c>
      <c r="Z2527">
        <v>6.2504950000000004E-2</v>
      </c>
      <c r="AA2527">
        <v>0.98802120000000004</v>
      </c>
      <c r="AB2527">
        <v>28</v>
      </c>
      <c r="AC2527">
        <v>0.54429999999996403</v>
      </c>
      <c r="AD2527">
        <v>-1.1230512714200001</v>
      </c>
      <c r="AE2527">
        <v>-14.344799999999999</v>
      </c>
      <c r="AF2527">
        <v>-2.0363618010054099</v>
      </c>
      <c r="AG2527">
        <v>-1.1230512714200001</v>
      </c>
      <c r="AH2527">
        <v>14.1217301535531</v>
      </c>
      <c r="AI2527">
        <v>94.500603813084297</v>
      </c>
      <c r="AJ2527">
        <v>98.205522424278797</v>
      </c>
      <c r="AK2527">
        <v>14.3119277552887</v>
      </c>
      <c r="AL2527">
        <v>79.079270887661096</v>
      </c>
      <c r="AM2527">
        <v>95.266721357942401</v>
      </c>
      <c r="AN2527">
        <v>1.0000000280402499</v>
      </c>
    </row>
    <row r="2528" spans="1:40" x14ac:dyDescent="0.25">
      <c r="A2528" t="str">
        <f>"20190303170546445"</f>
        <v>20190303170546445</v>
      </c>
      <c r="B2528" t="str">
        <f>"1551603946437258"</f>
        <v>1551603946437258</v>
      </c>
      <c r="C2528" t="s">
        <v>40</v>
      </c>
      <c r="D2528">
        <v>5.8725170000000002</v>
      </c>
      <c r="E2528">
        <v>0.45045619999999997</v>
      </c>
      <c r="F2528" t="s">
        <v>41</v>
      </c>
      <c r="G2528">
        <v>-493.61450000000002</v>
      </c>
      <c r="H2528" s="1">
        <v>-1.2012489999999999E-6</v>
      </c>
      <c r="I2528">
        <v>230.1474</v>
      </c>
      <c r="J2528">
        <v>-494.17829999999998</v>
      </c>
      <c r="K2528">
        <v>1.1231139999999999</v>
      </c>
      <c r="L2528">
        <v>244.488</v>
      </c>
      <c r="M2528">
        <v>-0.1036173</v>
      </c>
      <c r="N2528">
        <v>-1.365019E-2</v>
      </c>
      <c r="O2528">
        <v>-0.99452359999999995</v>
      </c>
      <c r="P2528">
        <v>-1.2864449999999999E-2</v>
      </c>
      <c r="Q2528">
        <v>0.17676120000000001</v>
      </c>
      <c r="R2528">
        <v>-0.98416990000000004</v>
      </c>
      <c r="S2528">
        <v>0.1167908</v>
      </c>
      <c r="T2528">
        <v>-0.23943639999999999</v>
      </c>
      <c r="U2528">
        <v>-3.092743</v>
      </c>
      <c r="V2528">
        <v>-9.0035980000000002E-2</v>
      </c>
      <c r="W2528">
        <v>0.1897259</v>
      </c>
      <c r="X2528">
        <v>0.97770020000000002</v>
      </c>
      <c r="Y2528">
        <v>-0.14092249999999901</v>
      </c>
      <c r="Z2528">
        <v>6.2509120000000001E-2</v>
      </c>
      <c r="AA2528">
        <v>0.98804530000000002</v>
      </c>
      <c r="AB2528">
        <v>28</v>
      </c>
      <c r="AC2528">
        <v>0.563799999999957</v>
      </c>
      <c r="AD2528">
        <v>-1.123115201249</v>
      </c>
      <c r="AE2528">
        <v>-14.340599999999901</v>
      </c>
      <c r="AF2528">
        <v>-2.0343785287506702</v>
      </c>
      <c r="AG2528">
        <v>-1.123115201249</v>
      </c>
      <c r="AH2528">
        <v>14.118505379157201</v>
      </c>
      <c r="AI2528">
        <v>94.501950845997698</v>
      </c>
      <c r="AJ2528">
        <v>98.199486441067805</v>
      </c>
      <c r="AK2528">
        <v>14.308468747382101</v>
      </c>
      <c r="AL2528">
        <v>79.063211947133595</v>
      </c>
      <c r="AM2528">
        <v>95.261503170672697</v>
      </c>
      <c r="AN2528">
        <v>1.0000000379527001</v>
      </c>
    </row>
    <row r="2529" spans="1:40" x14ac:dyDescent="0.25">
      <c r="A2529" t="str">
        <f>"20190303170546461"</f>
        <v>20190303170546461</v>
      </c>
      <c r="B2529" t="str">
        <f>"1551603946456779"</f>
        <v>1551603946456779</v>
      </c>
      <c r="C2529" t="s">
        <v>40</v>
      </c>
      <c r="D2529">
        <v>5.9246179999999997</v>
      </c>
      <c r="E2529">
        <v>0.42926140000000002</v>
      </c>
      <c r="F2529" t="s">
        <v>52</v>
      </c>
      <c r="G2529">
        <v>-492.2808</v>
      </c>
      <c r="H2529" s="1">
        <v>5.8358610000000003E-6</v>
      </c>
      <c r="I2529">
        <v>228.80719999999999</v>
      </c>
      <c r="J2529">
        <v>-494.19740000000002</v>
      </c>
      <c r="K2529">
        <v>1.1232089999999999</v>
      </c>
      <c r="L2529">
        <v>244.2851</v>
      </c>
      <c r="M2529">
        <v>-0.1017106</v>
      </c>
      <c r="N2529">
        <v>-1.365214E-2</v>
      </c>
      <c r="O2529">
        <v>-0.99472050000000001</v>
      </c>
      <c r="P2529">
        <v>-1.161707E-2</v>
      </c>
      <c r="Q2529">
        <v>0.17698729999999999</v>
      </c>
      <c r="R2529">
        <v>-0.98414489999999999</v>
      </c>
      <c r="S2529">
        <v>0.37426759999999998</v>
      </c>
      <c r="T2529">
        <v>-0.2215239</v>
      </c>
      <c r="U2529">
        <v>-3.092911</v>
      </c>
      <c r="V2529">
        <v>-8.9441599999999996E-2</v>
      </c>
      <c r="W2529">
        <v>0.18993570000000001</v>
      </c>
      <c r="X2529">
        <v>0.97771399999999997</v>
      </c>
      <c r="Y2529">
        <v>-0.22017210000000001</v>
      </c>
      <c r="Z2529">
        <v>5.6045730000000002E-2</v>
      </c>
      <c r="AA2529">
        <v>0.97384970000000004</v>
      </c>
      <c r="AB2529">
        <v>28</v>
      </c>
      <c r="AC2529">
        <v>1.9166000000000101</v>
      </c>
      <c r="AD2529">
        <v>-1.1232031641389999</v>
      </c>
      <c r="AE2529">
        <v>-15.4779</v>
      </c>
      <c r="AF2529">
        <v>-3.4631098888589502</v>
      </c>
      <c r="AG2529">
        <v>-1.1232031641389999</v>
      </c>
      <c r="AH2529">
        <v>15.124216950367201</v>
      </c>
      <c r="AI2529">
        <v>94.140514788207696</v>
      </c>
      <c r="AJ2529">
        <v>102.897126806668</v>
      </c>
      <c r="AK2529">
        <v>15.5562416351771</v>
      </c>
      <c r="AL2529">
        <v>79.050968448751505</v>
      </c>
      <c r="AM2529">
        <v>95.226888582972506</v>
      </c>
      <c r="AN2529">
        <v>1.00000001787052</v>
      </c>
    </row>
    <row r="2530" spans="1:40" x14ac:dyDescent="0.25">
      <c r="A2530" t="str">
        <f>"20190303170546476"</f>
        <v>20190303170546476</v>
      </c>
      <c r="B2530" t="str">
        <f>"1551603946467512"</f>
        <v>1551603946467512</v>
      </c>
      <c r="C2530" t="s">
        <v>40</v>
      </c>
      <c r="D2530">
        <v>5.9294010000000004</v>
      </c>
      <c r="E2530">
        <v>0.42158420000000002</v>
      </c>
      <c r="F2530" t="s">
        <v>52</v>
      </c>
      <c r="G2530">
        <v>-489.67189999999999</v>
      </c>
      <c r="H2530" s="1">
        <v>3.4485749999999998E-6</v>
      </c>
      <c r="I2530">
        <v>218.7997</v>
      </c>
      <c r="J2530">
        <v>-494.21339999999998</v>
      </c>
      <c r="K2530">
        <v>1.123302</v>
      </c>
      <c r="L2530">
        <v>244.11089999999999</v>
      </c>
      <c r="M2530">
        <v>-9.9957560000000001E-2</v>
      </c>
      <c r="N2530">
        <v>-1.365475E-2</v>
      </c>
      <c r="O2530">
        <v>-0.99489810000000001</v>
      </c>
      <c r="P2530">
        <v>-1.0192430000000001E-2</v>
      </c>
      <c r="Q2530">
        <v>0.17653489999999999</v>
      </c>
      <c r="R2530">
        <v>-0.98424199999999995</v>
      </c>
      <c r="S2530">
        <v>0.54678340000000003</v>
      </c>
      <c r="T2530">
        <v>-0.1357071</v>
      </c>
      <c r="U2530">
        <v>-3.0791780000000002</v>
      </c>
      <c r="V2530">
        <v>-8.918218E-2</v>
      </c>
      <c r="W2530">
        <v>0.1894689</v>
      </c>
      <c r="X2530">
        <v>0.97782829999999998</v>
      </c>
      <c r="Y2530">
        <v>-0.27221089999999998</v>
      </c>
      <c r="Z2530">
        <v>2.8767999999999998E-2</v>
      </c>
      <c r="AA2530">
        <v>0.96180750000000004</v>
      </c>
      <c r="AB2530">
        <v>28</v>
      </c>
      <c r="AC2530">
        <v>4.5414999999999797</v>
      </c>
      <c r="AD2530">
        <v>-1.123298551425</v>
      </c>
      <c r="AE2530">
        <v>-25.3111999999999</v>
      </c>
      <c r="AF2530">
        <v>-7.0356072893459096</v>
      </c>
      <c r="AG2530">
        <v>-1.123298551425</v>
      </c>
      <c r="AH2530">
        <v>24.6833122396053</v>
      </c>
      <c r="AI2530">
        <v>92.505966714362401</v>
      </c>
      <c r="AJ2530">
        <v>105.90940529735499</v>
      </c>
      <c r="AK2530">
        <v>25.690999838141298</v>
      </c>
      <c r="AL2530">
        <v>79.078209165476807</v>
      </c>
      <c r="AM2530">
        <v>95.211206052237102</v>
      </c>
      <c r="AN2530">
        <v>1.0000000547888199</v>
      </c>
    </row>
    <row r="2531" spans="1:40" x14ac:dyDescent="0.25">
      <c r="A2531" t="str">
        <f>"20190303170546487"</f>
        <v>20190303170546487</v>
      </c>
      <c r="B2531" t="str">
        <f>"1551603946477273"</f>
        <v>1551603946477273</v>
      </c>
      <c r="C2531" t="s">
        <v>40</v>
      </c>
      <c r="D2531">
        <v>5.8854040000000003</v>
      </c>
      <c r="E2531">
        <v>0.42158420000000002</v>
      </c>
      <c r="F2531" t="s">
        <v>52</v>
      </c>
      <c r="G2531">
        <v>-488.23430000000002</v>
      </c>
      <c r="H2531" s="1">
        <v>2.9885549999999999E-6</v>
      </c>
      <c r="I2531">
        <v>214.10939999999999</v>
      </c>
      <c r="J2531">
        <v>-494.22609999999997</v>
      </c>
      <c r="K2531">
        <v>1.1233789999999999</v>
      </c>
      <c r="L2531">
        <v>243.9699</v>
      </c>
      <c r="M2531">
        <v>-9.8484950000000002E-2</v>
      </c>
      <c r="N2531">
        <v>-1.365713E-2</v>
      </c>
      <c r="O2531">
        <v>-0.99504490000000001</v>
      </c>
      <c r="P2531">
        <v>-8.6590419999999901E-3</v>
      </c>
      <c r="Q2531">
        <v>0.17579589999999901</v>
      </c>
      <c r="R2531">
        <v>-0.98438899999999996</v>
      </c>
      <c r="S2531">
        <v>0.61282349999999997</v>
      </c>
      <c r="T2531">
        <v>-0.11513279999999999</v>
      </c>
      <c r="U2531">
        <v>-3.0750120000000001</v>
      </c>
      <c r="V2531">
        <v>-8.9305399999999993E-2</v>
      </c>
      <c r="W2531">
        <v>0.18871550000000001</v>
      </c>
      <c r="X2531">
        <v>0.97796269999999996</v>
      </c>
      <c r="Y2531">
        <v>-0.29094320000000001</v>
      </c>
      <c r="Z2531">
        <v>2.2194200000000001E-2</v>
      </c>
      <c r="AA2531">
        <v>0.95648290000000002</v>
      </c>
      <c r="AB2531">
        <v>28</v>
      </c>
      <c r="AC2531">
        <v>5.9917999999999498</v>
      </c>
      <c r="AD2531">
        <v>-1.123376011445</v>
      </c>
      <c r="AE2531">
        <v>-29.860499999999998</v>
      </c>
      <c r="AF2531">
        <v>-8.8916520989728998</v>
      </c>
      <c r="AG2531">
        <v>-1.123376011445</v>
      </c>
      <c r="AH2531">
        <v>29.085577950191698</v>
      </c>
      <c r="AI2531">
        <v>92.115299884803306</v>
      </c>
      <c r="AJ2531">
        <v>106.998736286631</v>
      </c>
      <c r="AK2531">
        <v>30.435083298866399</v>
      </c>
      <c r="AL2531">
        <v>79.122168467079405</v>
      </c>
      <c r="AM2531">
        <v>95.217653280946294</v>
      </c>
      <c r="AN2531">
        <v>1.0000000185003399</v>
      </c>
    </row>
    <row r="2532" spans="1:40" x14ac:dyDescent="0.25">
      <c r="A2532" t="str">
        <f>"20190303170546498"</f>
        <v>20190303170546498</v>
      </c>
      <c r="B2532" t="str">
        <f>"1551603946487033"</f>
        <v>1551603946487033</v>
      </c>
      <c r="C2532" t="s">
        <v>40</v>
      </c>
      <c r="D2532">
        <v>5.7849019999999998</v>
      </c>
      <c r="E2532">
        <v>0.37354949999999998</v>
      </c>
      <c r="F2532" t="s">
        <v>52</v>
      </c>
      <c r="G2532">
        <v>-488.31909999999999</v>
      </c>
      <c r="H2532" s="1">
        <v>3.0234230000000001E-6</v>
      </c>
      <c r="I2532">
        <v>214.56299999999999</v>
      </c>
      <c r="J2532">
        <v>-494.23930000000001</v>
      </c>
      <c r="K2532">
        <v>1.123472</v>
      </c>
      <c r="L2532">
        <v>243.81909999999999</v>
      </c>
      <c r="M2532">
        <v>-9.6828010000000006E-2</v>
      </c>
      <c r="N2532">
        <v>-1.3660149999999999E-2</v>
      </c>
      <c r="O2532">
        <v>-0.99520739999999996</v>
      </c>
      <c r="P2532">
        <v>-6.1183459999999898E-3</v>
      </c>
      <c r="Q2532">
        <v>0.17475099999999999</v>
      </c>
      <c r="R2532">
        <v>-0.98459359999999996</v>
      </c>
      <c r="S2532">
        <v>0.61746219999999996</v>
      </c>
      <c r="T2532">
        <v>-0.11742809999999999</v>
      </c>
      <c r="U2532">
        <v>-3.073944</v>
      </c>
      <c r="V2532">
        <v>-9.0258649999999996E-2</v>
      </c>
      <c r="W2532">
        <v>0.18765009999999999</v>
      </c>
      <c r="X2532">
        <v>0.97808019999999996</v>
      </c>
      <c r="Y2532">
        <v>-0.29079700000000003</v>
      </c>
      <c r="Z2532">
        <v>2.2926169999999999E-2</v>
      </c>
      <c r="AA2532">
        <v>0.95651010000000003</v>
      </c>
      <c r="AB2532">
        <v>28</v>
      </c>
      <c r="AC2532">
        <v>5.9202000000000199</v>
      </c>
      <c r="AD2532">
        <v>-1.1234689765770001</v>
      </c>
      <c r="AE2532">
        <v>-29.2561</v>
      </c>
      <c r="AF2532">
        <v>-8.7131074230961705</v>
      </c>
      <c r="AG2532">
        <v>-1.1234689765770001</v>
      </c>
      <c r="AH2532">
        <v>28.504927701495902</v>
      </c>
      <c r="AI2532">
        <v>92.158548917680093</v>
      </c>
      <c r="AJ2532">
        <v>106.996831701823</v>
      </c>
      <c r="AK2532">
        <v>29.828029213731998</v>
      </c>
      <c r="AL2532">
        <v>79.184321957750299</v>
      </c>
      <c r="AM2532">
        <v>95.272404556602694</v>
      </c>
      <c r="AN2532">
        <v>1.00000003078093</v>
      </c>
    </row>
    <row r="2533" spans="1:40" x14ac:dyDescent="0.25">
      <c r="A2533" t="str">
        <f>"20190303170546518"</f>
        <v>20190303170546518</v>
      </c>
      <c r="B2533" t="str">
        <f>"1551603946507529"</f>
        <v>1551603946507529</v>
      </c>
      <c r="C2533" t="s">
        <v>40</v>
      </c>
      <c r="D2533">
        <v>5.8005719999999998</v>
      </c>
      <c r="E2533">
        <v>0.37179410000000002</v>
      </c>
      <c r="F2533" t="s">
        <v>72</v>
      </c>
      <c r="G2533">
        <v>-473.54899999999998</v>
      </c>
      <c r="H2533">
        <v>1.6318629999999901</v>
      </c>
      <c r="I2533">
        <v>180.999</v>
      </c>
      <c r="J2533">
        <v>-494.25839999999999</v>
      </c>
      <c r="K2533">
        <v>1.1236170000000001</v>
      </c>
      <c r="L2533">
        <v>243.59399999999999</v>
      </c>
      <c r="M2533">
        <v>-9.4200389999999995E-2</v>
      </c>
      <c r="N2533">
        <v>-1.366582E-2</v>
      </c>
      <c r="O2533">
        <v>-0.9954596</v>
      </c>
      <c r="P2533">
        <v>-1.0388210000000001E-3</v>
      </c>
      <c r="Q2533">
        <v>0.1742379</v>
      </c>
      <c r="R2533">
        <v>-0.98470329999999995</v>
      </c>
      <c r="S2533">
        <v>1.0041500000000001</v>
      </c>
      <c r="T2533">
        <v>2.4673460000000001E-2</v>
      </c>
      <c r="U2533">
        <v>-3.048813</v>
      </c>
      <c r="V2533">
        <v>-9.2801770000000006E-2</v>
      </c>
      <c r="W2533">
        <v>0.18709410000000001</v>
      </c>
      <c r="X2533">
        <v>0.9779487</v>
      </c>
      <c r="Y2533">
        <v>-0.4008293</v>
      </c>
      <c r="Z2533">
        <v>-2.1374009999999999E-2</v>
      </c>
      <c r="AA2533">
        <v>0.91590340000000003</v>
      </c>
      <c r="AB2533">
        <v>28</v>
      </c>
      <c r="AC2533">
        <v>20.709399999999899</v>
      </c>
      <c r="AD2533">
        <v>0.50824599999999898</v>
      </c>
      <c r="AE2533">
        <v>-62.594999999999999</v>
      </c>
      <c r="AF2533">
        <v>-26.512741171659702</v>
      </c>
      <c r="AG2533">
        <v>0.50824599999999898</v>
      </c>
      <c r="AH2533">
        <v>60.3620016813353</v>
      </c>
      <c r="AI2533">
        <v>89.558309232097201</v>
      </c>
      <c r="AJ2533">
        <v>113.71247368175599</v>
      </c>
      <c r="AK2533">
        <v>65.929924961351702</v>
      </c>
      <c r="AL2533">
        <v>79.216752623936202</v>
      </c>
      <c r="AM2533">
        <v>95.420811179104803</v>
      </c>
      <c r="AN2533">
        <v>1.00000001530081</v>
      </c>
    </row>
    <row r="2534" spans="1:40" x14ac:dyDescent="0.25">
      <c r="A2534" t="str">
        <f>"20190303170546530"</f>
        <v>20190303170546530</v>
      </c>
      <c r="B2534" t="str">
        <f>"1551603946517289"</f>
        <v>1551603946517289</v>
      </c>
      <c r="C2534" t="s">
        <v>40</v>
      </c>
      <c r="D2534">
        <v>5.7688839999999999</v>
      </c>
      <c r="E2534">
        <v>0.37134820000000002</v>
      </c>
      <c r="F2534" t="s">
        <v>72</v>
      </c>
      <c r="G2534">
        <v>-473.03089999999997</v>
      </c>
      <c r="H2534">
        <v>1.7124009999999901</v>
      </c>
      <c r="I2534">
        <v>180.999</v>
      </c>
      <c r="J2534">
        <v>-494.27190000000002</v>
      </c>
      <c r="K2534">
        <v>1.123731</v>
      </c>
      <c r="L2534">
        <v>243.4298</v>
      </c>
      <c r="M2534">
        <v>-9.2169769999999998E-2</v>
      </c>
      <c r="N2534">
        <v>-1.367062E-2</v>
      </c>
      <c r="O2534">
        <v>-0.99564940000000002</v>
      </c>
      <c r="P2534">
        <v>1.8378590000000001E-3</v>
      </c>
      <c r="Q2534">
        <v>0.17470139999999901</v>
      </c>
      <c r="R2534">
        <v>-0.98461989999999999</v>
      </c>
      <c r="S2534">
        <v>1.03183</v>
      </c>
      <c r="T2534">
        <v>2.8619769999999999E-2</v>
      </c>
      <c r="U2534">
        <v>-3.0426329999999999</v>
      </c>
      <c r="V2534">
        <v>-9.3712939999999995E-2</v>
      </c>
      <c r="W2534">
        <v>0.18752930000000001</v>
      </c>
      <c r="X2534">
        <v>0.97777840000000005</v>
      </c>
      <c r="Y2534">
        <v>-0.40699200000000002</v>
      </c>
      <c r="Z2534">
        <v>-2.2574139999999999E-2</v>
      </c>
      <c r="AA2534">
        <v>0.91315270000000004</v>
      </c>
      <c r="AB2534">
        <v>28</v>
      </c>
      <c r="AC2534">
        <v>21.241</v>
      </c>
      <c r="AD2534">
        <v>0.58866999999999903</v>
      </c>
      <c r="AE2534">
        <v>-62.430799999999898</v>
      </c>
      <c r="AF2534">
        <v>-26.903193449151999</v>
      </c>
      <c r="AG2534">
        <v>0.58866999999999903</v>
      </c>
      <c r="AH2534">
        <v>60.202243064283401</v>
      </c>
      <c r="AI2534">
        <v>89.488514127932405</v>
      </c>
      <c r="AJ2534">
        <v>114.07892451408701</v>
      </c>
      <c r="AK2534">
        <v>65.942690422081299</v>
      </c>
      <c r="AL2534">
        <v>79.191367785643195</v>
      </c>
      <c r="AM2534">
        <v>95.474661040087597</v>
      </c>
      <c r="AN2534">
        <v>0.99999997649424599</v>
      </c>
    </row>
    <row r="2535" spans="1:40" x14ac:dyDescent="0.25">
      <c r="A2535" t="str">
        <f>"20190303170546552"</f>
        <v>20190303170546552</v>
      </c>
      <c r="B2535" t="str">
        <f>"1551603946547545"</f>
        <v>1551603946547545</v>
      </c>
      <c r="C2535" t="s">
        <v>40</v>
      </c>
      <c r="D2535">
        <v>5.662903</v>
      </c>
      <c r="E2535">
        <v>0.37173460000000003</v>
      </c>
      <c r="F2535" t="s">
        <v>72</v>
      </c>
      <c r="G2535">
        <v>-472.81670000000003</v>
      </c>
      <c r="H2535">
        <v>1.8048329999999999</v>
      </c>
      <c r="I2535">
        <v>180.9991</v>
      </c>
      <c r="J2535">
        <v>-494.29250000000002</v>
      </c>
      <c r="K2535">
        <v>1.1239170000000001</v>
      </c>
      <c r="L2535">
        <v>243.16810000000001</v>
      </c>
      <c r="M2535">
        <v>-8.8744290000000003E-2</v>
      </c>
      <c r="N2535">
        <v>-1.367902E-2</v>
      </c>
      <c r="O2535">
        <v>-0.99596050000000003</v>
      </c>
      <c r="P2535">
        <v>6.1412599999999999E-3</v>
      </c>
      <c r="Q2535">
        <v>0.176811</v>
      </c>
      <c r="R2535">
        <v>-0.98422580000000004</v>
      </c>
      <c r="S2535">
        <v>1.044403</v>
      </c>
      <c r="T2535">
        <v>3.315485E-2</v>
      </c>
      <c r="U2535">
        <v>-3.0390169999999999</v>
      </c>
      <c r="V2535">
        <v>-9.4688739999999993E-2</v>
      </c>
      <c r="W2535">
        <v>0.1895935</v>
      </c>
      <c r="X2535">
        <v>0.97728619999999999</v>
      </c>
      <c r="Y2535">
        <v>-0.4075568</v>
      </c>
      <c r="Z2535">
        <v>-2.3963129999999999E-2</v>
      </c>
      <c r="AA2535">
        <v>0.91286540000000005</v>
      </c>
      <c r="AB2535">
        <v>28</v>
      </c>
      <c r="AC2535">
        <v>21.4757999999999</v>
      </c>
      <c r="AD2535">
        <v>0.68091599999999997</v>
      </c>
      <c r="AE2535">
        <v>-62.168999999999997</v>
      </c>
      <c r="AF2535">
        <v>-26.905826599112501</v>
      </c>
      <c r="AG2535">
        <v>0.68091599999999997</v>
      </c>
      <c r="AH2535">
        <v>60.011198100927501</v>
      </c>
      <c r="AI2535">
        <v>89.406809518993498</v>
      </c>
      <c r="AJ2535">
        <v>114.148924608096</v>
      </c>
      <c r="AK2535">
        <v>65.770290018285095</v>
      </c>
      <c r="AL2535">
        <v>79.070937550350806</v>
      </c>
      <c r="AM2535">
        <v>95.534083537682804</v>
      </c>
      <c r="AN2535">
        <v>0.99999998471773799</v>
      </c>
    </row>
    <row r="2536" spans="1:40" x14ac:dyDescent="0.25">
      <c r="A2536" t="str">
        <f>"20190303170546566"</f>
        <v>20190303170546566</v>
      </c>
      <c r="B2536" t="str">
        <f>"1551603946557305"</f>
        <v>1551603946557305</v>
      </c>
      <c r="C2536" t="s">
        <v>40</v>
      </c>
      <c r="D2536">
        <v>5.7221929999999999</v>
      </c>
      <c r="E2536">
        <v>0.37204500000000001</v>
      </c>
      <c r="F2536" t="s">
        <v>72</v>
      </c>
      <c r="G2536">
        <v>-472.66</v>
      </c>
      <c r="H2536">
        <v>2.0036299999999998</v>
      </c>
      <c r="I2536">
        <v>180.9991</v>
      </c>
      <c r="J2536">
        <v>-494.30500000000001</v>
      </c>
      <c r="K2536">
        <v>1.1240319999999999</v>
      </c>
      <c r="L2536">
        <v>243.00190000000001</v>
      </c>
      <c r="M2536">
        <v>-8.6462800000000006E-2</v>
      </c>
      <c r="N2536">
        <v>-1.368455E-2</v>
      </c>
      <c r="O2536">
        <v>-0.99616099999999996</v>
      </c>
      <c r="P2536">
        <v>8.6468499999999993E-3</v>
      </c>
      <c r="Q2536">
        <v>0.17737939999999999</v>
      </c>
      <c r="R2536">
        <v>-0.9841046</v>
      </c>
      <c r="S2536">
        <v>1.055634</v>
      </c>
      <c r="T2536">
        <v>4.2928929999999997E-2</v>
      </c>
      <c r="U2536">
        <v>-3.0337679999999998</v>
      </c>
      <c r="V2536">
        <v>-9.4987520000000006E-2</v>
      </c>
      <c r="W2536">
        <v>0.190137</v>
      </c>
      <c r="X2536">
        <v>0.97715160000000001</v>
      </c>
      <c r="Y2536">
        <v>-0.40895090000000001</v>
      </c>
      <c r="Z2536">
        <v>-2.694995E-2</v>
      </c>
      <c r="AA2536">
        <v>0.91215840000000004</v>
      </c>
      <c r="AB2536">
        <v>28</v>
      </c>
      <c r="AC2536">
        <v>21.6449999999999</v>
      </c>
      <c r="AD2536">
        <v>0.87959799999999899</v>
      </c>
      <c r="AE2536">
        <v>-62.002800000000001</v>
      </c>
      <c r="AF2536">
        <v>-26.920534852445801</v>
      </c>
      <c r="AG2536">
        <v>0.87959799999999899</v>
      </c>
      <c r="AH2536">
        <v>59.888154647634302</v>
      </c>
      <c r="AI2536">
        <v>89.232503416179696</v>
      </c>
      <c r="AJ2536">
        <v>114.204561401883</v>
      </c>
      <c r="AK2536">
        <v>65.666429448252401</v>
      </c>
      <c r="AL2536">
        <v>79.039220294224407</v>
      </c>
      <c r="AM2536">
        <v>95.552196739448405</v>
      </c>
      <c r="AN2536">
        <v>0.99999997855365497</v>
      </c>
    </row>
    <row r="2537" spans="1:40" x14ac:dyDescent="0.25">
      <c r="A2537" t="str">
        <f>"20190303170546579"</f>
        <v>20190303170546579</v>
      </c>
      <c r="B2537" t="str">
        <f>"1551603946567064"</f>
        <v>1551603946567064</v>
      </c>
      <c r="C2537" t="s">
        <v>40</v>
      </c>
      <c r="D2537">
        <v>5.738556</v>
      </c>
      <c r="E2537">
        <v>0.37215330000000002</v>
      </c>
      <c r="F2537" t="s">
        <v>72</v>
      </c>
      <c r="G2537">
        <v>-472.44900000000001</v>
      </c>
      <c r="H2537">
        <v>2.0247449999999998</v>
      </c>
      <c r="I2537">
        <v>180.5907</v>
      </c>
      <c r="J2537">
        <v>-494.31790000000001</v>
      </c>
      <c r="K2537">
        <v>1.1241509999999999</v>
      </c>
      <c r="L2537">
        <v>242.82310000000001</v>
      </c>
      <c r="M2537">
        <v>-8.3893079999999995E-2</v>
      </c>
      <c r="N2537">
        <v>-1.3690829999999999E-2</v>
      </c>
      <c r="O2537">
        <v>-0.99638070000000001</v>
      </c>
      <c r="P2537">
        <v>1.176863E-2</v>
      </c>
      <c r="Q2537">
        <v>0.17714009999999999</v>
      </c>
      <c r="R2537">
        <v>-0.98411519999999997</v>
      </c>
      <c r="S2537">
        <v>1.061523</v>
      </c>
      <c r="T2537">
        <v>4.3746710000000001E-2</v>
      </c>
      <c r="U2537">
        <v>-3.03125</v>
      </c>
      <c r="V2537">
        <v>-9.5624310000000004E-2</v>
      </c>
      <c r="W2537">
        <v>0.1898725</v>
      </c>
      <c r="X2537">
        <v>0.97714100000000004</v>
      </c>
      <c r="Y2537">
        <v>-0.40841040000000001</v>
      </c>
      <c r="Z2537">
        <v>-2.7212859999999998E-2</v>
      </c>
      <c r="AA2537">
        <v>0.91239269999999995</v>
      </c>
      <c r="AB2537">
        <v>28</v>
      </c>
      <c r="AC2537">
        <v>21.8689</v>
      </c>
      <c r="AD2537">
        <v>0.90059400000000001</v>
      </c>
      <c r="AE2537">
        <v>-62.232399999999998</v>
      </c>
      <c r="AF2537">
        <v>-27.0081151111644</v>
      </c>
      <c r="AG2537">
        <v>0.90059400000000001</v>
      </c>
      <c r="AH2537">
        <v>60.166938009636098</v>
      </c>
      <c r="AI2537">
        <v>89.217642796466293</v>
      </c>
      <c r="AJ2537">
        <v>114.174659235303</v>
      </c>
      <c r="AK2537">
        <v>65.956878192241106</v>
      </c>
      <c r="AL2537">
        <v>79.054657062362296</v>
      </c>
      <c r="AM2537">
        <v>95.589243637464307</v>
      </c>
      <c r="AN2537">
        <v>1.00000005440011</v>
      </c>
    </row>
    <row r="2538" spans="1:40" x14ac:dyDescent="0.25">
      <c r="A2538" t="str">
        <f>"20190303170546598"</f>
        <v>20190303170546598</v>
      </c>
      <c r="B2538" t="str">
        <f>"1551603946587561"</f>
        <v>1551603946587561</v>
      </c>
      <c r="C2538" t="s">
        <v>40</v>
      </c>
      <c r="D2538">
        <v>5.7427000000000001</v>
      </c>
      <c r="E2538">
        <v>0.37205199999999999</v>
      </c>
      <c r="F2538" t="s">
        <v>72</v>
      </c>
      <c r="G2538">
        <v>-472.30849999999998</v>
      </c>
      <c r="H2538">
        <v>2.0018790000000002</v>
      </c>
      <c r="I2538">
        <v>180.5907</v>
      </c>
      <c r="J2538">
        <v>-494.33260000000001</v>
      </c>
      <c r="K2538">
        <v>1.1242799999999999</v>
      </c>
      <c r="L2538">
        <v>242.6079</v>
      </c>
      <c r="M2538">
        <v>-8.0667169999999996E-2</v>
      </c>
      <c r="N2538">
        <v>-1.3698190000000001E-2</v>
      </c>
      <c r="O2538">
        <v>-0.99664699999999995</v>
      </c>
      <c r="P2538">
        <v>1.7164019999999999E-2</v>
      </c>
      <c r="Q2538">
        <v>0.17586179999999901</v>
      </c>
      <c r="R2538">
        <v>-0.98426519999999995</v>
      </c>
      <c r="S2538">
        <v>1.070862</v>
      </c>
      <c r="T2538">
        <v>4.2705659999999999E-2</v>
      </c>
      <c r="U2538">
        <v>-3.027908</v>
      </c>
      <c r="V2538">
        <v>-9.7894709999999996E-2</v>
      </c>
      <c r="W2538">
        <v>0.18855440000000001</v>
      </c>
      <c r="X2538">
        <v>0.97717140000000002</v>
      </c>
      <c r="Y2538">
        <v>-0.4082752</v>
      </c>
      <c r="Z2538">
        <v>-2.6910440000000001E-2</v>
      </c>
      <c r="AA2538">
        <v>0.9124622</v>
      </c>
      <c r="AB2538">
        <v>28</v>
      </c>
      <c r="AC2538">
        <v>22.024100000000001</v>
      </c>
      <c r="AD2538">
        <v>0.87759900000000002</v>
      </c>
      <c r="AE2538">
        <v>-62.017200000000003</v>
      </c>
      <c r="AF2538">
        <v>-26.950740860129901</v>
      </c>
      <c r="AG2538">
        <v>0.87759900000000002</v>
      </c>
      <c r="AH2538">
        <v>60.027591110231299</v>
      </c>
      <c r="AI2538">
        <v>89.235871495724894</v>
      </c>
      <c r="AJ2538">
        <v>114.178771531758</v>
      </c>
      <c r="AK2538">
        <v>65.805959512887597</v>
      </c>
      <c r="AL2538">
        <v>79.1315677981504</v>
      </c>
      <c r="AM2538">
        <v>95.720901561832605</v>
      </c>
      <c r="AN2538">
        <v>1.00000004049165</v>
      </c>
    </row>
    <row r="2539" spans="1:40" x14ac:dyDescent="0.25">
      <c r="A2539" t="str">
        <f>"20190303170546617"</f>
        <v>20190303170546617</v>
      </c>
      <c r="B2539" t="str">
        <f>"1551603946607081"</f>
        <v>1551603946607081</v>
      </c>
      <c r="C2539" t="s">
        <v>40</v>
      </c>
      <c r="D2539">
        <v>5.7131059999999998</v>
      </c>
      <c r="E2539">
        <v>0.37236239999999998</v>
      </c>
      <c r="F2539" t="s">
        <v>72</v>
      </c>
      <c r="G2539">
        <v>-472.0052</v>
      </c>
      <c r="H2539">
        <v>1.94414</v>
      </c>
      <c r="I2539">
        <v>180.59059999999999</v>
      </c>
      <c r="J2539">
        <v>-494.34859999999998</v>
      </c>
      <c r="K2539">
        <v>1.124425</v>
      </c>
      <c r="L2539">
        <v>242.35900000000001</v>
      </c>
      <c r="M2539">
        <v>-7.6761770000000007E-2</v>
      </c>
      <c r="N2539">
        <v>-1.370672E-2</v>
      </c>
      <c r="O2539">
        <v>-0.99695529999999999</v>
      </c>
      <c r="P2539">
        <v>2.4854640000000001E-2</v>
      </c>
      <c r="Q2539">
        <v>0.17362</v>
      </c>
      <c r="R2539">
        <v>-0.98449920000000002</v>
      </c>
      <c r="S2539">
        <v>1.0879209999999999</v>
      </c>
      <c r="T2539">
        <v>3.9948459999999998E-2</v>
      </c>
      <c r="U2539">
        <v>-3.0218509999999998</v>
      </c>
      <c r="V2539">
        <v>-0.1017923</v>
      </c>
      <c r="W2539">
        <v>0.18625649999999999</v>
      </c>
      <c r="X2539">
        <v>0.97721380000000002</v>
      </c>
      <c r="Y2539">
        <v>-0.40984660000000001</v>
      </c>
      <c r="Z2539">
        <v>-2.6085609999999999E-2</v>
      </c>
      <c r="AA2539">
        <v>0.91178139999999996</v>
      </c>
      <c r="AB2539">
        <v>28</v>
      </c>
      <c r="AC2539">
        <v>22.3433999999999</v>
      </c>
      <c r="AD2539">
        <v>0.81971499999999997</v>
      </c>
      <c r="AE2539">
        <v>-61.7684</v>
      </c>
      <c r="AF2539">
        <v>-27.01515223562</v>
      </c>
      <c r="AG2539">
        <v>0.81971499999999997</v>
      </c>
      <c r="AH2539">
        <v>59.861513180932299</v>
      </c>
      <c r="AI2539">
        <v>89.2849075401611</v>
      </c>
      <c r="AJ2539">
        <v>114.2893793068</v>
      </c>
      <c r="AK2539">
        <v>65.680218812865505</v>
      </c>
      <c r="AL2539">
        <v>79.265601919763299</v>
      </c>
      <c r="AM2539">
        <v>95.946816410366097</v>
      </c>
      <c r="AN2539">
        <v>0.99999998352098995</v>
      </c>
    </row>
    <row r="2540" spans="1:40" x14ac:dyDescent="0.25">
      <c r="A2540" t="str">
        <f>"20190303170546628"</f>
        <v>20190303170546628</v>
      </c>
      <c r="B2540" t="str">
        <f>"1551603946616841"</f>
        <v>1551603946616841</v>
      </c>
      <c r="C2540" t="s">
        <v>40</v>
      </c>
      <c r="D2540">
        <v>5.7579089999999997</v>
      </c>
      <c r="E2540">
        <v>0.37243910000000002</v>
      </c>
      <c r="F2540" t="s">
        <v>73</v>
      </c>
      <c r="G2540">
        <v>-473.85019999999997</v>
      </c>
      <c r="H2540">
        <v>1.656569</v>
      </c>
      <c r="I2540">
        <v>186.57929999999999</v>
      </c>
      <c r="J2540">
        <v>-494.3569</v>
      </c>
      <c r="K2540">
        <v>1.124503</v>
      </c>
      <c r="L2540">
        <v>242.2218</v>
      </c>
      <c r="M2540">
        <v>-7.4529280000000003E-2</v>
      </c>
      <c r="N2540">
        <v>-1.371167E-2</v>
      </c>
      <c r="O2540">
        <v>-0.99712460000000003</v>
      </c>
      <c r="P2540">
        <v>2.8852019999999999E-2</v>
      </c>
      <c r="Q2540">
        <v>0.17327999999999999</v>
      </c>
      <c r="R2540">
        <v>-0.98445000000000005</v>
      </c>
      <c r="S2540">
        <v>1.1076969999999999</v>
      </c>
      <c r="T2540">
        <v>2.8757930000000001E-2</v>
      </c>
      <c r="U2540">
        <v>-3.014221</v>
      </c>
      <c r="V2540">
        <v>-0.103615</v>
      </c>
      <c r="W2540">
        <v>0.18588540000000001</v>
      </c>
      <c r="X2540">
        <v>0.97709290000000004</v>
      </c>
      <c r="Y2540">
        <v>-0.41383619999999999</v>
      </c>
      <c r="Z2540">
        <v>-2.2678899999999998E-2</v>
      </c>
      <c r="AA2540">
        <v>0.91006880000000001</v>
      </c>
      <c r="AB2540">
        <v>28</v>
      </c>
      <c r="AC2540">
        <v>20.506699999999999</v>
      </c>
      <c r="AD2540">
        <v>0.53206599999999904</v>
      </c>
      <c r="AE2540">
        <v>-55.642499999999998</v>
      </c>
      <c r="AF2540">
        <v>-24.595061774510999</v>
      </c>
      <c r="AG2540">
        <v>0.53206599999999904</v>
      </c>
      <c r="AH2540">
        <v>53.954882701687502</v>
      </c>
      <c r="AI2540">
        <v>89.485898129586502</v>
      </c>
      <c r="AJ2540">
        <v>114.505631771796</v>
      </c>
      <c r="AK2540">
        <v>59.298646909294902</v>
      </c>
      <c r="AL2540">
        <v>79.287242404443603</v>
      </c>
      <c r="AM2540">
        <v>96.053260326659299</v>
      </c>
      <c r="AN2540">
        <v>0.99999999269428497</v>
      </c>
    </row>
    <row r="2541" spans="1:40" x14ac:dyDescent="0.25">
      <c r="A2541" t="str">
        <f>"20190303170546640"</f>
        <v>20190303170546640</v>
      </c>
      <c r="B2541" t="str">
        <f>"1551603946627577"</f>
        <v>1551603946627577</v>
      </c>
      <c r="C2541" t="s">
        <v>40</v>
      </c>
      <c r="D2541">
        <v>5.7347270000000004</v>
      </c>
      <c r="E2541">
        <v>0.37263249999999998</v>
      </c>
      <c r="F2541" t="s">
        <v>73</v>
      </c>
      <c r="G2541">
        <v>-473.85019999999997</v>
      </c>
      <c r="H2541">
        <v>1.5946830000000001</v>
      </c>
      <c r="I2541">
        <v>187.02789999999999</v>
      </c>
      <c r="J2541">
        <v>-494.36520000000002</v>
      </c>
      <c r="K2541">
        <v>1.124587</v>
      </c>
      <c r="L2541">
        <v>242.07839999999999</v>
      </c>
      <c r="M2541">
        <v>-7.2142520000000002E-2</v>
      </c>
      <c r="N2541">
        <v>-1.371701E-2</v>
      </c>
      <c r="O2541">
        <v>-0.99730010000000002</v>
      </c>
      <c r="P2541">
        <v>3.2185289999999998E-2</v>
      </c>
      <c r="Q2541">
        <v>0.17388679999999901</v>
      </c>
      <c r="R2541">
        <v>-0.98423959999999999</v>
      </c>
      <c r="S2541">
        <v>1.1183780000000001</v>
      </c>
      <c r="T2541">
        <v>2.564406E-2</v>
      </c>
      <c r="U2541">
        <v>-3.0101010000000001</v>
      </c>
      <c r="V2541">
        <v>-0.1046222</v>
      </c>
      <c r="W2541">
        <v>0.18646589999999999</v>
      </c>
      <c r="X2541">
        <v>0.97687489999999999</v>
      </c>
      <c r="Y2541">
        <v>-0.414906</v>
      </c>
      <c r="Z2541">
        <v>-2.173481E-2</v>
      </c>
      <c r="AA2541">
        <v>0.90960469999999904</v>
      </c>
      <c r="AB2541">
        <v>28</v>
      </c>
      <c r="AC2541">
        <v>20.515000000000001</v>
      </c>
      <c r="AD2541">
        <v>0.47009600000000001</v>
      </c>
      <c r="AE2541">
        <v>-55.0505</v>
      </c>
      <c r="AF2541">
        <v>-24.431825457437501</v>
      </c>
      <c r="AG2541">
        <v>0.47009600000000001</v>
      </c>
      <c r="AH2541">
        <v>53.423466211155102</v>
      </c>
      <c r="AI2541">
        <v>89.541511291648504</v>
      </c>
      <c r="AJ2541">
        <v>114.575748505631</v>
      </c>
      <c r="AK2541">
        <v>58.746930366158999</v>
      </c>
      <c r="AL2541">
        <v>79.2533899234259</v>
      </c>
      <c r="AM2541">
        <v>96.113012000975701</v>
      </c>
      <c r="AN2541">
        <v>0.99999995342282899</v>
      </c>
    </row>
    <row r="2542" spans="1:40" x14ac:dyDescent="0.25">
      <c r="A2542" t="str">
        <f>"20190303170546651"</f>
        <v>20190303170546651</v>
      </c>
      <c r="B2542" t="str">
        <f>"1551603946647097"</f>
        <v>1551603946647097</v>
      </c>
      <c r="C2542" t="s">
        <v>40</v>
      </c>
      <c r="D2542">
        <v>5.7049979999999998</v>
      </c>
      <c r="E2542">
        <v>0.372892</v>
      </c>
      <c r="F2542" t="s">
        <v>73</v>
      </c>
      <c r="G2542">
        <v>-473.85019999999997</v>
      </c>
      <c r="H2542">
        <v>1.5771930000000001</v>
      </c>
      <c r="I2542">
        <v>187.2998</v>
      </c>
      <c r="J2542">
        <v>-494.37270000000001</v>
      </c>
      <c r="K2542">
        <v>1.124673</v>
      </c>
      <c r="L2542">
        <v>241.94280000000001</v>
      </c>
      <c r="M2542">
        <v>-6.9817110000000002E-2</v>
      </c>
      <c r="N2542">
        <v>-1.372253E-2</v>
      </c>
      <c r="O2542">
        <v>-0.9974655</v>
      </c>
      <c r="P2542">
        <v>3.5026460000000002E-2</v>
      </c>
      <c r="Q2542">
        <v>0.175138299999999</v>
      </c>
      <c r="R2542">
        <v>-0.98392089999999999</v>
      </c>
      <c r="S2542">
        <v>1.126099</v>
      </c>
      <c r="T2542">
        <v>2.484596E-2</v>
      </c>
      <c r="U2542">
        <v>-3.0068510000000002</v>
      </c>
      <c r="V2542">
        <v>-0.1051966</v>
      </c>
      <c r="W2542">
        <v>0.18769459999999999</v>
      </c>
      <c r="X2542">
        <v>0.9765779</v>
      </c>
      <c r="Y2542">
        <v>-0.4151569</v>
      </c>
      <c r="Z2542">
        <v>-2.149788E-2</v>
      </c>
      <c r="AA2542">
        <v>0.90949579999999997</v>
      </c>
      <c r="AB2542">
        <v>28</v>
      </c>
      <c r="AC2542">
        <v>20.522500000000001</v>
      </c>
      <c r="AD2542">
        <v>0.45251999999999998</v>
      </c>
      <c r="AE2542">
        <v>-54.643000000000001</v>
      </c>
      <c r="AF2542">
        <v>-24.286327323163199</v>
      </c>
      <c r="AG2542">
        <v>0.45251999999999998</v>
      </c>
      <c r="AH2542">
        <v>53.073489131781798</v>
      </c>
      <c r="AI2542">
        <v>89.555788494358495</v>
      </c>
      <c r="AJ2542">
        <v>114.588741993494</v>
      </c>
      <c r="AK2542">
        <v>58.3680196496299</v>
      </c>
      <c r="AL2542">
        <v>79.1817257389622</v>
      </c>
      <c r="AM2542">
        <v>96.148172577549204</v>
      </c>
      <c r="AN2542">
        <v>0.99999999114456495</v>
      </c>
    </row>
    <row r="2543" spans="1:40" x14ac:dyDescent="0.25">
      <c r="A2543" t="str">
        <f>"20190303170546664"</f>
        <v>20190303170546664</v>
      </c>
      <c r="B2543" t="str">
        <f>"1551603946656858"</f>
        <v>1551603946656858</v>
      </c>
      <c r="C2543" t="s">
        <v>40</v>
      </c>
      <c r="D2543">
        <v>5.7208930000000002</v>
      </c>
      <c r="E2543">
        <v>0.37310929999999998</v>
      </c>
      <c r="F2543" t="s">
        <v>73</v>
      </c>
      <c r="G2543">
        <v>-473.79989999999998</v>
      </c>
      <c r="H2543">
        <v>1.6129359999999999</v>
      </c>
      <c r="I2543">
        <v>187.39830000000001</v>
      </c>
      <c r="J2543">
        <v>-494.38099999999997</v>
      </c>
      <c r="K2543">
        <v>1.1247739999999999</v>
      </c>
      <c r="L2543">
        <v>241.7851</v>
      </c>
      <c r="M2543">
        <v>-6.7074919999999996E-2</v>
      </c>
      <c r="N2543">
        <v>-1.3728860000000001E-2</v>
      </c>
      <c r="O2543">
        <v>-0.99765360000000003</v>
      </c>
      <c r="P2543">
        <v>3.737182E-2</v>
      </c>
      <c r="Q2543">
        <v>0.17718419999999999</v>
      </c>
      <c r="R2543">
        <v>-0.98346809999999996</v>
      </c>
      <c r="S2543">
        <v>1.1329959999999999</v>
      </c>
      <c r="T2543">
        <v>2.6891709999999999E-2</v>
      </c>
      <c r="U2543">
        <v>-3.0038909999999999</v>
      </c>
      <c r="V2543">
        <v>-0.1048728</v>
      </c>
      <c r="W2543">
        <v>0.18972169999999999</v>
      </c>
      <c r="X2543">
        <v>0.97622100000000001</v>
      </c>
      <c r="Y2543">
        <v>-0.4147767</v>
      </c>
      <c r="Z2543">
        <v>-2.2131789999999998E-2</v>
      </c>
      <c r="AA2543">
        <v>0.90965399999999996</v>
      </c>
      <c r="AB2543">
        <v>28</v>
      </c>
      <c r="AC2543">
        <v>20.5810999999999</v>
      </c>
      <c r="AD2543">
        <v>0.48816199999999998</v>
      </c>
      <c r="AE2543">
        <v>-54.386800000000001</v>
      </c>
      <c r="AF2543">
        <v>-24.181370984857001</v>
      </c>
      <c r="AG2543">
        <v>0.48816199999999998</v>
      </c>
      <c r="AH2543">
        <v>52.879962507952897</v>
      </c>
      <c r="AI2543">
        <v>89.518992395696699</v>
      </c>
      <c r="AJ2543">
        <v>114.57404835725499</v>
      </c>
      <c r="AK2543">
        <v>58.148666706022098</v>
      </c>
      <c r="AL2543">
        <v>79.063456999763105</v>
      </c>
      <c r="AM2543">
        <v>96.131616290496197</v>
      </c>
      <c r="AN2543">
        <v>1.0000000342358599</v>
      </c>
    </row>
    <row r="2544" spans="1:40" x14ac:dyDescent="0.25">
      <c r="A2544" t="str">
        <f>"20190303170546686"</f>
        <v>20190303170546686</v>
      </c>
      <c r="B2544" t="str">
        <f>"1551603946677355"</f>
        <v>1551603946677355</v>
      </c>
      <c r="C2544" t="s">
        <v>40</v>
      </c>
      <c r="D2544">
        <v>5.721508</v>
      </c>
      <c r="E2544">
        <v>0.3735156</v>
      </c>
      <c r="F2544" t="s">
        <v>73</v>
      </c>
      <c r="G2544">
        <v>-473.75959999999998</v>
      </c>
      <c r="H2544">
        <v>1.70361899999999</v>
      </c>
      <c r="I2544">
        <v>187.39830000000001</v>
      </c>
      <c r="J2544">
        <v>-494.39389999999997</v>
      </c>
      <c r="K2544">
        <v>1.1249480000000001</v>
      </c>
      <c r="L2544">
        <v>241.51480000000001</v>
      </c>
      <c r="M2544">
        <v>-6.2177959999999997E-2</v>
      </c>
      <c r="N2544">
        <v>-1.37406E-2</v>
      </c>
      <c r="O2544">
        <v>-0.99797040000000004</v>
      </c>
      <c r="P2544">
        <v>4.0399190000000001E-2</v>
      </c>
      <c r="Q2544">
        <v>0.18035619999999999</v>
      </c>
      <c r="R2544">
        <v>-0.98277110000000001</v>
      </c>
      <c r="S2544">
        <v>1.138031</v>
      </c>
      <c r="T2544">
        <v>3.1946420000000003E-2</v>
      </c>
      <c r="U2544">
        <v>-3.0014189999999998</v>
      </c>
      <c r="V2544">
        <v>-0.10314710000000001</v>
      </c>
      <c r="W2544">
        <v>0.19287579999999999</v>
      </c>
      <c r="X2544">
        <v>0.97578670000000001</v>
      </c>
      <c r="Y2544">
        <v>-0.41188330000000001</v>
      </c>
      <c r="Z2544">
        <v>-2.3695810000000001E-2</v>
      </c>
      <c r="AA2544">
        <v>0.91092839999999997</v>
      </c>
      <c r="AB2544">
        <v>28</v>
      </c>
      <c r="AC2544">
        <v>20.6343</v>
      </c>
      <c r="AD2544">
        <v>0.57867099999999905</v>
      </c>
      <c r="AE2544">
        <v>-54.116500000000002</v>
      </c>
      <c r="AF2544">
        <v>-23.957146670271801</v>
      </c>
      <c r="AG2544">
        <v>0.57867099999999905</v>
      </c>
      <c r="AH2544">
        <v>52.723385818614901</v>
      </c>
      <c r="AI2544">
        <v>89.427496992145805</v>
      </c>
      <c r="AJ2544">
        <v>114.436723385229</v>
      </c>
      <c r="AK2544">
        <v>57.914032400495799</v>
      </c>
      <c r="AL2544">
        <v>78.879340080769296</v>
      </c>
      <c r="AM2544">
        <v>96.034134046293801</v>
      </c>
      <c r="AN2544">
        <v>1.0000000411804599</v>
      </c>
    </row>
    <row r="2545" spans="1:40" x14ac:dyDescent="0.25">
      <c r="A2545" t="str">
        <f>"20190303170546698"</f>
        <v>20190303170546698</v>
      </c>
      <c r="B2545" t="str">
        <f>"1551603946687113"</f>
        <v>1551603946687113</v>
      </c>
      <c r="C2545" t="s">
        <v>40</v>
      </c>
      <c r="D2545">
        <v>5.7325019999999904</v>
      </c>
      <c r="E2545">
        <v>0.37368479999999998</v>
      </c>
      <c r="F2545" t="s">
        <v>73</v>
      </c>
      <c r="G2545">
        <v>-473.75450000000001</v>
      </c>
      <c r="H2545">
        <v>1.818727</v>
      </c>
      <c r="I2545">
        <v>187.39830000000001</v>
      </c>
      <c r="J2545">
        <v>-494.40050000000002</v>
      </c>
      <c r="K2545">
        <v>1.1250359999999999</v>
      </c>
      <c r="L2545">
        <v>241.36240000000001</v>
      </c>
      <c r="M2545">
        <v>-5.9331710000000003E-2</v>
      </c>
      <c r="N2545">
        <v>-1.374742E-2</v>
      </c>
      <c r="O2545">
        <v>-0.99814369999999997</v>
      </c>
      <c r="P2545">
        <v>4.2369249999999997E-2</v>
      </c>
      <c r="Q2545">
        <v>0.18090700000000001</v>
      </c>
      <c r="R2545">
        <v>-0.98258719999999999</v>
      </c>
      <c r="S2545">
        <v>1.143616</v>
      </c>
      <c r="T2545">
        <v>3.8443570000000003E-2</v>
      </c>
      <c r="U2545">
        <v>-2.998535</v>
      </c>
      <c r="V2545">
        <v>-0.1023565</v>
      </c>
      <c r="W2545">
        <v>0.19341939999999999</v>
      </c>
      <c r="X2545">
        <v>0.97576229999999997</v>
      </c>
      <c r="Y2545">
        <v>-0.41104489999999999</v>
      </c>
      <c r="Z2545">
        <v>-2.5700810000000001E-2</v>
      </c>
      <c r="AA2545">
        <v>0.91125270000000003</v>
      </c>
      <c r="AB2545">
        <v>28</v>
      </c>
      <c r="AC2545">
        <v>20.646000000000001</v>
      </c>
      <c r="AD2545">
        <v>0.69369099999999895</v>
      </c>
      <c r="AE2545">
        <v>-53.964100000000002</v>
      </c>
      <c r="AF2545">
        <v>-23.8082744947998</v>
      </c>
      <c r="AG2545">
        <v>0.69369099999999895</v>
      </c>
      <c r="AH2545">
        <v>52.636349265811702</v>
      </c>
      <c r="AI2545">
        <v>89.312041183414493</v>
      </c>
      <c r="AJ2545">
        <v>114.33801100907699</v>
      </c>
      <c r="AK2545">
        <v>57.774565386991299</v>
      </c>
      <c r="AL2545">
        <v>78.847595793985207</v>
      </c>
      <c r="AM2545">
        <v>95.988369729304196</v>
      </c>
      <c r="AN2545">
        <v>0.99999999174494902</v>
      </c>
    </row>
    <row r="2546" spans="1:40" x14ac:dyDescent="0.25">
      <c r="A2546" t="str">
        <f>"20190303170546711"</f>
        <v>20190303170546711</v>
      </c>
      <c r="B2546" t="str">
        <f>"1551603946707609"</f>
        <v>1551603946707609</v>
      </c>
      <c r="C2546" t="s">
        <v>40</v>
      </c>
      <c r="D2546">
        <v>5.7846409999999997</v>
      </c>
      <c r="E2546">
        <v>0.37391210000000003</v>
      </c>
      <c r="F2546" t="s">
        <v>73</v>
      </c>
      <c r="G2546">
        <v>-473.71559999999999</v>
      </c>
      <c r="H2546">
        <v>1.8223389999999999</v>
      </c>
      <c r="I2546">
        <v>187.39830000000001</v>
      </c>
      <c r="J2546">
        <v>-494.40660000000003</v>
      </c>
      <c r="K2546">
        <v>1.1251139999999999</v>
      </c>
      <c r="L2546">
        <v>241.2081</v>
      </c>
      <c r="M2546">
        <v>-5.6390830000000003E-2</v>
      </c>
      <c r="N2546">
        <v>-1.375431E-2</v>
      </c>
      <c r="O2546">
        <v>-0.99831409999999998</v>
      </c>
      <c r="P2546">
        <v>4.5255959999999998E-2</v>
      </c>
      <c r="Q2546">
        <v>0.1805792</v>
      </c>
      <c r="R2546">
        <v>-0.98251869999999997</v>
      </c>
      <c r="S2546">
        <v>1.14859</v>
      </c>
      <c r="T2546">
        <v>3.8721560000000002E-2</v>
      </c>
      <c r="U2546">
        <v>-2.9964900000000001</v>
      </c>
      <c r="V2546">
        <v>-0.1023882</v>
      </c>
      <c r="W2546">
        <v>0.19307879999999999</v>
      </c>
      <c r="X2546">
        <v>0.97582639999999998</v>
      </c>
      <c r="Y2546">
        <v>-0.4098851</v>
      </c>
      <c r="Z2546">
        <v>-2.5796860000000001E-2</v>
      </c>
      <c r="AA2546">
        <v>0.91177229999999998</v>
      </c>
      <c r="AB2546">
        <v>28</v>
      </c>
      <c r="AC2546">
        <v>20.690999999999999</v>
      </c>
      <c r="AD2546">
        <v>0.69722499999999998</v>
      </c>
      <c r="AE2546">
        <v>-53.809800000000003</v>
      </c>
      <c r="AF2546">
        <v>-23.689270903478199</v>
      </c>
      <c r="AG2546">
        <v>0.69722499999999998</v>
      </c>
      <c r="AH2546">
        <v>52.5495810541303</v>
      </c>
      <c r="AI2546">
        <v>89.307000759615903</v>
      </c>
      <c r="AJ2546">
        <v>114.265778971521</v>
      </c>
      <c r="AK2546">
        <v>57.646562322515102</v>
      </c>
      <c r="AL2546">
        <v>78.867485361633896</v>
      </c>
      <c r="AM2546">
        <v>95.9898202320325</v>
      </c>
      <c r="AN2546">
        <v>0.99999996472281905</v>
      </c>
    </row>
    <row r="2547" spans="1:40" x14ac:dyDescent="0.25">
      <c r="A2547" t="str">
        <f>"20190303170546724"</f>
        <v>20190303170546724</v>
      </c>
      <c r="B2547" t="str">
        <f>"1551603946717369"</f>
        <v>1551603946717369</v>
      </c>
      <c r="C2547" t="s">
        <v>40</v>
      </c>
      <c r="D2547">
        <v>5.7913800000000002</v>
      </c>
      <c r="E2547">
        <v>0.37402150000000001</v>
      </c>
      <c r="F2547" t="s">
        <v>73</v>
      </c>
      <c r="G2547">
        <v>-473.64859999999999</v>
      </c>
      <c r="H2547">
        <v>1.7829680000000001</v>
      </c>
      <c r="I2547">
        <v>187.39830000000001</v>
      </c>
      <c r="J2547">
        <v>-494.41250000000002</v>
      </c>
      <c r="K2547">
        <v>1.125194</v>
      </c>
      <c r="L2547">
        <v>241.04990000000001</v>
      </c>
      <c r="M2547">
        <v>-5.3330540000000003E-2</v>
      </c>
      <c r="N2547">
        <v>-1.3761199999999999E-2</v>
      </c>
      <c r="O2547">
        <v>-0.99848199999999998</v>
      </c>
      <c r="P2547">
        <v>4.8551799999999999E-2</v>
      </c>
      <c r="Q2547">
        <v>0.17992949999999999</v>
      </c>
      <c r="R2547">
        <v>-0.98248080000000004</v>
      </c>
      <c r="S2547">
        <v>1.154785</v>
      </c>
      <c r="T2547">
        <v>3.6598560000000002E-2</v>
      </c>
      <c r="U2547">
        <v>-2.9934539999999998</v>
      </c>
      <c r="V2547">
        <v>-0.10271039999999999</v>
      </c>
      <c r="W2547">
        <v>0.192414</v>
      </c>
      <c r="X2547">
        <v>0.97592389999999996</v>
      </c>
      <c r="Y2547">
        <v>-0.40904600000000002</v>
      </c>
      <c r="Z2547">
        <v>-2.5156379999999999E-2</v>
      </c>
      <c r="AA2547">
        <v>0.91216699999999995</v>
      </c>
      <c r="AB2547">
        <v>28</v>
      </c>
      <c r="AC2547">
        <v>20.7639</v>
      </c>
      <c r="AD2547">
        <v>0.65777399999999997</v>
      </c>
      <c r="AE2547">
        <v>-53.651600000000002</v>
      </c>
      <c r="AF2547">
        <v>-23.5928013218061</v>
      </c>
      <c r="AG2547">
        <v>0.65777399999999997</v>
      </c>
      <c r="AH2547">
        <v>52.460921531620897</v>
      </c>
      <c r="AI2547">
        <v>89.344840245997005</v>
      </c>
      <c r="AJ2547">
        <v>114.214471458886</v>
      </c>
      <c r="AK2547">
        <v>57.525657134813997</v>
      </c>
      <c r="AL2547">
        <v>78.9063040696565</v>
      </c>
      <c r="AM2547">
        <v>96.007935709529605</v>
      </c>
      <c r="AN2547">
        <v>1.0000000161276801</v>
      </c>
    </row>
    <row r="2548" spans="1:40" x14ac:dyDescent="0.25">
      <c r="A2548" t="str">
        <f>"20190303170546740"</f>
        <v>20190303170546740</v>
      </c>
      <c r="B2548" t="str">
        <f>"1551603946727130"</f>
        <v>1551603946727130</v>
      </c>
      <c r="C2548" t="s">
        <v>40</v>
      </c>
      <c r="D2548">
        <v>5.7700269999999998</v>
      </c>
      <c r="E2548">
        <v>0.37414409999999998</v>
      </c>
      <c r="F2548" t="s">
        <v>73</v>
      </c>
      <c r="G2548">
        <v>-473.54430000000002</v>
      </c>
      <c r="H2548">
        <v>1.7171459999999901</v>
      </c>
      <c r="I2548">
        <v>187.39830000000001</v>
      </c>
      <c r="J2548">
        <v>-494.41930000000002</v>
      </c>
      <c r="K2548">
        <v>1.1253010000000001</v>
      </c>
      <c r="L2548">
        <v>240.845</v>
      </c>
      <c r="M2548">
        <v>-4.9215540000000002E-2</v>
      </c>
      <c r="N2548">
        <v>-1.377068E-2</v>
      </c>
      <c r="O2548">
        <v>-0.99869330000000001</v>
      </c>
      <c r="P2548">
        <v>5.3449080000000003E-2</v>
      </c>
      <c r="Q2548">
        <v>0.1792618</v>
      </c>
      <c r="R2548">
        <v>-0.98234840000000001</v>
      </c>
      <c r="S2548">
        <v>1.1629940000000001</v>
      </c>
      <c r="T2548">
        <v>3.2991529999999998E-2</v>
      </c>
      <c r="U2548">
        <v>-2.990005</v>
      </c>
      <c r="V2548">
        <v>-0.1036098</v>
      </c>
      <c r="W2548">
        <v>0.19171859999999999</v>
      </c>
      <c r="X2548">
        <v>0.97596570000000005</v>
      </c>
      <c r="Y2548">
        <v>-0.40782289999999999</v>
      </c>
      <c r="Z2548">
        <v>-2.4059319999999999E-2</v>
      </c>
      <c r="AA2548">
        <v>0.912744</v>
      </c>
      <c r="AB2548">
        <v>28</v>
      </c>
      <c r="AC2548">
        <v>20.875</v>
      </c>
      <c r="AD2548">
        <v>0.59184499999999896</v>
      </c>
      <c r="AE2548">
        <v>-53.4466999999999</v>
      </c>
      <c r="AF2548">
        <v>-23.477858091975801</v>
      </c>
      <c r="AG2548">
        <v>0.59184499999999896</v>
      </c>
      <c r="AH2548">
        <v>52.348878651616701</v>
      </c>
      <c r="AI2548">
        <v>89.408968402039207</v>
      </c>
      <c r="AJ2548">
        <v>114.155674918467</v>
      </c>
      <c r="AK2548">
        <v>57.375649862748197</v>
      </c>
      <c r="AL2548">
        <v>78.946903590174898</v>
      </c>
      <c r="AM2548">
        <v>96.059897722627795</v>
      </c>
      <c r="AN2548">
        <v>1.00000002990924</v>
      </c>
    </row>
    <row r="2549" spans="1:40" x14ac:dyDescent="0.25">
      <c r="A2549" t="str">
        <f>"20190303170546753"</f>
        <v>20190303170546753</v>
      </c>
      <c r="B2549" t="str">
        <f>"1551603946747625"</f>
        <v>1551603946747625</v>
      </c>
      <c r="C2549" t="s">
        <v>40</v>
      </c>
      <c r="D2549">
        <v>5.770454</v>
      </c>
      <c r="E2549">
        <v>0.37435180000000001</v>
      </c>
      <c r="F2549" t="s">
        <v>73</v>
      </c>
      <c r="G2549">
        <v>-473.3569</v>
      </c>
      <c r="H2549">
        <v>1.6456839999999999</v>
      </c>
      <c r="I2549">
        <v>187.39830000000001</v>
      </c>
      <c r="J2549">
        <v>-494.42360000000002</v>
      </c>
      <c r="K2549">
        <v>1.1253930000000001</v>
      </c>
      <c r="L2549">
        <v>240.68790000000001</v>
      </c>
      <c r="M2549">
        <v>-4.5960969999999997E-2</v>
      </c>
      <c r="N2549">
        <v>-1.3779090000000001E-2</v>
      </c>
      <c r="O2549">
        <v>-0.99884830000000002</v>
      </c>
      <c r="P2549">
        <v>5.6592360000000001E-2</v>
      </c>
      <c r="Q2549">
        <v>0.17932670000000001</v>
      </c>
      <c r="R2549">
        <v>-0.9821609</v>
      </c>
      <c r="S2549">
        <v>1.1761779999999999</v>
      </c>
      <c r="T2549">
        <v>2.9061440000000001E-2</v>
      </c>
      <c r="U2549">
        <v>-2.9845890000000002</v>
      </c>
      <c r="V2549">
        <v>-0.1035971</v>
      </c>
      <c r="W2549">
        <v>0.1917691</v>
      </c>
      <c r="X2549">
        <v>0.97595710000000002</v>
      </c>
      <c r="Y2549">
        <v>-0.40890910000000003</v>
      </c>
      <c r="Z2549">
        <v>-2.2858650000000001E-2</v>
      </c>
      <c r="AA2549">
        <v>0.91228880000000001</v>
      </c>
      <c r="AB2549">
        <v>28</v>
      </c>
      <c r="AC2549">
        <v>21.066700000000001</v>
      </c>
      <c r="AD2549">
        <v>0.52029099999999895</v>
      </c>
      <c r="AE2549">
        <v>-53.2896</v>
      </c>
      <c r="AF2549">
        <v>-23.491970549427599</v>
      </c>
      <c r="AG2549">
        <v>0.52029099999999895</v>
      </c>
      <c r="AH2549">
        <v>52.260628567299499</v>
      </c>
      <c r="AI2549">
        <v>89.479742287212702</v>
      </c>
      <c r="AJ2549">
        <v>114.204663323693</v>
      </c>
      <c r="AK2549">
        <v>57.300232820374198</v>
      </c>
      <c r="AL2549">
        <v>78.943955159968297</v>
      </c>
      <c r="AM2549">
        <v>96.059213450285</v>
      </c>
      <c r="AN2549">
        <v>1.00000000394181</v>
      </c>
    </row>
    <row r="2550" spans="1:40" x14ac:dyDescent="0.25">
      <c r="A2550" t="str">
        <f>"20190303170546768"</f>
        <v>20190303170546768</v>
      </c>
      <c r="B2550" t="str">
        <f>"1551603946757385"</f>
        <v>1551603946757385</v>
      </c>
      <c r="C2550" t="s">
        <v>40</v>
      </c>
      <c r="D2550">
        <v>5.7855339999999904</v>
      </c>
      <c r="E2550">
        <v>0.37445630000000002</v>
      </c>
      <c r="F2550" t="s">
        <v>73</v>
      </c>
      <c r="G2550">
        <v>-473.24889999999999</v>
      </c>
      <c r="H2550">
        <v>1.6356090000000001</v>
      </c>
      <c r="I2550">
        <v>187.39830000000001</v>
      </c>
      <c r="J2550">
        <v>-494.42779999999999</v>
      </c>
      <c r="K2550">
        <v>1.1254999999999999</v>
      </c>
      <c r="L2550">
        <v>240.5171</v>
      </c>
      <c r="M2550">
        <v>-4.2347919999999997E-2</v>
      </c>
      <c r="N2550">
        <v>-1.378888E-2</v>
      </c>
      <c r="O2550">
        <v>-0.99900789999999995</v>
      </c>
      <c r="P2550">
        <v>5.9882350000000001E-2</v>
      </c>
      <c r="Q2550">
        <v>0.17950060000000001</v>
      </c>
      <c r="R2550">
        <v>-0.98193399999999997</v>
      </c>
      <c r="S2550">
        <v>1.184509</v>
      </c>
      <c r="T2550">
        <v>2.8543349999999999E-2</v>
      </c>
      <c r="U2550">
        <v>-2.9810029999999998</v>
      </c>
      <c r="V2550">
        <v>-0.1033863</v>
      </c>
      <c r="W2550">
        <v>0.1919273</v>
      </c>
      <c r="X2550">
        <v>0.97594829999999999</v>
      </c>
      <c r="Y2550">
        <v>-0.40818759999999998</v>
      </c>
      <c r="Z2550">
        <v>-2.270933E-2</v>
      </c>
      <c r="AA2550">
        <v>0.91261559999999997</v>
      </c>
      <c r="AB2550">
        <v>28</v>
      </c>
      <c r="AC2550">
        <v>21.178899999999999</v>
      </c>
      <c r="AD2550">
        <v>0.51010900000000003</v>
      </c>
      <c r="AE2550">
        <v>-53.118799999999901</v>
      </c>
      <c r="AF2550">
        <v>-23.407719004427001</v>
      </c>
      <c r="AG2550">
        <v>0.51010900000000003</v>
      </c>
      <c r="AH2550">
        <v>52.170020599820198</v>
      </c>
      <c r="AI2550">
        <v>89.488877927155897</v>
      </c>
      <c r="AJ2550">
        <v>114.164887731525</v>
      </c>
      <c r="AK2550">
        <v>57.182974472894998</v>
      </c>
      <c r="AL2550">
        <v>78.934718804418694</v>
      </c>
      <c r="AM2550">
        <v>96.047029689919697</v>
      </c>
      <c r="AN2550">
        <v>0.99999994989293295</v>
      </c>
    </row>
    <row r="2551" spans="1:40" x14ac:dyDescent="0.25">
      <c r="A2551" t="str">
        <f>"20190303170546780"</f>
        <v>20190303170546780</v>
      </c>
      <c r="B2551" t="str">
        <f>"1551603946767145"</f>
        <v>1551603946767145</v>
      </c>
      <c r="C2551" t="s">
        <v>40</v>
      </c>
      <c r="D2551">
        <v>5.7820510000000001</v>
      </c>
      <c r="E2551">
        <v>0.3745656</v>
      </c>
      <c r="F2551" t="s">
        <v>73</v>
      </c>
      <c r="G2551">
        <v>-473.11430000000001</v>
      </c>
      <c r="H2551">
        <v>1.6521459999999999</v>
      </c>
      <c r="I2551">
        <v>187.39830000000001</v>
      </c>
      <c r="J2551">
        <v>-494.43119999999999</v>
      </c>
      <c r="K2551">
        <v>1.1256139999999999</v>
      </c>
      <c r="L2551">
        <v>240.35239999999999</v>
      </c>
      <c r="M2551">
        <v>-3.8762129999999999E-2</v>
      </c>
      <c r="N2551">
        <v>-1.3799509999999999E-2</v>
      </c>
      <c r="O2551">
        <v>-0.99915319999999996</v>
      </c>
      <c r="P2551">
        <v>6.307865E-2</v>
      </c>
      <c r="Q2551">
        <v>0.179818899999999</v>
      </c>
      <c r="R2551">
        <v>-0.98167550000000003</v>
      </c>
      <c r="S2551">
        <v>1.1944889999999999</v>
      </c>
      <c r="T2551">
        <v>2.951705E-2</v>
      </c>
      <c r="U2551">
        <v>-2.9769589999999999</v>
      </c>
      <c r="V2551">
        <v>-0.10311389999999999</v>
      </c>
      <c r="W2551">
        <v>0.19223100000000001</v>
      </c>
      <c r="X2551">
        <v>0.97591740000000005</v>
      </c>
      <c r="Y2551">
        <v>-0.40797280000000002</v>
      </c>
      <c r="Z2551">
        <v>-2.302044E-2</v>
      </c>
      <c r="AA2551">
        <v>0.91270379999999995</v>
      </c>
      <c r="AB2551">
        <v>28</v>
      </c>
      <c r="AC2551">
        <v>21.316899999999901</v>
      </c>
      <c r="AD2551">
        <v>0.526532</v>
      </c>
      <c r="AE2551">
        <v>-52.954099999999897</v>
      </c>
      <c r="AF2551">
        <v>-23.351698949134299</v>
      </c>
      <c r="AG2551">
        <v>0.526532</v>
      </c>
      <c r="AH2551">
        <v>52.083497266104402</v>
      </c>
      <c r="AI2551">
        <v>89.471481683900294</v>
      </c>
      <c r="AJ2551">
        <v>114.149136543262</v>
      </c>
      <c r="AK2551">
        <v>57.081255830844597</v>
      </c>
      <c r="AL2551">
        <v>78.916988508511906</v>
      </c>
      <c r="AM2551">
        <v>96.031404250024806</v>
      </c>
      <c r="AN2551">
        <v>1.0000000026784801</v>
      </c>
    </row>
    <row r="2552" spans="1:40" x14ac:dyDescent="0.25">
      <c r="A2552" t="str">
        <f>"20190303170546798"</f>
        <v>20190303170546798</v>
      </c>
      <c r="B2552" t="str">
        <f>"1551603946787641"</f>
        <v>1551603946787641</v>
      </c>
      <c r="C2552" t="s">
        <v>40</v>
      </c>
      <c r="D2552">
        <v>5.7459290000000003</v>
      </c>
      <c r="E2552">
        <v>0.3748184</v>
      </c>
      <c r="F2552" t="s">
        <v>73</v>
      </c>
      <c r="G2552">
        <v>-473.00380000000001</v>
      </c>
      <c r="H2552">
        <v>1.6794960000000001</v>
      </c>
      <c r="I2552">
        <v>187.39830000000001</v>
      </c>
      <c r="J2552">
        <v>-494.43430000000001</v>
      </c>
      <c r="K2552">
        <v>1.125756</v>
      </c>
      <c r="L2552">
        <v>240.1474</v>
      </c>
      <c r="M2552">
        <v>-3.4133620000000003E-2</v>
      </c>
      <c r="N2552">
        <v>-1.381485E-2</v>
      </c>
      <c r="O2552">
        <v>-0.99932180000000004</v>
      </c>
      <c r="P2552">
        <v>6.7378980000000005E-2</v>
      </c>
      <c r="Q2552">
        <v>0.1792359</v>
      </c>
      <c r="R2552">
        <v>-0.98149620000000004</v>
      </c>
      <c r="S2552">
        <v>1.203003</v>
      </c>
      <c r="T2552">
        <v>3.1098480000000001E-2</v>
      </c>
      <c r="U2552">
        <v>-2.9729920000000001</v>
      </c>
      <c r="V2552">
        <v>-0.1029354</v>
      </c>
      <c r="W2552">
        <v>0.19162960000000001</v>
      </c>
      <c r="X2552">
        <v>0.97605450000000005</v>
      </c>
      <c r="Y2552">
        <v>-0.40640959999999998</v>
      </c>
      <c r="Z2552">
        <v>-2.3525549999999999E-2</v>
      </c>
      <c r="AA2552">
        <v>0.91338810000000004</v>
      </c>
      <c r="AB2552">
        <v>28</v>
      </c>
      <c r="AC2552">
        <v>21.430499999999899</v>
      </c>
      <c r="AD2552">
        <v>0.55373999999999901</v>
      </c>
      <c r="AE2552">
        <v>-52.749099999999999</v>
      </c>
      <c r="AF2552">
        <v>-23.216503163080201</v>
      </c>
      <c r="AG2552">
        <v>0.55373999999999901</v>
      </c>
      <c r="AH2552">
        <v>51.981868886777903</v>
      </c>
      <c r="AI2552">
        <v>89.442727989579197</v>
      </c>
      <c r="AJ2552">
        <v>114.06682580852799</v>
      </c>
      <c r="AK2552">
        <v>56.933534406982702</v>
      </c>
      <c r="AL2552">
        <v>78.952098842510907</v>
      </c>
      <c r="AM2552">
        <v>96.020200553200695</v>
      </c>
      <c r="AN2552">
        <v>0.99999999356978497</v>
      </c>
    </row>
    <row r="2553" spans="1:40" x14ac:dyDescent="0.25">
      <c r="A2553" t="str">
        <f>"20190303170546813"</f>
        <v>20190303170546813</v>
      </c>
      <c r="B2553" t="str">
        <f>"1551603946807161"</f>
        <v>1551603946807161</v>
      </c>
      <c r="C2553" t="s">
        <v>40</v>
      </c>
      <c r="D2553">
        <v>5.7888999999999999</v>
      </c>
      <c r="E2553">
        <v>0.37503170000000002</v>
      </c>
      <c r="F2553" t="s">
        <v>72</v>
      </c>
      <c r="G2553">
        <v>-470.05669999999998</v>
      </c>
      <c r="H2553">
        <v>1.7188129999999999</v>
      </c>
      <c r="I2553">
        <v>180.59059999999999</v>
      </c>
      <c r="J2553">
        <v>-494.43610000000001</v>
      </c>
      <c r="K2553">
        <v>1.125893</v>
      </c>
      <c r="L2553">
        <v>239.96940000000001</v>
      </c>
      <c r="M2553">
        <v>-2.9985310000000001E-2</v>
      </c>
      <c r="N2553">
        <v>-1.382921E-2</v>
      </c>
      <c r="O2553">
        <v>-0.99945479999999998</v>
      </c>
      <c r="P2553">
        <v>7.1929779999999999E-2</v>
      </c>
      <c r="Q2553">
        <v>0.17884330000000001</v>
      </c>
      <c r="R2553">
        <v>-0.98124469999999997</v>
      </c>
      <c r="S2553">
        <v>1.2147520000000001</v>
      </c>
      <c r="T2553">
        <v>2.9552459999999999E-2</v>
      </c>
      <c r="U2553">
        <v>-2.9677579999999999</v>
      </c>
      <c r="V2553">
        <v>-0.1034727</v>
      </c>
      <c r="W2553">
        <v>0.19121260000000001</v>
      </c>
      <c r="X2553">
        <v>0.97607949999999999</v>
      </c>
      <c r="Y2553">
        <v>-0.40628140000000001</v>
      </c>
      <c r="Z2553">
        <v>-2.306209E-2</v>
      </c>
      <c r="AA2553">
        <v>0.91345690000000002</v>
      </c>
      <c r="AB2553">
        <v>28</v>
      </c>
      <c r="AC2553">
        <v>24.3794</v>
      </c>
      <c r="AD2553">
        <v>0.59292</v>
      </c>
      <c r="AE2553">
        <v>-59.378799999999998</v>
      </c>
      <c r="AF2553">
        <v>-26.146866253938601</v>
      </c>
      <c r="AG2553">
        <v>0.59292</v>
      </c>
      <c r="AH2553">
        <v>58.615999527639602</v>
      </c>
      <c r="AI2553">
        <v>89.470721271095499</v>
      </c>
      <c r="AJ2553">
        <v>114.040238917395</v>
      </c>
      <c r="AK2553">
        <v>64.186023164330706</v>
      </c>
      <c r="AL2553">
        <v>78.9764416656744</v>
      </c>
      <c r="AM2553">
        <v>96.051238255704504</v>
      </c>
      <c r="AN2553">
        <v>1.0000000241821401</v>
      </c>
    </row>
    <row r="2554" spans="1:40" x14ac:dyDescent="0.25">
      <c r="A2554" t="str">
        <f>"20190303170546827"</f>
        <v>20190303170546827</v>
      </c>
      <c r="B2554" t="str">
        <f>"1551603946816921"</f>
        <v>1551603946816921</v>
      </c>
      <c r="C2554" t="s">
        <v>40</v>
      </c>
      <c r="D2554">
        <v>5.7955829999999997</v>
      </c>
      <c r="E2554">
        <v>0.37516670000000002</v>
      </c>
      <c r="F2554" t="s">
        <v>72</v>
      </c>
      <c r="G2554">
        <v>-469.85129999999998</v>
      </c>
      <c r="H2554">
        <v>1.6740470000000001</v>
      </c>
      <c r="I2554">
        <v>180.59049999999999</v>
      </c>
      <c r="J2554">
        <v>-494.43709999999999</v>
      </c>
      <c r="K2554">
        <v>1.126031</v>
      </c>
      <c r="L2554">
        <v>239.78579999999999</v>
      </c>
      <c r="M2554">
        <v>-2.558703E-2</v>
      </c>
      <c r="N2554">
        <v>-1.384465E-2</v>
      </c>
      <c r="O2554">
        <v>-0.99957669999999998</v>
      </c>
      <c r="P2554">
        <v>7.6884460000000002E-2</v>
      </c>
      <c r="Q2554">
        <v>0.17816029999999999</v>
      </c>
      <c r="R2554">
        <v>-0.98099329999999996</v>
      </c>
      <c r="S2554">
        <v>1.2265629999999901</v>
      </c>
      <c r="T2554">
        <v>2.7348040000000001E-2</v>
      </c>
      <c r="U2554">
        <v>-2.9624790000000001</v>
      </c>
      <c r="V2554">
        <v>-0.104171</v>
      </c>
      <c r="W2554">
        <v>0.19050210000000001</v>
      </c>
      <c r="X2554">
        <v>0.97614409999999896</v>
      </c>
      <c r="Y2554">
        <v>-0.40594829999999998</v>
      </c>
      <c r="Z2554">
        <v>-2.2393860000000002E-2</v>
      </c>
      <c r="AA2554">
        <v>0.91362169999999998</v>
      </c>
      <c r="AB2554">
        <v>28</v>
      </c>
      <c r="AC2554">
        <v>24.585799999999999</v>
      </c>
      <c r="AD2554">
        <v>0.54801599999999995</v>
      </c>
      <c r="AE2554">
        <v>-59.195300000000003</v>
      </c>
      <c r="AF2554">
        <v>-26.090619017771299</v>
      </c>
      <c r="AG2554">
        <v>0.54801599999999995</v>
      </c>
      <c r="AH2554">
        <v>58.5424984586259</v>
      </c>
      <c r="AI2554">
        <v>89.510116284979205</v>
      </c>
      <c r="AJ2554">
        <v>114.021085629468</v>
      </c>
      <c r="AK2554">
        <v>64.095591486817298</v>
      </c>
      <c r="AL2554">
        <v>79.017912105984294</v>
      </c>
      <c r="AM2554">
        <v>96.091369722217706</v>
      </c>
      <c r="AN2554">
        <v>0.99999997565510901</v>
      </c>
    </row>
    <row r="2555" spans="1:40" x14ac:dyDescent="0.25">
      <c r="A2555" t="str">
        <f>"20190303170546842"</f>
        <v>20190303170546842</v>
      </c>
      <c r="B2555" t="str">
        <f>"1551603946837417"</f>
        <v>1551603946837417</v>
      </c>
      <c r="C2555" t="s">
        <v>40</v>
      </c>
      <c r="D2555">
        <v>5.8015160000000003</v>
      </c>
      <c r="E2555">
        <v>0.37540299999999999</v>
      </c>
      <c r="F2555" t="s">
        <v>72</v>
      </c>
      <c r="G2555">
        <v>-469.60320000000002</v>
      </c>
      <c r="H2555">
        <v>1.6107180000000001</v>
      </c>
      <c r="I2555">
        <v>180.59049999999999</v>
      </c>
      <c r="J2555">
        <v>-494.43729999999999</v>
      </c>
      <c r="K2555">
        <v>1.1261760000000001</v>
      </c>
      <c r="L2555">
        <v>239.60239999999999</v>
      </c>
      <c r="M2555">
        <v>-2.1060949999999998E-2</v>
      </c>
      <c r="N2555">
        <v>-1.38607E-2</v>
      </c>
      <c r="O2555">
        <v>-0.99968239999999997</v>
      </c>
      <c r="P2555">
        <v>8.3793510000000002E-2</v>
      </c>
      <c r="Q2555">
        <v>0.17749189999999901</v>
      </c>
      <c r="R2555">
        <v>-0.980549</v>
      </c>
      <c r="S2555">
        <v>1.240326</v>
      </c>
      <c r="T2555">
        <v>2.4207590000000001E-2</v>
      </c>
      <c r="U2555">
        <v>-2.9564970000000002</v>
      </c>
      <c r="V2555">
        <v>-0.1066961</v>
      </c>
      <c r="W2555">
        <v>0.1897817</v>
      </c>
      <c r="X2555">
        <v>0.97601170000000004</v>
      </c>
      <c r="Y2555">
        <v>-0.4060917</v>
      </c>
      <c r="Z2555">
        <v>-2.1433219999999999E-2</v>
      </c>
      <c r="AA2555">
        <v>0.91358090000000003</v>
      </c>
      <c r="AB2555">
        <v>28</v>
      </c>
      <c r="AC2555">
        <v>24.8340999999999</v>
      </c>
      <c r="AD2555">
        <v>0.48454199999999997</v>
      </c>
      <c r="AE2555">
        <v>-59.011899999999997</v>
      </c>
      <c r="AF2555">
        <v>-26.0700631179804</v>
      </c>
      <c r="AG2555">
        <v>0.48454199999999997</v>
      </c>
      <c r="AH2555">
        <v>58.4723793930402</v>
      </c>
      <c r="AI2555">
        <v>89.566364896310404</v>
      </c>
      <c r="AJ2555">
        <v>114.029827457538</v>
      </c>
      <c r="AK2555">
        <v>64.022668827602601</v>
      </c>
      <c r="AL2555">
        <v>79.059955205980401</v>
      </c>
      <c r="AM2555">
        <v>96.238713353035493</v>
      </c>
      <c r="AN2555">
        <v>0.99999999497349501</v>
      </c>
    </row>
    <row r="2556" spans="1:40" x14ac:dyDescent="0.25">
      <c r="A2556" t="str">
        <f>"20190303170546854"</f>
        <v>20190303170546854</v>
      </c>
      <c r="B2556" t="str">
        <f>"1551603946847177"</f>
        <v>1551603946847177</v>
      </c>
      <c r="C2556" t="s">
        <v>40</v>
      </c>
      <c r="D2556">
        <v>5.7940839999999998</v>
      </c>
      <c r="E2556">
        <v>0.37553330000000001</v>
      </c>
      <c r="F2556" t="s">
        <v>72</v>
      </c>
      <c r="G2556">
        <v>-469.22840000000002</v>
      </c>
      <c r="H2556">
        <v>1.5329649999999999</v>
      </c>
      <c r="I2556">
        <v>180.59049999999999</v>
      </c>
      <c r="J2556">
        <v>-494.43639999999999</v>
      </c>
      <c r="K2556">
        <v>1.1262829999999999</v>
      </c>
      <c r="L2556">
        <v>239.46260000000001</v>
      </c>
      <c r="M2556">
        <v>-1.7480809999999999E-2</v>
      </c>
      <c r="N2556">
        <v>-1.3874050000000001E-2</v>
      </c>
      <c r="O2556">
        <v>-0.99975099999999995</v>
      </c>
      <c r="P2556">
        <v>8.835962E-2</v>
      </c>
      <c r="Q2556">
        <v>0.1778267</v>
      </c>
      <c r="R2556">
        <v>-0.98008689999999998</v>
      </c>
      <c r="S2556">
        <v>1.2594299999999901</v>
      </c>
      <c r="T2556">
        <v>2.032316E-2</v>
      </c>
      <c r="U2556">
        <v>-2.9482270000000002</v>
      </c>
      <c r="V2556">
        <v>-0.10780190000000001</v>
      </c>
      <c r="W2556">
        <v>0.1900859</v>
      </c>
      <c r="X2556">
        <v>0.975831</v>
      </c>
      <c r="Y2556">
        <v>-0.4087558</v>
      </c>
      <c r="Z2556">
        <v>-2.023726E-2</v>
      </c>
      <c r="AA2556">
        <v>0.91241939999999999</v>
      </c>
      <c r="AB2556">
        <v>28</v>
      </c>
      <c r="AC2556">
        <v>25.207999999999899</v>
      </c>
      <c r="AD2556">
        <v>0.40668199999999999</v>
      </c>
      <c r="AE2556">
        <v>-58.872100000000003</v>
      </c>
      <c r="AF2556">
        <v>-26.232320605645</v>
      </c>
      <c r="AG2556">
        <v>0.40668199999999999</v>
      </c>
      <c r="AH2556">
        <v>58.420048079077503</v>
      </c>
      <c r="AI2556">
        <v>89.636147872113497</v>
      </c>
      <c r="AJ2556">
        <v>114.181483333443</v>
      </c>
      <c r="AK2556">
        <v>64.040628136896004</v>
      </c>
      <c r="AL2556">
        <v>79.042202953960498</v>
      </c>
      <c r="AM2556">
        <v>96.304011479226105</v>
      </c>
      <c r="AN2556">
        <v>1.0000000197917001</v>
      </c>
    </row>
    <row r="2557" spans="1:40" x14ac:dyDescent="0.25">
      <c r="A2557" t="str">
        <f>"20190303170546867"</f>
        <v>20190303170546867</v>
      </c>
      <c r="B2557" t="str">
        <f>"1551603946856937"</f>
        <v>1551603946856937</v>
      </c>
      <c r="C2557" t="s">
        <v>40</v>
      </c>
      <c r="D2557">
        <v>5.8099569999999998</v>
      </c>
      <c r="E2557">
        <v>0.37564009999999998</v>
      </c>
      <c r="F2557" t="s">
        <v>72</v>
      </c>
      <c r="G2557">
        <v>-468.98059999999998</v>
      </c>
      <c r="H2557">
        <v>1.5509869999999999</v>
      </c>
      <c r="I2557">
        <v>180.59049999999999</v>
      </c>
      <c r="J2557">
        <v>-494.43509999999998</v>
      </c>
      <c r="K2557">
        <v>1.126409</v>
      </c>
      <c r="L2557">
        <v>239.3023</v>
      </c>
      <c r="M2557">
        <v>-1.3318429999999999E-2</v>
      </c>
      <c r="N2557">
        <v>-1.389E-2</v>
      </c>
      <c r="O2557">
        <v>-0.99981469999999995</v>
      </c>
      <c r="P2557">
        <v>9.3181299999999995E-2</v>
      </c>
      <c r="Q2557">
        <v>0.17843589999999901</v>
      </c>
      <c r="R2557">
        <v>-0.97952930000000005</v>
      </c>
      <c r="S2557">
        <v>1.272278</v>
      </c>
      <c r="T2557">
        <v>2.1226640000000001E-2</v>
      </c>
      <c r="U2557">
        <v>-2.9424130000000002</v>
      </c>
      <c r="V2557">
        <v>-0.10860649999999999</v>
      </c>
      <c r="W2557">
        <v>0.19066640000000001</v>
      </c>
      <c r="X2557">
        <v>0.97562850000000001</v>
      </c>
      <c r="Y2557">
        <v>-0.40896759999999999</v>
      </c>
      <c r="Z2557">
        <v>-2.0529329999999998E-2</v>
      </c>
      <c r="AA2557">
        <v>0.91231790000000001</v>
      </c>
      <c r="AB2557">
        <v>28</v>
      </c>
      <c r="AC2557">
        <v>25.454499999999999</v>
      </c>
      <c r="AD2557">
        <v>0.42457800000000001</v>
      </c>
      <c r="AE2557">
        <v>-58.711799999999997</v>
      </c>
      <c r="AF2557">
        <v>-26.233111627612899</v>
      </c>
      <c r="AG2557">
        <v>0.42457800000000001</v>
      </c>
      <c r="AH2557">
        <v>58.364975581869203</v>
      </c>
      <c r="AI2557">
        <v>89.619840771078401</v>
      </c>
      <c r="AJ2557">
        <v>114.202328889524</v>
      </c>
      <c r="AK2557">
        <v>63.990833615581799</v>
      </c>
      <c r="AL2557">
        <v>79.008323013139702</v>
      </c>
      <c r="AM2557">
        <v>96.351987017916997</v>
      </c>
      <c r="AN2557">
        <v>1.00000000897173</v>
      </c>
    </row>
    <row r="2558" spans="1:40" x14ac:dyDescent="0.25">
      <c r="A2558" t="str">
        <f>"20190303170546878"</f>
        <v>20190303170546878</v>
      </c>
      <c r="B2558" t="str">
        <f>"1551603946866697"</f>
        <v>1551603946866697</v>
      </c>
      <c r="C2558" t="s">
        <v>40</v>
      </c>
      <c r="D2558">
        <v>5.809793</v>
      </c>
      <c r="E2558">
        <v>0.37575609999999998</v>
      </c>
      <c r="F2558" t="s">
        <v>72</v>
      </c>
      <c r="G2558">
        <v>-468.7176</v>
      </c>
      <c r="H2558">
        <v>1.60747</v>
      </c>
      <c r="I2558">
        <v>180.59049999999999</v>
      </c>
      <c r="J2558">
        <v>-494.4332</v>
      </c>
      <c r="K2558">
        <v>1.1265229999999999</v>
      </c>
      <c r="L2558">
        <v>239.16079999999999</v>
      </c>
      <c r="M2558">
        <v>-9.535099E-3</v>
      </c>
      <c r="N2558">
        <v>-1.390633E-2</v>
      </c>
      <c r="O2558">
        <v>-0.99985789999999997</v>
      </c>
      <c r="P2558">
        <v>9.7608520000000004E-2</v>
      </c>
      <c r="Q2558">
        <v>0.1789954</v>
      </c>
      <c r="R2558">
        <v>-0.97899619999999998</v>
      </c>
      <c r="S2558">
        <v>1.286041</v>
      </c>
      <c r="T2558">
        <v>2.40562E-2</v>
      </c>
      <c r="U2558">
        <v>-2.9359739999999999</v>
      </c>
      <c r="V2558">
        <v>-0.1093843</v>
      </c>
      <c r="W2558">
        <v>0.1912005</v>
      </c>
      <c r="X2558">
        <v>0.975437</v>
      </c>
      <c r="Y2558">
        <v>-0.40983249999999999</v>
      </c>
      <c r="Z2558">
        <v>-2.142227E-2</v>
      </c>
      <c r="AA2558">
        <v>0.91190919999999998</v>
      </c>
      <c r="AB2558">
        <v>27</v>
      </c>
      <c r="AC2558">
        <v>25.715599999999899</v>
      </c>
      <c r="AD2558">
        <v>0.48094700000000001</v>
      </c>
      <c r="AE2558">
        <v>-58.570300000000003</v>
      </c>
      <c r="AF2558">
        <v>-26.271473182988402</v>
      </c>
      <c r="AG2558">
        <v>0.48094700000000001</v>
      </c>
      <c r="AH2558">
        <v>58.319115574888201</v>
      </c>
      <c r="AI2558">
        <v>89.569195234644994</v>
      </c>
      <c r="AJ2558">
        <v>114.25051223362399</v>
      </c>
      <c r="AK2558">
        <v>63.9651534404355</v>
      </c>
      <c r="AL2558">
        <v>78.9771471328893</v>
      </c>
      <c r="AM2558">
        <v>96.398347315639796</v>
      </c>
      <c r="AN2558">
        <v>0.99999994862786801</v>
      </c>
    </row>
    <row r="2559" spans="1:40" x14ac:dyDescent="0.25">
      <c r="A2559" t="str">
        <f>"20190303170546892"</f>
        <v>20190303170546892</v>
      </c>
      <c r="B2559" t="str">
        <f>"1551603946877433"</f>
        <v>1551603946877433</v>
      </c>
      <c r="C2559" t="s">
        <v>40</v>
      </c>
      <c r="D2559">
        <v>5.7510079999999997</v>
      </c>
      <c r="E2559">
        <v>0.37575609999999998</v>
      </c>
      <c r="F2559" t="s">
        <v>72</v>
      </c>
      <c r="G2559">
        <v>-468.45589999999999</v>
      </c>
      <c r="H2559">
        <v>1.650312</v>
      </c>
      <c r="I2559">
        <v>180.59049999999999</v>
      </c>
      <c r="J2559">
        <v>-494.43049999999999</v>
      </c>
      <c r="K2559">
        <v>1.126636</v>
      </c>
      <c r="L2559">
        <v>239.0136</v>
      </c>
      <c r="M2559">
        <v>-5.5069580000000002E-3</v>
      </c>
      <c r="N2559">
        <v>-1.392558E-2</v>
      </c>
      <c r="O2559">
        <v>-0.999888</v>
      </c>
      <c r="P2559">
        <v>0.10209</v>
      </c>
      <c r="Q2559">
        <v>0.17944860000000001</v>
      </c>
      <c r="R2559">
        <v>-0.97845610000000005</v>
      </c>
      <c r="S2559">
        <v>1.2995300000000001</v>
      </c>
      <c r="T2559">
        <v>2.6202799999999998E-2</v>
      </c>
      <c r="U2559">
        <v>-2.9300079999999999</v>
      </c>
      <c r="V2559">
        <v>-0.10998040000000001</v>
      </c>
      <c r="W2559">
        <v>0.19163340000000001</v>
      </c>
      <c r="X2559">
        <v>0.97528510000000002</v>
      </c>
      <c r="Y2559">
        <v>-0.41034969999999998</v>
      </c>
      <c r="Z2559">
        <v>-2.2105429999999999E-2</v>
      </c>
      <c r="AA2559">
        <v>0.91166029999999998</v>
      </c>
      <c r="AB2559">
        <v>27</v>
      </c>
      <c r="AC2559">
        <v>25.974599999999999</v>
      </c>
      <c r="AD2559">
        <v>0.52367600000000003</v>
      </c>
      <c r="AE2559">
        <v>-58.423099999999998</v>
      </c>
      <c r="AF2559">
        <v>-26.294206847436701</v>
      </c>
      <c r="AG2559">
        <v>0.52367600000000003</v>
      </c>
      <c r="AH2559">
        <v>58.275249695854903</v>
      </c>
      <c r="AI2559">
        <v>89.530697843954798</v>
      </c>
      <c r="AJ2559">
        <v>114.285234637952</v>
      </c>
      <c r="AK2559">
        <v>63.934844000771598</v>
      </c>
      <c r="AL2559">
        <v>78.9518774968234</v>
      </c>
      <c r="AM2559">
        <v>96.433917721485301</v>
      </c>
      <c r="AN2559">
        <v>1.00000003733086</v>
      </c>
    </row>
    <row r="2560" spans="1:40" x14ac:dyDescent="0.25">
      <c r="A2560" t="str">
        <f>"20190303170546905"</f>
        <v>20190303170546905</v>
      </c>
      <c r="B2560" t="str">
        <f>"1551603946896953"</f>
        <v>1551603946896953</v>
      </c>
      <c r="C2560" t="s">
        <v>40</v>
      </c>
      <c r="D2560">
        <v>5.7759970000000003</v>
      </c>
      <c r="E2560">
        <v>0.38338879999999997</v>
      </c>
      <c r="F2560" t="s">
        <v>72</v>
      </c>
      <c r="G2560">
        <v>-468.19729999999998</v>
      </c>
      <c r="H2560">
        <v>1.6847570000000001</v>
      </c>
      <c r="I2560">
        <v>180.59049999999999</v>
      </c>
      <c r="J2560">
        <v>-494.42649999999998</v>
      </c>
      <c r="K2560">
        <v>1.1267739999999999</v>
      </c>
      <c r="L2560">
        <v>238.83580000000001</v>
      </c>
      <c r="M2560">
        <v>-5.4269589999999905E-4</v>
      </c>
      <c r="N2560">
        <v>-1.3950250000000001E-2</v>
      </c>
      <c r="O2560">
        <v>-0.99990270000000003</v>
      </c>
      <c r="P2560">
        <v>0.10764369999999999</v>
      </c>
      <c r="Q2560">
        <v>0.17932419999999999</v>
      </c>
      <c r="R2560">
        <v>-0.97788359999999996</v>
      </c>
      <c r="S2560">
        <v>1.312927</v>
      </c>
      <c r="T2560">
        <v>2.7932999999999999E-2</v>
      </c>
      <c r="U2560">
        <v>-2.9239809999999999</v>
      </c>
      <c r="V2560">
        <v>-0.1107403</v>
      </c>
      <c r="W2560">
        <v>0.1914864</v>
      </c>
      <c r="X2560">
        <v>0.97522799999999998</v>
      </c>
      <c r="Y2560">
        <v>-0.409997</v>
      </c>
      <c r="Z2560">
        <v>-2.266398E-2</v>
      </c>
      <c r="AA2560">
        <v>0.91180519999999998</v>
      </c>
      <c r="AB2560">
        <v>27</v>
      </c>
      <c r="AC2560">
        <v>26.229199999999899</v>
      </c>
      <c r="AD2560">
        <v>0.55798300000000001</v>
      </c>
      <c r="AE2560">
        <v>-58.2453</v>
      </c>
      <c r="AF2560">
        <v>-26.258805121228601</v>
      </c>
      <c r="AG2560">
        <v>0.55798300000000001</v>
      </c>
      <c r="AH2560">
        <v>58.226612811834499</v>
      </c>
      <c r="AI2560">
        <v>89.499493470277798</v>
      </c>
      <c r="AJ2560">
        <v>114.27423216231099</v>
      </c>
      <c r="AK2560">
        <v>63.876244652939903</v>
      </c>
      <c r="AL2560">
        <v>78.960459078719893</v>
      </c>
      <c r="AM2560">
        <v>96.478371782374296</v>
      </c>
      <c r="AN2560">
        <v>1.0000000537065199</v>
      </c>
    </row>
    <row r="2561" spans="1:40" x14ac:dyDescent="0.25">
      <c r="A2561" t="str">
        <f>"20190303170546919"</f>
        <v>20190303170546919</v>
      </c>
      <c r="B2561" t="str">
        <f>"1551603946906713"</f>
        <v>1551603946906713</v>
      </c>
      <c r="C2561" t="s">
        <v>40</v>
      </c>
      <c r="D2561">
        <v>5.7786499999999998</v>
      </c>
      <c r="E2561">
        <v>0.3835018</v>
      </c>
      <c r="F2561" t="s">
        <v>72</v>
      </c>
      <c r="G2561">
        <v>-469.18470000000002</v>
      </c>
      <c r="H2561">
        <v>0.68529490000000004</v>
      </c>
      <c r="I2561">
        <v>180.59020000000001</v>
      </c>
      <c r="J2561">
        <v>-494.42160000000001</v>
      </c>
      <c r="K2561">
        <v>1.1269039999999999</v>
      </c>
      <c r="L2561">
        <v>238.66489999999999</v>
      </c>
      <c r="M2561">
        <v>4.3750259999999997E-3</v>
      </c>
      <c r="N2561">
        <v>-1.397547E-2</v>
      </c>
      <c r="O2561">
        <v>-0.99989269999999997</v>
      </c>
      <c r="P2561">
        <v>0.1141302</v>
      </c>
      <c r="Q2561">
        <v>0.17886560000000001</v>
      </c>
      <c r="R2561">
        <v>-0.97723139999999997</v>
      </c>
      <c r="S2561">
        <v>1.2706599999999999</v>
      </c>
      <c r="T2561">
        <v>-2.222383E-2</v>
      </c>
      <c r="U2561">
        <v>-2.9320529999999998</v>
      </c>
      <c r="V2561">
        <v>-0.112474</v>
      </c>
      <c r="W2561">
        <v>0.1909931</v>
      </c>
      <c r="X2561">
        <v>0.9751263</v>
      </c>
      <c r="Y2561">
        <v>-0.3935516</v>
      </c>
      <c r="Z2561">
        <v>-7.0023780000000001E-3</v>
      </c>
      <c r="AA2561">
        <v>0.91927590000000003</v>
      </c>
      <c r="AB2561">
        <v>27</v>
      </c>
      <c r="AC2561">
        <v>25.236899999999899</v>
      </c>
      <c r="AD2561">
        <v>-0.44160909999999998</v>
      </c>
      <c r="AE2561">
        <v>-58.074699999999901</v>
      </c>
      <c r="AF2561">
        <v>-24.9813402192529</v>
      </c>
      <c r="AG2561">
        <v>-0.44160909999999998</v>
      </c>
      <c r="AH2561">
        <v>58.181737115780301</v>
      </c>
      <c r="AI2561">
        <v>90.399600225585601</v>
      </c>
      <c r="AJ2561">
        <v>113.237107638411</v>
      </c>
      <c r="AK2561">
        <v>63.319640804074702</v>
      </c>
      <c r="AL2561">
        <v>78.989254321820297</v>
      </c>
      <c r="AM2561">
        <v>96.579592002111696</v>
      </c>
      <c r="AN2561">
        <v>1.0000000329376399</v>
      </c>
    </row>
    <row r="2562" spans="1:40" x14ac:dyDescent="0.25">
      <c r="A2562" t="str">
        <f>"20190303170546931"</f>
        <v>20190303170546931</v>
      </c>
      <c r="B2562" t="str">
        <f>"1551603946926844"</f>
        <v>1551603946926844</v>
      </c>
      <c r="C2562" t="s">
        <v>40</v>
      </c>
      <c r="D2562">
        <v>5.7492449999999904</v>
      </c>
      <c r="E2562">
        <v>0.3838374</v>
      </c>
      <c r="F2562" t="s">
        <v>72</v>
      </c>
      <c r="G2562">
        <v>-468.81169999999997</v>
      </c>
      <c r="H2562">
        <v>0.64216240000000002</v>
      </c>
      <c r="I2562">
        <v>180.59020000000001</v>
      </c>
      <c r="J2562">
        <v>-494.41669999999999</v>
      </c>
      <c r="K2562">
        <v>1.1270119999999999</v>
      </c>
      <c r="L2562">
        <v>238.5222</v>
      </c>
      <c r="M2562">
        <v>8.5801309999999995E-3</v>
      </c>
      <c r="N2562">
        <v>-1.399685E-2</v>
      </c>
      <c r="O2562">
        <v>-0.99986540000000002</v>
      </c>
      <c r="P2562">
        <v>0.1188992</v>
      </c>
      <c r="Q2562">
        <v>0.17864479999999999</v>
      </c>
      <c r="R2562">
        <v>-0.97670330000000005</v>
      </c>
      <c r="S2562">
        <v>1.289337</v>
      </c>
      <c r="T2562">
        <v>-2.4404530000000001E-2</v>
      </c>
      <c r="U2562">
        <v>-2.9237980000000001</v>
      </c>
      <c r="V2562">
        <v>-0.1131815</v>
      </c>
      <c r="W2562">
        <v>0.1907539</v>
      </c>
      <c r="X2562">
        <v>0.97509120000000005</v>
      </c>
      <c r="Y2562">
        <v>-0.39555829999999997</v>
      </c>
      <c r="Z2562">
        <v>-6.3215069999999996E-3</v>
      </c>
      <c r="AA2562">
        <v>0.91841910000000004</v>
      </c>
      <c r="AB2562">
        <v>27</v>
      </c>
      <c r="AC2562">
        <v>25.605</v>
      </c>
      <c r="AD2562">
        <v>-0.48484959999999999</v>
      </c>
      <c r="AE2562">
        <v>-57.931999999999903</v>
      </c>
      <c r="AF2562">
        <v>-25.105473407408901</v>
      </c>
      <c r="AG2562">
        <v>-0.48484959999999999</v>
      </c>
      <c r="AH2562">
        <v>58.146175601176402</v>
      </c>
      <c r="AI2562">
        <v>90.438612138887194</v>
      </c>
      <c r="AJ2562">
        <v>113.35298821236201</v>
      </c>
      <c r="AK2562">
        <v>63.336384576225903</v>
      </c>
      <c r="AL2562">
        <v>79.003215523739499</v>
      </c>
      <c r="AM2562">
        <v>96.6208497975569</v>
      </c>
      <c r="AN2562">
        <v>0.999999975312449</v>
      </c>
    </row>
    <row r="2563" spans="1:40" x14ac:dyDescent="0.25">
      <c r="A2563" t="str">
        <f>"20190303170546943"</f>
        <v>20190303170546943</v>
      </c>
      <c r="B2563" t="str">
        <f>"1551603946937579"</f>
        <v>1551603946937579</v>
      </c>
      <c r="C2563" t="s">
        <v>40</v>
      </c>
      <c r="D2563">
        <v>5.7760290000000003</v>
      </c>
      <c r="E2563">
        <v>0.38420959999999899</v>
      </c>
      <c r="F2563" t="s">
        <v>72</v>
      </c>
      <c r="G2563">
        <v>-468.58510000000001</v>
      </c>
      <c r="H2563">
        <v>0.60317769999999904</v>
      </c>
      <c r="I2563">
        <v>180.59020000000001</v>
      </c>
      <c r="J2563">
        <v>-494.41129999999998</v>
      </c>
      <c r="K2563">
        <v>1.12712099999999</v>
      </c>
      <c r="L2563">
        <v>238.37739999999999</v>
      </c>
      <c r="M2563">
        <v>1.289001E-2</v>
      </c>
      <c r="N2563">
        <v>-1.4018070000000001E-2</v>
      </c>
      <c r="O2563">
        <v>-0.99981880000000001</v>
      </c>
      <c r="P2563">
        <v>0.1237637</v>
      </c>
      <c r="Q2563">
        <v>0.17842379999999999</v>
      </c>
      <c r="R2563">
        <v>-0.97613910000000004</v>
      </c>
      <c r="S2563">
        <v>1.3011170000000001</v>
      </c>
      <c r="T2563">
        <v>-2.6385189999999999E-2</v>
      </c>
      <c r="U2563">
        <v>-2.917999</v>
      </c>
      <c r="V2563">
        <v>-0.11388470000000001</v>
      </c>
      <c r="W2563">
        <v>0.1905143</v>
      </c>
      <c r="X2563">
        <v>0.97505620000000004</v>
      </c>
      <c r="Y2563">
        <v>-0.39537</v>
      </c>
      <c r="Z2563">
        <v>-5.7004289999999999E-3</v>
      </c>
      <c r="AA2563">
        <v>0.91850419999999999</v>
      </c>
      <c r="AB2563">
        <v>27</v>
      </c>
      <c r="AC2563">
        <v>25.826199999999901</v>
      </c>
      <c r="AD2563">
        <v>-0.523943299999999</v>
      </c>
      <c r="AE2563">
        <v>-57.787199999999899</v>
      </c>
      <c r="AF2563">
        <v>-25.077384962766299</v>
      </c>
      <c r="AG2563">
        <v>-0.523943299999999</v>
      </c>
      <c r="AH2563">
        <v>58.111348951566399</v>
      </c>
      <c r="AI2563">
        <v>90.474298934523205</v>
      </c>
      <c r="AJ2563">
        <v>113.342140964512</v>
      </c>
      <c r="AK2563">
        <v>63.293590750747498</v>
      </c>
      <c r="AL2563">
        <v>79.017200419454397</v>
      </c>
      <c r="AM2563">
        <v>96.661853716013994</v>
      </c>
      <c r="AN2563">
        <v>1.0000000082785001</v>
      </c>
    </row>
    <row r="2564" spans="1:40" x14ac:dyDescent="0.25">
      <c r="A2564" t="str">
        <f>"20190303170546955"</f>
        <v>20190303170546955</v>
      </c>
      <c r="B2564" t="str">
        <f>"1551603946947340"</f>
        <v>1551603946947340</v>
      </c>
      <c r="C2564" t="s">
        <v>40</v>
      </c>
      <c r="D2564">
        <v>5.7878559999999997</v>
      </c>
      <c r="E2564">
        <v>0.38454339999999998</v>
      </c>
      <c r="F2564" t="s">
        <v>72</v>
      </c>
      <c r="G2564">
        <v>-468.3646</v>
      </c>
      <c r="H2564">
        <v>0.56158940000000002</v>
      </c>
      <c r="I2564">
        <v>180.59020000000001</v>
      </c>
      <c r="J2564">
        <v>-494.40440000000001</v>
      </c>
      <c r="K2564">
        <v>1.1272359999999999</v>
      </c>
      <c r="L2564">
        <v>238.22669999999999</v>
      </c>
      <c r="M2564">
        <v>1.7521709999999999E-2</v>
      </c>
      <c r="N2564">
        <v>-1.404057E-2</v>
      </c>
      <c r="O2564">
        <v>-0.99974790000000002</v>
      </c>
      <c r="P2564">
        <v>0.128931399999999</v>
      </c>
      <c r="Q2564">
        <v>0.1781644</v>
      </c>
      <c r="R2564">
        <v>-0.97551759999999998</v>
      </c>
      <c r="S2564">
        <v>1.312592</v>
      </c>
      <c r="T2564">
        <v>-2.8499360000000001E-2</v>
      </c>
      <c r="U2564">
        <v>-2.9121250000000001</v>
      </c>
      <c r="V2564">
        <v>-0.1145815</v>
      </c>
      <c r="W2564">
        <v>0.1902353</v>
      </c>
      <c r="X2564">
        <v>0.97502909999999998</v>
      </c>
      <c r="Y2564">
        <v>-0.39481579999999999</v>
      </c>
      <c r="Z2564">
        <v>-5.0354739999999999E-3</v>
      </c>
      <c r="AA2564">
        <v>0.91874650000000002</v>
      </c>
      <c r="AB2564">
        <v>27</v>
      </c>
      <c r="AC2564">
        <v>26.0398</v>
      </c>
      <c r="AD2564">
        <v>-0.5656466</v>
      </c>
      <c r="AE2564">
        <v>-57.636499999999899</v>
      </c>
      <c r="AF2564">
        <v>-25.023810458868201</v>
      </c>
      <c r="AG2564">
        <v>-0.5656466</v>
      </c>
      <c r="AH2564">
        <v>58.079311213430103</v>
      </c>
      <c r="AI2564">
        <v>90.512458791536005</v>
      </c>
      <c r="AJ2564">
        <v>113.30907608625201</v>
      </c>
      <c r="AK2564">
        <v>63.243319307132502</v>
      </c>
      <c r="AL2564">
        <v>79.033484399115594</v>
      </c>
      <c r="AM2564">
        <v>96.702428948478996</v>
      </c>
      <c r="AN2564">
        <v>1.00000006767757</v>
      </c>
    </row>
    <row r="2565" spans="1:40" x14ac:dyDescent="0.25">
      <c r="A2565" t="str">
        <f>"20190303170546967"</f>
        <v>20190303170546967</v>
      </c>
      <c r="B2565" t="str">
        <f>"1551603946957099"</f>
        <v>1551603946957099</v>
      </c>
      <c r="C2565" t="s">
        <v>40</v>
      </c>
      <c r="D2565">
        <v>5.7711550000000003</v>
      </c>
      <c r="E2565">
        <v>0.38454339999999998</v>
      </c>
      <c r="F2565" t="s">
        <v>72</v>
      </c>
      <c r="G2565">
        <v>-468.113</v>
      </c>
      <c r="H2565">
        <v>0.50118269999999998</v>
      </c>
      <c r="I2565">
        <v>180.59010000000001</v>
      </c>
      <c r="J2565">
        <v>-494.39780000000002</v>
      </c>
      <c r="K2565">
        <v>1.1273409999999999</v>
      </c>
      <c r="L2565">
        <v>238.08840000000001</v>
      </c>
      <c r="M2565">
        <v>2.1822600000000001E-2</v>
      </c>
      <c r="N2565">
        <v>-1.4060990000000001E-2</v>
      </c>
      <c r="O2565">
        <v>-0.99966310000000003</v>
      </c>
      <c r="P2565">
        <v>0.13399159999999999</v>
      </c>
      <c r="Q2565">
        <v>0.17779729999999999</v>
      </c>
      <c r="R2565">
        <v>-0.97490250000000001</v>
      </c>
      <c r="S2565">
        <v>1.325531</v>
      </c>
      <c r="T2565">
        <v>-3.1563639999999997E-2</v>
      </c>
      <c r="U2565">
        <v>-2.905853</v>
      </c>
      <c r="V2565">
        <v>-0.11548899999999999</v>
      </c>
      <c r="W2565">
        <v>0.18984670000000001</v>
      </c>
      <c r="X2565">
        <v>0.97499769999999997</v>
      </c>
      <c r="Y2565">
        <v>-0.39499709999999899</v>
      </c>
      <c r="Z2565">
        <v>-4.0705330000000003E-3</v>
      </c>
      <c r="AA2565">
        <v>0.91867339999999997</v>
      </c>
      <c r="AB2565">
        <v>27</v>
      </c>
      <c r="AC2565">
        <v>26.284799999999901</v>
      </c>
      <c r="AD2565">
        <v>-0.62615829999999995</v>
      </c>
      <c r="AE2565">
        <v>-57.4983</v>
      </c>
      <c r="AF2565">
        <v>-25.021198548248901</v>
      </c>
      <c r="AG2565">
        <v>-0.62615829999999995</v>
      </c>
      <c r="AH2565">
        <v>58.052569314979102</v>
      </c>
      <c r="AI2565">
        <v>90.567506804432</v>
      </c>
      <c r="AJ2565">
        <v>113.316492648524</v>
      </c>
      <c r="AK2565">
        <v>63.218298419666503</v>
      </c>
      <c r="AL2565">
        <v>79.056162040672504</v>
      </c>
      <c r="AM2565">
        <v>96.755239930906697</v>
      </c>
      <c r="AN2565">
        <v>0.99999999681358898</v>
      </c>
    </row>
    <row r="2566" spans="1:40" x14ac:dyDescent="0.25">
      <c r="A2566" t="str">
        <f>"20190303170546983"</f>
        <v>20190303170546983</v>
      </c>
      <c r="B2566" t="str">
        <f>"1551603946977595"</f>
        <v>1551603946977595</v>
      </c>
      <c r="C2566" t="s">
        <v>40</v>
      </c>
      <c r="D2566">
        <v>5.7983820000000001</v>
      </c>
      <c r="E2566">
        <v>0.38917309999999999</v>
      </c>
      <c r="F2566" t="s">
        <v>73</v>
      </c>
      <c r="G2566">
        <v>-470.34609999999998</v>
      </c>
      <c r="H2566">
        <v>0.55553580000000002</v>
      </c>
      <c r="I2566">
        <v>186.09</v>
      </c>
      <c r="J2566">
        <v>-494.38780000000003</v>
      </c>
      <c r="K2566">
        <v>1.1274729999999999</v>
      </c>
      <c r="L2566">
        <v>237.90170000000001</v>
      </c>
      <c r="M2566">
        <v>2.7739340000000001E-2</v>
      </c>
      <c r="N2566">
        <v>-1.4088730000000001E-2</v>
      </c>
      <c r="O2566">
        <v>-0.99951590000000001</v>
      </c>
      <c r="P2566">
        <v>0.14065510000000001</v>
      </c>
      <c r="Q2566">
        <v>0.1777831</v>
      </c>
      <c r="R2566">
        <v>-0.97396609999999995</v>
      </c>
      <c r="S2566">
        <v>1.3408199999999999</v>
      </c>
      <c r="T2566">
        <v>-3.1874420000000001E-2</v>
      </c>
      <c r="U2566">
        <v>-2.8987579999999999</v>
      </c>
      <c r="V2566">
        <v>-0.11645079999999999</v>
      </c>
      <c r="W2566">
        <v>0.189806</v>
      </c>
      <c r="X2566">
        <v>0.97489119999999996</v>
      </c>
      <c r="Y2566">
        <v>-0.39440720000000001</v>
      </c>
      <c r="Z2566">
        <v>-3.9705349999999999E-3</v>
      </c>
      <c r="AA2566">
        <v>0.91892720000000006</v>
      </c>
      <c r="AB2566">
        <v>27</v>
      </c>
      <c r="AC2566">
        <v>24.041699999999999</v>
      </c>
      <c r="AD2566">
        <v>-0.57193719999999904</v>
      </c>
      <c r="AE2566">
        <v>-51.811700000000002</v>
      </c>
      <c r="AF2566">
        <v>-22.592816380676702</v>
      </c>
      <c r="AG2566">
        <v>-0.57193719999999904</v>
      </c>
      <c r="AH2566">
        <v>52.453466213670801</v>
      </c>
      <c r="AI2566">
        <v>90.5737566049104</v>
      </c>
      <c r="AJ2566">
        <v>113.302566016968</v>
      </c>
      <c r="AK2566">
        <v>57.115046896596503</v>
      </c>
      <c r="AL2566">
        <v>79.058536968479402</v>
      </c>
      <c r="AM2566">
        <v>96.811708731197001</v>
      </c>
      <c r="AN2566">
        <v>0.99999997914703898</v>
      </c>
    </row>
    <row r="2567" spans="1:40" x14ac:dyDescent="0.25">
      <c r="A2567" t="str">
        <f>"20190303170547000"</f>
        <v>20190303170547000</v>
      </c>
      <c r="B2567" t="str">
        <f>"1551603946987355"</f>
        <v>1551603946987355</v>
      </c>
      <c r="C2567" t="s">
        <v>40</v>
      </c>
      <c r="D2567">
        <v>5.7572380000000001</v>
      </c>
      <c r="E2567">
        <v>0.38962780000000002</v>
      </c>
      <c r="F2567" t="s">
        <v>43</v>
      </c>
      <c r="G2567">
        <v>-464.43759999999997</v>
      </c>
      <c r="H2567">
        <v>-0.05</v>
      </c>
      <c r="I2567">
        <v>172.42910000000001</v>
      </c>
      <c r="J2567">
        <v>-494.37549999999999</v>
      </c>
      <c r="K2567">
        <v>1.1276139999999999</v>
      </c>
      <c r="L2567">
        <v>237.70439999999999</v>
      </c>
      <c r="M2567">
        <v>3.4178010000000002E-2</v>
      </c>
      <c r="N2567">
        <v>-1.411888E-2</v>
      </c>
      <c r="O2567">
        <v>-0.99931619999999999</v>
      </c>
      <c r="P2567">
        <v>0.1482493</v>
      </c>
      <c r="Q2567">
        <v>0.17781079999999999</v>
      </c>
      <c r="R2567">
        <v>-0.97283390000000003</v>
      </c>
      <c r="S2567">
        <v>1.325806</v>
      </c>
      <c r="T2567">
        <v>-5.212319E-2</v>
      </c>
      <c r="U2567">
        <v>-2.8982700000000001</v>
      </c>
      <c r="V2567">
        <v>-0.1178459</v>
      </c>
      <c r="W2567">
        <v>0.18980040000000001</v>
      </c>
      <c r="X2567">
        <v>0.9747247</v>
      </c>
      <c r="Y2567">
        <v>-0.38458209999999998</v>
      </c>
      <c r="Z2567">
        <v>2.4407890000000001E-3</v>
      </c>
      <c r="AA2567">
        <v>0.92308760000000001</v>
      </c>
      <c r="AB2567">
        <v>27</v>
      </c>
      <c r="AC2567">
        <v>29.937899999999999</v>
      </c>
      <c r="AD2567">
        <v>-1.1776139999999999</v>
      </c>
      <c r="AE2567">
        <v>-65.275299999999902</v>
      </c>
      <c r="AF2567">
        <v>-27.681760038324501</v>
      </c>
      <c r="AG2567">
        <v>-1.1776139999999999</v>
      </c>
      <c r="AH2567">
        <v>66.242662812874698</v>
      </c>
      <c r="AI2567">
        <v>90.939720809095903</v>
      </c>
      <c r="AJ2567">
        <v>112.679277750916</v>
      </c>
      <c r="AK2567">
        <v>71.803600119301706</v>
      </c>
      <c r="AL2567">
        <v>79.0588644879345</v>
      </c>
      <c r="AM2567">
        <v>96.893699725607306</v>
      </c>
      <c r="AN2567">
        <v>1.00000004438852</v>
      </c>
    </row>
    <row r="2568" spans="1:40" x14ac:dyDescent="0.25">
      <c r="A2568" t="str">
        <f>"20190303170547021"</f>
        <v>20190303170547021</v>
      </c>
      <c r="B2568" t="str">
        <f>"1551603947006875"</f>
        <v>1551603947006875</v>
      </c>
      <c r="C2568" t="s">
        <v>40</v>
      </c>
      <c r="D2568">
        <v>6.2309729999999997</v>
      </c>
      <c r="E2568">
        <v>0.39026040000000001</v>
      </c>
      <c r="F2568" t="s">
        <v>73</v>
      </c>
      <c r="G2568">
        <v>-470.34609999999998</v>
      </c>
      <c r="H2568">
        <v>0.1904469</v>
      </c>
      <c r="I2568">
        <v>186.13730000000001</v>
      </c>
      <c r="J2568">
        <v>-494.358</v>
      </c>
      <c r="K2568">
        <v>1.127793</v>
      </c>
      <c r="L2568">
        <v>237.45269999999999</v>
      </c>
      <c r="M2568">
        <v>4.260452E-2</v>
      </c>
      <c r="N2568">
        <v>-1.415756E-2</v>
      </c>
      <c r="O2568">
        <v>-0.99899170000000004</v>
      </c>
      <c r="P2568">
        <v>0.15687039999999999</v>
      </c>
      <c r="Q2568">
        <v>0.17824579999999901</v>
      </c>
      <c r="R2568">
        <v>-0.97140099999999996</v>
      </c>
      <c r="S2568">
        <v>1.3458859999999999</v>
      </c>
      <c r="T2568">
        <v>-5.2488449999999999E-2</v>
      </c>
      <c r="U2568">
        <v>-2.8882599999999998</v>
      </c>
      <c r="V2568">
        <v>-0.1183666</v>
      </c>
      <c r="W2568">
        <v>0.1902114</v>
      </c>
      <c r="X2568">
        <v>0.97458140000000004</v>
      </c>
      <c r="Y2568">
        <v>-0.38329259999999998</v>
      </c>
      <c r="Z2568">
        <v>2.571084E-3</v>
      </c>
      <c r="AA2568">
        <v>0.92362339999999998</v>
      </c>
      <c r="AB2568">
        <v>27</v>
      </c>
      <c r="AC2568">
        <v>24.011900000000001</v>
      </c>
      <c r="AD2568">
        <v>-0.93734609999999996</v>
      </c>
      <c r="AE2568">
        <v>-51.315399999999897</v>
      </c>
      <c r="AF2568">
        <v>-21.797639478211298</v>
      </c>
      <c r="AG2568">
        <v>-0.93734609999999996</v>
      </c>
      <c r="AH2568">
        <v>52.277605317806398</v>
      </c>
      <c r="AI2568">
        <v>90.948112835038302</v>
      </c>
      <c r="AJ2568">
        <v>112.634155221382</v>
      </c>
      <c r="AK2568">
        <v>56.647715949520901</v>
      </c>
      <c r="AL2568">
        <v>79.034878118601597</v>
      </c>
      <c r="AM2568">
        <v>96.924872560714206</v>
      </c>
      <c r="AN2568">
        <v>0.99999996695573901</v>
      </c>
    </row>
    <row r="2569" spans="1:40" x14ac:dyDescent="0.25">
      <c r="A2569" t="str">
        <f>"20190303170547033"</f>
        <v>20190303170547033</v>
      </c>
      <c r="B2569" t="str">
        <f>"1551603947026957"</f>
        <v>1551603947026957</v>
      </c>
      <c r="C2569" t="s">
        <v>40</v>
      </c>
      <c r="D2569">
        <v>5.9120179999999998</v>
      </c>
      <c r="E2569">
        <v>0.40820149999999999</v>
      </c>
      <c r="F2569" t="s">
        <v>73</v>
      </c>
      <c r="G2569">
        <v>-470.15</v>
      </c>
      <c r="H2569">
        <v>0.1883426</v>
      </c>
      <c r="I2569">
        <v>186.482</v>
      </c>
      <c r="J2569">
        <v>-494.34519999999998</v>
      </c>
      <c r="K2569">
        <v>1.127907</v>
      </c>
      <c r="L2569">
        <v>237.28899999999999</v>
      </c>
      <c r="M2569">
        <v>4.8239690000000002E-2</v>
      </c>
      <c r="N2569">
        <v>-1.4183619999999999E-2</v>
      </c>
      <c r="O2569">
        <v>-0.99873509999999999</v>
      </c>
      <c r="P2569">
        <v>0.16219729999999999</v>
      </c>
      <c r="Q2569">
        <v>0.17861949999999999</v>
      </c>
      <c r="R2569">
        <v>-0.97045760000000003</v>
      </c>
      <c r="S2569">
        <v>1.3665769999999999</v>
      </c>
      <c r="T2569">
        <v>-5.3030969999999997E-2</v>
      </c>
      <c r="U2569">
        <v>-2.8773499999999999</v>
      </c>
      <c r="V2569">
        <v>-0.1182795</v>
      </c>
      <c r="W2569">
        <v>0.19057750000000001</v>
      </c>
      <c r="X2569">
        <v>0.97452050000000001</v>
      </c>
      <c r="Y2569">
        <v>-0.38485449999999999</v>
      </c>
      <c r="Z2569">
        <v>2.7576749999999998E-3</v>
      </c>
      <c r="AA2569">
        <v>0.92297320000000005</v>
      </c>
      <c r="AB2569">
        <v>27</v>
      </c>
      <c r="AC2569">
        <v>24.1952</v>
      </c>
      <c r="AD2569">
        <v>-0.93956439999999997</v>
      </c>
      <c r="AE2569">
        <v>-50.807000000000002</v>
      </c>
      <c r="AF2569">
        <v>-21.709813618750498</v>
      </c>
      <c r="AG2569">
        <v>-0.93956439999999997</v>
      </c>
      <c r="AH2569">
        <v>51.900656259305798</v>
      </c>
      <c r="AI2569">
        <v>90.956802625147105</v>
      </c>
      <c r="AJ2569">
        <v>112.699341197788</v>
      </c>
      <c r="AK2569">
        <v>56.266125766479099</v>
      </c>
      <c r="AL2569">
        <v>79.013511810038096</v>
      </c>
      <c r="AM2569">
        <v>96.920254564150497</v>
      </c>
      <c r="AN2569">
        <v>1.00000001427337</v>
      </c>
    </row>
    <row r="2570" spans="1:40" x14ac:dyDescent="0.25">
      <c r="A2570" t="str">
        <f>"20190303170547050"</f>
        <v>20190303170547050</v>
      </c>
      <c r="B2570" t="str">
        <f>"1551603947037693"</f>
        <v>1551603947037693</v>
      </c>
      <c r="C2570" t="s">
        <v>40</v>
      </c>
      <c r="D2570">
        <v>5.8096230000000002</v>
      </c>
      <c r="E2570">
        <v>0.46023409999999898</v>
      </c>
      <c r="F2570" t="s">
        <v>52</v>
      </c>
      <c r="G2570">
        <v>-479.94420000000002</v>
      </c>
      <c r="H2570">
        <v>6.3600660000000003E-2</v>
      </c>
      <c r="I2570">
        <v>203.72110000000001</v>
      </c>
      <c r="J2570">
        <v>-494.3295</v>
      </c>
      <c r="K2570">
        <v>1.128042</v>
      </c>
      <c r="L2570">
        <v>237.1019</v>
      </c>
      <c r="M2570">
        <v>5.4796549999999999E-2</v>
      </c>
      <c r="N2570">
        <v>-1.4213460000000001E-2</v>
      </c>
      <c r="O2570">
        <v>-0.99839650000000002</v>
      </c>
      <c r="P2570">
        <v>0.1681976</v>
      </c>
      <c r="Q2570">
        <v>0.17874989999999999</v>
      </c>
      <c r="R2570">
        <v>-0.96941160000000004</v>
      </c>
      <c r="S2570">
        <v>1.2442629999999999</v>
      </c>
      <c r="T2570">
        <v>-9.1957090000000005E-2</v>
      </c>
      <c r="U2570">
        <v>-2.900299</v>
      </c>
      <c r="V2570">
        <v>-0.1179755</v>
      </c>
      <c r="W2570">
        <v>0.19070390000000001</v>
      </c>
      <c r="X2570">
        <v>0.97453259999999997</v>
      </c>
      <c r="Y2570">
        <v>-0.34315849999999998</v>
      </c>
      <c r="Z2570">
        <v>1.531341E-2</v>
      </c>
      <c r="AA2570">
        <v>0.93915269999999995</v>
      </c>
      <c r="AB2570">
        <v>27</v>
      </c>
      <c r="AC2570">
        <v>14.3852999999999</v>
      </c>
      <c r="AD2570">
        <v>-1.0644413399999999</v>
      </c>
      <c r="AE2570">
        <v>-33.380799999999901</v>
      </c>
      <c r="AF2570">
        <v>-12.523605186466501</v>
      </c>
      <c r="AG2570">
        <v>-1.0644413399999999</v>
      </c>
      <c r="AH2570">
        <v>34.089746534349402</v>
      </c>
      <c r="AI2570">
        <v>91.678825814668102</v>
      </c>
      <c r="AJ2570">
        <v>110.171899062533</v>
      </c>
      <c r="AK2570">
        <v>36.332967687886097</v>
      </c>
      <c r="AL2570">
        <v>79.006134074636705</v>
      </c>
      <c r="AM2570">
        <v>96.902555181915005</v>
      </c>
      <c r="AN2570">
        <v>0.99999999226910996</v>
      </c>
    </row>
    <row r="2571" spans="1:40" x14ac:dyDescent="0.25">
      <c r="A2571" t="str">
        <f>"20190303170547066"</f>
        <v>20190303170547066</v>
      </c>
      <c r="B2571" t="str">
        <f>"1551603947057214"</f>
        <v>1551603947057214</v>
      </c>
      <c r="C2571" t="s">
        <v>40</v>
      </c>
      <c r="D2571">
        <v>5.8201340000000004</v>
      </c>
      <c r="E2571">
        <v>0.47365970000000002</v>
      </c>
      <c r="F2571" t="s">
        <v>52</v>
      </c>
      <c r="G2571">
        <v>-487.96089999999998</v>
      </c>
      <c r="H2571" s="1">
        <v>2.9783689999999999E-6</v>
      </c>
      <c r="I2571">
        <v>214.98589999999999</v>
      </c>
      <c r="J2571">
        <v>-494.3109</v>
      </c>
      <c r="K2571">
        <v>1.1281840000000001</v>
      </c>
      <c r="L2571">
        <v>236.89930000000001</v>
      </c>
      <c r="M2571">
        <v>6.2043760000000003E-2</v>
      </c>
      <c r="N2571">
        <v>-1.4245849999999999E-2</v>
      </c>
      <c r="O2571">
        <v>-0.99797190000000002</v>
      </c>
      <c r="P2571">
        <v>0.174795799999999</v>
      </c>
      <c r="Q2571">
        <v>0.17863579999999901</v>
      </c>
      <c r="R2571">
        <v>-0.96826440000000003</v>
      </c>
      <c r="S2571">
        <v>0.85641480000000003</v>
      </c>
      <c r="T2571">
        <v>-0.15169360000000001</v>
      </c>
      <c r="U2571">
        <v>-2.9740600000000001</v>
      </c>
      <c r="V2571">
        <v>-0.1176003</v>
      </c>
      <c r="W2571">
        <v>0.19058829999999999</v>
      </c>
      <c r="X2571">
        <v>0.97460060000000004</v>
      </c>
      <c r="Y2571">
        <v>-0.21629109999999999</v>
      </c>
      <c r="Z2571">
        <v>3.5084129999999998E-2</v>
      </c>
      <c r="AA2571">
        <v>0.97569839999999997</v>
      </c>
      <c r="AB2571">
        <v>27</v>
      </c>
      <c r="AC2571">
        <v>6.3500000000000201</v>
      </c>
      <c r="AD2571">
        <v>-1.128181021631</v>
      </c>
      <c r="AE2571">
        <v>-21.913399999999999</v>
      </c>
      <c r="AF2571">
        <v>-4.9658935077382997</v>
      </c>
      <c r="AG2571">
        <v>-1.128181021631</v>
      </c>
      <c r="AH2571">
        <v>22.2108807316094</v>
      </c>
      <c r="AI2571">
        <v>92.837841890168804</v>
      </c>
      <c r="AJ2571">
        <v>102.602882997333</v>
      </c>
      <c r="AK2571">
        <v>22.787191876612201</v>
      </c>
      <c r="AL2571">
        <v>79.012881637972498</v>
      </c>
      <c r="AM2571">
        <v>96.880338142652803</v>
      </c>
      <c r="AN2571">
        <v>1.00000003008866</v>
      </c>
    </row>
    <row r="2572" spans="1:40" x14ac:dyDescent="0.25">
      <c r="A2572" t="str">
        <f>"20190303170547088"</f>
        <v>20190303170547088</v>
      </c>
      <c r="B2572" t="str">
        <f>"1551603947076733"</f>
        <v>1551603947076733</v>
      </c>
      <c r="C2572" t="s">
        <v>40</v>
      </c>
      <c r="D2572">
        <v>5.7704760000000004</v>
      </c>
      <c r="E2572">
        <v>0.4803267</v>
      </c>
      <c r="F2572" t="s">
        <v>52</v>
      </c>
      <c r="G2572">
        <v>-488.79169999999999</v>
      </c>
      <c r="H2572" s="1">
        <v>3.1503979999999999E-6</v>
      </c>
      <c r="I2572">
        <v>215.55009999999999</v>
      </c>
      <c r="J2572">
        <v>-494.28559999999999</v>
      </c>
      <c r="K2572">
        <v>1.1283479999999999</v>
      </c>
      <c r="L2572">
        <v>236.6507</v>
      </c>
      <c r="M2572">
        <v>7.116082E-2</v>
      </c>
      <c r="N2572">
        <v>-1.428511E-2</v>
      </c>
      <c r="O2572">
        <v>-0.99736259999999999</v>
      </c>
      <c r="P2572">
        <v>0.18364349999999999</v>
      </c>
      <c r="Q2572">
        <v>0.17791609999999999</v>
      </c>
      <c r="R2572">
        <v>-0.96675809999999995</v>
      </c>
      <c r="S2572">
        <v>0.77246090000000001</v>
      </c>
      <c r="T2572">
        <v>-0.15790009999999999</v>
      </c>
      <c r="U2572">
        <v>-2.9880369999999998</v>
      </c>
      <c r="V2572">
        <v>-0.11766459999999999</v>
      </c>
      <c r="W2572">
        <v>0.18986030000000001</v>
      </c>
      <c r="X2572">
        <v>0.97473489999999996</v>
      </c>
      <c r="Y2572">
        <v>-0.1804962</v>
      </c>
      <c r="Z2572">
        <v>3.7154100000000002E-2</v>
      </c>
      <c r="AA2572">
        <v>0.98287369999999996</v>
      </c>
      <c r="AB2572">
        <v>27</v>
      </c>
      <c r="AC2572">
        <v>5.4938999999999902</v>
      </c>
      <c r="AD2572">
        <v>-1.1283448496020001</v>
      </c>
      <c r="AE2572">
        <v>-21.1006</v>
      </c>
      <c r="AF2572">
        <v>-3.9676548457904199</v>
      </c>
      <c r="AG2572">
        <v>-1.1283448496020001</v>
      </c>
      <c r="AH2572">
        <v>21.380828807952501</v>
      </c>
      <c r="AI2572">
        <v>92.970289165725802</v>
      </c>
      <c r="AJ2572">
        <v>100.512830182074</v>
      </c>
      <c r="AK2572">
        <v>21.775107062651099</v>
      </c>
      <c r="AL2572">
        <v>79.055368512228696</v>
      </c>
      <c r="AM2572">
        <v>96.883124602489502</v>
      </c>
      <c r="AN2572">
        <v>1.00000000844363</v>
      </c>
    </row>
    <row r="2573" spans="1:40" x14ac:dyDescent="0.25">
      <c r="A2573" t="str">
        <f>"20190303170547110"</f>
        <v>20190303170547110</v>
      </c>
      <c r="B2573" t="str">
        <f>"1551603947097230"</f>
        <v>1551603947097230</v>
      </c>
      <c r="C2573" t="s">
        <v>40</v>
      </c>
      <c r="D2573">
        <v>5.7837209999999999</v>
      </c>
      <c r="E2573">
        <v>0.4845332</v>
      </c>
      <c r="F2573" t="s">
        <v>52</v>
      </c>
      <c r="G2573">
        <v>-489.07870000000003</v>
      </c>
      <c r="H2573" s="1">
        <v>3.2147649999999998E-6</v>
      </c>
      <c r="I2573">
        <v>215.8579</v>
      </c>
      <c r="J2573">
        <v>-494.25630000000001</v>
      </c>
      <c r="K2573">
        <v>1.1285099999999999</v>
      </c>
      <c r="L2573">
        <v>236.3887</v>
      </c>
      <c r="M2573">
        <v>8.1014699999999995E-2</v>
      </c>
      <c r="N2573">
        <v>-1.4325060000000001E-2</v>
      </c>
      <c r="O2573">
        <v>-0.9966102</v>
      </c>
      <c r="P2573">
        <v>0.1945199</v>
      </c>
      <c r="Q2573">
        <v>0.17699809999999999</v>
      </c>
      <c r="R2573">
        <v>-0.96479740000000003</v>
      </c>
      <c r="S2573">
        <v>0.74893189999999998</v>
      </c>
      <c r="T2573">
        <v>-0.16229499999999999</v>
      </c>
      <c r="U2573">
        <v>-2.990723</v>
      </c>
      <c r="V2573">
        <v>-0.1190592</v>
      </c>
      <c r="W2573">
        <v>0.1889112</v>
      </c>
      <c r="X2573">
        <v>0.97474989999999995</v>
      </c>
      <c r="Y2573">
        <v>-0.16326479999999999</v>
      </c>
      <c r="Z2573">
        <v>3.8577399999999998E-2</v>
      </c>
      <c r="AA2573">
        <v>0.98582769999999997</v>
      </c>
      <c r="AB2573">
        <v>27</v>
      </c>
      <c r="AC2573">
        <v>5.1775999999999804</v>
      </c>
      <c r="AD2573">
        <v>-1.1285067852349999</v>
      </c>
      <c r="AE2573">
        <v>-20.530799999999999</v>
      </c>
      <c r="AF2573">
        <v>-3.48720440874783</v>
      </c>
      <c r="AG2573">
        <v>-1.1285067852349999</v>
      </c>
      <c r="AH2573">
        <v>20.8236512814637</v>
      </c>
      <c r="AI2573">
        <v>93.059503839644805</v>
      </c>
      <c r="AJ2573">
        <v>99.506745437366106</v>
      </c>
      <c r="AK2573">
        <v>21.143759714031901</v>
      </c>
      <c r="AL2573">
        <v>79.110749561422693</v>
      </c>
      <c r="AM2573">
        <v>96.963803112815896</v>
      </c>
      <c r="AN2573">
        <v>0.99999995107004302</v>
      </c>
    </row>
    <row r="2574" spans="1:40" x14ac:dyDescent="0.25">
      <c r="A2574" t="str">
        <f>"20190303170547126"</f>
        <v>20190303170547126</v>
      </c>
      <c r="B2574" t="str">
        <f>"1551603947116750"</f>
        <v>1551603947116750</v>
      </c>
      <c r="C2574" t="s">
        <v>40</v>
      </c>
      <c r="D2574">
        <v>5.7648279999999996</v>
      </c>
      <c r="E2574">
        <v>0.48749740000000003</v>
      </c>
      <c r="F2574" t="s">
        <v>52</v>
      </c>
      <c r="G2574">
        <v>-489.14490000000001</v>
      </c>
      <c r="H2574" s="1">
        <v>3.2344790000000002E-6</v>
      </c>
      <c r="I2574">
        <v>216.04040000000001</v>
      </c>
      <c r="J2574">
        <v>-494.23289999999997</v>
      </c>
      <c r="K2574">
        <v>1.1286259999999999</v>
      </c>
      <c r="L2574">
        <v>236.1953</v>
      </c>
      <c r="M2574">
        <v>8.8431750000000003E-2</v>
      </c>
      <c r="N2574">
        <v>-1.4353650000000001E-2</v>
      </c>
      <c r="O2574">
        <v>-0.99597899999999995</v>
      </c>
      <c r="P2574">
        <v>0.20234530000000001</v>
      </c>
      <c r="Q2574">
        <v>0.17652129999999999</v>
      </c>
      <c r="R2574">
        <v>-0.96327419999999997</v>
      </c>
      <c r="S2574">
        <v>0.75070190000000003</v>
      </c>
      <c r="T2574">
        <v>-0.16574159999999999</v>
      </c>
      <c r="U2574">
        <v>-2.9885100000000002</v>
      </c>
      <c r="V2574">
        <v>-0.119754</v>
      </c>
      <c r="W2574">
        <v>0.18841759999999999</v>
      </c>
      <c r="X2574">
        <v>0.97476039999999997</v>
      </c>
      <c r="Y2574">
        <v>-0.15662889999999999</v>
      </c>
      <c r="Z2574">
        <v>3.9693029999999997E-2</v>
      </c>
      <c r="AA2574">
        <v>0.98685959999999995</v>
      </c>
      <c r="AB2574">
        <v>27</v>
      </c>
      <c r="AC2574">
        <v>5.0879999999999601</v>
      </c>
      <c r="AD2574">
        <v>-1.1286227655209999</v>
      </c>
      <c r="AE2574">
        <v>-20.154900000000001</v>
      </c>
      <c r="AF2574">
        <v>-3.2758891054261499</v>
      </c>
      <c r="AG2574">
        <v>-1.1286227655209999</v>
      </c>
      <c r="AH2574">
        <v>20.4655791659175</v>
      </c>
      <c r="AI2574">
        <v>93.116915687917796</v>
      </c>
      <c r="AJ2574">
        <v>99.094088789136606</v>
      </c>
      <c r="AK2574">
        <v>20.756810192665402</v>
      </c>
      <c r="AL2574">
        <v>79.139548744223305</v>
      </c>
      <c r="AM2574">
        <v>97.003964947149598</v>
      </c>
      <c r="AN2574">
        <v>1.0000000249569501</v>
      </c>
    </row>
    <row r="2575" spans="1:40" x14ac:dyDescent="0.25">
      <c r="A2575" t="str">
        <f>"20190303170547143"</f>
        <v>20190303170547143</v>
      </c>
      <c r="B2575" t="str">
        <f>"1551603947136999"</f>
        <v>1551603947136999</v>
      </c>
      <c r="C2575" t="s">
        <v>40</v>
      </c>
      <c r="D2575">
        <v>5.7461699999999896</v>
      </c>
      <c r="E2575">
        <v>0.48981249999999998</v>
      </c>
      <c r="F2575" t="s">
        <v>52</v>
      </c>
      <c r="G2575">
        <v>-489.08429999999998</v>
      </c>
      <c r="H2575" s="1">
        <v>3.2106039999999999E-6</v>
      </c>
      <c r="I2575">
        <v>215.74029999999999</v>
      </c>
      <c r="J2575">
        <v>-494.20609999999999</v>
      </c>
      <c r="K2575">
        <v>1.12874599999999</v>
      </c>
      <c r="L2575">
        <v>235.98759999999999</v>
      </c>
      <c r="M2575">
        <v>9.6548320000000007E-2</v>
      </c>
      <c r="N2575">
        <v>-1.438416E-2</v>
      </c>
      <c r="O2575">
        <v>-0.99522449999999996</v>
      </c>
      <c r="P2575">
        <v>0.2112474</v>
      </c>
      <c r="Q2575">
        <v>0.17744799999999999</v>
      </c>
      <c r="R2575">
        <v>-0.96119049999999995</v>
      </c>
      <c r="S2575">
        <v>0.75176999999999905</v>
      </c>
      <c r="T2575">
        <v>-0.16479340000000001</v>
      </c>
      <c r="U2575">
        <v>-2.986694</v>
      </c>
      <c r="V2575">
        <v>-0.120917</v>
      </c>
      <c r="W2575">
        <v>0.18931339999999999</v>
      </c>
      <c r="X2575">
        <v>0.97444319999999895</v>
      </c>
      <c r="Y2575">
        <v>-0.1490533</v>
      </c>
      <c r="Z2575">
        <v>3.937007E-2</v>
      </c>
      <c r="AA2575">
        <v>0.98804510000000001</v>
      </c>
      <c r="AB2575">
        <v>27</v>
      </c>
      <c r="AC2575">
        <v>5.1218000000000004</v>
      </c>
      <c r="AD2575">
        <v>-1.12874278939599</v>
      </c>
      <c r="AE2575">
        <v>-20.247299999999999</v>
      </c>
      <c r="AF2575">
        <v>-3.1336695722241399</v>
      </c>
      <c r="AG2575">
        <v>-1.12874278939599</v>
      </c>
      <c r="AH2575">
        <v>20.587110236745701</v>
      </c>
      <c r="AI2575">
        <v>93.102584881772401</v>
      </c>
      <c r="AJ2575">
        <v>98.654849644463397</v>
      </c>
      <c r="AK2575">
        <v>20.854808874032301</v>
      </c>
      <c r="AL2575">
        <v>79.087282461660905</v>
      </c>
      <c r="AM2575">
        <v>97.073577660269393</v>
      </c>
      <c r="AN2575">
        <v>1.00000001716739</v>
      </c>
    </row>
    <row r="2576" spans="1:40" x14ac:dyDescent="0.25">
      <c r="A2576" t="str">
        <f>"20190303170547167"</f>
        <v>20190303170547167</v>
      </c>
      <c r="B2576" t="str">
        <f>"1551603947157496"</f>
        <v>1551603947157496</v>
      </c>
      <c r="C2576" t="s">
        <v>40</v>
      </c>
      <c r="D2576">
        <v>5.7714220000000003</v>
      </c>
      <c r="E2576">
        <v>0.4916702</v>
      </c>
      <c r="F2576" t="s">
        <v>52</v>
      </c>
      <c r="G2576">
        <v>-488.90190000000001</v>
      </c>
      <c r="H2576" s="1">
        <v>3.1544319999999999E-6</v>
      </c>
      <c r="I2576">
        <v>215.19499999999999</v>
      </c>
      <c r="J2576">
        <v>-494.16739999999999</v>
      </c>
      <c r="K2576">
        <v>1.1289169999999999</v>
      </c>
      <c r="L2576">
        <v>235.7133</v>
      </c>
      <c r="M2576">
        <v>0.1075451</v>
      </c>
      <c r="N2576">
        <v>-1.442618E-2</v>
      </c>
      <c r="O2576">
        <v>-0.99409570000000003</v>
      </c>
      <c r="P2576">
        <v>0.22222980000000001</v>
      </c>
      <c r="Q2576">
        <v>0.17791860000000001</v>
      </c>
      <c r="R2576">
        <v>-0.95862349999999996</v>
      </c>
      <c r="S2576">
        <v>0.76113889999999995</v>
      </c>
      <c r="T2576">
        <v>-0.16197439999999999</v>
      </c>
      <c r="U2576">
        <v>-2.9837340000000001</v>
      </c>
      <c r="V2576">
        <v>-0.121388</v>
      </c>
      <c r="W2576">
        <v>0.18976760000000001</v>
      </c>
      <c r="X2576">
        <v>0.9742963</v>
      </c>
      <c r="Y2576">
        <v>-0.1412774</v>
      </c>
      <c r="Z2576">
        <v>3.8407650000000002E-2</v>
      </c>
      <c r="AA2576">
        <v>0.98922469999999996</v>
      </c>
      <c r="AB2576">
        <v>27</v>
      </c>
      <c r="AC2576">
        <v>5.2654999999999701</v>
      </c>
      <c r="AD2576">
        <v>-1.1289138455679999</v>
      </c>
      <c r="AE2576">
        <v>-20.5183</v>
      </c>
      <c r="AF2576">
        <v>-3.0195070705159801</v>
      </c>
      <c r="AG2576">
        <v>-1.1289138455679999</v>
      </c>
      <c r="AH2576">
        <v>20.906234168445899</v>
      </c>
      <c r="AI2576">
        <v>93.059225451820694</v>
      </c>
      <c r="AJ2576">
        <v>98.218451361000803</v>
      </c>
      <c r="AK2576">
        <v>21.153309351624099</v>
      </c>
      <c r="AL2576">
        <v>79.060778465407594</v>
      </c>
      <c r="AM2576">
        <v>97.101909869676206</v>
      </c>
      <c r="AN2576">
        <v>1.0000000343737201</v>
      </c>
    </row>
    <row r="2577" spans="1:40" x14ac:dyDescent="0.25">
      <c r="A2577" t="str">
        <f>"20190303170547181"</f>
        <v>20190303170547181</v>
      </c>
      <c r="B2577" t="str">
        <f>"1551603947167255"</f>
        <v>1551603947167255</v>
      </c>
      <c r="C2577" t="s">
        <v>40</v>
      </c>
      <c r="D2577">
        <v>5.7638030000000002</v>
      </c>
      <c r="E2577">
        <v>0.49269800000000002</v>
      </c>
      <c r="F2577" t="s">
        <v>52</v>
      </c>
      <c r="G2577">
        <v>-488.7346</v>
      </c>
      <c r="H2577" s="1">
        <v>3.117255E-6</v>
      </c>
      <c r="I2577">
        <v>215.02379999999999</v>
      </c>
      <c r="J2577">
        <v>-494.14120000000003</v>
      </c>
      <c r="K2577">
        <v>1.1290209999999901</v>
      </c>
      <c r="L2577">
        <v>235.5386</v>
      </c>
      <c r="M2577">
        <v>0.1146703</v>
      </c>
      <c r="N2577">
        <v>-1.445339E-2</v>
      </c>
      <c r="O2577">
        <v>-0.99329849999999997</v>
      </c>
      <c r="P2577">
        <v>0.22918620000000001</v>
      </c>
      <c r="Q2577">
        <v>0.17788519999999999</v>
      </c>
      <c r="R2577">
        <v>-0.95699049999999997</v>
      </c>
      <c r="S2577">
        <v>0.78207399999999905</v>
      </c>
      <c r="T2577">
        <v>-0.16251160000000001</v>
      </c>
      <c r="U2577">
        <v>-2.9783330000000001</v>
      </c>
      <c r="V2577">
        <v>-0.1215265</v>
      </c>
      <c r="W2577">
        <v>0.1897278</v>
      </c>
      <c r="X2577">
        <v>0.97428669999999995</v>
      </c>
      <c r="Y2577">
        <v>-0.141123</v>
      </c>
      <c r="Z2577">
        <v>3.8557630000000002E-2</v>
      </c>
      <c r="AA2577">
        <v>0.98924089999999998</v>
      </c>
      <c r="AB2577">
        <v>27</v>
      </c>
      <c r="AC2577">
        <v>5.4066000000000196</v>
      </c>
      <c r="AD2577">
        <v>-1.1290178827449999</v>
      </c>
      <c r="AE2577">
        <v>-20.514800000000001</v>
      </c>
      <c r="AF2577">
        <v>-3.00972080134903</v>
      </c>
      <c r="AG2577">
        <v>-1.1290178827449999</v>
      </c>
      <c r="AH2577">
        <v>20.940185045653099</v>
      </c>
      <c r="AI2577">
        <v>93.054857686736099</v>
      </c>
      <c r="AJ2577">
        <v>98.179075006907993</v>
      </c>
      <c r="AK2577">
        <v>21.1854773471788</v>
      </c>
      <c r="AL2577">
        <v>79.063100109104397</v>
      </c>
      <c r="AM2577">
        <v>97.109999389252295</v>
      </c>
      <c r="AN2577">
        <v>0.99999995104598804</v>
      </c>
    </row>
    <row r="2578" spans="1:40" x14ac:dyDescent="0.25">
      <c r="A2578" t="str">
        <f>"20190303170547201"</f>
        <v>20190303170547201</v>
      </c>
      <c r="B2578" t="str">
        <f>"1551603947186775"</f>
        <v>1551603947186775</v>
      </c>
      <c r="C2578" t="s">
        <v>40</v>
      </c>
      <c r="D2578">
        <v>5.7752230000000004</v>
      </c>
      <c r="E2578">
        <v>0.49468790000000001</v>
      </c>
      <c r="F2578" t="s">
        <v>52</v>
      </c>
      <c r="G2578">
        <v>-488.58350000000002</v>
      </c>
      <c r="H2578" s="1">
        <v>3.0793220000000001E-6</v>
      </c>
      <c r="I2578">
        <v>214.76910000000001</v>
      </c>
      <c r="J2578">
        <v>-494.10550000000001</v>
      </c>
      <c r="K2578">
        <v>1.1291530000000001</v>
      </c>
      <c r="L2578">
        <v>235.315</v>
      </c>
      <c r="M2578">
        <v>0.1239688</v>
      </c>
      <c r="N2578">
        <v>-1.4489149999999999E-2</v>
      </c>
      <c r="O2578">
        <v>-0.99218039999999996</v>
      </c>
      <c r="P2578">
        <v>0.23875460000000001</v>
      </c>
      <c r="Q2578">
        <v>0.1774551</v>
      </c>
      <c r="R2578">
        <v>-0.95472820000000003</v>
      </c>
      <c r="S2578">
        <v>0.79589840000000001</v>
      </c>
      <c r="T2578">
        <v>-0.1616812</v>
      </c>
      <c r="U2578">
        <v>-2.9742890000000002</v>
      </c>
      <c r="V2578">
        <v>-0.12220060000000001</v>
      </c>
      <c r="W2578">
        <v>0.18928020000000001</v>
      </c>
      <c r="X2578">
        <v>0.97428950000000003</v>
      </c>
      <c r="Y2578">
        <v>-0.1364802</v>
      </c>
      <c r="Z2578">
        <v>3.8241700000000003E-2</v>
      </c>
      <c r="AA2578">
        <v>0.98990440000000002</v>
      </c>
      <c r="AB2578">
        <v>27</v>
      </c>
      <c r="AC2578">
        <v>5.5219999999999896</v>
      </c>
      <c r="AD2578">
        <v>-1.129149920678</v>
      </c>
      <c r="AE2578">
        <v>-20.5458999999999</v>
      </c>
      <c r="AF2578">
        <v>-2.9238411649312699</v>
      </c>
      <c r="AG2578">
        <v>-1.129149920678</v>
      </c>
      <c r="AH2578">
        <v>21.012815577838001</v>
      </c>
      <c r="AI2578">
        <v>93.046606045716402</v>
      </c>
      <c r="AJ2578">
        <v>97.921593195153804</v>
      </c>
      <c r="AK2578">
        <v>21.2452876000619</v>
      </c>
      <c r="AL2578">
        <v>79.0892195757895</v>
      </c>
      <c r="AM2578">
        <v>97.149010827321106</v>
      </c>
      <c r="AN2578">
        <v>1.00000000528132</v>
      </c>
    </row>
    <row r="2579" spans="1:40" x14ac:dyDescent="0.25">
      <c r="A2579" t="str">
        <f>"20190303170547227"</f>
        <v>20190303170547227</v>
      </c>
      <c r="B2579" t="str">
        <f>"1551603947217031"</f>
        <v>1551603947217031</v>
      </c>
      <c r="C2579" t="s">
        <v>40</v>
      </c>
      <c r="D2579">
        <v>5.780303</v>
      </c>
      <c r="E2579">
        <v>0.496506</v>
      </c>
      <c r="F2579" t="s">
        <v>52</v>
      </c>
      <c r="G2579">
        <v>-488.45940000000002</v>
      </c>
      <c r="H2579" s="1">
        <v>3.050329E-6</v>
      </c>
      <c r="I2579">
        <v>214.60919999999999</v>
      </c>
      <c r="J2579">
        <v>-494.05509999999998</v>
      </c>
      <c r="K2579">
        <v>1.12934</v>
      </c>
      <c r="L2579">
        <v>235.0222</v>
      </c>
      <c r="M2579">
        <v>0.13645669999999999</v>
      </c>
      <c r="N2579">
        <v>-1.453715E-2</v>
      </c>
      <c r="O2579">
        <v>-0.99053959999999996</v>
      </c>
      <c r="P2579">
        <v>0.25219819999999998</v>
      </c>
      <c r="Q2579">
        <v>0.1772881</v>
      </c>
      <c r="R2579">
        <v>-0.9512967</v>
      </c>
      <c r="S2579">
        <v>0.80981449999999999</v>
      </c>
      <c r="T2579">
        <v>-0.1619534</v>
      </c>
      <c r="U2579">
        <v>-2.9698180000000001</v>
      </c>
      <c r="V2579">
        <v>-0.1237577</v>
      </c>
      <c r="W2579">
        <v>0.1890714</v>
      </c>
      <c r="X2579">
        <v>0.97413349999999999</v>
      </c>
      <c r="Y2579">
        <v>-0.12869539999999999</v>
      </c>
      <c r="Z2579">
        <v>3.8253429999999998E-2</v>
      </c>
      <c r="AA2579">
        <v>0.99094610000000005</v>
      </c>
      <c r="AB2579">
        <v>27</v>
      </c>
      <c r="AC2579">
        <v>5.5956999999999599</v>
      </c>
      <c r="AD2579">
        <v>-1.129336949671</v>
      </c>
      <c r="AE2579">
        <v>-20.413</v>
      </c>
      <c r="AF2579">
        <v>-2.74973446154037</v>
      </c>
      <c r="AG2579">
        <v>-1.129336949671</v>
      </c>
      <c r="AH2579">
        <v>20.926094606412899</v>
      </c>
      <c r="AI2579">
        <v>93.062856464694505</v>
      </c>
      <c r="AJ2579">
        <v>97.485901781211098</v>
      </c>
      <c r="AK2579">
        <v>21.136174607327099</v>
      </c>
      <c r="AL2579">
        <v>79.101403080124001</v>
      </c>
      <c r="AM2579">
        <v>97.2402912973307</v>
      </c>
      <c r="AN2579">
        <v>1.00000001921474</v>
      </c>
    </row>
    <row r="2580" spans="1:40" x14ac:dyDescent="0.25">
      <c r="A2580" t="str">
        <f>"20190303170547246"</f>
        <v>20190303170547246</v>
      </c>
      <c r="B2580" t="str">
        <f>"1551603947237162"</f>
        <v>1551603947237162</v>
      </c>
      <c r="C2580" t="s">
        <v>40</v>
      </c>
      <c r="D2580">
        <v>5.8083939999999998</v>
      </c>
      <c r="E2580">
        <v>0.49805460000000001</v>
      </c>
      <c r="F2580" t="s">
        <v>52</v>
      </c>
      <c r="G2580">
        <v>-488.15960000000001</v>
      </c>
      <c r="H2580" s="1">
        <v>2.9770399999999999E-6</v>
      </c>
      <c r="I2580">
        <v>214.14920000000001</v>
      </c>
      <c r="J2580">
        <v>-494.01209999999998</v>
      </c>
      <c r="K2580">
        <v>1.129499</v>
      </c>
      <c r="L2580">
        <v>234.78970000000001</v>
      </c>
      <c r="M2580">
        <v>0.14662069999999999</v>
      </c>
      <c r="N2580">
        <v>-1.4577440000000001E-2</v>
      </c>
      <c r="O2580">
        <v>-0.98908549999999995</v>
      </c>
      <c r="P2580">
        <v>0.26358880000000001</v>
      </c>
      <c r="Q2580">
        <v>0.17747829999999901</v>
      </c>
      <c r="R2580">
        <v>-0.94816809999999996</v>
      </c>
      <c r="S2580">
        <v>0.83651730000000002</v>
      </c>
      <c r="T2580">
        <v>-0.1602441</v>
      </c>
      <c r="U2580">
        <v>-2.961716</v>
      </c>
      <c r="V2580">
        <v>-0.12552459999999999</v>
      </c>
      <c r="W2580">
        <v>0.18921560000000001</v>
      </c>
      <c r="X2580">
        <v>0.97387939999999995</v>
      </c>
      <c r="Y2580">
        <v>-0.1275008</v>
      </c>
      <c r="Z2580">
        <v>3.7655500000000001E-2</v>
      </c>
      <c r="AA2580">
        <v>0.99112339999999999</v>
      </c>
      <c r="AB2580">
        <v>27</v>
      </c>
      <c r="AC2580">
        <v>5.8524999999999601</v>
      </c>
      <c r="AD2580">
        <v>-1.12949602296</v>
      </c>
      <c r="AE2580">
        <v>-20.640499999999999</v>
      </c>
      <c r="AF2580">
        <v>-2.75495562125717</v>
      </c>
      <c r="AG2580">
        <v>-1.12949602296</v>
      </c>
      <c r="AH2580">
        <v>21.2167684270823</v>
      </c>
      <c r="AI2580">
        <v>93.0219997652122</v>
      </c>
      <c r="AJ2580">
        <v>97.398349530405099</v>
      </c>
      <c r="AK2580">
        <v>21.424677459168802</v>
      </c>
      <c r="AL2580">
        <v>79.092989240161401</v>
      </c>
      <c r="AM2580">
        <v>97.3444362254493</v>
      </c>
      <c r="AN2580">
        <v>1.00000002711643</v>
      </c>
    </row>
    <row r="2581" spans="1:40" x14ac:dyDescent="0.25">
      <c r="A2581" t="str">
        <f>"20190303170547268"</f>
        <v>20190303170547268</v>
      </c>
      <c r="B2581" t="str">
        <f>"1551603947257658"</f>
        <v>1551603947257658</v>
      </c>
      <c r="C2581" t="s">
        <v>40</v>
      </c>
      <c r="D2581">
        <v>6.0704260000000003</v>
      </c>
      <c r="E2581">
        <v>0.49489450000000001</v>
      </c>
      <c r="F2581" t="s">
        <v>52</v>
      </c>
      <c r="G2581">
        <v>-488.09339999999997</v>
      </c>
      <c r="H2581" s="1">
        <v>2.9778620000000001E-6</v>
      </c>
      <c r="I2581">
        <v>214.43690000000001</v>
      </c>
      <c r="J2581">
        <v>-493.96170000000001</v>
      </c>
      <c r="K2581">
        <v>1.1296600000000001</v>
      </c>
      <c r="L2581">
        <v>234.53460000000001</v>
      </c>
      <c r="M2581">
        <v>0.15800059999999999</v>
      </c>
      <c r="N2581">
        <v>-1.462249E-2</v>
      </c>
      <c r="O2581">
        <v>-0.98733090000000001</v>
      </c>
      <c r="P2581">
        <v>0.27570480000000003</v>
      </c>
      <c r="Q2581">
        <v>0.17763509999999999</v>
      </c>
      <c r="R2581">
        <v>-0.94468680000000005</v>
      </c>
      <c r="S2581">
        <v>0.85955809999999999</v>
      </c>
      <c r="T2581">
        <v>-0.16403229999999999</v>
      </c>
      <c r="U2581">
        <v>-2.955765</v>
      </c>
      <c r="V2581">
        <v>-0.12686159999999999</v>
      </c>
      <c r="W2581">
        <v>0.18933920000000001</v>
      </c>
      <c r="X2581">
        <v>0.97368209999999999</v>
      </c>
      <c r="Y2581">
        <v>-0.1237267</v>
      </c>
      <c r="Z2581">
        <v>3.8786800000000003E-2</v>
      </c>
      <c r="AA2581">
        <v>0.99155800000000005</v>
      </c>
      <c r="AB2581">
        <v>27</v>
      </c>
      <c r="AC2581">
        <v>5.8683000000000298</v>
      </c>
      <c r="AD2581">
        <v>-1.129657022138</v>
      </c>
      <c r="AE2581">
        <v>-20.0977</v>
      </c>
      <c r="AF2581">
        <v>-2.61118323613477</v>
      </c>
      <c r="AG2581">
        <v>-1.129657022138</v>
      </c>
      <c r="AH2581">
        <v>20.712196027069801</v>
      </c>
      <c r="AI2581">
        <v>93.097388076735697</v>
      </c>
      <c r="AJ2581">
        <v>97.185362653443704</v>
      </c>
      <c r="AK2581">
        <v>20.906684747804999</v>
      </c>
      <c r="AL2581">
        <v>79.085776979647704</v>
      </c>
      <c r="AM2581">
        <v>97.423283514535399</v>
      </c>
      <c r="AN2581">
        <v>1.0000000150357999</v>
      </c>
    </row>
    <row r="2582" spans="1:40" x14ac:dyDescent="0.25">
      <c r="A2582" t="str">
        <f>"20190303170547290"</f>
        <v>20190303170547290</v>
      </c>
      <c r="B2582" t="str">
        <f>"1551603947277178"</f>
        <v>1551603947277178</v>
      </c>
      <c r="C2582" t="s">
        <v>40</v>
      </c>
      <c r="D2582">
        <v>5.7525329999999997</v>
      </c>
      <c r="E2582">
        <v>0.41016740000000002</v>
      </c>
      <c r="F2582" t="s">
        <v>52</v>
      </c>
      <c r="G2582">
        <v>-487.90980000000002</v>
      </c>
      <c r="H2582" s="1">
        <v>2.981048E-6</v>
      </c>
      <c r="I2582">
        <v>215.25470000000001</v>
      </c>
      <c r="J2582">
        <v>-493.90800000000002</v>
      </c>
      <c r="K2582">
        <v>1.129807</v>
      </c>
      <c r="L2582">
        <v>234.279</v>
      </c>
      <c r="M2582">
        <v>0.1696339</v>
      </c>
      <c r="N2582">
        <v>-1.466482E-2</v>
      </c>
      <c r="O2582">
        <v>-0.985398</v>
      </c>
      <c r="P2582">
        <v>0.2878116</v>
      </c>
      <c r="Q2582">
        <v>0.1778296</v>
      </c>
      <c r="R2582">
        <v>-0.94103179999999997</v>
      </c>
      <c r="S2582">
        <v>0.92248540000000001</v>
      </c>
      <c r="T2582">
        <v>-0.17219319999999999</v>
      </c>
      <c r="U2582">
        <v>-2.938828</v>
      </c>
      <c r="V2582">
        <v>-0.12796150000000001</v>
      </c>
      <c r="W2582">
        <v>0.18950539999999999</v>
      </c>
      <c r="X2582">
        <v>0.97350579999999998</v>
      </c>
      <c r="Y2582">
        <v>-0.1329545</v>
      </c>
      <c r="Z2582">
        <v>4.1370850000000001E-2</v>
      </c>
      <c r="AA2582">
        <v>0.99025830000000004</v>
      </c>
      <c r="AB2582">
        <v>27</v>
      </c>
      <c r="AC2582">
        <v>5.99819999999999</v>
      </c>
      <c r="AD2582">
        <v>-1.129804018952</v>
      </c>
      <c r="AE2582">
        <v>-19.0243</v>
      </c>
      <c r="AF2582">
        <v>-2.6751549555829799</v>
      </c>
      <c r="AG2582">
        <v>-1.129804018952</v>
      </c>
      <c r="AH2582">
        <v>19.702925102828399</v>
      </c>
      <c r="AI2582">
        <v>93.252083674619399</v>
      </c>
      <c r="AJ2582">
        <v>97.732025030346193</v>
      </c>
      <c r="AK2582">
        <v>19.9157768807869</v>
      </c>
      <c r="AL2582">
        <v>79.076078592775602</v>
      </c>
      <c r="AM2582">
        <v>97.488257386824003</v>
      </c>
      <c r="AN2582">
        <v>0.99999999237252402</v>
      </c>
    </row>
    <row r="2583" spans="1:40" x14ac:dyDescent="0.25">
      <c r="A2583" t="str">
        <f>"20190303170547313"</f>
        <v>20190303170547313</v>
      </c>
      <c r="B2583" t="str">
        <f>"1551603947297674"</f>
        <v>1551603947297674</v>
      </c>
      <c r="C2583" t="s">
        <v>40</v>
      </c>
      <c r="D2583">
        <v>5.6438389999999998</v>
      </c>
      <c r="E2583">
        <v>0.39581729999999998</v>
      </c>
      <c r="F2583" t="s">
        <v>73</v>
      </c>
      <c r="G2583">
        <v>-470.15</v>
      </c>
      <c r="H2583">
        <v>0.93621750000000004</v>
      </c>
      <c r="I2583">
        <v>193.98169999999999</v>
      </c>
      <c r="J2583">
        <v>-493.85239999999999</v>
      </c>
      <c r="K2583">
        <v>1.129926</v>
      </c>
      <c r="L2583">
        <v>234.0299</v>
      </c>
      <c r="M2583">
        <v>0.18118819999999999</v>
      </c>
      <c r="N2583">
        <v>-1.4703870000000001E-2</v>
      </c>
      <c r="O2583">
        <v>-0.98333859999999995</v>
      </c>
      <c r="P2583">
        <v>0.29918020000000001</v>
      </c>
      <c r="Q2583">
        <v>0.17822370000000001</v>
      </c>
      <c r="R2583">
        <v>-0.93740469999999998</v>
      </c>
      <c r="S2583">
        <v>1.593628</v>
      </c>
      <c r="T2583">
        <v>-1.2983079999999999E-2</v>
      </c>
      <c r="U2583">
        <v>-2.703033</v>
      </c>
      <c r="V2583">
        <v>-0.12840109999999999</v>
      </c>
      <c r="W2583">
        <v>0.1898879</v>
      </c>
      <c r="X2583">
        <v>0.97337340000000006</v>
      </c>
      <c r="Y2583">
        <v>-0.3432984</v>
      </c>
      <c r="Z2583">
        <v>-9.7870700000000001E-3</v>
      </c>
      <c r="AA2583">
        <v>0.93917539999999999</v>
      </c>
      <c r="AB2583">
        <v>27</v>
      </c>
      <c r="AC2583">
        <v>23.702400000000001</v>
      </c>
      <c r="AD2583">
        <v>-0.19370850000000001</v>
      </c>
      <c r="AE2583">
        <v>-40.048200000000001</v>
      </c>
      <c r="AF2583">
        <v>-16.0526795127569</v>
      </c>
      <c r="AG2583">
        <v>-0.19370850000000001</v>
      </c>
      <c r="AH2583">
        <v>43.679497770065197</v>
      </c>
      <c r="AI2583">
        <v>90.238495934278404</v>
      </c>
      <c r="AJ2583">
        <v>110.178916390916</v>
      </c>
      <c r="AK2583">
        <v>46.536271530574801</v>
      </c>
      <c r="AL2583">
        <v>79.053757936832596</v>
      </c>
      <c r="AM2583">
        <v>97.514699524349695</v>
      </c>
      <c r="AN2583">
        <v>1.00000001643759</v>
      </c>
    </row>
    <row r="2584" spans="1:40" x14ac:dyDescent="0.25">
      <c r="A2584" t="str">
        <f>"20190303170547326"</f>
        <v>20190303170547326</v>
      </c>
      <c r="B2584" t="str">
        <f>"1551603947317194"</f>
        <v>1551603947317194</v>
      </c>
      <c r="C2584" t="s">
        <v>40</v>
      </c>
      <c r="D2584">
        <v>5.6496810000000002</v>
      </c>
      <c r="E2584">
        <v>0.38643490000000003</v>
      </c>
      <c r="F2584" t="s">
        <v>73</v>
      </c>
      <c r="G2584">
        <v>-469.92439999999999</v>
      </c>
      <c r="H2584">
        <v>1.311618</v>
      </c>
      <c r="I2584">
        <v>197.51820000000001</v>
      </c>
      <c r="J2584">
        <v>-493.81470000000002</v>
      </c>
      <c r="K2584">
        <v>1.130002</v>
      </c>
      <c r="L2584">
        <v>233.86850000000001</v>
      </c>
      <c r="M2584">
        <v>0.18877430000000001</v>
      </c>
      <c r="N2584">
        <v>-1.4728669999999999E-2</v>
      </c>
      <c r="O2584">
        <v>-0.98191019999999896</v>
      </c>
      <c r="P2584">
        <v>0.30612640000000002</v>
      </c>
      <c r="Q2584">
        <v>0.178675799999999</v>
      </c>
      <c r="R2584">
        <v>-0.93507309999999999</v>
      </c>
      <c r="S2584">
        <v>1.73318499999999</v>
      </c>
      <c r="T2584">
        <v>1.3163090000000001E-2</v>
      </c>
      <c r="U2584">
        <v>-2.6446529999999999</v>
      </c>
      <c r="V2584">
        <v>-0.12817049999999999</v>
      </c>
      <c r="W2584">
        <v>0.19034390000000001</v>
      </c>
      <c r="X2584">
        <v>0.97331469999999998</v>
      </c>
      <c r="Y2584">
        <v>-0.38024910000000001</v>
      </c>
      <c r="Z2584">
        <v>-1.8157010000000001E-2</v>
      </c>
      <c r="AA2584">
        <v>0.92470589999999997</v>
      </c>
      <c r="AB2584">
        <v>27</v>
      </c>
      <c r="AC2584">
        <v>23.8903</v>
      </c>
      <c r="AD2584">
        <v>0.181616</v>
      </c>
      <c r="AE2584">
        <v>-36.350299999999997</v>
      </c>
      <c r="AF2584">
        <v>-16.5976353128978</v>
      </c>
      <c r="AG2584">
        <v>0.181616</v>
      </c>
      <c r="AH2584">
        <v>40.206259204035803</v>
      </c>
      <c r="AI2584">
        <v>89.760772663317795</v>
      </c>
      <c r="AJ2584">
        <v>112.43143363802599</v>
      </c>
      <c r="AK2584">
        <v>43.497790306330799</v>
      </c>
      <c r="AL2584">
        <v>79.027145418935504</v>
      </c>
      <c r="AM2584">
        <v>97.501804693427502</v>
      </c>
      <c r="AN2584">
        <v>0.99999999128677497</v>
      </c>
    </row>
    <row r="2585" spans="1:40" x14ac:dyDescent="0.25">
      <c r="A2585" t="str">
        <f>"20190303170547344"</f>
        <v>20190303170547344</v>
      </c>
      <c r="B2585" t="str">
        <f>"1551603947337528"</f>
        <v>1551603947337528</v>
      </c>
      <c r="C2585" t="s">
        <v>40</v>
      </c>
      <c r="D2585">
        <v>5.6109809999999998</v>
      </c>
      <c r="E2585">
        <v>0.38064409999999999</v>
      </c>
      <c r="F2585" t="s">
        <v>73</v>
      </c>
      <c r="G2585">
        <v>-468.26679999999999</v>
      </c>
      <c r="H2585">
        <v>1.466038</v>
      </c>
      <c r="I2585">
        <v>197.345</v>
      </c>
      <c r="J2585">
        <v>-493.76499999999999</v>
      </c>
      <c r="K2585">
        <v>1.130104</v>
      </c>
      <c r="L2585">
        <v>233.66409999999999</v>
      </c>
      <c r="M2585">
        <v>0.19851060000000001</v>
      </c>
      <c r="N2585">
        <v>-1.4760290000000001E-2</v>
      </c>
      <c r="O2585">
        <v>-0.97998759999999996</v>
      </c>
      <c r="P2585">
        <v>0.31491950000000002</v>
      </c>
      <c r="Q2585">
        <v>0.1796469</v>
      </c>
      <c r="R2585">
        <v>-0.93196179999999995</v>
      </c>
      <c r="S2585">
        <v>1.8234250000000001</v>
      </c>
      <c r="T2585">
        <v>2.3986219999999999E-2</v>
      </c>
      <c r="U2585">
        <v>-2.6067659999999999</v>
      </c>
      <c r="V2585">
        <v>-0.12777910000000001</v>
      </c>
      <c r="W2585">
        <v>0.19132350000000001</v>
      </c>
      <c r="X2585">
        <v>0.97317410000000004</v>
      </c>
      <c r="Y2585">
        <v>-0.39893770000000001</v>
      </c>
      <c r="Z2585">
        <v>-2.155644E-2</v>
      </c>
      <c r="AA2585">
        <v>0.9167246</v>
      </c>
      <c r="AB2585">
        <v>27</v>
      </c>
      <c r="AC2585">
        <v>25.498200000000001</v>
      </c>
      <c r="AD2585">
        <v>0.33593399999999901</v>
      </c>
      <c r="AE2585">
        <v>-36.319099999999899</v>
      </c>
      <c r="AF2585">
        <v>-17.7791113825709</v>
      </c>
      <c r="AG2585">
        <v>0.33593399999999901</v>
      </c>
      <c r="AH2585">
        <v>40.656029596993697</v>
      </c>
      <c r="AI2585">
        <v>89.5662451077946</v>
      </c>
      <c r="AJ2585">
        <v>113.620030521408</v>
      </c>
      <c r="AK2585">
        <v>44.374794600063701</v>
      </c>
      <c r="AL2585">
        <v>78.969967826861193</v>
      </c>
      <c r="AM2585">
        <v>97.480224157181794</v>
      </c>
      <c r="AN2585">
        <v>1.00000000447993</v>
      </c>
    </row>
    <row r="2586" spans="1:40" x14ac:dyDescent="0.25">
      <c r="A2586" t="str">
        <f>"20190303170547358"</f>
        <v>20190303170547358</v>
      </c>
      <c r="B2586" t="str">
        <f>"1551603947347289"</f>
        <v>1551603947347289</v>
      </c>
      <c r="C2586" t="s">
        <v>40</v>
      </c>
      <c r="D2586">
        <v>5.5990349999999998</v>
      </c>
      <c r="E2586">
        <v>0.37861889999999998</v>
      </c>
      <c r="F2586" t="s">
        <v>73</v>
      </c>
      <c r="G2586">
        <v>-467.07049999999998</v>
      </c>
      <c r="H2586">
        <v>1.6320059999999901</v>
      </c>
      <c r="I2586">
        <v>197.345</v>
      </c>
      <c r="J2586">
        <v>-493.7251</v>
      </c>
      <c r="K2586">
        <v>1.1301779999999999</v>
      </c>
      <c r="L2586">
        <v>233.5078</v>
      </c>
      <c r="M2586">
        <v>0.2060622</v>
      </c>
      <c r="N2586">
        <v>-1.478459E-2</v>
      </c>
      <c r="O2586">
        <v>-0.97842739999999995</v>
      </c>
      <c r="P2586">
        <v>0.32136579999999998</v>
      </c>
      <c r="Q2586">
        <v>0.1806748</v>
      </c>
      <c r="R2586">
        <v>-0.92955949999999998</v>
      </c>
      <c r="S2586">
        <v>1.891235</v>
      </c>
      <c r="T2586">
        <v>3.5560729999999999E-2</v>
      </c>
      <c r="U2586">
        <v>-2.573105</v>
      </c>
      <c r="V2586">
        <v>-0.12710759999999999</v>
      </c>
      <c r="W2586">
        <v>0.1923667</v>
      </c>
      <c r="X2586">
        <v>0.97305640000000004</v>
      </c>
      <c r="Y2586">
        <v>-0.41326619999999997</v>
      </c>
      <c r="Z2586">
        <v>-2.5198410000000001E-2</v>
      </c>
      <c r="AA2586">
        <v>0.9102616</v>
      </c>
      <c r="AB2586">
        <v>27</v>
      </c>
      <c r="AC2586">
        <v>26.654599999999999</v>
      </c>
      <c r="AD2586">
        <v>0.50182799999999905</v>
      </c>
      <c r="AE2586">
        <v>-36.162799999999997</v>
      </c>
      <c r="AF2586">
        <v>-18.627513081582102</v>
      </c>
      <c r="AG2586">
        <v>0.50182799999999905</v>
      </c>
      <c r="AH2586">
        <v>40.874539666723699</v>
      </c>
      <c r="AI2586">
        <v>89.359926509199994</v>
      </c>
      <c r="AJ2586">
        <v>114.499898059744</v>
      </c>
      <c r="AK2586">
        <v>44.921754951389303</v>
      </c>
      <c r="AL2586">
        <v>78.909065834257206</v>
      </c>
      <c r="AM2586">
        <v>97.442246070803705</v>
      </c>
      <c r="AN2586">
        <v>1.0000000234138</v>
      </c>
    </row>
    <row r="2587" spans="1:40" x14ac:dyDescent="0.25">
      <c r="A2587" t="str">
        <f>"20190303170547373"</f>
        <v>20190303170547373</v>
      </c>
      <c r="B2587" t="str">
        <f>"1551603947366809"</f>
        <v>1551603947366809</v>
      </c>
      <c r="C2587" t="s">
        <v>40</v>
      </c>
      <c r="D2587">
        <v>5.5249009999999998</v>
      </c>
      <c r="E2587">
        <v>0.37606010000000001</v>
      </c>
      <c r="F2587" t="s">
        <v>73</v>
      </c>
      <c r="G2587">
        <v>-466.45600000000002</v>
      </c>
      <c r="H2587">
        <v>1.7536509999999901</v>
      </c>
      <c r="I2587">
        <v>197.345</v>
      </c>
      <c r="J2587">
        <v>-493.68099999999998</v>
      </c>
      <c r="K2587">
        <v>1.1302460000000001</v>
      </c>
      <c r="L2587">
        <v>233.34049999999999</v>
      </c>
      <c r="M2587">
        <v>0.21421019999999999</v>
      </c>
      <c r="N2587">
        <v>-1.480977E-2</v>
      </c>
      <c r="O2587">
        <v>-0.97667550000000003</v>
      </c>
      <c r="P2587">
        <v>0.328752299999999</v>
      </c>
      <c r="Q2587">
        <v>0.18079210000000001</v>
      </c>
      <c r="R2587">
        <v>-0.9269503</v>
      </c>
      <c r="S2587">
        <v>1.9252929999999999</v>
      </c>
      <c r="T2587">
        <v>4.4021610000000003E-2</v>
      </c>
      <c r="U2587">
        <v>-2.553207</v>
      </c>
      <c r="V2587">
        <v>-0.12677949999999999</v>
      </c>
      <c r="W2587">
        <v>0.19249540000000001</v>
      </c>
      <c r="X2587">
        <v>0.97307370000000004</v>
      </c>
      <c r="Y2587">
        <v>-0.41680349999999999</v>
      </c>
      <c r="Z2587">
        <v>-2.7859700000000001E-2</v>
      </c>
      <c r="AA2587">
        <v>0.90856959999999998</v>
      </c>
      <c r="AB2587">
        <v>27</v>
      </c>
      <c r="AC2587">
        <v>27.225000000000001</v>
      </c>
      <c r="AD2587">
        <v>0.62340499999999999</v>
      </c>
      <c r="AE2587">
        <v>-35.9954999999999</v>
      </c>
      <c r="AF2587">
        <v>-18.877852595285798</v>
      </c>
      <c r="AG2587">
        <v>0.62340499999999999</v>
      </c>
      <c r="AH2587">
        <v>40.984463903395302</v>
      </c>
      <c r="AI2587">
        <v>89.208472924744896</v>
      </c>
      <c r="AJ2587">
        <v>114.73126852511</v>
      </c>
      <c r="AK2587">
        <v>45.127466512669201</v>
      </c>
      <c r="AL2587">
        <v>78.901550861984703</v>
      </c>
      <c r="AM2587">
        <v>97.423119591759502</v>
      </c>
      <c r="AN2587">
        <v>0.99999997313654898</v>
      </c>
    </row>
    <row r="2588" spans="1:40" x14ac:dyDescent="0.25">
      <c r="A2588" t="str">
        <f>"20190303170547391"</f>
        <v>20190303170547391</v>
      </c>
      <c r="B2588" t="str">
        <f>"1551603947377545"</f>
        <v>1551603947377545</v>
      </c>
      <c r="C2588" t="s">
        <v>40</v>
      </c>
      <c r="D2588">
        <v>5.5821180000000004</v>
      </c>
      <c r="E2588">
        <v>0.37513350000000001</v>
      </c>
      <c r="F2588" t="s">
        <v>73</v>
      </c>
      <c r="G2588">
        <v>-465.73349999999999</v>
      </c>
      <c r="H2588">
        <v>1.8075889999999999</v>
      </c>
      <c r="I2588">
        <v>197.345</v>
      </c>
      <c r="J2588">
        <v>-493.6259</v>
      </c>
      <c r="K2588">
        <v>1.1303110000000001</v>
      </c>
      <c r="L2588">
        <v>233.13890000000001</v>
      </c>
      <c r="M2588">
        <v>0.22411639999999999</v>
      </c>
      <c r="N2588">
        <v>-1.4838489999999999E-2</v>
      </c>
      <c r="O2588">
        <v>-0.97444929999999996</v>
      </c>
      <c r="P2588">
        <v>0.33865450000000002</v>
      </c>
      <c r="Q2588">
        <v>0.17915889999999901</v>
      </c>
      <c r="R2588">
        <v>-0.92369659999999998</v>
      </c>
      <c r="S2588">
        <v>1.9646300000000001</v>
      </c>
      <c r="T2588">
        <v>4.7617319999999998E-2</v>
      </c>
      <c r="U2588">
        <v>-2.5303650000000002</v>
      </c>
      <c r="V2588">
        <v>-0.1272441</v>
      </c>
      <c r="W2588">
        <v>0.19086069999999999</v>
      </c>
      <c r="X2588">
        <v>0.97333510000000001</v>
      </c>
      <c r="Y2588">
        <v>-0.42036319999999999</v>
      </c>
      <c r="Z2588">
        <v>-2.8943239999999999E-2</v>
      </c>
      <c r="AA2588">
        <v>0.90689419999999998</v>
      </c>
      <c r="AB2588">
        <v>27</v>
      </c>
      <c r="AC2588">
        <v>27.892399999999999</v>
      </c>
      <c r="AD2588">
        <v>0.67727799999999905</v>
      </c>
      <c r="AE2588">
        <v>-35.793900000000001</v>
      </c>
      <c r="AF2588">
        <v>-19.155574085355699</v>
      </c>
      <c r="AG2588">
        <v>0.67727799999999905</v>
      </c>
      <c r="AH2588">
        <v>41.125857217873097</v>
      </c>
      <c r="AI2588">
        <v>89.144724674231298</v>
      </c>
      <c r="AJ2588">
        <v>114.975130424018</v>
      </c>
      <c r="AK2588">
        <v>45.373239425169103</v>
      </c>
      <c r="AL2588">
        <v>78.996982552133005</v>
      </c>
      <c r="AM2588">
        <v>97.448039229300804</v>
      </c>
      <c r="AN2588">
        <v>1.0000000423406501</v>
      </c>
    </row>
    <row r="2589" spans="1:40" x14ac:dyDescent="0.25">
      <c r="A2589" t="str">
        <f>"20190303170547416"</f>
        <v>20190303170547416</v>
      </c>
      <c r="B2589" t="str">
        <f>"1551603947406825"</f>
        <v>1551603947406825</v>
      </c>
      <c r="C2589" t="s">
        <v>40</v>
      </c>
      <c r="D2589">
        <v>5.4295600000000004</v>
      </c>
      <c r="E2589">
        <v>0.3735888</v>
      </c>
      <c r="F2589" t="s">
        <v>73</v>
      </c>
      <c r="G2589">
        <v>-465.08859999999999</v>
      </c>
      <c r="H2589">
        <v>1.7687849999999901</v>
      </c>
      <c r="I2589">
        <v>197.345</v>
      </c>
      <c r="J2589">
        <v>-493.54430000000002</v>
      </c>
      <c r="K2589">
        <v>1.1303780000000001</v>
      </c>
      <c r="L2589">
        <v>232.85470000000001</v>
      </c>
      <c r="M2589">
        <v>0.23821929999999999</v>
      </c>
      <c r="N2589">
        <v>-1.487461E-2</v>
      </c>
      <c r="O2589">
        <v>-0.97109760000000001</v>
      </c>
      <c r="P2589">
        <v>0.3539677</v>
      </c>
      <c r="Q2589">
        <v>0.1757592</v>
      </c>
      <c r="R2589">
        <v>-0.91859440000000003</v>
      </c>
      <c r="S2589">
        <v>1.9983519999999999</v>
      </c>
      <c r="T2589">
        <v>4.4711830000000001E-2</v>
      </c>
      <c r="U2589">
        <v>-2.5064850000000001</v>
      </c>
      <c r="V2589">
        <v>-0.12913239999999901</v>
      </c>
      <c r="W2589">
        <v>0.18743409999999999</v>
      </c>
      <c r="X2589">
        <v>0.97375210000000001</v>
      </c>
      <c r="Y2589">
        <v>-0.41890369999999999</v>
      </c>
      <c r="Z2589">
        <v>-2.7939889999999998E-2</v>
      </c>
      <c r="AA2589">
        <v>0.90760070000000004</v>
      </c>
      <c r="AB2589">
        <v>27</v>
      </c>
      <c r="AC2589">
        <v>28.4557</v>
      </c>
      <c r="AD2589">
        <v>0.63840699999999895</v>
      </c>
      <c r="AE2589">
        <v>-35.509700000000002</v>
      </c>
      <c r="AF2589">
        <v>-19.172511679410999</v>
      </c>
      <c r="AG2589">
        <v>0.63840699999999895</v>
      </c>
      <c r="AH2589">
        <v>41.2585211330127</v>
      </c>
      <c r="AI2589">
        <v>89.196062563603903</v>
      </c>
      <c r="AJ2589">
        <v>114.923924182257</v>
      </c>
      <c r="AK2589">
        <v>45.500091578787597</v>
      </c>
      <c r="AL2589">
        <v>79.196920360544098</v>
      </c>
      <c r="AM2589">
        <v>97.5541007004649</v>
      </c>
      <c r="AN2589">
        <v>0.99999993541348797</v>
      </c>
    </row>
    <row r="2590" spans="1:40" x14ac:dyDescent="0.25">
      <c r="A2590" t="str">
        <f>"20190303170547436"</f>
        <v>20190303170547436</v>
      </c>
      <c r="B2590" t="str">
        <f>"1551603947427320"</f>
        <v>1551603947427320</v>
      </c>
      <c r="C2590" t="s">
        <v>40</v>
      </c>
      <c r="D2590">
        <v>5.4631179999999997</v>
      </c>
      <c r="E2590">
        <v>0.37301469999999998</v>
      </c>
      <c r="F2590" t="s">
        <v>73</v>
      </c>
      <c r="G2590">
        <v>-464.1934</v>
      </c>
      <c r="H2590">
        <v>1.6154850000000001</v>
      </c>
      <c r="I2590">
        <v>197.51820000000001</v>
      </c>
      <c r="J2590">
        <v>-493.4787</v>
      </c>
      <c r="K2590">
        <v>1.130422</v>
      </c>
      <c r="L2590">
        <v>232.6371</v>
      </c>
      <c r="M2590">
        <v>0.24910740000000001</v>
      </c>
      <c r="N2590">
        <v>-1.4898E-2</v>
      </c>
      <c r="O2590">
        <v>-0.96836140000000004</v>
      </c>
      <c r="P2590">
        <v>0.36594840000000001</v>
      </c>
      <c r="Q2590">
        <v>0.1749955</v>
      </c>
      <c r="R2590">
        <v>-0.91403440000000002</v>
      </c>
      <c r="S2590">
        <v>2.0508730000000002</v>
      </c>
      <c r="T2590">
        <v>3.3898829999999998E-2</v>
      </c>
      <c r="U2590">
        <v>-2.4691010000000002</v>
      </c>
      <c r="V2590">
        <v>-0.13090379999999999</v>
      </c>
      <c r="W2590">
        <v>0.18663830000000001</v>
      </c>
      <c r="X2590">
        <v>0.97366850000000005</v>
      </c>
      <c r="Y2590">
        <v>-0.4269463</v>
      </c>
      <c r="Z2590">
        <v>-2.4411479999999999E-2</v>
      </c>
      <c r="AA2590">
        <v>0.90394739999999996</v>
      </c>
      <c r="AB2590">
        <v>27</v>
      </c>
      <c r="AC2590">
        <v>29.285299999999999</v>
      </c>
      <c r="AD2590">
        <v>0.48506300000000002</v>
      </c>
      <c r="AE2590">
        <v>-35.118899999999996</v>
      </c>
      <c r="AF2590">
        <v>-19.610343775854201</v>
      </c>
      <c r="AG2590">
        <v>0.48506300000000002</v>
      </c>
      <c r="AH2590">
        <v>41.302903741501297</v>
      </c>
      <c r="AI2590">
        <v>89.3921731564498</v>
      </c>
      <c r="AJ2590">
        <v>115.39805652676399</v>
      </c>
      <c r="AK2590">
        <v>45.724509036192799</v>
      </c>
      <c r="AL2590">
        <v>79.243336177380698</v>
      </c>
      <c r="AM2590">
        <v>97.657154129537801</v>
      </c>
      <c r="AN2590">
        <v>1.00000000388679</v>
      </c>
    </row>
    <row r="2591" spans="1:40" x14ac:dyDescent="0.25">
      <c r="A2591" t="str">
        <f>"20190303170547462"</f>
        <v>20190303170547462</v>
      </c>
      <c r="B2591" t="str">
        <f>"1551603947457578"</f>
        <v>1551603947457578</v>
      </c>
      <c r="C2591" t="s">
        <v>40</v>
      </c>
      <c r="D2591">
        <v>5.4815639999999997</v>
      </c>
      <c r="E2591">
        <v>0.37263990000000002</v>
      </c>
      <c r="F2591" t="s">
        <v>73</v>
      </c>
      <c r="G2591">
        <v>-463.32889999999998</v>
      </c>
      <c r="H2591">
        <v>1.5400969999999901</v>
      </c>
      <c r="I2591">
        <v>197.345</v>
      </c>
      <c r="J2591">
        <v>-493.38400000000001</v>
      </c>
      <c r="K2591">
        <v>1.1304609999999999</v>
      </c>
      <c r="L2591">
        <v>232.3374</v>
      </c>
      <c r="M2591">
        <v>0.26419009999999998</v>
      </c>
      <c r="N2591">
        <v>-1.492457E-2</v>
      </c>
      <c r="O2591">
        <v>-0.96435519999999997</v>
      </c>
      <c r="P2591">
        <v>0.3809073</v>
      </c>
      <c r="Q2591">
        <v>0.17683189999999999</v>
      </c>
      <c r="R2591">
        <v>-0.90754619999999997</v>
      </c>
      <c r="S2591">
        <v>2.0858759999999998</v>
      </c>
      <c r="T2591">
        <v>2.834511E-2</v>
      </c>
      <c r="U2591">
        <v>-2.4416350000000002</v>
      </c>
      <c r="V2591">
        <v>-0.13184860000000001</v>
      </c>
      <c r="W2591">
        <v>0.1884622</v>
      </c>
      <c r="X2591">
        <v>0.97318959999999999</v>
      </c>
      <c r="Y2591">
        <v>-0.42537700000000001</v>
      </c>
      <c r="Z2591">
        <v>-2.2545329999999999E-2</v>
      </c>
      <c r="AA2591">
        <v>0.90473539999999997</v>
      </c>
      <c r="AB2591">
        <v>27</v>
      </c>
      <c r="AC2591">
        <v>30.055099999999999</v>
      </c>
      <c r="AD2591">
        <v>0.409635999999999</v>
      </c>
      <c r="AE2591">
        <v>-34.992400000000004</v>
      </c>
      <c r="AF2591">
        <v>-19.739787310657601</v>
      </c>
      <c r="AG2591">
        <v>0.409635999999999</v>
      </c>
      <c r="AH2591">
        <v>41.686716434501797</v>
      </c>
      <c r="AI2591">
        <v>89.491160854378506</v>
      </c>
      <c r="AJ2591">
        <v>115.338820416728</v>
      </c>
      <c r="AK2591">
        <v>46.126015780826599</v>
      </c>
      <c r="AL2591">
        <v>79.136946746654502</v>
      </c>
      <c r="AM2591">
        <v>97.715506241435193</v>
      </c>
      <c r="AN2591">
        <v>1.0000000258494699</v>
      </c>
    </row>
    <row r="2592" spans="1:40" x14ac:dyDescent="0.25">
      <c r="A2592" t="str">
        <f>"20190303170547480"</f>
        <v>20190303170547480</v>
      </c>
      <c r="B2592" t="str">
        <f>"1551603947467337"</f>
        <v>1551603947467337</v>
      </c>
      <c r="C2592" t="s">
        <v>40</v>
      </c>
      <c r="D2592">
        <v>5.4885869999999999</v>
      </c>
      <c r="E2592">
        <v>0.37262190000000001</v>
      </c>
      <c r="F2592" t="s">
        <v>73</v>
      </c>
      <c r="G2592">
        <v>-462.45350000000002</v>
      </c>
      <c r="H2592">
        <v>1.5999350000000001</v>
      </c>
      <c r="I2592">
        <v>197.345</v>
      </c>
      <c r="J2592">
        <v>-493.32240000000002</v>
      </c>
      <c r="K2592">
        <v>1.130476</v>
      </c>
      <c r="L2592">
        <v>232.15180000000001</v>
      </c>
      <c r="M2592">
        <v>0.27357550000000003</v>
      </c>
      <c r="N2592">
        <v>-1.493739E-2</v>
      </c>
      <c r="O2592">
        <v>-0.9617346</v>
      </c>
      <c r="P2592">
        <v>0.38974999999999999</v>
      </c>
      <c r="Q2592">
        <v>0.17880379999999901</v>
      </c>
      <c r="R2592">
        <v>-0.90339599999999998</v>
      </c>
      <c r="S2592">
        <v>2.1271969999999998</v>
      </c>
      <c r="T2592">
        <v>3.2289739999999997E-2</v>
      </c>
      <c r="U2592">
        <v>-2.4065400000000001</v>
      </c>
      <c r="V2592">
        <v>-0.13201930000000001</v>
      </c>
      <c r="W2592">
        <v>0.1904352</v>
      </c>
      <c r="X2592">
        <v>0.97278229999999999</v>
      </c>
      <c r="Y2592">
        <v>-0.43180249999999998</v>
      </c>
      <c r="Z2592">
        <v>-2.3730979999999999E-2</v>
      </c>
      <c r="AA2592">
        <v>0.90165600000000001</v>
      </c>
      <c r="AB2592">
        <v>27</v>
      </c>
      <c r="AC2592">
        <v>30.8689</v>
      </c>
      <c r="AD2592">
        <v>0.46945900000000002</v>
      </c>
      <c r="AE2592">
        <v>-34.806800000000003</v>
      </c>
      <c r="AF2592">
        <v>-20.1655969732128</v>
      </c>
      <c r="AG2592">
        <v>0.46945900000000002</v>
      </c>
      <c r="AH2592">
        <v>41.920285017805703</v>
      </c>
      <c r="AI2592">
        <v>89.421796409813794</v>
      </c>
      <c r="AJ2592">
        <v>115.689707623609</v>
      </c>
      <c r="AK2592">
        <v>46.520769437024597</v>
      </c>
      <c r="AL2592">
        <v>79.021817300725004</v>
      </c>
      <c r="AM2592">
        <v>97.728570198052694</v>
      </c>
      <c r="AN2592">
        <v>1.0000000320824001</v>
      </c>
    </row>
    <row r="2593" spans="1:40" x14ac:dyDescent="0.25">
      <c r="A2593" t="str">
        <f>"20190303170547508"</f>
        <v>20190303170547508</v>
      </c>
      <c r="B2593" t="str">
        <f>"1551603947497593"</f>
        <v>1551603947497593</v>
      </c>
      <c r="C2593" t="s">
        <v>40</v>
      </c>
      <c r="D2593">
        <v>5.4664989999999998</v>
      </c>
      <c r="E2593">
        <v>0.37298999999999999</v>
      </c>
      <c r="F2593" t="s">
        <v>73</v>
      </c>
      <c r="G2593">
        <v>-461.94970000000001</v>
      </c>
      <c r="H2593">
        <v>1.6594469999999999</v>
      </c>
      <c r="I2593">
        <v>197.345</v>
      </c>
      <c r="J2593">
        <v>-493.21690000000001</v>
      </c>
      <c r="K2593">
        <v>1.1304749999999999</v>
      </c>
      <c r="L2593">
        <v>231.84620000000001</v>
      </c>
      <c r="M2593">
        <v>0.2890643</v>
      </c>
      <c r="N2593">
        <v>-1.495434E-2</v>
      </c>
      <c r="O2593">
        <v>-0.95719279999999995</v>
      </c>
      <c r="P2593">
        <v>0.40399930000000001</v>
      </c>
      <c r="Q2593">
        <v>0.1795775</v>
      </c>
      <c r="R2593">
        <v>-0.89695919999999896</v>
      </c>
      <c r="S2593">
        <v>2.150452</v>
      </c>
      <c r="T2593">
        <v>3.6260840000000003E-2</v>
      </c>
      <c r="U2593">
        <v>-2.385834</v>
      </c>
      <c r="V2593">
        <v>-0.1317721</v>
      </c>
      <c r="W2593">
        <v>0.1912314</v>
      </c>
      <c r="X2593">
        <v>0.97265959999999996</v>
      </c>
      <c r="Y2593">
        <v>-0.42595889999999997</v>
      </c>
      <c r="Z2593">
        <v>-2.488311E-2</v>
      </c>
      <c r="AA2593">
        <v>0.90440030000000005</v>
      </c>
      <c r="AB2593">
        <v>26</v>
      </c>
      <c r="AC2593">
        <v>31.267199999999999</v>
      </c>
      <c r="AD2593">
        <v>0.528972</v>
      </c>
      <c r="AE2593">
        <v>-34.501199999999997</v>
      </c>
      <c r="AF2593">
        <v>-19.955331089640499</v>
      </c>
      <c r="AG2593">
        <v>0.528972</v>
      </c>
      <c r="AH2593">
        <v>42.061809803586101</v>
      </c>
      <c r="AI2593">
        <v>89.349022491617205</v>
      </c>
      <c r="AJ2593">
        <v>115.38100643713</v>
      </c>
      <c r="AK2593">
        <v>46.558467481511997</v>
      </c>
      <c r="AL2593">
        <v>78.975344163848106</v>
      </c>
      <c r="AM2593">
        <v>97.715234653845002</v>
      </c>
      <c r="AN2593">
        <v>1.0000000160782601</v>
      </c>
    </row>
    <row r="2594" spans="1:40" x14ac:dyDescent="0.25">
      <c r="A2594" t="str">
        <f>"20190303170547525"</f>
        <v>20190303170547525</v>
      </c>
      <c r="B2594" t="str">
        <f>"1551603947517112"</f>
        <v>1551603947517112</v>
      </c>
      <c r="C2594" t="s">
        <v>40</v>
      </c>
      <c r="D2594">
        <v>5.5219110000000002</v>
      </c>
      <c r="E2594">
        <v>0.37315199999999998</v>
      </c>
      <c r="F2594" t="s">
        <v>73</v>
      </c>
      <c r="G2594">
        <v>-461.16759999999999</v>
      </c>
      <c r="H2594">
        <v>1.67478499999999</v>
      </c>
      <c r="I2594">
        <v>197.345</v>
      </c>
      <c r="J2594">
        <v>-493.14530000000002</v>
      </c>
      <c r="K2594">
        <v>1.1304719999999999</v>
      </c>
      <c r="L2594">
        <v>231.64750000000001</v>
      </c>
      <c r="M2594">
        <v>0.2991492</v>
      </c>
      <c r="N2594">
        <v>-1.4962949999999999E-2</v>
      </c>
      <c r="O2594">
        <v>-0.95408919999999997</v>
      </c>
      <c r="P2594">
        <v>0.41273009999999899</v>
      </c>
      <c r="Q2594">
        <v>0.1806345</v>
      </c>
      <c r="R2594">
        <v>-0.89276279999999997</v>
      </c>
      <c r="S2594">
        <v>2.1855769999999999</v>
      </c>
      <c r="T2594">
        <v>3.7120939999999998E-2</v>
      </c>
      <c r="U2594">
        <v>-2.3527830000000001</v>
      </c>
      <c r="V2594">
        <v>-0.1310769</v>
      </c>
      <c r="W2594">
        <v>0.19231429999999999</v>
      </c>
      <c r="X2594">
        <v>0.97253999999999996</v>
      </c>
      <c r="Y2594">
        <v>-0.42998500000000001</v>
      </c>
      <c r="Z2594">
        <v>-2.5074409999999998E-2</v>
      </c>
      <c r="AA2594">
        <v>0.90248779999999995</v>
      </c>
      <c r="AB2594">
        <v>26</v>
      </c>
      <c r="AC2594">
        <v>31.977699999999999</v>
      </c>
      <c r="AD2594">
        <v>0.54431299999999905</v>
      </c>
      <c r="AE2594">
        <v>-34.302500000000002</v>
      </c>
      <c r="AF2594">
        <v>-20.247548714963798</v>
      </c>
      <c r="AG2594">
        <v>0.54431299999999905</v>
      </c>
      <c r="AH2594">
        <v>42.292778828201399</v>
      </c>
      <c r="AI2594">
        <v>89.334919007524903</v>
      </c>
      <c r="AJ2594">
        <v>115.58263763872399</v>
      </c>
      <c r="AK2594">
        <v>46.892842168266696</v>
      </c>
      <c r="AL2594">
        <v>78.912124968529696</v>
      </c>
      <c r="AM2594">
        <v>97.675949844248194</v>
      </c>
      <c r="AN2594">
        <v>0.99999999764904901</v>
      </c>
    </row>
    <row r="2595" spans="1:40" x14ac:dyDescent="0.25">
      <c r="A2595" t="str">
        <f>"20190303170547549"</f>
        <v>20190303170547549</v>
      </c>
      <c r="B2595" t="str">
        <f>"1551603947537609"</f>
        <v>1551603947537609</v>
      </c>
      <c r="C2595" t="s">
        <v>40</v>
      </c>
      <c r="D2595">
        <v>5.5500559999999997</v>
      </c>
      <c r="E2595">
        <v>0.3735059</v>
      </c>
      <c r="F2595" t="s">
        <v>73</v>
      </c>
      <c r="G2595">
        <v>-460.68630000000002</v>
      </c>
      <c r="H2595">
        <v>1.72950099999999</v>
      </c>
      <c r="I2595">
        <v>197.345</v>
      </c>
      <c r="J2595">
        <v>-493.0505</v>
      </c>
      <c r="K2595">
        <v>1.130455</v>
      </c>
      <c r="L2595">
        <v>231.3946</v>
      </c>
      <c r="M2595">
        <v>0.31199310000000002</v>
      </c>
      <c r="N2595">
        <v>-1.497134E-2</v>
      </c>
      <c r="O2595">
        <v>-0.94996650000000005</v>
      </c>
      <c r="P2595">
        <v>0.42286220000000002</v>
      </c>
      <c r="Q2595">
        <v>0.1818881</v>
      </c>
      <c r="R2595">
        <v>-0.88775280000000001</v>
      </c>
      <c r="S2595">
        <v>2.2066650000000001</v>
      </c>
      <c r="T2595">
        <v>4.0726419999999999E-2</v>
      </c>
      <c r="U2595">
        <v>-2.331985</v>
      </c>
      <c r="V2595">
        <v>-0.12911719999999999</v>
      </c>
      <c r="W2595">
        <v>0.19362570000000001</v>
      </c>
      <c r="X2595">
        <v>0.97254189999999996</v>
      </c>
      <c r="Y2595">
        <v>-0.42610799999999999</v>
      </c>
      <c r="Z2595">
        <v>-2.611254E-2</v>
      </c>
      <c r="AA2595">
        <v>0.90429539999999997</v>
      </c>
      <c r="AB2595">
        <v>26</v>
      </c>
      <c r="AC2595">
        <v>32.364199999999897</v>
      </c>
      <c r="AD2595">
        <v>0.59904599999999897</v>
      </c>
      <c r="AE2595">
        <v>-34.049599999999998</v>
      </c>
      <c r="AF2595">
        <v>-20.120647218212</v>
      </c>
      <c r="AG2595">
        <v>0.59904599999999897</v>
      </c>
      <c r="AH2595">
        <v>42.4412384376988</v>
      </c>
      <c r="AI2595">
        <v>89.269287152310199</v>
      </c>
      <c r="AJ2595">
        <v>115.364810047384</v>
      </c>
      <c r="AK2595">
        <v>46.972949883049303</v>
      </c>
      <c r="AL2595">
        <v>78.835547505587996</v>
      </c>
      <c r="AM2595">
        <v>97.562512054391803</v>
      </c>
      <c r="AN2595">
        <v>0.99999995514596796</v>
      </c>
    </row>
    <row r="2596" spans="1:40" x14ac:dyDescent="0.25">
      <c r="A2596" t="str">
        <f>"20190303170547569"</f>
        <v>20190303170547569</v>
      </c>
      <c r="B2596" t="str">
        <f>"1551603947557129"</f>
        <v>1551603947557129</v>
      </c>
      <c r="C2596" t="s">
        <v>40</v>
      </c>
      <c r="D2596">
        <v>5.500299</v>
      </c>
      <c r="E2596">
        <v>0.37402609999999997</v>
      </c>
      <c r="F2596" t="s">
        <v>73</v>
      </c>
      <c r="G2596">
        <v>-460.10169999999999</v>
      </c>
      <c r="H2596">
        <v>1.82203</v>
      </c>
      <c r="I2596">
        <v>197.345</v>
      </c>
      <c r="J2596">
        <v>-492.96559999999999</v>
      </c>
      <c r="K2596">
        <v>1.130433</v>
      </c>
      <c r="L2596">
        <v>231.17619999999999</v>
      </c>
      <c r="M2596">
        <v>0.32308340000000002</v>
      </c>
      <c r="N2596">
        <v>-1.497656E-2</v>
      </c>
      <c r="O2596">
        <v>-0.94625199999999998</v>
      </c>
      <c r="P2596">
        <v>0.43231940000000002</v>
      </c>
      <c r="Q2596">
        <v>0.181426</v>
      </c>
      <c r="R2596">
        <v>-0.88328079999999998</v>
      </c>
      <c r="S2596">
        <v>2.231995</v>
      </c>
      <c r="T2596">
        <v>4.6850089999999997E-2</v>
      </c>
      <c r="U2596">
        <v>-2.306549</v>
      </c>
      <c r="V2596">
        <v>-0.12807579999999999</v>
      </c>
      <c r="W2596">
        <v>0.19320100000000001</v>
      </c>
      <c r="X2596">
        <v>0.97276410000000002</v>
      </c>
      <c r="Y2596">
        <v>-0.4256046</v>
      </c>
      <c r="Z2596">
        <v>-2.7954659999999999E-2</v>
      </c>
      <c r="AA2596">
        <v>0.90447730000000004</v>
      </c>
      <c r="AB2596">
        <v>26</v>
      </c>
      <c r="AC2596">
        <v>32.863900000000001</v>
      </c>
      <c r="AD2596">
        <v>0.69159699999999902</v>
      </c>
      <c r="AE2596">
        <v>-33.831199999999903</v>
      </c>
      <c r="AF2596">
        <v>-20.165158110994899</v>
      </c>
      <c r="AG2596">
        <v>0.69159699999999902</v>
      </c>
      <c r="AH2596">
        <v>42.626237350018698</v>
      </c>
      <c r="AI2596">
        <v>89.159740632849093</v>
      </c>
      <c r="AJ2596">
        <v>115.317387062609</v>
      </c>
      <c r="AK2596">
        <v>47.1604497293226</v>
      </c>
      <c r="AL2596">
        <v>78.860350030771002</v>
      </c>
      <c r="AM2596">
        <v>97.500519717153395</v>
      </c>
      <c r="AN2596">
        <v>1.00000001559772</v>
      </c>
    </row>
    <row r="2597" spans="1:40" x14ac:dyDescent="0.25">
      <c r="A2597" t="str">
        <f>"20190303170547598"</f>
        <v>20190303170547598</v>
      </c>
      <c r="B2597" t="str">
        <f>"1551603947587385"</f>
        <v>1551603947587385</v>
      </c>
      <c r="C2597" t="s">
        <v>40</v>
      </c>
      <c r="D2597">
        <v>5.5034929999999997</v>
      </c>
      <c r="E2597">
        <v>0.37505339999999998</v>
      </c>
      <c r="F2597" t="s">
        <v>73</v>
      </c>
      <c r="G2597">
        <v>-459.58089999999999</v>
      </c>
      <c r="H2597">
        <v>1.813998</v>
      </c>
      <c r="I2597">
        <v>197.345</v>
      </c>
      <c r="J2597">
        <v>-492.84249999999997</v>
      </c>
      <c r="K2597">
        <v>1.130387</v>
      </c>
      <c r="L2597">
        <v>230.87209999999999</v>
      </c>
      <c r="M2597">
        <v>0.33851120000000001</v>
      </c>
      <c r="N2597">
        <v>-1.4980540000000001E-2</v>
      </c>
      <c r="O2597">
        <v>-0.94084330000000005</v>
      </c>
      <c r="P2597">
        <v>0.44801340000000001</v>
      </c>
      <c r="Q2597">
        <v>0.17916509999999999</v>
      </c>
      <c r="R2597">
        <v>-0.87589059999999896</v>
      </c>
      <c r="S2597">
        <v>2.2537539999999998</v>
      </c>
      <c r="T2597">
        <v>4.6148660000000001E-2</v>
      </c>
      <c r="U2597">
        <v>-2.28389</v>
      </c>
      <c r="V2597">
        <v>-0.1293115</v>
      </c>
      <c r="W2597">
        <v>0.1909304</v>
      </c>
      <c r="X2597">
        <v>0.97304889999999999</v>
      </c>
      <c r="Y2597">
        <v>-0.41965710000000001</v>
      </c>
      <c r="Z2597">
        <v>-2.7580049999999998E-2</v>
      </c>
      <c r="AA2597">
        <v>0.90726359999999995</v>
      </c>
      <c r="AB2597">
        <v>26</v>
      </c>
      <c r="AC2597">
        <v>33.261599999999902</v>
      </c>
      <c r="AD2597">
        <v>0.68361099999999997</v>
      </c>
      <c r="AE2597">
        <v>-33.527099999999898</v>
      </c>
      <c r="AF2597">
        <v>-19.942710861752602</v>
      </c>
      <c r="AG2597">
        <v>0.68361099999999997</v>
      </c>
      <c r="AH2597">
        <v>42.798999966373202</v>
      </c>
      <c r="AI2597">
        <v>89.170529595489498</v>
      </c>
      <c r="AJ2597">
        <v>114.983733907699</v>
      </c>
      <c r="AK2597">
        <v>47.2221710495865</v>
      </c>
      <c r="AL2597">
        <v>78.992913991662405</v>
      </c>
      <c r="AM2597">
        <v>97.569859895194497</v>
      </c>
      <c r="AN2597">
        <v>1.0000000217338001</v>
      </c>
    </row>
    <row r="2598" spans="1:40" x14ac:dyDescent="0.25">
      <c r="A2598" t="str">
        <f>"20190303170547616"</f>
        <v>20190303170547616</v>
      </c>
      <c r="B2598" t="str">
        <f>"1551603947606905"</f>
        <v>1551603947606905</v>
      </c>
      <c r="C2598" t="s">
        <v>40</v>
      </c>
      <c r="D2598">
        <v>5.5229019999999904</v>
      </c>
      <c r="E2598">
        <v>0.37546119999999999</v>
      </c>
      <c r="F2598" t="s">
        <v>73</v>
      </c>
      <c r="G2598">
        <v>-458.90730000000002</v>
      </c>
      <c r="H2598">
        <v>1.6516090000000001</v>
      </c>
      <c r="I2598">
        <v>197.51820000000001</v>
      </c>
      <c r="J2598">
        <v>-492.7604</v>
      </c>
      <c r="K2598">
        <v>1.1303510000000001</v>
      </c>
      <c r="L2598">
        <v>230.6772</v>
      </c>
      <c r="M2598">
        <v>0.34838219999999998</v>
      </c>
      <c r="N2598">
        <v>-1.4980200000000001E-2</v>
      </c>
      <c r="O2598">
        <v>-0.93723299999999998</v>
      </c>
      <c r="P2598">
        <v>0.45891480000000001</v>
      </c>
      <c r="Q2598">
        <v>0.17718130000000001</v>
      </c>
      <c r="R2598">
        <v>-0.87063469999999998</v>
      </c>
      <c r="S2598">
        <v>2.287201</v>
      </c>
      <c r="T2598">
        <v>3.5132169999999997E-2</v>
      </c>
      <c r="U2598">
        <v>-2.2480159999999998</v>
      </c>
      <c r="V2598">
        <v>-0.1310373</v>
      </c>
      <c r="W2598">
        <v>0.18891920000000001</v>
      </c>
      <c r="X2598">
        <v>0.97321049999999998</v>
      </c>
      <c r="Y2598">
        <v>-0.42403550000000001</v>
      </c>
      <c r="Z2598">
        <v>-2.3994919999999999E-2</v>
      </c>
      <c r="AA2598">
        <v>0.90532769999999996</v>
      </c>
      <c r="AB2598">
        <v>26</v>
      </c>
      <c r="AC2598">
        <v>33.853099999999898</v>
      </c>
      <c r="AD2598">
        <v>0.521258</v>
      </c>
      <c r="AE2598">
        <v>-33.158999999999899</v>
      </c>
      <c r="AF2598">
        <v>-20.176057412164798</v>
      </c>
      <c r="AG2598">
        <v>0.521258</v>
      </c>
      <c r="AH2598">
        <v>42.871144686374002</v>
      </c>
      <c r="AI2598">
        <v>89.369697736514198</v>
      </c>
      <c r="AJ2598">
        <v>115.202656641386</v>
      </c>
      <c r="AK2598">
        <v>47.384386134269398</v>
      </c>
      <c r="AL2598">
        <v>79.110282863449697</v>
      </c>
      <c r="AM2598">
        <v>97.668434589519293</v>
      </c>
      <c r="AN2598">
        <v>0.99999995771508898</v>
      </c>
    </row>
    <row r="2599" spans="1:40" x14ac:dyDescent="0.25">
      <c r="A2599" t="str">
        <f>"20190303170547638"</f>
        <v>20190303170547638</v>
      </c>
      <c r="B2599" t="str">
        <f>"1551603947627401"</f>
        <v>1551603947627401</v>
      </c>
      <c r="C2599" t="s">
        <v>40</v>
      </c>
      <c r="D2599">
        <v>5.5263239999999998</v>
      </c>
      <c r="E2599">
        <v>0.39194669999999998</v>
      </c>
      <c r="F2599" t="s">
        <v>74</v>
      </c>
      <c r="G2599">
        <v>-456.5059</v>
      </c>
      <c r="H2599">
        <v>1.535731</v>
      </c>
      <c r="I2599">
        <v>195.8202</v>
      </c>
      <c r="J2599">
        <v>-492.6619</v>
      </c>
      <c r="K2599">
        <v>1.130288</v>
      </c>
      <c r="L2599">
        <v>230.45009999999999</v>
      </c>
      <c r="M2599">
        <v>0.35982730000000002</v>
      </c>
      <c r="N2599">
        <v>-1.4976140000000001E-2</v>
      </c>
      <c r="O2599">
        <v>-0.93289880000000003</v>
      </c>
      <c r="P2599">
        <v>0.47009440000000002</v>
      </c>
      <c r="Q2599">
        <v>0.1771906</v>
      </c>
      <c r="R2599">
        <v>-0.86464730000000001</v>
      </c>
      <c r="S2599">
        <v>2.3112789999999999</v>
      </c>
      <c r="T2599">
        <v>2.584469E-2</v>
      </c>
      <c r="U2599">
        <v>-2.2221829999999998</v>
      </c>
      <c r="V2599">
        <v>-0.1316417</v>
      </c>
      <c r="W2599">
        <v>0.1889276</v>
      </c>
      <c r="X2599">
        <v>0.97312730000000003</v>
      </c>
      <c r="Y2599">
        <v>-0.42296339999999999</v>
      </c>
      <c r="Z2599">
        <v>-2.0939309999999999E-2</v>
      </c>
      <c r="AA2599">
        <v>0.90590479999999995</v>
      </c>
      <c r="AB2599">
        <v>26</v>
      </c>
      <c r="AC2599">
        <v>36.155999999999999</v>
      </c>
      <c r="AD2599">
        <v>0.405443</v>
      </c>
      <c r="AE2599">
        <v>-34.6298999999999</v>
      </c>
      <c r="AF2599">
        <v>-21.270094693052702</v>
      </c>
      <c r="AG2599">
        <v>0.405443</v>
      </c>
      <c r="AH2599">
        <v>45.318215389022697</v>
      </c>
      <c r="AI2599">
        <v>89.535977801826405</v>
      </c>
      <c r="AJ2599">
        <v>115.14300290604</v>
      </c>
      <c r="AK2599">
        <v>50.063179666532697</v>
      </c>
      <c r="AL2599">
        <v>79.109792762782604</v>
      </c>
      <c r="AM2599">
        <v>97.704031642815707</v>
      </c>
      <c r="AN2599">
        <v>0.99999995861296898</v>
      </c>
    </row>
    <row r="2600" spans="1:40" x14ac:dyDescent="0.25">
      <c r="A2600" t="str">
        <f>"20190303170547658"</f>
        <v>20190303170547658</v>
      </c>
      <c r="B2600" t="str">
        <f>"1551603947646921"</f>
        <v>1551603947646921</v>
      </c>
      <c r="C2600" t="s">
        <v>40</v>
      </c>
      <c r="D2600">
        <v>5.5279780000000001</v>
      </c>
      <c r="E2600">
        <v>0.3937717</v>
      </c>
      <c r="F2600" t="s">
        <v>73</v>
      </c>
      <c r="G2600">
        <v>-460.06130000000002</v>
      </c>
      <c r="H2600">
        <v>0.48233700000000002</v>
      </c>
      <c r="I2600">
        <v>197.345</v>
      </c>
      <c r="J2600">
        <v>-492.56319999999999</v>
      </c>
      <c r="K2600">
        <v>1.1302140000000001</v>
      </c>
      <c r="L2600">
        <v>230.22980000000001</v>
      </c>
      <c r="M2600">
        <v>0.37085210000000002</v>
      </c>
      <c r="N2600">
        <v>-1.496721E-2</v>
      </c>
      <c r="O2600">
        <v>-0.92857149999999999</v>
      </c>
      <c r="P2600">
        <v>0.47960819999999998</v>
      </c>
      <c r="Q2600">
        <v>0.1773884</v>
      </c>
      <c r="R2600">
        <v>-0.85936599999999996</v>
      </c>
      <c r="S2600">
        <v>2.2311100000000001</v>
      </c>
      <c r="T2600">
        <v>-4.4341440000000003E-2</v>
      </c>
      <c r="U2600">
        <v>-2.265625</v>
      </c>
      <c r="V2600">
        <v>-0.1308367</v>
      </c>
      <c r="W2600">
        <v>0.18915850000000001</v>
      </c>
      <c r="X2600">
        <v>0.97319109999999998</v>
      </c>
      <c r="Y2600">
        <v>-0.3872718</v>
      </c>
      <c r="Z2600">
        <v>1.2103159999999999E-3</v>
      </c>
      <c r="AA2600">
        <v>0.92196480000000003</v>
      </c>
      <c r="AB2600">
        <v>26</v>
      </c>
      <c r="AC2600">
        <v>32.5018999999999</v>
      </c>
      <c r="AD2600">
        <v>-0.64787700000000004</v>
      </c>
      <c r="AE2600">
        <v>-32.884799999999998</v>
      </c>
      <c r="AF2600">
        <v>-17.9834217873446</v>
      </c>
      <c r="AG2600">
        <v>-0.64787700000000004</v>
      </c>
      <c r="AH2600">
        <v>42.585688598807799</v>
      </c>
      <c r="AI2600">
        <v>90.802953060468596</v>
      </c>
      <c r="AJ2600">
        <v>112.89374618185199</v>
      </c>
      <c r="AK2600">
        <v>46.231635026497798</v>
      </c>
      <c r="AL2600">
        <v>79.096321234770002</v>
      </c>
      <c r="AM2600">
        <v>97.656985472893098</v>
      </c>
      <c r="AN2600">
        <v>1.00000004865417</v>
      </c>
    </row>
    <row r="2601" spans="1:40" x14ac:dyDescent="0.25">
      <c r="A2601" t="str">
        <f>"20190303170547682"</f>
        <v>20190303170547682</v>
      </c>
      <c r="B2601" t="str">
        <f>"1551603947677177"</f>
        <v>1551603947677177</v>
      </c>
      <c r="C2601" t="s">
        <v>40</v>
      </c>
      <c r="D2601">
        <v>5.5164879999999998</v>
      </c>
      <c r="E2601">
        <v>0.39450930000000001</v>
      </c>
      <c r="F2601" t="s">
        <v>73</v>
      </c>
      <c r="G2601">
        <v>-459.75029999999998</v>
      </c>
      <c r="H2601">
        <v>0.4027038</v>
      </c>
      <c r="I2601">
        <v>197.345</v>
      </c>
      <c r="J2601">
        <v>-492.4522</v>
      </c>
      <c r="K2601">
        <v>1.1301060000000001</v>
      </c>
      <c r="L2601">
        <v>229.98949999999999</v>
      </c>
      <c r="M2601">
        <v>0.38278250000000003</v>
      </c>
      <c r="N2601">
        <v>-1.495204E-2</v>
      </c>
      <c r="O2601">
        <v>-0.92371749999999997</v>
      </c>
      <c r="P2601">
        <v>0.49038169999999998</v>
      </c>
      <c r="Q2601">
        <v>0.1764521</v>
      </c>
      <c r="R2601">
        <v>-0.8534581</v>
      </c>
      <c r="S2601">
        <v>2.2439879999999999</v>
      </c>
      <c r="T2601">
        <v>-4.9749969999999998E-2</v>
      </c>
      <c r="U2601">
        <v>-2.248901</v>
      </c>
      <c r="V2601">
        <v>-0.1303995</v>
      </c>
      <c r="W2601">
        <v>0.18825330000000001</v>
      </c>
      <c r="X2601">
        <v>0.97342519999999999</v>
      </c>
      <c r="Y2601">
        <v>-0.38145079999999998</v>
      </c>
      <c r="Z2601">
        <v>2.9752469999999999E-3</v>
      </c>
      <c r="AA2601">
        <v>0.92438439999999999</v>
      </c>
      <c r="AB2601">
        <v>26</v>
      </c>
      <c r="AC2601">
        <v>32.701900000000002</v>
      </c>
      <c r="AD2601">
        <v>-0.7274022</v>
      </c>
      <c r="AE2601">
        <v>-32.644499999999901</v>
      </c>
      <c r="AF2601">
        <v>-17.709165250671902</v>
      </c>
      <c r="AG2601">
        <v>-0.7274022</v>
      </c>
      <c r="AH2601">
        <v>42.666207650875798</v>
      </c>
      <c r="AI2601">
        <v>90.902115468962606</v>
      </c>
      <c r="AJ2601">
        <v>112.541530538784</v>
      </c>
      <c r="AK2601">
        <v>46.2011788068641</v>
      </c>
      <c r="AL2601">
        <v>79.149133446864795</v>
      </c>
      <c r="AM2601">
        <v>97.629887443522094</v>
      </c>
      <c r="AN2601">
        <v>0.99999997727808898</v>
      </c>
    </row>
    <row r="2602" spans="1:40" x14ac:dyDescent="0.25">
      <c r="A2602" t="str">
        <f>"20190303170547705"</f>
        <v>20190303170547705</v>
      </c>
      <c r="B2602" t="str">
        <f>"1551603947697673"</f>
        <v>1551603947697673</v>
      </c>
      <c r="C2602" t="s">
        <v>40</v>
      </c>
      <c r="D2602">
        <v>5.5433079999999997</v>
      </c>
      <c r="E2602">
        <v>0.394814</v>
      </c>
      <c r="F2602" t="s">
        <v>73</v>
      </c>
      <c r="G2602">
        <v>-459.2706</v>
      </c>
      <c r="H2602">
        <v>0.34461120000000001</v>
      </c>
      <c r="I2602">
        <v>197.4255</v>
      </c>
      <c r="J2602">
        <v>-492.33640000000003</v>
      </c>
      <c r="K2602">
        <v>1.1299729999999999</v>
      </c>
      <c r="L2602">
        <v>229.7473</v>
      </c>
      <c r="M2602">
        <v>0.39467210000000003</v>
      </c>
      <c r="N2602">
        <v>-1.4931949999999999E-2</v>
      </c>
      <c r="O2602">
        <v>-0.91870090000000004</v>
      </c>
      <c r="P2602">
        <v>0.50242549999999997</v>
      </c>
      <c r="Q2602">
        <v>0.17440329999999901</v>
      </c>
      <c r="R2602">
        <v>-0.84684889999999902</v>
      </c>
      <c r="S2602">
        <v>2.266235</v>
      </c>
      <c r="T2602">
        <v>-5.3645129999999999E-2</v>
      </c>
      <c r="U2602">
        <v>-2.2240449999999998</v>
      </c>
      <c r="V2602">
        <v>-0.1313636</v>
      </c>
      <c r="W2602">
        <v>0.18620639999999999</v>
      </c>
      <c r="X2602">
        <v>0.97368929999999998</v>
      </c>
      <c r="Y2602">
        <v>-0.37920989999999999</v>
      </c>
      <c r="Z2602">
        <v>4.2761070000000003E-3</v>
      </c>
      <c r="AA2602">
        <v>0.92530080000000003</v>
      </c>
      <c r="AB2602">
        <v>26</v>
      </c>
      <c r="AC2602">
        <v>33.065800000000003</v>
      </c>
      <c r="AD2602">
        <v>-0.785361799999999</v>
      </c>
      <c r="AE2602">
        <v>-32.321800000000003</v>
      </c>
      <c r="AF2602">
        <v>-17.6179464950594</v>
      </c>
      <c r="AG2602">
        <v>-0.785361799999999</v>
      </c>
      <c r="AH2602">
        <v>42.7366446210277</v>
      </c>
      <c r="AI2602">
        <v>90.973346301388503</v>
      </c>
      <c r="AJ2602">
        <v>112.40363576894499</v>
      </c>
      <c r="AK2602">
        <v>46.232343930669302</v>
      </c>
      <c r="AL2602">
        <v>79.268524118093595</v>
      </c>
      <c r="AM2602">
        <v>97.683566965431893</v>
      </c>
      <c r="AN2602">
        <v>1.0000000358701999</v>
      </c>
    </row>
    <row r="2603" spans="1:40" x14ac:dyDescent="0.25">
      <c r="A2603" t="str">
        <f>"20190303170547726"</f>
        <v>20190303170547726</v>
      </c>
      <c r="B2603" t="str">
        <f>"1551603947717193"</f>
        <v>1551603947717193</v>
      </c>
      <c r="C2603" t="s">
        <v>40</v>
      </c>
      <c r="D2603">
        <v>5.581842</v>
      </c>
      <c r="E2603">
        <v>0.3952504</v>
      </c>
      <c r="F2603" t="s">
        <v>73</v>
      </c>
      <c r="G2603">
        <v>-458.66410000000002</v>
      </c>
      <c r="H2603">
        <v>0.2132049</v>
      </c>
      <c r="I2603">
        <v>197.51820000000001</v>
      </c>
      <c r="J2603">
        <v>-492.2285</v>
      </c>
      <c r="K2603">
        <v>1.1298520000000001</v>
      </c>
      <c r="L2603">
        <v>229.5282</v>
      </c>
      <c r="M2603">
        <v>0.40531099999999998</v>
      </c>
      <c r="N2603">
        <v>-1.491146E-2</v>
      </c>
      <c r="O2603">
        <v>-0.91405740000000002</v>
      </c>
      <c r="P2603">
        <v>0.51368170000000002</v>
      </c>
      <c r="Q2603">
        <v>0.17265720000000001</v>
      </c>
      <c r="R2603">
        <v>-0.84042909999999904</v>
      </c>
      <c r="S2603">
        <v>2.2931819999999998</v>
      </c>
      <c r="T2603">
        <v>-6.2431929999999997E-2</v>
      </c>
      <c r="U2603">
        <v>-2.1948850000000002</v>
      </c>
      <c r="V2603">
        <v>-0.1328212</v>
      </c>
      <c r="W2603">
        <v>0.18444730000000001</v>
      </c>
      <c r="X2603">
        <v>0.97382630000000003</v>
      </c>
      <c r="Y2603">
        <v>-0.38001760000000001</v>
      </c>
      <c r="Z2603">
        <v>7.1127409999999997E-3</v>
      </c>
      <c r="AA2603">
        <v>0.92495190000000005</v>
      </c>
      <c r="AB2603">
        <v>26</v>
      </c>
      <c r="AC2603">
        <v>33.5643999999999</v>
      </c>
      <c r="AD2603">
        <v>-0.91664709999999905</v>
      </c>
      <c r="AE2603">
        <v>-32.009999999999899</v>
      </c>
      <c r="AF2603">
        <v>-17.7008355328501</v>
      </c>
      <c r="AG2603">
        <v>-0.91664709999999905</v>
      </c>
      <c r="AH2603">
        <v>42.851020630157997</v>
      </c>
      <c r="AI2603">
        <v>91.132652044286701</v>
      </c>
      <c r="AJ2603">
        <v>112.44446773572599</v>
      </c>
      <c r="AK2603">
        <v>46.372079848904498</v>
      </c>
      <c r="AL2603">
        <v>79.371089181389493</v>
      </c>
      <c r="AM2603">
        <v>97.766708511316295</v>
      </c>
      <c r="AN2603">
        <v>0.99999997010920905</v>
      </c>
    </row>
    <row r="2604" spans="1:40" x14ac:dyDescent="0.25">
      <c r="A2604" t="str">
        <f>"20190303170547748"</f>
        <v>20190303170547748</v>
      </c>
      <c r="B2604" t="str">
        <f>"1551603947737689"</f>
        <v>1551603947737689</v>
      </c>
      <c r="C2604" t="s">
        <v>40</v>
      </c>
      <c r="D2604">
        <v>5.5798100000000002</v>
      </c>
      <c r="E2604">
        <v>0.39591359999999998</v>
      </c>
      <c r="F2604" t="s">
        <v>43</v>
      </c>
      <c r="G2604">
        <v>-453.87</v>
      </c>
      <c r="H2604">
        <v>-0.05</v>
      </c>
      <c r="I2604">
        <v>193.64850000000001</v>
      </c>
      <c r="J2604">
        <v>-492.11599999999999</v>
      </c>
      <c r="K2604">
        <v>1.129742</v>
      </c>
      <c r="L2604">
        <v>229.30619999999999</v>
      </c>
      <c r="M2604">
        <v>0.41598220000000002</v>
      </c>
      <c r="N2604">
        <v>-1.489002E-2</v>
      </c>
      <c r="O2604">
        <v>-0.90925100000000003</v>
      </c>
      <c r="P2604">
        <v>0.52409280000000003</v>
      </c>
      <c r="Q2604">
        <v>0.1717851</v>
      </c>
      <c r="R2604">
        <v>-0.83415649999999997</v>
      </c>
      <c r="S2604">
        <v>2.3175349999999999</v>
      </c>
      <c r="T2604">
        <v>-7.1284169999999994E-2</v>
      </c>
      <c r="U2604">
        <v>-2.16777</v>
      </c>
      <c r="V2604">
        <v>-0.13339119999999999</v>
      </c>
      <c r="W2604">
        <v>0.1835784</v>
      </c>
      <c r="X2604">
        <v>0.97391260000000002</v>
      </c>
      <c r="Y2604">
        <v>-0.3797836</v>
      </c>
      <c r="Z2604">
        <v>9.9488409999999999E-3</v>
      </c>
      <c r="AA2604">
        <v>0.92502189999999995</v>
      </c>
      <c r="AB2604">
        <v>26</v>
      </c>
      <c r="AC2604">
        <v>38.245999999999903</v>
      </c>
      <c r="AD2604">
        <v>-1.1797420000000001</v>
      </c>
      <c r="AE2604">
        <v>-35.657699999999899</v>
      </c>
      <c r="AF2604">
        <v>-19.934306442649898</v>
      </c>
      <c r="AG2604">
        <v>-1.1797420000000001</v>
      </c>
      <c r="AH2604">
        <v>48.312214330296101</v>
      </c>
      <c r="AI2604">
        <v>91.293122196196194</v>
      </c>
      <c r="AJ2604">
        <v>112.42173975425899</v>
      </c>
      <c r="AK2604">
        <v>52.276557059857197</v>
      </c>
      <c r="AL2604">
        <v>79.421738667209596</v>
      </c>
      <c r="AM2604">
        <v>97.798947192735199</v>
      </c>
      <c r="AN2604">
        <v>0.99999999681137997</v>
      </c>
    </row>
    <row r="2605" spans="1:40" x14ac:dyDescent="0.25">
      <c r="A2605" t="str">
        <f>"20190303170547770"</f>
        <v>20190303170547770</v>
      </c>
      <c r="B2605" t="str">
        <f>"1551603947766969"</f>
        <v>1551603947766969</v>
      </c>
      <c r="C2605" t="s">
        <v>40</v>
      </c>
      <c r="D2605">
        <v>5.6338059999999999</v>
      </c>
      <c r="E2605">
        <v>0.40290629999999999</v>
      </c>
      <c r="F2605" t="s">
        <v>43</v>
      </c>
      <c r="G2605">
        <v>-455.5779</v>
      </c>
      <c r="H2605">
        <v>-0.05</v>
      </c>
      <c r="I2605">
        <v>195.8509</v>
      </c>
      <c r="J2605">
        <v>-491.99869999999999</v>
      </c>
      <c r="K2605">
        <v>1.1296389999999901</v>
      </c>
      <c r="L2605">
        <v>229.08080000000001</v>
      </c>
      <c r="M2605">
        <v>0.42672019999999999</v>
      </c>
      <c r="N2605">
        <v>-1.486878E-2</v>
      </c>
      <c r="O2605">
        <v>-0.9042618</v>
      </c>
      <c r="P2605">
        <v>0.53294149999999996</v>
      </c>
      <c r="Q2605">
        <v>0.17189979999999999</v>
      </c>
      <c r="R2605">
        <v>-0.8285074</v>
      </c>
      <c r="S2605">
        <v>2.3395079999999999</v>
      </c>
      <c r="T2605">
        <v>-7.5538040000000001E-2</v>
      </c>
      <c r="U2605">
        <v>-2.1421199999999998</v>
      </c>
      <c r="V2605">
        <v>-0.1321891</v>
      </c>
      <c r="W2605">
        <v>0.18373020000000001</v>
      </c>
      <c r="X2605">
        <v>0.97404780000000002</v>
      </c>
      <c r="Y2605">
        <v>-0.37865460000000001</v>
      </c>
      <c r="Z2605">
        <v>1.1331239999999999E-2</v>
      </c>
      <c r="AA2605">
        <v>0.92546870000000003</v>
      </c>
      <c r="AB2605">
        <v>26</v>
      </c>
      <c r="AC2605">
        <v>36.4207999999999</v>
      </c>
      <c r="AD2605">
        <v>-1.1796390000000001</v>
      </c>
      <c r="AE2605">
        <v>-33.229900000000001</v>
      </c>
      <c r="AF2605">
        <v>-18.745404741669301</v>
      </c>
      <c r="AG2605">
        <v>-1.1796390000000001</v>
      </c>
      <c r="AH2605">
        <v>45.5689589467774</v>
      </c>
      <c r="AI2605">
        <v>91.371423535758893</v>
      </c>
      <c r="AJ2605">
        <v>112.360475535383</v>
      </c>
      <c r="AK2605">
        <v>49.288048922557302</v>
      </c>
      <c r="AL2605">
        <v>79.412889962458806</v>
      </c>
      <c r="AM2605">
        <v>97.728457861917207</v>
      </c>
      <c r="AN2605">
        <v>0.99999993061784198</v>
      </c>
    </row>
    <row r="2606" spans="1:40" x14ac:dyDescent="0.25">
      <c r="A2606" t="str">
        <f>"20190303170547796"</f>
        <v>20190303170547796</v>
      </c>
      <c r="B2606" t="str">
        <f>"1551603947787465"</f>
        <v>1551603947787465</v>
      </c>
      <c r="C2606" t="s">
        <v>40</v>
      </c>
      <c r="D2606">
        <v>5.6479660000000003</v>
      </c>
      <c r="E2606">
        <v>0.40389659999999999</v>
      </c>
      <c r="F2606" t="s">
        <v>43</v>
      </c>
      <c r="G2606">
        <v>-460.45190000000002</v>
      </c>
      <c r="H2606">
        <v>-0.05</v>
      </c>
      <c r="I2606">
        <v>199.8348</v>
      </c>
      <c r="J2606">
        <v>-491.8657</v>
      </c>
      <c r="K2606">
        <v>1.1295389999999901</v>
      </c>
      <c r="L2606">
        <v>228.83279999999999</v>
      </c>
      <c r="M2606">
        <v>0.43842160000000002</v>
      </c>
      <c r="N2606">
        <v>-1.484566E-2</v>
      </c>
      <c r="O2606">
        <v>-0.89864679999999997</v>
      </c>
      <c r="P2606">
        <v>0.54304280000000005</v>
      </c>
      <c r="Q2606">
        <v>0.171313299999999</v>
      </c>
      <c r="R2606">
        <v>-0.82204409999999895</v>
      </c>
      <c r="S2606">
        <v>2.3173520000000001</v>
      </c>
      <c r="T2606">
        <v>-8.6653590000000003E-2</v>
      </c>
      <c r="U2606">
        <v>-2.1483460000000001</v>
      </c>
      <c r="V2606">
        <v>-0.13135769999999999</v>
      </c>
      <c r="W2606">
        <v>0.18317149999999999</v>
      </c>
      <c r="X2606">
        <v>0.97426559999999995</v>
      </c>
      <c r="Y2606">
        <v>-0.36080679999999998</v>
      </c>
      <c r="Z2606">
        <v>1.475632E-2</v>
      </c>
      <c r="AA2606">
        <v>0.93252380000000001</v>
      </c>
      <c r="AB2606">
        <v>26</v>
      </c>
      <c r="AC2606">
        <v>31.413799999999899</v>
      </c>
      <c r="AD2606">
        <v>-1.1795389999999999</v>
      </c>
      <c r="AE2606">
        <v>-28.997999999999902</v>
      </c>
      <c r="AF2606">
        <v>-15.5064677039794</v>
      </c>
      <c r="AG2606">
        <v>-1.1795389999999999</v>
      </c>
      <c r="AH2606">
        <v>39.805537848311999</v>
      </c>
      <c r="AI2606">
        <v>91.581617043386899</v>
      </c>
      <c r="AJ2606">
        <v>111.28367647528999</v>
      </c>
      <c r="AK2606">
        <v>42.735496911823603</v>
      </c>
      <c r="AL2606">
        <v>79.445455052319403</v>
      </c>
      <c r="AM2606">
        <v>97.678735431401805</v>
      </c>
      <c r="AN2606">
        <v>1.0000000515524401</v>
      </c>
    </row>
    <row r="2607" spans="1:40" x14ac:dyDescent="0.25">
      <c r="A2607" t="str">
        <f>"20190303170547819"</f>
        <v>20190303170547819</v>
      </c>
      <c r="B2607" t="str">
        <f>"1551603947806985"</f>
        <v>1551603947806985</v>
      </c>
      <c r="C2607" t="s">
        <v>40</v>
      </c>
      <c r="D2607">
        <v>5.6599149999999998</v>
      </c>
      <c r="E2607">
        <v>0.40482770000000001</v>
      </c>
      <c r="F2607" t="s">
        <v>43</v>
      </c>
      <c r="G2607">
        <v>-461.08080000000001</v>
      </c>
      <c r="H2607">
        <v>-0.05</v>
      </c>
      <c r="I2607">
        <v>200.87360000000001</v>
      </c>
      <c r="J2607">
        <v>-491.73779999999999</v>
      </c>
      <c r="K2607">
        <v>1.129451</v>
      </c>
      <c r="L2607">
        <v>228.6009</v>
      </c>
      <c r="M2607">
        <v>0.44926739999999998</v>
      </c>
      <c r="N2607">
        <v>-1.482351E-2</v>
      </c>
      <c r="O2607">
        <v>-0.89327459999999903</v>
      </c>
      <c r="P2607">
        <v>0.55263969999999996</v>
      </c>
      <c r="Q2607">
        <v>0.17097799999999999</v>
      </c>
      <c r="R2607">
        <v>-0.81569369999999997</v>
      </c>
      <c r="S2607">
        <v>2.3381349999999999</v>
      </c>
      <c r="T2607">
        <v>-8.9586620000000006E-2</v>
      </c>
      <c r="U2607">
        <v>-2.1235200000000001</v>
      </c>
      <c r="V2607">
        <v>-0.13090470000000001</v>
      </c>
      <c r="W2607">
        <v>0.18285129999999999</v>
      </c>
      <c r="X2607">
        <v>0.97438659999999999</v>
      </c>
      <c r="Y2607">
        <v>-0.35905100000000001</v>
      </c>
      <c r="Z2607">
        <v>1.5692689999999999E-2</v>
      </c>
      <c r="AA2607">
        <v>0.93318599999999996</v>
      </c>
      <c r="AB2607">
        <v>26</v>
      </c>
      <c r="AC2607">
        <v>30.656999999999901</v>
      </c>
      <c r="AD2607">
        <v>-1.179451</v>
      </c>
      <c r="AE2607">
        <v>-27.7272999999999</v>
      </c>
      <c r="AF2607">
        <v>-14.9176392900418</v>
      </c>
      <c r="AG2607">
        <v>-1.179451</v>
      </c>
      <c r="AH2607">
        <v>38.514153723099703</v>
      </c>
      <c r="AI2607">
        <v>91.635726897005199</v>
      </c>
      <c r="AJ2607">
        <v>111.172818429065</v>
      </c>
      <c r="AK2607">
        <v>41.319088853165098</v>
      </c>
      <c r="AL2607">
        <v>79.464115170382598</v>
      </c>
      <c r="AM2607">
        <v>97.6516298502778</v>
      </c>
      <c r="AN2607">
        <v>0.999999942326668</v>
      </c>
    </row>
    <row r="2608" spans="1:40" x14ac:dyDescent="0.25">
      <c r="A2608" t="str">
        <f>"20190303170547841"</f>
        <v>20190303170547841</v>
      </c>
      <c r="B2608" t="str">
        <f>"1551603947837241"</f>
        <v>1551603947837241</v>
      </c>
      <c r="C2608" t="s">
        <v>40</v>
      </c>
      <c r="D2608">
        <v>5.7012530000000003</v>
      </c>
      <c r="E2608">
        <v>0.41001029999999999</v>
      </c>
      <c r="F2608" t="s">
        <v>60</v>
      </c>
      <c r="G2608">
        <v>-464.91419999999999</v>
      </c>
      <c r="H2608">
        <v>8.0000450000000001E-2</v>
      </c>
      <c r="I2608">
        <v>204.6893</v>
      </c>
      <c r="J2608">
        <v>-491.61099999999999</v>
      </c>
      <c r="K2608">
        <v>1.12937</v>
      </c>
      <c r="L2608">
        <v>228.37719999999999</v>
      </c>
      <c r="M2608">
        <v>0.45965109999999898</v>
      </c>
      <c r="N2608">
        <v>-1.480155E-2</v>
      </c>
      <c r="O2608">
        <v>-0.88797619999999899</v>
      </c>
      <c r="P2608">
        <v>0.56209200000000004</v>
      </c>
      <c r="Q2608">
        <v>0.17164989999999999</v>
      </c>
      <c r="R2608">
        <v>-0.80906719999999999</v>
      </c>
      <c r="S2608">
        <v>2.3565369999999999</v>
      </c>
      <c r="T2608">
        <v>-9.2197539999999994E-2</v>
      </c>
      <c r="U2608">
        <v>-2.100708</v>
      </c>
      <c r="V2608">
        <v>-0.13092329999999999</v>
      </c>
      <c r="W2608">
        <v>0.18352489999999999</v>
      </c>
      <c r="X2608">
        <v>0.9742575</v>
      </c>
      <c r="Y2608">
        <v>-0.35680590000000001</v>
      </c>
      <c r="Z2608">
        <v>1.651497E-2</v>
      </c>
      <c r="AA2608">
        <v>0.93403259999999999</v>
      </c>
      <c r="AB2608">
        <v>26</v>
      </c>
      <c r="AC2608">
        <v>26.6968</v>
      </c>
      <c r="AD2608">
        <v>-1.04936955</v>
      </c>
      <c r="AE2608">
        <v>-23.6878999999999</v>
      </c>
      <c r="AF2608">
        <v>-12.808286168306701</v>
      </c>
      <c r="AG2608">
        <v>-1.04936955</v>
      </c>
      <c r="AH2608">
        <v>33.280385238868298</v>
      </c>
      <c r="AI2608">
        <v>91.685560442241893</v>
      </c>
      <c r="AJ2608">
        <v>111.049715001143</v>
      </c>
      <c r="AK2608">
        <v>35.675445514655998</v>
      </c>
      <c r="AL2608">
        <v>79.424856875390105</v>
      </c>
      <c r="AM2608">
        <v>97.653706221583903</v>
      </c>
      <c r="AN2608">
        <v>0.999999987854575</v>
      </c>
    </row>
    <row r="2609" spans="1:40" x14ac:dyDescent="0.25">
      <c r="A2609" t="str">
        <f>"20190303170547860"</f>
        <v>20190303170547860</v>
      </c>
      <c r="B2609" t="str">
        <f>"1551603947857737"</f>
        <v>1551603947857737</v>
      </c>
      <c r="C2609" t="s">
        <v>40</v>
      </c>
      <c r="D2609">
        <v>5.7564029999999997</v>
      </c>
      <c r="E2609">
        <v>0.41062409999999999</v>
      </c>
      <c r="F2609" t="s">
        <v>60</v>
      </c>
      <c r="G2609">
        <v>-466.31880000000001</v>
      </c>
      <c r="H2609">
        <v>8.0001470000000005E-2</v>
      </c>
      <c r="I2609">
        <v>205.78020000000001</v>
      </c>
      <c r="J2609">
        <v>-491.49959999999999</v>
      </c>
      <c r="K2609">
        <v>1.1293120000000001</v>
      </c>
      <c r="L2609">
        <v>228.1857</v>
      </c>
      <c r="M2609">
        <v>0.46848509999999999</v>
      </c>
      <c r="N2609">
        <v>-1.478283E-2</v>
      </c>
      <c r="O2609">
        <v>-0.88334789999999996</v>
      </c>
      <c r="P2609">
        <v>0.56972519999999904</v>
      </c>
      <c r="Q2609">
        <v>0.1728567</v>
      </c>
      <c r="R2609">
        <v>-0.80345129999999998</v>
      </c>
      <c r="S2609">
        <v>2.3477480000000002</v>
      </c>
      <c r="T2609">
        <v>-9.74077E-2</v>
      </c>
      <c r="U2609">
        <v>-2.0975649999999999</v>
      </c>
      <c r="V2609">
        <v>-0.1305405</v>
      </c>
      <c r="W2609">
        <v>0.1847403</v>
      </c>
      <c r="X2609">
        <v>0.97407920000000003</v>
      </c>
      <c r="Y2609">
        <v>-0.3464044</v>
      </c>
      <c r="Z2609">
        <v>1.8093410000000001E-2</v>
      </c>
      <c r="AA2609">
        <v>0.93791080000000004</v>
      </c>
      <c r="AB2609">
        <v>26</v>
      </c>
      <c r="AC2609">
        <v>25.180799999999898</v>
      </c>
      <c r="AD2609">
        <v>-1.0493105300000001</v>
      </c>
      <c r="AE2609">
        <v>-22.4054999999999</v>
      </c>
      <c r="AF2609">
        <v>-11.736670849235299</v>
      </c>
      <c r="AG2609">
        <v>-1.0493105300000001</v>
      </c>
      <c r="AH2609">
        <v>31.561539383814001</v>
      </c>
      <c r="AI2609">
        <v>91.784853441854693</v>
      </c>
      <c r="AJ2609">
        <v>110.39846829139201</v>
      </c>
      <c r="AK2609">
        <v>33.689482980415399</v>
      </c>
      <c r="AL2609">
        <v>79.354008773459896</v>
      </c>
      <c r="AM2609">
        <v>97.632972513587305</v>
      </c>
      <c r="AN2609">
        <v>1.00000004422848</v>
      </c>
    </row>
    <row r="2610" spans="1:40" x14ac:dyDescent="0.25">
      <c r="A2610" t="str">
        <f>"20190303170547884"</f>
        <v>20190303170547884</v>
      </c>
      <c r="B2610" t="str">
        <f>"1551603947877258"</f>
        <v>1551603947877258</v>
      </c>
      <c r="C2610" t="s">
        <v>40</v>
      </c>
      <c r="D2610">
        <v>5.6977250000000002</v>
      </c>
      <c r="E2610">
        <v>0.4117053</v>
      </c>
      <c r="F2610" t="s">
        <v>60</v>
      </c>
      <c r="G2610">
        <v>-467.88720000000001</v>
      </c>
      <c r="H2610">
        <v>8.0000920000000003E-2</v>
      </c>
      <c r="I2610">
        <v>207.45609999999999</v>
      </c>
      <c r="J2610">
        <v>-491.36470000000003</v>
      </c>
      <c r="K2610">
        <v>1.1292489999999999</v>
      </c>
      <c r="L2610">
        <v>227.959</v>
      </c>
      <c r="M2610">
        <v>0.47888310000000001</v>
      </c>
      <c r="N2610">
        <v>-1.4761150000000001E-2</v>
      </c>
      <c r="O2610">
        <v>-0.87775479999999995</v>
      </c>
      <c r="P2610">
        <v>0.5790187</v>
      </c>
      <c r="Q2610">
        <v>0.1739684</v>
      </c>
      <c r="R2610">
        <v>-0.79653790000000002</v>
      </c>
      <c r="S2610">
        <v>2.367035</v>
      </c>
      <c r="T2610">
        <v>-0.10518859999999999</v>
      </c>
      <c r="U2610">
        <v>-2.078049</v>
      </c>
      <c r="V2610">
        <v>-0.13045219999999999</v>
      </c>
      <c r="W2610">
        <v>0.1858554</v>
      </c>
      <c r="X2610">
        <v>0.97387889999999999</v>
      </c>
      <c r="Y2610">
        <v>-0.34344419999999998</v>
      </c>
      <c r="Z2610">
        <v>2.0431100000000001E-2</v>
      </c>
      <c r="AA2610">
        <v>0.93895079999999997</v>
      </c>
      <c r="AB2610">
        <v>26</v>
      </c>
      <c r="AC2610">
        <v>23.477499999999999</v>
      </c>
      <c r="AD2610">
        <v>-1.0492480799999999</v>
      </c>
      <c r="AE2610">
        <v>-20.5029</v>
      </c>
      <c r="AF2610">
        <v>-10.777956435280499</v>
      </c>
      <c r="AG2610">
        <v>-1.0492480799999999</v>
      </c>
      <c r="AH2610">
        <v>29.209578284196802</v>
      </c>
      <c r="AI2610">
        <v>91.9301589911382</v>
      </c>
      <c r="AJ2610">
        <v>110.253408294983</v>
      </c>
      <c r="AK2610">
        <v>31.152282901816498</v>
      </c>
      <c r="AL2610">
        <v>79.288992480582607</v>
      </c>
      <c r="AM2610">
        <v>97.629420606390696</v>
      </c>
      <c r="AN2610">
        <v>1.0000000590296001</v>
      </c>
    </row>
    <row r="2611" spans="1:40" x14ac:dyDescent="0.25">
      <c r="A2611" t="str">
        <f>"20190303170547906"</f>
        <v>20190303170547906</v>
      </c>
      <c r="B2611" t="str">
        <f>"1551603947897754"</f>
        <v>1551603947897754</v>
      </c>
      <c r="C2611" t="s">
        <v>40</v>
      </c>
      <c r="D2611">
        <v>5.730429</v>
      </c>
      <c r="E2611">
        <v>0.41204740000000001</v>
      </c>
      <c r="F2611" t="s">
        <v>60</v>
      </c>
      <c r="G2611">
        <v>-467.90899999999999</v>
      </c>
      <c r="H2611">
        <v>8.0000909999999995E-2</v>
      </c>
      <c r="I2611">
        <v>207.75110000000001</v>
      </c>
      <c r="J2611">
        <v>-491.23160000000001</v>
      </c>
      <c r="K2611">
        <v>1.129186</v>
      </c>
      <c r="L2611">
        <v>227.7413</v>
      </c>
      <c r="M2611">
        <v>0.48880649999999998</v>
      </c>
      <c r="N2611">
        <v>-1.4740659999999999E-2</v>
      </c>
      <c r="O2611">
        <v>-0.87226769999999998</v>
      </c>
      <c r="P2611">
        <v>0.58805359999999995</v>
      </c>
      <c r="Q2611">
        <v>0.17563039999999999</v>
      </c>
      <c r="R2611">
        <v>-0.78952319999999998</v>
      </c>
      <c r="S2611">
        <v>2.3856809999999999</v>
      </c>
      <c r="T2611">
        <v>-0.10671899999999999</v>
      </c>
      <c r="U2611">
        <v>-2.0553439999999998</v>
      </c>
      <c r="V2611">
        <v>-0.13067780000000001</v>
      </c>
      <c r="W2611">
        <v>0.18751139999999999</v>
      </c>
      <c r="X2611">
        <v>0.97353109999999998</v>
      </c>
      <c r="Y2611">
        <v>-0.34154050000000002</v>
      </c>
      <c r="Z2611">
        <v>2.0878790000000001E-2</v>
      </c>
      <c r="AA2611">
        <v>0.9396352</v>
      </c>
      <c r="AB2611">
        <v>26</v>
      </c>
      <c r="AC2611">
        <v>23.322600000000001</v>
      </c>
      <c r="AD2611">
        <v>-1.0491850899999999</v>
      </c>
      <c r="AE2611">
        <v>-19.990199999999898</v>
      </c>
      <c r="AF2611">
        <v>-10.561038660848901</v>
      </c>
      <c r="AG2611">
        <v>-1.0491850899999999</v>
      </c>
      <c r="AH2611">
        <v>28.806570382514401</v>
      </c>
      <c r="AI2611">
        <v>91.958524689681298</v>
      </c>
      <c r="AJ2611">
        <v>110.13390057617001</v>
      </c>
      <c r="AK2611">
        <v>30.699427098103701</v>
      </c>
      <c r="AL2611">
        <v>79.192412242273306</v>
      </c>
      <c r="AM2611">
        <v>97.645156909119805</v>
      </c>
      <c r="AN2611">
        <v>1.000000007605</v>
      </c>
    </row>
    <row r="2612" spans="1:40" x14ac:dyDescent="0.25">
      <c r="A2612" t="str">
        <f>"20190303170547928"</f>
        <v>20190303170547928</v>
      </c>
      <c r="B2612" t="str">
        <f>"1551603947917273"</f>
        <v>1551603947917273</v>
      </c>
      <c r="C2612" t="s">
        <v>40</v>
      </c>
      <c r="D2612">
        <v>5.7237010000000001</v>
      </c>
      <c r="E2612">
        <v>0.41785260000000002</v>
      </c>
      <c r="F2612" t="s">
        <v>60</v>
      </c>
      <c r="G2612">
        <v>-466.75529999999998</v>
      </c>
      <c r="H2612">
        <v>8.0001279999999994E-2</v>
      </c>
      <c r="I2612">
        <v>207.1087</v>
      </c>
      <c r="J2612">
        <v>-491.10059999999999</v>
      </c>
      <c r="K2612">
        <v>1.1291279999999999</v>
      </c>
      <c r="L2612">
        <v>227.53219999999999</v>
      </c>
      <c r="M2612">
        <v>0.49829810000000002</v>
      </c>
      <c r="N2612">
        <v>-1.472183E-2</v>
      </c>
      <c r="O2612">
        <v>-0.86688109999999996</v>
      </c>
      <c r="P2612">
        <v>0.59592369999999995</v>
      </c>
      <c r="Q2612">
        <v>0.17719779999999999</v>
      </c>
      <c r="R2612">
        <v>-0.78324749999999999</v>
      </c>
      <c r="S2612">
        <v>2.4075929999999999</v>
      </c>
      <c r="T2612">
        <v>-0.1032021</v>
      </c>
      <c r="U2612">
        <v>-2.0295100000000001</v>
      </c>
      <c r="V2612">
        <v>-0.129965</v>
      </c>
      <c r="W2612">
        <v>0.1890915</v>
      </c>
      <c r="X2612">
        <v>0.97332079999999999</v>
      </c>
      <c r="Y2612">
        <v>-0.34141149999999998</v>
      </c>
      <c r="Z2612">
        <v>1.9805699999999999E-2</v>
      </c>
      <c r="AA2612">
        <v>0.93970529999999997</v>
      </c>
      <c r="AB2612">
        <v>26</v>
      </c>
      <c r="AC2612">
        <v>24.345300000000002</v>
      </c>
      <c r="AD2612">
        <v>-1.0491267200000001</v>
      </c>
      <c r="AE2612">
        <v>-20.423499999999901</v>
      </c>
      <c r="AF2612">
        <v>-10.916771479550199</v>
      </c>
      <c r="AG2612">
        <v>-1.0491267200000001</v>
      </c>
      <c r="AH2612">
        <v>29.806699664933799</v>
      </c>
      <c r="AI2612">
        <v>91.892976214401699</v>
      </c>
      <c r="AJ2612">
        <v>110.115371391751</v>
      </c>
      <c r="AK2612">
        <v>31.760288275248801</v>
      </c>
      <c r="AL2612">
        <v>79.100229384954105</v>
      </c>
      <c r="AM2612">
        <v>97.605568313297994</v>
      </c>
      <c r="AN2612">
        <v>0.99999993815494304</v>
      </c>
    </row>
    <row r="2613" spans="1:40" x14ac:dyDescent="0.25">
      <c r="A2613" t="str">
        <f>"20190303170547950"</f>
        <v>20190303170547950</v>
      </c>
      <c r="B2613" t="str">
        <f>"1551603947947529"</f>
        <v>1551603947947529</v>
      </c>
      <c r="C2613" t="s">
        <v>40</v>
      </c>
      <c r="D2613">
        <v>5.7347760000000001</v>
      </c>
      <c r="E2613">
        <v>0.41984909999999998</v>
      </c>
      <c r="F2613" t="s">
        <v>52</v>
      </c>
      <c r="G2613">
        <v>-470.0256</v>
      </c>
      <c r="H2613">
        <v>3.1576920000000001E-2</v>
      </c>
      <c r="I2613">
        <v>209.6163</v>
      </c>
      <c r="J2613">
        <v>-490.96620000000001</v>
      </c>
      <c r="K2613">
        <v>1.129076</v>
      </c>
      <c r="L2613">
        <v>227.3227</v>
      </c>
      <c r="M2613">
        <v>0.50775630000000005</v>
      </c>
      <c r="N2613">
        <v>-1.470376E-2</v>
      </c>
      <c r="O2613">
        <v>-0.86137549999999996</v>
      </c>
      <c r="P2613">
        <v>0.60335589999999995</v>
      </c>
      <c r="Q2613">
        <v>0.17816309999999999</v>
      </c>
      <c r="R2613">
        <v>-0.77731600000000001</v>
      </c>
      <c r="S2613">
        <v>2.3951419999999999</v>
      </c>
      <c r="T2613">
        <v>-0.1247345</v>
      </c>
      <c r="U2613">
        <v>-2.0361020000000001</v>
      </c>
      <c r="V2613">
        <v>-0.12867880000000001</v>
      </c>
      <c r="W2613">
        <v>0.1900831</v>
      </c>
      <c r="X2613">
        <v>0.97329860000000001</v>
      </c>
      <c r="Y2613">
        <v>-0.32704450000000002</v>
      </c>
      <c r="Z2613">
        <v>2.613876E-2</v>
      </c>
      <c r="AA2613">
        <v>0.94464740000000003</v>
      </c>
      <c r="AB2613">
        <v>26</v>
      </c>
      <c r="AC2613">
        <v>20.9406</v>
      </c>
      <c r="AD2613">
        <v>-1.09749908</v>
      </c>
      <c r="AE2613">
        <v>-17.706399999999999</v>
      </c>
      <c r="AF2613">
        <v>-9.03369085337666</v>
      </c>
      <c r="AG2613">
        <v>-1.09749908</v>
      </c>
      <c r="AH2613">
        <v>25.845976974792901</v>
      </c>
      <c r="AI2613">
        <v>92.295478127647101</v>
      </c>
      <c r="AJ2613">
        <v>109.26555174825501</v>
      </c>
      <c r="AK2613">
        <v>27.401215309662899</v>
      </c>
      <c r="AL2613">
        <v>79.042366048896994</v>
      </c>
      <c r="AM2613">
        <v>97.531337745566802</v>
      </c>
      <c r="AN2613">
        <v>0.99999999161850495</v>
      </c>
    </row>
    <row r="2614" spans="1:40" x14ac:dyDescent="0.25">
      <c r="A2614" t="str">
        <f>"20190303170547972"</f>
        <v>20190303170547972</v>
      </c>
      <c r="B2614" t="str">
        <f>"1551603947967049"</f>
        <v>1551603947967049</v>
      </c>
      <c r="C2614" t="s">
        <v>40</v>
      </c>
      <c r="D2614">
        <v>5.7415649999999996</v>
      </c>
      <c r="E2614">
        <v>0.42067260000000001</v>
      </c>
      <c r="F2614" t="s">
        <v>60</v>
      </c>
      <c r="G2614">
        <v>-469.92070000000001</v>
      </c>
      <c r="H2614" s="1">
        <v>3.9608069999999901E-6</v>
      </c>
      <c r="I2614">
        <v>209.6216</v>
      </c>
      <c r="J2614">
        <v>-490.82470000000001</v>
      </c>
      <c r="K2614">
        <v>1.1290119999999999</v>
      </c>
      <c r="L2614">
        <v>227.10730000000001</v>
      </c>
      <c r="M2614">
        <v>0.51743209999999995</v>
      </c>
      <c r="N2614">
        <v>-1.468525E-2</v>
      </c>
      <c r="O2614">
        <v>-0.85559839999999998</v>
      </c>
      <c r="P2614">
        <v>0.61168149999999999</v>
      </c>
      <c r="Q2614">
        <v>0.17773949999999999</v>
      </c>
      <c r="R2614">
        <v>-0.77087930000000005</v>
      </c>
      <c r="S2614">
        <v>2.4045719999999999</v>
      </c>
      <c r="T2614">
        <v>-0.12900249999999999</v>
      </c>
      <c r="U2614">
        <v>-2.022446</v>
      </c>
      <c r="V2614">
        <v>-0.12808720000000001</v>
      </c>
      <c r="W2614">
        <v>0.18967490000000001</v>
      </c>
      <c r="X2614">
        <v>0.97345630000000005</v>
      </c>
      <c r="Y2614">
        <v>-0.3213239</v>
      </c>
      <c r="Z2614">
        <v>2.7305329999999999E-2</v>
      </c>
      <c r="AA2614">
        <v>0.94657559999999996</v>
      </c>
      <c r="AB2614">
        <v>26</v>
      </c>
      <c r="AC2614">
        <v>20.904</v>
      </c>
      <c r="AD2614">
        <v>-1.129008039193</v>
      </c>
      <c r="AE2614">
        <v>-17.485700000000001</v>
      </c>
      <c r="AF2614">
        <v>-8.8235755470743698</v>
      </c>
      <c r="AG2614">
        <v>-1.129008039193</v>
      </c>
      <c r="AH2614">
        <v>25.7357468209091</v>
      </c>
      <c r="AI2614">
        <v>92.376296700321902</v>
      </c>
      <c r="AJ2614">
        <v>108.92442711932</v>
      </c>
      <c r="AK2614">
        <v>27.229741258730801</v>
      </c>
      <c r="AL2614">
        <v>79.066188020151898</v>
      </c>
      <c r="AM2614">
        <v>97.495906513175299</v>
      </c>
      <c r="AN2614">
        <v>1.00000003325176</v>
      </c>
    </row>
    <row r="2615" spans="1:40" x14ac:dyDescent="0.25">
      <c r="A2615" t="str">
        <f>"20190303170547995"</f>
        <v>20190303170547995</v>
      </c>
      <c r="B2615" t="str">
        <f>"1551603947987545"</f>
        <v>1551603947987545</v>
      </c>
      <c r="C2615" t="s">
        <v>40</v>
      </c>
      <c r="D2615">
        <v>5.7232149999999997</v>
      </c>
      <c r="E2615">
        <v>0.42587819999999998</v>
      </c>
      <c r="F2615" t="s">
        <v>52</v>
      </c>
      <c r="G2615">
        <v>-470.35169999999999</v>
      </c>
      <c r="H2615" s="1">
        <v>5.6092289999999998E-6</v>
      </c>
      <c r="I2615">
        <v>210.19579999999999</v>
      </c>
      <c r="J2615">
        <v>-490.68009999999998</v>
      </c>
      <c r="K2615">
        <v>1.1289419999999999</v>
      </c>
      <c r="L2615">
        <v>226.8921</v>
      </c>
      <c r="M2615">
        <v>0.52702959999999999</v>
      </c>
      <c r="N2615">
        <v>-1.466575E-2</v>
      </c>
      <c r="O2615">
        <v>-0.84972029999999998</v>
      </c>
      <c r="P2615">
        <v>0.62036689999999906</v>
      </c>
      <c r="Q2615">
        <v>0.1776587</v>
      </c>
      <c r="R2615">
        <v>-0.76392569999999904</v>
      </c>
      <c r="S2615">
        <v>2.4220280000000001</v>
      </c>
      <c r="T2615">
        <v>-0.13356570000000001</v>
      </c>
      <c r="U2615">
        <v>-2.0006870000000001</v>
      </c>
      <c r="V2615">
        <v>-0.128104</v>
      </c>
      <c r="W2615">
        <v>0.1895963</v>
      </c>
      <c r="X2615">
        <v>0.97346940000000004</v>
      </c>
      <c r="Y2615">
        <v>-0.31903330000000002</v>
      </c>
      <c r="Z2615">
        <v>2.8580990000000001E-2</v>
      </c>
      <c r="AA2615">
        <v>0.9473125</v>
      </c>
      <c r="AB2615">
        <v>26</v>
      </c>
      <c r="AC2615">
        <v>20.328399999999899</v>
      </c>
      <c r="AD2615">
        <v>-1.1289363907709999</v>
      </c>
      <c r="AE2615">
        <v>-16.696300000000001</v>
      </c>
      <c r="AF2615">
        <v>-8.4593420000339208</v>
      </c>
      <c r="AG2615">
        <v>-1.1289363907709999</v>
      </c>
      <c r="AH2615">
        <v>24.857752171552701</v>
      </c>
      <c r="AI2615">
        <v>92.461883872426796</v>
      </c>
      <c r="AJ2615">
        <v>108.793953659428</v>
      </c>
      <c r="AK2615">
        <v>26.2819863684288</v>
      </c>
      <c r="AL2615">
        <v>79.070774684660805</v>
      </c>
      <c r="AM2615">
        <v>97.496778760520101</v>
      </c>
      <c r="AN2615">
        <v>1.00000003226302</v>
      </c>
    </row>
    <row r="2616" spans="1:40" x14ac:dyDescent="0.25">
      <c r="A2616" t="str">
        <f>"20190303170548018"</f>
        <v>20190303170548018</v>
      </c>
      <c r="B2616" t="str">
        <f>"1551603948007065"</f>
        <v>1551603948007065</v>
      </c>
      <c r="C2616" t="s">
        <v>40</v>
      </c>
      <c r="D2616">
        <v>5.7516439999999998</v>
      </c>
      <c r="E2616">
        <v>0.426566</v>
      </c>
      <c r="F2616" t="s">
        <v>52</v>
      </c>
      <c r="G2616">
        <v>-473.3304</v>
      </c>
      <c r="H2616" s="1">
        <v>4.3893609999999998E-6</v>
      </c>
      <c r="I2616">
        <v>212.5076</v>
      </c>
      <c r="J2616">
        <v>-490.53019999999998</v>
      </c>
      <c r="K2616">
        <v>1.128871</v>
      </c>
      <c r="L2616">
        <v>226.67439999999999</v>
      </c>
      <c r="M2616">
        <v>0.5366687</v>
      </c>
      <c r="N2616">
        <v>-1.4644809999999999E-2</v>
      </c>
      <c r="O2616">
        <v>-0.84366600000000003</v>
      </c>
      <c r="P2616">
        <v>0.62822460000000002</v>
      </c>
      <c r="Q2616">
        <v>0.17893239999999999</v>
      </c>
      <c r="R2616">
        <v>-0.75717709999999905</v>
      </c>
      <c r="S2616">
        <v>2.4150999999999998</v>
      </c>
      <c r="T2616">
        <v>-0.15715009999999999</v>
      </c>
      <c r="U2616">
        <v>-2.0023499999999999</v>
      </c>
      <c r="V2616">
        <v>-0.12722159999999999</v>
      </c>
      <c r="W2616">
        <v>0.19088869999999999</v>
      </c>
      <c r="X2616">
        <v>0.97333250000000004</v>
      </c>
      <c r="Y2616">
        <v>-0.30629390000000001</v>
      </c>
      <c r="Z2616">
        <v>3.5322109999999997E-2</v>
      </c>
      <c r="AA2616">
        <v>0.9512815</v>
      </c>
      <c r="AB2616">
        <v>26</v>
      </c>
      <c r="AC2616">
        <v>17.1997999999999</v>
      </c>
      <c r="AD2616">
        <v>-1.128866610639</v>
      </c>
      <c r="AE2616">
        <v>-14.166799999999901</v>
      </c>
      <c r="AF2616">
        <v>-6.8910631355374603</v>
      </c>
      <c r="AG2616">
        <v>-1.128866610639</v>
      </c>
      <c r="AH2616">
        <v>21.130681241824899</v>
      </c>
      <c r="AI2616">
        <v>92.9075827198768</v>
      </c>
      <c r="AJ2616">
        <v>108.062000296764</v>
      </c>
      <c r="AK2616">
        <v>22.254590104205299</v>
      </c>
      <c r="AL2616">
        <v>78.995347677241796</v>
      </c>
      <c r="AM2616">
        <v>97.446756677524505</v>
      </c>
      <c r="AN2616">
        <v>0.99999999342525003</v>
      </c>
    </row>
    <row r="2617" spans="1:40" x14ac:dyDescent="0.25">
      <c r="A2617" t="str">
        <f>"20190303170548041"</f>
        <v>20190303170548041</v>
      </c>
      <c r="B2617" t="str">
        <f>"1551603948027561"</f>
        <v>1551603948027561</v>
      </c>
      <c r="C2617" t="s">
        <v>40</v>
      </c>
      <c r="D2617">
        <v>5.6541189999999997</v>
      </c>
      <c r="E2617">
        <v>0.39729340000000002</v>
      </c>
      <c r="F2617" t="s">
        <v>52</v>
      </c>
      <c r="G2617">
        <v>-472.40199999999999</v>
      </c>
      <c r="H2617" s="1">
        <v>4.7751899999999998E-6</v>
      </c>
      <c r="I2617">
        <v>211.9151</v>
      </c>
      <c r="J2617">
        <v>-490.38709999999998</v>
      </c>
      <c r="K2617">
        <v>1.128798</v>
      </c>
      <c r="L2617">
        <v>226.47110000000001</v>
      </c>
      <c r="M2617">
        <v>0.5455911</v>
      </c>
      <c r="N2617">
        <v>-1.462401E-2</v>
      </c>
      <c r="O2617">
        <v>-0.83792389999999894</v>
      </c>
      <c r="P2617">
        <v>0.63497919999999997</v>
      </c>
      <c r="Q2617">
        <v>0.18012790000000001</v>
      </c>
      <c r="R2617">
        <v>-0.75123600000000001</v>
      </c>
      <c r="S2617">
        <v>2.4320369999999998</v>
      </c>
      <c r="T2617">
        <v>-0.15144589999999999</v>
      </c>
      <c r="U2617">
        <v>-1.9800720000000001</v>
      </c>
      <c r="V2617">
        <v>-0.12574179999999999</v>
      </c>
      <c r="W2617">
        <v>0.19211590000000001</v>
      </c>
      <c r="X2617">
        <v>0.97328340000000002</v>
      </c>
      <c r="Y2617">
        <v>-0.30473169999999999</v>
      </c>
      <c r="Z2617">
        <v>3.3536129999999997E-2</v>
      </c>
      <c r="AA2617">
        <v>0.95184760000000002</v>
      </c>
      <c r="AB2617">
        <v>26</v>
      </c>
      <c r="AC2617">
        <v>17.9850999999999</v>
      </c>
      <c r="AD2617">
        <v>-1.1287932248100001</v>
      </c>
      <c r="AE2617">
        <v>-14.555999999999999</v>
      </c>
      <c r="AF2617">
        <v>-7.1123553239821504</v>
      </c>
      <c r="AG2617">
        <v>-1.1287932248100001</v>
      </c>
      <c r="AH2617">
        <v>21.959418952481201</v>
      </c>
      <c r="AI2617">
        <v>92.799679987928002</v>
      </c>
      <c r="AJ2617">
        <v>107.946429354502</v>
      </c>
      <c r="AK2617">
        <v>23.110081201275399</v>
      </c>
      <c r="AL2617">
        <v>78.923709015362107</v>
      </c>
      <c r="AM2617">
        <v>97.361461211030502</v>
      </c>
      <c r="AN2617">
        <v>1.0000000480078</v>
      </c>
    </row>
    <row r="2618" spans="1:40" x14ac:dyDescent="0.25">
      <c r="A2618" t="str">
        <f>"20190303170548063"</f>
        <v>20190303170548063</v>
      </c>
      <c r="B2618" t="str">
        <f>"1551603948056842"</f>
        <v>1551603948056842</v>
      </c>
      <c r="C2618" t="s">
        <v>40</v>
      </c>
      <c r="D2618">
        <v>5.6436710000000003</v>
      </c>
      <c r="E2618">
        <v>0.39391900000000002</v>
      </c>
      <c r="F2618" t="s">
        <v>74</v>
      </c>
      <c r="G2618">
        <v>-451.91559999999998</v>
      </c>
      <c r="H2618">
        <v>0.47275260000000002</v>
      </c>
      <c r="I2618">
        <v>200.07669999999999</v>
      </c>
      <c r="J2618">
        <v>-490.23939999999999</v>
      </c>
      <c r="K2618">
        <v>1.1287</v>
      </c>
      <c r="L2618">
        <v>226.26589999999999</v>
      </c>
      <c r="M2618">
        <v>0.55450650000000001</v>
      </c>
      <c r="N2618">
        <v>-1.4601350000000001E-2</v>
      </c>
      <c r="O2618">
        <v>-0.83205130000000005</v>
      </c>
      <c r="P2618">
        <v>0.642119199999999</v>
      </c>
      <c r="Q2618">
        <v>0.1803198</v>
      </c>
      <c r="R2618">
        <v>-0.74509569999999903</v>
      </c>
      <c r="S2618">
        <v>2.6148069999999999</v>
      </c>
      <c r="T2618">
        <v>-4.4588450000000002E-2</v>
      </c>
      <c r="U2618">
        <v>-1.7939609999999999</v>
      </c>
      <c r="V2618">
        <v>-0.1246168</v>
      </c>
      <c r="W2618">
        <v>0.1923377</v>
      </c>
      <c r="X2618">
        <v>0.97338429999999998</v>
      </c>
      <c r="Y2618">
        <v>-0.37236900000000001</v>
      </c>
      <c r="Z2618">
        <v>2.6194149999999999E-3</v>
      </c>
      <c r="AA2618">
        <v>0.92808109999999999</v>
      </c>
      <c r="AB2618">
        <v>26</v>
      </c>
      <c r="AC2618">
        <v>38.323799999999999</v>
      </c>
      <c r="AD2618">
        <v>-0.65594739999999996</v>
      </c>
      <c r="AE2618">
        <v>-26.1892</v>
      </c>
      <c r="AF2618">
        <v>-17.363669713988699</v>
      </c>
      <c r="AG2618">
        <v>-0.65594739999999996</v>
      </c>
      <c r="AH2618">
        <v>43.037548034968196</v>
      </c>
      <c r="AI2618">
        <v>90.809780558109395</v>
      </c>
      <c r="AJ2618">
        <v>111.971807790762</v>
      </c>
      <c r="AK2618">
        <v>46.412905896854298</v>
      </c>
      <c r="AL2618">
        <v>78.910759515451801</v>
      </c>
      <c r="AM2618">
        <v>97.295563621021799</v>
      </c>
      <c r="AN2618">
        <v>1.000000066585</v>
      </c>
    </row>
    <row r="2619" spans="1:40" x14ac:dyDescent="0.25">
      <c r="A2619" t="str">
        <f>"20190303170548085"</f>
        <v>20190303170548085</v>
      </c>
      <c r="B2619" t="str">
        <f>"1551603948077338"</f>
        <v>1551603948077338</v>
      </c>
      <c r="C2619" t="s">
        <v>40</v>
      </c>
      <c r="D2619">
        <v>5.6149559999999896</v>
      </c>
      <c r="E2619">
        <v>0.39379570000000003</v>
      </c>
      <c r="F2619" t="s">
        <v>74</v>
      </c>
      <c r="G2619">
        <v>-450.56209999999999</v>
      </c>
      <c r="H2619">
        <v>0.67370509999999995</v>
      </c>
      <c r="I2619">
        <v>200.07660000000001</v>
      </c>
      <c r="J2619">
        <v>-490.0958</v>
      </c>
      <c r="K2619">
        <v>1.1285810000000001</v>
      </c>
      <c r="L2619">
        <v>226.07060000000001</v>
      </c>
      <c r="M2619">
        <v>0.56287180000000003</v>
      </c>
      <c r="N2619">
        <v>-1.457727E-2</v>
      </c>
      <c r="O2619">
        <v>-0.82641600000000004</v>
      </c>
      <c r="P2619">
        <v>0.64897039999999995</v>
      </c>
      <c r="Q2619">
        <v>0.17862210000000001</v>
      </c>
      <c r="R2619">
        <v>-0.7395486</v>
      </c>
      <c r="S2619">
        <v>2.6504819999999998</v>
      </c>
      <c r="T2619">
        <v>-3.0393E-2</v>
      </c>
      <c r="U2619">
        <v>-1.749466</v>
      </c>
      <c r="V2619">
        <v>-0.1234674</v>
      </c>
      <c r="W2619">
        <v>0.19067629999999999</v>
      </c>
      <c r="X2619">
        <v>0.97385750000000004</v>
      </c>
      <c r="Y2619">
        <v>-0.3796273</v>
      </c>
      <c r="Z2619">
        <v>-1.4580629999999999E-3</v>
      </c>
      <c r="AA2619">
        <v>0.92513840000000003</v>
      </c>
      <c r="AB2619">
        <v>26</v>
      </c>
      <c r="AC2619">
        <v>39.533700000000003</v>
      </c>
      <c r="AD2619">
        <v>-0.4548759</v>
      </c>
      <c r="AE2619">
        <v>-25.994</v>
      </c>
      <c r="AF2619">
        <v>-18.040237132925402</v>
      </c>
      <c r="AG2619">
        <v>-0.4548759</v>
      </c>
      <c r="AH2619">
        <v>43.734855082372</v>
      </c>
      <c r="AI2619">
        <v>90.550876092747501</v>
      </c>
      <c r="AJ2619">
        <v>112.41571018691</v>
      </c>
      <c r="AK2619">
        <v>47.311675271254799</v>
      </c>
      <c r="AL2619">
        <v>79.007745532416095</v>
      </c>
      <c r="AM2619">
        <v>97.225512824044202</v>
      </c>
      <c r="AN2619">
        <v>1.00000004027534</v>
      </c>
    </row>
    <row r="2620" spans="1:40" x14ac:dyDescent="0.25">
      <c r="A2620" t="str">
        <f>"20190303170548108"</f>
        <v>20190303170548108</v>
      </c>
      <c r="B2620" t="str">
        <f>"1551603948096861"</f>
        <v>1551603948096861</v>
      </c>
      <c r="C2620" t="s">
        <v>40</v>
      </c>
      <c r="D2620">
        <v>5.5936879999999896</v>
      </c>
      <c r="E2620">
        <v>0.39411210000000002</v>
      </c>
      <c r="F2620" t="s">
        <v>74</v>
      </c>
      <c r="G2620">
        <v>-449.91559999999998</v>
      </c>
      <c r="H2620">
        <v>0.59371379999999996</v>
      </c>
      <c r="I2620">
        <v>200.07669999999999</v>
      </c>
      <c r="J2620">
        <v>-489.93920000000003</v>
      </c>
      <c r="K2620">
        <v>1.1284620000000001</v>
      </c>
      <c r="L2620">
        <v>225.8622</v>
      </c>
      <c r="M2620">
        <v>0.57169199999999998</v>
      </c>
      <c r="N2620">
        <v>-1.45503E-2</v>
      </c>
      <c r="O2620">
        <v>-0.82033940000000005</v>
      </c>
      <c r="P2620">
        <v>0.65594519999999901</v>
      </c>
      <c r="Q2620">
        <v>0.17821979999999901</v>
      </c>
      <c r="R2620">
        <v>-0.73346699999999998</v>
      </c>
      <c r="S2620">
        <v>2.666595</v>
      </c>
      <c r="T2620">
        <v>-3.549588E-2</v>
      </c>
      <c r="U2620">
        <v>-1.7251129999999999</v>
      </c>
      <c r="V2620">
        <v>-0.12213640000000001</v>
      </c>
      <c r="W2620">
        <v>0.1903088</v>
      </c>
      <c r="X2620">
        <v>0.97409710000000005</v>
      </c>
      <c r="Y2620">
        <v>-0.37822119999999998</v>
      </c>
      <c r="Z2620">
        <v>1.205484E-4</v>
      </c>
      <c r="AA2620">
        <v>0.92571519999999996</v>
      </c>
      <c r="AB2620">
        <v>26</v>
      </c>
      <c r="AC2620">
        <v>40.023600000000002</v>
      </c>
      <c r="AD2620">
        <v>-0.53474820000000001</v>
      </c>
      <c r="AE2620">
        <v>-25.785499999999999</v>
      </c>
      <c r="AF2620">
        <v>-18.091203450418401</v>
      </c>
      <c r="AG2620">
        <v>-0.53474820000000001</v>
      </c>
      <c r="AH2620">
        <v>44.033136634277497</v>
      </c>
      <c r="AI2620">
        <v>90.643581780064494</v>
      </c>
      <c r="AJ2620">
        <v>112.33552026577</v>
      </c>
      <c r="AK2620">
        <v>47.607717019142903</v>
      </c>
      <c r="AL2620">
        <v>79.0291934863656</v>
      </c>
      <c r="AM2620">
        <v>97.1466905329291</v>
      </c>
      <c r="AN2620">
        <v>0.99999994989540297</v>
      </c>
    </row>
    <row r="2621" spans="1:40" x14ac:dyDescent="0.25">
      <c r="A2621" t="str">
        <f>"20190303170548130"</f>
        <v>20190303170548130</v>
      </c>
      <c r="B2621" t="str">
        <f>"1551603948117353"</f>
        <v>1551603948117353</v>
      </c>
      <c r="C2621" t="s">
        <v>40</v>
      </c>
      <c r="D2621">
        <v>5.5825290000000001</v>
      </c>
      <c r="E2621">
        <v>0.39420290000000002</v>
      </c>
      <c r="F2621" t="s">
        <v>74</v>
      </c>
      <c r="G2621">
        <v>-449.29669999999999</v>
      </c>
      <c r="H2621">
        <v>0.57972429999999997</v>
      </c>
      <c r="I2621">
        <v>200.07669999999999</v>
      </c>
      <c r="J2621">
        <v>-489.79390000000001</v>
      </c>
      <c r="K2621">
        <v>1.128355</v>
      </c>
      <c r="L2621">
        <v>225.67250000000001</v>
      </c>
      <c r="M2621">
        <v>0.57961859999999998</v>
      </c>
      <c r="N2621">
        <v>-1.452584E-2</v>
      </c>
      <c r="O2621">
        <v>-0.814758599999999</v>
      </c>
      <c r="P2621">
        <v>0.66178490000000001</v>
      </c>
      <c r="Q2621">
        <v>0.178281299999999</v>
      </c>
      <c r="R2621">
        <v>-0.72818739999999904</v>
      </c>
      <c r="S2621">
        <v>2.6812740000000002</v>
      </c>
      <c r="T2621">
        <v>-3.6200280000000001E-2</v>
      </c>
      <c r="U2621">
        <v>-1.7011259999999999</v>
      </c>
      <c r="V2621">
        <v>-0.120431</v>
      </c>
      <c r="W2621">
        <v>0.19040940000000001</v>
      </c>
      <c r="X2621">
        <v>0.97428979999999998</v>
      </c>
      <c r="Y2621">
        <v>-0.3774419</v>
      </c>
      <c r="Z2621">
        <v>3.9789790000000001E-4</v>
      </c>
      <c r="AA2621">
        <v>0.9260332</v>
      </c>
      <c r="AB2621">
        <v>26</v>
      </c>
      <c r="AC2621">
        <v>40.497199999999999</v>
      </c>
      <c r="AD2621">
        <v>-0.54863069999999903</v>
      </c>
      <c r="AE2621">
        <v>-25.595800000000001</v>
      </c>
      <c r="AF2621">
        <v>-18.159172203523902</v>
      </c>
      <c r="AG2621">
        <v>-0.54863069999999903</v>
      </c>
      <c r="AH2621">
        <v>44.326186137233499</v>
      </c>
      <c r="AI2621">
        <v>90.656195794861603</v>
      </c>
      <c r="AJ2621">
        <v>112.277510966694</v>
      </c>
      <c r="AK2621">
        <v>47.9047733345528</v>
      </c>
      <c r="AL2621">
        <v>79.023322615175502</v>
      </c>
      <c r="AM2621">
        <v>97.046531363162401</v>
      </c>
      <c r="AN2621">
        <v>0.99999998987670002</v>
      </c>
    </row>
    <row r="2622" spans="1:40" x14ac:dyDescent="0.25">
      <c r="A2622" t="str">
        <f>"20190303170548151"</f>
        <v>20190303170548151</v>
      </c>
      <c r="B2622" t="str">
        <f>"1551603948147610"</f>
        <v>1551603948147610</v>
      </c>
      <c r="C2622" t="s">
        <v>40</v>
      </c>
      <c r="D2622">
        <v>5.5450900000000001</v>
      </c>
      <c r="E2622">
        <v>0.39482729999999999</v>
      </c>
      <c r="F2622" t="s">
        <v>74</v>
      </c>
      <c r="G2622">
        <v>-448.99349999999998</v>
      </c>
      <c r="H2622">
        <v>0.61533640000000001</v>
      </c>
      <c r="I2622">
        <v>200.23269999999999</v>
      </c>
      <c r="J2622">
        <v>-489.64229999999998</v>
      </c>
      <c r="K2622">
        <v>1.1282430000000001</v>
      </c>
      <c r="L2622">
        <v>225.47829999999999</v>
      </c>
      <c r="M2622">
        <v>0.58760919999999905</v>
      </c>
      <c r="N2622">
        <v>-1.450041E-2</v>
      </c>
      <c r="O2622">
        <v>-0.80901499999999904</v>
      </c>
      <c r="P2622">
        <v>0.66885099999999997</v>
      </c>
      <c r="Q2622">
        <v>0.17735319999999999</v>
      </c>
      <c r="R2622">
        <v>-0.72193109999999905</v>
      </c>
      <c r="S2622">
        <v>2.6940309999999998</v>
      </c>
      <c r="T2622">
        <v>-3.3873199999999999E-2</v>
      </c>
      <c r="U2622">
        <v>-1.6797789999999999</v>
      </c>
      <c r="V2622">
        <v>-0.1201353</v>
      </c>
      <c r="W2622">
        <v>0.189497</v>
      </c>
      <c r="X2622">
        <v>0.97450420000000004</v>
      </c>
      <c r="Y2622">
        <v>-0.37558049999999998</v>
      </c>
      <c r="Z2622">
        <v>-2.1681900000000001E-4</v>
      </c>
      <c r="AA2622">
        <v>0.9267898</v>
      </c>
      <c r="AB2622">
        <v>26</v>
      </c>
      <c r="AC2622">
        <v>40.648800000000001</v>
      </c>
      <c r="AD2622">
        <v>-0.51290659999999999</v>
      </c>
      <c r="AE2622">
        <v>-25.2456</v>
      </c>
      <c r="AF2622">
        <v>-18.0507652259456</v>
      </c>
      <c r="AG2622">
        <v>-0.51290659999999999</v>
      </c>
      <c r="AH2622">
        <v>44.309243729286898</v>
      </c>
      <c r="AI2622">
        <v>90.614197695134806</v>
      </c>
      <c r="AJ2622">
        <v>112.165071680281</v>
      </c>
      <c r="AK2622">
        <v>47.847698777306697</v>
      </c>
      <c r="AL2622">
        <v>79.076569059599805</v>
      </c>
      <c r="AM2622">
        <v>97.027871913721995</v>
      </c>
      <c r="AN2622">
        <v>1.0000000195663601</v>
      </c>
    </row>
    <row r="2623" spans="1:40" x14ac:dyDescent="0.25">
      <c r="A2623" t="str">
        <f>"20190303170548175"</f>
        <v>20190303170548175</v>
      </c>
      <c r="B2623" t="str">
        <f>"1551603948167130"</f>
        <v>1551603948167130</v>
      </c>
      <c r="C2623" t="s">
        <v>40</v>
      </c>
      <c r="D2623">
        <v>5.5582099999999999</v>
      </c>
      <c r="E2623">
        <v>0.39537299999999997</v>
      </c>
      <c r="F2623" t="s">
        <v>74</v>
      </c>
      <c r="G2623">
        <v>-448.5444</v>
      </c>
      <c r="H2623">
        <v>0.54881289999999905</v>
      </c>
      <c r="I2623">
        <v>200.322</v>
      </c>
      <c r="J2623">
        <v>-489.47120000000001</v>
      </c>
      <c r="K2623">
        <v>1.128104</v>
      </c>
      <c r="L2623">
        <v>225.26349999999999</v>
      </c>
      <c r="M2623">
        <v>0.59629949999999998</v>
      </c>
      <c r="N2623">
        <v>-1.4470159999999999E-2</v>
      </c>
      <c r="O2623">
        <v>-0.8026316</v>
      </c>
      <c r="P2623">
        <v>0.67725609999999903</v>
      </c>
      <c r="Q2623">
        <v>0.17659339999999901</v>
      </c>
      <c r="R2623">
        <v>-0.71424009999999905</v>
      </c>
      <c r="S2623">
        <v>2.7069399999999999</v>
      </c>
      <c r="T2623">
        <v>-3.8161279999999999E-2</v>
      </c>
      <c r="U2623">
        <v>-1.6569370000000001</v>
      </c>
      <c r="V2623">
        <v>-0.1208494</v>
      </c>
      <c r="W2623">
        <v>0.18873519999999999</v>
      </c>
      <c r="X2623">
        <v>0.97456370000000003</v>
      </c>
      <c r="Y2623">
        <v>-0.37323709999999999</v>
      </c>
      <c r="Z2623">
        <v>1.0949180000000001E-3</v>
      </c>
      <c r="AA2623">
        <v>0.92773539999999999</v>
      </c>
      <c r="AB2623">
        <v>26</v>
      </c>
      <c r="AC2623">
        <v>40.9268</v>
      </c>
      <c r="AD2623">
        <v>-0.57929109999999995</v>
      </c>
      <c r="AE2623">
        <v>-24.941499999999898</v>
      </c>
      <c r="AF2623">
        <v>-17.975795550672899</v>
      </c>
      <c r="AG2623">
        <v>-0.57929109999999995</v>
      </c>
      <c r="AH2623">
        <v>44.421629253072901</v>
      </c>
      <c r="AI2623">
        <v>90.692585803888804</v>
      </c>
      <c r="AJ2623">
        <v>112.031364083703</v>
      </c>
      <c r="AK2623">
        <v>47.924377401856702</v>
      </c>
      <c r="AL2623">
        <v>79.121018653861697</v>
      </c>
      <c r="AM2623">
        <v>97.068797839635394</v>
      </c>
      <c r="AN2623">
        <v>0.999999979278544</v>
      </c>
    </row>
    <row r="2624" spans="1:40" x14ac:dyDescent="0.25">
      <c r="A2624" t="str">
        <f>"20190303170548197"</f>
        <v>20190303170548197</v>
      </c>
      <c r="B2624" t="str">
        <f>"1551603948187626"</f>
        <v>1551603948187626</v>
      </c>
      <c r="C2624" t="s">
        <v>40</v>
      </c>
      <c r="D2624">
        <v>5.5441710000000004</v>
      </c>
      <c r="E2624">
        <v>0.39582600000000001</v>
      </c>
      <c r="F2624" t="s">
        <v>74</v>
      </c>
      <c r="G2624">
        <v>-447.37950000000001</v>
      </c>
      <c r="H2624">
        <v>0.46974850000000001</v>
      </c>
      <c r="I2624">
        <v>200.07669999999999</v>
      </c>
      <c r="J2624">
        <v>-489.32010000000002</v>
      </c>
      <c r="K2624">
        <v>1.12798</v>
      </c>
      <c r="L2624">
        <v>225.07740000000001</v>
      </c>
      <c r="M2624">
        <v>0.60369640000000002</v>
      </c>
      <c r="N2624">
        <v>-1.444232E-2</v>
      </c>
      <c r="O2624">
        <v>-0.797083599999999</v>
      </c>
      <c r="P2624">
        <v>0.68442259999999999</v>
      </c>
      <c r="Q2624">
        <v>0.17629449999999999</v>
      </c>
      <c r="R2624">
        <v>-0.70745059999999904</v>
      </c>
      <c r="S2624">
        <v>2.7226560000000002</v>
      </c>
      <c r="T2624">
        <v>-4.2583940000000001E-2</v>
      </c>
      <c r="U2624">
        <v>-1.629181</v>
      </c>
      <c r="V2624">
        <v>-0.121557399999999</v>
      </c>
      <c r="W2624">
        <v>0.18843219999999999</v>
      </c>
      <c r="X2624">
        <v>0.97453429999999996</v>
      </c>
      <c r="Y2624">
        <v>-0.37397419999999998</v>
      </c>
      <c r="Z2624">
        <v>2.4494339999999999E-3</v>
      </c>
      <c r="AA2624">
        <v>0.92743589999999998</v>
      </c>
      <c r="AB2624">
        <v>26</v>
      </c>
      <c r="AC2624">
        <v>41.940600000000003</v>
      </c>
      <c r="AD2624">
        <v>-0.65823149999999997</v>
      </c>
      <c r="AE2624">
        <v>-25.000699999999998</v>
      </c>
      <c r="AF2624">
        <v>-18.335910510803998</v>
      </c>
      <c r="AG2624">
        <v>-0.65823149999999997</v>
      </c>
      <c r="AH2624">
        <v>45.243530071597903</v>
      </c>
      <c r="AI2624">
        <v>90.772496135519503</v>
      </c>
      <c r="AJ2624">
        <v>112.061306975847</v>
      </c>
      <c r="AK2624">
        <v>48.822288929416203</v>
      </c>
      <c r="AL2624">
        <v>79.138696679692103</v>
      </c>
      <c r="AM2624">
        <v>97.110000310123894</v>
      </c>
      <c r="AN2624">
        <v>0.99999999868404499</v>
      </c>
    </row>
    <row r="2625" spans="1:40" x14ac:dyDescent="0.25">
      <c r="A2625" t="str">
        <f>"20190303170548221"</f>
        <v>20190303170548221</v>
      </c>
      <c r="B2625" t="str">
        <f>"1551603948216906"</f>
        <v>1551603948216906</v>
      </c>
      <c r="C2625" t="s">
        <v>40</v>
      </c>
      <c r="D2625">
        <v>5.5416939999999997</v>
      </c>
      <c r="E2625">
        <v>0.39656629999999998</v>
      </c>
      <c r="F2625" t="s">
        <v>74</v>
      </c>
      <c r="G2625">
        <v>-446.67649999999998</v>
      </c>
      <c r="H2625">
        <v>0.43958950000000002</v>
      </c>
      <c r="I2625">
        <v>200.07669999999999</v>
      </c>
      <c r="J2625">
        <v>-489.14409999999998</v>
      </c>
      <c r="K2625">
        <v>1.127831</v>
      </c>
      <c r="L2625">
        <v>224.86449999999999</v>
      </c>
      <c r="M2625">
        <v>0.61200359999999998</v>
      </c>
      <c r="N2625">
        <v>-1.440964E-2</v>
      </c>
      <c r="O2625">
        <v>-0.79072369999999903</v>
      </c>
      <c r="P2625">
        <v>0.69214960000000003</v>
      </c>
      <c r="Q2625">
        <v>0.17606540000000001</v>
      </c>
      <c r="R2625">
        <v>-0.69995019999999997</v>
      </c>
      <c r="S2625">
        <v>2.736389</v>
      </c>
      <c r="T2625">
        <v>-4.4172169999999997E-2</v>
      </c>
      <c r="U2625">
        <v>-1.604263</v>
      </c>
      <c r="V2625">
        <v>-0.1219549</v>
      </c>
      <c r="W2625">
        <v>0.18820790000000001</v>
      </c>
      <c r="X2625">
        <v>0.97452799999999995</v>
      </c>
      <c r="Y2625">
        <v>-0.37258140000000001</v>
      </c>
      <c r="Z2625">
        <v>2.9680380000000001E-3</v>
      </c>
      <c r="AA2625">
        <v>0.92799480000000001</v>
      </c>
      <c r="AB2625">
        <v>25</v>
      </c>
      <c r="AC2625">
        <v>42.467599999999997</v>
      </c>
      <c r="AD2625">
        <v>-0.68824149999999995</v>
      </c>
      <c r="AE2625">
        <v>-24.787800000000001</v>
      </c>
      <c r="AF2625">
        <v>-18.408220235615801</v>
      </c>
      <c r="AG2625">
        <v>-0.68824149999999995</v>
      </c>
      <c r="AH2625">
        <v>45.586428155113801</v>
      </c>
      <c r="AI2625">
        <v>90.802043904487306</v>
      </c>
      <c r="AJ2625">
        <v>111.989310731879</v>
      </c>
      <c r="AK2625">
        <v>49.167658888202197</v>
      </c>
      <c r="AL2625">
        <v>79.151782455269498</v>
      </c>
      <c r="AM2625">
        <v>97.133056969173296</v>
      </c>
      <c r="AN2625">
        <v>1.0000000170201999</v>
      </c>
    </row>
    <row r="2626" spans="1:40" x14ac:dyDescent="0.25">
      <c r="A2626" t="str">
        <f>"20190303170548245"</f>
        <v>20190303170548245</v>
      </c>
      <c r="B2626" t="str">
        <f>"1551603948237404"</f>
        <v>1551603948237404</v>
      </c>
      <c r="C2626" t="s">
        <v>40</v>
      </c>
      <c r="D2626">
        <v>5.5590979999999997</v>
      </c>
      <c r="E2626">
        <v>0.3969278</v>
      </c>
      <c r="F2626" t="s">
        <v>74</v>
      </c>
      <c r="G2626">
        <v>-445.94080000000002</v>
      </c>
      <c r="H2626">
        <v>0.4056978</v>
      </c>
      <c r="I2626">
        <v>200.07669999999999</v>
      </c>
      <c r="J2626">
        <v>-488.98129999999998</v>
      </c>
      <c r="K2626">
        <v>1.127694</v>
      </c>
      <c r="L2626">
        <v>224.67140000000001</v>
      </c>
      <c r="M2626">
        <v>0.61939</v>
      </c>
      <c r="N2626">
        <v>-1.4379390000000001E-2</v>
      </c>
      <c r="O2626">
        <v>-0.78495170000000003</v>
      </c>
      <c r="P2626">
        <v>0.69945900000000005</v>
      </c>
      <c r="Q2626">
        <v>0.17573440000000001</v>
      </c>
      <c r="R2626">
        <v>-0.69272959999999995</v>
      </c>
      <c r="S2626">
        <v>2.7502749999999998</v>
      </c>
      <c r="T2626">
        <v>-4.5969009999999998E-2</v>
      </c>
      <c r="U2626">
        <v>-1.5779570000000001</v>
      </c>
      <c r="V2626">
        <v>-0.12292989999999999</v>
      </c>
      <c r="W2626">
        <v>0.18787110000000001</v>
      </c>
      <c r="X2626">
        <v>0.97447039999999996</v>
      </c>
      <c r="Y2626">
        <v>-0.37257580000000001</v>
      </c>
      <c r="Z2626">
        <v>3.5486810000000001E-3</v>
      </c>
      <c r="AA2626">
        <v>0.92799500000000001</v>
      </c>
      <c r="AB2626">
        <v>25</v>
      </c>
      <c r="AC2626">
        <v>43.040499999999902</v>
      </c>
      <c r="AD2626">
        <v>-0.72199619999999998</v>
      </c>
      <c r="AE2626">
        <v>-24.5947</v>
      </c>
      <c r="AF2626">
        <v>-18.548986658193801</v>
      </c>
      <c r="AG2626">
        <v>-0.72199619999999998</v>
      </c>
      <c r="AH2626">
        <v>45.959512365854302</v>
      </c>
      <c r="AI2626">
        <v>90.834607794624006</v>
      </c>
      <c r="AJ2626">
        <v>111.97871078004501</v>
      </c>
      <c r="AK2626">
        <v>49.5667525814005</v>
      </c>
      <c r="AL2626">
        <v>79.171429266427495</v>
      </c>
      <c r="AM2626">
        <v>97.189910159164896</v>
      </c>
      <c r="AN2626">
        <v>0.99999993550268795</v>
      </c>
    </row>
    <row r="2627" spans="1:40" x14ac:dyDescent="0.25">
      <c r="A2627" t="str">
        <f>"20190303170548265"</f>
        <v>20190303170548265</v>
      </c>
      <c r="B2627" t="str">
        <f>"1551603948256922"</f>
        <v>1551603948256922</v>
      </c>
      <c r="C2627" t="s">
        <v>40</v>
      </c>
      <c r="D2627">
        <v>5.5429360000000001</v>
      </c>
      <c r="E2627">
        <v>0.39739930000000001</v>
      </c>
      <c r="F2627" t="s">
        <v>74</v>
      </c>
      <c r="G2627">
        <v>-445.17380000000003</v>
      </c>
      <c r="H2627">
        <v>0.369029</v>
      </c>
      <c r="I2627">
        <v>200.07669999999999</v>
      </c>
      <c r="J2627">
        <v>-488.82690000000002</v>
      </c>
      <c r="K2627">
        <v>1.1275729999999999</v>
      </c>
      <c r="L2627">
        <v>224.4913</v>
      </c>
      <c r="M2627">
        <v>0.62615390000000004</v>
      </c>
      <c r="N2627">
        <v>-1.4351340000000001E-2</v>
      </c>
      <c r="O2627">
        <v>-0.77956740000000002</v>
      </c>
      <c r="P2627">
        <v>0.70634969999999997</v>
      </c>
      <c r="Q2627">
        <v>0.175362299999999</v>
      </c>
      <c r="R2627">
        <v>-0.68579760000000001</v>
      </c>
      <c r="S2627">
        <v>2.7641300000000002</v>
      </c>
      <c r="T2627">
        <v>-4.786849E-2</v>
      </c>
      <c r="U2627">
        <v>-1.551849</v>
      </c>
      <c r="V2627">
        <v>-0.12412629999999999</v>
      </c>
      <c r="W2627">
        <v>0.1874894</v>
      </c>
      <c r="X2627">
        <v>0.97439229999999999</v>
      </c>
      <c r="Y2627">
        <v>-0.37319639999999998</v>
      </c>
      <c r="Z2627">
        <v>4.1537060000000001E-3</v>
      </c>
      <c r="AA2627">
        <v>0.92774310000000004</v>
      </c>
      <c r="AB2627">
        <v>25</v>
      </c>
      <c r="AC2627">
        <v>43.653100000000002</v>
      </c>
      <c r="AD2627">
        <v>-0.758543999999999</v>
      </c>
      <c r="AE2627">
        <v>-24.4146</v>
      </c>
      <c r="AF2627">
        <v>-18.740856720021</v>
      </c>
      <c r="AG2627">
        <v>-0.758543999999999</v>
      </c>
      <c r="AH2627">
        <v>46.360497636139598</v>
      </c>
      <c r="AI2627">
        <v>90.869071144381493</v>
      </c>
      <c r="AJ2627">
        <v>112.01062347105101</v>
      </c>
      <c r="AK2627">
        <v>50.010907217034102</v>
      </c>
      <c r="AL2627">
        <v>79.193695249306103</v>
      </c>
      <c r="AM2627">
        <v>97.259717817741304</v>
      </c>
      <c r="AN2627">
        <v>0.999999983881669</v>
      </c>
    </row>
    <row r="2628" spans="1:40" x14ac:dyDescent="0.25">
      <c r="A2628" t="str">
        <f>"20190303170548288"</f>
        <v>20190303170548288</v>
      </c>
      <c r="B2628" t="str">
        <f>"1551603948277418"</f>
        <v>1551603948277418</v>
      </c>
      <c r="C2628" t="s">
        <v>40</v>
      </c>
      <c r="D2628">
        <v>5.5317339999999904</v>
      </c>
      <c r="E2628">
        <v>0.40518670000000001</v>
      </c>
      <c r="F2628" t="s">
        <v>74</v>
      </c>
      <c r="G2628">
        <v>-444.44139999999999</v>
      </c>
      <c r="H2628">
        <v>0.32337860000000002</v>
      </c>
      <c r="I2628">
        <v>200.07679999999999</v>
      </c>
      <c r="J2628">
        <v>-488.66199999999998</v>
      </c>
      <c r="K2628">
        <v>1.127467</v>
      </c>
      <c r="L2628">
        <v>224.30240000000001</v>
      </c>
      <c r="M2628">
        <v>0.63314499999999996</v>
      </c>
      <c r="N2628">
        <v>-1.432315E-2</v>
      </c>
      <c r="O2628">
        <v>-0.7739009</v>
      </c>
      <c r="P2628">
        <v>0.71248159999999905</v>
      </c>
      <c r="Q2628">
        <v>0.1765688</v>
      </c>
      <c r="R2628">
        <v>-0.67911279999999996</v>
      </c>
      <c r="S2628">
        <v>2.7767330000000001</v>
      </c>
      <c r="T2628">
        <v>-5.0308819999999997E-2</v>
      </c>
      <c r="U2628">
        <v>-1.5273589999999999</v>
      </c>
      <c r="V2628">
        <v>-0.124271699999999</v>
      </c>
      <c r="W2628">
        <v>0.18869720000000001</v>
      </c>
      <c r="X2628">
        <v>0.97414060000000002</v>
      </c>
      <c r="Y2628">
        <v>-0.37289990000000001</v>
      </c>
      <c r="Z2628">
        <v>4.8985259999999899E-3</v>
      </c>
      <c r="AA2628">
        <v>0.92785870000000004</v>
      </c>
      <c r="AB2628">
        <v>25</v>
      </c>
      <c r="AC2628">
        <v>44.220599999999898</v>
      </c>
      <c r="AD2628">
        <v>-0.80408840000000004</v>
      </c>
      <c r="AE2628">
        <v>-24.2256</v>
      </c>
      <c r="AF2628">
        <v>-18.881176919732098</v>
      </c>
      <c r="AG2628">
        <v>-0.80408840000000004</v>
      </c>
      <c r="AH2628">
        <v>46.739166602100099</v>
      </c>
      <c r="AI2628">
        <v>90.913867259308404</v>
      </c>
      <c r="AJ2628">
        <v>111.997183922091</v>
      </c>
      <c r="AK2628">
        <v>50.415226813811998</v>
      </c>
      <c r="AL2628">
        <v>79.123235943844804</v>
      </c>
      <c r="AM2628">
        <v>97.269988739953703</v>
      </c>
      <c r="AN2628">
        <v>0.99999999863854405</v>
      </c>
    </row>
    <row r="2629" spans="1:40" x14ac:dyDescent="0.25">
      <c r="A2629" t="str">
        <f>"20190303170548311"</f>
        <v>20190303170548311</v>
      </c>
      <c r="B2629" t="str">
        <f>"1551603948307674"</f>
        <v>1551603948307674</v>
      </c>
      <c r="C2629" t="s">
        <v>40</v>
      </c>
      <c r="D2629">
        <v>5.5353820000000002</v>
      </c>
      <c r="E2629">
        <v>0.40724519999999997</v>
      </c>
      <c r="F2629" t="s">
        <v>43</v>
      </c>
      <c r="G2629">
        <v>-440.63459999999998</v>
      </c>
      <c r="H2629">
        <v>-0.05</v>
      </c>
      <c r="I2629">
        <v>197.24199999999999</v>
      </c>
      <c r="J2629">
        <v>-488.50150000000002</v>
      </c>
      <c r="K2629">
        <v>1.1273879999999901</v>
      </c>
      <c r="L2629">
        <v>224.12129999999999</v>
      </c>
      <c r="M2629">
        <v>0.63975859999999996</v>
      </c>
      <c r="N2629">
        <v>-1.429823E-2</v>
      </c>
      <c r="O2629">
        <v>-0.76844319999999999</v>
      </c>
      <c r="P2629">
        <v>0.71761079999999999</v>
      </c>
      <c r="Q2629">
        <v>0.1783053</v>
      </c>
      <c r="R2629">
        <v>-0.67323269999999902</v>
      </c>
      <c r="S2629">
        <v>2.750305</v>
      </c>
      <c r="T2629">
        <v>-6.7427989999999993E-2</v>
      </c>
      <c r="U2629">
        <v>-1.5496219999999901</v>
      </c>
      <c r="V2629">
        <v>-0.12357750000000001</v>
      </c>
      <c r="W2629">
        <v>0.19044410000000001</v>
      </c>
      <c r="X2629">
        <v>0.97388889999999995</v>
      </c>
      <c r="Y2629">
        <v>-0.35535620000000001</v>
      </c>
      <c r="Z2629">
        <v>9.6144899999999998E-3</v>
      </c>
      <c r="AA2629">
        <v>0.93468150000000005</v>
      </c>
      <c r="AB2629">
        <v>25</v>
      </c>
      <c r="AC2629">
        <v>47.866900000000001</v>
      </c>
      <c r="AD2629">
        <v>-1.1773880000000001</v>
      </c>
      <c r="AE2629">
        <v>-26.879299999999901</v>
      </c>
      <c r="AF2629">
        <v>-19.579722274501801</v>
      </c>
      <c r="AG2629">
        <v>-1.1773880000000001</v>
      </c>
      <c r="AH2629">
        <v>51.260128623374698</v>
      </c>
      <c r="AI2629">
        <v>91.229200287837699</v>
      </c>
      <c r="AJ2629">
        <v>110.90525051190301</v>
      </c>
      <c r="AK2629">
        <v>54.884902781494297</v>
      </c>
      <c r="AL2629">
        <v>79.021297190153405</v>
      </c>
      <c r="AM2629">
        <v>97.231657167631397</v>
      </c>
      <c r="AN2629">
        <v>0.99999997163713406</v>
      </c>
    </row>
    <row r="2630" spans="1:40" x14ac:dyDescent="0.25">
      <c r="A2630" t="str">
        <f>"20190303170548331"</f>
        <v>20190303170548331</v>
      </c>
      <c r="B2630" t="str">
        <f>"1551603948327193"</f>
        <v>1551603948327193</v>
      </c>
      <c r="C2630" t="s">
        <v>40</v>
      </c>
      <c r="D2630">
        <v>5.5239710000000004</v>
      </c>
      <c r="E2630">
        <v>0.4081495</v>
      </c>
      <c r="F2630" t="s">
        <v>43</v>
      </c>
      <c r="G2630">
        <v>-437.95389999999998</v>
      </c>
      <c r="H2630">
        <v>-0.05</v>
      </c>
      <c r="I2630">
        <v>195.8304</v>
      </c>
      <c r="J2630">
        <v>-488.34589999999997</v>
      </c>
      <c r="K2630">
        <v>1.1273200000000001</v>
      </c>
      <c r="L2630">
        <v>223.9487</v>
      </c>
      <c r="M2630">
        <v>0.64600019999999903</v>
      </c>
      <c r="N2630">
        <v>-1.4276580000000001E-2</v>
      </c>
      <c r="O2630">
        <v>-0.76320390000000005</v>
      </c>
      <c r="P2630">
        <v>0.72304369999999996</v>
      </c>
      <c r="Q2630">
        <v>0.17875559999999999</v>
      </c>
      <c r="R2630">
        <v>-0.66727419999999904</v>
      </c>
      <c r="S2630">
        <v>2.7516780000000001</v>
      </c>
      <c r="T2630">
        <v>-6.4093949999999997E-2</v>
      </c>
      <c r="U2630">
        <v>-1.5400849999999999</v>
      </c>
      <c r="V2630">
        <v>-0.12358420000000001</v>
      </c>
      <c r="W2630">
        <v>0.19089339999999999</v>
      </c>
      <c r="X2630">
        <v>0.97380009999999995</v>
      </c>
      <c r="Y2630">
        <v>-0.3504082</v>
      </c>
      <c r="Z2630">
        <v>8.6598730000000002E-3</v>
      </c>
      <c r="AA2630">
        <v>0.93655710000000003</v>
      </c>
      <c r="AB2630">
        <v>25</v>
      </c>
      <c r="AC2630">
        <v>50.392000000000003</v>
      </c>
      <c r="AD2630">
        <v>-1.1773199999999999</v>
      </c>
      <c r="AE2630">
        <v>-28.118300000000001</v>
      </c>
      <c r="AF2630">
        <v>-20.288564373887599</v>
      </c>
      <c r="AG2630">
        <v>-1.1773199999999999</v>
      </c>
      <c r="AH2630">
        <v>53.996260793210503</v>
      </c>
      <c r="AI2630">
        <v>91.169273121840504</v>
      </c>
      <c r="AJ2630">
        <v>110.593216479063</v>
      </c>
      <c r="AK2630">
        <v>57.694090740596501</v>
      </c>
      <c r="AL2630">
        <v>78.995073300961707</v>
      </c>
      <c r="AM2630">
        <v>97.232697595864494</v>
      </c>
      <c r="AN2630">
        <v>0.99999998970660398</v>
      </c>
    </row>
    <row r="2631" spans="1:40" x14ac:dyDescent="0.25">
      <c r="A2631" t="str">
        <f>"20190303170548352"</f>
        <v>20190303170548352</v>
      </c>
      <c r="B2631" t="str">
        <f>"1551603948347689"</f>
        <v>1551603948347689</v>
      </c>
      <c r="C2631" t="s">
        <v>40</v>
      </c>
      <c r="D2631">
        <v>5.577623</v>
      </c>
      <c r="E2631">
        <v>0.40535510000000002</v>
      </c>
      <c r="F2631" t="s">
        <v>43</v>
      </c>
      <c r="G2631">
        <v>-438.01510000000002</v>
      </c>
      <c r="H2631">
        <v>-0.05</v>
      </c>
      <c r="I2631">
        <v>196.16810000000001</v>
      </c>
      <c r="J2631">
        <v>-488.18099999999998</v>
      </c>
      <c r="K2631">
        <v>1.1272549999999999</v>
      </c>
      <c r="L2631">
        <v>223.7687</v>
      </c>
      <c r="M2631">
        <v>0.65246300000000002</v>
      </c>
      <c r="N2631">
        <v>-1.425585E-2</v>
      </c>
      <c r="O2631">
        <v>-0.75768649999999904</v>
      </c>
      <c r="P2631">
        <v>0.73004309999999994</v>
      </c>
      <c r="Q2631">
        <v>0.17781620000000001</v>
      </c>
      <c r="R2631">
        <v>-0.65986250000000002</v>
      </c>
      <c r="S2631">
        <v>2.7594599999999998</v>
      </c>
      <c r="T2631">
        <v>-6.4548369999999994E-2</v>
      </c>
      <c r="U2631">
        <v>-1.5231170000000001</v>
      </c>
      <c r="V2631">
        <v>-0.125380399999999</v>
      </c>
      <c r="W2631">
        <v>0.18992400000000001</v>
      </c>
      <c r="X2631">
        <v>0.97376010000000002</v>
      </c>
      <c r="Y2631">
        <v>-0.3479756</v>
      </c>
      <c r="Z2631">
        <v>8.7842279999999998E-3</v>
      </c>
      <c r="AA2631">
        <v>0.93746240000000003</v>
      </c>
      <c r="AB2631">
        <v>25</v>
      </c>
      <c r="AC2631">
        <v>50.165899999999901</v>
      </c>
      <c r="AD2631">
        <v>-1.1772549999999999</v>
      </c>
      <c r="AE2631">
        <v>-27.600599999999901</v>
      </c>
      <c r="AF2631">
        <v>-19.995234532983002</v>
      </c>
      <c r="AG2631">
        <v>-1.1772549999999999</v>
      </c>
      <c r="AH2631">
        <v>53.626776307753303</v>
      </c>
      <c r="AI2631">
        <v>91.178375808989898</v>
      </c>
      <c r="AJ2631">
        <v>110.448430887407</v>
      </c>
      <c r="AK2631">
        <v>57.245318328452299</v>
      </c>
      <c r="AL2631">
        <v>79.051651609518601</v>
      </c>
      <c r="AM2631">
        <v>97.336980041796593</v>
      </c>
      <c r="AN2631">
        <v>1.0000000514160801</v>
      </c>
    </row>
    <row r="2632" spans="1:40" x14ac:dyDescent="0.25">
      <c r="A2632" t="str">
        <f>"20190303170548375"</f>
        <v>20190303170548375</v>
      </c>
      <c r="B2632" t="str">
        <f>"1551603948367210"</f>
        <v>1551603948367210</v>
      </c>
      <c r="C2632" t="s">
        <v>40</v>
      </c>
      <c r="D2632">
        <v>5.386177</v>
      </c>
      <c r="E2632">
        <v>0.36253150000000001</v>
      </c>
      <c r="F2632" t="s">
        <v>74</v>
      </c>
      <c r="G2632">
        <v>-443.45499999999998</v>
      </c>
      <c r="H2632">
        <v>0.169486</v>
      </c>
      <c r="I2632">
        <v>200.07679999999999</v>
      </c>
      <c r="J2632">
        <v>-488.00080000000003</v>
      </c>
      <c r="K2632">
        <v>1.127202</v>
      </c>
      <c r="L2632">
        <v>223.5754</v>
      </c>
      <c r="M2632">
        <v>0.65936830000000002</v>
      </c>
      <c r="N2632">
        <v>-1.4235899999999999E-2</v>
      </c>
      <c r="O2632">
        <v>-0.75168539999999995</v>
      </c>
      <c r="P2632">
        <v>0.73695730000000004</v>
      </c>
      <c r="Q2632">
        <v>0.17645829999999901</v>
      </c>
      <c r="R2632">
        <v>-0.65250030000000003</v>
      </c>
      <c r="S2632">
        <v>2.7886959999999998</v>
      </c>
      <c r="T2632">
        <v>-5.9716459999999999E-2</v>
      </c>
      <c r="U2632">
        <v>-1.477203</v>
      </c>
      <c r="V2632">
        <v>-0.12645319999999999</v>
      </c>
      <c r="W2632">
        <v>0.18854689999999999</v>
      </c>
      <c r="X2632">
        <v>0.97388889999999995</v>
      </c>
      <c r="Y2632">
        <v>-0.35553829999999997</v>
      </c>
      <c r="Z2632">
        <v>7.5400569999999898E-3</v>
      </c>
      <c r="AA2632">
        <v>0.93463130000000005</v>
      </c>
      <c r="AB2632">
        <v>25</v>
      </c>
      <c r="AC2632">
        <v>44.5458</v>
      </c>
      <c r="AD2632">
        <v>-0.95771600000000001</v>
      </c>
      <c r="AE2632">
        <v>-23.4986</v>
      </c>
      <c r="AF2632">
        <v>-17.985513697942999</v>
      </c>
      <c r="AG2632">
        <v>-0.95771600000000001</v>
      </c>
      <c r="AH2632">
        <v>47.023402166229097</v>
      </c>
      <c r="AI2632">
        <v>91.089796753519295</v>
      </c>
      <c r="AJ2632">
        <v>110.930855891044</v>
      </c>
      <c r="AK2632">
        <v>50.354704588573099</v>
      </c>
      <c r="AL2632">
        <v>79.1320045610656</v>
      </c>
      <c r="AM2632">
        <v>97.398097458373499</v>
      </c>
      <c r="AN2632">
        <v>0.99999996741652897</v>
      </c>
    </row>
    <row r="2633" spans="1:40" x14ac:dyDescent="0.25">
      <c r="A2633" t="str">
        <f>"20190303170548397"</f>
        <v>20190303170548397</v>
      </c>
      <c r="B2633" t="str">
        <f>"1551603948387706"</f>
        <v>1551603948387706</v>
      </c>
      <c r="C2633" t="s">
        <v>40</v>
      </c>
      <c r="D2633">
        <v>5.3495670000000004</v>
      </c>
      <c r="E2633">
        <v>0.34607700000000002</v>
      </c>
      <c r="F2633" t="s">
        <v>75</v>
      </c>
      <c r="G2633">
        <v>-345.98320000000001</v>
      </c>
      <c r="H2633">
        <v>4.9905710000000001</v>
      </c>
      <c r="I2633">
        <v>167.9273</v>
      </c>
      <c r="J2633">
        <v>-487.83530000000002</v>
      </c>
      <c r="K2633">
        <v>1.1271770000000001</v>
      </c>
      <c r="L2633">
        <v>223.4007</v>
      </c>
      <c r="M2633">
        <v>0.6655932</v>
      </c>
      <c r="N2633">
        <v>-1.422003E-2</v>
      </c>
      <c r="O2633">
        <v>-0.74617909999999998</v>
      </c>
      <c r="P2633">
        <v>0.74204680000000001</v>
      </c>
      <c r="Q2633">
        <v>0.17753339999999901</v>
      </c>
      <c r="R2633">
        <v>-0.64641210000000004</v>
      </c>
      <c r="S2633">
        <v>3.0077210000000001</v>
      </c>
      <c r="T2633">
        <v>8.1822039999999999E-2</v>
      </c>
      <c r="U2633">
        <v>-1.1785429999999999</v>
      </c>
      <c r="V2633">
        <v>-0.1261853</v>
      </c>
      <c r="W2633">
        <v>0.1896169</v>
      </c>
      <c r="X2633">
        <v>0.97371600000000003</v>
      </c>
      <c r="Y2633">
        <v>-0.45139059999999998</v>
      </c>
      <c r="Z2633">
        <v>-3.1267459999999997E-2</v>
      </c>
      <c r="AA2633">
        <v>0.89177850000000003</v>
      </c>
      <c r="AB2633">
        <v>25</v>
      </c>
      <c r="AC2633">
        <v>141.85210000000001</v>
      </c>
      <c r="AD2633">
        <v>3.863394</v>
      </c>
      <c r="AE2633">
        <v>-55.473399999999998</v>
      </c>
      <c r="AF2633">
        <v>-68.887012128679004</v>
      </c>
      <c r="AG2633">
        <v>3.863394</v>
      </c>
      <c r="AH2633">
        <v>135.73530528000501</v>
      </c>
      <c r="AI2633">
        <v>88.546081269728901</v>
      </c>
      <c r="AJ2633">
        <v>116.908244889336</v>
      </c>
      <c r="AK2633">
        <v>152.26430754668701</v>
      </c>
      <c r="AL2633">
        <v>79.069573044003306</v>
      </c>
      <c r="AM2633">
        <v>97.383893593469196</v>
      </c>
      <c r="AN2633">
        <v>1.0000000736788399</v>
      </c>
    </row>
    <row r="2634" spans="1:40" x14ac:dyDescent="0.25">
      <c r="A2634" t="str">
        <f>"20190303170548425"</f>
        <v>20190303170548425</v>
      </c>
      <c r="B2634" t="str">
        <f>"1551603948416986"</f>
        <v>1551603948416986</v>
      </c>
      <c r="C2634" t="s">
        <v>40</v>
      </c>
      <c r="D2634">
        <v>5.4571839999999998</v>
      </c>
      <c r="E2634">
        <v>0.34472399999999997</v>
      </c>
      <c r="F2634" t="s">
        <v>55</v>
      </c>
      <c r="G2634">
        <v>-161.76230000000001</v>
      </c>
      <c r="H2634">
        <v>16.779060000000001</v>
      </c>
      <c r="I2634">
        <v>112.8694</v>
      </c>
      <c r="J2634">
        <v>-487.63470000000001</v>
      </c>
      <c r="K2634">
        <v>1.1271519999999999</v>
      </c>
      <c r="L2634">
        <v>223.19280000000001</v>
      </c>
      <c r="M2634">
        <v>0.6730003</v>
      </c>
      <c r="N2634">
        <v>-1.420362E-2</v>
      </c>
      <c r="O2634">
        <v>-0.739506</v>
      </c>
      <c r="P2634">
        <v>0.74756429999999996</v>
      </c>
      <c r="Q2634">
        <v>0.17883840000000001</v>
      </c>
      <c r="R2634">
        <v>-0.63966009999999995</v>
      </c>
      <c r="S2634">
        <v>3.0937809999999999</v>
      </c>
      <c r="T2634">
        <v>0.1485051</v>
      </c>
      <c r="U2634">
        <v>-1.048721</v>
      </c>
      <c r="V2634">
        <v>-0.12507560000000001</v>
      </c>
      <c r="W2634">
        <v>0.19092809999999999</v>
      </c>
      <c r="X2634">
        <v>0.97360290000000005</v>
      </c>
      <c r="Y2634">
        <v>-0.48291040000000002</v>
      </c>
      <c r="Z2634">
        <v>-4.950297E-2</v>
      </c>
      <c r="AA2634">
        <v>0.87426939999999997</v>
      </c>
      <c r="AB2634">
        <v>25</v>
      </c>
      <c r="AC2634">
        <v>325.87240000000003</v>
      </c>
      <c r="AD2634">
        <v>15.651907999999899</v>
      </c>
      <c r="AE2634">
        <v>-110.32340000000001</v>
      </c>
      <c r="AF2634">
        <v>-166.40928962716899</v>
      </c>
      <c r="AG2634">
        <v>15.651907999999899</v>
      </c>
      <c r="AH2634">
        <v>300.30580164995501</v>
      </c>
      <c r="AI2634">
        <v>87.389778775209393</v>
      </c>
      <c r="AJ2634">
        <v>118.992273761028</v>
      </c>
      <c r="AK2634">
        <v>343.68678822858698</v>
      </c>
      <c r="AL2634">
        <v>78.993048289037404</v>
      </c>
      <c r="AM2634">
        <v>97.320506453651703</v>
      </c>
      <c r="AN2634">
        <v>1.0000000259866799</v>
      </c>
    </row>
    <row r="2635" spans="1:40" x14ac:dyDescent="0.25">
      <c r="A2635" t="str">
        <f>"20190303170548445"</f>
        <v>20190303170548445</v>
      </c>
      <c r="B2635" t="str">
        <f>"1551603948437566"</f>
        <v>1551603948437566</v>
      </c>
      <c r="C2635" t="s">
        <v>40</v>
      </c>
      <c r="D2635">
        <v>5.2950559999999998</v>
      </c>
      <c r="E2635">
        <v>0.3412153</v>
      </c>
      <c r="F2635" t="s">
        <v>55</v>
      </c>
      <c r="G2635">
        <v>-158.60429999999999</v>
      </c>
      <c r="H2635">
        <v>17.057359999999999</v>
      </c>
      <c r="I2635">
        <v>116.033</v>
      </c>
      <c r="J2635">
        <v>-487.46980000000002</v>
      </c>
      <c r="K2635">
        <v>1.127143</v>
      </c>
      <c r="L2635">
        <v>223.02510000000001</v>
      </c>
      <c r="M2635">
        <v>0.67898329999999996</v>
      </c>
      <c r="N2635">
        <v>-1.419217E-2</v>
      </c>
      <c r="O2635">
        <v>-0.73401680000000002</v>
      </c>
      <c r="P2635">
        <v>0.75182439999999995</v>
      </c>
      <c r="Q2635">
        <v>0.17897370000000001</v>
      </c>
      <c r="R2635">
        <v>-0.63460919999999998</v>
      </c>
      <c r="S2635">
        <v>3.1102910000000001</v>
      </c>
      <c r="T2635">
        <v>0.15058669999999999</v>
      </c>
      <c r="U2635">
        <v>-1.0129699999999999</v>
      </c>
      <c r="V2635">
        <v>-0.12369570000000001</v>
      </c>
      <c r="W2635">
        <v>0.19107879999999999</v>
      </c>
      <c r="X2635">
        <v>0.97374959999999999</v>
      </c>
      <c r="Y2635">
        <v>-0.48624410000000001</v>
      </c>
      <c r="Z2635">
        <v>-4.9783229999999998E-2</v>
      </c>
      <c r="AA2635">
        <v>0.8724037</v>
      </c>
      <c r="AB2635">
        <v>25</v>
      </c>
      <c r="AC2635">
        <v>328.8655</v>
      </c>
      <c r="AD2635">
        <v>15.930217000000001</v>
      </c>
      <c r="AE2635">
        <v>-106.99209999999999</v>
      </c>
      <c r="AF2635">
        <v>-168.40658376272299</v>
      </c>
      <c r="AG2635">
        <v>15.930217000000001</v>
      </c>
      <c r="AH2635">
        <v>301.21938234940001</v>
      </c>
      <c r="AI2635">
        <v>87.357035142985396</v>
      </c>
      <c r="AJ2635">
        <v>119.208806009534</v>
      </c>
      <c r="AK2635">
        <v>345.46731476545301</v>
      </c>
      <c r="AL2635">
        <v>78.984251675381799</v>
      </c>
      <c r="AM2635">
        <v>97.239525327139901</v>
      </c>
      <c r="AN2635">
        <v>1.0000000087540399</v>
      </c>
    </row>
    <row r="2636" spans="1:40" x14ac:dyDescent="0.25">
      <c r="A2636" t="str">
        <f>"20190303170548477"</f>
        <v>20190303170548477</v>
      </c>
      <c r="B2636" t="str">
        <f>"1551603948466846"</f>
        <v>1551603948466846</v>
      </c>
      <c r="C2636" t="s">
        <v>40</v>
      </c>
      <c r="D2636">
        <v>5.3195600000000001</v>
      </c>
      <c r="E2636">
        <v>0.3386574</v>
      </c>
      <c r="F2636" t="s">
        <v>55</v>
      </c>
      <c r="G2636">
        <v>-147.48060000000001</v>
      </c>
      <c r="H2636">
        <v>19.655919999999998</v>
      </c>
      <c r="I2636">
        <v>117.9066</v>
      </c>
      <c r="J2636">
        <v>-487.2226</v>
      </c>
      <c r="K2636">
        <v>1.1271279999999999</v>
      </c>
      <c r="L2636">
        <v>222.77889999999999</v>
      </c>
      <c r="M2636">
        <v>0.68778569999999895</v>
      </c>
      <c r="N2636">
        <v>-1.4177449999999999E-2</v>
      </c>
      <c r="O2636">
        <v>-0.72577539999999996</v>
      </c>
      <c r="P2636">
        <v>0.75936239999999999</v>
      </c>
      <c r="Q2636">
        <v>0.177565</v>
      </c>
      <c r="R2636">
        <v>-0.62597080000000005</v>
      </c>
      <c r="S2636">
        <v>3.1322329999999998</v>
      </c>
      <c r="T2636">
        <v>0.17070150000000001</v>
      </c>
      <c r="U2636">
        <v>-0.9684296</v>
      </c>
      <c r="V2636">
        <v>-0.1232982</v>
      </c>
      <c r="W2636">
        <v>0.18967020000000001</v>
      </c>
      <c r="X2636">
        <v>0.97407529999999998</v>
      </c>
      <c r="Y2636">
        <v>-0.48845959999999999</v>
      </c>
      <c r="Z2636">
        <v>-5.4826390000000003E-2</v>
      </c>
      <c r="AA2636">
        <v>0.87086239999999904</v>
      </c>
      <c r="AB2636">
        <v>25</v>
      </c>
      <c r="AC2636">
        <v>339.74200000000002</v>
      </c>
      <c r="AD2636">
        <v>18.528791999999999</v>
      </c>
      <c r="AE2636">
        <v>-104.8723</v>
      </c>
      <c r="AF2636">
        <v>-173.99174829519399</v>
      </c>
      <c r="AG2636">
        <v>18.528791999999999</v>
      </c>
      <c r="AH2636">
        <v>308.975487675306</v>
      </c>
      <c r="AI2636">
        <v>87.008837730601996</v>
      </c>
      <c r="AJ2636">
        <v>119.38493871562299</v>
      </c>
      <c r="AK2636">
        <v>355.08069025503301</v>
      </c>
      <c r="AL2636">
        <v>79.066461483552104</v>
      </c>
      <c r="AM2636">
        <v>97.214118991997196</v>
      </c>
      <c r="AN2636">
        <v>0.99999996048068396</v>
      </c>
    </row>
    <row r="2637" spans="1:40" x14ac:dyDescent="0.25">
      <c r="A2637" t="str">
        <f>"20190303170548499"</f>
        <v>20190303170548499</v>
      </c>
      <c r="B2637" t="str">
        <f>"1551603948487341"</f>
        <v>1551603948487341</v>
      </c>
      <c r="C2637" t="s">
        <v>40</v>
      </c>
      <c r="D2637">
        <v>5.3210259999999998</v>
      </c>
      <c r="E2637">
        <v>0.3379395</v>
      </c>
      <c r="F2637" t="s">
        <v>55</v>
      </c>
      <c r="G2637">
        <v>-125.84869999999999</v>
      </c>
      <c r="H2637">
        <v>21.73922</v>
      </c>
      <c r="I2637">
        <v>117.90730000000001</v>
      </c>
      <c r="J2637">
        <v>-487.04660000000001</v>
      </c>
      <c r="K2637">
        <v>1.127127</v>
      </c>
      <c r="L2637">
        <v>222.607</v>
      </c>
      <c r="M2637">
        <v>0.69394029999999995</v>
      </c>
      <c r="N2637">
        <v>-1.4168399999999999E-2</v>
      </c>
      <c r="O2637">
        <v>-0.71989349999999996</v>
      </c>
      <c r="P2637">
        <v>0.7651</v>
      </c>
      <c r="Q2637">
        <v>0.17880360000000001</v>
      </c>
      <c r="R2637">
        <v>-0.61858840000000004</v>
      </c>
      <c r="S2637">
        <v>3.1540530000000002</v>
      </c>
      <c r="T2637">
        <v>0.17990139999999999</v>
      </c>
      <c r="U2637">
        <v>-0.91531370000000001</v>
      </c>
      <c r="V2637">
        <v>-0.1242451</v>
      </c>
      <c r="W2637">
        <v>0.190885</v>
      </c>
      <c r="X2637">
        <v>0.97371759999999996</v>
      </c>
      <c r="Y2637">
        <v>-0.49602269999999998</v>
      </c>
      <c r="Z2637">
        <v>-5.7059739999999998E-2</v>
      </c>
      <c r="AA2637">
        <v>0.86643269999999994</v>
      </c>
      <c r="AB2637">
        <v>25</v>
      </c>
      <c r="AC2637">
        <v>361.1979</v>
      </c>
      <c r="AD2637">
        <v>20.612093000000002</v>
      </c>
      <c r="AE2637">
        <v>-104.69970000000001</v>
      </c>
      <c r="AF2637">
        <v>-186.82619296593799</v>
      </c>
      <c r="AG2637">
        <v>20.612093000000002</v>
      </c>
      <c r="AH2637">
        <v>325.07848389053299</v>
      </c>
      <c r="AI2637">
        <v>86.8533680368093</v>
      </c>
      <c r="AJ2637">
        <v>119.88645779148</v>
      </c>
      <c r="AK2637">
        <v>375.50619894291299</v>
      </c>
      <c r="AL2637">
        <v>78.995563118004597</v>
      </c>
      <c r="AM2637">
        <v>97.2715730156592</v>
      </c>
      <c r="AN2637">
        <v>0.99999994632438305</v>
      </c>
    </row>
    <row r="2638" spans="1:40" x14ac:dyDescent="0.25">
      <c r="A2638" t="str">
        <f>"20190303170548521"</f>
        <v>20190303170548521</v>
      </c>
      <c r="B2638" t="str">
        <f>"1551603948506865"</f>
        <v>1551603948506865</v>
      </c>
      <c r="C2638" t="s">
        <v>40</v>
      </c>
      <c r="D2638">
        <v>5.2940620000000003</v>
      </c>
      <c r="E2638">
        <v>0.33764509999999998</v>
      </c>
      <c r="F2638" t="s">
        <v>76</v>
      </c>
      <c r="G2638">
        <v>-101.5921</v>
      </c>
      <c r="H2638">
        <v>23.987860000000001</v>
      </c>
      <c r="I2638">
        <v>115.3447</v>
      </c>
      <c r="J2638">
        <v>-486.8741</v>
      </c>
      <c r="K2638">
        <v>1.1271359999999999</v>
      </c>
      <c r="L2638">
        <v>222.44130000000001</v>
      </c>
      <c r="M2638">
        <v>0.69988149999999905</v>
      </c>
      <c r="N2638">
        <v>-1.416034E-2</v>
      </c>
      <c r="O2638">
        <v>-0.71411859999999905</v>
      </c>
      <c r="P2638">
        <v>0.77069350000000003</v>
      </c>
      <c r="Q2638">
        <v>0.1806498</v>
      </c>
      <c r="R2638">
        <v>-0.61106289999999996</v>
      </c>
      <c r="S2638">
        <v>3.1650999999999998</v>
      </c>
      <c r="T2638">
        <v>0.18771740000000001</v>
      </c>
      <c r="U2638">
        <v>-0.88076779999999999</v>
      </c>
      <c r="V2638">
        <v>-0.12543509999999999</v>
      </c>
      <c r="W2638">
        <v>0.1927017</v>
      </c>
      <c r="X2638">
        <v>0.97320709999999999</v>
      </c>
      <c r="Y2638">
        <v>-0.49825360000000002</v>
      </c>
      <c r="Z2638">
        <v>-5.8879760000000003E-2</v>
      </c>
      <c r="AA2638">
        <v>0.86502979999999996</v>
      </c>
      <c r="AB2638">
        <v>25</v>
      </c>
      <c r="AC2638">
        <v>385.28199999999998</v>
      </c>
      <c r="AD2638">
        <v>22.860723999999902</v>
      </c>
      <c r="AE2638">
        <v>-107.0966</v>
      </c>
      <c r="AF2638">
        <v>-199.550030561255</v>
      </c>
      <c r="AG2638">
        <v>22.860723999999902</v>
      </c>
      <c r="AH2638">
        <v>345.03849468629198</v>
      </c>
      <c r="AI2638">
        <v>86.717432196945495</v>
      </c>
      <c r="AJ2638">
        <v>120.042570500612</v>
      </c>
      <c r="AK2638">
        <v>399.24227007443102</v>
      </c>
      <c r="AL2638">
        <v>78.889505347187495</v>
      </c>
      <c r="AM2638">
        <v>97.344271389208899</v>
      </c>
      <c r="AN2638">
        <v>0.99999998449265404</v>
      </c>
    </row>
    <row r="2639" spans="1:40" x14ac:dyDescent="0.25">
      <c r="A2639" t="str">
        <f>"20190303170548542"</f>
        <v>20190303170548542</v>
      </c>
      <c r="B2639" t="str">
        <f>"1551603948527358"</f>
        <v>1551603948527358</v>
      </c>
      <c r="C2639" t="s">
        <v>40</v>
      </c>
      <c r="D2639">
        <v>5.31454</v>
      </c>
      <c r="E2639">
        <v>0.33802470000000001</v>
      </c>
      <c r="F2639" t="s">
        <v>76</v>
      </c>
      <c r="G2639">
        <v>-98.815420000000003</v>
      </c>
      <c r="H2639">
        <v>25.008959999999998</v>
      </c>
      <c r="I2639">
        <v>118.675</v>
      </c>
      <c r="J2639">
        <v>-486.69439999999997</v>
      </c>
      <c r="K2639">
        <v>1.12714</v>
      </c>
      <c r="L2639">
        <v>222.2715</v>
      </c>
      <c r="M2639">
        <v>0.70597580000000004</v>
      </c>
      <c r="N2639">
        <v>-1.415252E-2</v>
      </c>
      <c r="O2639">
        <v>-0.70809469999999997</v>
      </c>
      <c r="P2639">
        <v>0.77629669999999995</v>
      </c>
      <c r="Q2639">
        <v>0.18155660000000001</v>
      </c>
      <c r="R2639">
        <v>-0.60365619999999998</v>
      </c>
      <c r="S2639">
        <v>3.17395</v>
      </c>
      <c r="T2639">
        <v>0.19533059999999999</v>
      </c>
      <c r="U2639">
        <v>-0.84870909999999999</v>
      </c>
      <c r="V2639">
        <v>-0.12627349999999901</v>
      </c>
      <c r="W2639">
        <v>0.19358829999999999</v>
      </c>
      <c r="X2639">
        <v>0.97292270000000003</v>
      </c>
      <c r="Y2639">
        <v>-0.49944519999999998</v>
      </c>
      <c r="Z2639">
        <v>-6.0608960000000003E-2</v>
      </c>
      <c r="AA2639">
        <v>0.86422279999999996</v>
      </c>
      <c r="AB2639">
        <v>25</v>
      </c>
      <c r="AC2639">
        <v>387.87898000000001</v>
      </c>
      <c r="AD2639">
        <v>23.881820000000001</v>
      </c>
      <c r="AE2639">
        <v>-103.59650000000001</v>
      </c>
      <c r="AF2639">
        <v>-200.82796271195201</v>
      </c>
      <c r="AG2639">
        <v>23.881820000000001</v>
      </c>
      <c r="AH2639">
        <v>345.99972640490898</v>
      </c>
      <c r="AI2639">
        <v>86.583745042670699</v>
      </c>
      <c r="AJ2639">
        <v>120.132083634533</v>
      </c>
      <c r="AK2639">
        <v>400.77178369468299</v>
      </c>
      <c r="AL2639">
        <v>78.837732240483007</v>
      </c>
      <c r="AM2639">
        <v>97.394955883252706</v>
      </c>
      <c r="AN2639">
        <v>1.0000000034372101</v>
      </c>
    </row>
    <row r="2640" spans="1:40" x14ac:dyDescent="0.25">
      <c r="A2640" t="str">
        <f>"20190303170548566"</f>
        <v>20190303170548566</v>
      </c>
      <c r="B2640" t="str">
        <f>"1551603948557614"</f>
        <v>1551603948557614</v>
      </c>
      <c r="C2640" t="s">
        <v>40</v>
      </c>
      <c r="D2640">
        <v>5.2961130000000001</v>
      </c>
      <c r="E2640">
        <v>0.33849489999999999</v>
      </c>
      <c r="F2640" t="s">
        <v>76</v>
      </c>
      <c r="G2640">
        <v>-85.581369999999893</v>
      </c>
      <c r="H2640">
        <v>25.876460000000002</v>
      </c>
      <c r="I2640">
        <v>118.675</v>
      </c>
      <c r="J2640">
        <v>-486.5016</v>
      </c>
      <c r="K2640">
        <v>1.127135</v>
      </c>
      <c r="L2640">
        <v>222.09289999999999</v>
      </c>
      <c r="M2640">
        <v>0.71240219999999999</v>
      </c>
      <c r="N2640">
        <v>-1.414499E-2</v>
      </c>
      <c r="O2640">
        <v>-0.7016289</v>
      </c>
      <c r="P2640">
        <v>0.78258509999999903</v>
      </c>
      <c r="Q2640">
        <v>0.18159420000000001</v>
      </c>
      <c r="R2640">
        <v>-0.59546980000000005</v>
      </c>
      <c r="S2640">
        <v>3.179932</v>
      </c>
      <c r="T2640">
        <v>0.19620689999999999</v>
      </c>
      <c r="U2640">
        <v>-0.82128909999999999</v>
      </c>
      <c r="V2640">
        <v>-0.1276147</v>
      </c>
      <c r="W2640">
        <v>0.19359950000000001</v>
      </c>
      <c r="X2640">
        <v>0.97274539999999998</v>
      </c>
      <c r="Y2640">
        <v>-0.49892910000000001</v>
      </c>
      <c r="Z2640">
        <v>-6.0453939999999998E-2</v>
      </c>
      <c r="AA2640">
        <v>0.86453169999999901</v>
      </c>
      <c r="AB2640">
        <v>25</v>
      </c>
      <c r="AC2640">
        <v>400.92023</v>
      </c>
      <c r="AD2640">
        <v>24.749324999999999</v>
      </c>
      <c r="AE2640">
        <v>-103.4179</v>
      </c>
      <c r="AF2640">
        <v>-206.903576691296</v>
      </c>
      <c r="AG2640">
        <v>24.749324999999999</v>
      </c>
      <c r="AH2640">
        <v>356.93792067457798</v>
      </c>
      <c r="AI2640">
        <v>86.567041856022399</v>
      </c>
      <c r="AJ2640">
        <v>120.09926723480901</v>
      </c>
      <c r="AK2640">
        <v>413.31138183105702</v>
      </c>
      <c r="AL2640">
        <v>78.837077500086295</v>
      </c>
      <c r="AM2640">
        <v>97.473964125838407</v>
      </c>
      <c r="AN2640">
        <v>0.99999994563874794</v>
      </c>
    </row>
    <row r="2641" spans="1:40" x14ac:dyDescent="0.25">
      <c r="A2641" t="str">
        <f>"20190303170548588"</f>
        <v>20190303170548588</v>
      </c>
      <c r="B2641" t="str">
        <f>"1551603948577134"</f>
        <v>1551603948577134</v>
      </c>
      <c r="C2641" t="s">
        <v>40</v>
      </c>
      <c r="D2641">
        <v>5.2774109999999999</v>
      </c>
      <c r="E2641">
        <v>0.3389549</v>
      </c>
      <c r="F2641" t="s">
        <v>77</v>
      </c>
      <c r="G2641">
        <v>-60.337389999999999</v>
      </c>
      <c r="H2641">
        <v>27.109649999999998</v>
      </c>
      <c r="I2641">
        <v>116.2182</v>
      </c>
      <c r="J2641">
        <v>-486.31760000000003</v>
      </c>
      <c r="K2641">
        <v>1.1271279999999999</v>
      </c>
      <c r="L2641">
        <v>221.92529999999999</v>
      </c>
      <c r="M2641">
        <v>0.71843760000000001</v>
      </c>
      <c r="N2641">
        <v>-1.4138410000000001E-2</v>
      </c>
      <c r="O2641">
        <v>-0.69544790000000001</v>
      </c>
      <c r="P2641">
        <v>0.78747559999999905</v>
      </c>
      <c r="Q2641">
        <v>0.18295520000000001</v>
      </c>
      <c r="R2641">
        <v>-0.58856580000000003</v>
      </c>
      <c r="S2641">
        <v>3.1860659999999998</v>
      </c>
      <c r="T2641">
        <v>0.194249</v>
      </c>
      <c r="U2641">
        <v>-0.79153439999999997</v>
      </c>
      <c r="V2641">
        <v>-0.12755939999999999</v>
      </c>
      <c r="W2641">
        <v>0.19495460000000001</v>
      </c>
      <c r="X2641">
        <v>0.97248199999999996</v>
      </c>
      <c r="Y2641">
        <v>-0.4994943</v>
      </c>
      <c r="Z2641">
        <v>-5.9574259999999997E-2</v>
      </c>
      <c r="AA2641">
        <v>0.86426639999999999</v>
      </c>
      <c r="AB2641">
        <v>25</v>
      </c>
      <c r="AC2641">
        <v>425.98021</v>
      </c>
      <c r="AD2641">
        <v>25.982521999999999</v>
      </c>
      <c r="AE2641">
        <v>-105.7071</v>
      </c>
      <c r="AF2641">
        <v>-219.55563788191</v>
      </c>
      <c r="AG2641">
        <v>25.982521999999999</v>
      </c>
      <c r="AH2641">
        <v>378.26622096273701</v>
      </c>
      <c r="AI2641">
        <v>86.600244606381693</v>
      </c>
      <c r="AJ2641">
        <v>120.132003774483</v>
      </c>
      <c r="AK2641">
        <v>438.13822419031499</v>
      </c>
      <c r="AL2641">
        <v>78.757928177083798</v>
      </c>
      <c r="AM2641">
        <v>97.472762597405804</v>
      </c>
      <c r="AN2641">
        <v>0.99999996845675898</v>
      </c>
    </row>
    <row r="2642" spans="1:40" x14ac:dyDescent="0.25">
      <c r="A2642" t="str">
        <f>"20190303170548610"</f>
        <v>20190303170548610</v>
      </c>
      <c r="B2642" t="str">
        <f>"1551603948597630"</f>
        <v>1551603948597630</v>
      </c>
      <c r="C2642" t="s">
        <v>40</v>
      </c>
      <c r="D2642">
        <v>5.4088500000000002</v>
      </c>
      <c r="E2642">
        <v>0.34016089999999999</v>
      </c>
      <c r="F2642" t="s">
        <v>46</v>
      </c>
      <c r="G2642">
        <v>0</v>
      </c>
      <c r="H2642">
        <v>0</v>
      </c>
      <c r="I2642">
        <v>0</v>
      </c>
      <c r="J2642">
        <v>-486.15100000000001</v>
      </c>
      <c r="K2642">
        <v>1.1271340000000001</v>
      </c>
      <c r="L2642">
        <v>221.77610000000001</v>
      </c>
      <c r="M2642">
        <v>0.72381949999999995</v>
      </c>
      <c r="N2642">
        <v>-1.413296E-2</v>
      </c>
      <c r="O2642">
        <v>-0.68984469999999898</v>
      </c>
      <c r="P2642">
        <v>0.79138459999999999</v>
      </c>
      <c r="Q2642">
        <v>0.184866</v>
      </c>
      <c r="R2642">
        <v>-0.58269689999999996</v>
      </c>
      <c r="S2642">
        <v>3.1903990000000002</v>
      </c>
      <c r="T2642">
        <v>0.1978666</v>
      </c>
      <c r="U2642">
        <v>-0.76708980000000004</v>
      </c>
      <c r="V2642">
        <v>-0.12694649999999999</v>
      </c>
      <c r="W2642">
        <v>0.19686709999999999</v>
      </c>
      <c r="X2642">
        <v>0.97217690000000001</v>
      </c>
      <c r="Y2642">
        <v>-0.49923129999999999</v>
      </c>
      <c r="Z2642">
        <v>-6.0216899999999997E-2</v>
      </c>
      <c r="AA2642">
        <v>0.86437379999999997</v>
      </c>
      <c r="AB2642">
        <v>25</v>
      </c>
      <c r="AC2642">
        <v>3.1903990000000002</v>
      </c>
      <c r="AD2642">
        <v>0.1978666</v>
      </c>
      <c r="AE2642">
        <v>-0.76708980000000004</v>
      </c>
      <c r="AF2642">
        <v>-1.63984675803835</v>
      </c>
      <c r="AG2642">
        <v>0.1978666</v>
      </c>
      <c r="AH2642">
        <v>2.8284444118372698</v>
      </c>
      <c r="AI2642">
        <v>86.536675132371997</v>
      </c>
      <c r="AJ2642">
        <v>120.10386437165501</v>
      </c>
      <c r="AK2642">
        <v>3.2754154503051902</v>
      </c>
      <c r="AL2642">
        <v>78.646184903194793</v>
      </c>
      <c r="AM2642">
        <v>97.439568136448202</v>
      </c>
      <c r="AN2642">
        <v>0.99999999690913499</v>
      </c>
    </row>
    <row r="2643" spans="1:40" x14ac:dyDescent="0.25">
      <c r="A2643" t="str">
        <f>"20190303170548634"</f>
        <v>20190303170548634</v>
      </c>
      <c r="B2643" t="str">
        <f>"1551603948626910"</f>
        <v>1551603948626910</v>
      </c>
      <c r="C2643" t="s">
        <v>40</v>
      </c>
      <c r="D2643">
        <v>5.3116430000000001</v>
      </c>
      <c r="E2643">
        <v>0.35750589999999999</v>
      </c>
      <c r="F2643" t="s">
        <v>46</v>
      </c>
      <c r="G2643">
        <v>0</v>
      </c>
      <c r="H2643">
        <v>0</v>
      </c>
      <c r="I2643">
        <v>0</v>
      </c>
      <c r="J2643">
        <v>-485.94639999999998</v>
      </c>
      <c r="K2643">
        <v>1.1271329999999999</v>
      </c>
      <c r="L2643">
        <v>221.596</v>
      </c>
      <c r="M2643">
        <v>0.730325</v>
      </c>
      <c r="N2643">
        <v>-1.4126949999999999E-2</v>
      </c>
      <c r="O2643">
        <v>-0.682953699999999</v>
      </c>
      <c r="P2643">
        <v>0.79616799999999999</v>
      </c>
      <c r="Q2643">
        <v>0.18595690000000001</v>
      </c>
      <c r="R2643">
        <v>-0.57579199999999997</v>
      </c>
      <c r="S2643">
        <v>3.190887</v>
      </c>
      <c r="T2643">
        <v>0.2002872</v>
      </c>
      <c r="U2643">
        <v>-0.75128169999999905</v>
      </c>
      <c r="V2643">
        <v>-0.12602379999999999</v>
      </c>
      <c r="W2643">
        <v>0.19796649999999999</v>
      </c>
      <c r="X2643">
        <v>0.97207370000000004</v>
      </c>
      <c r="Y2643">
        <v>-0.49507289999999998</v>
      </c>
      <c r="Z2643">
        <v>-6.039166E-2</v>
      </c>
      <c r="AA2643">
        <v>0.86675009999999997</v>
      </c>
      <c r="AB2643">
        <v>25</v>
      </c>
      <c r="AC2643">
        <v>3.190887</v>
      </c>
      <c r="AD2643">
        <v>0.2002872</v>
      </c>
      <c r="AE2643">
        <v>-0.75128169999999905</v>
      </c>
      <c r="AF2643">
        <v>-1.6246463367245301</v>
      </c>
      <c r="AG2643">
        <v>0.2002872</v>
      </c>
      <c r="AH2643">
        <v>2.8331829116571199</v>
      </c>
      <c r="AI2643">
        <v>86.4906772251951</v>
      </c>
      <c r="AJ2643">
        <v>119.831469890403</v>
      </c>
      <c r="AK2643">
        <v>3.27208130901758</v>
      </c>
      <c r="AL2643">
        <v>78.581929449584095</v>
      </c>
      <c r="AM2643">
        <v>97.386868975119199</v>
      </c>
      <c r="AN2643">
        <v>1.0000000057601901</v>
      </c>
    </row>
    <row r="2644" spans="1:40" x14ac:dyDescent="0.25">
      <c r="A2644" t="str">
        <f>"20190303170548656"</f>
        <v>20190303170548656</v>
      </c>
      <c r="B2644" t="str">
        <f>"1551603948647406"</f>
        <v>1551603948647406</v>
      </c>
      <c r="C2644" t="s">
        <v>40</v>
      </c>
      <c r="D2644">
        <v>5.4013</v>
      </c>
      <c r="E2644">
        <v>0.35966100000000001</v>
      </c>
      <c r="F2644" t="s">
        <v>78</v>
      </c>
      <c r="G2644">
        <v>-364.98099999999999</v>
      </c>
      <c r="H2644">
        <v>6.2979949999999896</v>
      </c>
      <c r="I2644">
        <v>189.0641</v>
      </c>
      <c r="J2644">
        <v>-485.76499999999999</v>
      </c>
      <c r="K2644">
        <v>1.127135</v>
      </c>
      <c r="L2644">
        <v>221.4392</v>
      </c>
      <c r="M2644">
        <v>0.73600159999999903</v>
      </c>
      <c r="N2644">
        <v>-1.412246E-2</v>
      </c>
      <c r="O2644">
        <v>-0.67683249999999995</v>
      </c>
      <c r="P2644">
        <v>0.80122479999999996</v>
      </c>
      <c r="Q2644">
        <v>0.18636800000000001</v>
      </c>
      <c r="R2644">
        <v>-0.56859979999999999</v>
      </c>
      <c r="S2644">
        <v>3.1283569999999998</v>
      </c>
      <c r="T2644">
        <v>0.13372899999999999</v>
      </c>
      <c r="U2644">
        <v>-0.84132389999999901</v>
      </c>
      <c r="V2644">
        <v>-0.12660199999999999</v>
      </c>
      <c r="W2644">
        <v>0.19836380000000001</v>
      </c>
      <c r="X2644">
        <v>0.97191760000000005</v>
      </c>
      <c r="Y2644">
        <v>-0.46133370000000001</v>
      </c>
      <c r="Z2644">
        <v>-4.2361330000000003E-2</v>
      </c>
      <c r="AA2644">
        <v>0.88621489999999903</v>
      </c>
      <c r="AB2644">
        <v>25</v>
      </c>
      <c r="AC2644">
        <v>120.78400000000001</v>
      </c>
      <c r="AD2644">
        <v>5.1708599999999896</v>
      </c>
      <c r="AE2644">
        <v>-32.375100000000003</v>
      </c>
      <c r="AF2644">
        <v>-57.829304204957701</v>
      </c>
      <c r="AG2644">
        <v>5.1708599999999896</v>
      </c>
      <c r="AH2644">
        <v>110.631616596942</v>
      </c>
      <c r="AI2644">
        <v>87.628060790583106</v>
      </c>
      <c r="AJ2644">
        <v>117.596946459289</v>
      </c>
      <c r="AK2644">
        <v>124.941269438172</v>
      </c>
      <c r="AL2644">
        <v>78.558705693936801</v>
      </c>
      <c r="AM2644">
        <v>97.4215617484452</v>
      </c>
      <c r="AN2644">
        <v>1.0000000423720901</v>
      </c>
    </row>
    <row r="2645" spans="1:40" x14ac:dyDescent="0.25">
      <c r="A2645" t="str">
        <f>"20190303170548677"</f>
        <v>20190303170548677</v>
      </c>
      <c r="B2645" t="str">
        <f>"1551603948667903"</f>
        <v>1551603948667903</v>
      </c>
      <c r="C2645" t="s">
        <v>40</v>
      </c>
      <c r="D2645">
        <v>5.3341240000000001</v>
      </c>
      <c r="E2645">
        <v>0.36000510000000002</v>
      </c>
      <c r="F2645" t="s">
        <v>78</v>
      </c>
      <c r="G2645">
        <v>-365.43459999999999</v>
      </c>
      <c r="H2645">
        <v>5.8013320000000004</v>
      </c>
      <c r="I2645">
        <v>189.5727</v>
      </c>
      <c r="J2645">
        <v>-485.58710000000002</v>
      </c>
      <c r="K2645">
        <v>1.127138</v>
      </c>
      <c r="L2645">
        <v>221.28790000000001</v>
      </c>
      <c r="M2645">
        <v>0.74149129999999996</v>
      </c>
      <c r="N2645">
        <v>-1.4118820000000001E-2</v>
      </c>
      <c r="O2645">
        <v>-0.67081409999999997</v>
      </c>
      <c r="P2645">
        <v>0.8067976</v>
      </c>
      <c r="Q2645">
        <v>0.1859374</v>
      </c>
      <c r="R2645">
        <v>-0.56080750000000001</v>
      </c>
      <c r="S2645">
        <v>3.128174</v>
      </c>
      <c r="T2645">
        <v>0.12151530000000001</v>
      </c>
      <c r="U2645">
        <v>-0.82841489999999995</v>
      </c>
      <c r="V2645">
        <v>-0.12816839999999999</v>
      </c>
      <c r="W2645">
        <v>0.1979062</v>
      </c>
      <c r="X2645">
        <v>0.97180549999999999</v>
      </c>
      <c r="Y2645">
        <v>-0.45768419999999999</v>
      </c>
      <c r="Z2645">
        <v>-3.8852499999999998E-2</v>
      </c>
      <c r="AA2645">
        <v>0.88826559999999899</v>
      </c>
      <c r="AB2645">
        <v>25</v>
      </c>
      <c r="AC2645">
        <v>120.1525</v>
      </c>
      <c r="AD2645">
        <v>4.674194</v>
      </c>
      <c r="AE2645">
        <v>-31.715199999999999</v>
      </c>
      <c r="AF2645">
        <v>-57.008473785436898</v>
      </c>
      <c r="AG2645">
        <v>4.674194</v>
      </c>
      <c r="AH2645">
        <v>110.22208246338</v>
      </c>
      <c r="AI2645">
        <v>87.842853593039607</v>
      </c>
      <c r="AJ2645">
        <v>117.34866671045</v>
      </c>
      <c r="AK2645">
        <v>124.18019824214601</v>
      </c>
      <c r="AL2645">
        <v>78.585453664586495</v>
      </c>
      <c r="AM2645">
        <v>97.513200198075694</v>
      </c>
      <c r="AN2645">
        <v>0.99999996629362398</v>
      </c>
    </row>
    <row r="2646" spans="1:40" x14ac:dyDescent="0.25">
      <c r="A2646" t="str">
        <f>"20190303170548699"</f>
        <v>20190303170548699</v>
      </c>
      <c r="B2646" t="str">
        <f>"1551603948687422"</f>
        <v>1551603948687422</v>
      </c>
      <c r="C2646" t="s">
        <v>40</v>
      </c>
      <c r="D2646">
        <v>5.2479709999999997</v>
      </c>
      <c r="E2646">
        <v>0.35922730000000003</v>
      </c>
      <c r="F2646" t="s">
        <v>78</v>
      </c>
      <c r="G2646">
        <v>-364.63729999999998</v>
      </c>
      <c r="H2646">
        <v>5.7411149999999997</v>
      </c>
      <c r="I2646">
        <v>190.416</v>
      </c>
      <c r="J2646">
        <v>-485.40589999999997</v>
      </c>
      <c r="K2646">
        <v>1.1271420000000001</v>
      </c>
      <c r="L2646">
        <v>221.13630000000001</v>
      </c>
      <c r="M2646">
        <v>0.74701079999999997</v>
      </c>
      <c r="N2646">
        <v>-1.411573E-2</v>
      </c>
      <c r="O2646">
        <v>-0.66466210000000003</v>
      </c>
      <c r="P2646">
        <v>0.81222799999999995</v>
      </c>
      <c r="Q2646">
        <v>0.18623690000000001</v>
      </c>
      <c r="R2646">
        <v>-0.55281230000000003</v>
      </c>
      <c r="S2646">
        <v>3.134674</v>
      </c>
      <c r="T2646">
        <v>0.11958339999999899</v>
      </c>
      <c r="U2646">
        <v>-0.80010990000000004</v>
      </c>
      <c r="V2646">
        <v>-0.1296966</v>
      </c>
      <c r="W2646">
        <v>0.19817679999999999</v>
      </c>
      <c r="X2646">
        <v>0.97154759999999996</v>
      </c>
      <c r="Y2646">
        <v>-0.45834029999999998</v>
      </c>
      <c r="Z2646">
        <v>-3.8075299999999999E-2</v>
      </c>
      <c r="AA2646">
        <v>0.88796090000000005</v>
      </c>
      <c r="AB2646">
        <v>25</v>
      </c>
      <c r="AC2646">
        <v>120.76860000000001</v>
      </c>
      <c r="AD2646">
        <v>4.6139729999999997</v>
      </c>
      <c r="AE2646">
        <v>-30.720300000000002</v>
      </c>
      <c r="AF2646">
        <v>-57.249140258484204</v>
      </c>
      <c r="AG2646">
        <v>4.6139729999999997</v>
      </c>
      <c r="AH2646">
        <v>110.493608049643</v>
      </c>
      <c r="AI2646">
        <v>87.876633608194396</v>
      </c>
      <c r="AJ2646">
        <v>117.389655809359</v>
      </c>
      <c r="AK2646">
        <v>124.529475334189</v>
      </c>
      <c r="AL2646">
        <v>78.569636477727997</v>
      </c>
      <c r="AM2646">
        <v>97.603735688159205</v>
      </c>
      <c r="AN2646">
        <v>0.99999999558777997</v>
      </c>
    </row>
    <row r="2647" spans="1:40" x14ac:dyDescent="0.25">
      <c r="A2647" t="str">
        <f>"20190303170548721"</f>
        <v>20190303170548721</v>
      </c>
      <c r="B2647" t="str">
        <f>"1551603948706942"</f>
        <v>1551603948706942</v>
      </c>
      <c r="C2647" t="s">
        <v>40</v>
      </c>
      <c r="D2647">
        <v>5.4040059999999999</v>
      </c>
      <c r="E2647">
        <v>0.3595912</v>
      </c>
      <c r="F2647" t="s">
        <v>78</v>
      </c>
      <c r="G2647">
        <v>-364.33019999999999</v>
      </c>
      <c r="H2647">
        <v>6.3125589999999896</v>
      </c>
      <c r="I2647">
        <v>191.74299999999999</v>
      </c>
      <c r="J2647">
        <v>-485.22</v>
      </c>
      <c r="K2647">
        <v>1.127146</v>
      </c>
      <c r="L2647">
        <v>220.98349999999999</v>
      </c>
      <c r="M2647">
        <v>0.7525963</v>
      </c>
      <c r="N2647">
        <v>-1.411339E-2</v>
      </c>
      <c r="O2647">
        <v>-0.65833109999999995</v>
      </c>
      <c r="P2647">
        <v>0.81712450000000003</v>
      </c>
      <c r="Q2647">
        <v>0.1871949</v>
      </c>
      <c r="R2647">
        <v>-0.54522130000000002</v>
      </c>
      <c r="S2647">
        <v>3.1433110000000002</v>
      </c>
      <c r="T2647">
        <v>0.13462349999999901</v>
      </c>
      <c r="U2647">
        <v>-0.76309199999999999</v>
      </c>
      <c r="V2647">
        <v>-0.13041939999999999</v>
      </c>
      <c r="W2647">
        <v>0.19911709999999999</v>
      </c>
      <c r="X2647">
        <v>0.97125850000000002</v>
      </c>
      <c r="Y2647">
        <v>-0.46106780000000003</v>
      </c>
      <c r="Z2647">
        <v>-4.1724850000000001E-2</v>
      </c>
      <c r="AA2647">
        <v>0.88638340000000004</v>
      </c>
      <c r="AB2647">
        <v>25</v>
      </c>
      <c r="AC2647">
        <v>120.88979999999999</v>
      </c>
      <c r="AD2647">
        <v>5.1854129999999996</v>
      </c>
      <c r="AE2647">
        <v>-29.240500000000001</v>
      </c>
      <c r="AF2647">
        <v>-57.485032778924598</v>
      </c>
      <c r="AG2647">
        <v>5.1854129999999996</v>
      </c>
      <c r="AH2647">
        <v>110.050826719518</v>
      </c>
      <c r="AI2647">
        <v>87.6084918905877</v>
      </c>
      <c r="AJ2647">
        <v>117.580309250512</v>
      </c>
      <c r="AK2647">
        <v>124.268266114982</v>
      </c>
      <c r="AL2647">
        <v>78.514665294601699</v>
      </c>
      <c r="AM2647">
        <v>97.647860289542905</v>
      </c>
      <c r="AN2647">
        <v>0.999999956615509</v>
      </c>
    </row>
    <row r="2648" spans="1:40" x14ac:dyDescent="0.25">
      <c r="A2648" t="str">
        <f>"20190303170548745"</f>
        <v>20190303170548745</v>
      </c>
      <c r="B2648" t="str">
        <f>"1551603948737198"</f>
        <v>1551603948737198</v>
      </c>
      <c r="C2648" t="s">
        <v>40</v>
      </c>
      <c r="D2648">
        <v>5.4393570000000002</v>
      </c>
      <c r="E2648">
        <v>0.36123090000000002</v>
      </c>
      <c r="F2648" t="s">
        <v>78</v>
      </c>
      <c r="G2648">
        <v>-363.19369999999998</v>
      </c>
      <c r="H2648">
        <v>6.5841989999999999</v>
      </c>
      <c r="I2648">
        <v>192.45150000000001</v>
      </c>
      <c r="J2648">
        <v>-485.01249999999999</v>
      </c>
      <c r="K2648">
        <v>1.1271690000000001</v>
      </c>
      <c r="L2648">
        <v>220.81620000000001</v>
      </c>
      <c r="M2648">
        <v>0.75875439999999905</v>
      </c>
      <c r="N2648">
        <v>-1.411186E-2</v>
      </c>
      <c r="O2648">
        <v>-0.65122400000000003</v>
      </c>
      <c r="P2648">
        <v>0.82204809999999995</v>
      </c>
      <c r="Q2648">
        <v>0.1882616</v>
      </c>
      <c r="R2648">
        <v>-0.53739630000000005</v>
      </c>
      <c r="S2648">
        <v>3.1480410000000001</v>
      </c>
      <c r="T2648">
        <v>0.14078370000000001</v>
      </c>
      <c r="U2648">
        <v>-0.73606870000000002</v>
      </c>
      <c r="V2648">
        <v>-0.13041949999999999</v>
      </c>
      <c r="W2648">
        <v>0.20017499999999999</v>
      </c>
      <c r="X2648">
        <v>0.97104109999999999</v>
      </c>
      <c r="Y2648">
        <v>-0.46015099999999998</v>
      </c>
      <c r="Z2648">
        <v>-4.2966409999999997E-2</v>
      </c>
      <c r="AA2648">
        <v>0.88680040000000004</v>
      </c>
      <c r="AB2648">
        <v>25</v>
      </c>
      <c r="AC2648">
        <v>121.8188</v>
      </c>
      <c r="AD2648">
        <v>5.4570299999999996</v>
      </c>
      <c r="AE2648">
        <v>-28.364699999999999</v>
      </c>
      <c r="AF2648">
        <v>-57.705397369578002</v>
      </c>
      <c r="AG2648">
        <v>5.4570299999999996</v>
      </c>
      <c r="AH2648">
        <v>110.702640551729</v>
      </c>
      <c r="AI2648">
        <v>87.497066204681204</v>
      </c>
      <c r="AJ2648">
        <v>117.53144839337401</v>
      </c>
      <c r="AK2648">
        <v>124.959060044189</v>
      </c>
      <c r="AL2648">
        <v>78.452807813139898</v>
      </c>
      <c r="AM2648">
        <v>97.649558042318105</v>
      </c>
      <c r="AN2648">
        <v>1.0000000472472199</v>
      </c>
    </row>
    <row r="2649" spans="1:40" x14ac:dyDescent="0.25">
      <c r="A2649" t="str">
        <f>"20190303170548767"</f>
        <v>20190303170548767</v>
      </c>
      <c r="B2649" t="str">
        <f>"1551603948757694"</f>
        <v>1551603948757694</v>
      </c>
      <c r="C2649" t="s">
        <v>40</v>
      </c>
      <c r="D2649">
        <v>5.4128740000000004</v>
      </c>
      <c r="E2649">
        <v>0.36217120000000003</v>
      </c>
      <c r="F2649" t="s">
        <v>78</v>
      </c>
      <c r="G2649">
        <v>-347.1694</v>
      </c>
      <c r="H2649">
        <v>7.2063689999999996</v>
      </c>
      <c r="I2649">
        <v>189.40350000000001</v>
      </c>
      <c r="J2649">
        <v>-484.8304</v>
      </c>
      <c r="K2649">
        <v>1.1271960000000001</v>
      </c>
      <c r="L2649">
        <v>220.672</v>
      </c>
      <c r="M2649">
        <v>0.76409830000000001</v>
      </c>
      <c r="N2649">
        <v>-1.411196E-2</v>
      </c>
      <c r="O2649">
        <v>-0.64494549999999995</v>
      </c>
      <c r="P2649">
        <v>0.8259784</v>
      </c>
      <c r="Q2649">
        <v>0.19011919999999999</v>
      </c>
      <c r="R2649">
        <v>-0.53067399999999998</v>
      </c>
      <c r="S2649">
        <v>3.1485599999999998</v>
      </c>
      <c r="T2649">
        <v>0.1388607</v>
      </c>
      <c r="U2649">
        <v>-0.71751399999999999</v>
      </c>
      <c r="V2649">
        <v>-0.13009299999999999</v>
      </c>
      <c r="W2649">
        <v>0.20202700000000001</v>
      </c>
      <c r="X2649">
        <v>0.97070129999999999</v>
      </c>
      <c r="Y2649">
        <v>-0.45786389999999999</v>
      </c>
      <c r="Z2649">
        <v>-4.2160049999999998E-2</v>
      </c>
      <c r="AA2649">
        <v>0.88802209999999904</v>
      </c>
      <c r="AB2649">
        <v>25</v>
      </c>
      <c r="AC2649">
        <v>137.661</v>
      </c>
      <c r="AD2649">
        <v>6.0791729999999999</v>
      </c>
      <c r="AE2649">
        <v>-31.2684999999999</v>
      </c>
      <c r="AF2649">
        <v>-64.777966699684001</v>
      </c>
      <c r="AG2649">
        <v>6.0791729999999999</v>
      </c>
      <c r="AH2649">
        <v>125.13343857929</v>
      </c>
      <c r="AI2649">
        <v>87.529597411362502</v>
      </c>
      <c r="AJ2649">
        <v>117.36929746449</v>
      </c>
      <c r="AK2649">
        <v>141.03729565184599</v>
      </c>
      <c r="AL2649">
        <v>78.344483095069194</v>
      </c>
      <c r="AM2649">
        <v>97.633273261105998</v>
      </c>
      <c r="AN2649">
        <v>1.0000000555998401</v>
      </c>
    </row>
    <row r="2650" spans="1:40" x14ac:dyDescent="0.25">
      <c r="A2650" t="str">
        <f>"20190303170548788"</f>
        <v>20190303170548788</v>
      </c>
      <c r="B2650" t="str">
        <f>"1551603948777214"</f>
        <v>1551603948777214</v>
      </c>
      <c r="C2650" t="s">
        <v>40</v>
      </c>
      <c r="D2650">
        <v>5.4307759999999998</v>
      </c>
      <c r="E2650">
        <v>0.36303249999999998</v>
      </c>
      <c r="F2650" t="s">
        <v>78</v>
      </c>
      <c r="G2650">
        <v>-347.04410000000001</v>
      </c>
      <c r="H2650">
        <v>7.5467619999999904</v>
      </c>
      <c r="I2650">
        <v>190.124</v>
      </c>
      <c r="J2650">
        <v>-484.64150000000001</v>
      </c>
      <c r="K2650">
        <v>1.12722099999999</v>
      </c>
      <c r="L2650">
        <v>220.52520000000001</v>
      </c>
      <c r="M2650">
        <v>0.76958000000000004</v>
      </c>
      <c r="N2650">
        <v>-1.4112899999999999E-2</v>
      </c>
      <c r="O2650">
        <v>-0.63839469999999898</v>
      </c>
      <c r="P2650">
        <v>0.82979550000000002</v>
      </c>
      <c r="Q2650">
        <v>0.191138</v>
      </c>
      <c r="R2650">
        <v>-0.52431499999999998</v>
      </c>
      <c r="S2650">
        <v>3.1496279999999999</v>
      </c>
      <c r="T2650">
        <v>0.1467454</v>
      </c>
      <c r="U2650">
        <v>-0.69828800000000002</v>
      </c>
      <c r="V2650">
        <v>-0.12912899999999999</v>
      </c>
      <c r="W2650">
        <v>0.20305239999999999</v>
      </c>
      <c r="X2650">
        <v>0.97061600000000003</v>
      </c>
      <c r="Y2650">
        <v>-0.45538650000000003</v>
      </c>
      <c r="Z2650">
        <v>-4.383637E-2</v>
      </c>
      <c r="AA2650">
        <v>0.88921399999999995</v>
      </c>
      <c r="AB2650">
        <v>25</v>
      </c>
      <c r="AC2650">
        <v>137.59739999999999</v>
      </c>
      <c r="AD2650">
        <v>6.4195409999999997</v>
      </c>
      <c r="AE2650">
        <v>-30.4011999999999</v>
      </c>
      <c r="AF2650">
        <v>-64.318221334062201</v>
      </c>
      <c r="AG2650">
        <v>6.4195409999999997</v>
      </c>
      <c r="AH2650">
        <v>125.053103552151</v>
      </c>
      <c r="AI2650">
        <v>87.386239934326696</v>
      </c>
      <c r="AJ2650">
        <v>117.21799446471699</v>
      </c>
      <c r="AK2650">
        <v>140.77046142658301</v>
      </c>
      <c r="AL2650">
        <v>78.284487870666695</v>
      </c>
      <c r="AM2650">
        <v>97.578027880763003</v>
      </c>
      <c r="AN2650">
        <v>0.99999999762138003</v>
      </c>
    </row>
    <row r="2651" spans="1:40" x14ac:dyDescent="0.25">
      <c r="A2651" t="str">
        <f>"20190303170548811"</f>
        <v>20190303170548811</v>
      </c>
      <c r="B2651" t="str">
        <f>"1551603948807470"</f>
        <v>1551603948807470</v>
      </c>
      <c r="C2651" t="s">
        <v>40</v>
      </c>
      <c r="D2651">
        <v>5.432944</v>
      </c>
      <c r="E2651">
        <v>0.36400690000000002</v>
      </c>
      <c r="F2651" t="s">
        <v>78</v>
      </c>
      <c r="G2651">
        <v>-345.17090000000002</v>
      </c>
      <c r="H2651">
        <v>7.8354059999999999</v>
      </c>
      <c r="I2651">
        <v>190.45679999999999</v>
      </c>
      <c r="J2651">
        <v>-484.45389999999998</v>
      </c>
      <c r="K2651">
        <v>1.1272549999999999</v>
      </c>
      <c r="L2651">
        <v>220.3819</v>
      </c>
      <c r="M2651">
        <v>0.77497179999999999</v>
      </c>
      <c r="N2651">
        <v>-1.411462E-2</v>
      </c>
      <c r="O2651">
        <v>-0.63183829999999996</v>
      </c>
      <c r="P2651">
        <v>0.83359490000000003</v>
      </c>
      <c r="Q2651">
        <v>0.1925077</v>
      </c>
      <c r="R2651">
        <v>-0.51774560000000003</v>
      </c>
      <c r="S2651">
        <v>3.151154</v>
      </c>
      <c r="T2651">
        <v>0.15156449999999999</v>
      </c>
      <c r="U2651">
        <v>-0.67935179999999995</v>
      </c>
      <c r="V2651">
        <v>-0.12838669999999999</v>
      </c>
      <c r="W2651">
        <v>0.20442350000000001</v>
      </c>
      <c r="X2651">
        <v>0.97042660000000003</v>
      </c>
      <c r="Y2651">
        <v>-0.45295669999999999</v>
      </c>
      <c r="Z2651">
        <v>-4.4701169999999998E-2</v>
      </c>
      <c r="AA2651">
        <v>0.89041109999999901</v>
      </c>
      <c r="AB2651">
        <v>25</v>
      </c>
      <c r="AC2651">
        <v>139.28299999999899</v>
      </c>
      <c r="AD2651">
        <v>6.7081509999999902</v>
      </c>
      <c r="AE2651">
        <v>-29.9251</v>
      </c>
      <c r="AF2651">
        <v>-64.676275299825804</v>
      </c>
      <c r="AG2651">
        <v>6.7081509999999902</v>
      </c>
      <c r="AH2651">
        <v>126.580191861437</v>
      </c>
      <c r="AI2651">
        <v>87.298108745134698</v>
      </c>
      <c r="AJ2651">
        <v>117.064806073771</v>
      </c>
      <c r="AK2651">
        <v>142.30447936792399</v>
      </c>
      <c r="AL2651">
        <v>78.204246014644099</v>
      </c>
      <c r="AM2651">
        <v>97.536421141769907</v>
      </c>
      <c r="AN2651">
        <v>0.99999994903834799</v>
      </c>
    </row>
    <row r="2652" spans="1:40" x14ac:dyDescent="0.25">
      <c r="A2652" t="str">
        <f>"20190303170548835"</f>
        <v>20190303170548835</v>
      </c>
      <c r="B2652" t="str">
        <f>"1551603948826991"</f>
        <v>1551603948826991</v>
      </c>
      <c r="C2652" t="s">
        <v>40</v>
      </c>
      <c r="D2652">
        <v>5.4986519999999999</v>
      </c>
      <c r="E2652">
        <v>0.37585010000000002</v>
      </c>
      <c r="F2652" t="s">
        <v>46</v>
      </c>
      <c r="G2652">
        <v>0</v>
      </c>
      <c r="H2652">
        <v>0</v>
      </c>
      <c r="I2652">
        <v>0</v>
      </c>
      <c r="J2652">
        <v>-484.23540000000003</v>
      </c>
      <c r="K2652">
        <v>1.1272960000000001</v>
      </c>
      <c r="L2652">
        <v>220.2182</v>
      </c>
      <c r="M2652">
        <v>0.78119550000000004</v>
      </c>
      <c r="N2652">
        <v>-1.4118159999999999E-2</v>
      </c>
      <c r="O2652">
        <v>-0.62412699999999999</v>
      </c>
      <c r="P2652">
        <v>0.83800479999999999</v>
      </c>
      <c r="Q2652">
        <v>0.19194510000000001</v>
      </c>
      <c r="R2652">
        <v>-0.51078889999999999</v>
      </c>
      <c r="S2652">
        <v>3.1522830000000002</v>
      </c>
      <c r="T2652">
        <v>0.15682160000000001</v>
      </c>
      <c r="U2652">
        <v>-0.66062929999999997</v>
      </c>
      <c r="V2652">
        <v>-0.12693589999999999</v>
      </c>
      <c r="W2652">
        <v>0.20387640000000001</v>
      </c>
      <c r="X2652">
        <v>0.97073259999999995</v>
      </c>
      <c r="Y2652">
        <v>-0.4491773</v>
      </c>
      <c r="Z2652">
        <v>-4.5574339999999998E-2</v>
      </c>
      <c r="AA2652">
        <v>0.89227959999999995</v>
      </c>
      <c r="AB2652">
        <v>25</v>
      </c>
      <c r="AC2652">
        <v>3.1522830000000002</v>
      </c>
      <c r="AD2652">
        <v>0.15682160000000001</v>
      </c>
      <c r="AE2652">
        <v>-0.66062929999999997</v>
      </c>
      <c r="AF2652">
        <v>-1.44805573957582</v>
      </c>
      <c r="AG2652">
        <v>0.15682160000000001</v>
      </c>
      <c r="AH2652">
        <v>2.8683518079979899</v>
      </c>
      <c r="AI2652">
        <v>87.205825239760102</v>
      </c>
      <c r="AJ2652">
        <v>116.786423112406</v>
      </c>
      <c r="AK2652">
        <v>3.21697070760528</v>
      </c>
      <c r="AL2652">
        <v>78.236268053998003</v>
      </c>
      <c r="AM2652">
        <v>97.449897669113298</v>
      </c>
      <c r="AN2652">
        <v>1.0000000449442601</v>
      </c>
    </row>
    <row r="2653" spans="1:40" x14ac:dyDescent="0.25">
      <c r="A2653" t="str">
        <f>"20190303170548858"</f>
        <v>20190303170548858</v>
      </c>
      <c r="B2653" t="str">
        <f>"1551603948847486"</f>
        <v>1551603948847486</v>
      </c>
      <c r="C2653" t="s">
        <v>40</v>
      </c>
      <c r="D2653">
        <v>5.4715889999999998</v>
      </c>
      <c r="E2653">
        <v>0.3763454</v>
      </c>
      <c r="F2653" t="s">
        <v>78</v>
      </c>
      <c r="G2653">
        <v>-362.80990000000003</v>
      </c>
      <c r="H2653">
        <v>5.5352519999999998</v>
      </c>
      <c r="I2653">
        <v>192.2705</v>
      </c>
      <c r="J2653">
        <v>-484.04579999999999</v>
      </c>
      <c r="K2653">
        <v>1.12734</v>
      </c>
      <c r="L2653">
        <v>220.07910000000001</v>
      </c>
      <c r="M2653">
        <v>0.78655249999999999</v>
      </c>
      <c r="N2653">
        <v>-1.4123190000000001E-2</v>
      </c>
      <c r="O2653">
        <v>-0.61736210000000002</v>
      </c>
      <c r="P2653">
        <v>0.84149409999999902</v>
      </c>
      <c r="Q2653">
        <v>0.1919158</v>
      </c>
      <c r="R2653">
        <v>-0.5050306</v>
      </c>
      <c r="S2653">
        <v>3.1167600000000002</v>
      </c>
      <c r="T2653">
        <v>0.1131461</v>
      </c>
      <c r="U2653">
        <v>-0.71736149999999999</v>
      </c>
      <c r="V2653">
        <v>-0.12523529999999999</v>
      </c>
      <c r="W2653">
        <v>0.20386660000000001</v>
      </c>
      <c r="X2653">
        <v>0.97095549999999997</v>
      </c>
      <c r="Y2653">
        <v>-0.42439840000000001</v>
      </c>
      <c r="Z2653">
        <v>-3.4269649999999999E-2</v>
      </c>
      <c r="AA2653">
        <v>0.90482689999999999</v>
      </c>
      <c r="AB2653">
        <v>25</v>
      </c>
      <c r="AC2653">
        <v>121.23589999999901</v>
      </c>
      <c r="AD2653">
        <v>4.4079119999999996</v>
      </c>
      <c r="AE2653">
        <v>-27.808599999999998</v>
      </c>
      <c r="AF2653">
        <v>-52.912353501917401</v>
      </c>
      <c r="AG2653">
        <v>4.4079119999999996</v>
      </c>
      <c r="AH2653">
        <v>112.396433362655</v>
      </c>
      <c r="AI2653">
        <v>87.967863959111497</v>
      </c>
      <c r="AJ2653">
        <v>115.209434162357</v>
      </c>
      <c r="AK2653">
        <v>124.30649650745301</v>
      </c>
      <c r="AL2653">
        <v>78.236841383942703</v>
      </c>
      <c r="AM2653">
        <v>97.349518929971197</v>
      </c>
      <c r="AN2653">
        <v>1.0000000269709399</v>
      </c>
    </row>
    <row r="2654" spans="1:40" x14ac:dyDescent="0.25">
      <c r="A2654" t="str">
        <f>"20190303170548880"</f>
        <v>20190303170548880</v>
      </c>
      <c r="B2654" t="str">
        <f>"1551603948867006"</f>
        <v>1551603948867006</v>
      </c>
      <c r="C2654" t="s">
        <v>40</v>
      </c>
      <c r="D2654">
        <v>5.4849629999999996</v>
      </c>
      <c r="E2654">
        <v>0.37710490000000002</v>
      </c>
      <c r="F2654" t="s">
        <v>78</v>
      </c>
      <c r="G2654">
        <v>-349.05130000000003</v>
      </c>
      <c r="H2654">
        <v>5.994872</v>
      </c>
      <c r="I2654">
        <v>189.8449</v>
      </c>
      <c r="J2654">
        <v>-483.8494</v>
      </c>
      <c r="K2654">
        <v>1.127394</v>
      </c>
      <c r="L2654">
        <v>219.93770000000001</v>
      </c>
      <c r="M2654">
        <v>0.79206529999999997</v>
      </c>
      <c r="N2654">
        <v>-1.4129940000000001E-2</v>
      </c>
      <c r="O2654">
        <v>-0.61027279999999995</v>
      </c>
      <c r="P2654">
        <v>0.84532359999999895</v>
      </c>
      <c r="Q2654">
        <v>0.192826</v>
      </c>
      <c r="R2654">
        <v>-0.4982432</v>
      </c>
      <c r="S2654">
        <v>3.1200260000000002</v>
      </c>
      <c r="T2654">
        <v>0.1125015</v>
      </c>
      <c r="U2654">
        <v>-0.69877619999999996</v>
      </c>
      <c r="V2654">
        <v>-0.1242388</v>
      </c>
      <c r="W2654">
        <v>0.20478109999999999</v>
      </c>
      <c r="X2654">
        <v>0.97089110000000001</v>
      </c>
      <c r="Y2654">
        <v>-0.42161579999999899</v>
      </c>
      <c r="Z2654">
        <v>-3.377078E-2</v>
      </c>
      <c r="AA2654">
        <v>0.90614550000000005</v>
      </c>
      <c r="AB2654">
        <v>25</v>
      </c>
      <c r="AC2654">
        <v>134.79809999999901</v>
      </c>
      <c r="AD2654">
        <v>4.8674780000000002</v>
      </c>
      <c r="AE2654">
        <v>-30.0928</v>
      </c>
      <c r="AF2654">
        <v>-58.361500878627197</v>
      </c>
      <c r="AG2654">
        <v>4.8674780000000002</v>
      </c>
      <c r="AH2654">
        <v>124.990971824054</v>
      </c>
      <c r="AI2654">
        <v>87.979119220403007</v>
      </c>
      <c r="AJ2654">
        <v>115.02908110011801</v>
      </c>
      <c r="AK2654">
        <v>138.03079426131001</v>
      </c>
      <c r="AL2654">
        <v>78.183315483378905</v>
      </c>
      <c r="AM2654">
        <v>97.292148975759702</v>
      </c>
      <c r="AN2654">
        <v>1.0000000532009199</v>
      </c>
    </row>
    <row r="2655" spans="1:40" x14ac:dyDescent="0.25">
      <c r="A2655" t="str">
        <f>"20190303170548901"</f>
        <v>20190303170548901</v>
      </c>
      <c r="B2655" t="str">
        <f>"1551603948887502"</f>
        <v>1551603948887502</v>
      </c>
      <c r="C2655" t="s">
        <v>40</v>
      </c>
      <c r="D2655">
        <v>5.5189440000000003</v>
      </c>
      <c r="E2655">
        <v>0.3782471</v>
      </c>
      <c r="F2655" t="s">
        <v>78</v>
      </c>
      <c r="G2655">
        <v>-347.6053</v>
      </c>
      <c r="H2655">
        <v>6.1030119999999997</v>
      </c>
      <c r="I2655">
        <v>190.34119999999999</v>
      </c>
      <c r="J2655">
        <v>-483.6626</v>
      </c>
      <c r="K2655">
        <v>1.127456</v>
      </c>
      <c r="L2655">
        <v>219.8057</v>
      </c>
      <c r="M2655">
        <v>0.79727579999999998</v>
      </c>
      <c r="N2655">
        <v>-1.413728E-2</v>
      </c>
      <c r="O2655">
        <v>-0.60344969999999998</v>
      </c>
      <c r="P2655">
        <v>0.84906199999999998</v>
      </c>
      <c r="Q2655">
        <v>0.19393270000000001</v>
      </c>
      <c r="R2655">
        <v>-0.49141030000000002</v>
      </c>
      <c r="S2655">
        <v>3.1230470000000001</v>
      </c>
      <c r="T2655">
        <v>0.1140553</v>
      </c>
      <c r="U2655">
        <v>-0.67842100000000005</v>
      </c>
      <c r="V2655">
        <v>-0.12362190000000001</v>
      </c>
      <c r="W2655">
        <v>0.2058856</v>
      </c>
      <c r="X2655">
        <v>0.97073609999999999</v>
      </c>
      <c r="Y2655">
        <v>-0.41964020000000002</v>
      </c>
      <c r="Z2655">
        <v>-3.3833120000000001E-2</v>
      </c>
      <c r="AA2655">
        <v>0.90705979999999997</v>
      </c>
      <c r="AB2655">
        <v>25</v>
      </c>
      <c r="AC2655">
        <v>136.0573</v>
      </c>
      <c r="AD2655">
        <v>4.9755560000000001</v>
      </c>
      <c r="AE2655">
        <v>-29.464500000000001</v>
      </c>
      <c r="AF2655">
        <v>-58.543474238063901</v>
      </c>
      <c r="AG2655">
        <v>4.9755560000000001</v>
      </c>
      <c r="AH2655">
        <v>126.107056359572</v>
      </c>
      <c r="AI2655">
        <v>87.950446105575793</v>
      </c>
      <c r="AJ2655">
        <v>114.902439979509</v>
      </c>
      <c r="AK2655">
        <v>139.12255100108101</v>
      </c>
      <c r="AL2655">
        <v>78.118652840366195</v>
      </c>
      <c r="AM2655">
        <v>97.2574734340307</v>
      </c>
      <c r="AN2655">
        <v>0.99999991514508602</v>
      </c>
    </row>
    <row r="2656" spans="1:40" x14ac:dyDescent="0.25">
      <c r="A2656" t="str">
        <f>"20190303170548923"</f>
        <v>20190303170548923</v>
      </c>
      <c r="B2656" t="str">
        <f>"1551603948917758"</f>
        <v>1551603948917758</v>
      </c>
      <c r="C2656" t="s">
        <v>40</v>
      </c>
      <c r="D2656">
        <v>5.5242879999999897</v>
      </c>
      <c r="E2656">
        <v>0.3864165</v>
      </c>
      <c r="F2656" t="s">
        <v>78</v>
      </c>
      <c r="G2656">
        <v>-346.79559999999998</v>
      </c>
      <c r="H2656">
        <v>5.9986560000000004</v>
      </c>
      <c r="I2656">
        <v>190.83529999999999</v>
      </c>
      <c r="J2656">
        <v>-483.46589999999998</v>
      </c>
      <c r="K2656">
        <v>1.1275139999999999</v>
      </c>
      <c r="L2656">
        <v>219.6695</v>
      </c>
      <c r="M2656">
        <v>0.80272140000000003</v>
      </c>
      <c r="N2656">
        <v>-1.414554E-2</v>
      </c>
      <c r="O2656">
        <v>-0.59618649999999995</v>
      </c>
      <c r="P2656">
        <v>0.85419709999999904</v>
      </c>
      <c r="Q2656">
        <v>0.19405629999999999</v>
      </c>
      <c r="R2656">
        <v>-0.48237940000000001</v>
      </c>
      <c r="S2656">
        <v>3.1250309999999999</v>
      </c>
      <c r="T2656">
        <v>0.1112242</v>
      </c>
      <c r="U2656">
        <v>-0.66146850000000001</v>
      </c>
      <c r="V2656">
        <v>-0.1251205</v>
      </c>
      <c r="W2656">
        <v>0.20597570000000001</v>
      </c>
      <c r="X2656">
        <v>0.97052499999999997</v>
      </c>
      <c r="Y2656">
        <v>-0.41626540000000001</v>
      </c>
      <c r="Z2656">
        <v>-3.2798319999999999E-2</v>
      </c>
      <c r="AA2656">
        <v>0.9086514</v>
      </c>
      <c r="AB2656">
        <v>25</v>
      </c>
      <c r="AC2656">
        <v>136.6703</v>
      </c>
      <c r="AD2656">
        <v>4.8711419999999999</v>
      </c>
      <c r="AE2656">
        <v>-28.834199999999999</v>
      </c>
      <c r="AF2656">
        <v>-58.270125783282303</v>
      </c>
      <c r="AG2656">
        <v>4.8711419999999999</v>
      </c>
      <c r="AH2656">
        <v>126.757267314796</v>
      </c>
      <c r="AI2656">
        <v>88.000256803095198</v>
      </c>
      <c r="AJ2656">
        <v>114.688170906248</v>
      </c>
      <c r="AK2656">
        <v>139.594199020942</v>
      </c>
      <c r="AL2656">
        <v>78.113377865207298</v>
      </c>
      <c r="AM2656">
        <v>97.346076905225601</v>
      </c>
      <c r="AN2656">
        <v>0.99999995206786796</v>
      </c>
    </row>
    <row r="2657" spans="1:40" x14ac:dyDescent="0.25">
      <c r="A2657" t="str">
        <f>"20190303170548946"</f>
        <v>20190303170548946</v>
      </c>
      <c r="B2657" t="str">
        <f>"1551603948937240"</f>
        <v>1551603948937240</v>
      </c>
      <c r="C2657" t="s">
        <v>40</v>
      </c>
      <c r="D2657">
        <v>5.5789819999999999</v>
      </c>
      <c r="E2657">
        <v>0.38761289999999998</v>
      </c>
      <c r="F2657" t="s">
        <v>79</v>
      </c>
      <c r="G2657">
        <v>-366.33499999999998</v>
      </c>
      <c r="H2657">
        <v>3.818975</v>
      </c>
      <c r="I2657">
        <v>193.73830000000001</v>
      </c>
      <c r="J2657">
        <v>-483.26049999999998</v>
      </c>
      <c r="K2657">
        <v>1.1275660000000001</v>
      </c>
      <c r="L2657">
        <v>219.53049999999999</v>
      </c>
      <c r="M2657">
        <v>0.80835829999999997</v>
      </c>
      <c r="N2657">
        <v>-1.4154450000000001E-2</v>
      </c>
      <c r="O2657">
        <v>-0.58852079999999996</v>
      </c>
      <c r="P2657">
        <v>0.86014939999999995</v>
      </c>
      <c r="Q2657">
        <v>0.19341949999999999</v>
      </c>
      <c r="R2657">
        <v>-0.47194530000000001</v>
      </c>
      <c r="S2657">
        <v>3.107361</v>
      </c>
      <c r="T2657">
        <v>7.1402069999999998E-2</v>
      </c>
      <c r="U2657">
        <v>-0.68792719999999996</v>
      </c>
      <c r="V2657">
        <v>-0.12780730000000001</v>
      </c>
      <c r="W2657">
        <v>0.20528930000000001</v>
      </c>
      <c r="X2657">
        <v>0.97032030000000002</v>
      </c>
      <c r="Y2657">
        <v>-0.39950740000000001</v>
      </c>
      <c r="Z2657">
        <v>-2.2925210000000001E-2</v>
      </c>
      <c r="AA2657">
        <v>0.91644329999999996</v>
      </c>
      <c r="AB2657">
        <v>24</v>
      </c>
      <c r="AC2657">
        <v>116.9255</v>
      </c>
      <c r="AD2657">
        <v>2.6914090000000002</v>
      </c>
      <c r="AE2657">
        <v>-25.792199999999902</v>
      </c>
      <c r="AF2657">
        <v>-47.944326090095899</v>
      </c>
      <c r="AG2657">
        <v>2.6914090000000002</v>
      </c>
      <c r="AH2657">
        <v>109.652520875169</v>
      </c>
      <c r="AI2657">
        <v>88.711684483030595</v>
      </c>
      <c r="AJ2657">
        <v>113.616810557303</v>
      </c>
      <c r="AK2657">
        <v>119.706212958718</v>
      </c>
      <c r="AL2657">
        <v>78.153564406849497</v>
      </c>
      <c r="AM2657">
        <v>97.503610726386796</v>
      </c>
      <c r="AN2657">
        <v>0.99999994360993305</v>
      </c>
    </row>
    <row r="2658" spans="1:40" x14ac:dyDescent="0.25">
      <c r="A2658" t="str">
        <f>"20190303170548968"</f>
        <v>20190303170548968</v>
      </c>
      <c r="B2658" t="str">
        <f>"1551603948957736"</f>
        <v>1551603948957736</v>
      </c>
      <c r="C2658" t="s">
        <v>40</v>
      </c>
      <c r="D2658">
        <v>5.5945320000000001</v>
      </c>
      <c r="E2658">
        <v>0.38871610000000001</v>
      </c>
      <c r="F2658" t="s">
        <v>79</v>
      </c>
      <c r="G2658">
        <v>-366.57760000000002</v>
      </c>
      <c r="H2658">
        <v>3.5561829999999999</v>
      </c>
      <c r="I2658">
        <v>194.827</v>
      </c>
      <c r="J2658">
        <v>-483.0634</v>
      </c>
      <c r="K2658">
        <v>1.1276079999999999</v>
      </c>
      <c r="L2658">
        <v>219.3997</v>
      </c>
      <c r="M2658">
        <v>0.8137105</v>
      </c>
      <c r="N2658">
        <v>-1.416195E-2</v>
      </c>
      <c r="O2658">
        <v>-0.581098</v>
      </c>
      <c r="P2658">
        <v>0.8653054</v>
      </c>
      <c r="Q2658">
        <v>0.19427549999999999</v>
      </c>
      <c r="R2658">
        <v>-0.4620649</v>
      </c>
      <c r="S2658">
        <v>3.1117249999999999</v>
      </c>
      <c r="T2658">
        <v>6.4767240000000004E-2</v>
      </c>
      <c r="U2658">
        <v>-0.6587982</v>
      </c>
      <c r="V2658">
        <v>-0.129963</v>
      </c>
      <c r="W2658">
        <v>0.2061026</v>
      </c>
      <c r="X2658">
        <v>0.96986150000000004</v>
      </c>
      <c r="Y2658">
        <v>-0.39964070000000002</v>
      </c>
      <c r="Z2658">
        <v>-2.1111330000000001E-2</v>
      </c>
      <c r="AA2658">
        <v>0.91642869999999998</v>
      </c>
      <c r="AB2658">
        <v>24</v>
      </c>
      <c r="AC2658">
        <v>116.485799999999</v>
      </c>
      <c r="AD2658">
        <v>2.4285749999999999</v>
      </c>
      <c r="AE2658">
        <v>-24.572700000000001</v>
      </c>
      <c r="AF2658">
        <v>-47.679537828014404</v>
      </c>
      <c r="AG2658">
        <v>2.4285749999999999</v>
      </c>
      <c r="AH2658">
        <v>109.03041899213</v>
      </c>
      <c r="AI2658">
        <v>88.830857739655897</v>
      </c>
      <c r="AJ2658">
        <v>113.619995124243</v>
      </c>
      <c r="AK2658">
        <v>119.024655301425</v>
      </c>
      <c r="AL2658">
        <v>78.105948136733005</v>
      </c>
      <c r="AM2658">
        <v>97.632260547642801</v>
      </c>
      <c r="AN2658">
        <v>0.99999999613900503</v>
      </c>
    </row>
    <row r="2659" spans="1:40" x14ac:dyDescent="0.25">
      <c r="A2659" t="str">
        <f>"20190303170548989"</f>
        <v>20190303170548989</v>
      </c>
      <c r="B2659" t="str">
        <f>"1551603948977256"</f>
        <v>1551603948977256</v>
      </c>
      <c r="C2659" t="s">
        <v>40</v>
      </c>
      <c r="D2659">
        <v>5.6352310000000001</v>
      </c>
      <c r="E2659">
        <v>0.3949801</v>
      </c>
      <c r="F2659" t="s">
        <v>75</v>
      </c>
      <c r="G2659">
        <v>-363.90859999999998</v>
      </c>
      <c r="H2659">
        <v>3.54189</v>
      </c>
      <c r="I2659">
        <v>195.25989999999999</v>
      </c>
      <c r="J2659">
        <v>-482.87209999999999</v>
      </c>
      <c r="K2659">
        <v>1.127631</v>
      </c>
      <c r="L2659">
        <v>219.27529999999999</v>
      </c>
      <c r="M2659">
        <v>0.81884109999999999</v>
      </c>
      <c r="N2659">
        <v>-1.4167900000000001E-2</v>
      </c>
      <c r="O2659">
        <v>-0.57384550000000001</v>
      </c>
      <c r="P2659">
        <v>0.869492499999999</v>
      </c>
      <c r="Q2659">
        <v>0.19593440000000001</v>
      </c>
      <c r="R2659">
        <v>-0.45342349999999998</v>
      </c>
      <c r="S2659">
        <v>3.1157530000000002</v>
      </c>
      <c r="T2659">
        <v>6.3132999999999995E-2</v>
      </c>
      <c r="U2659">
        <v>-0.63122559999999905</v>
      </c>
      <c r="V2659">
        <v>-0.13083139999999999</v>
      </c>
      <c r="W2659">
        <v>0.2077415</v>
      </c>
      <c r="X2659">
        <v>0.96939500000000001</v>
      </c>
      <c r="Y2659">
        <v>-0.3995301</v>
      </c>
      <c r="Z2659">
        <v>-2.0494999999999999E-2</v>
      </c>
      <c r="AA2659">
        <v>0.9164909</v>
      </c>
      <c r="AB2659">
        <v>24</v>
      </c>
      <c r="AC2659">
        <v>118.9635</v>
      </c>
      <c r="AD2659">
        <v>2.4142589999999999</v>
      </c>
      <c r="AE2659">
        <v>-24.0154</v>
      </c>
      <c r="AF2659">
        <v>-48.587520698776103</v>
      </c>
      <c r="AG2659">
        <v>2.4142589999999999</v>
      </c>
      <c r="AH2659">
        <v>111.160497591015</v>
      </c>
      <c r="AI2659">
        <v>88.859924606946805</v>
      </c>
      <c r="AJ2659">
        <v>113.609821430697</v>
      </c>
      <c r="AK2659">
        <v>121.339326019453</v>
      </c>
      <c r="AL2659">
        <v>78.009969196056304</v>
      </c>
      <c r="AM2659">
        <v>97.686304381886501</v>
      </c>
      <c r="AN2659">
        <v>1.0000000260366</v>
      </c>
    </row>
    <row r="2660" spans="1:40" x14ac:dyDescent="0.25">
      <c r="A2660" t="str">
        <f>"20190303170549013"</f>
        <v>20190303170549013</v>
      </c>
      <c r="B2660" t="str">
        <f>"1551603949007514"</f>
        <v>1551603949007514</v>
      </c>
      <c r="C2660" t="s">
        <v>40</v>
      </c>
      <c r="D2660">
        <v>5.6209519999999999</v>
      </c>
      <c r="E2660">
        <v>0.39580650000000001</v>
      </c>
      <c r="F2660" t="s">
        <v>79</v>
      </c>
      <c r="G2660">
        <v>-366.57760000000002</v>
      </c>
      <c r="H2660">
        <v>3.1727409999999998</v>
      </c>
      <c r="I2660">
        <v>195.05850000000001</v>
      </c>
      <c r="J2660">
        <v>-482.66059999999999</v>
      </c>
      <c r="K2660">
        <v>1.12765</v>
      </c>
      <c r="L2660">
        <v>219.14070000000001</v>
      </c>
      <c r="M2660">
        <v>0.82442780000000004</v>
      </c>
      <c r="N2660">
        <v>-1.417276E-2</v>
      </c>
      <c r="O2660">
        <v>-0.5657896</v>
      </c>
      <c r="P2660">
        <v>0.87442830000000005</v>
      </c>
      <c r="Q2660">
        <v>0.19555049999999999</v>
      </c>
      <c r="R2660">
        <v>-0.44399929999999899</v>
      </c>
      <c r="S2660">
        <v>3.1011959999999998</v>
      </c>
      <c r="T2660">
        <v>5.453682E-2</v>
      </c>
      <c r="U2660">
        <v>-0.64578250000000004</v>
      </c>
      <c r="V2660">
        <v>-0.13185639999999901</v>
      </c>
      <c r="W2660">
        <v>0.2073422</v>
      </c>
      <c r="X2660">
        <v>0.96934160000000003</v>
      </c>
      <c r="Y2660">
        <v>-0.38559539999999998</v>
      </c>
      <c r="Z2660">
        <v>-1.826117E-2</v>
      </c>
      <c r="AA2660">
        <v>0.92248719999999995</v>
      </c>
      <c r="AB2660">
        <v>24</v>
      </c>
      <c r="AC2660">
        <v>116.082999999999</v>
      </c>
      <c r="AD2660">
        <v>2.0450910000000002</v>
      </c>
      <c r="AE2660">
        <v>-24.0822</v>
      </c>
      <c r="AF2660">
        <v>-45.815490179099399</v>
      </c>
      <c r="AG2660">
        <v>2.0450910000000002</v>
      </c>
      <c r="AH2660">
        <v>109.30596984276499</v>
      </c>
      <c r="AI2660">
        <v>89.011440907003504</v>
      </c>
      <c r="AJ2660">
        <v>112.740946744398</v>
      </c>
      <c r="AK2660">
        <v>118.537068382919</v>
      </c>
      <c r="AL2660">
        <v>78.033356535257099</v>
      </c>
      <c r="AM2660">
        <v>97.746216095970496</v>
      </c>
      <c r="AN2660">
        <v>1.0000000178061701</v>
      </c>
    </row>
    <row r="2661" spans="1:40" x14ac:dyDescent="0.25">
      <c r="A2661" t="str">
        <f>"20190303170549036"</f>
        <v>20190303170549036</v>
      </c>
      <c r="B2661" t="str">
        <f>"1551603949027031"</f>
        <v>1551603949027031</v>
      </c>
      <c r="C2661" t="s">
        <v>40</v>
      </c>
      <c r="D2661">
        <v>5.6406210000000003</v>
      </c>
      <c r="E2661">
        <v>0.39677580000000001</v>
      </c>
      <c r="F2661" t="s">
        <v>75</v>
      </c>
      <c r="G2661">
        <v>-363.79629999999997</v>
      </c>
      <c r="H2661">
        <v>3.2930220000000001</v>
      </c>
      <c r="I2661">
        <v>195.45939999999999</v>
      </c>
      <c r="J2661">
        <v>-482.44589999999999</v>
      </c>
      <c r="K2661">
        <v>1.1276469999999901</v>
      </c>
      <c r="L2661">
        <v>219.0069</v>
      </c>
      <c r="M2661">
        <v>0.83000180000000001</v>
      </c>
      <c r="N2661">
        <v>-1.417622E-2</v>
      </c>
      <c r="O2661">
        <v>-0.55758059999999998</v>
      </c>
      <c r="P2661">
        <v>0.87976790000000005</v>
      </c>
      <c r="Q2661">
        <v>0.19412270000000001</v>
      </c>
      <c r="R2661">
        <v>-0.43396430000000003</v>
      </c>
      <c r="S2661">
        <v>3.1041560000000001</v>
      </c>
      <c r="T2661">
        <v>5.6551339999999999E-2</v>
      </c>
      <c r="U2661">
        <v>-0.61843870000000001</v>
      </c>
      <c r="V2661">
        <v>-0.13348750000000001</v>
      </c>
      <c r="W2661">
        <v>0.20589450000000001</v>
      </c>
      <c r="X2661">
        <v>0.96942689999999998</v>
      </c>
      <c r="Y2661">
        <v>-0.38440859999999999</v>
      </c>
      <c r="Z2661">
        <v>-1.8476940000000001E-2</v>
      </c>
      <c r="AA2661">
        <v>0.92297810000000002</v>
      </c>
      <c r="AB2661">
        <v>24</v>
      </c>
      <c r="AC2661">
        <v>118.64960000000001</v>
      </c>
      <c r="AD2661">
        <v>2.165375</v>
      </c>
      <c r="AE2661">
        <v>-23.547499999999999</v>
      </c>
      <c r="AF2661">
        <v>-46.601996892245197</v>
      </c>
      <c r="AG2661">
        <v>2.165375</v>
      </c>
      <c r="AH2661">
        <v>111.584465898895</v>
      </c>
      <c r="AI2661">
        <v>88.974127266962995</v>
      </c>
      <c r="AJ2661">
        <v>112.667305758521</v>
      </c>
      <c r="AK2661">
        <v>120.944317738276</v>
      </c>
      <c r="AL2661">
        <v>78.118132599006003</v>
      </c>
      <c r="AM2661">
        <v>97.840172845500604</v>
      </c>
      <c r="AN2661">
        <v>0.99999998611505403</v>
      </c>
    </row>
    <row r="2662" spans="1:40" x14ac:dyDescent="0.25">
      <c r="A2662" t="str">
        <f>"20190303170549064"</f>
        <v>20190303170549064</v>
      </c>
      <c r="B2662" t="str">
        <f>"1551603949057174"</f>
        <v>1551603949057174</v>
      </c>
      <c r="C2662" t="s">
        <v>40</v>
      </c>
      <c r="D2662">
        <v>5.6446699999999996</v>
      </c>
      <c r="E2662">
        <v>0.40348070000000003</v>
      </c>
      <c r="F2662" t="s">
        <v>75</v>
      </c>
      <c r="G2662">
        <v>-363.07190000000003</v>
      </c>
      <c r="H2662">
        <v>2.9917630000000002</v>
      </c>
      <c r="I2662">
        <v>196.31800000000001</v>
      </c>
      <c r="J2662">
        <v>-482.21980000000002</v>
      </c>
      <c r="K2662">
        <v>1.127637</v>
      </c>
      <c r="L2662">
        <v>218.86920000000001</v>
      </c>
      <c r="M2662">
        <v>0.83575330000000003</v>
      </c>
      <c r="N2662">
        <v>-1.4178390000000001E-2</v>
      </c>
      <c r="O2662">
        <v>-0.54892240000000003</v>
      </c>
      <c r="P2662">
        <v>0.88500889999999999</v>
      </c>
      <c r="Q2662">
        <v>0.19343460000000001</v>
      </c>
      <c r="R2662">
        <v>-0.423489</v>
      </c>
      <c r="S2662">
        <v>3.1078800000000002</v>
      </c>
      <c r="T2662">
        <v>4.8534269999999997E-2</v>
      </c>
      <c r="U2662">
        <v>-0.59069819999999995</v>
      </c>
      <c r="V2662">
        <v>-0.13499079999999999</v>
      </c>
      <c r="W2662">
        <v>0.2051876</v>
      </c>
      <c r="X2662">
        <v>0.96936860000000002</v>
      </c>
      <c r="Y2662">
        <v>-0.38301580000000002</v>
      </c>
      <c r="Z2662">
        <v>-1.639668E-2</v>
      </c>
      <c r="AA2662">
        <v>0.92359630000000004</v>
      </c>
      <c r="AB2662">
        <v>24</v>
      </c>
      <c r="AC2662">
        <v>119.14790000000001</v>
      </c>
      <c r="AD2662">
        <v>1.8641259999999999</v>
      </c>
      <c r="AE2662">
        <v>-22.551200000000001</v>
      </c>
      <c r="AF2662">
        <v>-46.549381781547098</v>
      </c>
      <c r="AG2662">
        <v>1.8641259999999999</v>
      </c>
      <c r="AH2662">
        <v>111.94188797275901</v>
      </c>
      <c r="AI2662">
        <v>89.119078833187999</v>
      </c>
      <c r="AJ2662">
        <v>112.57926262927801</v>
      </c>
      <c r="AK2662">
        <v>121.248943058873</v>
      </c>
      <c r="AL2662">
        <v>78.159518507571704</v>
      </c>
      <c r="AM2662">
        <v>97.927821073525806</v>
      </c>
      <c r="AN2662">
        <v>0.99999997497217896</v>
      </c>
    </row>
    <row r="2663" spans="1:40" x14ac:dyDescent="0.25">
      <c r="A2663" t="str">
        <f>"20190303170549082"</f>
        <v>20190303170549082</v>
      </c>
      <c r="B2663" t="str">
        <f>"1551603949077671"</f>
        <v>1551603949077671</v>
      </c>
      <c r="C2663" t="s">
        <v>40</v>
      </c>
      <c r="D2663">
        <v>5.6702180000000002</v>
      </c>
      <c r="E2663">
        <v>0.40427760000000001</v>
      </c>
      <c r="F2663" t="s">
        <v>79</v>
      </c>
      <c r="G2663">
        <v>-350.11739999999998</v>
      </c>
      <c r="H2663">
        <v>2.4057460000000002</v>
      </c>
      <c r="I2663">
        <v>193.0951</v>
      </c>
      <c r="J2663">
        <v>-482.03030000000001</v>
      </c>
      <c r="K2663">
        <v>1.1276250000000001</v>
      </c>
      <c r="L2663">
        <v>218.75630000000001</v>
      </c>
      <c r="M2663">
        <v>0.84047689999999997</v>
      </c>
      <c r="N2663">
        <v>-1.417904E-2</v>
      </c>
      <c r="O2663">
        <v>-0.54166210000000004</v>
      </c>
      <c r="P2663">
        <v>0.88859840000000001</v>
      </c>
      <c r="Q2663">
        <v>0.19413230000000001</v>
      </c>
      <c r="R2663">
        <v>-0.41557820000000001</v>
      </c>
      <c r="S2663">
        <v>3.09436</v>
      </c>
      <c r="T2663">
        <v>2.9937979999999999E-2</v>
      </c>
      <c r="U2663">
        <v>-0.60372919999999997</v>
      </c>
      <c r="V2663">
        <v>-0.13516230000000001</v>
      </c>
      <c r="W2663">
        <v>0.20588519999999999</v>
      </c>
      <c r="X2663">
        <v>0.96919679999999997</v>
      </c>
      <c r="Y2663">
        <v>-0.37058429999999998</v>
      </c>
      <c r="Z2663">
        <v>-1.206728E-2</v>
      </c>
      <c r="AA2663">
        <v>0.92872049999999995</v>
      </c>
      <c r="AB2663">
        <v>24</v>
      </c>
      <c r="AC2663">
        <v>131.91290000000001</v>
      </c>
      <c r="AD2663">
        <v>1.2781209999999901</v>
      </c>
      <c r="AE2663">
        <v>-25.661200000000001</v>
      </c>
      <c r="AF2663">
        <v>-49.885068112697802</v>
      </c>
      <c r="AG2663">
        <v>1.2781209999999901</v>
      </c>
      <c r="AH2663">
        <v>124.7706840885</v>
      </c>
      <c r="AI2663">
        <v>89.455036013482299</v>
      </c>
      <c r="AJ2663">
        <v>111.79222253763599</v>
      </c>
      <c r="AK2663">
        <v>134.37960121168399</v>
      </c>
      <c r="AL2663">
        <v>78.118677283626695</v>
      </c>
      <c r="AM2663">
        <v>97.9391538359028</v>
      </c>
      <c r="AN2663">
        <v>1.00000000002528</v>
      </c>
    </row>
    <row r="2664" spans="1:40" x14ac:dyDescent="0.25">
      <c r="A2664" t="str">
        <f>"20190303170549103"</f>
        <v>20190303170549103</v>
      </c>
      <c r="B2664" t="str">
        <f>"1551603949097190"</f>
        <v>1551603949097190</v>
      </c>
      <c r="C2664" t="s">
        <v>40</v>
      </c>
      <c r="D2664">
        <v>5.6642380000000001</v>
      </c>
      <c r="E2664">
        <v>0.40491139999999998</v>
      </c>
      <c r="F2664" t="s">
        <v>79</v>
      </c>
      <c r="G2664">
        <v>-350.11739999999998</v>
      </c>
      <c r="H2664">
        <v>2.4243350000000001</v>
      </c>
      <c r="I2664">
        <v>193.9632</v>
      </c>
      <c r="J2664">
        <v>-481.83690000000001</v>
      </c>
      <c r="K2664">
        <v>1.1276139999999999</v>
      </c>
      <c r="L2664">
        <v>218.64340000000001</v>
      </c>
      <c r="M2664">
        <v>0.84520490000000004</v>
      </c>
      <c r="N2664">
        <v>-1.4179010000000001E-2</v>
      </c>
      <c r="O2664">
        <v>-0.53425449999999997</v>
      </c>
      <c r="P2664">
        <v>0.89193210000000001</v>
      </c>
      <c r="Q2664">
        <v>0.1953077</v>
      </c>
      <c r="R2664">
        <v>-0.40781450000000002</v>
      </c>
      <c r="S2664">
        <v>3.097137</v>
      </c>
      <c r="T2664">
        <v>3.0444619999999999E-2</v>
      </c>
      <c r="U2664">
        <v>-0.5821075</v>
      </c>
      <c r="V2664">
        <v>-0.13496810000000001</v>
      </c>
      <c r="W2664">
        <v>0.20706559999999999</v>
      </c>
      <c r="X2664">
        <v>0.96897239999999996</v>
      </c>
      <c r="Y2664">
        <v>-0.36883179999999999</v>
      </c>
      <c r="Z2664">
        <v>-1.200616E-2</v>
      </c>
      <c r="AA2664">
        <v>0.92941859999999998</v>
      </c>
      <c r="AB2664">
        <v>24</v>
      </c>
      <c r="AC2664">
        <v>131.71950000000001</v>
      </c>
      <c r="AD2664">
        <v>1.29672099999999</v>
      </c>
      <c r="AE2664">
        <v>-24.680199999999999</v>
      </c>
      <c r="AF2664">
        <v>-49.512245786825602</v>
      </c>
      <c r="AG2664">
        <v>1.29672099999999</v>
      </c>
      <c r="AH2664">
        <v>124.516320098919</v>
      </c>
      <c r="AI2664">
        <v>89.445561314047296</v>
      </c>
      <c r="AJ2664">
        <v>111.684579072331</v>
      </c>
      <c r="AK2664">
        <v>134.005439961158</v>
      </c>
      <c r="AL2664">
        <v>78.049556278627406</v>
      </c>
      <c r="AM2664">
        <v>97.929704703264903</v>
      </c>
      <c r="AN2664">
        <v>1.00000003134136</v>
      </c>
    </row>
    <row r="2665" spans="1:40" x14ac:dyDescent="0.25">
      <c r="A2665" t="str">
        <f>"20190303170549125"</f>
        <v>20190303170549125</v>
      </c>
      <c r="B2665" t="str">
        <f>"1551603949117686"</f>
        <v>1551603949117686</v>
      </c>
      <c r="C2665" t="s">
        <v>40</v>
      </c>
      <c r="D2665">
        <v>5.6789620000000003</v>
      </c>
      <c r="E2665">
        <v>0.4058599</v>
      </c>
      <c r="F2665" t="s">
        <v>79</v>
      </c>
      <c r="G2665">
        <v>-350.2276</v>
      </c>
      <c r="H2665">
        <v>2.5551529999999998</v>
      </c>
      <c r="I2665">
        <v>194.8494</v>
      </c>
      <c r="J2665">
        <v>-481.62650000000002</v>
      </c>
      <c r="K2665">
        <v>1.1275980000000001</v>
      </c>
      <c r="L2665">
        <v>218.5231</v>
      </c>
      <c r="M2665">
        <v>0.85024519999999904</v>
      </c>
      <c r="N2665">
        <v>-1.4178E-2</v>
      </c>
      <c r="O2665">
        <v>-0.52619589999999905</v>
      </c>
      <c r="P2665">
        <v>0.89572289999999999</v>
      </c>
      <c r="Q2665">
        <v>0.1952257</v>
      </c>
      <c r="R2665">
        <v>-0.39945890000000001</v>
      </c>
      <c r="S2665">
        <v>3.0998230000000002</v>
      </c>
      <c r="T2665">
        <v>3.3622739999999998E-2</v>
      </c>
      <c r="U2665">
        <v>-0.56042479999999995</v>
      </c>
      <c r="V2665">
        <v>-0.13481309999999999</v>
      </c>
      <c r="W2665">
        <v>0.20699139999999999</v>
      </c>
      <c r="X2665">
        <v>0.96900980000000003</v>
      </c>
      <c r="Y2665">
        <v>-0.36641790000000002</v>
      </c>
      <c r="Z2665">
        <v>-1.2510810000000001E-2</v>
      </c>
      <c r="AA2665">
        <v>0.93036629999999998</v>
      </c>
      <c r="AB2665">
        <v>24</v>
      </c>
      <c r="AC2665">
        <v>131.3989</v>
      </c>
      <c r="AD2665">
        <v>1.4275549999999999</v>
      </c>
      <c r="AE2665">
        <v>-23.6737</v>
      </c>
      <c r="AF2665">
        <v>-49.012435404502099</v>
      </c>
      <c r="AG2665">
        <v>1.4275549999999999</v>
      </c>
      <c r="AH2665">
        <v>124.17657202906901</v>
      </c>
      <c r="AI2665">
        <v>89.387339016476105</v>
      </c>
      <c r="AJ2665">
        <v>111.539126586286</v>
      </c>
      <c r="AK2665">
        <v>133.50684543666301</v>
      </c>
      <c r="AL2665">
        <v>78.053901415731204</v>
      </c>
      <c r="AM2665">
        <v>97.920411893747797</v>
      </c>
      <c r="AN2665">
        <v>1.0000000020508</v>
      </c>
    </row>
    <row r="2666" spans="1:40" x14ac:dyDescent="0.25">
      <c r="A2666" t="str">
        <f>"20190303170549146"</f>
        <v>20190303170549146</v>
      </c>
      <c r="B2666" t="str">
        <f>"1551603949137206"</f>
        <v>1551603949137206</v>
      </c>
      <c r="C2666" t="s">
        <v>40</v>
      </c>
      <c r="D2666">
        <v>5.6819569999999997</v>
      </c>
      <c r="E2666">
        <v>0.41152889999999998</v>
      </c>
      <c r="F2666" t="s">
        <v>80</v>
      </c>
      <c r="G2666">
        <v>-285.86779999999999</v>
      </c>
      <c r="H2666">
        <v>3.1654640000000001</v>
      </c>
      <c r="I2666">
        <v>184.5616</v>
      </c>
      <c r="J2666">
        <v>-481.42399999999998</v>
      </c>
      <c r="K2666">
        <v>1.127572</v>
      </c>
      <c r="L2666">
        <v>218.40989999999999</v>
      </c>
      <c r="M2666">
        <v>0.8549949</v>
      </c>
      <c r="N2666">
        <v>-1.417655E-2</v>
      </c>
      <c r="O2666">
        <v>-0.51844279999999998</v>
      </c>
      <c r="P2666">
        <v>0.89968189999999904</v>
      </c>
      <c r="Q2666">
        <v>0.19340209999999999</v>
      </c>
      <c r="R2666">
        <v>-0.39136729999999997</v>
      </c>
      <c r="S2666">
        <v>3.1022029999999998</v>
      </c>
      <c r="T2666">
        <v>3.2294990000000003E-2</v>
      </c>
      <c r="U2666">
        <v>-0.53819269999999997</v>
      </c>
      <c r="V2666">
        <v>-0.13490650000000001</v>
      </c>
      <c r="W2666">
        <v>0.20517540000000001</v>
      </c>
      <c r="X2666">
        <v>0.96938290000000005</v>
      </c>
      <c r="Y2666">
        <v>-0.36455460000000001</v>
      </c>
      <c r="Z2666">
        <v>-1.203445E-2</v>
      </c>
      <c r="AA2666">
        <v>0.93110420000000005</v>
      </c>
      <c r="AB2666">
        <v>24</v>
      </c>
      <c r="AC2666">
        <v>195.55619999999999</v>
      </c>
      <c r="AD2666">
        <v>2.0378919999999998</v>
      </c>
      <c r="AE2666">
        <v>-33.848299999999902</v>
      </c>
      <c r="AF2666">
        <v>-72.444215559393299</v>
      </c>
      <c r="AG2666">
        <v>2.0378919999999998</v>
      </c>
      <c r="AH2666">
        <v>184.747031665413</v>
      </c>
      <c r="AI2666">
        <v>89.411627027910399</v>
      </c>
      <c r="AJ2666">
        <v>111.411464003479</v>
      </c>
      <c r="AK2666">
        <v>198.453478379697</v>
      </c>
      <c r="AL2666">
        <v>78.160232503604604</v>
      </c>
      <c r="AM2666">
        <v>97.922817750581103</v>
      </c>
      <c r="AN2666">
        <v>0.99999995765990901</v>
      </c>
    </row>
    <row r="2667" spans="1:40" x14ac:dyDescent="0.25">
      <c r="A2667" t="str">
        <f>"20190303170549169"</f>
        <v>20190303170549169</v>
      </c>
      <c r="B2667" t="str">
        <f>"1551603949157702"</f>
        <v>1551603949157702</v>
      </c>
      <c r="C2667" t="s">
        <v>40</v>
      </c>
      <c r="D2667">
        <v>5.6915129999999996</v>
      </c>
      <c r="E2667">
        <v>0.41265010000000002</v>
      </c>
      <c r="F2667" t="s">
        <v>79</v>
      </c>
      <c r="G2667">
        <v>-350.2276</v>
      </c>
      <c r="H2667">
        <v>1.754289</v>
      </c>
      <c r="I2667">
        <v>194.98830000000001</v>
      </c>
      <c r="J2667">
        <v>-481.22039999999998</v>
      </c>
      <c r="K2667">
        <v>1.1275389999999901</v>
      </c>
      <c r="L2667">
        <v>218.29859999999999</v>
      </c>
      <c r="M2667">
        <v>0.85967269999999896</v>
      </c>
      <c r="N2667">
        <v>-1.417471E-2</v>
      </c>
      <c r="O2667">
        <v>-0.51064869999999996</v>
      </c>
      <c r="P2667">
        <v>0.90353850000000002</v>
      </c>
      <c r="Q2667">
        <v>0.19159399999999999</v>
      </c>
      <c r="R2667">
        <v>-0.38328869999999998</v>
      </c>
      <c r="S2667">
        <v>3.091278</v>
      </c>
      <c r="T2667">
        <v>1.476645E-2</v>
      </c>
      <c r="U2667">
        <v>-0.55186459999999904</v>
      </c>
      <c r="V2667">
        <v>-0.13494159999999999</v>
      </c>
      <c r="W2667">
        <v>0.20337549999999999</v>
      </c>
      <c r="X2667">
        <v>0.96975730000000004</v>
      </c>
      <c r="Y2667">
        <v>-0.35156859999999901</v>
      </c>
      <c r="Z2667">
        <v>-8.160947E-3</v>
      </c>
      <c r="AA2667">
        <v>0.93612649999999997</v>
      </c>
      <c r="AB2667">
        <v>24</v>
      </c>
      <c r="AC2667">
        <v>130.99279999999999</v>
      </c>
      <c r="AD2667">
        <v>0.62675000000000003</v>
      </c>
      <c r="AE2667">
        <v>-23.310299999999899</v>
      </c>
      <c r="AF2667">
        <v>-46.855738348836198</v>
      </c>
      <c r="AG2667">
        <v>0.62675000000000003</v>
      </c>
      <c r="AH2667">
        <v>124.52404553635</v>
      </c>
      <c r="AI2667">
        <v>89.730097879025095</v>
      </c>
      <c r="AJ2667">
        <v>110.62024667982099</v>
      </c>
      <c r="AK2667">
        <v>133.04920499017001</v>
      </c>
      <c r="AL2667">
        <v>78.265581430010201</v>
      </c>
      <c r="AM2667">
        <v>97.9218321795409</v>
      </c>
      <c r="AN2667">
        <v>1.00000002515704</v>
      </c>
    </row>
    <row r="2668" spans="1:40" x14ac:dyDescent="0.25">
      <c r="A2668" t="str">
        <f>"20190303170549190"</f>
        <v>20190303170549190</v>
      </c>
      <c r="B2668" t="str">
        <f>"1551603949186982"</f>
        <v>1551603949186982</v>
      </c>
      <c r="C2668" t="s">
        <v>40</v>
      </c>
      <c r="D2668">
        <v>5.663017</v>
      </c>
      <c r="E2668">
        <v>0.41805120000000001</v>
      </c>
      <c r="F2668" t="s">
        <v>48</v>
      </c>
      <c r="G2668">
        <v>-408.55619999999999</v>
      </c>
      <c r="H2668">
        <v>1.2692619999999999</v>
      </c>
      <c r="I2668">
        <v>205.79060000000001</v>
      </c>
      <c r="J2668">
        <v>-481.0147</v>
      </c>
      <c r="K2668">
        <v>1.1275139999999999</v>
      </c>
      <c r="L2668">
        <v>218.1884</v>
      </c>
      <c r="M2668">
        <v>0.86430280000000004</v>
      </c>
      <c r="N2668">
        <v>-1.417271E-2</v>
      </c>
      <c r="O2668">
        <v>-0.5027722</v>
      </c>
      <c r="P2668">
        <v>0.90710460000000004</v>
      </c>
      <c r="Q2668">
        <v>0.19155720000000001</v>
      </c>
      <c r="R2668">
        <v>-0.3747896</v>
      </c>
      <c r="S2668">
        <v>3.0931090000000001</v>
      </c>
      <c r="T2668">
        <v>6.0327050000000002E-3</v>
      </c>
      <c r="U2668">
        <v>-0.53242489999999998</v>
      </c>
      <c r="V2668">
        <v>-0.13518039999999901</v>
      </c>
      <c r="W2668">
        <v>0.2033382</v>
      </c>
      <c r="X2668">
        <v>0.96973189999999998</v>
      </c>
      <c r="Y2668">
        <v>-0.34883900000000001</v>
      </c>
      <c r="Z2668">
        <v>-6.1853480000000002E-3</v>
      </c>
      <c r="AA2668">
        <v>0.9371623</v>
      </c>
      <c r="AB2668">
        <v>24</v>
      </c>
      <c r="AC2668">
        <v>72.458500000000001</v>
      </c>
      <c r="AD2668">
        <v>0.14174800000000001</v>
      </c>
      <c r="AE2668">
        <v>-12.397799999999901</v>
      </c>
      <c r="AF2668">
        <v>-25.717152526525499</v>
      </c>
      <c r="AG2668">
        <v>0.14174800000000001</v>
      </c>
      <c r="AH2668">
        <v>68.8660115604971</v>
      </c>
      <c r="AI2668">
        <v>89.889519558016104</v>
      </c>
      <c r="AJ2668">
        <v>110.47751853431301</v>
      </c>
      <c r="AK2668">
        <v>73.511356774437303</v>
      </c>
      <c r="AL2668">
        <v>78.267764598096406</v>
      </c>
      <c r="AM2668">
        <v>97.935877849988401</v>
      </c>
      <c r="AN2668">
        <v>1.0000000610005</v>
      </c>
    </row>
    <row r="2669" spans="1:40" x14ac:dyDescent="0.25">
      <c r="A2669" t="str">
        <f>"20190303170549215"</f>
        <v>20190303170549215</v>
      </c>
      <c r="B2669" t="str">
        <f>"1551603949207478"</f>
        <v>1551603949207478</v>
      </c>
      <c r="C2669" t="s">
        <v>40</v>
      </c>
      <c r="D2669">
        <v>5.7171919999999998</v>
      </c>
      <c r="E2669">
        <v>0.41867660000000001</v>
      </c>
      <c r="F2669" t="s">
        <v>81</v>
      </c>
      <c r="G2669">
        <v>-368.61680000000001</v>
      </c>
      <c r="H2669">
        <v>0.96782259999999998</v>
      </c>
      <c r="I2669">
        <v>198.36359999999999</v>
      </c>
      <c r="J2669">
        <v>-480.78809999999999</v>
      </c>
      <c r="K2669">
        <v>1.1275010000000001</v>
      </c>
      <c r="L2669">
        <v>218.06979999999999</v>
      </c>
      <c r="M2669">
        <v>0.86929500000000004</v>
      </c>
      <c r="N2669">
        <v>-1.4170240000000001E-2</v>
      </c>
      <c r="O2669">
        <v>-0.4940909</v>
      </c>
      <c r="P2669">
        <v>0.91086579999999995</v>
      </c>
      <c r="Q2669">
        <v>0.1917103</v>
      </c>
      <c r="R2669">
        <v>-0.3654734</v>
      </c>
      <c r="S2669">
        <v>3.0834959999999998</v>
      </c>
      <c r="T2669">
        <v>-4.3805839999999999E-3</v>
      </c>
      <c r="U2669">
        <v>-0.54386899999999905</v>
      </c>
      <c r="V2669">
        <v>-0.13538499999999901</v>
      </c>
      <c r="W2669">
        <v>0.20349130000000001</v>
      </c>
      <c r="X2669">
        <v>0.96967119999999996</v>
      </c>
      <c r="Y2669">
        <v>-0.33557209999999899</v>
      </c>
      <c r="Z2669">
        <v>-3.9714579999999998E-3</v>
      </c>
      <c r="AA2669">
        <v>0.94200620000000002</v>
      </c>
      <c r="AB2669">
        <v>24</v>
      </c>
      <c r="AC2669">
        <v>112.17129999999899</v>
      </c>
      <c r="AD2669">
        <v>-0.1596784</v>
      </c>
      <c r="AE2669">
        <v>-19.7061999999999</v>
      </c>
      <c r="AF2669">
        <v>-38.296079351261703</v>
      </c>
      <c r="AG2669">
        <v>-0.1596784</v>
      </c>
      <c r="AH2669">
        <v>107.257140434655</v>
      </c>
      <c r="AI2669">
        <v>90.080331723150493</v>
      </c>
      <c r="AJ2669">
        <v>109.649066288876</v>
      </c>
      <c r="AK2669">
        <v>113.889022144756</v>
      </c>
      <c r="AL2669">
        <v>78.258804832367005</v>
      </c>
      <c r="AM2669">
        <v>97.948226850454304</v>
      </c>
      <c r="AN2669">
        <v>1.00000002175506</v>
      </c>
    </row>
    <row r="2670" spans="1:40" x14ac:dyDescent="0.25">
      <c r="A2670" t="str">
        <f>"20190303170549239"</f>
        <v>20190303170549239</v>
      </c>
      <c r="B2670" t="str">
        <f>"1551603949226999"</f>
        <v>1551603949226999</v>
      </c>
      <c r="C2670" t="s">
        <v>40</v>
      </c>
      <c r="D2670">
        <v>5.6485629999999896</v>
      </c>
      <c r="E2670">
        <v>0.40958450000000002</v>
      </c>
      <c r="F2670" t="s">
        <v>81</v>
      </c>
      <c r="G2670">
        <v>-366.08420000000001</v>
      </c>
      <c r="H2670">
        <v>0.89194269999999998</v>
      </c>
      <c r="I2670">
        <v>198.87029999999999</v>
      </c>
      <c r="J2670">
        <v>-480.56270000000001</v>
      </c>
      <c r="K2670">
        <v>1.1274869999999999</v>
      </c>
      <c r="L2670">
        <v>217.9547</v>
      </c>
      <c r="M2670">
        <v>0.874148699999999</v>
      </c>
      <c r="N2670">
        <v>-1.4167549999999999E-2</v>
      </c>
      <c r="O2670">
        <v>-0.4854521</v>
      </c>
      <c r="P2670">
        <v>0.91473119999999997</v>
      </c>
      <c r="Q2670">
        <v>0.1914834</v>
      </c>
      <c r="R2670">
        <v>-0.3558113</v>
      </c>
      <c r="S2670">
        <v>3.0875240000000002</v>
      </c>
      <c r="T2670">
        <v>-6.3402650000000003E-3</v>
      </c>
      <c r="U2670">
        <v>-0.51679989999999998</v>
      </c>
      <c r="V2670">
        <v>-0.13605249999999999</v>
      </c>
      <c r="W2670">
        <v>0.20325650000000001</v>
      </c>
      <c r="X2670">
        <v>0.96962700000000002</v>
      </c>
      <c r="Y2670">
        <v>-0.33447169999999998</v>
      </c>
      <c r="Z2670">
        <v>-3.4570450000000002E-3</v>
      </c>
      <c r="AA2670">
        <v>0.9423994</v>
      </c>
      <c r="AB2670">
        <v>24</v>
      </c>
      <c r="AC2670">
        <v>114.4785</v>
      </c>
      <c r="AD2670">
        <v>-0.23554430000000001</v>
      </c>
      <c r="AE2670">
        <v>-19.084399999999999</v>
      </c>
      <c r="AF2670">
        <v>-38.894960285385501</v>
      </c>
      <c r="AG2670">
        <v>-0.23554430000000001</v>
      </c>
      <c r="AH2670">
        <v>109.346295723537</v>
      </c>
      <c r="AI2670">
        <v>90.116284015723906</v>
      </c>
      <c r="AJ2670">
        <v>109.580697329918</v>
      </c>
      <c r="AK2670">
        <v>116.058113913583</v>
      </c>
      <c r="AL2670">
        <v>78.272544816566395</v>
      </c>
      <c r="AM2670">
        <v>97.987269565291399</v>
      </c>
      <c r="AN2670">
        <v>1.0000000033387499</v>
      </c>
    </row>
    <row r="2671" spans="1:40" x14ac:dyDescent="0.25">
      <c r="A2671" t="str">
        <f>"20190303170549262"</f>
        <v>20190303170549262</v>
      </c>
      <c r="B2671" t="str">
        <f>"1551603949257762"</f>
        <v>1551603949257762</v>
      </c>
      <c r="C2671" t="s">
        <v>40</v>
      </c>
      <c r="D2671">
        <v>5.6202670000000001</v>
      </c>
      <c r="E2671">
        <v>0.40492719999999999</v>
      </c>
      <c r="F2671" t="s">
        <v>53</v>
      </c>
      <c r="G2671">
        <v>-168.4213</v>
      </c>
      <c r="H2671">
        <v>2.3214389999999998</v>
      </c>
      <c r="I2671">
        <v>176.2672</v>
      </c>
      <c r="J2671">
        <v>-480.34210000000002</v>
      </c>
      <c r="K2671">
        <v>1.1274679999999999</v>
      </c>
      <c r="L2671">
        <v>217.84469999999999</v>
      </c>
      <c r="M2671">
        <v>0.87879300000000005</v>
      </c>
      <c r="N2671">
        <v>-1.416485E-2</v>
      </c>
      <c r="O2671">
        <v>-0.476993</v>
      </c>
      <c r="P2671">
        <v>0.91852659999999997</v>
      </c>
      <c r="Q2671">
        <v>0.1907932</v>
      </c>
      <c r="R2671">
        <v>-0.34627580000000002</v>
      </c>
      <c r="S2671">
        <v>3.115326</v>
      </c>
      <c r="T2671">
        <v>1.191652E-2</v>
      </c>
      <c r="U2671">
        <v>-0.41606140000000003</v>
      </c>
      <c r="V2671">
        <v>-0.13683419999999999</v>
      </c>
      <c r="W2671">
        <v>0.20255790000000001</v>
      </c>
      <c r="X2671">
        <v>0.96966319999999995</v>
      </c>
      <c r="Y2671">
        <v>-0.35642689999999999</v>
      </c>
      <c r="Z2671">
        <v>-6.8852200000000001E-3</v>
      </c>
      <c r="AA2671">
        <v>0.93429790000000001</v>
      </c>
      <c r="AB2671">
        <v>24</v>
      </c>
      <c r="AC2671">
        <v>311.92079999999999</v>
      </c>
      <c r="AD2671">
        <v>1.1939709999999899</v>
      </c>
      <c r="AE2671">
        <v>-41.577499999999901</v>
      </c>
      <c r="AF2671">
        <v>-112.25566279656999</v>
      </c>
      <c r="AG2671">
        <v>1.1939709999999899</v>
      </c>
      <c r="AH2671">
        <v>293.97123852013499</v>
      </c>
      <c r="AI2671">
        <v>89.782603805092705</v>
      </c>
      <c r="AJ2671">
        <v>110.899823558964</v>
      </c>
      <c r="AK2671">
        <v>314.67737203953601</v>
      </c>
      <c r="AL2671">
        <v>78.313422070999707</v>
      </c>
      <c r="AM2671">
        <v>98.032267785779396</v>
      </c>
      <c r="AN2671">
        <v>1.00000001128814</v>
      </c>
    </row>
    <row r="2672" spans="1:40" x14ac:dyDescent="0.25">
      <c r="A2672" t="str">
        <f>"20190303170549285"</f>
        <v>20190303170549285</v>
      </c>
      <c r="B2672" t="str">
        <f>"1551603949277282"</f>
        <v>1551603949277282</v>
      </c>
      <c r="C2672" t="s">
        <v>40</v>
      </c>
      <c r="D2672">
        <v>5.6485000000000003</v>
      </c>
      <c r="E2672">
        <v>0.40385480000000001</v>
      </c>
      <c r="F2672" t="s">
        <v>79</v>
      </c>
      <c r="G2672">
        <v>-256.33499999999998</v>
      </c>
      <c r="H2672">
        <v>3.0354480000000001</v>
      </c>
      <c r="I2672">
        <v>192.8655</v>
      </c>
      <c r="J2672">
        <v>-480.13619999999997</v>
      </c>
      <c r="K2672">
        <v>1.1274519999999999</v>
      </c>
      <c r="L2672">
        <v>217.74440000000001</v>
      </c>
      <c r="M2672">
        <v>0.88303619999999905</v>
      </c>
      <c r="N2672">
        <v>-1.41622E-2</v>
      </c>
      <c r="O2672">
        <v>-0.46909119999999999</v>
      </c>
      <c r="P2672">
        <v>0.9214715</v>
      </c>
      <c r="Q2672">
        <v>0.19037319999999999</v>
      </c>
      <c r="R2672">
        <v>-0.33859800000000001</v>
      </c>
      <c r="S2672">
        <v>3.1290589999999998</v>
      </c>
      <c r="T2672">
        <v>2.665174E-2</v>
      </c>
      <c r="U2672">
        <v>-0.34892269999999997</v>
      </c>
      <c r="V2672">
        <v>-0.1362545</v>
      </c>
      <c r="W2672">
        <v>0.20215069999999999</v>
      </c>
      <c r="X2672">
        <v>0.96982979999999996</v>
      </c>
      <c r="Y2672">
        <v>-0.36826540000000002</v>
      </c>
      <c r="Z2672">
        <v>-9.6538909999999995E-3</v>
      </c>
      <c r="AA2672">
        <v>0.92967060000000001</v>
      </c>
      <c r="AB2672">
        <v>24</v>
      </c>
      <c r="AC2672">
        <v>223.80119999999999</v>
      </c>
      <c r="AD2672">
        <v>1.90799599999999</v>
      </c>
      <c r="AE2672">
        <v>-24.878900000000002</v>
      </c>
      <c r="AF2672">
        <v>-83.016568024726396</v>
      </c>
      <c r="AG2672">
        <v>1.90799599999999</v>
      </c>
      <c r="AH2672">
        <v>209.300994041118</v>
      </c>
      <c r="AI2672">
        <v>89.514497498891501</v>
      </c>
      <c r="AJ2672">
        <v>111.63512047792</v>
      </c>
      <c r="AK2672">
        <v>225.17170586452499</v>
      </c>
      <c r="AL2672">
        <v>78.337245842861606</v>
      </c>
      <c r="AM2672">
        <v>97.997324038775304</v>
      </c>
      <c r="AN2672">
        <v>1.00000001762438</v>
      </c>
    </row>
    <row r="2673" spans="1:40" x14ac:dyDescent="0.25">
      <c r="A2673" t="str">
        <f>"20190303170549305"</f>
        <v>20190303170549305</v>
      </c>
      <c r="B2673" t="str">
        <f>"1551603949297779"</f>
        <v>1551603949297779</v>
      </c>
      <c r="C2673" t="s">
        <v>40</v>
      </c>
      <c r="D2673">
        <v>5.5975239999999999</v>
      </c>
      <c r="E2673">
        <v>0.40298719999999999</v>
      </c>
      <c r="F2673" t="s">
        <v>79</v>
      </c>
      <c r="G2673">
        <v>-253.81610000000001</v>
      </c>
      <c r="H2673">
        <v>3.3500079999999999</v>
      </c>
      <c r="I2673">
        <v>194.99780000000001</v>
      </c>
      <c r="J2673">
        <v>-479.92700000000002</v>
      </c>
      <c r="K2673">
        <v>1.127443</v>
      </c>
      <c r="L2673">
        <v>217.64500000000001</v>
      </c>
      <c r="M2673">
        <v>0.88725619999999905</v>
      </c>
      <c r="N2673">
        <v>-1.4159089999999999E-2</v>
      </c>
      <c r="O2673">
        <v>-0.46106000000000003</v>
      </c>
      <c r="P2673">
        <v>0.92416450000000006</v>
      </c>
      <c r="Q2673">
        <v>0.1909573</v>
      </c>
      <c r="R2673">
        <v>-0.330841099999999</v>
      </c>
      <c r="S2673">
        <v>3.1335449999999998</v>
      </c>
      <c r="T2673">
        <v>3.0772689999999998E-2</v>
      </c>
      <c r="U2673">
        <v>-0.31494139999999998</v>
      </c>
      <c r="V2673">
        <v>-0.13555059999999999</v>
      </c>
      <c r="W2673">
        <v>0.20274610000000001</v>
      </c>
      <c r="X2673">
        <v>0.96980409999999995</v>
      </c>
      <c r="Y2673">
        <v>-0.36993330000000002</v>
      </c>
      <c r="Z2673">
        <v>-1.028633E-2</v>
      </c>
      <c r="AA2673">
        <v>0.92900139999999998</v>
      </c>
      <c r="AB2673">
        <v>24</v>
      </c>
      <c r="AC2673">
        <v>226.11089999999999</v>
      </c>
      <c r="AD2673">
        <v>2.2225649999999999</v>
      </c>
      <c r="AE2673">
        <v>-22.647200000000002</v>
      </c>
      <c r="AF2673">
        <v>-84.157194113273206</v>
      </c>
      <c r="AG2673">
        <v>2.2225649999999999</v>
      </c>
      <c r="AH2673">
        <v>211.06094682038</v>
      </c>
      <c r="AI2673">
        <v>89.439577274575697</v>
      </c>
      <c r="AJ2673">
        <v>111.738855116198</v>
      </c>
      <c r="AK2673">
        <v>227.231371929392</v>
      </c>
      <c r="AL2673">
        <v>78.302410026755496</v>
      </c>
      <c r="AM2673">
        <v>97.956747919434306</v>
      </c>
      <c r="AN2673">
        <v>0.99999996930118895</v>
      </c>
    </row>
    <row r="2674" spans="1:40" x14ac:dyDescent="0.25">
      <c r="A2674" t="str">
        <f>"20190303170549326"</f>
        <v>20190303170549326</v>
      </c>
      <c r="B2674" t="str">
        <f>"1551603949317298"</f>
        <v>1551603949317298</v>
      </c>
      <c r="C2674" t="s">
        <v>40</v>
      </c>
      <c r="D2674">
        <v>5.6294760000000004</v>
      </c>
      <c r="E2674">
        <v>0.40258729999999998</v>
      </c>
      <c r="F2674" t="s">
        <v>82</v>
      </c>
      <c r="G2674">
        <v>-281.3612</v>
      </c>
      <c r="H2674">
        <v>3.5083730000000002</v>
      </c>
      <c r="I2674">
        <v>199.79560000000001</v>
      </c>
      <c r="J2674">
        <v>-479.7319</v>
      </c>
      <c r="K2674">
        <v>1.127437</v>
      </c>
      <c r="L2674">
        <v>217.55430000000001</v>
      </c>
      <c r="M2674">
        <v>0.89111219999999902</v>
      </c>
      <c r="N2674">
        <v>-1.415628E-2</v>
      </c>
      <c r="O2674">
        <v>-0.45356220000000003</v>
      </c>
      <c r="P2674">
        <v>0.92676740000000002</v>
      </c>
      <c r="Q2674">
        <v>0.19135440000000001</v>
      </c>
      <c r="R2674">
        <v>-0.32324249999999999</v>
      </c>
      <c r="S2674">
        <v>3.1374209999999998</v>
      </c>
      <c r="T2674">
        <v>3.7619590000000001E-2</v>
      </c>
      <c r="U2674">
        <v>-0.28202820000000001</v>
      </c>
      <c r="V2674">
        <v>-0.13529679999999999</v>
      </c>
      <c r="W2674">
        <v>0.2031481</v>
      </c>
      <c r="X2674">
        <v>0.96975540000000005</v>
      </c>
      <c r="Y2674">
        <v>-0.37184640000000002</v>
      </c>
      <c r="Z2674">
        <v>-1.145639E-2</v>
      </c>
      <c r="AA2674">
        <v>0.92822360000000004</v>
      </c>
      <c r="AB2674">
        <v>24</v>
      </c>
      <c r="AC2674">
        <v>198.3707</v>
      </c>
      <c r="AD2674">
        <v>2.3809360000000002</v>
      </c>
      <c r="AE2674">
        <v>-17.758700000000001</v>
      </c>
      <c r="AF2674">
        <v>-74.145290474760301</v>
      </c>
      <c r="AG2674">
        <v>2.3809360000000002</v>
      </c>
      <c r="AH2674">
        <v>184.817333229675</v>
      </c>
      <c r="AI2674">
        <v>89.314983797986002</v>
      </c>
      <c r="AJ2674">
        <v>111.859742226612</v>
      </c>
      <c r="AK2674">
        <v>199.14979191038901</v>
      </c>
      <c r="AL2674">
        <v>78.278887446767399</v>
      </c>
      <c r="AM2674">
        <v>97.942434020905793</v>
      </c>
      <c r="AN2674">
        <v>0.99999995522650398</v>
      </c>
    </row>
    <row r="2675" spans="1:40" x14ac:dyDescent="0.25">
      <c r="A2675" t="str">
        <f>"20190303170549348"</f>
        <v>20190303170549348</v>
      </c>
      <c r="B2675" t="str">
        <f>"1551603949337794"</f>
        <v>1551603949337794</v>
      </c>
      <c r="C2675" t="s">
        <v>40</v>
      </c>
      <c r="D2675">
        <v>5.6349790000000004</v>
      </c>
      <c r="E2675">
        <v>0.40263979999999999</v>
      </c>
      <c r="F2675" t="s">
        <v>75</v>
      </c>
      <c r="G2675">
        <v>-237.2807</v>
      </c>
      <c r="H2675">
        <v>4.4024919999999996</v>
      </c>
      <c r="I2675">
        <v>197.9984</v>
      </c>
      <c r="J2675">
        <v>-479.5138</v>
      </c>
      <c r="K2675">
        <v>1.1274230000000001</v>
      </c>
      <c r="L2675">
        <v>217.4554</v>
      </c>
      <c r="M2675">
        <v>0.89533109999999905</v>
      </c>
      <c r="N2675">
        <v>-1.415314E-2</v>
      </c>
      <c r="O2675">
        <v>-0.44517630000000002</v>
      </c>
      <c r="P2675">
        <v>0.92982039999999999</v>
      </c>
      <c r="Q2675">
        <v>0.19108410000000001</v>
      </c>
      <c r="R2675">
        <v>-0.3145172</v>
      </c>
      <c r="S2675">
        <v>3.1399539999999999</v>
      </c>
      <c r="T2675">
        <v>4.2415979999999999E-2</v>
      </c>
      <c r="U2675">
        <v>-0.25326539999999997</v>
      </c>
      <c r="V2675">
        <v>-0.13532159999999999</v>
      </c>
      <c r="W2675">
        <v>0.2028797</v>
      </c>
      <c r="X2675">
        <v>0.96980820000000001</v>
      </c>
      <c r="Y2675">
        <v>-0.37162200000000001</v>
      </c>
      <c r="Z2675">
        <v>-1.217527E-2</v>
      </c>
      <c r="AA2675">
        <v>0.92830429999999997</v>
      </c>
      <c r="AB2675">
        <v>24</v>
      </c>
      <c r="AC2675">
        <v>242.23310000000001</v>
      </c>
      <c r="AD2675">
        <v>3.2750689999999998</v>
      </c>
      <c r="AE2675">
        <v>-19.456999999999901</v>
      </c>
      <c r="AF2675">
        <v>-90.408613083176604</v>
      </c>
      <c r="AG2675">
        <v>3.2750689999999998</v>
      </c>
      <c r="AH2675">
        <v>225.52225157199999</v>
      </c>
      <c r="AI2675">
        <v>89.227736216461295</v>
      </c>
      <c r="AJ2675">
        <v>111.845136287893</v>
      </c>
      <c r="AK2675">
        <v>242.991212496836</v>
      </c>
      <c r="AL2675">
        <v>78.294593528275897</v>
      </c>
      <c r="AM2675">
        <v>97.943444317467197</v>
      </c>
      <c r="AN2675">
        <v>1.0000000264429401</v>
      </c>
    </row>
    <row r="2676" spans="1:40" x14ac:dyDescent="0.25">
      <c r="A2676" t="str">
        <f>"20190303170549370"</f>
        <v>20190303170549370</v>
      </c>
      <c r="B2676" t="str">
        <f>"1551603949367073"</f>
        <v>1551603949367073</v>
      </c>
      <c r="C2676" t="s">
        <v>40</v>
      </c>
      <c r="D2676">
        <v>5.6567550000000004</v>
      </c>
      <c r="E2676">
        <v>0.40298909999999999</v>
      </c>
      <c r="F2676" t="s">
        <v>53</v>
      </c>
      <c r="G2676">
        <v>-168.416</v>
      </c>
      <c r="H2676">
        <v>5.3592680000000001</v>
      </c>
      <c r="I2676">
        <v>195.23240000000001</v>
      </c>
      <c r="J2676">
        <v>-479.30779999999999</v>
      </c>
      <c r="K2676">
        <v>1.12741</v>
      </c>
      <c r="L2676">
        <v>217.36410000000001</v>
      </c>
      <c r="M2676">
        <v>0.89922800000000003</v>
      </c>
      <c r="N2676">
        <v>-1.415016E-2</v>
      </c>
      <c r="O2676">
        <v>-0.43725150000000002</v>
      </c>
      <c r="P2676">
        <v>0.93230999999999997</v>
      </c>
      <c r="Q2676">
        <v>0.1915019</v>
      </c>
      <c r="R2676">
        <v>-0.30679800000000002</v>
      </c>
      <c r="S2676">
        <v>3.141724</v>
      </c>
      <c r="T2676">
        <v>4.2737009999999999E-2</v>
      </c>
      <c r="U2676">
        <v>-0.2244263</v>
      </c>
      <c r="V2676">
        <v>-0.13475680000000001</v>
      </c>
      <c r="W2676">
        <v>0.20330690000000001</v>
      </c>
      <c r="X2676">
        <v>0.96979740000000003</v>
      </c>
      <c r="Y2676">
        <v>-0.37193890000000002</v>
      </c>
      <c r="Z2676">
        <v>-1.2018340000000001E-2</v>
      </c>
      <c r="AA2676">
        <v>0.92817939999999999</v>
      </c>
      <c r="AB2676">
        <v>24</v>
      </c>
      <c r="AC2676">
        <v>310.89179999999999</v>
      </c>
      <c r="AD2676">
        <v>4.2318579999999999</v>
      </c>
      <c r="AE2676">
        <v>-22.131699999999899</v>
      </c>
      <c r="AF2676">
        <v>-116.026684703589</v>
      </c>
      <c r="AG2676">
        <v>4.2318579999999999</v>
      </c>
      <c r="AH2676">
        <v>289.215360149849</v>
      </c>
      <c r="AI2676">
        <v>89.221963173960702</v>
      </c>
      <c r="AJ2676">
        <v>111.859544234433</v>
      </c>
      <c r="AK2676">
        <v>311.64984314458599</v>
      </c>
      <c r="AL2676">
        <v>78.2695960114782</v>
      </c>
      <c r="AM2676">
        <v>97.910797858023102</v>
      </c>
      <c r="AN2676">
        <v>1.0000000438903001</v>
      </c>
    </row>
    <row r="2677" spans="1:40" x14ac:dyDescent="0.25">
      <c r="A2677" t="str">
        <f>"20190303170549392"</f>
        <v>20190303170549392</v>
      </c>
      <c r="B2677" t="str">
        <f>"1551603949387570"</f>
        <v>1551603949387570</v>
      </c>
      <c r="C2677" t="s">
        <v>40</v>
      </c>
      <c r="D2677">
        <v>5.6169580000000003</v>
      </c>
      <c r="E2677">
        <v>0.40360119999999999</v>
      </c>
      <c r="F2677" t="s">
        <v>53</v>
      </c>
      <c r="G2677">
        <v>-168.4153</v>
      </c>
      <c r="H2677">
        <v>5.5674199999999896</v>
      </c>
      <c r="I2677">
        <v>197.49029999999999</v>
      </c>
      <c r="J2677">
        <v>-479.0967</v>
      </c>
      <c r="K2677">
        <v>1.1273959999999901</v>
      </c>
      <c r="L2677">
        <v>217.27289999999999</v>
      </c>
      <c r="M2677">
        <v>0.90313239999999995</v>
      </c>
      <c r="N2677">
        <v>-1.4146840000000001E-2</v>
      </c>
      <c r="O2677">
        <v>-0.42912909999999999</v>
      </c>
      <c r="P2677">
        <v>0.93469919999999995</v>
      </c>
      <c r="Q2677">
        <v>0.19185079999999999</v>
      </c>
      <c r="R2677">
        <v>-0.29921769999999998</v>
      </c>
      <c r="S2677">
        <v>3.1424560000000001</v>
      </c>
      <c r="T2677">
        <v>4.487932E-2</v>
      </c>
      <c r="U2677">
        <v>-0.20088200000000001</v>
      </c>
      <c r="V2677">
        <v>-0.13385620000000001</v>
      </c>
      <c r="W2677">
        <v>0.20367060000000001</v>
      </c>
      <c r="X2677">
        <v>0.96984579999999998</v>
      </c>
      <c r="Y2677">
        <v>-0.37050379999999999</v>
      </c>
      <c r="Z2677">
        <v>-1.220445E-2</v>
      </c>
      <c r="AA2677">
        <v>0.92875079999999999</v>
      </c>
      <c r="AB2677">
        <v>24</v>
      </c>
      <c r="AC2677">
        <v>310.6814</v>
      </c>
      <c r="AD2677">
        <v>4.4400239999999904</v>
      </c>
      <c r="AE2677">
        <v>-19.782599999999999</v>
      </c>
      <c r="AF2677">
        <v>-115.444191651347</v>
      </c>
      <c r="AG2677">
        <v>4.4400239999999904</v>
      </c>
      <c r="AH2677">
        <v>289.04585550295599</v>
      </c>
      <c r="AI2677">
        <v>89.182716122824701</v>
      </c>
      <c r="AJ2677">
        <v>111.771644002576</v>
      </c>
      <c r="AK2677">
        <v>311.27894529278598</v>
      </c>
      <c r="AL2677">
        <v>78.248312124766301</v>
      </c>
      <c r="AM2677">
        <v>97.858204271717298</v>
      </c>
      <c r="AN2677">
        <v>1.0000000356802099</v>
      </c>
    </row>
    <row r="2678" spans="1:40" x14ac:dyDescent="0.25">
      <c r="A2678" t="str">
        <f>"20190303170549416"</f>
        <v>20190303170549416</v>
      </c>
      <c r="B2678" t="str">
        <f>"1551603949407090"</f>
        <v>1551603949407090</v>
      </c>
      <c r="C2678" t="s">
        <v>40</v>
      </c>
      <c r="D2678">
        <v>5.6552850000000001</v>
      </c>
      <c r="E2678">
        <v>0.40443679999999999</v>
      </c>
      <c r="F2678" t="s">
        <v>53</v>
      </c>
      <c r="G2678">
        <v>-168.41460000000001</v>
      </c>
      <c r="H2678">
        <v>5.553471</v>
      </c>
      <c r="I2678">
        <v>199.5086</v>
      </c>
      <c r="J2678">
        <v>-478.86189999999999</v>
      </c>
      <c r="K2678">
        <v>1.1273820000000001</v>
      </c>
      <c r="L2678">
        <v>217.17400000000001</v>
      </c>
      <c r="M2678">
        <v>0.90737500000000004</v>
      </c>
      <c r="N2678">
        <v>-1.41432E-2</v>
      </c>
      <c r="O2678">
        <v>-0.42008390000000001</v>
      </c>
      <c r="P2678">
        <v>0.93747519999999995</v>
      </c>
      <c r="Q2678">
        <v>0.1921524</v>
      </c>
      <c r="R2678">
        <v>-0.29020299999999999</v>
      </c>
      <c r="S2678">
        <v>3.1428530000000001</v>
      </c>
      <c r="T2678">
        <v>4.4774410000000001E-2</v>
      </c>
      <c r="U2678">
        <v>-0.179702799999999</v>
      </c>
      <c r="V2678">
        <v>-0.13347519999999999</v>
      </c>
      <c r="W2678">
        <v>0.20397870000000001</v>
      </c>
      <c r="X2678">
        <v>0.96983359999999996</v>
      </c>
      <c r="Y2678">
        <v>-0.3674693</v>
      </c>
      <c r="Z2678">
        <v>-1.1929240000000001E-2</v>
      </c>
      <c r="AA2678">
        <v>0.92995919999999999</v>
      </c>
      <c r="AB2678">
        <v>24</v>
      </c>
      <c r="AC2678">
        <v>310.44729999999998</v>
      </c>
      <c r="AD2678">
        <v>4.4260890000000002</v>
      </c>
      <c r="AE2678">
        <v>-17.665400000000002</v>
      </c>
      <c r="AF2678">
        <v>-114.373044518748</v>
      </c>
      <c r="AG2678">
        <v>4.4260890000000002</v>
      </c>
      <c r="AH2678">
        <v>289.08343172623302</v>
      </c>
      <c r="AI2678">
        <v>89.184335514215604</v>
      </c>
      <c r="AJ2678">
        <v>111.585746097155</v>
      </c>
      <c r="AK2678">
        <v>310.91801825391099</v>
      </c>
      <c r="AL2678">
        <v>78.2302812448102</v>
      </c>
      <c r="AM2678">
        <v>97.8362127793105</v>
      </c>
      <c r="AN2678">
        <v>1.0000000753788401</v>
      </c>
    </row>
    <row r="2679" spans="1:40" x14ac:dyDescent="0.25">
      <c r="A2679" t="str">
        <f>"20190303170549439"</f>
        <v>20190303170549439</v>
      </c>
      <c r="B2679" t="str">
        <f>"1551603949427585"</f>
        <v>1551603949427585</v>
      </c>
      <c r="C2679" t="s">
        <v>40</v>
      </c>
      <c r="D2679">
        <v>5.6407150000000001</v>
      </c>
      <c r="E2679">
        <v>0.41595769999999999</v>
      </c>
      <c r="F2679" t="s">
        <v>53</v>
      </c>
      <c r="G2679">
        <v>-168.41390000000001</v>
      </c>
      <c r="H2679">
        <v>5.4990709999999998</v>
      </c>
      <c r="I2679">
        <v>201.7527</v>
      </c>
      <c r="J2679">
        <v>-478.6454</v>
      </c>
      <c r="K2679">
        <v>1.1273740000000001</v>
      </c>
      <c r="L2679">
        <v>217.08510000000001</v>
      </c>
      <c r="M2679">
        <v>0.91119300000000003</v>
      </c>
      <c r="N2679">
        <v>-1.4139880000000001E-2</v>
      </c>
      <c r="O2679">
        <v>-0.41173739999999998</v>
      </c>
      <c r="P2679">
        <v>0.94039170000000005</v>
      </c>
      <c r="Q2679">
        <v>0.19201029999999999</v>
      </c>
      <c r="R2679">
        <v>-0.28070620000000002</v>
      </c>
      <c r="S2679">
        <v>3.1427309999999999</v>
      </c>
      <c r="T2679">
        <v>4.4255849999999999E-2</v>
      </c>
      <c r="U2679">
        <v>-0.15611269999999999</v>
      </c>
      <c r="V2679">
        <v>-0.1343878</v>
      </c>
      <c r="W2679">
        <v>0.20382320000000001</v>
      </c>
      <c r="X2679">
        <v>0.96974020000000005</v>
      </c>
      <c r="Y2679">
        <v>-0.36589640000000001</v>
      </c>
      <c r="Z2679">
        <v>-1.159904E-2</v>
      </c>
      <c r="AA2679">
        <v>0.9305833</v>
      </c>
      <c r="AB2679">
        <v>24</v>
      </c>
      <c r="AC2679">
        <v>310.23149999999998</v>
      </c>
      <c r="AD2679">
        <v>4.3716970000000002</v>
      </c>
      <c r="AE2679">
        <v>-15.3324</v>
      </c>
      <c r="AF2679">
        <v>-113.75195918299499</v>
      </c>
      <c r="AG2679">
        <v>4.3716970000000002</v>
      </c>
      <c r="AH2679">
        <v>288.96530198176998</v>
      </c>
      <c r="AI2679">
        <v>89.193481419241706</v>
      </c>
      <c r="AJ2679">
        <v>111.487211215534</v>
      </c>
      <c r="AK2679">
        <v>310.57940321606202</v>
      </c>
      <c r="AL2679">
        <v>78.239381227864499</v>
      </c>
      <c r="AM2679">
        <v>97.889868622393905</v>
      </c>
      <c r="AN2679">
        <v>1.0000000165715599</v>
      </c>
    </row>
    <row r="2680" spans="1:40" x14ac:dyDescent="0.25">
      <c r="A2680" t="str">
        <f>"20190303170549462"</f>
        <v>20190303170549462</v>
      </c>
      <c r="B2680" t="str">
        <f>"1551603949456865"</f>
        <v>1551603949456865</v>
      </c>
      <c r="C2680" t="s">
        <v>40</v>
      </c>
      <c r="D2680">
        <v>5.6901489999999999</v>
      </c>
      <c r="E2680">
        <v>0.41722720000000002</v>
      </c>
      <c r="F2680" t="s">
        <v>53</v>
      </c>
      <c r="G2680">
        <v>-168.41499999999999</v>
      </c>
      <c r="H2680">
        <v>3.0726300000000002</v>
      </c>
      <c r="I2680">
        <v>195.91139999999999</v>
      </c>
      <c r="J2680">
        <v>-478.41680000000002</v>
      </c>
      <c r="K2680">
        <v>1.1273599999999999</v>
      </c>
      <c r="L2680">
        <v>216.99379999999999</v>
      </c>
      <c r="M2680">
        <v>0.91512550000000004</v>
      </c>
      <c r="N2680">
        <v>-1.413615E-2</v>
      </c>
      <c r="O2680">
        <v>-0.40292080000000002</v>
      </c>
      <c r="P2680">
        <v>0.94319209999999998</v>
      </c>
      <c r="Q2680">
        <v>0.19227569999999999</v>
      </c>
      <c r="R2680">
        <v>-0.2709588</v>
      </c>
      <c r="S2680">
        <v>3.1225589999999999</v>
      </c>
      <c r="T2680">
        <v>1.9579889999999999E-2</v>
      </c>
      <c r="U2680">
        <v>-0.21311949999999999</v>
      </c>
      <c r="V2680">
        <v>-0.13503799999999999</v>
      </c>
      <c r="W2680">
        <v>0.20407810000000001</v>
      </c>
      <c r="X2680">
        <v>0.96959629999999997</v>
      </c>
      <c r="Y2680">
        <v>-0.33962969999999998</v>
      </c>
      <c r="Z2680">
        <v>-6.9541209999999997E-3</v>
      </c>
      <c r="AA2680">
        <v>0.94053350000000002</v>
      </c>
      <c r="AB2680">
        <v>24</v>
      </c>
      <c r="AC2680">
        <v>310.0018</v>
      </c>
      <c r="AD2680">
        <v>1.9452700000000001</v>
      </c>
      <c r="AE2680">
        <v>-21.0824</v>
      </c>
      <c r="AF2680">
        <v>-105.619562413647</v>
      </c>
      <c r="AG2680">
        <v>1.9452700000000001</v>
      </c>
      <c r="AH2680">
        <v>292.20288144152101</v>
      </c>
      <c r="AI2680">
        <v>89.641286548384798</v>
      </c>
      <c r="AJ2680">
        <v>109.87288046027</v>
      </c>
      <c r="AK2680">
        <v>310.71176347629802</v>
      </c>
      <c r="AL2680">
        <v>78.224463472241695</v>
      </c>
      <c r="AM2680">
        <v>97.928719076146606</v>
      </c>
      <c r="AN2680">
        <v>1.0000000586586399</v>
      </c>
    </row>
    <row r="2681" spans="1:40" x14ac:dyDescent="0.25">
      <c r="A2681" t="str">
        <f>"20190303170549484"</f>
        <v>20190303170549484</v>
      </c>
      <c r="B2681" t="str">
        <f>"1551603949477361"</f>
        <v>1551603949477361</v>
      </c>
      <c r="C2681" t="s">
        <v>40</v>
      </c>
      <c r="D2681">
        <v>5.6698050000000002</v>
      </c>
      <c r="E2681">
        <v>0.41820210000000002</v>
      </c>
      <c r="F2681" t="s">
        <v>53</v>
      </c>
      <c r="G2681">
        <v>-168.41419999999999</v>
      </c>
      <c r="H2681">
        <v>2.8670589999999998</v>
      </c>
      <c r="I2681">
        <v>197.99019999999999</v>
      </c>
      <c r="J2681">
        <v>-478.2099</v>
      </c>
      <c r="K2681">
        <v>1.127354</v>
      </c>
      <c r="L2681">
        <v>216.9134</v>
      </c>
      <c r="M2681">
        <v>0.91859749999999996</v>
      </c>
      <c r="N2681">
        <v>-1.4132489999999999E-2</v>
      </c>
      <c r="O2681">
        <v>-0.39494200000000002</v>
      </c>
      <c r="P2681">
        <v>0.94535659999999999</v>
      </c>
      <c r="Q2681">
        <v>0.19327710000000001</v>
      </c>
      <c r="R2681">
        <v>-0.26257439999999999</v>
      </c>
      <c r="S2681">
        <v>3.122131</v>
      </c>
      <c r="T2681">
        <v>1.752138E-2</v>
      </c>
      <c r="U2681">
        <v>-0.19139100000000001</v>
      </c>
      <c r="V2681">
        <v>-0.1351349</v>
      </c>
      <c r="W2681">
        <v>0.20507649999999999</v>
      </c>
      <c r="X2681">
        <v>0.96937200000000001</v>
      </c>
      <c r="Y2681">
        <v>-0.33796039999999999</v>
      </c>
      <c r="Z2681">
        <v>-6.4292780000000001E-3</v>
      </c>
      <c r="AA2681">
        <v>0.94113840000000004</v>
      </c>
      <c r="AB2681">
        <v>24</v>
      </c>
      <c r="AC2681">
        <v>309.79570000000001</v>
      </c>
      <c r="AD2681">
        <v>1.7397049999999901</v>
      </c>
      <c r="AE2681">
        <v>-18.923200000000001</v>
      </c>
      <c r="AF2681">
        <v>-104.975700509703</v>
      </c>
      <c r="AG2681">
        <v>1.7397049999999901</v>
      </c>
      <c r="AH2681">
        <v>292.07107470187901</v>
      </c>
      <c r="AI2681">
        <v>89.6788386597525</v>
      </c>
      <c r="AJ2681">
        <v>109.769367765373</v>
      </c>
      <c r="AK2681">
        <v>310.36822799458798</v>
      </c>
      <c r="AL2681">
        <v>78.166021996941595</v>
      </c>
      <c r="AM2681">
        <v>97.9361486122407</v>
      </c>
      <c r="AN2681">
        <v>0.99999994321712804</v>
      </c>
    </row>
    <row r="2682" spans="1:40" x14ac:dyDescent="0.25">
      <c r="A2682" t="str">
        <f>"20190303170549505"</f>
        <v>20190303170549505</v>
      </c>
      <c r="B2682" t="str">
        <f>"1551603949497858"</f>
        <v>1551603949497858</v>
      </c>
      <c r="C2682" t="s">
        <v>40</v>
      </c>
      <c r="D2682">
        <v>5.6516590000000004</v>
      </c>
      <c r="E2682">
        <v>0.41871140000000001</v>
      </c>
      <c r="F2682" t="s">
        <v>53</v>
      </c>
      <c r="G2682">
        <v>-168.4136</v>
      </c>
      <c r="H2682">
        <v>2.9384450000000002</v>
      </c>
      <c r="I2682">
        <v>199.9348</v>
      </c>
      <c r="J2682">
        <v>-477.99110000000002</v>
      </c>
      <c r="K2682">
        <v>1.127345</v>
      </c>
      <c r="L2682">
        <v>216.83080000000001</v>
      </c>
      <c r="M2682">
        <v>0.9221743</v>
      </c>
      <c r="N2682">
        <v>-1.4128190000000001E-2</v>
      </c>
      <c r="O2682">
        <v>-0.38651659999999999</v>
      </c>
      <c r="P2682">
        <v>0.94744189999999995</v>
      </c>
      <c r="Q2682">
        <v>0.194634</v>
      </c>
      <c r="R2682">
        <v>-0.2539129</v>
      </c>
      <c r="S2682">
        <v>3.1221619999999999</v>
      </c>
      <c r="T2682">
        <v>1.8252730000000002E-2</v>
      </c>
      <c r="U2682">
        <v>-0.17111209999999999</v>
      </c>
      <c r="V2682">
        <v>-0.13503319999999999</v>
      </c>
      <c r="W2682">
        <v>0.2064339</v>
      </c>
      <c r="X2682">
        <v>0.96909809999999996</v>
      </c>
      <c r="Y2682">
        <v>-0.33543669999999998</v>
      </c>
      <c r="Z2682">
        <v>-6.3963509999999998E-3</v>
      </c>
      <c r="AA2682">
        <v>0.94204100000000002</v>
      </c>
      <c r="AB2682">
        <v>24</v>
      </c>
      <c r="AC2682">
        <v>309.57749999999999</v>
      </c>
      <c r="AD2682">
        <v>1.8110999999999999</v>
      </c>
      <c r="AE2682">
        <v>-16.896000000000001</v>
      </c>
      <c r="AF2682">
        <v>-104.082616079988</v>
      </c>
      <c r="AG2682">
        <v>1.8110999999999999</v>
      </c>
      <c r="AH2682">
        <v>292.034163278108</v>
      </c>
      <c r="AI2682">
        <v>89.665296930607894</v>
      </c>
      <c r="AJ2682">
        <v>109.616352918009</v>
      </c>
      <c r="AK2682">
        <v>310.032939499674</v>
      </c>
      <c r="AL2682">
        <v>78.086549207332894</v>
      </c>
      <c r="AM2682">
        <v>97.932464860296093</v>
      </c>
      <c r="AN2682">
        <v>1.00000002379752</v>
      </c>
    </row>
    <row r="2683" spans="1:40" x14ac:dyDescent="0.25">
      <c r="A2683" t="str">
        <f>"20190303170549529"</f>
        <v>20190303170549529</v>
      </c>
      <c r="B2683" t="str">
        <f>"1551603949517378"</f>
        <v>1551603949517378</v>
      </c>
      <c r="C2683" t="s">
        <v>40</v>
      </c>
      <c r="D2683">
        <v>5.6493000000000002</v>
      </c>
      <c r="E2683">
        <v>0.42622290000000002</v>
      </c>
      <c r="F2683" t="s">
        <v>53</v>
      </c>
      <c r="G2683">
        <v>-168.41299999999899</v>
      </c>
      <c r="H2683">
        <v>3.2526440000000001</v>
      </c>
      <c r="I2683">
        <v>202.26910000000001</v>
      </c>
      <c r="J2683">
        <v>-477.76839999999999</v>
      </c>
      <c r="K2683">
        <v>1.1273249999999999</v>
      </c>
      <c r="L2683">
        <v>216.749</v>
      </c>
      <c r="M2683">
        <v>0.92572049999999995</v>
      </c>
      <c r="N2683">
        <v>-1.412333E-2</v>
      </c>
      <c r="O2683">
        <v>-0.37794470000000002</v>
      </c>
      <c r="P2683">
        <v>0.94973750000000001</v>
      </c>
      <c r="Q2683">
        <v>0.19466359999999999</v>
      </c>
      <c r="R2683">
        <v>-0.24516279999999999</v>
      </c>
      <c r="S2683">
        <v>3.1226500000000001</v>
      </c>
      <c r="T2683">
        <v>2.143776E-2</v>
      </c>
      <c r="U2683">
        <v>-0.14688109999999999</v>
      </c>
      <c r="V2683">
        <v>-0.134968</v>
      </c>
      <c r="W2683">
        <v>0.2064675</v>
      </c>
      <c r="X2683">
        <v>0.96909999999999996</v>
      </c>
      <c r="Y2683">
        <v>-0.333989799999999</v>
      </c>
      <c r="Z2683">
        <v>-6.7730739999999996E-3</v>
      </c>
      <c r="AA2683">
        <v>0.94255239999999996</v>
      </c>
      <c r="AB2683">
        <v>24</v>
      </c>
      <c r="AC2683">
        <v>309.35539999999997</v>
      </c>
      <c r="AD2683">
        <v>2.12531899999999</v>
      </c>
      <c r="AE2683">
        <v>-14.479900000000001</v>
      </c>
      <c r="AF2683">
        <v>-103.52033809079001</v>
      </c>
      <c r="AG2683">
        <v>2.12531899999999</v>
      </c>
      <c r="AH2683">
        <v>291.86458725098402</v>
      </c>
      <c r="AI2683">
        <v>89.606787359543901</v>
      </c>
      <c r="AJ2683">
        <v>109.528893021106</v>
      </c>
      <c r="AK2683">
        <v>309.68680093034402</v>
      </c>
      <c r="AL2683">
        <v>78.084581392561205</v>
      </c>
      <c r="AM2683">
        <v>97.9286680897943</v>
      </c>
      <c r="AN2683">
        <v>0.99999999979012399</v>
      </c>
    </row>
    <row r="2684" spans="1:40" x14ac:dyDescent="0.25">
      <c r="A2684" t="str">
        <f>"20190303170549550"</f>
        <v>20190303170549550</v>
      </c>
      <c r="B2684" t="str">
        <f>"1551603949536901"</f>
        <v>1551603949536901</v>
      </c>
      <c r="C2684" t="s">
        <v>40</v>
      </c>
      <c r="D2684">
        <v>5.6772109999999998</v>
      </c>
      <c r="E2684">
        <v>0.42637959999999903</v>
      </c>
      <c r="F2684" t="s">
        <v>48</v>
      </c>
      <c r="G2684">
        <v>-285.68869999999998</v>
      </c>
      <c r="H2684">
        <v>0.89805360000000001</v>
      </c>
      <c r="I2684">
        <v>205.84479999999999</v>
      </c>
      <c r="J2684">
        <v>-477.55439999999999</v>
      </c>
      <c r="K2684">
        <v>1.1273</v>
      </c>
      <c r="L2684">
        <v>216.67259999999999</v>
      </c>
      <c r="M2684">
        <v>0.92903829999999998</v>
      </c>
      <c r="N2684">
        <v>-1.411829E-2</v>
      </c>
      <c r="O2684">
        <v>-0.3697143</v>
      </c>
      <c r="P2684">
        <v>0.95204469999999997</v>
      </c>
      <c r="Q2684">
        <v>0.19337409999999999</v>
      </c>
      <c r="R2684">
        <v>-0.23710229999999999</v>
      </c>
      <c r="S2684">
        <v>3.1138919999999999</v>
      </c>
      <c r="T2684">
        <v>-3.7168259999999999E-3</v>
      </c>
      <c r="U2684">
        <v>-0.17677309999999999</v>
      </c>
      <c r="V2684">
        <v>-0.13464909999999999</v>
      </c>
      <c r="W2684">
        <v>0.20518939999999999</v>
      </c>
      <c r="X2684">
        <v>0.96941580000000005</v>
      </c>
      <c r="Y2684">
        <v>-0.3164614</v>
      </c>
      <c r="Z2684">
        <v>-2.4690929999999999E-3</v>
      </c>
      <c r="AA2684">
        <v>0.94860219999999995</v>
      </c>
      <c r="AB2684">
        <v>24</v>
      </c>
      <c r="AC2684">
        <v>191.8657</v>
      </c>
      <c r="AD2684">
        <v>-0.22924639999999999</v>
      </c>
      <c r="AE2684">
        <v>-10.8277999999999</v>
      </c>
      <c r="AF2684">
        <v>-60.882028778953703</v>
      </c>
      <c r="AG2684">
        <v>-0.22924639999999999</v>
      </c>
      <c r="AH2684">
        <v>182.27166964037201</v>
      </c>
      <c r="AI2684">
        <v>90.068349878836997</v>
      </c>
      <c r="AJ2684">
        <v>108.47025012018401</v>
      </c>
      <c r="AK2684">
        <v>192.170849859291</v>
      </c>
      <c r="AL2684">
        <v>78.159413813831904</v>
      </c>
      <c r="AM2684">
        <v>97.907627547846303</v>
      </c>
      <c r="AN2684">
        <v>1.0000000316463999</v>
      </c>
    </row>
    <row r="2685" spans="1:40" x14ac:dyDescent="0.25">
      <c r="A2685" t="str">
        <f>"20190303170549584"</f>
        <v>20190303170549584</v>
      </c>
      <c r="B2685" t="str">
        <f>"1551603949576914"</f>
        <v>1551603949576914</v>
      </c>
      <c r="C2685" t="s">
        <v>40</v>
      </c>
      <c r="D2685">
        <v>5.6705500000000004</v>
      </c>
      <c r="E2685">
        <v>0.43210799999999999</v>
      </c>
      <c r="F2685" t="s">
        <v>53</v>
      </c>
      <c r="G2685">
        <v>-168.41220000000001</v>
      </c>
      <c r="H2685">
        <v>8.6217879999999997E-2</v>
      </c>
      <c r="I2685">
        <v>201.54570000000001</v>
      </c>
      <c r="J2685">
        <v>-477.22480000000002</v>
      </c>
      <c r="K2685">
        <v>1.1272610000000001</v>
      </c>
      <c r="L2685">
        <v>216.55869999999999</v>
      </c>
      <c r="M2685">
        <v>0.93397379999999997</v>
      </c>
      <c r="N2685">
        <v>-1.41102999999999E-2</v>
      </c>
      <c r="O2685">
        <v>-0.35706280000000001</v>
      </c>
      <c r="P2685">
        <v>0.95418910000000001</v>
      </c>
      <c r="Q2685">
        <v>0.19464609999999999</v>
      </c>
      <c r="R2685">
        <v>-0.2272361</v>
      </c>
      <c r="S2685">
        <v>3.115265</v>
      </c>
      <c r="T2685">
        <v>-1.049078E-2</v>
      </c>
      <c r="U2685">
        <v>-0.1524353</v>
      </c>
      <c r="V2685">
        <v>-0.13141259999999999</v>
      </c>
      <c r="W2685">
        <v>0.20651420000000001</v>
      </c>
      <c r="X2685">
        <v>0.96957859999999996</v>
      </c>
      <c r="Y2685">
        <v>-0.31099090000000001</v>
      </c>
      <c r="Z2685">
        <v>-1.2349469999999999E-3</v>
      </c>
      <c r="AA2685">
        <v>0.95041209999999998</v>
      </c>
      <c r="AB2685">
        <v>24</v>
      </c>
      <c r="AC2685">
        <v>308.81259999999997</v>
      </c>
      <c r="AD2685">
        <v>-1.0410431200000001</v>
      </c>
      <c r="AE2685">
        <v>-15.0129999999999</v>
      </c>
      <c r="AF2685">
        <v>-96.252234088063801</v>
      </c>
      <c r="AG2685">
        <v>-1.0410431200000001</v>
      </c>
      <c r="AH2685">
        <v>293.809380408663</v>
      </c>
      <c r="AI2685">
        <v>90.192924335046897</v>
      </c>
      <c r="AJ2685">
        <v>108.13884534890001</v>
      </c>
      <c r="AK2685">
        <v>309.17556234903702</v>
      </c>
      <c r="AL2685">
        <v>78.081847035637594</v>
      </c>
      <c r="AM2685">
        <v>97.718594576945506</v>
      </c>
      <c r="AN2685">
        <v>1.00000002390917</v>
      </c>
    </row>
    <row r="2686" spans="1:40" x14ac:dyDescent="0.25">
      <c r="A2686" t="str">
        <f>"20190303170549605"</f>
        <v>20190303170549605</v>
      </c>
      <c r="B2686" t="str">
        <f>"1551603949597410"</f>
        <v>1551603949597410</v>
      </c>
      <c r="C2686" t="s">
        <v>40</v>
      </c>
      <c r="D2686">
        <v>5.6796749999999996</v>
      </c>
      <c r="E2686">
        <v>0.43729620000000002</v>
      </c>
      <c r="F2686" t="s">
        <v>60</v>
      </c>
      <c r="G2686">
        <v>-345.52670000000001</v>
      </c>
      <c r="H2686">
        <v>7.6606069999999998E-2</v>
      </c>
      <c r="I2686">
        <v>209.58969999999999</v>
      </c>
      <c r="J2686">
        <v>-477.00819999999999</v>
      </c>
      <c r="K2686">
        <v>1.1272409999999999</v>
      </c>
      <c r="L2686">
        <v>216.48670000000001</v>
      </c>
      <c r="M2686">
        <v>0.93709779999999998</v>
      </c>
      <c r="N2686">
        <v>-1.410397E-2</v>
      </c>
      <c r="O2686">
        <v>-0.34878179999999998</v>
      </c>
      <c r="P2686">
        <v>0.9553817</v>
      </c>
      <c r="Q2686">
        <v>0.1963937</v>
      </c>
      <c r="R2686">
        <v>-0.22062480000000001</v>
      </c>
      <c r="S2686">
        <v>3.1099239999999999</v>
      </c>
      <c r="T2686">
        <v>-2.4810189999999999E-2</v>
      </c>
      <c r="U2686">
        <v>-0.16456599999999999</v>
      </c>
      <c r="V2686">
        <v>-0.1294207</v>
      </c>
      <c r="W2686">
        <v>0.20829239999999999</v>
      </c>
      <c r="X2686">
        <v>0.9694661</v>
      </c>
      <c r="Y2686">
        <v>-0.29877330000000002</v>
      </c>
      <c r="Z2686">
        <v>1.0214289999999999E-3</v>
      </c>
      <c r="AA2686">
        <v>0.95432360000000005</v>
      </c>
      <c r="AB2686">
        <v>24</v>
      </c>
      <c r="AC2686">
        <v>131.48149999999899</v>
      </c>
      <c r="AD2686">
        <v>-1.05063493</v>
      </c>
      <c r="AE2686">
        <v>-6.89700000000001</v>
      </c>
      <c r="AF2686">
        <v>-39.3966018621541</v>
      </c>
      <c r="AG2686">
        <v>-1.05063493</v>
      </c>
      <c r="AH2686">
        <v>125.621072102973</v>
      </c>
      <c r="AI2686">
        <v>90.457226678102401</v>
      </c>
      <c r="AJ2686">
        <v>107.412186201305</v>
      </c>
      <c r="AK2686">
        <v>131.65807923686799</v>
      </c>
      <c r="AL2686">
        <v>77.977698490718396</v>
      </c>
      <c r="AM2686">
        <v>97.603850049875106</v>
      </c>
      <c r="AN2686">
        <v>0.99999998026772896</v>
      </c>
    </row>
    <row r="2687" spans="1:40" x14ac:dyDescent="0.25">
      <c r="A2687" t="str">
        <f>"20190303170549627"</f>
        <v>20190303170549627</v>
      </c>
      <c r="B2687" t="str">
        <f>"1551603949616930"</f>
        <v>1551603949616930</v>
      </c>
      <c r="C2687" t="s">
        <v>40</v>
      </c>
      <c r="D2687">
        <v>5.6912209999999996</v>
      </c>
      <c r="E2687">
        <v>0.43802039999999998</v>
      </c>
      <c r="F2687" t="s">
        <v>60</v>
      </c>
      <c r="G2687">
        <v>-336.41730000000001</v>
      </c>
      <c r="H2687">
        <v>8.0001320000000001E-2</v>
      </c>
      <c r="I2687">
        <v>208.20910000000001</v>
      </c>
      <c r="J2687">
        <v>-476.79090000000002</v>
      </c>
      <c r="K2687">
        <v>1.1272070000000001</v>
      </c>
      <c r="L2687">
        <v>216.41659999999999</v>
      </c>
      <c r="M2687">
        <v>0.94013769999999997</v>
      </c>
      <c r="N2687">
        <v>-1.4096849999999999E-2</v>
      </c>
      <c r="O2687">
        <v>-0.340503</v>
      </c>
      <c r="P2687">
        <v>0.95691119999999996</v>
      </c>
      <c r="Q2687">
        <v>0.19660549999999999</v>
      </c>
      <c r="R2687">
        <v>-0.21369850000000001</v>
      </c>
      <c r="S2687">
        <v>3.1026919999999998</v>
      </c>
      <c r="T2687">
        <v>-2.311146E-2</v>
      </c>
      <c r="U2687">
        <v>-0.18267820000000001</v>
      </c>
      <c r="V2687">
        <v>-0.12785779999999999</v>
      </c>
      <c r="W2687">
        <v>0.20853250000000001</v>
      </c>
      <c r="X2687">
        <v>0.96962190000000004</v>
      </c>
      <c r="Y2687">
        <v>-0.28465559999999901</v>
      </c>
      <c r="Z2687">
        <v>6.7420399999999997E-4</v>
      </c>
      <c r="AA2687">
        <v>0.95862959999999997</v>
      </c>
      <c r="AB2687">
        <v>24</v>
      </c>
      <c r="AC2687">
        <v>140.37360000000001</v>
      </c>
      <c r="AD2687">
        <v>-1.04720568</v>
      </c>
      <c r="AE2687">
        <v>-8.20749999999998</v>
      </c>
      <c r="AF2687">
        <v>-40.083213505515502</v>
      </c>
      <c r="AG2687">
        <v>-1.04720568</v>
      </c>
      <c r="AH2687">
        <v>134.77111534474699</v>
      </c>
      <c r="AI2687">
        <v>90.426721144072403</v>
      </c>
      <c r="AJ2687">
        <v>106.563369813088</v>
      </c>
      <c r="AK2687">
        <v>140.60943843118099</v>
      </c>
      <c r="AL2687">
        <v>77.963633451630798</v>
      </c>
      <c r="AM2687">
        <v>97.511886887631803</v>
      </c>
      <c r="AN2687">
        <v>1.00000002476834</v>
      </c>
    </row>
    <row r="2688" spans="1:40" x14ac:dyDescent="0.25">
      <c r="A2688" t="str">
        <f>"20190303170549652"</f>
        <v>20190303170549652</v>
      </c>
      <c r="B2688" t="str">
        <f>"1551603949637425"</f>
        <v>1551603949637425</v>
      </c>
      <c r="C2688" t="s">
        <v>40</v>
      </c>
      <c r="D2688">
        <v>5.6870580000000004</v>
      </c>
      <c r="E2688">
        <v>0.43879980000000002</v>
      </c>
      <c r="F2688" t="s">
        <v>60</v>
      </c>
      <c r="G2688">
        <v>-355.78129999999999</v>
      </c>
      <c r="H2688" s="1">
        <v>1.7432239999999999E-6</v>
      </c>
      <c r="I2688">
        <v>209.9606</v>
      </c>
      <c r="J2688">
        <v>-476.55619999999999</v>
      </c>
      <c r="K2688">
        <v>1.127157</v>
      </c>
      <c r="L2688">
        <v>216.3432</v>
      </c>
      <c r="M2688">
        <v>0.94331019999999999</v>
      </c>
      <c r="N2688">
        <v>-1.4088109999999999E-2</v>
      </c>
      <c r="O2688">
        <v>-0.33161380000000001</v>
      </c>
      <c r="P2688">
        <v>0.95878450000000004</v>
      </c>
      <c r="Q2688">
        <v>0.19522030000000001</v>
      </c>
      <c r="R2688">
        <v>-0.20644979999999999</v>
      </c>
      <c r="S2688">
        <v>3.104034</v>
      </c>
      <c r="T2688">
        <v>-2.891409E-2</v>
      </c>
      <c r="U2688">
        <v>-0.16560359999999999</v>
      </c>
      <c r="V2688">
        <v>-0.12608810000000001</v>
      </c>
      <c r="W2688">
        <v>0.20718549999999999</v>
      </c>
      <c r="X2688">
        <v>0.97014219999999896</v>
      </c>
      <c r="Y2688">
        <v>-0.28088190000000002</v>
      </c>
      <c r="Z2688">
        <v>1.575274E-3</v>
      </c>
      <c r="AA2688">
        <v>0.95974110000000001</v>
      </c>
      <c r="AB2688">
        <v>24</v>
      </c>
      <c r="AC2688">
        <v>120.7749</v>
      </c>
      <c r="AD2688">
        <v>-1.1271552567759999</v>
      </c>
      <c r="AE2688">
        <v>-6.3825999999999903</v>
      </c>
      <c r="AF2688">
        <v>-34.030268177848399</v>
      </c>
      <c r="AG2688">
        <v>-1.1271552567759999</v>
      </c>
      <c r="AH2688">
        <v>116.04617302426701</v>
      </c>
      <c r="AI2688">
        <v>90.534009796713704</v>
      </c>
      <c r="AJ2688">
        <v>106.34365139391601</v>
      </c>
      <c r="AK2688">
        <v>120.938182162654</v>
      </c>
      <c r="AL2688">
        <v>78.042533423964102</v>
      </c>
      <c r="AM2688">
        <v>97.405147374145002</v>
      </c>
      <c r="AN2688">
        <v>0.99999996429634896</v>
      </c>
    </row>
    <row r="2689" spans="1:40" x14ac:dyDescent="0.25">
      <c r="A2689" t="str">
        <f>"20190303170549674"</f>
        <v>20190303170549674</v>
      </c>
      <c r="B2689" t="str">
        <f>"1551603949667681"</f>
        <v>1551603949667681</v>
      </c>
      <c r="C2689" t="s">
        <v>40</v>
      </c>
      <c r="D2689">
        <v>5.7730769999999998</v>
      </c>
      <c r="E2689">
        <v>0.46212120000000001</v>
      </c>
      <c r="F2689" t="s">
        <v>60</v>
      </c>
      <c r="G2689">
        <v>-387.27080000000001</v>
      </c>
      <c r="H2689" s="1">
        <v>2.4434749999999999E-6</v>
      </c>
      <c r="I2689">
        <v>212.0744</v>
      </c>
      <c r="J2689">
        <v>-476.33249999999998</v>
      </c>
      <c r="K2689">
        <v>1.1270910000000001</v>
      </c>
      <c r="L2689">
        <v>216.27539999999999</v>
      </c>
      <c r="M2689">
        <v>0.94622490000000004</v>
      </c>
      <c r="N2689">
        <v>-1.407808E-2</v>
      </c>
      <c r="O2689">
        <v>-0.32320300000000002</v>
      </c>
      <c r="P2689">
        <v>0.96013839999999995</v>
      </c>
      <c r="Q2689">
        <v>0.1946563</v>
      </c>
      <c r="R2689">
        <v>-0.20060749999999999</v>
      </c>
      <c r="S2689">
        <v>3.1049799999999999</v>
      </c>
      <c r="T2689">
        <v>-3.9197799999999998E-2</v>
      </c>
      <c r="U2689">
        <v>-0.148452799999999</v>
      </c>
      <c r="V2689">
        <v>-0.1233501</v>
      </c>
      <c r="W2689">
        <v>0.2066733</v>
      </c>
      <c r="X2689">
        <v>0.97060329999999995</v>
      </c>
      <c r="Y2689">
        <v>-0.27762740000000002</v>
      </c>
      <c r="Z2689">
        <v>3.1012990000000001E-3</v>
      </c>
      <c r="AA2689">
        <v>0.96068379999999998</v>
      </c>
      <c r="AB2689">
        <v>24</v>
      </c>
      <c r="AC2689">
        <v>89.061699999999902</v>
      </c>
      <c r="AD2689">
        <v>-1.127088556525</v>
      </c>
      <c r="AE2689">
        <v>-4.2009999999999899</v>
      </c>
      <c r="AF2689">
        <v>-24.808413273229199</v>
      </c>
      <c r="AG2689">
        <v>-1.127088556525</v>
      </c>
      <c r="AH2689">
        <v>85.624981111711307</v>
      </c>
      <c r="AI2689">
        <v>90.724358128908705</v>
      </c>
      <c r="AJ2689">
        <v>106.158065691579</v>
      </c>
      <c r="AK2689">
        <v>89.153603898723603</v>
      </c>
      <c r="AL2689">
        <v>78.072529185498198</v>
      </c>
      <c r="AM2689">
        <v>97.242666744315997</v>
      </c>
      <c r="AN2689">
        <v>0.99999993303689205</v>
      </c>
    </row>
    <row r="2690" spans="1:40" x14ac:dyDescent="0.25">
      <c r="A2690" t="str">
        <f>"20190303170549696"</f>
        <v>20190303170549696</v>
      </c>
      <c r="B2690" t="str">
        <f>"1551603949687202"</f>
        <v>1551603949687202</v>
      </c>
      <c r="C2690" t="s">
        <v>40</v>
      </c>
      <c r="D2690">
        <v>5.6095360000000003</v>
      </c>
      <c r="E2690">
        <v>0.46337679999999998</v>
      </c>
      <c r="F2690" t="s">
        <v>60</v>
      </c>
      <c r="G2690">
        <v>-444.8519</v>
      </c>
      <c r="H2690" s="1">
        <v>1.111529E-6</v>
      </c>
      <c r="I2690">
        <v>213.0977</v>
      </c>
      <c r="J2690">
        <v>-476.10599999999999</v>
      </c>
      <c r="K2690">
        <v>1.1270150000000001</v>
      </c>
      <c r="L2690">
        <v>216.2088</v>
      </c>
      <c r="M2690">
        <v>0.94906219999999997</v>
      </c>
      <c r="N2690">
        <v>-1.406578E-2</v>
      </c>
      <c r="O2690">
        <v>-0.31477470000000002</v>
      </c>
      <c r="P2690">
        <v>0.96146989999999999</v>
      </c>
      <c r="Q2690">
        <v>0.19496279999999999</v>
      </c>
      <c r="R2690">
        <v>-0.19381780000000001</v>
      </c>
      <c r="S2690">
        <v>3.081909</v>
      </c>
      <c r="T2690">
        <v>-0.1103406</v>
      </c>
      <c r="U2690">
        <v>-0.31109619999999999</v>
      </c>
      <c r="V2690">
        <v>-0.1215183</v>
      </c>
      <c r="W2690">
        <v>0.2070166</v>
      </c>
      <c r="X2690">
        <v>0.97076119999999999</v>
      </c>
      <c r="Y2690">
        <v>-0.2176304</v>
      </c>
      <c r="Z2690">
        <v>1.197588E-2</v>
      </c>
      <c r="AA2690">
        <v>0.97595779999999999</v>
      </c>
      <c r="AB2690">
        <v>24</v>
      </c>
      <c r="AC2690">
        <v>31.254099999999902</v>
      </c>
      <c r="AD2690">
        <v>-1.1270138884709999</v>
      </c>
      <c r="AE2690">
        <v>-3.1110999999999902</v>
      </c>
      <c r="AF2690">
        <v>-6.8771990003519798</v>
      </c>
      <c r="AG2690">
        <v>-1.1270138884709999</v>
      </c>
      <c r="AH2690">
        <v>30.605006470788499</v>
      </c>
      <c r="AI2690">
        <v>92.057670857002293</v>
      </c>
      <c r="AJ2690">
        <v>102.664474698354</v>
      </c>
      <c r="AK2690">
        <v>31.388412630654901</v>
      </c>
      <c r="AL2690">
        <v>78.052424827534793</v>
      </c>
      <c r="AM2690">
        <v>97.135078475971397</v>
      </c>
      <c r="AN2690">
        <v>0.99999993866794301</v>
      </c>
    </row>
    <row r="2691" spans="1:40" x14ac:dyDescent="0.25">
      <c r="A2691" t="str">
        <f>"20190303170549717"</f>
        <v>20190303170549717</v>
      </c>
      <c r="B2691" t="str">
        <f>"1551603949707699"</f>
        <v>1551603949707699</v>
      </c>
      <c r="C2691" t="s">
        <v>40</v>
      </c>
      <c r="D2691">
        <v>5.6763510000000004</v>
      </c>
      <c r="E2691">
        <v>0.46454780000000001</v>
      </c>
      <c r="F2691" t="s">
        <v>60</v>
      </c>
      <c r="G2691">
        <v>-446.20319999999998</v>
      </c>
      <c r="H2691" s="1">
        <v>1.8213860000000001E-6</v>
      </c>
      <c r="I2691">
        <v>213.30889999999999</v>
      </c>
      <c r="J2691">
        <v>-475.9</v>
      </c>
      <c r="K2691">
        <v>1.12693</v>
      </c>
      <c r="L2691">
        <v>216.15</v>
      </c>
      <c r="M2691">
        <v>0.95154039999999995</v>
      </c>
      <c r="N2691">
        <v>-1.405268E-2</v>
      </c>
      <c r="O2691">
        <v>-0.30720249999999999</v>
      </c>
      <c r="P2691">
        <v>0.96264989999999995</v>
      </c>
      <c r="Q2691">
        <v>0.1957544</v>
      </c>
      <c r="R2691">
        <v>-0.1870443</v>
      </c>
      <c r="S2691">
        <v>3.083466</v>
      </c>
      <c r="T2691">
        <v>-0.11621330000000001</v>
      </c>
      <c r="U2691">
        <v>-0.29902649999999997</v>
      </c>
      <c r="V2691">
        <v>-0.12053369999999999</v>
      </c>
      <c r="W2691">
        <v>0.20783199999999999</v>
      </c>
      <c r="X2691">
        <v>0.97070979999999996</v>
      </c>
      <c r="Y2691">
        <v>-0.2136593</v>
      </c>
      <c r="Z2691">
        <v>1.2506700000000001E-2</v>
      </c>
      <c r="AA2691">
        <v>0.97682820000000004</v>
      </c>
      <c r="AB2691">
        <v>24</v>
      </c>
      <c r="AC2691">
        <v>29.6968</v>
      </c>
      <c r="AD2691">
        <v>-1.126928178614</v>
      </c>
      <c r="AE2691">
        <v>-2.8411000000000102</v>
      </c>
      <c r="AF2691">
        <v>-6.4109954360707597</v>
      </c>
      <c r="AG2691">
        <v>-1.126928178614</v>
      </c>
      <c r="AH2691">
        <v>29.0918615601704</v>
      </c>
      <c r="AI2691">
        <v>92.166421720080507</v>
      </c>
      <c r="AJ2691">
        <v>102.427678852222</v>
      </c>
      <c r="AK2691">
        <v>29.811193177013202</v>
      </c>
      <c r="AL2691">
        <v>78.004668088857599</v>
      </c>
      <c r="AM2691">
        <v>97.078226306671993</v>
      </c>
      <c r="AN2691">
        <v>1.00000001443786</v>
      </c>
    </row>
    <row r="2692" spans="1:40" x14ac:dyDescent="0.25">
      <c r="A2692" t="str">
        <f>"20190303170549738"</f>
        <v>20190303170549738</v>
      </c>
      <c r="B2692" t="str">
        <f>"1551603949727218"</f>
        <v>1551603949727218</v>
      </c>
      <c r="C2692" t="s">
        <v>40</v>
      </c>
      <c r="D2692">
        <v>5.6833739999999997</v>
      </c>
      <c r="E2692">
        <v>0.47075479999999997</v>
      </c>
      <c r="F2692" t="s">
        <v>60</v>
      </c>
      <c r="G2692">
        <v>-445.77480000000003</v>
      </c>
      <c r="H2692" s="1">
        <v>1.5912779999999999E-6</v>
      </c>
      <c r="I2692">
        <v>213.35810000000001</v>
      </c>
      <c r="J2692">
        <v>-475.68099999999998</v>
      </c>
      <c r="K2692">
        <v>1.1268290000000001</v>
      </c>
      <c r="L2692">
        <v>216.08930000000001</v>
      </c>
      <c r="M2692">
        <v>0.95406259999999998</v>
      </c>
      <c r="N2692">
        <v>-1.403652E-2</v>
      </c>
      <c r="O2692">
        <v>-0.29927859999999901</v>
      </c>
      <c r="P2692">
        <v>0.96376510000000004</v>
      </c>
      <c r="Q2692">
        <v>0.19652700000000001</v>
      </c>
      <c r="R2692">
        <v>-0.18037249999999999</v>
      </c>
      <c r="S2692">
        <v>3.08432</v>
      </c>
      <c r="T2692">
        <v>-0.115379</v>
      </c>
      <c r="U2692">
        <v>-0.28584290000000001</v>
      </c>
      <c r="V2692">
        <v>-0.1190898</v>
      </c>
      <c r="W2692">
        <v>0.2086384</v>
      </c>
      <c r="X2692">
        <v>0.97071499999999999</v>
      </c>
      <c r="Y2692">
        <v>-0.20970730000000001</v>
      </c>
      <c r="Z2692">
        <v>1.2131680000000001E-2</v>
      </c>
      <c r="AA2692">
        <v>0.97768900000000003</v>
      </c>
      <c r="AB2692">
        <v>23</v>
      </c>
      <c r="AC2692">
        <v>29.906199999999899</v>
      </c>
      <c r="AD2692">
        <v>-1.126827408722</v>
      </c>
      <c r="AE2692">
        <v>-2.7311999999999999</v>
      </c>
      <c r="AF2692">
        <v>-6.3362534415658196</v>
      </c>
      <c r="AG2692">
        <v>-1.126827408722</v>
      </c>
      <c r="AH2692">
        <v>29.311397395926001</v>
      </c>
      <c r="AI2692">
        <v>92.151899520659796</v>
      </c>
      <c r="AJ2692">
        <v>102.197955156951</v>
      </c>
      <c r="AK2692">
        <v>30.009596214989301</v>
      </c>
      <c r="AL2692">
        <v>77.957428900717503</v>
      </c>
      <c r="AM2692">
        <v>96.9942424353668</v>
      </c>
      <c r="AN2692">
        <v>0.99999998682179903</v>
      </c>
    </row>
    <row r="2693" spans="1:40" x14ac:dyDescent="0.25">
      <c r="A2693" t="str">
        <f>"20190303170549773"</f>
        <v>20190303170549773</v>
      </c>
      <c r="B2693" t="str">
        <f>"1551603949767234"</f>
        <v>1551603949767234</v>
      </c>
      <c r="C2693" t="s">
        <v>40</v>
      </c>
      <c r="D2693">
        <v>5.7571099999999999</v>
      </c>
      <c r="E2693">
        <v>0.47525230000000002</v>
      </c>
      <c r="F2693" t="s">
        <v>60</v>
      </c>
      <c r="G2693">
        <v>-448.23579999999998</v>
      </c>
      <c r="H2693" s="1">
        <v>2.9032220000000002E-6</v>
      </c>
      <c r="I2693">
        <v>213.30539999999999</v>
      </c>
      <c r="J2693">
        <v>-475.35019999999997</v>
      </c>
      <c r="K2693">
        <v>1.126633</v>
      </c>
      <c r="L2693">
        <v>216.001</v>
      </c>
      <c r="M2693">
        <v>0.95764159999999998</v>
      </c>
      <c r="N2693">
        <v>-1.4006680000000001E-2</v>
      </c>
      <c r="O2693">
        <v>-0.28762169999999998</v>
      </c>
      <c r="P2693">
        <v>0.96550619999999998</v>
      </c>
      <c r="Q2693">
        <v>0.19608419999999999</v>
      </c>
      <c r="R2693">
        <v>-0.17131450000000001</v>
      </c>
      <c r="S2693">
        <v>3.0800480000000001</v>
      </c>
      <c r="T2693">
        <v>-0.12645890000000001</v>
      </c>
      <c r="U2693">
        <v>-0.31242370000000003</v>
      </c>
      <c r="V2693">
        <v>-0.11628040000000001</v>
      </c>
      <c r="W2693">
        <v>0.20826249999999999</v>
      </c>
      <c r="X2693">
        <v>0.97113629999999995</v>
      </c>
      <c r="Y2693">
        <v>-0.1892221</v>
      </c>
      <c r="Z2693">
        <v>1.2731009999999999E-2</v>
      </c>
      <c r="AA2693">
        <v>0.98185180000000005</v>
      </c>
      <c r="AB2693">
        <v>23</v>
      </c>
      <c r="AC2693">
        <v>27.1143999999999</v>
      </c>
      <c r="AD2693">
        <v>-1.1266300967780001</v>
      </c>
      <c r="AE2693">
        <v>-2.6955999999999798</v>
      </c>
      <c r="AF2693">
        <v>-5.2088783027097296</v>
      </c>
      <c r="AG2693">
        <v>-1.1266300967780001</v>
      </c>
      <c r="AH2693">
        <v>26.6981729319834</v>
      </c>
      <c r="AI2693">
        <v>92.371712396719801</v>
      </c>
      <c r="AJ2693">
        <v>101.03986248126</v>
      </c>
      <c r="AK2693">
        <v>27.2248810181697</v>
      </c>
      <c r="AL2693">
        <v>77.979450979696495</v>
      </c>
      <c r="AM2693">
        <v>96.827886245991095</v>
      </c>
      <c r="AN2693">
        <v>1.0000000567540399</v>
      </c>
    </row>
    <row r="2694" spans="1:40" x14ac:dyDescent="0.25">
      <c r="A2694" t="str">
        <f>"20190303170549795"</f>
        <v>20190303170549795</v>
      </c>
      <c r="B2694" t="str">
        <f>"1551603949787730"</f>
        <v>1551603949787730</v>
      </c>
      <c r="C2694" t="s">
        <v>40</v>
      </c>
      <c r="D2694">
        <v>5.6791410000000004</v>
      </c>
      <c r="E2694">
        <v>0.4812882</v>
      </c>
      <c r="F2694" t="s">
        <v>60</v>
      </c>
      <c r="G2694">
        <v>-450.18529999999998</v>
      </c>
      <c r="H2694" s="1">
        <v>-1.3850409999999999E-6</v>
      </c>
      <c r="I2694">
        <v>213.4006</v>
      </c>
      <c r="J2694">
        <v>-475.11619999999999</v>
      </c>
      <c r="K2694">
        <v>1.1264860000000001</v>
      </c>
      <c r="L2694">
        <v>215.9409</v>
      </c>
      <c r="M2694">
        <v>0.96001300000000001</v>
      </c>
      <c r="N2694">
        <v>-1.398319E-2</v>
      </c>
      <c r="O2694">
        <v>-0.27960590000000002</v>
      </c>
      <c r="P2694">
        <v>0.96694279999999999</v>
      </c>
      <c r="Q2694">
        <v>0.19561690000000001</v>
      </c>
      <c r="R2694">
        <v>-0.1635712</v>
      </c>
      <c r="S2694">
        <v>3.0787049999999998</v>
      </c>
      <c r="T2694">
        <v>-0.13783409999999999</v>
      </c>
      <c r="U2694">
        <v>-0.31814579999999998</v>
      </c>
      <c r="V2694">
        <v>-0.1158896</v>
      </c>
      <c r="W2694">
        <v>0.20781939999999999</v>
      </c>
      <c r="X2694">
        <v>0.97127790000000003</v>
      </c>
      <c r="Y2694">
        <v>-0.179107399999999</v>
      </c>
      <c r="Z2694">
        <v>1.3607930000000001E-2</v>
      </c>
      <c r="AA2694">
        <v>0.98373540000000004</v>
      </c>
      <c r="AB2694">
        <v>23</v>
      </c>
      <c r="AC2694">
        <v>24.930900000000001</v>
      </c>
      <c r="AD2694">
        <v>-1.126487385041</v>
      </c>
      <c r="AE2694">
        <v>-2.5402999999999998</v>
      </c>
      <c r="AF2694">
        <v>-4.5234087449868099</v>
      </c>
      <c r="AG2694">
        <v>-1.126487385041</v>
      </c>
      <c r="AH2694">
        <v>24.596979415167802</v>
      </c>
      <c r="AI2694">
        <v>92.579000153115402</v>
      </c>
      <c r="AJ2694">
        <v>100.42032107336399</v>
      </c>
      <c r="AK2694">
        <v>25.034807705534099</v>
      </c>
      <c r="AL2694">
        <v>78.0054063283132</v>
      </c>
      <c r="AM2694">
        <v>96.804171559436199</v>
      </c>
      <c r="AN2694">
        <v>1.00000003071646</v>
      </c>
    </row>
    <row r="2695" spans="1:40" x14ac:dyDescent="0.25">
      <c r="A2695" t="str">
        <f>"20190303170549819"</f>
        <v>20190303170549819</v>
      </c>
      <c r="B2695" t="str">
        <f>"1551603949807250"</f>
        <v>1551603949807250</v>
      </c>
      <c r="C2695" t="s">
        <v>40</v>
      </c>
      <c r="D2695">
        <v>5.641947</v>
      </c>
      <c r="E2695">
        <v>0.48085670000000003</v>
      </c>
      <c r="F2695" t="s">
        <v>60</v>
      </c>
      <c r="G2695">
        <v>-444.74360000000001</v>
      </c>
      <c r="H2695" s="1">
        <v>1.0774780000000001E-6</v>
      </c>
      <c r="I2695">
        <v>212.55860000000001</v>
      </c>
      <c r="J2695">
        <v>-474.8843</v>
      </c>
      <c r="K2695">
        <v>1.126342</v>
      </c>
      <c r="L2695">
        <v>215.88300000000001</v>
      </c>
      <c r="M2695">
        <v>0.96223539999999996</v>
      </c>
      <c r="N2695">
        <v>-1.3959350000000001E-2</v>
      </c>
      <c r="O2695">
        <v>-0.27186139999999998</v>
      </c>
      <c r="P2695">
        <v>0.96808709999999998</v>
      </c>
      <c r="Q2695">
        <v>0.19590150000000001</v>
      </c>
      <c r="R2695">
        <v>-0.15630169999999999</v>
      </c>
      <c r="S2695">
        <v>3.0678100000000001</v>
      </c>
      <c r="T2695">
        <v>-0.1137816</v>
      </c>
      <c r="U2695">
        <v>-0.34162900000000002</v>
      </c>
      <c r="V2695">
        <v>-0.11527229999999999</v>
      </c>
      <c r="W2695">
        <v>0.20812910000000001</v>
      </c>
      <c r="X2695">
        <v>0.97128499999999995</v>
      </c>
      <c r="Y2695">
        <v>-0.16349259999999999</v>
      </c>
      <c r="Z2695">
        <v>1.024773E-2</v>
      </c>
      <c r="AA2695">
        <v>0.98649129999999996</v>
      </c>
      <c r="AB2695">
        <v>23</v>
      </c>
      <c r="AC2695">
        <v>30.140699999999899</v>
      </c>
      <c r="AD2695">
        <v>-1.126340922522</v>
      </c>
      <c r="AE2695">
        <v>-3.3243999999999598</v>
      </c>
      <c r="AF2695">
        <v>-4.9888401236004096</v>
      </c>
      <c r="AG2695">
        <v>-1.126340922522</v>
      </c>
      <c r="AH2695">
        <v>29.8679235918401</v>
      </c>
      <c r="AI2695">
        <v>92.130159256503205</v>
      </c>
      <c r="AJ2695">
        <v>99.482577425125697</v>
      </c>
      <c r="AK2695">
        <v>30.302640633129599</v>
      </c>
      <c r="AL2695">
        <v>77.987264639586797</v>
      </c>
      <c r="AM2695">
        <v>96.768216412902603</v>
      </c>
      <c r="AN2695">
        <v>0.99999998831954895</v>
      </c>
    </row>
    <row r="2696" spans="1:40" x14ac:dyDescent="0.25">
      <c r="A2696" t="str">
        <f>"20190303170549840"</f>
        <v>20190303170549840</v>
      </c>
      <c r="B2696" t="str">
        <f>"1551603949827747"</f>
        <v>1551603949827747</v>
      </c>
      <c r="C2696" t="s">
        <v>40</v>
      </c>
      <c r="D2696">
        <v>5.8192300000000001</v>
      </c>
      <c r="E2696">
        <v>0.48126570000000002</v>
      </c>
      <c r="F2696" t="s">
        <v>60</v>
      </c>
      <c r="G2696">
        <v>-444.73140000000001</v>
      </c>
      <c r="H2696" s="1">
        <v>1.0609070000000001E-6</v>
      </c>
      <c r="I2696">
        <v>212.78880000000001</v>
      </c>
      <c r="J2696">
        <v>-474.6721</v>
      </c>
      <c r="K2696">
        <v>1.1261920000000001</v>
      </c>
      <c r="L2696">
        <v>215.83160000000001</v>
      </c>
      <c r="M2696">
        <v>0.96415090000000003</v>
      </c>
      <c r="N2696">
        <v>-1.3935970000000001E-2</v>
      </c>
      <c r="O2696">
        <v>-0.26498890000000003</v>
      </c>
      <c r="P2696">
        <v>0.96888819999999998</v>
      </c>
      <c r="Q2696">
        <v>0.19626859999999999</v>
      </c>
      <c r="R2696">
        <v>-0.15078179999999999</v>
      </c>
      <c r="S2696">
        <v>3.0711979999999999</v>
      </c>
      <c r="T2696">
        <v>-0.1147224</v>
      </c>
      <c r="U2696">
        <v>-0.31515500000000002</v>
      </c>
      <c r="V2696">
        <v>-0.11378339999999899</v>
      </c>
      <c r="W2696">
        <v>0.2085321</v>
      </c>
      <c r="X2696">
        <v>0.97137419999999997</v>
      </c>
      <c r="Y2696">
        <v>-0.16497690000000001</v>
      </c>
      <c r="Z2696">
        <v>1.0242670000000001E-2</v>
      </c>
      <c r="AA2696">
        <v>0.98624429999999996</v>
      </c>
      <c r="AB2696">
        <v>23</v>
      </c>
      <c r="AC2696">
        <v>29.9407</v>
      </c>
      <c r="AD2696">
        <v>-1.1261909390930001</v>
      </c>
      <c r="AE2696">
        <v>-3.0428000000000002</v>
      </c>
      <c r="AF2696">
        <v>-4.9937267222602602</v>
      </c>
      <c r="AG2696">
        <v>-1.1261909390930001</v>
      </c>
      <c r="AH2696">
        <v>29.635039193330599</v>
      </c>
      <c r="AI2696">
        <v>92.146080738524603</v>
      </c>
      <c r="AJ2696">
        <v>99.564913528503794</v>
      </c>
      <c r="AK2696">
        <v>30.073928253524802</v>
      </c>
      <c r="AL2696">
        <v>77.963657408809794</v>
      </c>
      <c r="AM2696">
        <v>96.680983105491507</v>
      </c>
      <c r="AN2696">
        <v>1.0000000676358001</v>
      </c>
    </row>
    <row r="2697" spans="1:40" x14ac:dyDescent="0.25">
      <c r="A2697" t="str">
        <f>"20190303170549864"</f>
        <v>20190303170549864</v>
      </c>
      <c r="B2697" t="str">
        <f>"1551603949857026"</f>
        <v>1551603949857026</v>
      </c>
      <c r="C2697" t="s">
        <v>40</v>
      </c>
      <c r="D2697">
        <v>5.7620699999999996</v>
      </c>
      <c r="E2697">
        <v>0.49112689999999998</v>
      </c>
      <c r="F2697" t="s">
        <v>60</v>
      </c>
      <c r="G2697">
        <v>-446.97190000000001</v>
      </c>
      <c r="H2697" s="1">
        <v>2.2375499999999999E-6</v>
      </c>
      <c r="I2697">
        <v>213.14670000000001</v>
      </c>
      <c r="J2697">
        <v>-474.43419999999998</v>
      </c>
      <c r="K2697">
        <v>1.1259999999999999</v>
      </c>
      <c r="L2697">
        <v>215.7756</v>
      </c>
      <c r="M2697">
        <v>0.96616360000000001</v>
      </c>
      <c r="N2697">
        <v>-1.390155E-2</v>
      </c>
      <c r="O2697">
        <v>-0.25755479999999997</v>
      </c>
      <c r="P2697">
        <v>0.96990469999999895</v>
      </c>
      <c r="Q2697">
        <v>0.1953665</v>
      </c>
      <c r="R2697">
        <v>-0.14531769999999999</v>
      </c>
      <c r="S2697">
        <v>3.0752869999999999</v>
      </c>
      <c r="T2697">
        <v>-0.12503</v>
      </c>
      <c r="U2697">
        <v>-0.29808040000000002</v>
      </c>
      <c r="V2697">
        <v>-0.11171349999999999</v>
      </c>
      <c r="W2697">
        <v>0.20767579999999999</v>
      </c>
      <c r="X2697">
        <v>0.97179780000000004</v>
      </c>
      <c r="Y2697">
        <v>-0.1628935</v>
      </c>
      <c r="Z2697">
        <v>1.1145230000000001E-2</v>
      </c>
      <c r="AA2697">
        <v>0.98658069999999998</v>
      </c>
      <c r="AB2697">
        <v>23</v>
      </c>
      <c r="AC2697">
        <v>27.4622999999999</v>
      </c>
      <c r="AD2697">
        <v>-1.1259977624499999</v>
      </c>
      <c r="AE2697">
        <v>-2.6288999999999798</v>
      </c>
      <c r="AF2697">
        <v>-4.5259984638480697</v>
      </c>
      <c r="AG2697">
        <v>-1.1259977624499999</v>
      </c>
      <c r="AH2697">
        <v>27.167534940457099</v>
      </c>
      <c r="AI2697">
        <v>92.341119126005793</v>
      </c>
      <c r="AJ2697">
        <v>99.458374098884093</v>
      </c>
      <c r="AK2697">
        <v>27.564968488948999</v>
      </c>
      <c r="AL2697">
        <v>78.013817796986203</v>
      </c>
      <c r="AM2697">
        <v>96.557679888583493</v>
      </c>
      <c r="AN2697">
        <v>1.0000000540363601</v>
      </c>
    </row>
    <row r="2698" spans="1:40" x14ac:dyDescent="0.25">
      <c r="A2698" t="str">
        <f>"20190303170549887"</f>
        <v>20190303170549887</v>
      </c>
      <c r="B2698" t="str">
        <f>"1551603949877524"</f>
        <v>1551603949877524</v>
      </c>
      <c r="C2698" t="s">
        <v>40</v>
      </c>
      <c r="D2698">
        <v>5.7210559999999999</v>
      </c>
      <c r="E2698">
        <v>0.48461660000000001</v>
      </c>
      <c r="F2698" t="s">
        <v>60</v>
      </c>
      <c r="G2698">
        <v>-448.41770000000002</v>
      </c>
      <c r="H2698" s="1">
        <v>3.024691E-6</v>
      </c>
      <c r="I2698">
        <v>212.73990000000001</v>
      </c>
      <c r="J2698">
        <v>-474.20609999999999</v>
      </c>
      <c r="K2698">
        <v>1.1257950000000001</v>
      </c>
      <c r="L2698">
        <v>215.7234</v>
      </c>
      <c r="M2698">
        <v>0.96796059999999995</v>
      </c>
      <c r="N2698">
        <v>-1.386011E-2</v>
      </c>
      <c r="O2698">
        <v>-0.2507201</v>
      </c>
      <c r="P2698">
        <v>0.97111499999999995</v>
      </c>
      <c r="Q2698">
        <v>0.19329299999999999</v>
      </c>
      <c r="R2698">
        <v>-0.13990710000000001</v>
      </c>
      <c r="S2698">
        <v>3.0661930000000002</v>
      </c>
      <c r="T2698">
        <v>-0.13270470000000001</v>
      </c>
      <c r="U2698">
        <v>-0.3577728</v>
      </c>
      <c r="V2698">
        <v>-0.11024340000000001</v>
      </c>
      <c r="W2698">
        <v>0.20563690000000001</v>
      </c>
      <c r="X2698">
        <v>0.97239900000000001</v>
      </c>
      <c r="Y2698">
        <v>-0.13659270000000001</v>
      </c>
      <c r="Z2698">
        <v>1.107431E-2</v>
      </c>
      <c r="AA2698">
        <v>0.99056540000000004</v>
      </c>
      <c r="AB2698">
        <v>23</v>
      </c>
      <c r="AC2698">
        <v>25.7883999999999</v>
      </c>
      <c r="AD2698">
        <v>-1.125791975309</v>
      </c>
      <c r="AE2698">
        <v>-2.98349999999999</v>
      </c>
      <c r="AF2698">
        <v>-3.57138646931819</v>
      </c>
      <c r="AG2698">
        <v>-1.125791975309</v>
      </c>
      <c r="AH2698">
        <v>25.664379261410399</v>
      </c>
      <c r="AI2698">
        <v>92.487781098460502</v>
      </c>
      <c r="AJ2698">
        <v>97.922251561429505</v>
      </c>
      <c r="AK2698">
        <v>25.936124840816401</v>
      </c>
      <c r="AL2698">
        <v>78.133214639124404</v>
      </c>
      <c r="AM2698">
        <v>96.468153205497202</v>
      </c>
      <c r="AN2698">
        <v>0.99999997854308398</v>
      </c>
    </row>
    <row r="2699" spans="1:40" x14ac:dyDescent="0.25">
      <c r="A2699" t="str">
        <f>"20190303170549907"</f>
        <v>20190303170549907</v>
      </c>
      <c r="B2699" t="str">
        <f>"1551603949897042"</f>
        <v>1551603949897042</v>
      </c>
      <c r="C2699" t="s">
        <v>40</v>
      </c>
      <c r="D2699">
        <v>5.8193419999999998</v>
      </c>
      <c r="E2699">
        <v>0.4911044</v>
      </c>
      <c r="F2699" t="s">
        <v>60</v>
      </c>
      <c r="G2699">
        <v>-453.12139999999999</v>
      </c>
      <c r="H2699" s="1">
        <v>1.624456E-7</v>
      </c>
      <c r="I2699">
        <v>213.7431</v>
      </c>
      <c r="J2699">
        <v>-473.99239999999998</v>
      </c>
      <c r="K2699">
        <v>1.1256079999999999</v>
      </c>
      <c r="L2699">
        <v>215.67580000000001</v>
      </c>
      <c r="M2699">
        <v>0.96954580000000001</v>
      </c>
      <c r="N2699">
        <v>-1.3821959999999999E-2</v>
      </c>
      <c r="O2699">
        <v>-0.24451970000000001</v>
      </c>
      <c r="P2699">
        <v>0.97201879999999996</v>
      </c>
      <c r="Q2699">
        <v>0.1918677</v>
      </c>
      <c r="R2699">
        <v>-0.13552330000000001</v>
      </c>
      <c r="S2699">
        <v>3.080292</v>
      </c>
      <c r="T2699">
        <v>-0.16446939999999999</v>
      </c>
      <c r="U2699">
        <v>-0.28930660000000002</v>
      </c>
      <c r="V2699">
        <v>-0.1083716</v>
      </c>
      <c r="W2699">
        <v>0.20424519999999999</v>
      </c>
      <c r="X2699">
        <v>0.97290259999999995</v>
      </c>
      <c r="Y2699">
        <v>-0.1523485</v>
      </c>
      <c r="Z2699">
        <v>1.458577E-2</v>
      </c>
      <c r="AA2699">
        <v>0.98821919999999996</v>
      </c>
      <c r="AB2699">
        <v>23</v>
      </c>
      <c r="AC2699">
        <v>20.870999999999899</v>
      </c>
      <c r="AD2699">
        <v>-1.1256078375544001</v>
      </c>
      <c r="AE2699">
        <v>-1.9327000000000101</v>
      </c>
      <c r="AF2699">
        <v>-3.2205503203008599</v>
      </c>
      <c r="AG2699">
        <v>-1.1256078375544001</v>
      </c>
      <c r="AH2699">
        <v>20.6503985322896</v>
      </c>
      <c r="AI2699">
        <v>93.082787818316405</v>
      </c>
      <c r="AJ2699">
        <v>98.864206149478704</v>
      </c>
      <c r="AK2699">
        <v>20.930310482932299</v>
      </c>
      <c r="AL2699">
        <v>78.214682497552104</v>
      </c>
      <c r="AM2699">
        <v>96.355974351786102</v>
      </c>
      <c r="AN2699">
        <v>0.99999998724817896</v>
      </c>
    </row>
    <row r="2700" spans="1:40" x14ac:dyDescent="0.25">
      <c r="A2700" t="str">
        <f>"20190303170549931"</f>
        <v>20190303170549931</v>
      </c>
      <c r="B2700" t="str">
        <f>"1551603949917538"</f>
        <v>1551603949917538</v>
      </c>
      <c r="C2700" t="s">
        <v>40</v>
      </c>
      <c r="D2700">
        <v>5.7344470000000003</v>
      </c>
      <c r="E2700">
        <v>0.49103780000000002</v>
      </c>
      <c r="F2700" t="s">
        <v>60</v>
      </c>
      <c r="G2700">
        <v>-451.3827</v>
      </c>
      <c r="H2700" s="1">
        <v>-7.4186589999999896E-7</v>
      </c>
      <c r="I2700">
        <v>213.26339999999999</v>
      </c>
      <c r="J2700">
        <v>-473.76310000000001</v>
      </c>
      <c r="K2700">
        <v>1.1254409999999999</v>
      </c>
      <c r="L2700">
        <v>215.6259</v>
      </c>
      <c r="M2700">
        <v>0.97114319999999998</v>
      </c>
      <c r="N2700">
        <v>-1.378452E-2</v>
      </c>
      <c r="O2700">
        <v>-0.2380987</v>
      </c>
      <c r="P2700">
        <v>0.97242329999999999</v>
      </c>
      <c r="Q2700">
        <v>0.19245580000000001</v>
      </c>
      <c r="R2700">
        <v>-0.131734299999999</v>
      </c>
      <c r="S2700">
        <v>3.0708920000000002</v>
      </c>
      <c r="T2700">
        <v>-0.1528823</v>
      </c>
      <c r="U2700">
        <v>-0.327652</v>
      </c>
      <c r="V2700">
        <v>-0.1056093</v>
      </c>
      <c r="W2700">
        <v>0.2048702</v>
      </c>
      <c r="X2700">
        <v>0.97307500000000002</v>
      </c>
      <c r="Y2700">
        <v>-0.13338120000000001</v>
      </c>
      <c r="Z2700">
        <v>1.261495E-2</v>
      </c>
      <c r="AA2700">
        <v>0.99098450000000005</v>
      </c>
      <c r="AB2700">
        <v>23</v>
      </c>
      <c r="AC2700">
        <v>22.380400000000002</v>
      </c>
      <c r="AD2700">
        <v>-1.1254417418659</v>
      </c>
      <c r="AE2700">
        <v>-2.36250000000001</v>
      </c>
      <c r="AF2700">
        <v>-3.0271358974682498</v>
      </c>
      <c r="AG2700">
        <v>-1.1254417418659</v>
      </c>
      <c r="AH2700">
        <v>22.243569676274301</v>
      </c>
      <c r="AI2700">
        <v>92.870072045647007</v>
      </c>
      <c r="AJ2700">
        <v>97.749794957972099</v>
      </c>
      <c r="AK2700">
        <v>22.476800546326501</v>
      </c>
      <c r="AL2700">
        <v>78.178099684335905</v>
      </c>
      <c r="AM2700">
        <v>96.194152952971294</v>
      </c>
      <c r="AN2700">
        <v>1.0000000393597599</v>
      </c>
    </row>
    <row r="2701" spans="1:40" x14ac:dyDescent="0.25">
      <c r="A2701" t="str">
        <f>"20190303170549951"</f>
        <v>20190303170549951</v>
      </c>
      <c r="B2701" t="str">
        <f>"1551603949937061"</f>
        <v>1551603949937061</v>
      </c>
      <c r="C2701" t="s">
        <v>40</v>
      </c>
      <c r="D2701">
        <v>5.7196020000000001</v>
      </c>
      <c r="E2701">
        <v>0.4915118</v>
      </c>
      <c r="F2701" t="s">
        <v>60</v>
      </c>
      <c r="G2701">
        <v>-451.15179999999998</v>
      </c>
      <c r="H2701" s="1">
        <v>-8.6648939999999997E-7</v>
      </c>
      <c r="I2701">
        <v>213.30359999999999</v>
      </c>
      <c r="J2701">
        <v>-473.56200000000001</v>
      </c>
      <c r="K2701">
        <v>1.125299</v>
      </c>
      <c r="L2701">
        <v>215.58330000000001</v>
      </c>
      <c r="M2701">
        <v>0.97245630000000005</v>
      </c>
      <c r="N2701">
        <v>-1.375087E-2</v>
      </c>
      <c r="O2701">
        <v>-0.2326791</v>
      </c>
      <c r="P2701">
        <v>0.97244580000000003</v>
      </c>
      <c r="Q2701">
        <v>0.19404769999999999</v>
      </c>
      <c r="R2701">
        <v>-0.12920789999999999</v>
      </c>
      <c r="S2701">
        <v>3.0726010000000001</v>
      </c>
      <c r="T2701">
        <v>-0.15293399999999999</v>
      </c>
      <c r="U2701">
        <v>-0.31558229999999998</v>
      </c>
      <c r="V2701">
        <v>-0.1025705</v>
      </c>
      <c r="W2701">
        <v>0.2064946</v>
      </c>
      <c r="X2701">
        <v>0.9730567</v>
      </c>
      <c r="Y2701">
        <v>-0.1317682</v>
      </c>
      <c r="Z2701">
        <v>1.238531E-2</v>
      </c>
      <c r="AA2701">
        <v>0.99120319999999995</v>
      </c>
      <c r="AB2701">
        <v>23</v>
      </c>
      <c r="AC2701">
        <v>22.4101999999999</v>
      </c>
      <c r="AD2701">
        <v>-1.1252998664894001</v>
      </c>
      <c r="AE2701">
        <v>-2.27970000000002</v>
      </c>
      <c r="AF2701">
        <v>-2.9902975428929999</v>
      </c>
      <c r="AG2701">
        <v>-1.1252998664894001</v>
      </c>
      <c r="AH2701">
        <v>22.269913924847199</v>
      </c>
      <c r="AI2701">
        <v>92.867011419755599</v>
      </c>
      <c r="AJ2701">
        <v>97.647660179377894</v>
      </c>
      <c r="AK2701">
        <v>22.4979386923482</v>
      </c>
      <c r="AL2701">
        <v>78.082994897900406</v>
      </c>
      <c r="AM2701">
        <v>96.017361609309802</v>
      </c>
      <c r="AN2701">
        <v>1.00000003435714</v>
      </c>
    </row>
    <row r="2702" spans="1:40" x14ac:dyDescent="0.25">
      <c r="A2702" t="str">
        <f>"20190303170549974"</f>
        <v>20190303170549974</v>
      </c>
      <c r="B2702" t="str">
        <f>"1551603949967314"</f>
        <v>1551603949967314</v>
      </c>
      <c r="C2702" t="s">
        <v>40</v>
      </c>
      <c r="D2702">
        <v>5.7467040000000003</v>
      </c>
      <c r="E2702">
        <v>0.49306899999999998</v>
      </c>
      <c r="F2702" t="s">
        <v>60</v>
      </c>
      <c r="G2702">
        <v>-449.7054</v>
      </c>
      <c r="H2702" s="1">
        <v>3.6914809999999998E-6</v>
      </c>
      <c r="I2702">
        <v>213.16290000000001</v>
      </c>
      <c r="J2702">
        <v>-473.32780000000002</v>
      </c>
      <c r="K2702">
        <v>1.1251310000000001</v>
      </c>
      <c r="L2702">
        <v>215.53489999999999</v>
      </c>
      <c r="M2702">
        <v>0.97388330000000001</v>
      </c>
      <c r="N2702">
        <v>-1.370482E-2</v>
      </c>
      <c r="O2702">
        <v>-0.226635</v>
      </c>
      <c r="P2702">
        <v>0.97291870000000003</v>
      </c>
      <c r="Q2702">
        <v>0.19455149999999999</v>
      </c>
      <c r="R2702">
        <v>-0.12481630000000001</v>
      </c>
      <c r="S2702">
        <v>3.072479</v>
      </c>
      <c r="T2702">
        <v>-0.14492650000000001</v>
      </c>
      <c r="U2702">
        <v>-0.31172179999999999</v>
      </c>
      <c r="V2702">
        <v>-0.1008093</v>
      </c>
      <c r="W2702">
        <v>0.20701240000000001</v>
      </c>
      <c r="X2702">
        <v>0.97313070000000002</v>
      </c>
      <c r="Y2702">
        <v>-0.12688730000000001</v>
      </c>
      <c r="Z2702">
        <v>1.12856E-2</v>
      </c>
      <c r="AA2702">
        <v>0.99185290000000004</v>
      </c>
      <c r="AB2702">
        <v>23</v>
      </c>
      <c r="AC2702">
        <v>23.622399999999999</v>
      </c>
      <c r="AD2702">
        <v>-1.1251273085189999</v>
      </c>
      <c r="AE2702">
        <v>-2.3719999999999799</v>
      </c>
      <c r="AF2702">
        <v>-3.0370763222192698</v>
      </c>
      <c r="AG2702">
        <v>-1.1251273085189999</v>
      </c>
      <c r="AH2702">
        <v>23.49248846479</v>
      </c>
      <c r="AI2702">
        <v>92.719379502547994</v>
      </c>
      <c r="AJ2702">
        <v>97.366262859557906</v>
      </c>
      <c r="AK2702">
        <v>23.7146949867725</v>
      </c>
      <c r="AL2702">
        <v>78.052671590142097</v>
      </c>
      <c r="AM2702">
        <v>95.914331959113099</v>
      </c>
      <c r="AN2702">
        <v>1.0000000040013699</v>
      </c>
    </row>
    <row r="2703" spans="1:40" x14ac:dyDescent="0.25">
      <c r="A2703" t="str">
        <f>"20190303170549997"</f>
        <v>20190303170549997</v>
      </c>
      <c r="B2703" t="str">
        <f>"1551603949987810"</f>
        <v>1551603949987810</v>
      </c>
      <c r="C2703" t="s">
        <v>40</v>
      </c>
      <c r="D2703">
        <v>5.744243</v>
      </c>
      <c r="E2703">
        <v>0.49378319999999998</v>
      </c>
      <c r="F2703" t="s">
        <v>60</v>
      </c>
      <c r="G2703">
        <v>-448.69740000000002</v>
      </c>
      <c r="H2703" s="1">
        <v>3.1602039999999999E-6</v>
      </c>
      <c r="I2703">
        <v>213.04519999999999</v>
      </c>
      <c r="J2703">
        <v>-473.09410000000003</v>
      </c>
      <c r="K2703">
        <v>1.124938</v>
      </c>
      <c r="L2703">
        <v>215.48759999999999</v>
      </c>
      <c r="M2703">
        <v>0.97520479999999998</v>
      </c>
      <c r="N2703">
        <v>-1.3655189999999999E-2</v>
      </c>
      <c r="O2703">
        <v>-0.22088269999999999</v>
      </c>
      <c r="P2703">
        <v>0.97359130000000005</v>
      </c>
      <c r="Q2703">
        <v>0.19331019999999999</v>
      </c>
      <c r="R2703">
        <v>-0.1214553</v>
      </c>
      <c r="S2703">
        <v>3.0716860000000001</v>
      </c>
      <c r="T2703">
        <v>-0.14031579999999999</v>
      </c>
      <c r="U2703">
        <v>-0.31048579999999998</v>
      </c>
      <c r="V2703">
        <v>-9.8369440000000002E-2</v>
      </c>
      <c r="W2703">
        <v>0.2057956</v>
      </c>
      <c r="X2703">
        <v>0.97363840000000001</v>
      </c>
      <c r="Y2703">
        <v>-0.1214301</v>
      </c>
      <c r="Z2703">
        <v>1.0530329999999999E-2</v>
      </c>
      <c r="AA2703">
        <v>0.99254410000000004</v>
      </c>
      <c r="AB2703">
        <v>23</v>
      </c>
      <c r="AC2703">
        <v>24.396699999999999</v>
      </c>
      <c r="AD2703">
        <v>-1.124934839796</v>
      </c>
      <c r="AE2703">
        <v>-2.4423999999999899</v>
      </c>
      <c r="AF2703">
        <v>-3.0009319992457901</v>
      </c>
      <c r="AG2703">
        <v>-1.124934839796</v>
      </c>
      <c r="AH2703">
        <v>24.282415619062601</v>
      </c>
      <c r="AI2703">
        <v>92.632454786130396</v>
      </c>
      <c r="AJ2703">
        <v>97.045152233874504</v>
      </c>
      <c r="AK2703">
        <v>24.492994499545802</v>
      </c>
      <c r="AL2703">
        <v>78.123923986806105</v>
      </c>
      <c r="AM2703">
        <v>95.769177845444204</v>
      </c>
      <c r="AN2703">
        <v>1.0000000548299099</v>
      </c>
    </row>
    <row r="2704" spans="1:40" x14ac:dyDescent="0.25">
      <c r="A2704" t="str">
        <f>"20190303170550020"</f>
        <v>20190303170550020</v>
      </c>
      <c r="B2704" t="str">
        <f>"1551603950007330"</f>
        <v>1551603950007330</v>
      </c>
      <c r="C2704" t="s">
        <v>40</v>
      </c>
      <c r="D2704">
        <v>5.764621</v>
      </c>
      <c r="E2704">
        <v>0.49481259999999999</v>
      </c>
      <c r="F2704" t="s">
        <v>60</v>
      </c>
      <c r="G2704">
        <v>-448.99990000000003</v>
      </c>
      <c r="H2704" s="1">
        <v>3.3192919999999999E-6</v>
      </c>
      <c r="I2704">
        <v>213.08879999999999</v>
      </c>
      <c r="J2704">
        <v>-472.87090000000001</v>
      </c>
      <c r="K2704">
        <v>1.124744</v>
      </c>
      <c r="L2704">
        <v>215.4436</v>
      </c>
      <c r="M2704">
        <v>0.97637289999999999</v>
      </c>
      <c r="N2704">
        <v>-1.360548E-2</v>
      </c>
      <c r="O2704">
        <v>-0.2156642</v>
      </c>
      <c r="P2704">
        <v>0.97428870000000001</v>
      </c>
      <c r="Q2704">
        <v>0.19179489999999999</v>
      </c>
      <c r="R2704">
        <v>-0.1182233</v>
      </c>
      <c r="S2704">
        <v>3.0716860000000001</v>
      </c>
      <c r="T2704">
        <v>-0.1434145</v>
      </c>
      <c r="U2704">
        <v>-0.3058167</v>
      </c>
      <c r="V2704">
        <v>-9.6343360000000003E-2</v>
      </c>
      <c r="W2704">
        <v>0.2042998</v>
      </c>
      <c r="X2704">
        <v>0.97415580000000002</v>
      </c>
      <c r="Y2704">
        <v>-0.1176087</v>
      </c>
      <c r="Z2704">
        <v>1.054098E-2</v>
      </c>
      <c r="AA2704">
        <v>0.99300409999999995</v>
      </c>
      <c r="AB2704">
        <v>23</v>
      </c>
      <c r="AC2704">
        <v>23.870999999999899</v>
      </c>
      <c r="AD2704">
        <v>-1.124740680708</v>
      </c>
      <c r="AE2704">
        <v>-2.3548000000000102</v>
      </c>
      <c r="AF2704">
        <v>-2.8429699340763399</v>
      </c>
      <c r="AG2704">
        <v>-1.124740680708</v>
      </c>
      <c r="AH2704">
        <v>23.764795025115902</v>
      </c>
      <c r="AI2704">
        <v>92.690518397655296</v>
      </c>
      <c r="AJ2704">
        <v>96.821844299500896</v>
      </c>
      <c r="AK2704">
        <v>23.9606552963536</v>
      </c>
      <c r="AL2704">
        <v>78.211486759745398</v>
      </c>
      <c r="AM2704">
        <v>95.648147241635499</v>
      </c>
      <c r="AN2704">
        <v>0.99999998698488402</v>
      </c>
    </row>
    <row r="2705" spans="1:40" x14ac:dyDescent="0.25">
      <c r="A2705" t="str">
        <f>"20190303170550040"</f>
        <v>20190303170550040</v>
      </c>
      <c r="B2705" t="str">
        <f>"1551603950027826"</f>
        <v>1551603950027826</v>
      </c>
      <c r="C2705" t="s">
        <v>40</v>
      </c>
      <c r="D2705">
        <v>5.7159810000000002</v>
      </c>
      <c r="E2705">
        <v>0.49573450000000002</v>
      </c>
      <c r="F2705" t="s">
        <v>60</v>
      </c>
      <c r="G2705">
        <v>-449.63839999999999</v>
      </c>
      <c r="H2705" s="1">
        <v>3.6566150000000001E-6</v>
      </c>
      <c r="I2705">
        <v>213.1447</v>
      </c>
      <c r="J2705">
        <v>-472.6551</v>
      </c>
      <c r="K2705">
        <v>1.1245449999999999</v>
      </c>
      <c r="L2705">
        <v>215.40180000000001</v>
      </c>
      <c r="M2705">
        <v>0.97741540000000005</v>
      </c>
      <c r="N2705">
        <v>-1.355468E-2</v>
      </c>
      <c r="O2705">
        <v>-0.2108913</v>
      </c>
      <c r="P2705">
        <v>0.97453670000000003</v>
      </c>
      <c r="Q2705">
        <v>0.19238949999999999</v>
      </c>
      <c r="R2705">
        <v>-0.1151706</v>
      </c>
      <c r="S2705">
        <v>3.0715330000000001</v>
      </c>
      <c r="T2705">
        <v>-0.14870039999999901</v>
      </c>
      <c r="U2705">
        <v>-0.30392459999999999</v>
      </c>
      <c r="V2705">
        <v>-9.4510060000000007E-2</v>
      </c>
      <c r="W2705">
        <v>0.20490559999999999</v>
      </c>
      <c r="X2705">
        <v>0.97420819999999997</v>
      </c>
      <c r="Y2705">
        <v>-0.1133422</v>
      </c>
      <c r="Z2705">
        <v>1.072642E-2</v>
      </c>
      <c r="AA2705">
        <v>0.99349810000000005</v>
      </c>
      <c r="AB2705">
        <v>23</v>
      </c>
      <c r="AC2705">
        <v>23.0167</v>
      </c>
      <c r="AD2705">
        <v>-1.124541343385</v>
      </c>
      <c r="AE2705">
        <v>-2.2570999999999999</v>
      </c>
      <c r="AF2705">
        <v>-2.6418948051743301</v>
      </c>
      <c r="AG2705">
        <v>-1.124541343385</v>
      </c>
      <c r="AH2705">
        <v>22.920801169044498</v>
      </c>
      <c r="AI2705">
        <v>92.790351114677406</v>
      </c>
      <c r="AJ2705">
        <v>96.575005155460104</v>
      </c>
      <c r="AK2705">
        <v>23.0999421563229</v>
      </c>
      <c r="AL2705">
        <v>78.176027419841901</v>
      </c>
      <c r="AM2705">
        <v>95.541048873203096</v>
      </c>
      <c r="AN2705">
        <v>1.0000000366499</v>
      </c>
    </row>
    <row r="2706" spans="1:40" x14ac:dyDescent="0.25">
      <c r="A2706" t="str">
        <f>"20190303170550066"</f>
        <v>20190303170550066</v>
      </c>
      <c r="B2706" t="str">
        <f>"1551603950057106"</f>
        <v>1551603950057106</v>
      </c>
      <c r="C2706" t="s">
        <v>40</v>
      </c>
      <c r="D2706">
        <v>5.7084890000000001</v>
      </c>
      <c r="E2706">
        <v>0.5029304</v>
      </c>
      <c r="F2706" t="s">
        <v>60</v>
      </c>
      <c r="G2706">
        <v>-449.17320000000001</v>
      </c>
      <c r="H2706" s="1">
        <v>3.4111639999999999E-6</v>
      </c>
      <c r="I2706">
        <v>213.09700000000001</v>
      </c>
      <c r="J2706">
        <v>-472.39330000000001</v>
      </c>
      <c r="K2706">
        <v>1.1243000000000001</v>
      </c>
      <c r="L2706">
        <v>215.35220000000001</v>
      </c>
      <c r="M2706">
        <v>0.97856549999999998</v>
      </c>
      <c r="N2706">
        <v>-1.3487010000000001E-2</v>
      </c>
      <c r="O2706">
        <v>-0.20549410000000001</v>
      </c>
      <c r="P2706">
        <v>0.97461819999999999</v>
      </c>
      <c r="Q2706">
        <v>0.19411700000000001</v>
      </c>
      <c r="R2706">
        <v>-0.111526399999999</v>
      </c>
      <c r="S2706">
        <v>3.071777</v>
      </c>
      <c r="T2706">
        <v>-0.14710689999999901</v>
      </c>
      <c r="U2706">
        <v>-0.3014984</v>
      </c>
      <c r="V2706">
        <v>-9.2586669999999996E-2</v>
      </c>
      <c r="W2706">
        <v>0.20663500000000001</v>
      </c>
      <c r="X2706">
        <v>0.97402759999999999</v>
      </c>
      <c r="Y2706">
        <v>-0.10865900000000001</v>
      </c>
      <c r="Z2706">
        <v>1.027782E-2</v>
      </c>
      <c r="AA2706">
        <v>0.99402590000000002</v>
      </c>
      <c r="AB2706">
        <v>23</v>
      </c>
      <c r="AC2706">
        <v>23.220099999999999</v>
      </c>
      <c r="AD2706">
        <v>-1.1242965888359999</v>
      </c>
      <c r="AE2706">
        <v>-2.2551999999999999</v>
      </c>
      <c r="AF2706">
        <v>-2.5590223852029199</v>
      </c>
      <c r="AG2706">
        <v>-1.1242965888359999</v>
      </c>
      <c r="AH2706">
        <v>23.134196979285601</v>
      </c>
      <c r="AI2706">
        <v>92.765481570543201</v>
      </c>
      <c r="AJ2706">
        <v>96.312192991659202</v>
      </c>
      <c r="AK2706">
        <v>23.302439963746799</v>
      </c>
      <c r="AL2706">
        <v>78.074773323686799</v>
      </c>
      <c r="AM2706">
        <v>95.429963341844399</v>
      </c>
      <c r="AN2706">
        <v>1.0000000401242199</v>
      </c>
    </row>
    <row r="2707" spans="1:40" x14ac:dyDescent="0.25">
      <c r="A2707" t="str">
        <f>"20190303170550089"</f>
        <v>20190303170550089</v>
      </c>
      <c r="B2707" t="str">
        <f>"1551603950077602"</f>
        <v>1551603950077602</v>
      </c>
      <c r="C2707" t="s">
        <v>40</v>
      </c>
      <c r="D2707">
        <v>5.8754970000000002</v>
      </c>
      <c r="E2707">
        <v>0.50403129999999996</v>
      </c>
      <c r="F2707" t="s">
        <v>60</v>
      </c>
      <c r="G2707">
        <v>-448.65690000000001</v>
      </c>
      <c r="H2707" s="1">
        <v>3.154951E-6</v>
      </c>
      <c r="I2707">
        <v>212.6722</v>
      </c>
      <c r="J2707">
        <v>-472.16759999999999</v>
      </c>
      <c r="K2707">
        <v>1.1240939999999999</v>
      </c>
      <c r="L2707">
        <v>215.31020000000001</v>
      </c>
      <c r="M2707">
        <v>0.97946299999999997</v>
      </c>
      <c r="N2707">
        <v>-1.342691E-2</v>
      </c>
      <c r="O2707">
        <v>-0.2011762</v>
      </c>
      <c r="P2707">
        <v>0.97480750000000005</v>
      </c>
      <c r="Q2707">
        <v>0.19474469999999999</v>
      </c>
      <c r="R2707">
        <v>-0.1087424</v>
      </c>
      <c r="S2707">
        <v>3.0674440000000001</v>
      </c>
      <c r="T2707">
        <v>-0.14529220000000001</v>
      </c>
      <c r="U2707">
        <v>-0.34632869999999999</v>
      </c>
      <c r="V2707">
        <v>-9.0941209999999995E-2</v>
      </c>
      <c r="W2707">
        <v>0.20726149999999999</v>
      </c>
      <c r="X2707">
        <v>0.97404939999999995</v>
      </c>
      <c r="Y2707">
        <v>-8.9788359999999998E-2</v>
      </c>
      <c r="Z2707">
        <v>9.4280949999999992E-3</v>
      </c>
      <c r="AA2707">
        <v>0.99591620000000003</v>
      </c>
      <c r="AB2707">
        <v>23</v>
      </c>
      <c r="AC2707">
        <v>23.5106999999999</v>
      </c>
      <c r="AD2707">
        <v>-1.1240908450489999</v>
      </c>
      <c r="AE2707">
        <v>-2.6379999999999999</v>
      </c>
      <c r="AF2707">
        <v>-2.1413292832619502</v>
      </c>
      <c r="AG2707">
        <v>-1.1240908450489999</v>
      </c>
      <c r="AH2707">
        <v>23.507618744775002</v>
      </c>
      <c r="AI2707">
        <v>92.726422016700596</v>
      </c>
      <c r="AJ2707">
        <v>95.204758156401994</v>
      </c>
      <c r="AK2707">
        <v>23.631695038168001</v>
      </c>
      <c r="AL2707">
        <v>78.038081951737695</v>
      </c>
      <c r="AM2707">
        <v>95.333904378306599</v>
      </c>
      <c r="AN2707">
        <v>0.99999993334943404</v>
      </c>
    </row>
    <row r="2708" spans="1:40" x14ac:dyDescent="0.25">
      <c r="A2708" t="str">
        <f>"20190303170550109"</f>
        <v>20190303170550109</v>
      </c>
      <c r="B2708" t="str">
        <f>"1551603950097123"</f>
        <v>1551603950097123</v>
      </c>
      <c r="C2708" t="s">
        <v>40</v>
      </c>
      <c r="D2708">
        <v>5.6954449999999897</v>
      </c>
      <c r="E2708">
        <v>0.50499079999999996</v>
      </c>
      <c r="F2708" t="s">
        <v>60</v>
      </c>
      <c r="G2708">
        <v>-447.43540000000002</v>
      </c>
      <c r="H2708" s="1">
        <v>2.5114569999999999E-6</v>
      </c>
      <c r="I2708">
        <v>212.52359999999999</v>
      </c>
      <c r="J2708">
        <v>-471.96210000000002</v>
      </c>
      <c r="K2708">
        <v>1.12392</v>
      </c>
      <c r="L2708">
        <v>215.27250000000001</v>
      </c>
      <c r="M2708">
        <v>0.9802187</v>
      </c>
      <c r="N2708">
        <v>-1.3375710000000001E-2</v>
      </c>
      <c r="O2708">
        <v>-0.19746459999999999</v>
      </c>
      <c r="P2708">
        <v>0.97529639999999995</v>
      </c>
      <c r="Q2708">
        <v>0.1937149</v>
      </c>
      <c r="R2708">
        <v>-0.1061648</v>
      </c>
      <c r="S2708">
        <v>3.0668030000000002</v>
      </c>
      <c r="T2708">
        <v>-0.13938800000000001</v>
      </c>
      <c r="U2708">
        <v>-0.34553529999999999</v>
      </c>
      <c r="V2708">
        <v>-8.9773519999999996E-2</v>
      </c>
      <c r="W2708">
        <v>0.2062291</v>
      </c>
      <c r="X2708">
        <v>0.97437689999999999</v>
      </c>
      <c r="Y2708">
        <v>-8.6273600000000006E-2</v>
      </c>
      <c r="Z2708">
        <v>8.7529640000000002E-3</v>
      </c>
      <c r="AA2708">
        <v>0.99623300000000004</v>
      </c>
      <c r="AB2708">
        <v>23</v>
      </c>
      <c r="AC2708">
        <v>24.526700000000002</v>
      </c>
      <c r="AD2708">
        <v>-1.1239174885430001</v>
      </c>
      <c r="AE2708">
        <v>-2.7489000000000199</v>
      </c>
      <c r="AF2708">
        <v>-2.14437714953266</v>
      </c>
      <c r="AG2708">
        <v>-1.1239174885430001</v>
      </c>
      <c r="AH2708">
        <v>24.535659087958599</v>
      </c>
      <c r="AI2708">
        <v>92.612797616576799</v>
      </c>
      <c r="AJ2708">
        <v>94.994867067556598</v>
      </c>
      <c r="AK2708">
        <v>24.654819219799901</v>
      </c>
      <c r="AL2708">
        <v>78.098541563856998</v>
      </c>
      <c r="AM2708">
        <v>95.264044294733907</v>
      </c>
      <c r="AN2708">
        <v>1.0000000349167999</v>
      </c>
    </row>
    <row r="2709" spans="1:40" x14ac:dyDescent="0.25">
      <c r="A2709" t="str">
        <f>"20190303170550131"</f>
        <v>20190303170550131</v>
      </c>
      <c r="B2709" t="str">
        <f>"1551603950117618"</f>
        <v>1551603950117618</v>
      </c>
      <c r="C2709" t="s">
        <v>40</v>
      </c>
      <c r="D2709">
        <v>5.7330730000000001</v>
      </c>
      <c r="E2709">
        <v>0.50375459999999905</v>
      </c>
      <c r="F2709" t="s">
        <v>60</v>
      </c>
      <c r="G2709">
        <v>-449.05900000000003</v>
      </c>
      <c r="H2709" s="1">
        <v>3.3677700000000002E-6</v>
      </c>
      <c r="I2709">
        <v>212.6994</v>
      </c>
      <c r="J2709">
        <v>-471.74700000000001</v>
      </c>
      <c r="K2709">
        <v>1.1237619999999999</v>
      </c>
      <c r="L2709">
        <v>215.2337</v>
      </c>
      <c r="M2709">
        <v>0.98094910000000002</v>
      </c>
      <c r="N2709">
        <v>-1.3324920000000001E-2</v>
      </c>
      <c r="O2709">
        <v>-0.1938077</v>
      </c>
      <c r="P2709">
        <v>0.97569479999999997</v>
      </c>
      <c r="Q2709">
        <v>0.19270599999999999</v>
      </c>
      <c r="R2709">
        <v>-0.1043273</v>
      </c>
      <c r="S2709">
        <v>3.06839</v>
      </c>
      <c r="T2709">
        <v>-0.15057429999999999</v>
      </c>
      <c r="U2709">
        <v>-0.34472659999999899</v>
      </c>
      <c r="V2709">
        <v>-8.7927450000000004E-2</v>
      </c>
      <c r="W2709">
        <v>0.20521829999999999</v>
      </c>
      <c r="X2709">
        <v>0.97475849999999997</v>
      </c>
      <c r="Y2709">
        <v>-8.2841399999999996E-2</v>
      </c>
      <c r="Z2709">
        <v>9.3906730000000004E-3</v>
      </c>
      <c r="AA2709">
        <v>0.99651849999999997</v>
      </c>
      <c r="AB2709">
        <v>23</v>
      </c>
      <c r="AC2709">
        <v>22.687999999999899</v>
      </c>
      <c r="AD2709">
        <v>-1.1237586322299999</v>
      </c>
      <c r="AE2709">
        <v>-2.5343</v>
      </c>
      <c r="AF2709">
        <v>-1.90663942070684</v>
      </c>
      <c r="AG2709">
        <v>-1.1237586322299999</v>
      </c>
      <c r="AH2709">
        <v>22.693969021866899</v>
      </c>
      <c r="AI2709">
        <v>92.824917341250298</v>
      </c>
      <c r="AJ2709">
        <v>94.802440836533705</v>
      </c>
      <c r="AK2709">
        <v>22.801630145881301</v>
      </c>
      <c r="AL2709">
        <v>78.157721103889102</v>
      </c>
      <c r="AM2709">
        <v>95.154378260145606</v>
      </c>
      <c r="AN2709">
        <v>0.99999996022032001</v>
      </c>
    </row>
    <row r="2710" spans="1:40" x14ac:dyDescent="0.25">
      <c r="A2710" t="str">
        <f>"20190303170550151"</f>
        <v>20190303170550151</v>
      </c>
      <c r="B2710" t="str">
        <f>"1551603950137138"</f>
        <v>1551603950137138</v>
      </c>
      <c r="C2710" t="s">
        <v>40</v>
      </c>
      <c r="D2710">
        <v>5.7249379999999999</v>
      </c>
      <c r="E2710">
        <v>0.45979819999999999</v>
      </c>
      <c r="F2710" t="s">
        <v>60</v>
      </c>
      <c r="G2710">
        <v>-449.37009999999998</v>
      </c>
      <c r="H2710" s="1">
        <v>3.5274010000000001E-6</v>
      </c>
      <c r="I2710">
        <v>212.83410000000001</v>
      </c>
      <c r="J2710">
        <v>-471.5385</v>
      </c>
      <c r="K2710">
        <v>1.1236200000000001</v>
      </c>
      <c r="L2710">
        <v>215.19659999999999</v>
      </c>
      <c r="M2710">
        <v>0.98160150000000002</v>
      </c>
      <c r="N2710">
        <v>-1.327209E-2</v>
      </c>
      <c r="O2710">
        <v>-0.19047919999999999</v>
      </c>
      <c r="P2710">
        <v>0.97592480000000004</v>
      </c>
      <c r="Q2710">
        <v>0.19286780000000001</v>
      </c>
      <c r="R2710">
        <v>-0.10184550000000001</v>
      </c>
      <c r="S2710">
        <v>3.0699770000000002</v>
      </c>
      <c r="T2710">
        <v>-0.1541727</v>
      </c>
      <c r="U2710">
        <v>-0.32920840000000001</v>
      </c>
      <c r="V2710">
        <v>-8.7025809999999995E-2</v>
      </c>
      <c r="W2710">
        <v>0.20536260000000001</v>
      </c>
      <c r="X2710">
        <v>0.97480909999999998</v>
      </c>
      <c r="Y2710">
        <v>-8.4481219999999996E-2</v>
      </c>
      <c r="Z2710">
        <v>9.6029700000000006E-3</v>
      </c>
      <c r="AA2710">
        <v>0.99637880000000001</v>
      </c>
      <c r="AB2710">
        <v>23</v>
      </c>
      <c r="AC2710">
        <v>22.168399999999998</v>
      </c>
      <c r="AD2710">
        <v>-1.1236164725990001</v>
      </c>
      <c r="AE2710">
        <v>-2.3624999999999798</v>
      </c>
      <c r="AF2710">
        <v>-1.89892964734823</v>
      </c>
      <c r="AG2710">
        <v>-1.1236164725990001</v>
      </c>
      <c r="AH2710">
        <v>22.156217898592701</v>
      </c>
      <c r="AI2710">
        <v>92.892588588557203</v>
      </c>
      <c r="AJ2710">
        <v>94.898643862951204</v>
      </c>
      <c r="AK2710">
        <v>22.265813242569799</v>
      </c>
      <c r="AL2710">
        <v>78.149274297830999</v>
      </c>
      <c r="AM2710">
        <v>95.101540339320294</v>
      </c>
      <c r="AN2710">
        <v>1.0000000352638601</v>
      </c>
    </row>
    <row r="2711" spans="1:40" x14ac:dyDescent="0.25">
      <c r="A2711" t="str">
        <f>"20190303170550175"</f>
        <v>20190303170550175</v>
      </c>
      <c r="B2711" t="str">
        <f>"1551603950167394"</f>
        <v>1551603950167394</v>
      </c>
      <c r="C2711" t="s">
        <v>40</v>
      </c>
      <c r="D2711">
        <v>5.7131879999999997</v>
      </c>
      <c r="E2711">
        <v>0.45593810000000001</v>
      </c>
      <c r="F2711" t="s">
        <v>60</v>
      </c>
      <c r="G2711">
        <v>-447.0591</v>
      </c>
      <c r="H2711" s="1">
        <v>2.1849730000000001E-6</v>
      </c>
      <c r="I2711">
        <v>215.41139999999999</v>
      </c>
      <c r="J2711">
        <v>-471.29509999999999</v>
      </c>
      <c r="K2711">
        <v>1.1234690000000001</v>
      </c>
      <c r="L2711">
        <v>215.154</v>
      </c>
      <c r="M2711">
        <v>0.9823018</v>
      </c>
      <c r="N2711">
        <v>-1.3203970000000001E-2</v>
      </c>
      <c r="O2711">
        <v>-0.18683949999999999</v>
      </c>
      <c r="P2711">
        <v>0.97600220000000004</v>
      </c>
      <c r="Q2711">
        <v>0.19391140000000001</v>
      </c>
      <c r="R2711">
        <v>-9.908728E-2</v>
      </c>
      <c r="S2711">
        <v>3.1050110000000002</v>
      </c>
      <c r="T2711">
        <v>-0.1425217</v>
      </c>
      <c r="U2711">
        <v>2.7236940000000001E-2</v>
      </c>
      <c r="V2711">
        <v>-8.6057419999999996E-2</v>
      </c>
      <c r="W2711">
        <v>0.20637369999999999</v>
      </c>
      <c r="X2711">
        <v>0.97468149999999998</v>
      </c>
      <c r="Y2711">
        <v>-0.19510350000000001</v>
      </c>
      <c r="Z2711">
        <v>1.182267E-2</v>
      </c>
      <c r="AA2711">
        <v>0.98071140000000001</v>
      </c>
      <c r="AB2711">
        <v>23</v>
      </c>
      <c r="AC2711">
        <v>24.235999999999901</v>
      </c>
      <c r="AD2711">
        <v>-1.123466815027</v>
      </c>
      <c r="AE2711">
        <v>0.25739999999996099</v>
      </c>
      <c r="AF2711">
        <v>-4.7712516615204903</v>
      </c>
      <c r="AG2711">
        <v>-1.123466815027</v>
      </c>
      <c r="AH2711">
        <v>23.710100492465902</v>
      </c>
      <c r="AI2711">
        <v>92.659607034046999</v>
      </c>
      <c r="AJ2711">
        <v>101.377837946892</v>
      </c>
      <c r="AK2711">
        <v>24.211482512743</v>
      </c>
      <c r="AL2711">
        <v>78.090074092807598</v>
      </c>
      <c r="AM2711">
        <v>95.045724016401095</v>
      </c>
      <c r="AN2711">
        <v>1.00000000501549</v>
      </c>
    </row>
    <row r="2712" spans="1:40" x14ac:dyDescent="0.25">
      <c r="A2712" t="str">
        <f>"20190303170550196"</f>
        <v>20190303170550196</v>
      </c>
      <c r="B2712" t="str">
        <f>"1551603950187891"</f>
        <v>1551603950187891</v>
      </c>
      <c r="C2712" t="s">
        <v>40</v>
      </c>
      <c r="D2712">
        <v>5.7165330000000001</v>
      </c>
      <c r="E2712">
        <v>0.45623140000000001</v>
      </c>
      <c r="F2712" t="s">
        <v>60</v>
      </c>
      <c r="G2712">
        <v>-443.43720000000002</v>
      </c>
      <c r="H2712" s="1">
        <v>2.4254870000000001E-7</v>
      </c>
      <c r="I2712">
        <v>215.75530000000001</v>
      </c>
      <c r="J2712">
        <v>-471.07780000000002</v>
      </c>
      <c r="K2712">
        <v>1.123335</v>
      </c>
      <c r="L2712">
        <v>215.1165</v>
      </c>
      <c r="M2712">
        <v>0.98287970000000002</v>
      </c>
      <c r="N2712">
        <v>-1.31412E-2</v>
      </c>
      <c r="O2712">
        <v>-0.18377930000000001</v>
      </c>
      <c r="P2712">
        <v>0.97612699999999997</v>
      </c>
      <c r="Q2712">
        <v>0.19406889999999999</v>
      </c>
      <c r="R2712">
        <v>-9.753539E-2</v>
      </c>
      <c r="S2712">
        <v>3.1054080000000002</v>
      </c>
      <c r="T2712">
        <v>-0.12523670000000001</v>
      </c>
      <c r="U2712">
        <v>6.7031859999999999E-2</v>
      </c>
      <c r="V2712">
        <v>-8.4498899999999905E-2</v>
      </c>
      <c r="W2712">
        <v>0.2065044</v>
      </c>
      <c r="X2712">
        <v>0.97479020000000005</v>
      </c>
      <c r="Y2712">
        <v>-0.20467830000000001</v>
      </c>
      <c r="Z2712">
        <v>1.0426950000000001E-2</v>
      </c>
      <c r="AA2712">
        <v>0.97877380000000003</v>
      </c>
      <c r="AB2712">
        <v>23</v>
      </c>
      <c r="AC2712">
        <v>27.640599999999999</v>
      </c>
      <c r="AD2712">
        <v>-1.1233347574513</v>
      </c>
      <c r="AE2712">
        <v>0.63880000000000303</v>
      </c>
      <c r="AF2712">
        <v>-5.6987191051419703</v>
      </c>
      <c r="AG2712">
        <v>-1.1233347574513</v>
      </c>
      <c r="AH2712">
        <v>27.007737927805199</v>
      </c>
      <c r="AI2712">
        <v>92.330478796238097</v>
      </c>
      <c r="AJ2712">
        <v>101.914819313857</v>
      </c>
      <c r="AK2712">
        <v>27.625263589577099</v>
      </c>
      <c r="AL2712">
        <v>78.082421010127206</v>
      </c>
      <c r="AM2712">
        <v>94.954254068118502</v>
      </c>
      <c r="AN2712">
        <v>1.0000000326683001</v>
      </c>
    </row>
    <row r="2713" spans="1:40" x14ac:dyDescent="0.25">
      <c r="A2713" t="str">
        <f>"20190303170550221"</f>
        <v>20190303170550221</v>
      </c>
      <c r="B2713" t="str">
        <f>"1551603950207410"</f>
        <v>1551603950207410</v>
      </c>
      <c r="C2713" t="s">
        <v>40</v>
      </c>
      <c r="D2713">
        <v>5.7032930000000004</v>
      </c>
      <c r="E2713">
        <v>0.45641359999999997</v>
      </c>
      <c r="F2713" t="s">
        <v>60</v>
      </c>
      <c r="G2713">
        <v>-442.93529999999998</v>
      </c>
      <c r="H2713" s="1">
        <v>-2.465401E-8</v>
      </c>
      <c r="I2713">
        <v>215.75790000000001</v>
      </c>
      <c r="J2713">
        <v>-470.83710000000002</v>
      </c>
      <c r="K2713">
        <v>1.1232009999999999</v>
      </c>
      <c r="L2713">
        <v>215.07550000000001</v>
      </c>
      <c r="M2713">
        <v>0.9834775</v>
      </c>
      <c r="N2713">
        <v>-1.306887E-2</v>
      </c>
      <c r="O2713">
        <v>-0.18055879999999999</v>
      </c>
      <c r="P2713">
        <v>0.97643769999999996</v>
      </c>
      <c r="Q2713">
        <v>0.19324640000000001</v>
      </c>
      <c r="R2713">
        <v>-9.6051339999999999E-2</v>
      </c>
      <c r="S2713">
        <v>3.1050719999999998</v>
      </c>
      <c r="T2713">
        <v>-0.1239421</v>
      </c>
      <c r="U2713">
        <v>7.0770260000000001E-2</v>
      </c>
      <c r="V2713">
        <v>-8.2746299999999995E-2</v>
      </c>
      <c r="W2713">
        <v>0.20564859999999999</v>
      </c>
      <c r="X2713">
        <v>0.97512140000000003</v>
      </c>
      <c r="Y2713">
        <v>-0.2026609</v>
      </c>
      <c r="Z2713">
        <v>1.017759E-2</v>
      </c>
      <c r="AA2713">
        <v>0.97919610000000001</v>
      </c>
      <c r="AB2713">
        <v>23</v>
      </c>
      <c r="AC2713">
        <v>27.901800000000001</v>
      </c>
      <c r="AD2713">
        <v>-1.1232010246540001</v>
      </c>
      <c r="AE2713">
        <v>0.68240000000000101</v>
      </c>
      <c r="AF2713">
        <v>-5.7002955672482196</v>
      </c>
      <c r="AG2713">
        <v>-1.1232010246540001</v>
      </c>
      <c r="AH2713">
        <v>27.275734613055299</v>
      </c>
      <c r="AI2713">
        <v>92.308265675846201</v>
      </c>
      <c r="AJ2713">
        <v>101.804222176707</v>
      </c>
      <c r="AK2713">
        <v>27.8876432990957</v>
      </c>
      <c r="AL2713">
        <v>78.132530146730801</v>
      </c>
      <c r="AM2713">
        <v>94.850352994172098</v>
      </c>
      <c r="AN2713">
        <v>1.0000000207918001</v>
      </c>
    </row>
    <row r="2714" spans="1:40" x14ac:dyDescent="0.25">
      <c r="A2714" t="str">
        <f>"20190303170550244"</f>
        <v>20190303170550244</v>
      </c>
      <c r="B2714" t="str">
        <f>"1551603950237667"</f>
        <v>1551603950237667</v>
      </c>
      <c r="C2714" t="s">
        <v>40</v>
      </c>
      <c r="D2714">
        <v>5.6215070000000003</v>
      </c>
      <c r="E2714">
        <v>0.45709070000000002</v>
      </c>
      <c r="F2714" t="s">
        <v>60</v>
      </c>
      <c r="G2714">
        <v>-444.14170000000001</v>
      </c>
      <c r="H2714" s="1">
        <v>6.1893730000000001E-7</v>
      </c>
      <c r="I2714">
        <v>215.7209</v>
      </c>
      <c r="J2714">
        <v>-470.60019999999997</v>
      </c>
      <c r="K2714">
        <v>1.123094</v>
      </c>
      <c r="L2714">
        <v>215.03569999999999</v>
      </c>
      <c r="M2714">
        <v>0.98402840000000003</v>
      </c>
      <c r="N2714">
        <v>-1.2985450000000001E-2</v>
      </c>
      <c r="O2714">
        <v>-0.1775371</v>
      </c>
      <c r="P2714">
        <v>0.97688960000000002</v>
      </c>
      <c r="Q2714">
        <v>0.191414</v>
      </c>
      <c r="R2714">
        <v>-9.511936E-2</v>
      </c>
      <c r="S2714">
        <v>3.1057130000000002</v>
      </c>
      <c r="T2714">
        <v>-0.13067210000000001</v>
      </c>
      <c r="U2714">
        <v>7.5088500000000002E-2</v>
      </c>
      <c r="V2714">
        <v>-8.06838E-2</v>
      </c>
      <c r="W2714">
        <v>0.20376949999999999</v>
      </c>
      <c r="X2714">
        <v>0.97568849999999996</v>
      </c>
      <c r="Y2714">
        <v>-0.20098050000000001</v>
      </c>
      <c r="Z2714">
        <v>1.0658620000000001E-2</v>
      </c>
      <c r="AA2714">
        <v>0.9795372</v>
      </c>
      <c r="AB2714">
        <v>23</v>
      </c>
      <c r="AC2714">
        <v>26.458499999999901</v>
      </c>
      <c r="AD2714">
        <v>-1.1230933810627</v>
      </c>
      <c r="AE2714">
        <v>0.68520000000000802</v>
      </c>
      <c r="AF2714">
        <v>-5.3624193223386696</v>
      </c>
      <c r="AG2714">
        <v>-1.1230933810627</v>
      </c>
      <c r="AH2714">
        <v>25.869872436554999</v>
      </c>
      <c r="AI2714">
        <v>92.434151346684203</v>
      </c>
      <c r="AJ2714">
        <v>101.710673876651</v>
      </c>
      <c r="AK2714">
        <v>26.4436604806295</v>
      </c>
      <c r="AL2714">
        <v>78.242523374204197</v>
      </c>
      <c r="AM2714">
        <v>94.727273847645506</v>
      </c>
      <c r="AN2714">
        <v>0.99999996687246895</v>
      </c>
    </row>
    <row r="2715" spans="1:40" x14ac:dyDescent="0.25">
      <c r="A2715" t="str">
        <f>"20190303170550265"</f>
        <v>20190303170550265</v>
      </c>
      <c r="B2715" t="str">
        <f>"1551603950257186"</f>
        <v>1551603950257186</v>
      </c>
      <c r="C2715" t="s">
        <v>40</v>
      </c>
      <c r="D2715">
        <v>5.6311479999999996</v>
      </c>
      <c r="E2715">
        <v>0.45716180000000001</v>
      </c>
      <c r="F2715" t="s">
        <v>60</v>
      </c>
      <c r="G2715">
        <v>-445.4307</v>
      </c>
      <c r="H2715" s="1">
        <v>1.3088000000000001E-6</v>
      </c>
      <c r="I2715">
        <v>215.6309</v>
      </c>
      <c r="J2715">
        <v>-470.38510000000002</v>
      </c>
      <c r="K2715">
        <v>1.1230199999999999</v>
      </c>
      <c r="L2715">
        <v>215.0001</v>
      </c>
      <c r="M2715">
        <v>0.98450210000000005</v>
      </c>
      <c r="N2715">
        <v>-1.28995E-2</v>
      </c>
      <c r="O2715">
        <v>-0.1748982</v>
      </c>
      <c r="P2715">
        <v>0.9769698</v>
      </c>
      <c r="Q2715">
        <v>0.1910087</v>
      </c>
      <c r="R2715">
        <v>-9.5109250000000006E-2</v>
      </c>
      <c r="S2715">
        <v>3.105286</v>
      </c>
      <c r="T2715">
        <v>-0.13856160000000001</v>
      </c>
      <c r="U2715">
        <v>7.3440549999999993E-2</v>
      </c>
      <c r="V2715">
        <v>-7.8052780000000002E-2</v>
      </c>
      <c r="W2715">
        <v>0.20330590000000001</v>
      </c>
      <c r="X2715">
        <v>0.97599919999999996</v>
      </c>
      <c r="Y2715">
        <v>-0.1978028</v>
      </c>
      <c r="Z2715">
        <v>1.119737E-2</v>
      </c>
      <c r="AA2715">
        <v>0.98017790000000005</v>
      </c>
      <c r="AB2715">
        <v>23</v>
      </c>
      <c r="AC2715">
        <v>24.9544</v>
      </c>
      <c r="AD2715">
        <v>-1.1230186912</v>
      </c>
      <c r="AE2715">
        <v>0.63079999999999303</v>
      </c>
      <c r="AF2715">
        <v>-4.9758470765235598</v>
      </c>
      <c r="AG2715">
        <v>-1.1230186912</v>
      </c>
      <c r="AH2715">
        <v>24.409961675138199</v>
      </c>
      <c r="AI2715">
        <v>92.581118572910597</v>
      </c>
      <c r="AJ2715">
        <v>101.52160058516201</v>
      </c>
      <c r="AK2715">
        <v>24.937250331410802</v>
      </c>
      <c r="AL2715">
        <v>78.269653792136097</v>
      </c>
      <c r="AM2715">
        <v>94.572337208378997</v>
      </c>
      <c r="AN2715">
        <v>0.99999998192058903</v>
      </c>
    </row>
    <row r="2716" spans="1:40" x14ac:dyDescent="0.25">
      <c r="A2716" t="str">
        <f>"20190303170550290"</f>
        <v>20190303170550290</v>
      </c>
      <c r="B2716" t="str">
        <f>"1551603950277683"</f>
        <v>1551603950277683</v>
      </c>
      <c r="C2716" t="s">
        <v>40</v>
      </c>
      <c r="D2716">
        <v>5.741657</v>
      </c>
      <c r="E2716">
        <v>0.45793080000000003</v>
      </c>
      <c r="F2716" t="s">
        <v>60</v>
      </c>
      <c r="G2716">
        <v>-446.0496</v>
      </c>
      <c r="H2716" s="1">
        <v>1.6405709999999899E-6</v>
      </c>
      <c r="I2716">
        <v>215.57570000000001</v>
      </c>
      <c r="J2716">
        <v>-470.1472</v>
      </c>
      <c r="K2716">
        <v>1.122978</v>
      </c>
      <c r="L2716">
        <v>214.96129999999999</v>
      </c>
      <c r="M2716">
        <v>0.98500489999999996</v>
      </c>
      <c r="N2716">
        <v>-1.2805530000000001E-2</v>
      </c>
      <c r="O2716">
        <v>-0.17205139999999999</v>
      </c>
      <c r="P2716">
        <v>0.97709860000000004</v>
      </c>
      <c r="Q2716">
        <v>0.19084380000000001</v>
      </c>
      <c r="R2716">
        <v>-9.4113660000000002E-2</v>
      </c>
      <c r="S2716">
        <v>3.105896</v>
      </c>
      <c r="T2716">
        <v>-0.14332879999999901</v>
      </c>
      <c r="U2716">
        <v>7.3471069999999999E-2</v>
      </c>
      <c r="V2716">
        <v>-7.6208460000000006E-2</v>
      </c>
      <c r="W2716">
        <v>0.203065</v>
      </c>
      <c r="X2716">
        <v>0.97619509999999998</v>
      </c>
      <c r="Y2716">
        <v>-0.1949543</v>
      </c>
      <c r="Z2716">
        <v>1.144391E-2</v>
      </c>
      <c r="AA2716">
        <v>0.9807456</v>
      </c>
      <c r="AB2716">
        <v>23</v>
      </c>
      <c r="AC2716">
        <v>24.0976</v>
      </c>
      <c r="AD2716">
        <v>-1.1229763594290001</v>
      </c>
      <c r="AE2716">
        <v>0.61440000000001704</v>
      </c>
      <c r="AF2716">
        <v>-4.74131180205499</v>
      </c>
      <c r="AG2716">
        <v>-1.1229763594290001</v>
      </c>
      <c r="AH2716">
        <v>23.581302139507301</v>
      </c>
      <c r="AI2716">
        <v>92.673034763651401</v>
      </c>
      <c r="AJ2716">
        <v>101.368447068153</v>
      </c>
      <c r="AK2716">
        <v>24.079429480427301</v>
      </c>
      <c r="AL2716">
        <v>78.283750593257693</v>
      </c>
      <c r="AM2716">
        <v>94.463846549673093</v>
      </c>
      <c r="AN2716">
        <v>0.99999999843229004</v>
      </c>
    </row>
    <row r="2717" spans="1:40" x14ac:dyDescent="0.25">
      <c r="A2717" t="str">
        <f>"20190303170550313"</f>
        <v>20190303170550313</v>
      </c>
      <c r="B2717" t="str">
        <f>"1551603950307938"</f>
        <v>1551603950307938</v>
      </c>
      <c r="C2717" t="s">
        <v>40</v>
      </c>
      <c r="D2717">
        <v>5.6218199999999996</v>
      </c>
      <c r="E2717">
        <v>0.45821650000000003</v>
      </c>
      <c r="F2717" t="s">
        <v>60</v>
      </c>
      <c r="G2717">
        <v>-445.7287</v>
      </c>
      <c r="H2717" s="1">
        <v>1.4724359999999901E-6</v>
      </c>
      <c r="I2717">
        <v>215.5153</v>
      </c>
      <c r="J2717">
        <v>-469.90289999999999</v>
      </c>
      <c r="K2717">
        <v>1.1229559999999901</v>
      </c>
      <c r="L2717">
        <v>214.9221</v>
      </c>
      <c r="M2717">
        <v>0.98550409999999999</v>
      </c>
      <c r="N2717">
        <v>-1.270776E-2</v>
      </c>
      <c r="O2717">
        <v>-0.16917460000000001</v>
      </c>
      <c r="P2717">
        <v>0.97709159999999995</v>
      </c>
      <c r="Q2717">
        <v>0.1915036</v>
      </c>
      <c r="R2717">
        <v>-9.2836089999999996E-2</v>
      </c>
      <c r="S2717">
        <v>3.1049799999999999</v>
      </c>
      <c r="T2717">
        <v>-0.14279439999999999</v>
      </c>
      <c r="U2717">
        <v>7.0449830000000005E-2</v>
      </c>
      <c r="V2717">
        <v>-7.4604530000000002E-2</v>
      </c>
      <c r="W2717">
        <v>0.2036384</v>
      </c>
      <c r="X2717">
        <v>0.97619959999999995</v>
      </c>
      <c r="Y2717">
        <v>-0.19115119999999999</v>
      </c>
      <c r="Z2717">
        <v>1.1203029999999999E-2</v>
      </c>
      <c r="AA2717">
        <v>0.9814967</v>
      </c>
      <c r="AB2717">
        <v>23</v>
      </c>
      <c r="AC2717">
        <v>24.1741999999999</v>
      </c>
      <c r="AD2717">
        <v>-1.1229545275639901</v>
      </c>
      <c r="AE2717">
        <v>0.59319999999999595</v>
      </c>
      <c r="AF2717">
        <v>-4.6645800480860098</v>
      </c>
      <c r="AG2717">
        <v>-1.1229545275639901</v>
      </c>
      <c r="AH2717">
        <v>23.6742815330106</v>
      </c>
      <c r="AI2717">
        <v>92.664552610621101</v>
      </c>
      <c r="AJ2717">
        <v>101.14630059116</v>
      </c>
      <c r="AK2717">
        <v>24.155557124608499</v>
      </c>
      <c r="AL2717">
        <v>78.250196669138703</v>
      </c>
      <c r="AM2717">
        <v>94.370245486657694</v>
      </c>
      <c r="AN2717">
        <v>1.00000004644561</v>
      </c>
    </row>
    <row r="2718" spans="1:40" x14ac:dyDescent="0.25">
      <c r="A2718" t="str">
        <f>"20190303170550334"</f>
        <v>20190303170550334</v>
      </c>
      <c r="B2718" t="str">
        <f>"1551603950327458"</f>
        <v>1551603950327458</v>
      </c>
      <c r="C2718" t="s">
        <v>40</v>
      </c>
      <c r="D2718">
        <v>5.6061310000000004</v>
      </c>
      <c r="E2718">
        <v>0.4585823</v>
      </c>
      <c r="F2718" t="s">
        <v>60</v>
      </c>
      <c r="G2718">
        <v>-445.09120000000001</v>
      </c>
      <c r="H2718" s="1">
        <v>1.1335010000000001E-6</v>
      </c>
      <c r="I2718">
        <v>215.5078</v>
      </c>
      <c r="J2718">
        <v>-469.69060000000002</v>
      </c>
      <c r="K2718">
        <v>1.1229439999999999</v>
      </c>
      <c r="L2718">
        <v>214.8886</v>
      </c>
      <c r="M2718">
        <v>0.98592729999999995</v>
      </c>
      <c r="N2718">
        <v>-1.2616570000000001E-2</v>
      </c>
      <c r="O2718">
        <v>-0.16669829999999999</v>
      </c>
      <c r="P2718">
        <v>0.97705419999999998</v>
      </c>
      <c r="Q2718">
        <v>0.1921197</v>
      </c>
      <c r="R2718">
        <v>-9.1954149999999998E-2</v>
      </c>
      <c r="S2718">
        <v>3.104797</v>
      </c>
      <c r="T2718">
        <v>-0.14052010000000001</v>
      </c>
      <c r="U2718">
        <v>7.3287959999999999E-2</v>
      </c>
      <c r="V2718">
        <v>-7.3009299999999999E-2</v>
      </c>
      <c r="W2718">
        <v>0.2041714</v>
      </c>
      <c r="X2718">
        <v>0.97620879999999999</v>
      </c>
      <c r="Y2718">
        <v>-0.1895975</v>
      </c>
      <c r="Z2718">
        <v>1.089302E-2</v>
      </c>
      <c r="AA2718">
        <v>0.98180149999999999</v>
      </c>
      <c r="AB2718">
        <v>23</v>
      </c>
      <c r="AC2718">
        <v>24.599399999999999</v>
      </c>
      <c r="AD2718">
        <v>-1.122942866499</v>
      </c>
      <c r="AE2718">
        <v>0.61920000000000597</v>
      </c>
      <c r="AF2718">
        <v>-4.7017474830210499</v>
      </c>
      <c r="AG2718">
        <v>-1.122942866499</v>
      </c>
      <c r="AH2718">
        <v>24.101728457491198</v>
      </c>
      <c r="AI2718">
        <v>92.618299176243596</v>
      </c>
      <c r="AJ2718">
        <v>101.038584145298</v>
      </c>
      <c r="AK2718">
        <v>24.581715658475801</v>
      </c>
      <c r="AL2718">
        <v>78.219001739798401</v>
      </c>
      <c r="AM2718">
        <v>94.277109177244498</v>
      </c>
      <c r="AN2718">
        <v>0.99999996983094397</v>
      </c>
    </row>
    <row r="2719" spans="1:40" x14ac:dyDescent="0.25">
      <c r="A2719" t="str">
        <f>"20190303170550353"</f>
        <v>20190303170550353</v>
      </c>
      <c r="B2719" t="str">
        <f>"1551603950346978"</f>
        <v>1551603950346978</v>
      </c>
      <c r="C2719" t="s">
        <v>40</v>
      </c>
      <c r="D2719">
        <v>5.5833089999999999</v>
      </c>
      <c r="E2719">
        <v>0.45874239999999999</v>
      </c>
      <c r="F2719" t="s">
        <v>60</v>
      </c>
      <c r="G2719">
        <v>-444.19240000000002</v>
      </c>
      <c r="H2719" s="1">
        <v>6.5571100000000001E-7</v>
      </c>
      <c r="I2719">
        <v>215.4966</v>
      </c>
      <c r="J2719">
        <v>-469.4941</v>
      </c>
      <c r="K2719">
        <v>1.122924</v>
      </c>
      <c r="L2719">
        <v>214.85810000000001</v>
      </c>
      <c r="M2719">
        <v>0.98631009999999997</v>
      </c>
      <c r="N2719">
        <v>-1.252991E-2</v>
      </c>
      <c r="O2719">
        <v>-0.16442519999999999</v>
      </c>
      <c r="P2719">
        <v>0.97726760000000001</v>
      </c>
      <c r="Q2719">
        <v>0.1917634</v>
      </c>
      <c r="R2719">
        <v>-9.0417109999999995E-2</v>
      </c>
      <c r="S2719">
        <v>3.1043400000000001</v>
      </c>
      <c r="T2719">
        <v>-0.1367157</v>
      </c>
      <c r="U2719">
        <v>7.4020390000000005E-2</v>
      </c>
      <c r="V2719">
        <v>-7.2300519999999993E-2</v>
      </c>
      <c r="W2719">
        <v>0.20373550000000001</v>
      </c>
      <c r="X2719">
        <v>0.97635260000000001</v>
      </c>
      <c r="Y2719">
        <v>-0.18759039999999999</v>
      </c>
      <c r="Z2719">
        <v>1.045452E-2</v>
      </c>
      <c r="AA2719">
        <v>0.9821917</v>
      </c>
      <c r="AB2719">
        <v>23</v>
      </c>
      <c r="AC2719">
        <v>25.301699999999901</v>
      </c>
      <c r="AD2719">
        <v>-1.1229233442890001</v>
      </c>
      <c r="AE2719">
        <v>0.63849999999999296</v>
      </c>
      <c r="AF2719">
        <v>-4.7809604379992097</v>
      </c>
      <c r="AG2719">
        <v>-1.1229233442890001</v>
      </c>
      <c r="AH2719">
        <v>24.803460154798898</v>
      </c>
      <c r="AI2719">
        <v>92.545382214869505</v>
      </c>
      <c r="AJ2719">
        <v>100.910171851369</v>
      </c>
      <c r="AK2719">
        <v>25.2849792405997</v>
      </c>
      <c r="AL2719">
        <v>78.244513082079195</v>
      </c>
      <c r="AM2719">
        <v>94.235116944305702</v>
      </c>
      <c r="AN2719">
        <v>0.99999995933963903</v>
      </c>
    </row>
    <row r="2720" spans="1:40" x14ac:dyDescent="0.25">
      <c r="A2720" t="str">
        <f>"20190303170550376"</f>
        <v>20190303170550376</v>
      </c>
      <c r="B2720" t="str">
        <f>"1551603950367475"</f>
        <v>1551603950367475</v>
      </c>
      <c r="C2720" t="s">
        <v>40</v>
      </c>
      <c r="D2720">
        <v>5.5691079999999999</v>
      </c>
      <c r="E2720">
        <v>0.4589047</v>
      </c>
      <c r="F2720" t="s">
        <v>60</v>
      </c>
      <c r="G2720">
        <v>-444.38799999999998</v>
      </c>
      <c r="H2720" s="1">
        <v>7.6005730000000004E-7</v>
      </c>
      <c r="I2720">
        <v>215.4907</v>
      </c>
      <c r="J2720">
        <v>-469.26209999999998</v>
      </c>
      <c r="K2720">
        <v>1.122895</v>
      </c>
      <c r="L2720">
        <v>214.82259999999999</v>
      </c>
      <c r="M2720">
        <v>0.98674919999999999</v>
      </c>
      <c r="N2720">
        <v>-1.2429910000000001E-2</v>
      </c>
      <c r="O2720">
        <v>-0.16177659999999999</v>
      </c>
      <c r="P2720">
        <v>0.97738709999999995</v>
      </c>
      <c r="Q2720">
        <v>0.19212689999999999</v>
      </c>
      <c r="R2720">
        <v>-8.8328030000000002E-2</v>
      </c>
      <c r="S2720">
        <v>3.104279</v>
      </c>
      <c r="T2720">
        <v>-0.1388451</v>
      </c>
      <c r="U2720">
        <v>7.8216549999999996E-2</v>
      </c>
      <c r="V2720">
        <v>-7.1745169999999997E-2</v>
      </c>
      <c r="W2720">
        <v>0.2040062</v>
      </c>
      <c r="X2720">
        <v>0.97633709999999996</v>
      </c>
      <c r="Y2720">
        <v>-0.1862732</v>
      </c>
      <c r="Z2720">
        <v>1.051681E-2</v>
      </c>
      <c r="AA2720">
        <v>0.98244169999999997</v>
      </c>
      <c r="AB2720">
        <v>23</v>
      </c>
      <c r="AC2720">
        <v>24.874099999999899</v>
      </c>
      <c r="AD2720">
        <v>-1.1228942399427</v>
      </c>
      <c r="AE2720">
        <v>0.66810000000000902</v>
      </c>
      <c r="AF2720">
        <v>-4.6741373773852803</v>
      </c>
      <c r="AG2720">
        <v>-1.1228942399427</v>
      </c>
      <c r="AH2720">
        <v>24.388635622823301</v>
      </c>
      <c r="AI2720">
        <v>92.589078871365601</v>
      </c>
      <c r="AJ2720">
        <v>100.849308983765</v>
      </c>
      <c r="AK2720">
        <v>24.8578760001657</v>
      </c>
      <c r="AL2720">
        <v>78.228671058045904</v>
      </c>
      <c r="AM2720">
        <v>94.202769931288202</v>
      </c>
      <c r="AN2720">
        <v>1.0000000159465801</v>
      </c>
    </row>
    <row r="2721" spans="1:40" x14ac:dyDescent="0.25">
      <c r="A2721" t="str">
        <f>"20190303170550398"</f>
        <v>20190303170550398</v>
      </c>
      <c r="B2721" t="str">
        <f>"1551603950386998"</f>
        <v>1551603950386998</v>
      </c>
      <c r="C2721" t="s">
        <v>40</v>
      </c>
      <c r="D2721">
        <v>5.6230599999999997</v>
      </c>
      <c r="E2721">
        <v>0.45926109999999998</v>
      </c>
      <c r="F2721" t="s">
        <v>60</v>
      </c>
      <c r="G2721">
        <v>-444.25069999999999</v>
      </c>
      <c r="H2721" s="1">
        <v>6.8670400000000003E-7</v>
      </c>
      <c r="I2721">
        <v>215.49770000000001</v>
      </c>
      <c r="J2721">
        <v>-469.03620000000001</v>
      </c>
      <c r="K2721">
        <v>1.122852</v>
      </c>
      <c r="L2721">
        <v>214.7885</v>
      </c>
      <c r="M2721">
        <v>0.98715949999999997</v>
      </c>
      <c r="N2721">
        <v>-1.233571E-2</v>
      </c>
      <c r="O2721">
        <v>-0.15926119999999999</v>
      </c>
      <c r="P2721">
        <v>0.97747729999999999</v>
      </c>
      <c r="Q2721">
        <v>0.192609</v>
      </c>
      <c r="R2721">
        <v>-8.6256299999999994E-2</v>
      </c>
      <c r="S2721">
        <v>3.1043699999999999</v>
      </c>
      <c r="T2721">
        <v>-0.13937189999999999</v>
      </c>
      <c r="U2721">
        <v>8.3801269999999997E-2</v>
      </c>
      <c r="V2721">
        <v>-7.1291709999999994E-2</v>
      </c>
      <c r="W2721">
        <v>0.2044039</v>
      </c>
      <c r="X2721">
        <v>0.97628709999999996</v>
      </c>
      <c r="Y2721">
        <v>-0.18553420000000001</v>
      </c>
      <c r="Z2721">
        <v>1.046452E-2</v>
      </c>
      <c r="AA2721">
        <v>0.98258210000000001</v>
      </c>
      <c r="AB2721">
        <v>23</v>
      </c>
      <c r="AC2721">
        <v>24.785499999999999</v>
      </c>
      <c r="AD2721">
        <v>-1.1228513132960001</v>
      </c>
      <c r="AE2721">
        <v>0.70920000000000905</v>
      </c>
      <c r="AF2721">
        <v>-4.6383036333896701</v>
      </c>
      <c r="AG2721">
        <v>-1.1228513132960001</v>
      </c>
      <c r="AH2721">
        <v>24.306300816547001</v>
      </c>
      <c r="AI2721">
        <v>92.598132816410697</v>
      </c>
      <c r="AJ2721">
        <v>100.803704557727</v>
      </c>
      <c r="AK2721">
        <v>24.7703636439145</v>
      </c>
      <c r="AL2721">
        <v>78.205393629649294</v>
      </c>
      <c r="AM2721">
        <v>94.1765140513874</v>
      </c>
      <c r="AN2721">
        <v>0.99999998193817097</v>
      </c>
    </row>
    <row r="2722" spans="1:40" x14ac:dyDescent="0.25">
      <c r="A2722" t="str">
        <f>"20190303170550421"</f>
        <v>20190303170550421</v>
      </c>
      <c r="B2722" t="str">
        <f>"1551603950417250"</f>
        <v>1551603950417250</v>
      </c>
      <c r="C2722" t="s">
        <v>40</v>
      </c>
      <c r="D2722">
        <v>5.6090099999999996</v>
      </c>
      <c r="E2722">
        <v>0.45983459999999998</v>
      </c>
      <c r="F2722" t="s">
        <v>60</v>
      </c>
      <c r="G2722">
        <v>-443.59370000000001</v>
      </c>
      <c r="H2722" s="1">
        <v>3.3675749999999999E-7</v>
      </c>
      <c r="I2722">
        <v>215.5052</v>
      </c>
      <c r="J2722">
        <v>-468.80560000000003</v>
      </c>
      <c r="K2722">
        <v>1.1227769999999999</v>
      </c>
      <c r="L2722">
        <v>214.7543</v>
      </c>
      <c r="M2722">
        <v>0.98755680000000001</v>
      </c>
      <c r="N2722">
        <v>-1.2237670000000001E-2</v>
      </c>
      <c r="O2722">
        <v>-0.1567868</v>
      </c>
      <c r="P2722">
        <v>0.97752249999999996</v>
      </c>
      <c r="Q2722">
        <v>0.19335840000000001</v>
      </c>
      <c r="R2722">
        <v>-8.4038290000000002E-2</v>
      </c>
      <c r="S2722">
        <v>3.1038510000000001</v>
      </c>
      <c r="T2722">
        <v>-0.1369822</v>
      </c>
      <c r="U2722">
        <v>8.7432860000000001E-2</v>
      </c>
      <c r="V2722">
        <v>-7.100745E-2</v>
      </c>
      <c r="W2722">
        <v>0.20506759999999999</v>
      </c>
      <c r="X2722">
        <v>0.97616860000000005</v>
      </c>
      <c r="Y2722">
        <v>-0.18423829999999999</v>
      </c>
      <c r="Z2722">
        <v>1.016539E-2</v>
      </c>
      <c r="AA2722">
        <v>0.98282899999999995</v>
      </c>
      <c r="AB2722">
        <v>23</v>
      </c>
      <c r="AC2722">
        <v>25.2119</v>
      </c>
      <c r="AD2722">
        <v>-1.1227766632425</v>
      </c>
      <c r="AE2722">
        <v>0.75090000000000101</v>
      </c>
      <c r="AF2722">
        <v>-4.6855161196154</v>
      </c>
      <c r="AG2722">
        <v>-1.1227766632425</v>
      </c>
      <c r="AH2722">
        <v>24.733295579662801</v>
      </c>
      <c r="AI2722">
        <v>92.553817469691097</v>
      </c>
      <c r="AJ2722">
        <v>100.727087012973</v>
      </c>
      <c r="AK2722">
        <v>25.198226107678</v>
      </c>
      <c r="AL2722">
        <v>78.166543168767205</v>
      </c>
      <c r="AM2722">
        <v>94.160422910226302</v>
      </c>
      <c r="AN2722">
        <v>0.99999995707560996</v>
      </c>
    </row>
    <row r="2723" spans="1:40" x14ac:dyDescent="0.25">
      <c r="A2723" t="str">
        <f>"20190303170550442"</f>
        <v>20190303170550442</v>
      </c>
      <c r="B2723" t="str">
        <f>"1551603950437746"</f>
        <v>1551603950437746</v>
      </c>
      <c r="C2723" t="s">
        <v>40</v>
      </c>
      <c r="D2723">
        <v>5.6001659999999998</v>
      </c>
      <c r="E2723">
        <v>0.45996330000000002</v>
      </c>
      <c r="F2723" t="s">
        <v>60</v>
      </c>
      <c r="G2723">
        <v>-442.49680000000001</v>
      </c>
      <c r="H2723" s="1">
        <v>-2.4789809999999998E-7</v>
      </c>
      <c r="I2723">
        <v>215.52610000000001</v>
      </c>
      <c r="J2723">
        <v>-468.59059999999999</v>
      </c>
      <c r="K2723">
        <v>1.12269</v>
      </c>
      <c r="L2723">
        <v>214.7227</v>
      </c>
      <c r="M2723">
        <v>0.98790290000000003</v>
      </c>
      <c r="N2723">
        <v>-1.2141890000000001E-2</v>
      </c>
      <c r="O2723">
        <v>-0.1545985</v>
      </c>
      <c r="P2723">
        <v>0.97768270000000002</v>
      </c>
      <c r="Q2723">
        <v>0.19365589999999999</v>
      </c>
      <c r="R2723">
        <v>-8.1450919999999996E-2</v>
      </c>
      <c r="S2723">
        <v>3.1029659999999999</v>
      </c>
      <c r="T2723">
        <v>-0.13242470000000001</v>
      </c>
      <c r="U2723">
        <v>9.1033939999999994E-2</v>
      </c>
      <c r="V2723">
        <v>-7.1381650000000005E-2</v>
      </c>
      <c r="W2723">
        <v>0.20528279999999999</v>
      </c>
      <c r="X2723">
        <v>0.97609619999999997</v>
      </c>
      <c r="Y2723">
        <v>-0.18323059999999999</v>
      </c>
      <c r="Z2723">
        <v>9.716901E-3</v>
      </c>
      <c r="AA2723">
        <v>0.9830219</v>
      </c>
      <c r="AB2723">
        <v>23</v>
      </c>
      <c r="AC2723">
        <v>26.093799999999899</v>
      </c>
      <c r="AD2723">
        <v>-1.1226902478981</v>
      </c>
      <c r="AE2723">
        <v>0.80340000000001</v>
      </c>
      <c r="AF2723">
        <v>-4.8191861411521497</v>
      </c>
      <c r="AG2723">
        <v>-1.1226902478981</v>
      </c>
      <c r="AH2723">
        <v>25.608463525365501</v>
      </c>
      <c r="AI2723">
        <v>92.467024411959102</v>
      </c>
      <c r="AJ2723">
        <v>100.65768934165899</v>
      </c>
      <c r="AK2723">
        <v>26.082147008744698</v>
      </c>
      <c r="AL2723">
        <v>78.153946570521597</v>
      </c>
      <c r="AM2723">
        <v>94.182579312944299</v>
      </c>
      <c r="AN2723">
        <v>1.00000007979349</v>
      </c>
    </row>
    <row r="2724" spans="1:40" x14ac:dyDescent="0.25">
      <c r="A2724" t="str">
        <f>"20190303170550467"</f>
        <v>20190303170550467</v>
      </c>
      <c r="B2724" t="str">
        <f>"1551603950457266"</f>
        <v>1551603950457266</v>
      </c>
      <c r="C2724" t="s">
        <v>40</v>
      </c>
      <c r="D2724">
        <v>5.5057330000000002</v>
      </c>
      <c r="E2724">
        <v>0.46012039999999998</v>
      </c>
      <c r="F2724" t="s">
        <v>60</v>
      </c>
      <c r="G2724">
        <v>-442.22620000000001</v>
      </c>
      <c r="H2724" s="1">
        <v>-3.9341210000000002E-7</v>
      </c>
      <c r="I2724">
        <v>215.56120000000001</v>
      </c>
      <c r="J2724">
        <v>-468.35019999999997</v>
      </c>
      <c r="K2724">
        <v>1.1225750000000001</v>
      </c>
      <c r="L2724">
        <v>214.68790000000001</v>
      </c>
      <c r="M2724">
        <v>0.98825819999999998</v>
      </c>
      <c r="N2724">
        <v>-1.2037000000000001E-2</v>
      </c>
      <c r="O2724">
        <v>-0.1523185</v>
      </c>
      <c r="P2724">
        <v>0.97794000000000003</v>
      </c>
      <c r="Q2724">
        <v>0.1935558</v>
      </c>
      <c r="R2724">
        <v>-7.8549530000000006E-2</v>
      </c>
      <c r="S2724">
        <v>3.1029049999999998</v>
      </c>
      <c r="T2724">
        <v>-0.13213279999999999</v>
      </c>
      <c r="U2724">
        <v>9.8678589999999997E-2</v>
      </c>
      <c r="V2724">
        <v>-7.197887E-2</v>
      </c>
      <c r="W2724">
        <v>0.20509559999999999</v>
      </c>
      <c r="X2724">
        <v>0.97609159999999995</v>
      </c>
      <c r="Y2724">
        <v>-0.1833843</v>
      </c>
      <c r="Z2724">
        <v>9.6363349999999993E-3</v>
      </c>
      <c r="AA2724">
        <v>0.98299409999999998</v>
      </c>
      <c r="AB2724">
        <v>23</v>
      </c>
      <c r="AC2724">
        <v>26.123999999999899</v>
      </c>
      <c r="AD2724">
        <v>-1.1225753934121001</v>
      </c>
      <c r="AE2724">
        <v>0.87329999999999997</v>
      </c>
      <c r="AF2724">
        <v>-4.8336495860386002</v>
      </c>
      <c r="AG2724">
        <v>-1.1225753934121001</v>
      </c>
      <c r="AH2724">
        <v>25.6388078003001</v>
      </c>
      <c r="AI2724">
        <v>92.463703626584604</v>
      </c>
      <c r="AJ2724">
        <v>100.676579800743</v>
      </c>
      <c r="AK2724">
        <v>26.1146091154977</v>
      </c>
      <c r="AL2724">
        <v>78.164904409162105</v>
      </c>
      <c r="AM2724">
        <v>94.217467239877195</v>
      </c>
      <c r="AN2724">
        <v>0.99999998722819805</v>
      </c>
    </row>
    <row r="2725" spans="1:40" x14ac:dyDescent="0.25">
      <c r="A2725" t="str">
        <f>"20190303170550489"</f>
        <v>20190303170550489</v>
      </c>
      <c r="B2725" t="str">
        <f>"1551603950477763"</f>
        <v>1551603950477763</v>
      </c>
      <c r="C2725" t="s">
        <v>40</v>
      </c>
      <c r="D2725">
        <v>5.6306279999999997</v>
      </c>
      <c r="E2725">
        <v>0.46036899999999997</v>
      </c>
      <c r="F2725" t="s">
        <v>60</v>
      </c>
      <c r="G2725">
        <v>-442.2124</v>
      </c>
      <c r="H2725" s="1">
        <v>-4.0192889999999998E-7</v>
      </c>
      <c r="I2725">
        <v>215.58770000000001</v>
      </c>
      <c r="J2725">
        <v>-468.10910000000001</v>
      </c>
      <c r="K2725">
        <v>1.122457</v>
      </c>
      <c r="L2725">
        <v>214.6533</v>
      </c>
      <c r="M2725">
        <v>0.98858270000000004</v>
      </c>
      <c r="N2725">
        <v>-1.1936159999999999E-2</v>
      </c>
      <c r="O2725">
        <v>-0.15020549999999999</v>
      </c>
      <c r="P2725">
        <v>0.97828510000000002</v>
      </c>
      <c r="Q2725">
        <v>0.19276080000000001</v>
      </c>
      <c r="R2725">
        <v>-7.6165659999999996E-2</v>
      </c>
      <c r="S2725">
        <v>3.1026609999999999</v>
      </c>
      <c r="T2725">
        <v>-0.13325429999999999</v>
      </c>
      <c r="U2725">
        <v>0.1068115</v>
      </c>
      <c r="V2725">
        <v>-7.2241379999999994E-2</v>
      </c>
      <c r="W2725">
        <v>0.20422090000000001</v>
      </c>
      <c r="X2725">
        <v>0.9762556</v>
      </c>
      <c r="Y2725">
        <v>-0.1838545</v>
      </c>
      <c r="Z2725">
        <v>9.6796160000000003E-3</v>
      </c>
      <c r="AA2725">
        <v>0.98290580000000005</v>
      </c>
      <c r="AB2725">
        <v>23</v>
      </c>
      <c r="AC2725">
        <v>25.896699999999999</v>
      </c>
      <c r="AD2725">
        <v>-1.1224574019289</v>
      </c>
      <c r="AE2725">
        <v>0.93440000000001</v>
      </c>
      <c r="AF2725">
        <v>-4.8048865096486102</v>
      </c>
      <c r="AG2725">
        <v>-1.1224574019289</v>
      </c>
      <c r="AH2725">
        <v>25.414808529367999</v>
      </c>
      <c r="AI2725">
        <v>92.484890283122397</v>
      </c>
      <c r="AJ2725">
        <v>100.705895689445</v>
      </c>
      <c r="AK2725">
        <v>25.8893672687106</v>
      </c>
      <c r="AL2725">
        <v>78.216104852848503</v>
      </c>
      <c r="AM2725">
        <v>94.232084242091503</v>
      </c>
      <c r="AN2725">
        <v>0.99999999475623702</v>
      </c>
    </row>
    <row r="2726" spans="1:40" x14ac:dyDescent="0.25">
      <c r="A2726" t="str">
        <f>"20190303170550512"</f>
        <v>20190303170550512</v>
      </c>
      <c r="B2726" t="str">
        <f>"1551603950507043"</f>
        <v>1551603950507043</v>
      </c>
      <c r="C2726" t="s">
        <v>40</v>
      </c>
      <c r="D2726">
        <v>5.6182470000000002</v>
      </c>
      <c r="E2726">
        <v>0.46078960000000002</v>
      </c>
      <c r="F2726" t="s">
        <v>60</v>
      </c>
      <c r="G2726">
        <v>-442.51830000000001</v>
      </c>
      <c r="H2726" s="1">
        <v>-2.392808E-7</v>
      </c>
      <c r="I2726">
        <v>215.59100000000001</v>
      </c>
      <c r="J2726">
        <v>-467.87939999999998</v>
      </c>
      <c r="K2726">
        <v>1.1223639999999999</v>
      </c>
      <c r="L2726">
        <v>214.6207</v>
      </c>
      <c r="M2726">
        <v>0.98886799999999997</v>
      </c>
      <c r="N2726">
        <v>-1.1841859999999999E-2</v>
      </c>
      <c r="O2726">
        <v>-0.14832390000000001</v>
      </c>
      <c r="P2726">
        <v>0.97852439999999996</v>
      </c>
      <c r="Q2726">
        <v>0.1922423</v>
      </c>
      <c r="R2726">
        <v>-7.4384690000000003E-2</v>
      </c>
      <c r="S2726">
        <v>3.1022340000000002</v>
      </c>
      <c r="T2726">
        <v>-0.1360692</v>
      </c>
      <c r="U2726">
        <v>0.113678</v>
      </c>
      <c r="V2726">
        <v>-7.2134139999999999E-2</v>
      </c>
      <c r="W2726">
        <v>0.20362620000000001</v>
      </c>
      <c r="X2726">
        <v>0.97638769999999997</v>
      </c>
      <c r="Y2726">
        <v>-0.18414910000000001</v>
      </c>
      <c r="Z2726">
        <v>9.8544389999999996E-3</v>
      </c>
      <c r="AA2726">
        <v>0.98284890000000003</v>
      </c>
      <c r="AB2726">
        <v>23</v>
      </c>
      <c r="AC2726">
        <v>25.361099999999901</v>
      </c>
      <c r="AD2726">
        <v>-1.1223642392808</v>
      </c>
      <c r="AE2726">
        <v>0.97029999999997996</v>
      </c>
      <c r="AF2726">
        <v>-4.71227096996064</v>
      </c>
      <c r="AG2726">
        <v>-1.1223642392808</v>
      </c>
      <c r="AH2726">
        <v>24.887935754135299</v>
      </c>
      <c r="AI2726">
        <v>92.537086487099103</v>
      </c>
      <c r="AJ2726">
        <v>100.721441055097</v>
      </c>
      <c r="AK2726">
        <v>25.354970819977598</v>
      </c>
      <c r="AL2726">
        <v>78.250909512741998</v>
      </c>
      <c r="AM2726">
        <v>94.225254963905599</v>
      </c>
      <c r="AN2726">
        <v>0.99999995209563297</v>
      </c>
    </row>
    <row r="2727" spans="1:40" x14ac:dyDescent="0.25">
      <c r="A2727" t="str">
        <f>"20190303170550532"</f>
        <v>20190303170550532</v>
      </c>
      <c r="B2727" t="str">
        <f>"1551603950527539"</f>
        <v>1551603950527539</v>
      </c>
      <c r="C2727" t="s">
        <v>40</v>
      </c>
      <c r="D2727">
        <v>5.6365410000000002</v>
      </c>
      <c r="E2727">
        <v>0.46118910000000002</v>
      </c>
      <c r="F2727" t="s">
        <v>60</v>
      </c>
      <c r="G2727">
        <v>-443.05200000000002</v>
      </c>
      <c r="H2727" s="1">
        <v>4.665858E-8</v>
      </c>
      <c r="I2727">
        <v>215.547</v>
      </c>
      <c r="J2727">
        <v>-467.67140000000001</v>
      </c>
      <c r="K2727">
        <v>1.1223000000000001</v>
      </c>
      <c r="L2727">
        <v>214.59139999999999</v>
      </c>
      <c r="M2727">
        <v>0.98910889999999996</v>
      </c>
      <c r="N2727">
        <v>-1.1751630000000001E-2</v>
      </c>
      <c r="O2727">
        <v>-0.14671600000000001</v>
      </c>
      <c r="P2727">
        <v>0.97851790000000005</v>
      </c>
      <c r="Q2727">
        <v>0.1927672</v>
      </c>
      <c r="R2727">
        <v>-7.3102239999999999E-2</v>
      </c>
      <c r="S2727">
        <v>3.1022340000000002</v>
      </c>
      <c r="T2727">
        <v>-0.14024159999999999</v>
      </c>
      <c r="U2727">
        <v>0.1157532</v>
      </c>
      <c r="V2727">
        <v>-7.1784189999999998E-2</v>
      </c>
      <c r="W2727">
        <v>0.20407249999999999</v>
      </c>
      <c r="X2727">
        <v>0.97632039999999998</v>
      </c>
      <c r="Y2727">
        <v>-0.18319070000000001</v>
      </c>
      <c r="Z2727">
        <v>1.0101550000000001E-2</v>
      </c>
      <c r="AA2727">
        <v>0.9830255</v>
      </c>
      <c r="AB2727">
        <v>23</v>
      </c>
      <c r="AC2727">
        <v>24.619399999999999</v>
      </c>
      <c r="AD2727">
        <v>-1.12229995334142</v>
      </c>
      <c r="AE2727">
        <v>0.955600000000004</v>
      </c>
      <c r="AF2727">
        <v>-4.5481296621188303</v>
      </c>
      <c r="AG2727">
        <v>-1.12229995334142</v>
      </c>
      <c r="AH2727">
        <v>24.162600209251298</v>
      </c>
      <c r="AI2727">
        <v>92.6135213819515</v>
      </c>
      <c r="AJ2727">
        <v>100.66006318667699</v>
      </c>
      <c r="AK2727">
        <v>24.6125230214382</v>
      </c>
      <c r="AL2727">
        <v>78.224790995164</v>
      </c>
      <c r="AM2727">
        <v>94.205119161680997</v>
      </c>
      <c r="AN2727">
        <v>1.00000003932318</v>
      </c>
    </row>
    <row r="2728" spans="1:40" x14ac:dyDescent="0.25">
      <c r="A2728" t="str">
        <f>"20190303170550555"</f>
        <v>20190303170550555</v>
      </c>
      <c r="B2728" t="str">
        <f>"1551603950547058"</f>
        <v>1551603950547058</v>
      </c>
      <c r="C2728" t="s">
        <v>40</v>
      </c>
      <c r="D2728">
        <v>5.7220500000000003</v>
      </c>
      <c r="E2728">
        <v>0.46159440000000002</v>
      </c>
      <c r="F2728" t="s">
        <v>60</v>
      </c>
      <c r="G2728">
        <v>-442.67070000000001</v>
      </c>
      <c r="H2728" s="1">
        <v>-1.55336999999999E-7</v>
      </c>
      <c r="I2728">
        <v>215.52600000000001</v>
      </c>
      <c r="J2728">
        <v>-467.43849999999998</v>
      </c>
      <c r="K2728">
        <v>1.122252</v>
      </c>
      <c r="L2728">
        <v>214.55889999999999</v>
      </c>
      <c r="M2728">
        <v>0.98936360000000001</v>
      </c>
      <c r="N2728">
        <v>-1.164484E-2</v>
      </c>
      <c r="O2728">
        <v>-0.14499799999999999</v>
      </c>
      <c r="P2728">
        <v>0.97858889999999998</v>
      </c>
      <c r="Q2728">
        <v>0.19266620000000001</v>
      </c>
      <c r="R2728">
        <v>-7.2416510000000003E-2</v>
      </c>
      <c r="S2728">
        <v>3.1019589999999999</v>
      </c>
      <c r="T2728">
        <v>-0.13924929999999999</v>
      </c>
      <c r="U2728">
        <v>0.11596679999999999</v>
      </c>
      <c r="V2728">
        <v>-7.0752640000000006E-2</v>
      </c>
      <c r="W2728">
        <v>0.20387739999999999</v>
      </c>
      <c r="X2728">
        <v>0.97643639999999998</v>
      </c>
      <c r="Y2728">
        <v>-0.18156120000000001</v>
      </c>
      <c r="Z2728">
        <v>9.92993E-3</v>
      </c>
      <c r="AA2728">
        <v>0.98332949999999997</v>
      </c>
      <c r="AB2728">
        <v>23</v>
      </c>
      <c r="AC2728">
        <v>24.767799999999902</v>
      </c>
      <c r="AD2728">
        <v>-1.122252155337</v>
      </c>
      <c r="AE2728">
        <v>0.96709999999998797</v>
      </c>
      <c r="AF2728">
        <v>-4.5390976439374597</v>
      </c>
      <c r="AG2728">
        <v>-1.122252155337</v>
      </c>
      <c r="AH2728">
        <v>24.315933384515301</v>
      </c>
      <c r="AI2728">
        <v>92.597685007624307</v>
      </c>
      <c r="AJ2728">
        <v>100.573804423643</v>
      </c>
      <c r="AK2728">
        <v>24.761410979214102</v>
      </c>
      <c r="AL2728">
        <v>78.236208834877999</v>
      </c>
      <c r="AM2728">
        <v>94.144412383851503</v>
      </c>
      <c r="AN2728">
        <v>0.99999998677134405</v>
      </c>
    </row>
    <row r="2729" spans="1:40" x14ac:dyDescent="0.25">
      <c r="A2729" t="str">
        <f>"20190303170550642"</f>
        <v>20190303170550642</v>
      </c>
      <c r="B2729" t="str">
        <f>"1551603950637827"</f>
        <v>1551603950637827</v>
      </c>
      <c r="C2729" t="s">
        <v>40</v>
      </c>
      <c r="D2729">
        <v>5.3924159999999999</v>
      </c>
      <c r="E2729">
        <v>0.46271600000000002</v>
      </c>
      <c r="F2729" t="s">
        <v>60</v>
      </c>
      <c r="G2729">
        <v>-442.57409999999999</v>
      </c>
      <c r="H2729" s="1">
        <v>-2.0484020000000001E-7</v>
      </c>
      <c r="I2729">
        <v>215.48230000000001</v>
      </c>
      <c r="J2729">
        <v>-466.5455</v>
      </c>
      <c r="K2729">
        <v>1.1222000000000001</v>
      </c>
      <c r="L2729">
        <v>214.43780000000001</v>
      </c>
      <c r="M2729">
        <v>0.99029540000000005</v>
      </c>
      <c r="N2729">
        <v>-1.119873E-2</v>
      </c>
      <c r="O2729">
        <v>-0.1385267</v>
      </c>
      <c r="P2729">
        <v>0.97920609999999997</v>
      </c>
      <c r="Q2729">
        <v>0.1914565</v>
      </c>
      <c r="R2729">
        <v>-6.7080909999999994E-2</v>
      </c>
      <c r="S2729">
        <v>3.1017760000000001</v>
      </c>
      <c r="T2729">
        <v>-0.13999809999999999</v>
      </c>
      <c r="U2729">
        <v>0.1151886</v>
      </c>
      <c r="V2729">
        <v>-6.9728789999999999E-2</v>
      </c>
      <c r="W2729">
        <v>0.20223440000000001</v>
      </c>
      <c r="X2729">
        <v>0.97685160000000004</v>
      </c>
      <c r="Y2729">
        <v>-0.17489179999999999</v>
      </c>
      <c r="Z2729">
        <v>9.6066799999999994E-3</v>
      </c>
      <c r="AA2729">
        <v>0.98454079999999999</v>
      </c>
      <c r="AB2729">
        <v>23</v>
      </c>
      <c r="AC2729">
        <v>23.971399999999999</v>
      </c>
      <c r="AD2729">
        <v>-1.1222002048402</v>
      </c>
      <c r="AE2729">
        <v>1.04449999999999</v>
      </c>
      <c r="AF2729">
        <v>-4.3458094465996</v>
      </c>
      <c r="AG2729">
        <v>-1.1222002048402</v>
      </c>
      <c r="AH2729">
        <v>23.544054703069701</v>
      </c>
      <c r="AI2729">
        <v>92.6836068611222</v>
      </c>
      <c r="AJ2729">
        <v>100.458061073956</v>
      </c>
      <c r="AK2729">
        <v>23.968060098953199</v>
      </c>
      <c r="AL2729">
        <v>78.332348276923497</v>
      </c>
      <c r="AM2729">
        <v>94.082913480996595</v>
      </c>
      <c r="AN2729">
        <v>0.99999995256039098</v>
      </c>
    </row>
    <row r="2730" spans="1:40" x14ac:dyDescent="0.25">
      <c r="A2730" t="str">
        <f>"20190303170550665"</f>
        <v>20190303170550665</v>
      </c>
      <c r="B2730" t="str">
        <f>"1551603950657992"</f>
        <v>1551603950657992</v>
      </c>
      <c r="C2730" t="s">
        <v>40</v>
      </c>
      <c r="D2730">
        <v>6.0015780000000003</v>
      </c>
      <c r="E2730">
        <v>0.51674809999999904</v>
      </c>
      <c r="F2730" t="s">
        <v>60</v>
      </c>
      <c r="G2730">
        <v>-443.08100000000002</v>
      </c>
      <c r="H2730" s="1">
        <v>6.85521099999999E-8</v>
      </c>
      <c r="I2730">
        <v>215.39879999999999</v>
      </c>
      <c r="J2730">
        <v>-466.30029999999999</v>
      </c>
      <c r="K2730">
        <v>1.122223</v>
      </c>
      <c r="L2730">
        <v>214.4057</v>
      </c>
      <c r="M2730">
        <v>0.99056080000000002</v>
      </c>
      <c r="N2730">
        <v>-1.1068649999999999E-2</v>
      </c>
      <c r="O2730">
        <v>-0.1366262</v>
      </c>
      <c r="P2730">
        <v>0.97954699999999995</v>
      </c>
      <c r="Q2730">
        <v>0.19031809999999999</v>
      </c>
      <c r="R2730">
        <v>-6.5321389999999993E-2</v>
      </c>
      <c r="S2730">
        <v>3.10141</v>
      </c>
      <c r="T2730">
        <v>-0.1483264</v>
      </c>
      <c r="U2730">
        <v>0.12701419999999999</v>
      </c>
      <c r="V2730">
        <v>-6.9660760000000002E-2</v>
      </c>
      <c r="W2730">
        <v>0.20096349999999999</v>
      </c>
      <c r="X2730">
        <v>0.97711870000000001</v>
      </c>
      <c r="Y2730">
        <v>-0.1767157</v>
      </c>
      <c r="Z2730">
        <v>1.0204120000000001E-2</v>
      </c>
      <c r="AA2730">
        <v>0.98420909999999995</v>
      </c>
      <c r="AB2730">
        <v>23</v>
      </c>
      <c r="AC2730">
        <v>23.2193</v>
      </c>
      <c r="AD2730">
        <v>-1.12222293144789</v>
      </c>
      <c r="AE2730">
        <v>0.99309999999999798</v>
      </c>
      <c r="AF2730">
        <v>-4.1466767482943601</v>
      </c>
      <c r="AG2730">
        <v>-1.12222293144789</v>
      </c>
      <c r="AH2730">
        <v>22.812654942191099</v>
      </c>
      <c r="AI2730">
        <v>92.770948516831197</v>
      </c>
      <c r="AJ2730">
        <v>100.302223912974</v>
      </c>
      <c r="AK2730">
        <v>23.213606739888299</v>
      </c>
      <c r="AL2730">
        <v>78.406691896110203</v>
      </c>
      <c r="AM2730">
        <v>94.077832254391694</v>
      </c>
      <c r="AN2730">
        <v>0.99999995185285695</v>
      </c>
    </row>
    <row r="2731" spans="1:40" x14ac:dyDescent="0.25">
      <c r="A2731" t="str">
        <f>"20190303170550691"</f>
        <v>20190303170550691</v>
      </c>
      <c r="B2731" t="str">
        <f>"1551603950687272"</f>
        <v>1551603950687272</v>
      </c>
      <c r="C2731" t="s">
        <v>40</v>
      </c>
      <c r="D2731">
        <v>5.6175680000000003</v>
      </c>
      <c r="E2731">
        <v>0.51277379999999995</v>
      </c>
      <c r="F2731" t="s">
        <v>60</v>
      </c>
      <c r="G2731">
        <v>-454.1696</v>
      </c>
      <c r="H2731" s="1">
        <v>7.4108419999999995E-7</v>
      </c>
      <c r="I2731">
        <v>213.26650000000001</v>
      </c>
      <c r="J2731">
        <v>-466.05430000000001</v>
      </c>
      <c r="K2731">
        <v>1.1222620000000001</v>
      </c>
      <c r="L2731">
        <v>214.3741</v>
      </c>
      <c r="M2731">
        <v>0.9908361</v>
      </c>
      <c r="N2731">
        <v>-1.0933770000000001E-2</v>
      </c>
      <c r="O2731">
        <v>-0.13462769999999999</v>
      </c>
      <c r="P2731">
        <v>0.98000370000000003</v>
      </c>
      <c r="Q2731">
        <v>0.18877089999999999</v>
      </c>
      <c r="R2731">
        <v>-6.291737E-2</v>
      </c>
      <c r="S2731">
        <v>3.098938</v>
      </c>
      <c r="T2731">
        <v>-0.28668650000000001</v>
      </c>
      <c r="U2731">
        <v>-0.29103089999999998</v>
      </c>
      <c r="V2731">
        <v>-7.0154149999999998E-2</v>
      </c>
      <c r="W2731">
        <v>0.19927510000000001</v>
      </c>
      <c r="X2731">
        <v>0.9774292</v>
      </c>
      <c r="Y2731">
        <v>-4.076424E-2</v>
      </c>
      <c r="Z2731">
        <v>1.298265E-2</v>
      </c>
      <c r="AA2731">
        <v>0.99908450000000004</v>
      </c>
      <c r="AB2731">
        <v>23</v>
      </c>
      <c r="AC2731">
        <v>11.8847</v>
      </c>
      <c r="AD2731">
        <v>-1.1222612589158001</v>
      </c>
      <c r="AE2731">
        <v>-1.1075999999999899</v>
      </c>
      <c r="AF2731">
        <v>-0.498185721156295</v>
      </c>
      <c r="AG2731">
        <v>-1.1222612589158001</v>
      </c>
      <c r="AH2731">
        <v>11.8211147614387</v>
      </c>
      <c r="AI2731">
        <v>95.418454504671899</v>
      </c>
      <c r="AJ2731">
        <v>92.413229115954806</v>
      </c>
      <c r="AK2731">
        <v>11.8847134399249</v>
      </c>
      <c r="AL2731">
        <v>78.505428002042706</v>
      </c>
      <c r="AM2731">
        <v>94.105315979558895</v>
      </c>
      <c r="AN2731">
        <v>1.0000000056274301</v>
      </c>
    </row>
    <row r="2732" spans="1:40" x14ac:dyDescent="0.25">
      <c r="A2732" t="str">
        <f>"20190303170550711"</f>
        <v>20190303170550711</v>
      </c>
      <c r="B2732" t="str">
        <f>"1551603950707770"</f>
        <v>1551603950707770</v>
      </c>
      <c r="C2732" t="s">
        <v>40</v>
      </c>
      <c r="D2732">
        <v>5.6075309999999998</v>
      </c>
      <c r="E2732">
        <v>0.51282039999999995</v>
      </c>
      <c r="F2732" t="s">
        <v>60</v>
      </c>
      <c r="G2732">
        <v>-446.87369999999999</v>
      </c>
      <c r="H2732" s="1">
        <v>2.2017500000000001E-6</v>
      </c>
      <c r="I2732">
        <v>212.77019999999999</v>
      </c>
      <c r="J2732">
        <v>-465.82499999999999</v>
      </c>
      <c r="K2732">
        <v>1.122306</v>
      </c>
      <c r="L2732">
        <v>214.34520000000001</v>
      </c>
      <c r="M2732">
        <v>0.99109829999999999</v>
      </c>
      <c r="N2732">
        <v>-1.08095E-2</v>
      </c>
      <c r="O2732">
        <v>-0.1326927</v>
      </c>
      <c r="P2732">
        <v>0.98004999999999998</v>
      </c>
      <c r="Q2732">
        <v>0.18917059999999999</v>
      </c>
      <c r="R2732">
        <v>-6.0963389999999999E-2</v>
      </c>
      <c r="S2732">
        <v>3.0793759999999999</v>
      </c>
      <c r="T2732">
        <v>-0.18017520000000001</v>
      </c>
      <c r="U2732">
        <v>-0.2574921</v>
      </c>
      <c r="V2732">
        <v>-7.021318E-2</v>
      </c>
      <c r="W2732">
        <v>0.19954230000000001</v>
      </c>
      <c r="X2732">
        <v>0.97737039999999997</v>
      </c>
      <c r="Y2732">
        <v>-4.9401029999999999E-2</v>
      </c>
      <c r="Z2732">
        <v>7.9890510000000005E-3</v>
      </c>
      <c r="AA2732">
        <v>0.9987471</v>
      </c>
      <c r="AB2732">
        <v>23</v>
      </c>
      <c r="AC2732">
        <v>18.9513</v>
      </c>
      <c r="AD2732">
        <v>-1.1223037982499999</v>
      </c>
      <c r="AE2732">
        <v>-1.5750000000000099</v>
      </c>
      <c r="AF2732">
        <v>-0.95046457988798005</v>
      </c>
      <c r="AG2732">
        <v>-1.1223037982499999</v>
      </c>
      <c r="AH2732">
        <v>18.926779506579098</v>
      </c>
      <c r="AI2732">
        <v>93.389241032147893</v>
      </c>
      <c r="AJ2732">
        <v>92.874863113431303</v>
      </c>
      <c r="AK2732">
        <v>18.983833417512098</v>
      </c>
      <c r="AL2732">
        <v>78.489804261206103</v>
      </c>
      <c r="AM2732">
        <v>94.109004843460795</v>
      </c>
      <c r="AN2732">
        <v>0.99999995946557996</v>
      </c>
    </row>
    <row r="2733" spans="1:40" x14ac:dyDescent="0.25">
      <c r="A2733" t="str">
        <f>"20190303170550734"</f>
        <v>20190303170550734</v>
      </c>
      <c r="B2733" t="str">
        <f>"1551603950727288"</f>
        <v>1551603950727288</v>
      </c>
      <c r="C2733" t="s">
        <v>40</v>
      </c>
      <c r="D2733">
        <v>5.8319960000000002</v>
      </c>
      <c r="E2733">
        <v>0.51301339999999995</v>
      </c>
      <c r="F2733" t="s">
        <v>60</v>
      </c>
      <c r="G2733">
        <v>-444.5684</v>
      </c>
      <c r="H2733" s="1">
        <v>9.8238370000000007E-7</v>
      </c>
      <c r="I2733">
        <v>212.60040000000001</v>
      </c>
      <c r="J2733">
        <v>-465.60180000000003</v>
      </c>
      <c r="K2733">
        <v>1.122358</v>
      </c>
      <c r="L2733">
        <v>214.3175</v>
      </c>
      <c r="M2733">
        <v>0.99135969999999995</v>
      </c>
      <c r="N2733">
        <v>-1.0691249999999999E-2</v>
      </c>
      <c r="O2733">
        <v>-0.1307364</v>
      </c>
      <c r="P2733">
        <v>0.97993609999999998</v>
      </c>
      <c r="Q2733">
        <v>0.18998860000000001</v>
      </c>
      <c r="R2733">
        <v>-6.0248049999999997E-2</v>
      </c>
      <c r="S2733">
        <v>3.076721</v>
      </c>
      <c r="T2733">
        <v>-0.16244400000000001</v>
      </c>
      <c r="U2733">
        <v>-0.25253300000000001</v>
      </c>
      <c r="V2733">
        <v>-6.9004469999999998E-2</v>
      </c>
      <c r="W2733">
        <v>0.200238</v>
      </c>
      <c r="X2733">
        <v>0.97731420000000002</v>
      </c>
      <c r="Y2733">
        <v>-4.9009129999999998E-2</v>
      </c>
      <c r="Z2733">
        <v>7.0160149999999996E-3</v>
      </c>
      <c r="AA2733">
        <v>0.99877369999999999</v>
      </c>
      <c r="AB2733">
        <v>23</v>
      </c>
      <c r="AC2733">
        <v>21.0334</v>
      </c>
      <c r="AD2733">
        <v>-1.1223570176163</v>
      </c>
      <c r="AE2733">
        <v>-1.7170999999999801</v>
      </c>
      <c r="AF2733">
        <v>-1.04467206994035</v>
      </c>
      <c r="AG2733">
        <v>-1.1223570176163</v>
      </c>
      <c r="AH2733">
        <v>21.017903954191301</v>
      </c>
      <c r="AI2733">
        <v>93.052932324758103</v>
      </c>
      <c r="AJ2733">
        <v>92.845482747784104</v>
      </c>
      <c r="AK2733">
        <v>21.073758839758899</v>
      </c>
      <c r="AL2733">
        <v>78.449122560102396</v>
      </c>
      <c r="AM2733">
        <v>94.038736459315004</v>
      </c>
      <c r="AN2733">
        <v>0.99999995952280896</v>
      </c>
    </row>
    <row r="2734" spans="1:40" x14ac:dyDescent="0.25">
      <c r="A2734" t="str">
        <f>"20190303170550756"</f>
        <v>20190303170550756</v>
      </c>
      <c r="B2734" t="str">
        <f>"1551603950747666"</f>
        <v>1551603950747666</v>
      </c>
      <c r="C2734" t="s">
        <v>40</v>
      </c>
      <c r="D2734">
        <v>5.6745999999999999</v>
      </c>
      <c r="E2734">
        <v>0.51327659999999997</v>
      </c>
      <c r="F2734" t="s">
        <v>60</v>
      </c>
      <c r="G2734">
        <v>-442.52080000000001</v>
      </c>
      <c r="H2734" s="1">
        <v>-9.9614499999999995E-8</v>
      </c>
      <c r="I2734">
        <v>212.4256</v>
      </c>
      <c r="J2734">
        <v>-465.36770000000001</v>
      </c>
      <c r="K2734">
        <v>1.1224099999999999</v>
      </c>
      <c r="L2734">
        <v>214.28899999999999</v>
      </c>
      <c r="M2734">
        <v>0.99163990000000002</v>
      </c>
      <c r="N2734">
        <v>-1.056558E-2</v>
      </c>
      <c r="O2734">
        <v>-0.128603</v>
      </c>
      <c r="P2734">
        <v>0.97985940000000005</v>
      </c>
      <c r="Q2734">
        <v>0.1908155</v>
      </c>
      <c r="R2734">
        <v>-5.8865840000000003E-2</v>
      </c>
      <c r="S2734">
        <v>3.0749209999999998</v>
      </c>
      <c r="T2734">
        <v>-0.1495235</v>
      </c>
      <c r="U2734">
        <v>-0.25204470000000001</v>
      </c>
      <c r="V2734">
        <v>-6.8288500000000002E-2</v>
      </c>
      <c r="W2734">
        <v>0.20093359999999999</v>
      </c>
      <c r="X2734">
        <v>0.97722169999999997</v>
      </c>
      <c r="Y2734">
        <v>-4.7006340000000001E-2</v>
      </c>
      <c r="Z2734">
        <v>6.2469149999999996E-3</v>
      </c>
      <c r="AA2734">
        <v>0.99887510000000002</v>
      </c>
      <c r="AB2734">
        <v>23</v>
      </c>
      <c r="AC2734">
        <v>22.846900000000002</v>
      </c>
      <c r="AD2734">
        <v>-1.1224100996144999</v>
      </c>
      <c r="AE2734">
        <v>-1.8634000000000099</v>
      </c>
      <c r="AF2734">
        <v>-1.0878108357554199</v>
      </c>
      <c r="AG2734">
        <v>-1.1224100996144999</v>
      </c>
      <c r="AH2734">
        <v>22.842048734199398</v>
      </c>
      <c r="AI2734">
        <v>92.809951568366301</v>
      </c>
      <c r="AJ2734">
        <v>92.7265468190338</v>
      </c>
      <c r="AK2734">
        <v>22.895465210858699</v>
      </c>
      <c r="AL2734">
        <v>78.408440583952199</v>
      </c>
      <c r="AM2734">
        <v>93.997345362447803</v>
      </c>
      <c r="AN2734">
        <v>0.99999994089604805</v>
      </c>
    </row>
    <row r="2735" spans="1:40" x14ac:dyDescent="0.25">
      <c r="A2735" t="str">
        <f>"20190303170550778"</f>
        <v>20190303170550778</v>
      </c>
      <c r="B2735" t="str">
        <f>"1551603950767186"</f>
        <v>1551603950767186</v>
      </c>
      <c r="C2735" t="s">
        <v>40</v>
      </c>
      <c r="D2735">
        <v>5.6256820000000003</v>
      </c>
      <c r="E2735">
        <v>0.51421059999999996</v>
      </c>
      <c r="F2735" t="s">
        <v>60</v>
      </c>
      <c r="G2735">
        <v>-441.4153</v>
      </c>
      <c r="H2735" s="1">
        <v>-6.8444299999999998E-7</v>
      </c>
      <c r="I2735">
        <v>212.34690000000001</v>
      </c>
      <c r="J2735">
        <v>-465.13029999999998</v>
      </c>
      <c r="K2735">
        <v>1.1224559999999999</v>
      </c>
      <c r="L2735">
        <v>214.26070000000001</v>
      </c>
      <c r="M2735">
        <v>0.99192970000000003</v>
      </c>
      <c r="N2735">
        <v>-1.0436249999999999E-2</v>
      </c>
      <c r="O2735">
        <v>-0.12635879999999999</v>
      </c>
      <c r="P2735">
        <v>0.97979349999999998</v>
      </c>
      <c r="Q2735">
        <v>0.19168370000000001</v>
      </c>
      <c r="R2735">
        <v>-5.7112660000000003E-2</v>
      </c>
      <c r="S2735">
        <v>3.074738</v>
      </c>
      <c r="T2735">
        <v>-0.144082399999999</v>
      </c>
      <c r="U2735">
        <v>-0.24929809999999999</v>
      </c>
      <c r="V2735">
        <v>-6.7834469999999994E-2</v>
      </c>
      <c r="W2735">
        <v>0.2016656</v>
      </c>
      <c r="X2735">
        <v>0.97710260000000004</v>
      </c>
      <c r="Y2735">
        <v>-4.5642820000000001E-2</v>
      </c>
      <c r="Z2735">
        <v>5.8742660000000004E-3</v>
      </c>
      <c r="AA2735">
        <v>0.99894050000000001</v>
      </c>
      <c r="AB2735">
        <v>23</v>
      </c>
      <c r="AC2735">
        <v>23.7149999999999</v>
      </c>
      <c r="AD2735">
        <v>-1.122456684443</v>
      </c>
      <c r="AE2735">
        <v>-1.9137999999999999</v>
      </c>
      <c r="AF2735">
        <v>-1.0958645936695399</v>
      </c>
      <c r="AG2735">
        <v>-1.122456684443</v>
      </c>
      <c r="AH2735">
        <v>23.713951716139601</v>
      </c>
      <c r="AI2735">
        <v>92.707083989441799</v>
      </c>
      <c r="AJ2735">
        <v>92.645859219366599</v>
      </c>
      <c r="AK2735">
        <v>23.765780740625999</v>
      </c>
      <c r="AL2735">
        <v>78.365624411851499</v>
      </c>
      <c r="AM2735">
        <v>93.971335963685505</v>
      </c>
      <c r="AN2735">
        <v>1.0000000102351501</v>
      </c>
    </row>
    <row r="2736" spans="1:40" x14ac:dyDescent="0.25">
      <c r="A2736" t="str">
        <f>"20190303170550801"</f>
        <v>20190303170550801</v>
      </c>
      <c r="B2736" t="str">
        <f>"1551603950787683"</f>
        <v>1551603950787683</v>
      </c>
      <c r="C2736" t="s">
        <v>40</v>
      </c>
      <c r="D2736">
        <v>5.629016</v>
      </c>
      <c r="E2736">
        <v>0.51429919999999996</v>
      </c>
      <c r="F2736" t="s">
        <v>60</v>
      </c>
      <c r="G2736">
        <v>-440.89100000000002</v>
      </c>
      <c r="H2736" s="1">
        <v>-9.6046449999999992E-7</v>
      </c>
      <c r="I2736">
        <v>212.2791</v>
      </c>
      <c r="J2736">
        <v>-464.9006</v>
      </c>
      <c r="K2736">
        <v>1.1225000000000001</v>
      </c>
      <c r="L2736">
        <v>214.23390000000001</v>
      </c>
      <c r="M2736">
        <v>0.99221400000000004</v>
      </c>
      <c r="N2736">
        <v>-1.0314729999999999E-2</v>
      </c>
      <c r="O2736">
        <v>-0.1241169</v>
      </c>
      <c r="P2736">
        <v>0.97976839999999998</v>
      </c>
      <c r="Q2736">
        <v>0.19251309999999999</v>
      </c>
      <c r="R2736">
        <v>-5.4703250000000002E-2</v>
      </c>
      <c r="S2736">
        <v>3.075043</v>
      </c>
      <c r="T2736">
        <v>-0.1423972</v>
      </c>
      <c r="U2736">
        <v>-0.25138850000000001</v>
      </c>
      <c r="V2736">
        <v>-6.803969E-2</v>
      </c>
      <c r="W2736">
        <v>0.20236460000000001</v>
      </c>
      <c r="X2736">
        <v>0.97694380000000003</v>
      </c>
      <c r="Y2736">
        <v>-4.2726960000000001E-2</v>
      </c>
      <c r="Z2736">
        <v>5.6428009999999898E-3</v>
      </c>
      <c r="AA2736">
        <v>0.99907080000000004</v>
      </c>
      <c r="AB2736">
        <v>24</v>
      </c>
      <c r="AC2736">
        <v>24.009599999999999</v>
      </c>
      <c r="AD2736">
        <v>-1.1225009604645</v>
      </c>
      <c r="AE2736">
        <v>-1.9548000000000001</v>
      </c>
      <c r="AF2736">
        <v>-1.03821817785291</v>
      </c>
      <c r="AG2736">
        <v>-1.1225009604645</v>
      </c>
      <c r="AH2736">
        <v>24.014420783043398</v>
      </c>
      <c r="AI2736">
        <v>92.673722551472196</v>
      </c>
      <c r="AJ2736">
        <v>92.475533361648303</v>
      </c>
      <c r="AK2736">
        <v>24.0630486625477</v>
      </c>
      <c r="AL2736">
        <v>78.324731540972394</v>
      </c>
      <c r="AM2736">
        <v>93.983957244349796</v>
      </c>
      <c r="AN2736">
        <v>1.00000000955344</v>
      </c>
    </row>
    <row r="2737" spans="1:40" x14ac:dyDescent="0.25">
      <c r="A2737" t="str">
        <f>"20190303170550824"</f>
        <v>20190303170550824</v>
      </c>
      <c r="B2737" t="str">
        <f>"1551603950816963"</f>
        <v>1551603950816963</v>
      </c>
      <c r="C2737" t="s">
        <v>40</v>
      </c>
      <c r="D2737">
        <v>5.6672520000000004</v>
      </c>
      <c r="E2737">
        <v>0.5147851</v>
      </c>
      <c r="F2737" t="s">
        <v>60</v>
      </c>
      <c r="G2737">
        <v>-440.24900000000002</v>
      </c>
      <c r="H2737" s="1">
        <v>-1.3020099999999901E-6</v>
      </c>
      <c r="I2737">
        <v>212.27619999999999</v>
      </c>
      <c r="J2737">
        <v>-464.65480000000002</v>
      </c>
      <c r="K2737">
        <v>1.1225369999999999</v>
      </c>
      <c r="L2737">
        <v>214.20590000000001</v>
      </c>
      <c r="M2737">
        <v>0.99252050000000003</v>
      </c>
      <c r="N2737">
        <v>-1.018822E-2</v>
      </c>
      <c r="O2737">
        <v>-0.1216532</v>
      </c>
      <c r="P2737">
        <v>0.97969669999999998</v>
      </c>
      <c r="Q2737">
        <v>0.1935577</v>
      </c>
      <c r="R2737">
        <v>-5.2251690000000003E-2</v>
      </c>
      <c r="S2737">
        <v>3.075806</v>
      </c>
      <c r="T2737">
        <v>-0.14005570000000001</v>
      </c>
      <c r="U2737">
        <v>-0.2442627</v>
      </c>
      <c r="V2737">
        <v>-6.8064330000000006E-2</v>
      </c>
      <c r="W2737">
        <v>0.2032737</v>
      </c>
      <c r="X2737">
        <v>0.97675330000000005</v>
      </c>
      <c r="Y2737">
        <v>-4.2572459999999999E-2</v>
      </c>
      <c r="Z2737">
        <v>5.4546880000000001E-3</v>
      </c>
      <c r="AA2737">
        <v>0.99907849999999998</v>
      </c>
      <c r="AB2737">
        <v>24</v>
      </c>
      <c r="AC2737">
        <v>24.405799999999999</v>
      </c>
      <c r="AD2737">
        <v>-1.1225383020099999</v>
      </c>
      <c r="AE2737">
        <v>-1.92970000000002</v>
      </c>
      <c r="AF2737">
        <v>-1.05162052845697</v>
      </c>
      <c r="AG2737">
        <v>-1.1225383020099999</v>
      </c>
      <c r="AH2737">
        <v>24.407962857327</v>
      </c>
      <c r="AI2737">
        <v>92.630777946663301</v>
      </c>
      <c r="AJ2737">
        <v>92.467070945494399</v>
      </c>
      <c r="AK2737">
        <v>24.4563825783783</v>
      </c>
      <c r="AL2737">
        <v>78.271538034792499</v>
      </c>
      <c r="AM2737">
        <v>93.986170134178195</v>
      </c>
      <c r="AN2737">
        <v>0.99999997959546405</v>
      </c>
    </row>
    <row r="2738" spans="1:40" x14ac:dyDescent="0.25">
      <c r="A2738" t="str">
        <f>"20190303170550845"</f>
        <v>20190303170550845</v>
      </c>
      <c r="B2738" t="str">
        <f>"1551603950837458"</f>
        <v>1551603950837458</v>
      </c>
      <c r="C2738" t="s">
        <v>40</v>
      </c>
      <c r="D2738">
        <v>5.6581950000000001</v>
      </c>
      <c r="E2738">
        <v>0.51513799999999998</v>
      </c>
      <c r="F2738" t="s">
        <v>64</v>
      </c>
      <c r="G2738">
        <v>-439.04160000000002</v>
      </c>
      <c r="H2738" s="1">
        <v>6.4371410000000002E-6</v>
      </c>
      <c r="I2738">
        <v>212.20760000000001</v>
      </c>
      <c r="J2738">
        <v>-464.42829999999998</v>
      </c>
      <c r="K2738">
        <v>1.1225799999999999</v>
      </c>
      <c r="L2738">
        <v>214.1807</v>
      </c>
      <c r="M2738">
        <v>0.99280349999999995</v>
      </c>
      <c r="N2738">
        <v>-1.0078E-2</v>
      </c>
      <c r="O2738">
        <v>-0.11933100000000001</v>
      </c>
      <c r="P2738">
        <v>0.97954509999999995</v>
      </c>
      <c r="Q2738">
        <v>0.1948722</v>
      </c>
      <c r="R2738">
        <v>-5.0162770000000002E-2</v>
      </c>
      <c r="S2738">
        <v>3.0760190000000001</v>
      </c>
      <c r="T2738">
        <v>-0.13481009999999999</v>
      </c>
      <c r="U2738">
        <v>-0.23999019999999999</v>
      </c>
      <c r="V2738">
        <v>-6.7856089999999994E-2</v>
      </c>
      <c r="W2738">
        <v>0.20447209999999999</v>
      </c>
      <c r="X2738">
        <v>0.97651770000000004</v>
      </c>
      <c r="Y2738">
        <v>-4.1632280000000001E-2</v>
      </c>
      <c r="Z2738">
        <v>5.1207459999999998E-3</v>
      </c>
      <c r="AA2738">
        <v>0.99911989999999995</v>
      </c>
      <c r="AB2738">
        <v>24</v>
      </c>
      <c r="AC2738">
        <v>25.386699999999902</v>
      </c>
      <c r="AD2738">
        <v>-1.1225735628589999</v>
      </c>
      <c r="AE2738">
        <v>-1.9730999999999801</v>
      </c>
      <c r="AF2738">
        <v>-1.0684972441759699</v>
      </c>
      <c r="AG2738">
        <v>-1.1225735628589999</v>
      </c>
      <c r="AH2738">
        <v>25.391395393984801</v>
      </c>
      <c r="AI2738">
        <v>92.529207544134493</v>
      </c>
      <c r="AJ2738">
        <v>92.409646386587895</v>
      </c>
      <c r="AK2738">
        <v>25.438648113029</v>
      </c>
      <c r="AL2738">
        <v>78.201402603630697</v>
      </c>
      <c r="AM2738">
        <v>93.974969465960896</v>
      </c>
      <c r="AN2738">
        <v>1.0000000535208899</v>
      </c>
    </row>
    <row r="2739" spans="1:40" x14ac:dyDescent="0.25">
      <c r="A2739" t="str">
        <f>"20190303170550867"</f>
        <v>20190303170550867</v>
      </c>
      <c r="B2739" t="str">
        <f>"1551603950856978"</f>
        <v>1551603950856978</v>
      </c>
      <c r="C2739" t="s">
        <v>40</v>
      </c>
      <c r="D2739">
        <v>5.6472049999999996</v>
      </c>
      <c r="E2739">
        <v>0.51568099999999994</v>
      </c>
      <c r="F2739" t="s">
        <v>64</v>
      </c>
      <c r="G2739">
        <v>-438.7208</v>
      </c>
      <c r="H2739" s="1">
        <v>6.2945719999999897E-6</v>
      </c>
      <c r="I2739">
        <v>212.21119999999999</v>
      </c>
      <c r="J2739">
        <v>-464.19850000000002</v>
      </c>
      <c r="K2739">
        <v>1.1226020000000001</v>
      </c>
      <c r="L2739">
        <v>214.1558</v>
      </c>
      <c r="M2739">
        <v>0.99308870000000005</v>
      </c>
      <c r="N2739">
        <v>-9.9751119999999995E-3</v>
      </c>
      <c r="O2739">
        <v>-0.1169415</v>
      </c>
      <c r="P2739">
        <v>0.97958199999999995</v>
      </c>
      <c r="Q2739">
        <v>0.1952692</v>
      </c>
      <c r="R2739">
        <v>-4.7847800000000003E-2</v>
      </c>
      <c r="S2739">
        <v>3.0773009999999998</v>
      </c>
      <c r="T2739">
        <v>-0.134377</v>
      </c>
      <c r="U2739">
        <v>-0.23576349999999999</v>
      </c>
      <c r="V2739">
        <v>-6.7822069999999998E-2</v>
      </c>
      <c r="W2739">
        <v>0.20476240000000001</v>
      </c>
      <c r="X2739">
        <v>0.97645919999999997</v>
      </c>
      <c r="Y2739">
        <v>-4.0627370000000003E-2</v>
      </c>
      <c r="Z2739">
        <v>5.0028140000000004E-3</v>
      </c>
      <c r="AA2739">
        <v>0.99916179999999999</v>
      </c>
      <c r="AB2739">
        <v>24</v>
      </c>
      <c r="AC2739">
        <v>25.477699999999999</v>
      </c>
      <c r="AD2739">
        <v>-1.122595705428</v>
      </c>
      <c r="AE2739">
        <v>-1.9446000000000001</v>
      </c>
      <c r="AF2739">
        <v>-1.0462728106764601</v>
      </c>
      <c r="AG2739">
        <v>-1.122595705428</v>
      </c>
      <c r="AH2739">
        <v>25.481107043120399</v>
      </c>
      <c r="AI2739">
        <v>92.5204706686945</v>
      </c>
      <c r="AJ2739">
        <v>92.351285613987699</v>
      </c>
      <c r="AK2739">
        <v>25.5272741211271</v>
      </c>
      <c r="AL2739">
        <v>78.184409729220604</v>
      </c>
      <c r="AM2739">
        <v>93.973220238607595</v>
      </c>
      <c r="AN2739">
        <v>1.0000000214487399</v>
      </c>
    </row>
    <row r="2740" spans="1:40" x14ac:dyDescent="0.25">
      <c r="A2740" t="str">
        <f>"20190303170550891"</f>
        <v>20190303170550891</v>
      </c>
      <c r="B2740" t="str">
        <f>"1551603950877474"</f>
        <v>1551603950877474</v>
      </c>
      <c r="C2740" t="s">
        <v>40</v>
      </c>
      <c r="D2740">
        <v>5.7068240000000001</v>
      </c>
      <c r="E2740">
        <v>0.51620350000000004</v>
      </c>
      <c r="F2740" t="s">
        <v>64</v>
      </c>
      <c r="G2740">
        <v>-439.01229999999998</v>
      </c>
      <c r="H2740" s="1">
        <v>6.42091199999999E-6</v>
      </c>
      <c r="I2740">
        <v>212.24469999999999</v>
      </c>
      <c r="J2740">
        <v>-463.95440000000002</v>
      </c>
      <c r="K2740">
        <v>1.1226069999999999</v>
      </c>
      <c r="L2740">
        <v>214.13</v>
      </c>
      <c r="M2740">
        <v>0.9933881</v>
      </c>
      <c r="N2740">
        <v>-9.8704770000000008E-3</v>
      </c>
      <c r="O2740">
        <v>-0.11437990000000001</v>
      </c>
      <c r="P2740">
        <v>0.97975230000000002</v>
      </c>
      <c r="Q2740">
        <v>0.1949642</v>
      </c>
      <c r="R2740">
        <v>-4.5543979999999998E-2</v>
      </c>
      <c r="S2740">
        <v>3.0784609999999999</v>
      </c>
      <c r="T2740">
        <v>-0.1372129</v>
      </c>
      <c r="U2740">
        <v>-0.23359679999999999</v>
      </c>
      <c r="V2740">
        <v>-6.7615670000000003E-2</v>
      </c>
      <c r="W2740">
        <v>0.20435300000000001</v>
      </c>
      <c r="X2740">
        <v>0.97655919999999896</v>
      </c>
      <c r="Y2740">
        <v>-3.8776089999999999E-2</v>
      </c>
      <c r="Z2740">
        <v>4.9986370000000002E-3</v>
      </c>
      <c r="AA2740">
        <v>0.99923550000000005</v>
      </c>
      <c r="AB2740">
        <v>24</v>
      </c>
      <c r="AC2740">
        <v>24.9421</v>
      </c>
      <c r="AD2740">
        <v>-1.12260057908799</v>
      </c>
      <c r="AE2740">
        <v>-1.8853</v>
      </c>
      <c r="AF2740">
        <v>-0.97811785198321999</v>
      </c>
      <c r="AG2740">
        <v>-1.12260057908799</v>
      </c>
      <c r="AH2740">
        <v>24.943799322867399</v>
      </c>
      <c r="AI2740">
        <v>92.5748927274593</v>
      </c>
      <c r="AJ2740">
        <v>92.245581204919006</v>
      </c>
      <c r="AK2740">
        <v>24.988198639598199</v>
      </c>
      <c r="AL2740">
        <v>78.208372480131004</v>
      </c>
      <c r="AM2740">
        <v>93.960762924793102</v>
      </c>
      <c r="AN2740">
        <v>0.99999994927159297</v>
      </c>
    </row>
    <row r="2741" spans="1:40" x14ac:dyDescent="0.25">
      <c r="A2741" t="str">
        <f>"20190303170550914"</f>
        <v>20190303170550914</v>
      </c>
      <c r="B2741" t="str">
        <f>"1551603950907730"</f>
        <v>1551603950907730</v>
      </c>
      <c r="C2741" t="s">
        <v>40</v>
      </c>
      <c r="D2741">
        <v>5.6523779999999997</v>
      </c>
      <c r="E2741">
        <v>0.54130119999999904</v>
      </c>
      <c r="F2741" t="s">
        <v>64</v>
      </c>
      <c r="G2741">
        <v>-439.36919999999998</v>
      </c>
      <c r="H2741" s="1">
        <v>6.5757049999999999E-6</v>
      </c>
      <c r="I2741">
        <v>212.2842</v>
      </c>
      <c r="J2741">
        <v>-463.71190000000001</v>
      </c>
      <c r="K2741">
        <v>1.122601</v>
      </c>
      <c r="L2741">
        <v>214.10499999999999</v>
      </c>
      <c r="M2741">
        <v>0.99368009999999996</v>
      </c>
      <c r="N2741">
        <v>-9.7679889999999995E-3</v>
      </c>
      <c r="O2741">
        <v>-0.1118224</v>
      </c>
      <c r="P2741">
        <v>0.97989899999999996</v>
      </c>
      <c r="Q2741">
        <v>0.19475500000000001</v>
      </c>
      <c r="R2741">
        <v>-4.3224850000000002E-2</v>
      </c>
      <c r="S2741">
        <v>3.079224</v>
      </c>
      <c r="T2741">
        <v>-0.14060210000000001</v>
      </c>
      <c r="U2741">
        <v>-0.2311859</v>
      </c>
      <c r="V2741">
        <v>-6.7422200000000002E-2</v>
      </c>
      <c r="W2741">
        <v>0.20404310000000001</v>
      </c>
      <c r="X2741">
        <v>0.97663739999999999</v>
      </c>
      <c r="Y2741">
        <v>-3.6997460000000003E-2</v>
      </c>
      <c r="Z2741">
        <v>5.0137519999999998E-3</v>
      </c>
      <c r="AA2741">
        <v>0.99930280000000005</v>
      </c>
      <c r="AB2741">
        <v>24</v>
      </c>
      <c r="AC2741">
        <v>24.342700000000001</v>
      </c>
      <c r="AD2741">
        <v>-1.1225944242949999</v>
      </c>
      <c r="AE2741">
        <v>-1.82079999999999</v>
      </c>
      <c r="AF2741">
        <v>-0.91088364080068196</v>
      </c>
      <c r="AG2741">
        <v>-1.1225944242949999</v>
      </c>
      <c r="AH2741">
        <v>24.342148294163898</v>
      </c>
      <c r="AI2741">
        <v>92.638612322638593</v>
      </c>
      <c r="AJ2741">
        <v>92.143009250511497</v>
      </c>
      <c r="AK2741">
        <v>24.385038667666699</v>
      </c>
      <c r="AL2741">
        <v>78.2265109331247</v>
      </c>
      <c r="AM2741">
        <v>93.949150599329698</v>
      </c>
      <c r="AN2741">
        <v>0.99999997539460395</v>
      </c>
    </row>
    <row r="2742" spans="1:40" x14ac:dyDescent="0.25">
      <c r="A2742" t="str">
        <f>"20190303170550934"</f>
        <v>20190303170550934</v>
      </c>
      <c r="B2742" t="str">
        <f>"1551603950927250"</f>
        <v>1551603950927250</v>
      </c>
      <c r="C2742" t="s">
        <v>40</v>
      </c>
      <c r="D2742">
        <v>5.6319929999999996</v>
      </c>
      <c r="E2742">
        <v>0.54196140000000004</v>
      </c>
      <c r="F2742" t="s">
        <v>64</v>
      </c>
      <c r="G2742">
        <v>-438.20859999999999</v>
      </c>
      <c r="H2742" s="1">
        <v>6.2112249999999898E-6</v>
      </c>
      <c r="I2742">
        <v>210.56659999999999</v>
      </c>
      <c r="J2742">
        <v>-463.49450000000002</v>
      </c>
      <c r="K2742">
        <v>1.122598</v>
      </c>
      <c r="L2742">
        <v>214.0831</v>
      </c>
      <c r="M2742">
        <v>0.9939365</v>
      </c>
      <c r="N2742">
        <v>-9.679567E-3</v>
      </c>
      <c r="O2742">
        <v>-0.10952820000000001</v>
      </c>
      <c r="P2742">
        <v>0.97997389999999995</v>
      </c>
      <c r="Q2742">
        <v>0.1948056</v>
      </c>
      <c r="R2742">
        <v>-4.1256019999999997E-2</v>
      </c>
      <c r="S2742">
        <v>3.0696409999999998</v>
      </c>
      <c r="T2742">
        <v>-0.1351184</v>
      </c>
      <c r="U2742">
        <v>-0.42588809999999999</v>
      </c>
      <c r="V2742">
        <v>-6.7130709999999996E-2</v>
      </c>
      <c r="W2742">
        <v>0.2040081</v>
      </c>
      <c r="X2742">
        <v>0.9766648</v>
      </c>
      <c r="Y2742">
        <v>2.8134719999999998E-2</v>
      </c>
      <c r="Z2742">
        <v>2.9683940000000001E-3</v>
      </c>
      <c r="AA2742">
        <v>0.99959980000000004</v>
      </c>
      <c r="AB2742">
        <v>24</v>
      </c>
      <c r="AC2742">
        <v>25.285900000000002</v>
      </c>
      <c r="AD2742">
        <v>-1.1225917887750001</v>
      </c>
      <c r="AE2742">
        <v>-3.5165000000000002</v>
      </c>
      <c r="AF2742">
        <v>0.72429213371856005</v>
      </c>
      <c r="AG2742">
        <v>-1.1225917887750001</v>
      </c>
      <c r="AH2742">
        <v>25.4696835232055</v>
      </c>
      <c r="AI2742">
        <v>92.522694419271701</v>
      </c>
      <c r="AJ2742">
        <v>88.371094746878001</v>
      </c>
      <c r="AK2742">
        <v>25.504697414230201</v>
      </c>
      <c r="AL2742">
        <v>78.228559479890805</v>
      </c>
      <c r="AM2742">
        <v>93.932020731934202</v>
      </c>
      <c r="AN2742">
        <v>0.99999998432487602</v>
      </c>
    </row>
    <row r="2743" spans="1:40" x14ac:dyDescent="0.25">
      <c r="A2743" t="str">
        <f>"20190303170550957"</f>
        <v>20190303170550957</v>
      </c>
      <c r="B2743" t="str">
        <f>"1551603950947747"</f>
        <v>1551603950947747</v>
      </c>
      <c r="C2743" t="s">
        <v>40</v>
      </c>
      <c r="D2743">
        <v>5.6484920000000001</v>
      </c>
      <c r="E2743">
        <v>0.54256890000000002</v>
      </c>
      <c r="F2743" t="s">
        <v>64</v>
      </c>
      <c r="G2743">
        <v>-437.14789999999999</v>
      </c>
      <c r="H2743" s="1">
        <v>5.7529779999999996E-6</v>
      </c>
      <c r="I2743">
        <v>210.42740000000001</v>
      </c>
      <c r="J2743">
        <v>-463.25060000000002</v>
      </c>
      <c r="K2743">
        <v>1.1225889999999901</v>
      </c>
      <c r="L2743">
        <v>214.0591</v>
      </c>
      <c r="M2743">
        <v>0.99421729999999997</v>
      </c>
      <c r="N2743">
        <v>-9.5825040000000004E-3</v>
      </c>
      <c r="O2743">
        <v>-0.106959</v>
      </c>
      <c r="P2743">
        <v>0.98002650000000002</v>
      </c>
      <c r="Q2743">
        <v>0.1950298</v>
      </c>
      <c r="R2743">
        <v>-3.8881069999999997E-2</v>
      </c>
      <c r="S2743">
        <v>3.0693969999999999</v>
      </c>
      <c r="T2743">
        <v>-0.1307826</v>
      </c>
      <c r="U2743">
        <v>-0.42588809999999999</v>
      </c>
      <c r="V2743">
        <v>-6.6969600000000004E-2</v>
      </c>
      <c r="W2743">
        <v>0.2041374</v>
      </c>
      <c r="X2743">
        <v>0.97664890000000004</v>
      </c>
      <c r="Y2743">
        <v>3.0722079999999999E-2</v>
      </c>
      <c r="Z2743">
        <v>2.6965790000000002E-3</v>
      </c>
      <c r="AA2743">
        <v>0.99952439999999998</v>
      </c>
      <c r="AB2743">
        <v>24</v>
      </c>
      <c r="AC2743">
        <v>26.102699999999999</v>
      </c>
      <c r="AD2743">
        <v>-1.1225832470220001</v>
      </c>
      <c r="AE2743">
        <v>-3.6316999999999902</v>
      </c>
      <c r="AF2743">
        <v>0.81733484096562903</v>
      </c>
      <c r="AG2743">
        <v>-1.1225832470220001</v>
      </c>
      <c r="AH2743">
        <v>26.293699105990999</v>
      </c>
      <c r="AI2743">
        <v>92.443522644749606</v>
      </c>
      <c r="AJ2743">
        <v>88.219544460884705</v>
      </c>
      <c r="AK2743">
        <v>26.330340713047001</v>
      </c>
      <c r="AL2743">
        <v>78.220992541700895</v>
      </c>
      <c r="AM2743">
        <v>93.922677255236195</v>
      </c>
      <c r="AN2743">
        <v>1.0000000396370601</v>
      </c>
    </row>
    <row r="2744" spans="1:40" x14ac:dyDescent="0.25">
      <c r="A2744" t="str">
        <f>"20190303170550979"</f>
        <v>20190303170550979</v>
      </c>
      <c r="B2744" t="str">
        <f>"1551603950967266"</f>
        <v>1551603950967266</v>
      </c>
      <c r="C2744" t="s">
        <v>40</v>
      </c>
      <c r="D2744">
        <v>5.6764140000000003</v>
      </c>
      <c r="E2744">
        <v>0.54288859999999906</v>
      </c>
      <c r="F2744" t="s">
        <v>64</v>
      </c>
      <c r="G2744">
        <v>-437.46109999999999</v>
      </c>
      <c r="H2744" s="1">
        <v>5.8853899999999997E-6</v>
      </c>
      <c r="I2744">
        <v>210.5016</v>
      </c>
      <c r="J2744">
        <v>-463.01479999999998</v>
      </c>
      <c r="K2744">
        <v>1.122574</v>
      </c>
      <c r="L2744">
        <v>214.03659999999999</v>
      </c>
      <c r="M2744">
        <v>0.99448150000000002</v>
      </c>
      <c r="N2744">
        <v>-9.4877710000000007E-3</v>
      </c>
      <c r="O2744">
        <v>-0.1044837</v>
      </c>
      <c r="P2744">
        <v>0.98005439999999999</v>
      </c>
      <c r="Q2744">
        <v>0.19535849999999999</v>
      </c>
      <c r="R2744">
        <v>-3.6448609999999999E-2</v>
      </c>
      <c r="S2744">
        <v>3.0709230000000001</v>
      </c>
      <c r="T2744">
        <v>-0.13367329999999999</v>
      </c>
      <c r="U2744">
        <v>-0.4236145</v>
      </c>
      <c r="V2744">
        <v>-6.6956459999999995E-2</v>
      </c>
      <c r="W2744">
        <v>0.20437269999999999</v>
      </c>
      <c r="X2744">
        <v>0.97660060000000004</v>
      </c>
      <c r="Y2744">
        <v>3.2415659999999999E-2</v>
      </c>
      <c r="Z2744">
        <v>2.6643050000000001E-3</v>
      </c>
      <c r="AA2744">
        <v>0.99947090000000005</v>
      </c>
      <c r="AB2744">
        <v>24</v>
      </c>
      <c r="AC2744">
        <v>25.5536999999999</v>
      </c>
      <c r="AD2744">
        <v>-1.1225681146099999</v>
      </c>
      <c r="AE2744">
        <v>-3.5349999999999899</v>
      </c>
      <c r="AF2744">
        <v>0.84398674177908195</v>
      </c>
      <c r="AG2744">
        <v>-1.1225681146099999</v>
      </c>
      <c r="AH2744">
        <v>25.734457782477701</v>
      </c>
      <c r="AI2744">
        <v>92.496387171066701</v>
      </c>
      <c r="AJ2744">
        <v>88.121602068033795</v>
      </c>
      <c r="AK2744">
        <v>25.772752863253999</v>
      </c>
      <c r="AL2744">
        <v>78.207220622778493</v>
      </c>
      <c r="AM2744">
        <v>93.922103356619402</v>
      </c>
      <c r="AN2744">
        <v>1.00000004998068</v>
      </c>
    </row>
    <row r="2745" spans="1:40" x14ac:dyDescent="0.25">
      <c r="A2745" t="str">
        <f>"20190303170551000"</f>
        <v>20190303170551000</v>
      </c>
      <c r="B2745" t="str">
        <f>"1551603950987763"</f>
        <v>1551603950987763</v>
      </c>
      <c r="C2745" t="s">
        <v>40</v>
      </c>
      <c r="D2745">
        <v>5.6573640000000003</v>
      </c>
      <c r="E2745">
        <v>0.5431916</v>
      </c>
      <c r="F2745" t="s">
        <v>64</v>
      </c>
      <c r="G2745">
        <v>-437.6225</v>
      </c>
      <c r="H2745" s="1">
        <v>5.95027399999999E-6</v>
      </c>
      <c r="I2745">
        <v>210.57830000000001</v>
      </c>
      <c r="J2745">
        <v>-462.78480000000002</v>
      </c>
      <c r="K2745">
        <v>1.1225639999999999</v>
      </c>
      <c r="L2745">
        <v>214.01509999999999</v>
      </c>
      <c r="M2745">
        <v>0.99473210000000001</v>
      </c>
      <c r="N2745">
        <v>-9.3971990000000002E-3</v>
      </c>
      <c r="O2745">
        <v>-0.102077399999999</v>
      </c>
      <c r="P2745">
        <v>0.98021590000000003</v>
      </c>
      <c r="Q2745">
        <v>0.19495789999999999</v>
      </c>
      <c r="R2745">
        <v>-3.4183060000000001E-2</v>
      </c>
      <c r="S2745">
        <v>3.07254</v>
      </c>
      <c r="T2745">
        <v>-0.13583419999999999</v>
      </c>
      <c r="U2745">
        <v>-0.41845700000000002</v>
      </c>
      <c r="V2745">
        <v>-6.685816E-2</v>
      </c>
      <c r="W2745">
        <v>0.20388490000000001</v>
      </c>
      <c r="X2745">
        <v>0.97670919999999894</v>
      </c>
      <c r="Y2745">
        <v>3.3115319999999997E-2</v>
      </c>
      <c r="Z2745">
        <v>2.6341279999999999E-3</v>
      </c>
      <c r="AA2745">
        <v>0.99944809999999995</v>
      </c>
      <c r="AB2745">
        <v>24</v>
      </c>
      <c r="AC2745">
        <v>25.162299999999998</v>
      </c>
      <c r="AD2745">
        <v>-1.1225580497259999</v>
      </c>
      <c r="AE2745">
        <v>-3.4367999999999701</v>
      </c>
      <c r="AF2745">
        <v>0.84857266057638403</v>
      </c>
      <c r="AG2745">
        <v>-1.1225580497259999</v>
      </c>
      <c r="AH2745">
        <v>25.3321920478705</v>
      </c>
      <c r="AI2745">
        <v>92.535895956561404</v>
      </c>
      <c r="AJ2745">
        <v>88.081434926766406</v>
      </c>
      <c r="AK2745">
        <v>25.371246837423499</v>
      </c>
      <c r="AL2745">
        <v>78.235769621450004</v>
      </c>
      <c r="AM2745">
        <v>93.915929072482498</v>
      </c>
      <c r="AN2745">
        <v>0.99999996368561594</v>
      </c>
    </row>
    <row r="2746" spans="1:40" x14ac:dyDescent="0.25">
      <c r="A2746" t="str">
        <f>"20190303170551024"</f>
        <v>20190303170551024</v>
      </c>
      <c r="B2746" t="str">
        <f>"1551603951017042"</f>
        <v>1551603951017042</v>
      </c>
      <c r="C2746" t="s">
        <v>40</v>
      </c>
      <c r="D2746">
        <v>5.6458370000000002</v>
      </c>
      <c r="E2746">
        <v>0.54372559999999903</v>
      </c>
      <c r="F2746" t="s">
        <v>64</v>
      </c>
      <c r="G2746">
        <v>-437.48809999999997</v>
      </c>
      <c r="H2746" s="1">
        <v>5.8882090000000003E-6</v>
      </c>
      <c r="I2746">
        <v>210.6062</v>
      </c>
      <c r="J2746">
        <v>-462.53809999999999</v>
      </c>
      <c r="K2746">
        <v>1.1225540000000001</v>
      </c>
      <c r="L2746">
        <v>213.99270000000001</v>
      </c>
      <c r="M2746">
        <v>0.99499360000000003</v>
      </c>
      <c r="N2746">
        <v>-9.3037150000000006E-3</v>
      </c>
      <c r="O2746">
        <v>-9.9505129999999997E-2</v>
      </c>
      <c r="P2746">
        <v>0.98029869999999997</v>
      </c>
      <c r="Q2746">
        <v>0.1949359</v>
      </c>
      <c r="R2746">
        <v>-3.1853140000000002E-2</v>
      </c>
      <c r="S2746">
        <v>3.0732119999999998</v>
      </c>
      <c r="T2746">
        <v>-0.13637579999999999</v>
      </c>
      <c r="U2746">
        <v>-0.41413879999999997</v>
      </c>
      <c r="V2746">
        <v>-6.6655320000000004E-2</v>
      </c>
      <c r="W2746">
        <v>0.20377190000000001</v>
      </c>
      <c r="X2746">
        <v>0.97674669999999997</v>
      </c>
      <c r="Y2746">
        <v>3.4289069999999998E-2</v>
      </c>
      <c r="Z2746">
        <v>2.5395309999999998E-3</v>
      </c>
      <c r="AA2746">
        <v>0.99940870000000004</v>
      </c>
      <c r="AB2746">
        <v>24</v>
      </c>
      <c r="AC2746">
        <v>25.05</v>
      </c>
      <c r="AD2746">
        <v>-1.1225481117909999</v>
      </c>
      <c r="AE2746">
        <v>-3.3865000000000101</v>
      </c>
      <c r="AF2746">
        <v>0.87525414638561105</v>
      </c>
      <c r="AG2746">
        <v>-1.1225481117909999</v>
      </c>
      <c r="AH2746">
        <v>25.212933577043199</v>
      </c>
      <c r="AI2746">
        <v>92.547747115306095</v>
      </c>
      <c r="AJ2746">
        <v>88.011804597877401</v>
      </c>
      <c r="AK2746">
        <v>25.253083052262099</v>
      </c>
      <c r="AL2746">
        <v>78.242383520364498</v>
      </c>
      <c r="AM2746">
        <v>93.903935962150399</v>
      </c>
      <c r="AN2746">
        <v>1.0000000174374</v>
      </c>
    </row>
    <row r="2747" spans="1:40" x14ac:dyDescent="0.25">
      <c r="A2747" t="str">
        <f>"20190303170551046"</f>
        <v>20190303170551046</v>
      </c>
      <c r="B2747" t="str">
        <f>"1551603951037538"</f>
        <v>1551603951037538</v>
      </c>
      <c r="C2747" t="s">
        <v>40</v>
      </c>
      <c r="D2747">
        <v>5.6482839999999896</v>
      </c>
      <c r="E2747">
        <v>0.54436680000000004</v>
      </c>
      <c r="F2747" t="s">
        <v>64</v>
      </c>
      <c r="G2747">
        <v>-437.84039999999999</v>
      </c>
      <c r="H2747" s="1">
        <v>6.0371040000000003E-6</v>
      </c>
      <c r="I2747">
        <v>210.6901</v>
      </c>
      <c r="J2747">
        <v>-462.28980000000001</v>
      </c>
      <c r="K2747">
        <v>1.122549</v>
      </c>
      <c r="L2747">
        <v>213.9708</v>
      </c>
      <c r="M2747">
        <v>0.99524919999999995</v>
      </c>
      <c r="N2747">
        <v>-9.2158880000000002E-3</v>
      </c>
      <c r="O2747">
        <v>-9.6923590000000004E-2</v>
      </c>
      <c r="P2747">
        <v>0.98030790000000001</v>
      </c>
      <c r="Q2747">
        <v>0.19527710000000001</v>
      </c>
      <c r="R2747">
        <v>-2.938528E-2</v>
      </c>
      <c r="S2747">
        <v>3.0747070000000001</v>
      </c>
      <c r="T2747">
        <v>-0.13975009999999999</v>
      </c>
      <c r="U2747">
        <v>-0.41114810000000002</v>
      </c>
      <c r="V2747">
        <v>-6.6576259999999998E-2</v>
      </c>
      <c r="W2747">
        <v>0.20402629999999999</v>
      </c>
      <c r="X2747">
        <v>0.97669899999999998</v>
      </c>
      <c r="Y2747">
        <v>3.5861289999999997E-2</v>
      </c>
      <c r="Z2747">
        <v>2.5028820000000001E-3</v>
      </c>
      <c r="AA2747">
        <v>0.99935359999999995</v>
      </c>
      <c r="AB2747">
        <v>24</v>
      </c>
      <c r="AC2747">
        <v>24.449400000000001</v>
      </c>
      <c r="AD2747">
        <v>-1.122542962896</v>
      </c>
      <c r="AE2747">
        <v>-3.2806999999999902</v>
      </c>
      <c r="AF2747">
        <v>0.893578075136092</v>
      </c>
      <c r="AG2747">
        <v>-1.122542962896</v>
      </c>
      <c r="AH2747">
        <v>24.601326631640401</v>
      </c>
      <c r="AI2747">
        <v>92.610838705468495</v>
      </c>
      <c r="AJ2747">
        <v>87.9197969511671</v>
      </c>
      <c r="AK2747">
        <v>24.643130006486</v>
      </c>
      <c r="AL2747">
        <v>78.227494874690706</v>
      </c>
      <c r="AM2747">
        <v>93.899509636642804</v>
      </c>
      <c r="AN2747">
        <v>1.0000000330441301</v>
      </c>
    </row>
    <row r="2748" spans="1:40" x14ac:dyDescent="0.25">
      <c r="A2748" t="str">
        <f>"20190303170551068"</f>
        <v>20190303170551068</v>
      </c>
      <c r="B2748" t="str">
        <f>"1551603951057061"</f>
        <v>1551603951057061</v>
      </c>
      <c r="C2748" t="s">
        <v>40</v>
      </c>
      <c r="D2748">
        <v>5.6423920000000001</v>
      </c>
      <c r="E2748">
        <v>0.54492439999999998</v>
      </c>
      <c r="F2748" t="s">
        <v>64</v>
      </c>
      <c r="G2748">
        <v>-437.07139999999998</v>
      </c>
      <c r="H2748" s="1">
        <v>5.7025949999999999E-6</v>
      </c>
      <c r="I2748">
        <v>210.6156</v>
      </c>
      <c r="J2748">
        <v>-462.05369999999999</v>
      </c>
      <c r="K2748">
        <v>1.122547</v>
      </c>
      <c r="L2748">
        <v>213.95060000000001</v>
      </c>
      <c r="M2748">
        <v>0.99548570000000003</v>
      </c>
      <c r="N2748">
        <v>-9.1387240000000008E-3</v>
      </c>
      <c r="O2748">
        <v>-9.4471540000000007E-2</v>
      </c>
      <c r="P2748">
        <v>0.98025110000000004</v>
      </c>
      <c r="Q2748">
        <v>0.1959224</v>
      </c>
      <c r="R2748">
        <v>-2.6879210000000001E-2</v>
      </c>
      <c r="S2748">
        <v>3.0752259999999998</v>
      </c>
      <c r="T2748">
        <v>-0.1368868</v>
      </c>
      <c r="U2748">
        <v>-0.40914919999999999</v>
      </c>
      <c r="V2748">
        <v>-6.6659930000000006E-2</v>
      </c>
      <c r="W2748">
        <v>0.2045939</v>
      </c>
      <c r="X2748">
        <v>0.97657450000000001</v>
      </c>
      <c r="Y2748">
        <v>3.765802E-2</v>
      </c>
      <c r="Z2748">
        <v>2.3049329999999999E-3</v>
      </c>
      <c r="AA2748">
        <v>0.99928799999999995</v>
      </c>
      <c r="AB2748">
        <v>24</v>
      </c>
      <c r="AC2748">
        <v>24.982299999999999</v>
      </c>
      <c r="AD2748">
        <v>-1.122541297405</v>
      </c>
      <c r="AE2748">
        <v>-3.335</v>
      </c>
      <c r="AF2748">
        <v>0.95796817006438595</v>
      </c>
      <c r="AG2748">
        <v>-1.122541297405</v>
      </c>
      <c r="AH2748">
        <v>25.135773638529798</v>
      </c>
      <c r="AI2748">
        <v>92.555226880550293</v>
      </c>
      <c r="AJ2748">
        <v>87.817414249047303</v>
      </c>
      <c r="AK2748">
        <v>25.179057138555599</v>
      </c>
      <c r="AL2748">
        <v>78.194272406313303</v>
      </c>
      <c r="AM2748">
        <v>93.904891431642696</v>
      </c>
      <c r="AN2748">
        <v>0.99999998211753205</v>
      </c>
    </row>
    <row r="2749" spans="1:40" x14ac:dyDescent="0.25">
      <c r="A2749" t="str">
        <f>"20190303170551092"</f>
        <v>20190303170551092</v>
      </c>
      <c r="B2749" t="str">
        <f>"1551603951077554"</f>
        <v>1551603951077554</v>
      </c>
      <c r="C2749" t="s">
        <v>40</v>
      </c>
      <c r="D2749">
        <v>5.587898</v>
      </c>
      <c r="E2749">
        <v>0.54541260000000003</v>
      </c>
      <c r="F2749" t="s">
        <v>64</v>
      </c>
      <c r="G2749">
        <v>-436.77289999999999</v>
      </c>
      <c r="H2749" s="1">
        <v>5.5708159999999997E-6</v>
      </c>
      <c r="I2749">
        <v>210.60929999999999</v>
      </c>
      <c r="J2749">
        <v>-461.80439999999999</v>
      </c>
      <c r="K2749">
        <v>1.12253799999999</v>
      </c>
      <c r="L2749">
        <v>213.9299</v>
      </c>
      <c r="M2749">
        <v>0.99572890000000003</v>
      </c>
      <c r="N2749">
        <v>-9.0590070000000009E-3</v>
      </c>
      <c r="O2749">
        <v>-9.1882259999999993E-2</v>
      </c>
      <c r="P2749">
        <v>0.98026349999999995</v>
      </c>
      <c r="Q2749">
        <v>0.19630320000000001</v>
      </c>
      <c r="R2749">
        <v>-2.3424839999999999E-2</v>
      </c>
      <c r="S2749">
        <v>3.0765690000000001</v>
      </c>
      <c r="T2749">
        <v>-0.1366088</v>
      </c>
      <c r="U2749">
        <v>-0.40663149999999998</v>
      </c>
      <c r="V2749">
        <v>-6.7559919999999996E-2</v>
      </c>
      <c r="W2749">
        <v>0.2048912</v>
      </c>
      <c r="X2749">
        <v>0.97645029999999999</v>
      </c>
      <c r="Y2749">
        <v>3.9392829999999997E-2</v>
      </c>
      <c r="Z2749">
        <v>2.1695080000000001E-3</v>
      </c>
      <c r="AA2749">
        <v>0.99922140000000004</v>
      </c>
      <c r="AB2749">
        <v>24</v>
      </c>
      <c r="AC2749">
        <v>25.031499999999902</v>
      </c>
      <c r="AD2749">
        <v>-1.12253242918399</v>
      </c>
      <c r="AE2749">
        <v>-3.32060000000001</v>
      </c>
      <c r="AF2749">
        <v>1.0045224496898799</v>
      </c>
      <c r="AG2749">
        <v>-1.12253242918399</v>
      </c>
      <c r="AH2749">
        <v>25.180957176172399</v>
      </c>
      <c r="AI2749">
        <v>92.5504512324367</v>
      </c>
      <c r="AJ2749">
        <v>87.715559624144205</v>
      </c>
      <c r="AK2749">
        <v>25.225973692104098</v>
      </c>
      <c r="AL2749">
        <v>78.176869534177499</v>
      </c>
      <c r="AM2749">
        <v>93.957947569330798</v>
      </c>
      <c r="AN2749">
        <v>0.99999996749896702</v>
      </c>
    </row>
    <row r="2750" spans="1:40" x14ac:dyDescent="0.25">
      <c r="A2750" t="str">
        <f>"20190303170551115"</f>
        <v>20190303170551115</v>
      </c>
      <c r="B2750" t="str">
        <f>"1551603951107811"</f>
        <v>1551603951107811</v>
      </c>
      <c r="C2750" t="s">
        <v>40</v>
      </c>
      <c r="D2750">
        <v>5.5867990000000001</v>
      </c>
      <c r="E2750">
        <v>0.55233269999999901</v>
      </c>
      <c r="F2750" t="s">
        <v>64</v>
      </c>
      <c r="G2750">
        <v>-436.43329999999997</v>
      </c>
      <c r="H2750" s="1">
        <v>5.4190799999999998E-6</v>
      </c>
      <c r="I2750">
        <v>210.6223</v>
      </c>
      <c r="J2750">
        <v>-461.5521</v>
      </c>
      <c r="K2750">
        <v>1.122522</v>
      </c>
      <c r="L2750">
        <v>213.90960000000001</v>
      </c>
      <c r="M2750">
        <v>0.99596770000000001</v>
      </c>
      <c r="N2750">
        <v>-8.9754159999999999E-3</v>
      </c>
      <c r="O2750">
        <v>-8.9262690000000006E-2</v>
      </c>
      <c r="P2750">
        <v>0.98050530000000002</v>
      </c>
      <c r="Q2750">
        <v>0.19551940000000001</v>
      </c>
      <c r="R2750">
        <v>-1.9536629999999999E-2</v>
      </c>
      <c r="S2750">
        <v>3.0780940000000001</v>
      </c>
      <c r="T2750">
        <v>-0.13618930000000001</v>
      </c>
      <c r="U2750">
        <v>-0.40129090000000001</v>
      </c>
      <c r="V2750">
        <v>-6.8880570000000002E-2</v>
      </c>
      <c r="W2750">
        <v>0.2040197</v>
      </c>
      <c r="X2750">
        <v>0.97654059999999998</v>
      </c>
      <c r="Y2750">
        <v>4.0250199999999903E-2</v>
      </c>
      <c r="Z2750">
        <v>2.0540340000000002E-3</v>
      </c>
      <c r="AA2750">
        <v>0.99918750000000001</v>
      </c>
      <c r="AB2750">
        <v>24</v>
      </c>
      <c r="AC2750">
        <v>25.1188</v>
      </c>
      <c r="AD2750">
        <v>-1.12251658092</v>
      </c>
      <c r="AE2750">
        <v>-3.2873000000000099</v>
      </c>
      <c r="AF2750">
        <v>1.02989239622184</v>
      </c>
      <c r="AG2750">
        <v>-1.12251658092</v>
      </c>
      <c r="AH2750">
        <v>25.2623651312351</v>
      </c>
      <c r="AI2750">
        <v>92.5421178415002</v>
      </c>
      <c r="AJ2750">
        <v>87.665466837430799</v>
      </c>
      <c r="AK2750">
        <v>25.308255843619101</v>
      </c>
      <c r="AL2750">
        <v>78.227881439933995</v>
      </c>
      <c r="AM2750">
        <v>94.034691850224206</v>
      </c>
      <c r="AN2750">
        <v>1.0000000571799801</v>
      </c>
    </row>
    <row r="2751" spans="1:40" x14ac:dyDescent="0.25">
      <c r="A2751" t="str">
        <f>"20190303170551138"</f>
        <v>20190303170551138</v>
      </c>
      <c r="B2751" t="str">
        <f>"1551603951127330"</f>
        <v>1551603951127330</v>
      </c>
      <c r="C2751" t="s">
        <v>40</v>
      </c>
      <c r="D2751">
        <v>5.567075</v>
      </c>
      <c r="E2751">
        <v>0.55289189999999999</v>
      </c>
      <c r="F2751" t="s">
        <v>64</v>
      </c>
      <c r="G2751">
        <v>-435.23390000000001</v>
      </c>
      <c r="H2751" s="1">
        <v>4.9320980000000001E-6</v>
      </c>
      <c r="I2751">
        <v>210.10849999999999</v>
      </c>
      <c r="J2751">
        <v>-461.3</v>
      </c>
      <c r="K2751">
        <v>1.122509</v>
      </c>
      <c r="L2751">
        <v>213.88990000000001</v>
      </c>
      <c r="M2751">
        <v>0.99619979999999997</v>
      </c>
      <c r="N2751">
        <v>-8.8882730000000004E-3</v>
      </c>
      <c r="O2751">
        <v>-8.6645269999999996E-2</v>
      </c>
      <c r="P2751">
        <v>0.98090739999999998</v>
      </c>
      <c r="Q2751">
        <v>0.1938406</v>
      </c>
      <c r="R2751">
        <v>-1.5712190000000001E-2</v>
      </c>
      <c r="S2751">
        <v>3.076965</v>
      </c>
      <c r="T2751">
        <v>-0.1312381</v>
      </c>
      <c r="U2751">
        <v>-0.44439699999999999</v>
      </c>
      <c r="V2751">
        <v>-7.015101E-2</v>
      </c>
      <c r="W2751">
        <v>0.20225209999999999</v>
      </c>
      <c r="X2751">
        <v>0.97681779999999996</v>
      </c>
      <c r="Y2751">
        <v>5.6634440000000001E-2</v>
      </c>
      <c r="Z2751">
        <v>1.443731E-3</v>
      </c>
      <c r="AA2751">
        <v>0.998394</v>
      </c>
      <c r="AB2751">
        <v>24</v>
      </c>
      <c r="AC2751">
        <v>26.066099999999999</v>
      </c>
      <c r="AD2751">
        <v>-1.122504067902</v>
      </c>
      <c r="AE2751">
        <v>-3.7814000000000099</v>
      </c>
      <c r="AF2751">
        <v>1.50584988687538</v>
      </c>
      <c r="AG2751">
        <v>-1.122504067902</v>
      </c>
      <c r="AH2751">
        <v>26.248043536483401</v>
      </c>
      <c r="AI2751">
        <v>92.444761023199007</v>
      </c>
      <c r="AJ2751">
        <v>86.716541082026097</v>
      </c>
      <c r="AK2751">
        <v>26.315155115586698</v>
      </c>
      <c r="AL2751">
        <v>78.331313839688093</v>
      </c>
      <c r="AM2751">
        <v>94.107693510653206</v>
      </c>
      <c r="AN2751">
        <v>1.0000000452776301</v>
      </c>
    </row>
    <row r="2752" spans="1:40" x14ac:dyDescent="0.25">
      <c r="A2752" t="str">
        <f>"20190303170551157"</f>
        <v>20190303170551157</v>
      </c>
      <c r="B2752" t="str">
        <f>"1551603951147826"</f>
        <v>1551603951147826</v>
      </c>
      <c r="C2752" t="s">
        <v>40</v>
      </c>
      <c r="D2752">
        <v>5.5569750000000004</v>
      </c>
      <c r="E2752">
        <v>0.55345869999999997</v>
      </c>
      <c r="F2752" t="s">
        <v>64</v>
      </c>
      <c r="G2752">
        <v>-437.37290000000002</v>
      </c>
      <c r="H2752" s="1">
        <v>5.846929E-6</v>
      </c>
      <c r="I2752">
        <v>210.49440000000001</v>
      </c>
      <c r="J2752">
        <v>-461.09199999999998</v>
      </c>
      <c r="K2752">
        <v>1.122506</v>
      </c>
      <c r="L2752">
        <v>213.8742</v>
      </c>
      <c r="M2752">
        <v>0.99638579999999999</v>
      </c>
      <c r="N2752">
        <v>-8.8142749999999999E-3</v>
      </c>
      <c r="O2752">
        <v>-8.4483730000000007E-2</v>
      </c>
      <c r="P2752">
        <v>0.98113430000000001</v>
      </c>
      <c r="Q2752">
        <v>0.19293360000000001</v>
      </c>
      <c r="R2752">
        <v>-1.2325259999999999E-2</v>
      </c>
      <c r="S2752">
        <v>3.0799560000000001</v>
      </c>
      <c r="T2752">
        <v>-0.14449119999999999</v>
      </c>
      <c r="U2752">
        <v>-0.43708799999999998</v>
      </c>
      <c r="V2752">
        <v>-7.1420549999999999E-2</v>
      </c>
      <c r="W2752">
        <v>0.20126759999999999</v>
      </c>
      <c r="X2752">
        <v>0.97692909999999999</v>
      </c>
      <c r="Y2752">
        <v>5.6342169999999997E-2</v>
      </c>
      <c r="Z2752">
        <v>1.625706E-3</v>
      </c>
      <c r="AA2752">
        <v>0.99841020000000003</v>
      </c>
      <c r="AB2752">
        <v>24</v>
      </c>
      <c r="AC2752">
        <v>23.719099999999901</v>
      </c>
      <c r="AD2752">
        <v>-1.1225001530709999</v>
      </c>
      <c r="AE2752">
        <v>-3.3797999999999799</v>
      </c>
      <c r="AF2752">
        <v>1.36077278281054</v>
      </c>
      <c r="AG2752">
        <v>-1.1225001530709999</v>
      </c>
      <c r="AH2752">
        <v>23.8674529486313</v>
      </c>
      <c r="AI2752">
        <v>92.688310322093699</v>
      </c>
      <c r="AJ2752">
        <v>86.736885858614201</v>
      </c>
      <c r="AK2752">
        <v>23.932551460619699</v>
      </c>
      <c r="AL2752">
        <v>78.388905429585705</v>
      </c>
      <c r="AM2752">
        <v>94.181295330685003</v>
      </c>
      <c r="AN2752">
        <v>1.0000000040994299</v>
      </c>
    </row>
    <row r="2753" spans="1:40" x14ac:dyDescent="0.25">
      <c r="A2753" t="str">
        <f>"20190303170551181"</f>
        <v>20190303170551181</v>
      </c>
      <c r="B2753" t="str">
        <f>"1551603951167346"</f>
        <v>1551603951167346</v>
      </c>
      <c r="C2753" t="s">
        <v>40</v>
      </c>
      <c r="D2753">
        <v>5.5652980000000003</v>
      </c>
      <c r="E2753">
        <v>0.55376859999999895</v>
      </c>
      <c r="F2753" t="s">
        <v>64</v>
      </c>
      <c r="G2753">
        <v>-437.99990000000003</v>
      </c>
      <c r="H2753" s="1">
        <v>6.1122639999999998E-6</v>
      </c>
      <c r="I2753">
        <v>210.6397</v>
      </c>
      <c r="J2753">
        <v>-460.8374</v>
      </c>
      <c r="K2753">
        <v>1.122495</v>
      </c>
      <c r="L2753">
        <v>213.85560000000001</v>
      </c>
      <c r="M2753">
        <v>0.99660749999999998</v>
      </c>
      <c r="N2753">
        <v>-8.7212269999999998E-3</v>
      </c>
      <c r="O2753">
        <v>-8.1838640000000004E-2</v>
      </c>
      <c r="P2753">
        <v>0.98123939999999998</v>
      </c>
      <c r="Q2753">
        <v>0.1925925</v>
      </c>
      <c r="R2753">
        <v>-8.7942430000000002E-3</v>
      </c>
      <c r="S2753">
        <v>3.081696</v>
      </c>
      <c r="T2753">
        <v>-0.1498005</v>
      </c>
      <c r="U2753">
        <v>-0.43165589999999998</v>
      </c>
      <c r="V2753">
        <v>-7.2353239999999999E-2</v>
      </c>
      <c r="W2753">
        <v>0.20082990000000001</v>
      </c>
      <c r="X2753">
        <v>0.97695050000000005</v>
      </c>
      <c r="Y2753">
        <v>5.7186149999999998E-2</v>
      </c>
      <c r="Z2753">
        <v>1.602921E-3</v>
      </c>
      <c r="AA2753">
        <v>0.99836219999999998</v>
      </c>
      <c r="AB2753">
        <v>25</v>
      </c>
      <c r="AC2753">
        <v>22.837499999999899</v>
      </c>
      <c r="AD2753">
        <v>-1.122488887736</v>
      </c>
      <c r="AE2753">
        <v>-3.2159</v>
      </c>
      <c r="AF2753">
        <v>1.3328934024983401</v>
      </c>
      <c r="AG2753">
        <v>-1.122488887736</v>
      </c>
      <c r="AH2753">
        <v>22.969670820304</v>
      </c>
      <c r="AI2753">
        <v>92.7930309051319</v>
      </c>
      <c r="AJ2753">
        <v>86.678941519264498</v>
      </c>
      <c r="AK2753">
        <v>23.035675890206399</v>
      </c>
      <c r="AL2753">
        <v>78.414506014517997</v>
      </c>
      <c r="AM2753">
        <v>94.235609493606006</v>
      </c>
      <c r="AN2753">
        <v>0.99999995976137801</v>
      </c>
    </row>
    <row r="2754" spans="1:40" x14ac:dyDescent="0.25">
      <c r="A2754" t="str">
        <f>"20190303170551201"</f>
        <v>20190303170551201</v>
      </c>
      <c r="B2754" t="str">
        <f>"1551603951187843"</f>
        <v>1551603951187843</v>
      </c>
      <c r="C2754" t="s">
        <v>40</v>
      </c>
      <c r="D2754">
        <v>5.7211600000000002</v>
      </c>
      <c r="E2754">
        <v>0.5239201</v>
      </c>
      <c r="F2754" t="s">
        <v>64</v>
      </c>
      <c r="G2754">
        <v>-437.91860000000003</v>
      </c>
      <c r="H2754" s="1">
        <v>6.0706449999999997E-6</v>
      </c>
      <c r="I2754">
        <v>210.70349999999999</v>
      </c>
      <c r="J2754">
        <v>-460.60610000000003</v>
      </c>
      <c r="K2754">
        <v>1.1224860000000001</v>
      </c>
      <c r="L2754">
        <v>213.83920000000001</v>
      </c>
      <c r="M2754">
        <v>0.99680259999999998</v>
      </c>
      <c r="N2754">
        <v>-8.6338919999999902E-3</v>
      </c>
      <c r="O2754">
        <v>-7.9436510000000002E-2</v>
      </c>
      <c r="P2754">
        <v>0.98128400000000005</v>
      </c>
      <c r="Q2754">
        <v>0.19247510000000001</v>
      </c>
      <c r="R2754">
        <v>-5.9187379999999998E-3</v>
      </c>
      <c r="S2754">
        <v>3.0831909999999998</v>
      </c>
      <c r="T2754">
        <v>-0.1510049</v>
      </c>
      <c r="U2754">
        <v>-0.42404170000000002</v>
      </c>
      <c r="V2754">
        <v>-7.2867399999999999E-2</v>
      </c>
      <c r="W2754">
        <v>0.20062350000000001</v>
      </c>
      <c r="X2754">
        <v>0.97695480000000001</v>
      </c>
      <c r="Y2754">
        <v>5.7105589999999998E-2</v>
      </c>
      <c r="Z2754">
        <v>1.5390309999999999E-3</v>
      </c>
      <c r="AA2754">
        <v>0.998367</v>
      </c>
      <c r="AB2754">
        <v>25</v>
      </c>
      <c r="AC2754">
        <v>22.6875</v>
      </c>
      <c r="AD2754">
        <v>-1.1224799293549901</v>
      </c>
      <c r="AE2754">
        <v>-3.1357000000000101</v>
      </c>
      <c r="AF2754">
        <v>1.3203359440076801</v>
      </c>
      <c r="AG2754">
        <v>-1.1224799293549901</v>
      </c>
      <c r="AH2754">
        <v>22.810109852729202</v>
      </c>
      <c r="AI2754">
        <v>92.812538458127705</v>
      </c>
      <c r="AJ2754">
        <v>86.687198873498303</v>
      </c>
      <c r="AK2754">
        <v>22.875846644231999</v>
      </c>
      <c r="AL2754">
        <v>78.426578775520696</v>
      </c>
      <c r="AM2754">
        <v>94.2655793694652</v>
      </c>
      <c r="AN2754">
        <v>1.0000000639890201</v>
      </c>
    </row>
    <row r="2755" spans="1:40" x14ac:dyDescent="0.25">
      <c r="A2755" t="str">
        <f>"20190303170551226"</f>
        <v>20190303170551226</v>
      </c>
      <c r="B2755" t="str">
        <f>"1551603951217123"</f>
        <v>1551603951217123</v>
      </c>
      <c r="C2755" t="s">
        <v>40</v>
      </c>
      <c r="D2755">
        <v>5.5792890000000002</v>
      </c>
      <c r="E2755">
        <v>0.46341890000000002</v>
      </c>
      <c r="F2755" t="s">
        <v>64</v>
      </c>
      <c r="G2755">
        <v>-437.73079999999999</v>
      </c>
      <c r="H2755" s="1">
        <v>5.82806799999999E-6</v>
      </c>
      <c r="I2755">
        <v>212.5257</v>
      </c>
      <c r="J2755">
        <v>-460.34059999999999</v>
      </c>
      <c r="K2755">
        <v>1.1224749999999999</v>
      </c>
      <c r="L2755">
        <v>213.8212</v>
      </c>
      <c r="M2755">
        <v>0.99701949999999995</v>
      </c>
      <c r="N2755">
        <v>-8.5250929999999992E-3</v>
      </c>
      <c r="O2755">
        <v>-7.6677190000000006E-2</v>
      </c>
      <c r="P2755">
        <v>0.98130740000000005</v>
      </c>
      <c r="Q2755">
        <v>0.19243370000000001</v>
      </c>
      <c r="R2755">
        <v>-2.2335390000000001E-3</v>
      </c>
      <c r="S2755">
        <v>3.0858460000000001</v>
      </c>
      <c r="T2755">
        <v>-0.1514211</v>
      </c>
      <c r="U2755">
        <v>-0.17720030000000001</v>
      </c>
      <c r="V2755">
        <v>-7.3838249999999994E-2</v>
      </c>
      <c r="W2755">
        <v>0.2004697</v>
      </c>
      <c r="X2755">
        <v>0.97691340000000004</v>
      </c>
      <c r="Y2755">
        <v>-1.9303819999999999E-2</v>
      </c>
      <c r="Z2755">
        <v>3.6540100000000001E-3</v>
      </c>
      <c r="AA2755">
        <v>0.999807</v>
      </c>
      <c r="AB2755">
        <v>25</v>
      </c>
      <c r="AC2755">
        <v>22.6098</v>
      </c>
      <c r="AD2755">
        <v>-1.1224691719319999</v>
      </c>
      <c r="AE2755">
        <v>-1.2955000000000001</v>
      </c>
      <c r="AF2755">
        <v>-0.44095001049277899</v>
      </c>
      <c r="AG2755">
        <v>-1.1224691719319999</v>
      </c>
      <c r="AH2755">
        <v>22.5870830432665</v>
      </c>
      <c r="AI2755">
        <v>92.844442561274093</v>
      </c>
      <c r="AJ2755">
        <v>91.118398762506601</v>
      </c>
      <c r="AK2755">
        <v>22.619254946993902</v>
      </c>
      <c r="AL2755">
        <v>78.435572729264393</v>
      </c>
      <c r="AM2755">
        <v>94.322380402036302</v>
      </c>
      <c r="AN2755">
        <v>0.99999998944035595</v>
      </c>
    </row>
    <row r="2756" spans="1:40" x14ac:dyDescent="0.25">
      <c r="A2756" t="str">
        <f>"20190303170551248"</f>
        <v>20190303170551248</v>
      </c>
      <c r="B2756" t="str">
        <f>"1551603951237620"</f>
        <v>1551603951237620</v>
      </c>
      <c r="C2756" t="s">
        <v>40</v>
      </c>
      <c r="D2756">
        <v>5.5387529999999998</v>
      </c>
      <c r="E2756">
        <v>0.46201039999999999</v>
      </c>
      <c r="F2756" t="s">
        <v>64</v>
      </c>
      <c r="G2756">
        <v>-415.61169999999998</v>
      </c>
      <c r="H2756" s="1">
        <v>2.8715290000000001E-6</v>
      </c>
      <c r="I2756">
        <v>218.3871</v>
      </c>
      <c r="J2756">
        <v>-460.09280000000001</v>
      </c>
      <c r="K2756">
        <v>1.1224689999999999</v>
      </c>
      <c r="L2756">
        <v>213.80500000000001</v>
      </c>
      <c r="M2756">
        <v>0.99721510000000002</v>
      </c>
      <c r="N2756">
        <v>-8.4177030000000003E-3</v>
      </c>
      <c r="O2756">
        <v>-7.4103710000000003E-2</v>
      </c>
      <c r="P2756">
        <v>0.98148080000000004</v>
      </c>
      <c r="Q2756">
        <v>0.19155800000000001</v>
      </c>
      <c r="R2756">
        <v>9.0254379999999996E-4</v>
      </c>
      <c r="S2756">
        <v>3.0729679999999999</v>
      </c>
      <c r="T2756">
        <v>-7.7116249999999997E-2</v>
      </c>
      <c r="U2756">
        <v>0.31369019999999997</v>
      </c>
      <c r="V2756">
        <v>-7.4453480000000002E-2</v>
      </c>
      <c r="W2756">
        <v>0.19948579999999999</v>
      </c>
      <c r="X2756">
        <v>0.97706809999999999</v>
      </c>
      <c r="Y2756">
        <v>-0.1749136</v>
      </c>
      <c r="Z2756">
        <v>4.1600109999999999E-3</v>
      </c>
      <c r="AA2756">
        <v>0.98457499999999998</v>
      </c>
      <c r="AB2756">
        <v>25</v>
      </c>
      <c r="AC2756">
        <v>44.481099999999998</v>
      </c>
      <c r="AD2756">
        <v>-1.122466128471</v>
      </c>
      <c r="AE2756">
        <v>4.5820999999999898</v>
      </c>
      <c r="AF2756">
        <v>-7.8608786863767497</v>
      </c>
      <c r="AG2756">
        <v>-1.122466128471</v>
      </c>
      <c r="AH2756">
        <v>43.991510580282601</v>
      </c>
      <c r="AI2756">
        <v>91.438833333949901</v>
      </c>
      <c r="AJ2756">
        <v>100.131300231678</v>
      </c>
      <c r="AK2756">
        <v>44.702419924055697</v>
      </c>
      <c r="AL2756">
        <v>78.493108231887206</v>
      </c>
      <c r="AM2756">
        <v>94.357569464439393</v>
      </c>
      <c r="AN2756">
        <v>0.99999998856168004</v>
      </c>
    </row>
    <row r="2757" spans="1:40" x14ac:dyDescent="0.25">
      <c r="A2757" t="str">
        <f>"20190303170551281"</f>
        <v>20190303170551281</v>
      </c>
      <c r="B2757" t="str">
        <f>"1551603951277634"</f>
        <v>1551603951277634</v>
      </c>
      <c r="C2757" t="s">
        <v>40</v>
      </c>
      <c r="D2757">
        <v>5.476127</v>
      </c>
      <c r="E2757">
        <v>0.46186509999999997</v>
      </c>
      <c r="F2757" t="s">
        <v>64</v>
      </c>
      <c r="G2757">
        <v>-421.04860000000002</v>
      </c>
      <c r="H2757" s="1">
        <v>3.4789369999999998E-6</v>
      </c>
      <c r="I2757">
        <v>218.04409999999999</v>
      </c>
      <c r="J2757">
        <v>-459.71809999999999</v>
      </c>
      <c r="K2757">
        <v>1.122449</v>
      </c>
      <c r="L2757">
        <v>213.7816</v>
      </c>
      <c r="M2757">
        <v>0.99749770000000004</v>
      </c>
      <c r="N2757">
        <v>-8.256869E-3</v>
      </c>
      <c r="O2757">
        <v>-7.021587E-2</v>
      </c>
      <c r="P2757">
        <v>0.98189380000000004</v>
      </c>
      <c r="Q2757">
        <v>0.1893878</v>
      </c>
      <c r="R2757">
        <v>4.1200109999999998E-3</v>
      </c>
      <c r="S2757">
        <v>3.0735779999999999</v>
      </c>
      <c r="T2757">
        <v>-8.8360910000000001E-2</v>
      </c>
      <c r="U2757">
        <v>0.3337097</v>
      </c>
      <c r="V2757">
        <v>-7.3873889999999998E-2</v>
      </c>
      <c r="W2757">
        <v>0.19716159999999999</v>
      </c>
      <c r="X2757">
        <v>0.97758370000000006</v>
      </c>
      <c r="Y2757">
        <v>-0.1773729</v>
      </c>
      <c r="Z2757">
        <v>4.7113930000000004E-3</v>
      </c>
      <c r="AA2757">
        <v>0.98413249999999997</v>
      </c>
      <c r="AB2757">
        <v>25</v>
      </c>
      <c r="AC2757">
        <v>38.6694999999999</v>
      </c>
      <c r="AD2757">
        <v>-1.122445521063</v>
      </c>
      <c r="AE2757">
        <v>4.2624999999999797</v>
      </c>
      <c r="AF2757">
        <v>-6.9614887064742099</v>
      </c>
      <c r="AG2757">
        <v>-1.122445521063</v>
      </c>
      <c r="AH2757">
        <v>38.242910276361997</v>
      </c>
      <c r="AI2757">
        <v>91.654007676979205</v>
      </c>
      <c r="AJ2757">
        <v>100.31678501355201</v>
      </c>
      <c r="AK2757">
        <v>38.887560933594102</v>
      </c>
      <c r="AL2757">
        <v>78.628973654285204</v>
      </c>
      <c r="AM2757">
        <v>94.321504885900197</v>
      </c>
      <c r="AN2757">
        <v>0.99999996932198998</v>
      </c>
    </row>
    <row r="2758" spans="1:40" x14ac:dyDescent="0.25">
      <c r="A2758" t="str">
        <f>"20190303170551305"</f>
        <v>20190303170551305</v>
      </c>
      <c r="B2758" t="str">
        <f>"1551603951297155"</f>
        <v>1551603951297155</v>
      </c>
      <c r="C2758" t="s">
        <v>40</v>
      </c>
      <c r="D2758">
        <v>5.4966629999999999</v>
      </c>
      <c r="E2758">
        <v>0.46202729999999997</v>
      </c>
      <c r="F2758" t="s">
        <v>64</v>
      </c>
      <c r="G2758">
        <v>-426.07900000000001</v>
      </c>
      <c r="H2758" s="1">
        <v>2.6288050000000001E-6</v>
      </c>
      <c r="I2758">
        <v>217.5615</v>
      </c>
      <c r="J2758">
        <v>-459.464</v>
      </c>
      <c r="K2758">
        <v>1.1224379999999901</v>
      </c>
      <c r="L2758">
        <v>213.76660000000001</v>
      </c>
      <c r="M2758">
        <v>0.99768100000000004</v>
      </c>
      <c r="N2758">
        <v>-8.1327689999999998E-3</v>
      </c>
      <c r="O2758">
        <v>-6.7577760000000001E-2</v>
      </c>
      <c r="P2758">
        <v>0.98178410000000005</v>
      </c>
      <c r="Q2758">
        <v>0.18992709999999999</v>
      </c>
      <c r="R2758">
        <v>5.3037409999999998E-3</v>
      </c>
      <c r="S2758">
        <v>3.073639</v>
      </c>
      <c r="T2758">
        <v>-0.1025591</v>
      </c>
      <c r="U2758">
        <v>0.34536739999999999</v>
      </c>
      <c r="V2758">
        <v>-7.2464879999999995E-2</v>
      </c>
      <c r="W2758">
        <v>0.19758419999999999</v>
      </c>
      <c r="X2758">
        <v>0.97760389999999997</v>
      </c>
      <c r="Y2758">
        <v>-0.1784201</v>
      </c>
      <c r="Z2758">
        <v>5.3950880000000001E-3</v>
      </c>
      <c r="AA2758">
        <v>0.98393960000000003</v>
      </c>
      <c r="AB2758">
        <v>25</v>
      </c>
      <c r="AC2758">
        <v>33.384999999999899</v>
      </c>
      <c r="AD2758">
        <v>-1.1224353711949999</v>
      </c>
      <c r="AE2758">
        <v>3.7948999999999802</v>
      </c>
      <c r="AF2758">
        <v>-6.0356466757890797</v>
      </c>
      <c r="AG2758">
        <v>-1.1224353711949999</v>
      </c>
      <c r="AH2758">
        <v>33.015374440480898</v>
      </c>
      <c r="AI2758">
        <v>91.915434673319993</v>
      </c>
      <c r="AJ2758">
        <v>100.360023514368</v>
      </c>
      <c r="AK2758">
        <v>33.581301961100799</v>
      </c>
      <c r="AL2758">
        <v>78.6042752908361</v>
      </c>
      <c r="AM2758">
        <v>94.239296176367404</v>
      </c>
      <c r="AN2758">
        <v>1.0000000301091301</v>
      </c>
    </row>
    <row r="2759" spans="1:40" x14ac:dyDescent="0.25">
      <c r="A2759" t="str">
        <f>"20190303170551326"</f>
        <v>20190303170551326</v>
      </c>
      <c r="B2759" t="str">
        <f>"1551603951317651"</f>
        <v>1551603951317651</v>
      </c>
      <c r="C2759" t="s">
        <v>40</v>
      </c>
      <c r="D2759">
        <v>5.4828039999999998</v>
      </c>
      <c r="E2759">
        <v>0.46196660000000001</v>
      </c>
      <c r="F2759" t="s">
        <v>64</v>
      </c>
      <c r="G2759">
        <v>-423.6497</v>
      </c>
      <c r="H2759" s="1">
        <v>3.0373499999999998E-6</v>
      </c>
      <c r="I2759">
        <v>217.81739999999999</v>
      </c>
      <c r="J2759">
        <v>-459.22320000000002</v>
      </c>
      <c r="K2759">
        <v>1.122431</v>
      </c>
      <c r="L2759">
        <v>213.75299999999999</v>
      </c>
      <c r="M2759">
        <v>0.99784850000000003</v>
      </c>
      <c r="N2759">
        <v>-7.9854369999999997E-3</v>
      </c>
      <c r="O2759">
        <v>-6.507744E-2</v>
      </c>
      <c r="P2759">
        <v>0.98153319999999999</v>
      </c>
      <c r="Q2759">
        <v>0.19118969999999999</v>
      </c>
      <c r="R2759">
        <v>6.2935810000000003E-3</v>
      </c>
      <c r="S2759">
        <v>3.0724179999999999</v>
      </c>
      <c r="T2759">
        <v>-9.6291070000000006E-2</v>
      </c>
      <c r="U2759">
        <v>0.34750370000000003</v>
      </c>
      <c r="V2759">
        <v>-7.0991670000000007E-2</v>
      </c>
      <c r="W2759">
        <v>0.1987054</v>
      </c>
      <c r="X2759">
        <v>0.97748469999999998</v>
      </c>
      <c r="Y2759">
        <v>-0.176691299999999</v>
      </c>
      <c r="Z2759">
        <v>4.9829100000000001E-3</v>
      </c>
      <c r="AA2759">
        <v>0.98425370000000001</v>
      </c>
      <c r="AB2759">
        <v>25</v>
      </c>
      <c r="AC2759">
        <v>35.573500000000003</v>
      </c>
      <c r="AD2759">
        <v>-1.12242796265</v>
      </c>
      <c r="AE2759">
        <v>4.0644</v>
      </c>
      <c r="AF2759">
        <v>-6.3646347159262699</v>
      </c>
      <c r="AG2759">
        <v>-1.12242796265</v>
      </c>
      <c r="AH2759">
        <v>35.198987128250998</v>
      </c>
      <c r="AI2759">
        <v>91.797307306257395</v>
      </c>
      <c r="AJ2759">
        <v>100.249402562405</v>
      </c>
      <c r="AK2759">
        <v>35.787387644997096</v>
      </c>
      <c r="AL2759">
        <v>78.5387353969206</v>
      </c>
      <c r="AM2759">
        <v>94.153920786094105</v>
      </c>
      <c r="AN2759">
        <v>0.99999999596631906</v>
      </c>
    </row>
    <row r="2760" spans="1:40" x14ac:dyDescent="0.25">
      <c r="A2760" t="str">
        <f>"20190303170551347"</f>
        <v>20190303170551347</v>
      </c>
      <c r="B2760" t="str">
        <f>"1551603951337171"</f>
        <v>1551603951337171</v>
      </c>
      <c r="C2760" t="s">
        <v>40</v>
      </c>
      <c r="D2760">
        <v>5.457344</v>
      </c>
      <c r="E2760">
        <v>0.46208510000000003</v>
      </c>
      <c r="F2760" t="s">
        <v>64</v>
      </c>
      <c r="G2760">
        <v>-422.64069999999998</v>
      </c>
      <c r="H2760" s="1">
        <v>3.205774E-6</v>
      </c>
      <c r="I2760">
        <v>217.9383</v>
      </c>
      <c r="J2760">
        <v>-458.9753</v>
      </c>
      <c r="K2760">
        <v>1.1224050000000001</v>
      </c>
      <c r="L2760">
        <v>213.7397</v>
      </c>
      <c r="M2760">
        <v>0.99801399999999996</v>
      </c>
      <c r="N2760">
        <v>-7.8187650000000001E-3</v>
      </c>
      <c r="O2760">
        <v>-6.250617E-2</v>
      </c>
      <c r="P2760">
        <v>0.98151350000000004</v>
      </c>
      <c r="Q2760">
        <v>0.19123780000000001</v>
      </c>
      <c r="R2760">
        <v>7.7113750000000003E-3</v>
      </c>
      <c r="S2760">
        <v>3.07254</v>
      </c>
      <c r="T2760">
        <v>-9.4272019999999998E-2</v>
      </c>
      <c r="U2760">
        <v>0.35151670000000002</v>
      </c>
      <c r="V2760">
        <v>-6.9887619999999998E-2</v>
      </c>
      <c r="W2760">
        <v>0.1985942</v>
      </c>
      <c r="X2760">
        <v>0.97758690000000004</v>
      </c>
      <c r="Y2760">
        <v>-0.17542639999999901</v>
      </c>
      <c r="Z2760">
        <v>4.7951549999999997E-3</v>
      </c>
      <c r="AA2760">
        <v>0.98448089999999999</v>
      </c>
      <c r="AB2760">
        <v>25</v>
      </c>
      <c r="AC2760">
        <v>36.334600000000002</v>
      </c>
      <c r="AD2760">
        <v>-1.1224017942259901</v>
      </c>
      <c r="AE2760">
        <v>4.1985999999999901</v>
      </c>
      <c r="AF2760">
        <v>-6.4555165396062097</v>
      </c>
      <c r="AG2760">
        <v>-1.1224017942259901</v>
      </c>
      <c r="AH2760">
        <v>35.967230754783898</v>
      </c>
      <c r="AI2760">
        <v>91.759310675856398</v>
      </c>
      <c r="AJ2760">
        <v>100.17529437829999</v>
      </c>
      <c r="AK2760">
        <v>36.559200863102603</v>
      </c>
      <c r="AL2760">
        <v>78.5452367732818</v>
      </c>
      <c r="AM2760">
        <v>94.089114561678898</v>
      </c>
      <c r="AN2760">
        <v>1.0000000413772501</v>
      </c>
    </row>
    <row r="2761" spans="1:40" x14ac:dyDescent="0.25">
      <c r="A2761" t="str">
        <f>"20190303170551370"</f>
        <v>20190303170551370</v>
      </c>
      <c r="B2761" t="str">
        <f>"1551603951357667"</f>
        <v>1551603951357667</v>
      </c>
      <c r="C2761" t="s">
        <v>40</v>
      </c>
      <c r="D2761">
        <v>5.4420109999999999</v>
      </c>
      <c r="E2761">
        <v>0.4623582</v>
      </c>
      <c r="F2761" t="s">
        <v>64</v>
      </c>
      <c r="G2761">
        <v>-422.80619999999999</v>
      </c>
      <c r="H2761" s="1">
        <v>3.1775430000000002E-6</v>
      </c>
      <c r="I2761">
        <v>217.92529999999999</v>
      </c>
      <c r="J2761">
        <v>-458.72309999999999</v>
      </c>
      <c r="K2761">
        <v>1.1223799999999999</v>
      </c>
      <c r="L2761">
        <v>213.72669999999999</v>
      </c>
      <c r="M2761">
        <v>0.99817579999999995</v>
      </c>
      <c r="N2761">
        <v>-7.635083E-3</v>
      </c>
      <c r="O2761">
        <v>-5.9890180000000001E-2</v>
      </c>
      <c r="P2761">
        <v>0.98164059999999997</v>
      </c>
      <c r="Q2761">
        <v>0.19050529999999999</v>
      </c>
      <c r="R2761">
        <v>9.4616960000000003E-3</v>
      </c>
      <c r="S2761">
        <v>3.072235</v>
      </c>
      <c r="T2761">
        <v>-9.5337749999999999E-2</v>
      </c>
      <c r="U2761">
        <v>0.35552979999999901</v>
      </c>
      <c r="V2761">
        <v>-6.9077319999999998E-2</v>
      </c>
      <c r="W2761">
        <v>0.19768559999999999</v>
      </c>
      <c r="X2761">
        <v>0.97782860000000005</v>
      </c>
      <c r="Y2761">
        <v>-0.17412520000000001</v>
      </c>
      <c r="Z2761">
        <v>4.7564340000000004E-3</v>
      </c>
      <c r="AA2761">
        <v>0.98471200000000003</v>
      </c>
      <c r="AB2761">
        <v>25</v>
      </c>
      <c r="AC2761">
        <v>35.916899999999998</v>
      </c>
      <c r="AD2761">
        <v>-1.1223768224570001</v>
      </c>
      <c r="AE2761">
        <v>4.1985999999999901</v>
      </c>
      <c r="AF2761">
        <v>-6.3360913137957304</v>
      </c>
      <c r="AG2761">
        <v>-1.1223768224570001</v>
      </c>
      <c r="AH2761">
        <v>35.566698904882401</v>
      </c>
      <c r="AI2761">
        <v>91.779482604915799</v>
      </c>
      <c r="AJ2761">
        <v>100.10108877127701</v>
      </c>
      <c r="AK2761">
        <v>36.144098465156297</v>
      </c>
      <c r="AL2761">
        <v>78.598348502903903</v>
      </c>
      <c r="AM2761">
        <v>94.040866317069003</v>
      </c>
      <c r="AN2761">
        <v>1.0000000217818501</v>
      </c>
    </row>
    <row r="2762" spans="1:40" x14ac:dyDescent="0.25">
      <c r="A2762" t="str">
        <f>"20190303170551390"</f>
        <v>20190303170551390</v>
      </c>
      <c r="B2762" t="str">
        <f>"1551603951377187"</f>
        <v>1551603951377187</v>
      </c>
      <c r="C2762" t="s">
        <v>40</v>
      </c>
      <c r="D2762">
        <v>5.41221</v>
      </c>
      <c r="E2762">
        <v>0.46256380000000002</v>
      </c>
      <c r="F2762" t="s">
        <v>64</v>
      </c>
      <c r="G2762">
        <v>-423.85379999999998</v>
      </c>
      <c r="H2762" s="1">
        <v>3.0026089999999999E-6</v>
      </c>
      <c r="I2762">
        <v>217.80080000000001</v>
      </c>
      <c r="J2762">
        <v>-458.48509999999999</v>
      </c>
      <c r="K2762">
        <v>1.1223510000000001</v>
      </c>
      <c r="L2762">
        <v>213.715</v>
      </c>
      <c r="M2762">
        <v>0.99832220000000005</v>
      </c>
      <c r="N2762">
        <v>-7.4458319999999899E-3</v>
      </c>
      <c r="O2762">
        <v>-5.7423219999999997E-2</v>
      </c>
      <c r="P2762">
        <v>0.98176470000000005</v>
      </c>
      <c r="Q2762">
        <v>0.18980359999999999</v>
      </c>
      <c r="R2762">
        <v>1.061668E-2</v>
      </c>
      <c r="S2762">
        <v>3.071869</v>
      </c>
      <c r="T2762">
        <v>-9.8877549999999995E-2</v>
      </c>
      <c r="U2762">
        <v>0.35891719999999999</v>
      </c>
      <c r="V2762">
        <v>-6.7818020000000007E-2</v>
      </c>
      <c r="W2762">
        <v>0.19680400000000001</v>
      </c>
      <c r="X2762">
        <v>0.97809449999999998</v>
      </c>
      <c r="Y2762">
        <v>-0.17276949999999999</v>
      </c>
      <c r="Z2762">
        <v>4.8325529999999998E-3</v>
      </c>
      <c r="AA2762">
        <v>0.9849504</v>
      </c>
      <c r="AB2762">
        <v>25</v>
      </c>
      <c r="AC2762">
        <v>34.631300000000003</v>
      </c>
      <c r="AD2762">
        <v>-1.122347997391</v>
      </c>
      <c r="AE2762">
        <v>4.0857999999999999</v>
      </c>
      <c r="AF2762">
        <v>-6.0614745300788702</v>
      </c>
      <c r="AG2762">
        <v>-1.122347997391</v>
      </c>
      <c r="AH2762">
        <v>34.303991123836497</v>
      </c>
      <c r="AI2762">
        <v>91.845351615056401</v>
      </c>
      <c r="AJ2762">
        <v>100.02066072752</v>
      </c>
      <c r="AK2762">
        <v>34.853478241494003</v>
      </c>
      <c r="AL2762">
        <v>78.649872150639595</v>
      </c>
      <c r="AM2762">
        <v>93.966362428195296</v>
      </c>
      <c r="AN2762">
        <v>0.99999997459148404</v>
      </c>
    </row>
    <row r="2763" spans="1:40" x14ac:dyDescent="0.25">
      <c r="A2763" t="str">
        <f>"20190303170551414"</f>
        <v>20190303170551414</v>
      </c>
      <c r="B2763" t="str">
        <f>"1551603951407442"</f>
        <v>1551603951407442</v>
      </c>
      <c r="C2763" t="s">
        <v>40</v>
      </c>
      <c r="D2763">
        <v>5.4276619999999998</v>
      </c>
      <c r="E2763">
        <v>0.46327810000000003</v>
      </c>
      <c r="F2763" t="s">
        <v>64</v>
      </c>
      <c r="G2763">
        <v>-424.55509999999998</v>
      </c>
      <c r="H2763" s="1">
        <v>2.8861429999999999E-6</v>
      </c>
      <c r="I2763">
        <v>217.71</v>
      </c>
      <c r="J2763">
        <v>-458.2165</v>
      </c>
      <c r="K2763">
        <v>1.1223240000000001</v>
      </c>
      <c r="L2763">
        <v>213.70259999999999</v>
      </c>
      <c r="M2763">
        <v>0.99848009999999998</v>
      </c>
      <c r="N2763">
        <v>-7.2113840000000004E-3</v>
      </c>
      <c r="O2763">
        <v>-5.4641380000000003E-2</v>
      </c>
      <c r="P2763">
        <v>0.98154410000000003</v>
      </c>
      <c r="Q2763">
        <v>0.1908909</v>
      </c>
      <c r="R2763">
        <v>1.149859E-2</v>
      </c>
      <c r="S2763">
        <v>3.0714419999999998</v>
      </c>
      <c r="T2763">
        <v>-0.1015983</v>
      </c>
      <c r="U2763">
        <v>0.36163329999999999</v>
      </c>
      <c r="V2763">
        <v>-6.5966769999999994E-2</v>
      </c>
      <c r="W2763">
        <v>0.19766739999999999</v>
      </c>
      <c r="X2763">
        <v>0.978047</v>
      </c>
      <c r="Y2763">
        <v>-0.1708954</v>
      </c>
      <c r="Z2763">
        <v>4.8435809999999996E-3</v>
      </c>
      <c r="AA2763">
        <v>0.98527730000000002</v>
      </c>
      <c r="AB2763">
        <v>26</v>
      </c>
      <c r="AC2763">
        <v>33.6614</v>
      </c>
      <c r="AD2763">
        <v>-1.122321113857</v>
      </c>
      <c r="AE2763">
        <v>4.0074000000000103</v>
      </c>
      <c r="AF2763">
        <v>-5.8343706398706496</v>
      </c>
      <c r="AG2763">
        <v>-1.122321113857</v>
      </c>
      <c r="AH2763">
        <v>33.355571507286399</v>
      </c>
      <c r="AI2763">
        <v>91.898315527406695</v>
      </c>
      <c r="AJ2763">
        <v>99.921488094855505</v>
      </c>
      <c r="AK2763">
        <v>33.880579039085099</v>
      </c>
      <c r="AL2763">
        <v>78.599411736563198</v>
      </c>
      <c r="AM2763">
        <v>93.858609804553197</v>
      </c>
      <c r="AN2763">
        <v>0.99999997498799598</v>
      </c>
    </row>
    <row r="2764" spans="1:40" x14ac:dyDescent="0.25">
      <c r="A2764" t="str">
        <f>"20190303170551437"</f>
        <v>20190303170551437</v>
      </c>
      <c r="B2764" t="str">
        <f>"1551603951427939"</f>
        <v>1551603951427939</v>
      </c>
      <c r="C2764" t="s">
        <v>40</v>
      </c>
      <c r="D2764">
        <v>5.3686879999999997</v>
      </c>
      <c r="E2764">
        <v>0.46372079999999999</v>
      </c>
      <c r="F2764" t="s">
        <v>64</v>
      </c>
      <c r="G2764">
        <v>-422.25099999999998</v>
      </c>
      <c r="H2764" s="1">
        <v>3.2773529999999999E-6</v>
      </c>
      <c r="I2764">
        <v>217.9101</v>
      </c>
      <c r="J2764">
        <v>-457.95710000000003</v>
      </c>
      <c r="K2764">
        <v>1.122304</v>
      </c>
      <c r="L2764">
        <v>213.69120000000001</v>
      </c>
      <c r="M2764">
        <v>0.99862499999999998</v>
      </c>
      <c r="N2764">
        <v>-6.9671710000000003E-3</v>
      </c>
      <c r="O2764">
        <v>-5.1957299999999998E-2</v>
      </c>
      <c r="P2764">
        <v>0.98138939999999997</v>
      </c>
      <c r="Q2764">
        <v>0.19160250000000001</v>
      </c>
      <c r="R2764">
        <v>1.277915E-2</v>
      </c>
      <c r="S2764">
        <v>3.0708310000000001</v>
      </c>
      <c r="T2764">
        <v>-9.582686E-2</v>
      </c>
      <c r="U2764">
        <v>0.35925289999999999</v>
      </c>
      <c r="V2764">
        <v>-6.4613509999999999E-2</v>
      </c>
      <c r="W2764">
        <v>0.19814319999999999</v>
      </c>
      <c r="X2764">
        <v>0.9780411</v>
      </c>
      <c r="Y2764">
        <v>-0.1675323</v>
      </c>
      <c r="Z2764">
        <v>4.4458149999999997E-3</v>
      </c>
      <c r="AA2764">
        <v>0.98585659999999997</v>
      </c>
      <c r="AB2764">
        <v>26</v>
      </c>
      <c r="AC2764">
        <v>35.706099999999999</v>
      </c>
      <c r="AD2764">
        <v>-1.1223007226469901</v>
      </c>
      <c r="AE2764">
        <v>4.2188999999999899</v>
      </c>
      <c r="AF2764">
        <v>-6.0625318769115903</v>
      </c>
      <c r="AG2764">
        <v>-1.1223007226469901</v>
      </c>
      <c r="AH2764">
        <v>35.404165867764398</v>
      </c>
      <c r="AI2764">
        <v>91.7896187973504</v>
      </c>
      <c r="AJ2764">
        <v>99.716960499299503</v>
      </c>
      <c r="AK2764">
        <v>35.937011735295897</v>
      </c>
      <c r="AL2764">
        <v>78.571600769938001</v>
      </c>
      <c r="AM2764">
        <v>93.779707822620907</v>
      </c>
      <c r="AN2764">
        <v>1.00000001333498</v>
      </c>
    </row>
    <row r="2765" spans="1:40" x14ac:dyDescent="0.25">
      <c r="A2765" t="str">
        <f>"20190303170551469"</f>
        <v>20190303170551469</v>
      </c>
      <c r="B2765" t="str">
        <f>"1551603951457222"</f>
        <v>1551603951457222</v>
      </c>
      <c r="C2765" t="s">
        <v>40</v>
      </c>
      <c r="D2765">
        <v>5.3704739999999997</v>
      </c>
      <c r="E2765">
        <v>0.46417900000000001</v>
      </c>
      <c r="F2765" t="s">
        <v>64</v>
      </c>
      <c r="G2765">
        <v>-420.74869999999999</v>
      </c>
      <c r="H2765" s="1">
        <v>3.531169E-6</v>
      </c>
      <c r="I2765">
        <v>218.05520000000001</v>
      </c>
      <c r="J2765">
        <v>-457.58359999999999</v>
      </c>
      <c r="K2765">
        <v>1.122263</v>
      </c>
      <c r="L2765">
        <v>213.67599999999999</v>
      </c>
      <c r="M2765">
        <v>0.99882040000000005</v>
      </c>
      <c r="N2765">
        <v>-6.5971980000000003E-3</v>
      </c>
      <c r="O2765">
        <v>-4.8108100000000001E-2</v>
      </c>
      <c r="P2765">
        <v>0.98132540000000001</v>
      </c>
      <c r="Q2765">
        <v>0.19176770000000001</v>
      </c>
      <c r="R2765">
        <v>1.502001E-2</v>
      </c>
      <c r="S2765">
        <v>3.0702509999999998</v>
      </c>
      <c r="T2765">
        <v>-9.2606540000000001E-2</v>
      </c>
      <c r="U2765">
        <v>0.36009219999999997</v>
      </c>
      <c r="V2765">
        <v>-6.3080650000000002E-2</v>
      </c>
      <c r="W2765">
        <v>0.19795109999999999</v>
      </c>
      <c r="X2765">
        <v>0.9781801</v>
      </c>
      <c r="Y2765">
        <v>-0.16402939999999999</v>
      </c>
      <c r="Z2765">
        <v>4.1381050000000004E-3</v>
      </c>
      <c r="AA2765">
        <v>0.98644670000000001</v>
      </c>
      <c r="AB2765">
        <v>26</v>
      </c>
      <c r="AC2765">
        <v>36.834899999999998</v>
      </c>
      <c r="AD2765">
        <v>-1.1222594688309999</v>
      </c>
      <c r="AE2765">
        <v>4.3792000000000204</v>
      </c>
      <c r="AF2765">
        <v>-6.1406041746855999</v>
      </c>
      <c r="AG2765">
        <v>-1.1222594688309999</v>
      </c>
      <c r="AH2765">
        <v>36.548115582213597</v>
      </c>
      <c r="AI2765">
        <v>91.734496172492399</v>
      </c>
      <c r="AJ2765">
        <v>99.537429728117701</v>
      </c>
      <c r="AK2765">
        <v>37.0773682798064</v>
      </c>
      <c r="AL2765">
        <v>78.582830214000097</v>
      </c>
      <c r="AM2765">
        <v>93.689767672861805</v>
      </c>
      <c r="AN2765">
        <v>1.0000000572158101</v>
      </c>
    </row>
    <row r="2766" spans="1:40" x14ac:dyDescent="0.25">
      <c r="A2766" t="str">
        <f>"20190303170551493"</f>
        <v>20190303170551493</v>
      </c>
      <c r="B2766" t="str">
        <f>"1551603951487475"</f>
        <v>1551603951487475</v>
      </c>
      <c r="C2766" t="s">
        <v>40</v>
      </c>
      <c r="D2766">
        <v>5.2682339999999996</v>
      </c>
      <c r="E2766">
        <v>0.48846270000000003</v>
      </c>
      <c r="F2766" t="s">
        <v>64</v>
      </c>
      <c r="G2766">
        <v>-420.17880000000002</v>
      </c>
      <c r="H2766" s="1">
        <v>3.6271E-6</v>
      </c>
      <c r="I2766">
        <v>218.11420000000001</v>
      </c>
      <c r="J2766">
        <v>-457.31610000000001</v>
      </c>
      <c r="K2766">
        <v>1.1222299999999901</v>
      </c>
      <c r="L2766">
        <v>213.6661</v>
      </c>
      <c r="M2766">
        <v>0.99895020000000001</v>
      </c>
      <c r="N2766">
        <v>-6.3259930000000002E-3</v>
      </c>
      <c r="O2766">
        <v>-4.537356E-2</v>
      </c>
      <c r="P2766">
        <v>0.98129929999999999</v>
      </c>
      <c r="Q2766">
        <v>0.1918098</v>
      </c>
      <c r="R2766">
        <v>1.6150890000000001E-2</v>
      </c>
      <c r="S2766">
        <v>3.0694889999999999</v>
      </c>
      <c r="T2766">
        <v>-9.2094060000000005E-2</v>
      </c>
      <c r="U2766">
        <v>0.36419679999999999</v>
      </c>
      <c r="V2766">
        <v>-6.1529639999999997E-2</v>
      </c>
      <c r="W2766">
        <v>0.1977342</v>
      </c>
      <c r="X2766">
        <v>0.97832269999999999</v>
      </c>
      <c r="Y2766">
        <v>-0.162661</v>
      </c>
      <c r="Z2766">
        <v>4.0185170000000001E-3</v>
      </c>
      <c r="AA2766">
        <v>0.98667380000000005</v>
      </c>
      <c r="AB2766">
        <v>26</v>
      </c>
      <c r="AC2766">
        <v>37.137299999999897</v>
      </c>
      <c r="AD2766">
        <v>-1.1222263728999999</v>
      </c>
      <c r="AE2766">
        <v>4.4481000000000099</v>
      </c>
      <c r="AF2766">
        <v>-6.1230914649847596</v>
      </c>
      <c r="AG2766">
        <v>-1.1222263728999999</v>
      </c>
      <c r="AH2766">
        <v>36.864034083406203</v>
      </c>
      <c r="AI2766">
        <v>91.720125038702093</v>
      </c>
      <c r="AJ2766">
        <v>99.430692000348103</v>
      </c>
      <c r="AK2766">
        <v>37.3859418769025</v>
      </c>
      <c r="AL2766">
        <v>78.595507694798002</v>
      </c>
      <c r="AM2766">
        <v>93.598762892378602</v>
      </c>
      <c r="AN2766">
        <v>1.0000000078917199</v>
      </c>
    </row>
    <row r="2767" spans="1:40" x14ac:dyDescent="0.25">
      <c r="A2767" t="str">
        <f>"20190303170551516"</f>
        <v>20190303170551516</v>
      </c>
      <c r="B2767" t="str">
        <f>"1551603951506994"</f>
        <v>1551603951506994</v>
      </c>
      <c r="C2767" t="s">
        <v>40</v>
      </c>
      <c r="D2767">
        <v>5.3061559999999997</v>
      </c>
      <c r="E2767">
        <v>0.49255450000000001</v>
      </c>
      <c r="F2767" t="s">
        <v>64</v>
      </c>
      <c r="G2767">
        <v>-428.44720000000001</v>
      </c>
      <c r="H2767" s="1">
        <v>2.404854E-6</v>
      </c>
      <c r="I2767">
        <v>215.31819999999999</v>
      </c>
      <c r="J2767">
        <v>-457.03579999999999</v>
      </c>
      <c r="K2767">
        <v>1.12219</v>
      </c>
      <c r="L2767">
        <v>213.65629999999999</v>
      </c>
      <c r="M2767">
        <v>0.99907659999999998</v>
      </c>
      <c r="N2767">
        <v>-6.0463380000000001E-3</v>
      </c>
      <c r="O2767">
        <v>-4.2537239999999997E-2</v>
      </c>
      <c r="P2767">
        <v>0.98130260000000002</v>
      </c>
      <c r="Q2767">
        <v>0.19168389999999999</v>
      </c>
      <c r="R2767">
        <v>1.7401409999999999E-2</v>
      </c>
      <c r="S2767">
        <v>3.0776669999999999</v>
      </c>
      <c r="T2767">
        <v>-0.1196387</v>
      </c>
      <c r="U2767">
        <v>0.17613219999999999</v>
      </c>
      <c r="V2767">
        <v>-5.9997740000000001E-2</v>
      </c>
      <c r="W2767">
        <v>0.19734209999999999</v>
      </c>
      <c r="X2767">
        <v>0.97849699999999995</v>
      </c>
      <c r="Y2767">
        <v>-9.9443030000000002E-2</v>
      </c>
      <c r="Z2767">
        <v>3.6263649999999999E-3</v>
      </c>
      <c r="AA2767">
        <v>0.9950367</v>
      </c>
      <c r="AB2767">
        <v>26</v>
      </c>
      <c r="AC2767">
        <v>28.5885999999999</v>
      </c>
      <c r="AD2767">
        <v>-1.1221875951459901</v>
      </c>
      <c r="AE2767">
        <v>1.6618999999999999</v>
      </c>
      <c r="AF2767">
        <v>-2.8720876841657299</v>
      </c>
      <c r="AG2767">
        <v>-1.1221875951459901</v>
      </c>
      <c r="AH2767">
        <v>28.448343597536901</v>
      </c>
      <c r="AI2767">
        <v>92.247533643615199</v>
      </c>
      <c r="AJ2767">
        <v>95.764933488380507</v>
      </c>
      <c r="AK2767">
        <v>28.6149689167707</v>
      </c>
      <c r="AL2767">
        <v>78.618424929457305</v>
      </c>
      <c r="AM2767">
        <v>93.508767897986502</v>
      </c>
      <c r="AN2767">
        <v>1.0000000061232499</v>
      </c>
    </row>
    <row r="2768" spans="1:40" x14ac:dyDescent="0.25">
      <c r="A2768" t="str">
        <f>"20190303170551540"</f>
        <v>20190303170551540</v>
      </c>
      <c r="B2768" t="str">
        <f>"1551603951527491"</f>
        <v>1551603951527491</v>
      </c>
      <c r="C2768" t="s">
        <v>40</v>
      </c>
      <c r="D2768">
        <v>5.2948529999999998</v>
      </c>
      <c r="E2768">
        <v>0.49569530000000001</v>
      </c>
      <c r="F2768" t="s">
        <v>64</v>
      </c>
      <c r="G2768">
        <v>-425.47789999999998</v>
      </c>
      <c r="H2768" s="1">
        <v>2.9453450000000002E-6</v>
      </c>
      <c r="I2768">
        <v>215.16040000000001</v>
      </c>
      <c r="J2768">
        <v>-456.76369999999997</v>
      </c>
      <c r="K2768">
        <v>1.1221410000000001</v>
      </c>
      <c r="L2768">
        <v>213.64750000000001</v>
      </c>
      <c r="M2768">
        <v>0.99918980000000002</v>
      </c>
      <c r="N2768">
        <v>-5.7778300000000003E-3</v>
      </c>
      <c r="O2768">
        <v>-3.982865E-2</v>
      </c>
      <c r="P2768">
        <v>0.98132870000000005</v>
      </c>
      <c r="Q2768">
        <v>0.19137409999999999</v>
      </c>
      <c r="R2768">
        <v>1.9241870000000001E-2</v>
      </c>
      <c r="S2768">
        <v>3.0759280000000002</v>
      </c>
      <c r="T2768">
        <v>-0.1093788</v>
      </c>
      <c r="U2768">
        <v>0.1466064</v>
      </c>
      <c r="V2768">
        <v>-5.9175949999999998E-2</v>
      </c>
      <c r="W2768">
        <v>0.19677449999999999</v>
      </c>
      <c r="X2768">
        <v>0.97866140000000001</v>
      </c>
      <c r="Y2768">
        <v>-8.7273199999999995E-2</v>
      </c>
      <c r="Z2768">
        <v>2.987866E-3</v>
      </c>
      <c r="AA2768">
        <v>0.99617990000000001</v>
      </c>
      <c r="AB2768">
        <v>26</v>
      </c>
      <c r="AC2768">
        <v>31.285799999999899</v>
      </c>
      <c r="AD2768">
        <v>-1.1221380546549999</v>
      </c>
      <c r="AE2768">
        <v>1.5128999999999999</v>
      </c>
      <c r="AF2768">
        <v>-2.75425652383292</v>
      </c>
      <c r="AG2768">
        <v>-1.1221380546549999</v>
      </c>
      <c r="AH2768">
        <v>31.160723218971199</v>
      </c>
      <c r="AI2768">
        <v>92.054401558262299</v>
      </c>
      <c r="AJ2768">
        <v>95.051173850497307</v>
      </c>
      <c r="AK2768">
        <v>31.3023288964594</v>
      </c>
      <c r="AL2768">
        <v>78.651597141825903</v>
      </c>
      <c r="AM2768">
        <v>93.460245915304</v>
      </c>
      <c r="AN2768">
        <v>1.0000000663793001</v>
      </c>
    </row>
    <row r="2769" spans="1:40" x14ac:dyDescent="0.25">
      <c r="A2769" t="str">
        <f>"20190303170551559"</f>
        <v>20190303170551559</v>
      </c>
      <c r="B2769" t="str">
        <f>"1551603951547011"</f>
        <v>1551603951547011</v>
      </c>
      <c r="C2769" t="s">
        <v>40</v>
      </c>
      <c r="D2769">
        <v>5.1958950000000002</v>
      </c>
      <c r="E2769">
        <v>0.49732090000000001</v>
      </c>
      <c r="F2769" t="s">
        <v>64</v>
      </c>
      <c r="G2769">
        <v>-427.64789999999999</v>
      </c>
      <c r="H2769" s="1">
        <v>2.5873810000000001E-6</v>
      </c>
      <c r="I2769">
        <v>214.85220000000001</v>
      </c>
      <c r="J2769">
        <v>-456.52800000000002</v>
      </c>
      <c r="K2769">
        <v>1.122096</v>
      </c>
      <c r="L2769">
        <v>213.6405</v>
      </c>
      <c r="M2769">
        <v>0.9992801</v>
      </c>
      <c r="N2769">
        <v>-5.5445019999999998E-3</v>
      </c>
      <c r="O2769">
        <v>-3.753401E-2</v>
      </c>
      <c r="P2769">
        <v>0.98132799999999998</v>
      </c>
      <c r="Q2769">
        <v>0.1913019</v>
      </c>
      <c r="R2769">
        <v>1.998573E-2</v>
      </c>
      <c r="S2769">
        <v>3.0776370000000002</v>
      </c>
      <c r="T2769">
        <v>-0.1186137</v>
      </c>
      <c r="U2769">
        <v>0.12733459999999999</v>
      </c>
      <c r="V2769">
        <v>-5.7660799999999998E-2</v>
      </c>
      <c r="W2769">
        <v>0.19648280000000001</v>
      </c>
      <c r="X2769">
        <v>0.97881039999999997</v>
      </c>
      <c r="Y2769">
        <v>-7.8725000000000003E-2</v>
      </c>
      <c r="Z2769">
        <v>2.9717749999999999E-3</v>
      </c>
      <c r="AA2769">
        <v>0.99689190000000005</v>
      </c>
      <c r="AB2769">
        <v>26</v>
      </c>
      <c r="AC2769">
        <v>28.880099999999999</v>
      </c>
      <c r="AD2769">
        <v>-1.1220934126189901</v>
      </c>
      <c r="AE2769">
        <v>1.2117</v>
      </c>
      <c r="AF2769">
        <v>-2.2913956304381302</v>
      </c>
      <c r="AG2769">
        <v>-1.1220934126189901</v>
      </c>
      <c r="AH2769">
        <v>28.7709122629585</v>
      </c>
      <c r="AI2769">
        <v>92.226416111581202</v>
      </c>
      <c r="AJ2769">
        <v>94.5535840272088</v>
      </c>
      <c r="AK2769">
        <v>28.883818653437899</v>
      </c>
      <c r="AL2769">
        <v>78.668642659170004</v>
      </c>
      <c r="AM2769">
        <v>93.371344248274298</v>
      </c>
      <c r="AN2769">
        <v>1.0000000288503099</v>
      </c>
    </row>
    <row r="2770" spans="1:40" x14ac:dyDescent="0.25">
      <c r="A2770" t="str">
        <f>"20190303170551580"</f>
        <v>20190303170551580</v>
      </c>
      <c r="B2770" t="str">
        <f>"1551603951567507"</f>
        <v>1551603951567507</v>
      </c>
      <c r="C2770" t="s">
        <v>40</v>
      </c>
      <c r="D2770">
        <v>5.2377390000000004</v>
      </c>
      <c r="E2770">
        <v>0.4985677</v>
      </c>
      <c r="F2770" t="s">
        <v>64</v>
      </c>
      <c r="G2770">
        <v>-428.05779999999999</v>
      </c>
      <c r="H2770" s="1">
        <v>2.5258099999999999E-6</v>
      </c>
      <c r="I2770">
        <v>214.72470000000001</v>
      </c>
      <c r="J2770">
        <v>-456.27460000000002</v>
      </c>
      <c r="K2770">
        <v>1.122039</v>
      </c>
      <c r="L2770">
        <v>213.63339999999999</v>
      </c>
      <c r="M2770">
        <v>0.9993689</v>
      </c>
      <c r="N2770">
        <v>-5.2900739999999996E-3</v>
      </c>
      <c r="O2770">
        <v>-3.5128409999999999E-2</v>
      </c>
      <c r="P2770">
        <v>0.98115249999999998</v>
      </c>
      <c r="Q2770">
        <v>0.1921011</v>
      </c>
      <c r="R2770">
        <v>2.090937E-2</v>
      </c>
      <c r="S2770">
        <v>3.0783390000000002</v>
      </c>
      <c r="T2770">
        <v>-0.1213262</v>
      </c>
      <c r="U2770">
        <v>0.1172333</v>
      </c>
      <c r="V2770">
        <v>-5.6208349999999997E-2</v>
      </c>
      <c r="W2770">
        <v>0.19704289999999999</v>
      </c>
      <c r="X2770">
        <v>0.97878229999999999</v>
      </c>
      <c r="Y2770">
        <v>-7.305101E-2</v>
      </c>
      <c r="Z2770">
        <v>2.8296660000000002E-3</v>
      </c>
      <c r="AA2770">
        <v>0.99732419999999999</v>
      </c>
      <c r="AB2770">
        <v>27</v>
      </c>
      <c r="AC2770">
        <v>28.216799999999999</v>
      </c>
      <c r="AD2770">
        <v>-1.12203647419</v>
      </c>
      <c r="AE2770">
        <v>1.0913000000000099</v>
      </c>
      <c r="AF2770">
        <v>-2.07856972069282</v>
      </c>
      <c r="AG2770">
        <v>-1.12203647419</v>
      </c>
      <c r="AH2770">
        <v>28.1166552934165</v>
      </c>
      <c r="AI2770">
        <v>92.279047141885201</v>
      </c>
      <c r="AJ2770">
        <v>94.227993185143404</v>
      </c>
      <c r="AK2770">
        <v>28.2156999350007</v>
      </c>
      <c r="AL2770">
        <v>78.635911527402698</v>
      </c>
      <c r="AM2770">
        <v>93.286704291044401</v>
      </c>
      <c r="AN2770">
        <v>1.0000000369217099</v>
      </c>
    </row>
    <row r="2771" spans="1:40" x14ac:dyDescent="0.25">
      <c r="A2771" t="str">
        <f>"20190303170551603"</f>
        <v>20190303170551603</v>
      </c>
      <c r="B2771" t="str">
        <f>"1551603951597763"</f>
        <v>1551603951597763</v>
      </c>
      <c r="C2771" t="s">
        <v>40</v>
      </c>
      <c r="D2771">
        <v>5.2328780000000004</v>
      </c>
      <c r="E2771">
        <v>0.49997219999999998</v>
      </c>
      <c r="F2771" t="s">
        <v>64</v>
      </c>
      <c r="G2771">
        <v>-427.95170000000002</v>
      </c>
      <c r="H2771" s="1">
        <v>2.5504000000000002E-6</v>
      </c>
      <c r="I2771">
        <v>214.65870000000001</v>
      </c>
      <c r="J2771">
        <v>-455.99579999999997</v>
      </c>
      <c r="K2771">
        <v>1.1219619999999999</v>
      </c>
      <c r="L2771">
        <v>213.62629999999999</v>
      </c>
      <c r="M2771">
        <v>0.99945700000000004</v>
      </c>
      <c r="N2771">
        <v>-5.0054390000000004E-3</v>
      </c>
      <c r="O2771">
        <v>-3.256618E-2</v>
      </c>
      <c r="P2771">
        <v>0.98103689999999999</v>
      </c>
      <c r="Q2771">
        <v>0.19261919999999999</v>
      </c>
      <c r="R2771">
        <v>2.154971E-2</v>
      </c>
      <c r="S2771">
        <v>3.0791019999999998</v>
      </c>
      <c r="T2771">
        <v>-0.1219813</v>
      </c>
      <c r="U2771">
        <v>0.1114655</v>
      </c>
      <c r="V2771">
        <v>-5.4315219999999997E-2</v>
      </c>
      <c r="W2771">
        <v>0.19729530000000001</v>
      </c>
      <c r="X2771">
        <v>0.97883830000000005</v>
      </c>
      <c r="Y2771">
        <v>-6.862298E-2</v>
      </c>
      <c r="Z2771">
        <v>2.6565109999999999E-3</v>
      </c>
      <c r="AA2771">
        <v>0.9976391</v>
      </c>
      <c r="AB2771">
        <v>27</v>
      </c>
      <c r="AC2771">
        <v>28.044099999999901</v>
      </c>
      <c r="AD2771">
        <v>-1.1219594495999901</v>
      </c>
      <c r="AE2771">
        <v>1.03240000000002</v>
      </c>
      <c r="AF2771">
        <v>-1.9420489205759199</v>
      </c>
      <c r="AG2771">
        <v>-1.1219594495999901</v>
      </c>
      <c r="AH2771">
        <v>27.950926242976202</v>
      </c>
      <c r="AI2771">
        <v>92.293115074130199</v>
      </c>
      <c r="AJ2771">
        <v>93.974561215261105</v>
      </c>
      <c r="AK2771">
        <v>28.040767194510799</v>
      </c>
      <c r="AL2771">
        <v>78.6211600547215</v>
      </c>
      <c r="AM2771">
        <v>93.176055421708597</v>
      </c>
      <c r="AN2771">
        <v>0.99999999803631401</v>
      </c>
    </row>
    <row r="2772" spans="1:40" x14ac:dyDescent="0.25">
      <c r="A2772" t="str">
        <f>"20190303170551628"</f>
        <v>20190303170551628</v>
      </c>
      <c r="B2772" t="str">
        <f>"1551603951617283"</f>
        <v>1551603951617283</v>
      </c>
      <c r="C2772" t="s">
        <v>40</v>
      </c>
      <c r="D2772">
        <v>5.2318980000000002</v>
      </c>
      <c r="E2772">
        <v>0.50045699999999904</v>
      </c>
      <c r="F2772" t="s">
        <v>64</v>
      </c>
      <c r="G2772">
        <v>-427.47460000000001</v>
      </c>
      <c r="H2772" s="1">
        <v>2.6422930000000001E-6</v>
      </c>
      <c r="I2772">
        <v>214.57550000000001</v>
      </c>
      <c r="J2772">
        <v>-455.69409999999999</v>
      </c>
      <c r="K2772">
        <v>1.121866</v>
      </c>
      <c r="L2772">
        <v>213.61920000000001</v>
      </c>
      <c r="M2772">
        <v>0.99954129999999997</v>
      </c>
      <c r="N2772">
        <v>-4.6993099999999999E-3</v>
      </c>
      <c r="O2772">
        <v>-2.9919569999999999E-2</v>
      </c>
      <c r="P2772">
        <v>0.98116060000000005</v>
      </c>
      <c r="Q2772">
        <v>0.19197249999999999</v>
      </c>
      <c r="R2772">
        <v>2.1690549999999999E-2</v>
      </c>
      <c r="S2772">
        <v>3.079529</v>
      </c>
      <c r="T2772">
        <v>-0.121141899999999</v>
      </c>
      <c r="U2772">
        <v>0.1024933</v>
      </c>
      <c r="V2772">
        <v>-5.1837139999999997E-2</v>
      </c>
      <c r="W2772">
        <v>0.19636680000000001</v>
      </c>
      <c r="X2772">
        <v>0.97915929999999995</v>
      </c>
      <c r="Y2772">
        <v>-6.3079659999999996E-2</v>
      </c>
      <c r="Z2772">
        <v>2.4238979999999999E-3</v>
      </c>
      <c r="AA2772">
        <v>0.99800560000000005</v>
      </c>
      <c r="AB2772">
        <v>27</v>
      </c>
      <c r="AC2772">
        <v>28.219499999999901</v>
      </c>
      <c r="AD2772">
        <v>-1.1218633577069901</v>
      </c>
      <c r="AE2772">
        <v>0.95629999999999804</v>
      </c>
      <c r="AF2772">
        <v>-1.7973590798625401</v>
      </c>
      <c r="AG2772">
        <v>-1.1218633577069901</v>
      </c>
      <c r="AH2772">
        <v>28.133840539256202</v>
      </c>
      <c r="AI2772">
        <v>92.278872416286902</v>
      </c>
      <c r="AJ2772">
        <v>93.655431555894793</v>
      </c>
      <c r="AK2772">
        <v>28.2135084763244</v>
      </c>
      <c r="AL2772">
        <v>78.675420367053505</v>
      </c>
      <c r="AM2772">
        <v>93.030435690725298</v>
      </c>
      <c r="AN2772">
        <v>0.99999997200105395</v>
      </c>
    </row>
    <row r="2773" spans="1:40" x14ac:dyDescent="0.25">
      <c r="A2773" t="str">
        <f>"20190303170551649"</f>
        <v>20190303170551649</v>
      </c>
      <c r="B2773" t="str">
        <f>"1551603951637779"</f>
        <v>1551603951637779</v>
      </c>
      <c r="C2773" t="s">
        <v>40</v>
      </c>
      <c r="D2773">
        <v>5.232863</v>
      </c>
      <c r="E2773">
        <v>0.50093399999999999</v>
      </c>
      <c r="F2773" t="s">
        <v>64</v>
      </c>
      <c r="G2773">
        <v>-427.38099999999997</v>
      </c>
      <c r="H2773" s="1">
        <v>2.6633369999999999E-6</v>
      </c>
      <c r="I2773">
        <v>214.5247</v>
      </c>
      <c r="J2773">
        <v>-455.43689999999998</v>
      </c>
      <c r="K2773">
        <v>1.1217839999999999</v>
      </c>
      <c r="L2773">
        <v>213.61369999999999</v>
      </c>
      <c r="M2773">
        <v>0.99960519999999997</v>
      </c>
      <c r="N2773">
        <v>-4.4480750000000001E-3</v>
      </c>
      <c r="O2773">
        <v>-2.7745280000000001E-2</v>
      </c>
      <c r="P2773">
        <v>0.98123199999999999</v>
      </c>
      <c r="Q2773">
        <v>0.1915086</v>
      </c>
      <c r="R2773">
        <v>2.2548760000000001E-2</v>
      </c>
      <c r="S2773">
        <v>3.0793149999999998</v>
      </c>
      <c r="T2773">
        <v>-0.1220132</v>
      </c>
      <c r="U2773">
        <v>9.8480219999999993E-2</v>
      </c>
      <c r="V2773">
        <v>-5.0542579999999997E-2</v>
      </c>
      <c r="W2773">
        <v>0.1956678</v>
      </c>
      <c r="X2773">
        <v>0.97936690000000004</v>
      </c>
      <c r="Y2773">
        <v>-5.9614809999999997E-2</v>
      </c>
      <c r="Z2773">
        <v>2.288319E-3</v>
      </c>
      <c r="AA2773">
        <v>0.99821879999999996</v>
      </c>
      <c r="AB2773">
        <v>27</v>
      </c>
      <c r="AC2773">
        <v>28.055900000000001</v>
      </c>
      <c r="AD2773">
        <v>-1.1217813366630001</v>
      </c>
      <c r="AE2773">
        <v>0.91100000000000103</v>
      </c>
      <c r="AF2773">
        <v>-1.6863825415581499</v>
      </c>
      <c r="AG2773">
        <v>-1.1217813366630001</v>
      </c>
      <c r="AH2773">
        <v>27.975145919630101</v>
      </c>
      <c r="AI2773">
        <v>92.292129024687696</v>
      </c>
      <c r="AJ2773">
        <v>93.449698514330606</v>
      </c>
      <c r="AK2773">
        <v>28.048370160641301</v>
      </c>
      <c r="AL2773">
        <v>78.716262558311598</v>
      </c>
      <c r="AM2773">
        <v>92.954265387713207</v>
      </c>
      <c r="AN2773">
        <v>0.99999998258275302</v>
      </c>
    </row>
    <row r="2774" spans="1:40" x14ac:dyDescent="0.25">
      <c r="A2774" t="str">
        <f>"20190303170551669"</f>
        <v>20190303170551669</v>
      </c>
      <c r="B2774" t="str">
        <f>"1551603951657298"</f>
        <v>1551603951657298</v>
      </c>
      <c r="C2774" t="s">
        <v>40</v>
      </c>
      <c r="D2774">
        <v>5.174404</v>
      </c>
      <c r="E2774">
        <v>0.50119639999999999</v>
      </c>
      <c r="F2774" t="s">
        <v>64</v>
      </c>
      <c r="G2774">
        <v>-427.3261</v>
      </c>
      <c r="H2774" s="1">
        <v>2.6747279999999999E-6</v>
      </c>
      <c r="I2774">
        <v>214.50579999999999</v>
      </c>
      <c r="J2774">
        <v>-455.19240000000002</v>
      </c>
      <c r="K2774">
        <v>1.121715</v>
      </c>
      <c r="L2774">
        <v>213.60890000000001</v>
      </c>
      <c r="M2774">
        <v>0.99965939999999998</v>
      </c>
      <c r="N2774">
        <v>-4.2151330000000002E-3</v>
      </c>
      <c r="O2774">
        <v>-2.5755779999999999E-2</v>
      </c>
      <c r="P2774">
        <v>0.98118729999999998</v>
      </c>
      <c r="Q2774">
        <v>0.19173190000000001</v>
      </c>
      <c r="R2774">
        <v>2.2593889999999998E-2</v>
      </c>
      <c r="S2774">
        <v>3.079132</v>
      </c>
      <c r="T2774">
        <v>-0.1228751</v>
      </c>
      <c r="U2774">
        <v>9.7717289999999998E-2</v>
      </c>
      <c r="V2774">
        <v>-4.8617439999999998E-2</v>
      </c>
      <c r="W2774">
        <v>0.1956753</v>
      </c>
      <c r="X2774">
        <v>0.97946290000000003</v>
      </c>
      <c r="Y2774">
        <v>-5.738505E-2</v>
      </c>
      <c r="Z2774">
        <v>2.183941E-3</v>
      </c>
      <c r="AA2774">
        <v>0.99834970000000001</v>
      </c>
      <c r="AB2774">
        <v>27</v>
      </c>
      <c r="AC2774">
        <v>27.866299999999999</v>
      </c>
      <c r="AD2774">
        <v>-1.121712325272</v>
      </c>
      <c r="AE2774">
        <v>0.89689999999998704</v>
      </c>
      <c r="AF2774">
        <v>-1.6117182957966201</v>
      </c>
      <c r="AG2774">
        <v>-1.121712325272</v>
      </c>
      <c r="AH2774">
        <v>27.7889742373081</v>
      </c>
      <c r="AI2774">
        <v>92.307636876340595</v>
      </c>
      <c r="AJ2774">
        <v>93.319349612866105</v>
      </c>
      <c r="AK2774">
        <v>27.858265623822401</v>
      </c>
      <c r="AL2774">
        <v>78.715824860068096</v>
      </c>
      <c r="AM2774">
        <v>92.841649015061904</v>
      </c>
      <c r="AN2774">
        <v>1.00000002548932</v>
      </c>
    </row>
    <row r="2775" spans="1:40" x14ac:dyDescent="0.25">
      <c r="A2775" t="str">
        <f>"20190303170551694"</f>
        <v>20190303170551694</v>
      </c>
      <c r="B2775" t="str">
        <f>"1551603951687557"</f>
        <v>1551603951687557</v>
      </c>
      <c r="C2775" t="s">
        <v>40</v>
      </c>
      <c r="D2775">
        <v>5.2323339999999998</v>
      </c>
      <c r="E2775">
        <v>0.5016659</v>
      </c>
      <c r="F2775" t="s">
        <v>64</v>
      </c>
      <c r="G2775">
        <v>-426.6003</v>
      </c>
      <c r="H2775" s="1">
        <v>2.803672E-6</v>
      </c>
      <c r="I2775">
        <v>214.50360000000001</v>
      </c>
      <c r="J2775">
        <v>-454.89400000000001</v>
      </c>
      <c r="K2775">
        <v>1.121629</v>
      </c>
      <c r="L2775">
        <v>213.6036</v>
      </c>
      <c r="M2775">
        <v>0.99971759999999998</v>
      </c>
      <c r="N2775">
        <v>-3.9329129999999997E-3</v>
      </c>
      <c r="O2775">
        <v>-2.3438569999999999E-2</v>
      </c>
      <c r="P2775">
        <v>0.98106910000000003</v>
      </c>
      <c r="Q2775">
        <v>0.19236529999999999</v>
      </c>
      <c r="R2775">
        <v>2.2339729999999999E-2</v>
      </c>
      <c r="S2775">
        <v>3.0789789999999999</v>
      </c>
      <c r="T2775">
        <v>-0.120793</v>
      </c>
      <c r="U2775">
        <v>9.6343990000000004E-2</v>
      </c>
      <c r="V2775">
        <v>-4.6065599999999998E-2</v>
      </c>
      <c r="W2775">
        <v>0.19604750000000001</v>
      </c>
      <c r="X2775">
        <v>0.97951180000000004</v>
      </c>
      <c r="Y2775">
        <v>-5.4633479999999998E-2</v>
      </c>
      <c r="Z2775">
        <v>2.0053570000000001E-3</v>
      </c>
      <c r="AA2775">
        <v>0.99850450000000002</v>
      </c>
      <c r="AB2775">
        <v>28</v>
      </c>
      <c r="AC2775">
        <v>28.293700000000001</v>
      </c>
      <c r="AD2775">
        <v>-1.1216261963279901</v>
      </c>
      <c r="AE2775">
        <v>0.90000000000000502</v>
      </c>
      <c r="AF2775">
        <v>-1.5604718899410599</v>
      </c>
      <c r="AG2775">
        <v>-1.1216261963279901</v>
      </c>
      <c r="AH2775">
        <v>28.220528153036799</v>
      </c>
      <c r="AI2775">
        <v>92.272557461542604</v>
      </c>
      <c r="AJ2775">
        <v>93.164983106374905</v>
      </c>
      <c r="AK2775">
        <v>28.285885651326598</v>
      </c>
      <c r="AL2775">
        <v>78.6940780415148</v>
      </c>
      <c r="AM2775">
        <v>92.692587446161895</v>
      </c>
      <c r="AN2775">
        <v>1.0000000140494201</v>
      </c>
    </row>
    <row r="2776" spans="1:40" x14ac:dyDescent="0.25">
      <c r="A2776" t="str">
        <f>"20190303170551716"</f>
        <v>20190303170551716</v>
      </c>
      <c r="B2776" t="str">
        <f>"1551603951707075"</f>
        <v>1551603951707075</v>
      </c>
      <c r="C2776" t="s">
        <v>40</v>
      </c>
      <c r="D2776">
        <v>5.2299110000000004</v>
      </c>
      <c r="E2776">
        <v>0.50190440000000003</v>
      </c>
      <c r="F2776" t="s">
        <v>64</v>
      </c>
      <c r="G2776">
        <v>-425.46510000000001</v>
      </c>
      <c r="H2776" s="1">
        <v>3.006946E-6</v>
      </c>
      <c r="I2776">
        <v>214.48159999999999</v>
      </c>
      <c r="J2776">
        <v>-454.60700000000003</v>
      </c>
      <c r="K2776">
        <v>1.1215440000000001</v>
      </c>
      <c r="L2776">
        <v>213.59909999999999</v>
      </c>
      <c r="M2776">
        <v>0.99976589999999999</v>
      </c>
      <c r="N2776">
        <v>-3.6645900000000001E-3</v>
      </c>
      <c r="O2776">
        <v>-2.132034E-2</v>
      </c>
      <c r="P2776">
        <v>0.980993</v>
      </c>
      <c r="Q2776">
        <v>0.1927586</v>
      </c>
      <c r="R2776">
        <v>2.2295430000000001E-2</v>
      </c>
      <c r="S2776">
        <v>3.0787960000000001</v>
      </c>
      <c r="T2776">
        <v>-0.1173428</v>
      </c>
      <c r="U2776">
        <v>9.1857910000000001E-2</v>
      </c>
      <c r="V2776">
        <v>-4.391896E-2</v>
      </c>
      <c r="W2776">
        <v>0.19619149999999999</v>
      </c>
      <c r="X2776">
        <v>0.97958149999999999</v>
      </c>
      <c r="Y2776">
        <v>-5.1073350000000003E-2</v>
      </c>
      <c r="Z2776">
        <v>1.8004E-3</v>
      </c>
      <c r="AA2776">
        <v>0.99869330000000001</v>
      </c>
      <c r="AB2776">
        <v>28</v>
      </c>
      <c r="AC2776">
        <v>29.1418999999999</v>
      </c>
      <c r="AD2776">
        <v>-1.1215409930539999</v>
      </c>
      <c r="AE2776">
        <v>0.88249999999999296</v>
      </c>
      <c r="AF2776">
        <v>-1.5013971048335599</v>
      </c>
      <c r="AG2776">
        <v>-1.1215409930539999</v>
      </c>
      <c r="AH2776">
        <v>29.0734382767527</v>
      </c>
      <c r="AI2776">
        <v>92.206217600560194</v>
      </c>
      <c r="AJ2776">
        <v>92.956216187710396</v>
      </c>
      <c r="AK2776">
        <v>29.133775256524</v>
      </c>
      <c r="AL2776">
        <v>78.685663285982301</v>
      </c>
      <c r="AM2776">
        <v>92.567103407148906</v>
      </c>
      <c r="AN2776">
        <v>0.99999994743098897</v>
      </c>
    </row>
    <row r="2777" spans="1:40" x14ac:dyDescent="0.25">
      <c r="A2777" t="str">
        <f>"20190303170551739"</f>
        <v>20190303170551739</v>
      </c>
      <c r="B2777" t="str">
        <f>"1551603951727571"</f>
        <v>1551603951727571</v>
      </c>
      <c r="C2777" t="s">
        <v>40</v>
      </c>
      <c r="D2777">
        <v>5.2292269999999998</v>
      </c>
      <c r="E2777">
        <v>0.50225719999999996</v>
      </c>
      <c r="F2777" t="s">
        <v>64</v>
      </c>
      <c r="G2777">
        <v>-424.42489999999998</v>
      </c>
      <c r="H2777" s="1">
        <v>3.1923540000000001E-6</v>
      </c>
      <c r="I2777">
        <v>214.47149999999999</v>
      </c>
      <c r="J2777">
        <v>-454.32659999999998</v>
      </c>
      <c r="K2777">
        <v>1.121461</v>
      </c>
      <c r="L2777">
        <v>213.595</v>
      </c>
      <c r="M2777">
        <v>0.999807</v>
      </c>
      <c r="N2777">
        <v>-3.4097839999999999E-3</v>
      </c>
      <c r="O2777">
        <v>-1.9348509999999999E-2</v>
      </c>
      <c r="P2777">
        <v>0.98097999999999996</v>
      </c>
      <c r="Q2777">
        <v>0.1928628</v>
      </c>
      <c r="R2777">
        <v>2.1965019999999998E-2</v>
      </c>
      <c r="S2777">
        <v>3.0785520000000002</v>
      </c>
      <c r="T2777">
        <v>-0.1143965</v>
      </c>
      <c r="U2777">
        <v>8.8989260000000001E-2</v>
      </c>
      <c r="V2777">
        <v>-4.1631170000000002E-2</v>
      </c>
      <c r="W2777">
        <v>0.19605919999999999</v>
      </c>
      <c r="X2777">
        <v>0.97970800000000002</v>
      </c>
      <c r="Y2777">
        <v>-4.8181979999999999E-2</v>
      </c>
      <c r="Z2777">
        <v>1.6295540000000001E-3</v>
      </c>
      <c r="AA2777">
        <v>0.99883719999999998</v>
      </c>
      <c r="AB2777">
        <v>28</v>
      </c>
      <c r="AC2777">
        <v>29.901700000000002</v>
      </c>
      <c r="AD2777">
        <v>-1.121457807646</v>
      </c>
      <c r="AE2777">
        <v>0.87649999999999195</v>
      </c>
      <c r="AF2777">
        <v>-1.4528507718846699</v>
      </c>
      <c r="AG2777">
        <v>-1.121457807646</v>
      </c>
      <c r="AH2777">
        <v>29.837209943616902</v>
      </c>
      <c r="AI2777">
        <v>92.149954261062504</v>
      </c>
      <c r="AJ2777">
        <v>92.7876776308008</v>
      </c>
      <c r="AK2777">
        <v>29.893603666991499</v>
      </c>
      <c r="AL2777">
        <v>78.693394994620704</v>
      </c>
      <c r="AM2777">
        <v>92.433231319871695</v>
      </c>
      <c r="AN2777">
        <v>1.0000000647420999</v>
      </c>
    </row>
    <row r="2778" spans="1:40" x14ac:dyDescent="0.25">
      <c r="A2778" t="str">
        <f>"20190303170551760"</f>
        <v>20190303170551760</v>
      </c>
      <c r="B2778" t="str">
        <f>"1551603951747094"</f>
        <v>1551603951747094</v>
      </c>
      <c r="C2778" t="s">
        <v>40</v>
      </c>
      <c r="D2778">
        <v>5.2894360000000002</v>
      </c>
      <c r="E2778">
        <v>0.50252029999999903</v>
      </c>
      <c r="F2778" t="s">
        <v>64</v>
      </c>
      <c r="G2778">
        <v>-424.02390000000003</v>
      </c>
      <c r="H2778" s="1">
        <v>3.2662920000000002E-6</v>
      </c>
      <c r="I2778">
        <v>214.43940000000001</v>
      </c>
      <c r="J2778">
        <v>-454.05770000000001</v>
      </c>
      <c r="K2778">
        <v>1.121381</v>
      </c>
      <c r="L2778">
        <v>213.5916</v>
      </c>
      <c r="M2778">
        <v>0.99984110000000004</v>
      </c>
      <c r="N2778">
        <v>-3.1768120000000002E-3</v>
      </c>
      <c r="O2778">
        <v>-1.7540360000000001E-2</v>
      </c>
      <c r="P2778">
        <v>0.98111269999999995</v>
      </c>
      <c r="Q2778">
        <v>0.19229160000000001</v>
      </c>
      <c r="R2778">
        <v>2.1018149999999999E-2</v>
      </c>
      <c r="S2778">
        <v>3.0786440000000002</v>
      </c>
      <c r="T2778">
        <v>-0.11393590000000001</v>
      </c>
      <c r="U2778">
        <v>8.5784910000000006E-2</v>
      </c>
      <c r="V2778">
        <v>-3.8889840000000002E-2</v>
      </c>
      <c r="W2778">
        <v>0.19527410000000001</v>
      </c>
      <c r="X2778">
        <v>0.9799774</v>
      </c>
      <c r="Y2778">
        <v>-4.533935E-2</v>
      </c>
      <c r="Z2778">
        <v>1.503695E-3</v>
      </c>
      <c r="AA2778">
        <v>0.99897049999999998</v>
      </c>
      <c r="AB2778">
        <v>28</v>
      </c>
      <c r="AC2778">
        <v>30.0337999999999</v>
      </c>
      <c r="AD2778">
        <v>-1.121377733708</v>
      </c>
      <c r="AE2778">
        <v>0.84780000000000599</v>
      </c>
      <c r="AF2778">
        <v>-1.37256397601439</v>
      </c>
      <c r="AG2778">
        <v>-1.121377733708</v>
      </c>
      <c r="AH2778">
        <v>29.9725581908138</v>
      </c>
      <c r="AI2778">
        <v>92.140394157667799</v>
      </c>
      <c r="AJ2778">
        <v>92.621972346757602</v>
      </c>
      <c r="AK2778">
        <v>30.024917391920098</v>
      </c>
      <c r="AL2778">
        <v>78.739264368621704</v>
      </c>
      <c r="AM2778">
        <v>92.272557605157203</v>
      </c>
      <c r="AN2778">
        <v>1.00000004914839</v>
      </c>
    </row>
    <row r="2779" spans="1:40" x14ac:dyDescent="0.25">
      <c r="A2779" t="str">
        <f>"20190303170551782"</f>
        <v>20190303170551782</v>
      </c>
      <c r="B2779" t="str">
        <f>"1551603951767118"</f>
        <v>1551603951767118</v>
      </c>
      <c r="C2779" t="s">
        <v>40</v>
      </c>
      <c r="D2779">
        <v>5.2316409999999998</v>
      </c>
      <c r="E2779">
        <v>0.5027199</v>
      </c>
      <c r="F2779" t="s">
        <v>64</v>
      </c>
      <c r="G2779">
        <v>-424.012</v>
      </c>
      <c r="H2779" s="1">
        <v>3.2723509999999999E-6</v>
      </c>
      <c r="I2779">
        <v>214.39429999999999</v>
      </c>
      <c r="J2779">
        <v>-453.7833</v>
      </c>
      <c r="K2779">
        <v>1.1213120000000001</v>
      </c>
      <c r="L2779">
        <v>213.58850000000001</v>
      </c>
      <c r="M2779">
        <v>0.99987130000000002</v>
      </c>
      <c r="N2779">
        <v>-2.9523919999999999E-3</v>
      </c>
      <c r="O2779">
        <v>-1.5768089999999998E-2</v>
      </c>
      <c r="P2779">
        <v>0.98127319999999996</v>
      </c>
      <c r="Q2779">
        <v>0.19148380000000001</v>
      </c>
      <c r="R2779">
        <v>2.0907619999999998E-2</v>
      </c>
      <c r="S2779">
        <v>3.0785520000000002</v>
      </c>
      <c r="T2779">
        <v>-0.114899</v>
      </c>
      <c r="U2779">
        <v>8.2244869999999998E-2</v>
      </c>
      <c r="V2779">
        <v>-3.7021690000000003E-2</v>
      </c>
      <c r="W2779">
        <v>0.19425729999999999</v>
      </c>
      <c r="X2779">
        <v>0.98025180000000001</v>
      </c>
      <c r="Y2779">
        <v>-4.2423969999999998E-2</v>
      </c>
      <c r="Z2779">
        <v>1.3956039999999999E-3</v>
      </c>
      <c r="AA2779">
        <v>0.99909870000000001</v>
      </c>
      <c r="AB2779">
        <v>28</v>
      </c>
      <c r="AC2779">
        <v>29.7713</v>
      </c>
      <c r="AD2779">
        <v>-1.1213087276489999</v>
      </c>
      <c r="AE2779">
        <v>0.80579999999997598</v>
      </c>
      <c r="AF2779">
        <v>-1.27333340356542</v>
      </c>
      <c r="AG2779">
        <v>-1.1213087276489999</v>
      </c>
      <c r="AH2779">
        <v>29.712773511371601</v>
      </c>
      <c r="AI2779">
        <v>92.159238149168999</v>
      </c>
      <c r="AJ2779">
        <v>92.453894676908305</v>
      </c>
      <c r="AK2779">
        <v>29.761176404124299</v>
      </c>
      <c r="AL2779">
        <v>78.798660143017401</v>
      </c>
      <c r="AM2779">
        <v>92.162892132227597</v>
      </c>
      <c r="AN2779">
        <v>1.0000000477684901</v>
      </c>
    </row>
    <row r="2780" spans="1:40" x14ac:dyDescent="0.25">
      <c r="A2780" t="str">
        <f>"20190303170551806"</f>
        <v>20190303170551806</v>
      </c>
      <c r="B2780" t="str">
        <f>"1551603951797373"</f>
        <v>1551603951797373</v>
      </c>
      <c r="C2780" t="s">
        <v>40</v>
      </c>
      <c r="D2780">
        <v>5.2302530000000003</v>
      </c>
      <c r="E2780">
        <v>0.50299740000000004</v>
      </c>
      <c r="F2780" t="s">
        <v>64</v>
      </c>
      <c r="G2780">
        <v>-424.15499999999997</v>
      </c>
      <c r="H2780" s="1">
        <v>3.24918E-6</v>
      </c>
      <c r="I2780">
        <v>214.3691</v>
      </c>
      <c r="J2780">
        <v>-453.48099999999999</v>
      </c>
      <c r="K2780">
        <v>1.1212530000000001</v>
      </c>
      <c r="L2780">
        <v>213.5856</v>
      </c>
      <c r="M2780">
        <v>0.99989989999999995</v>
      </c>
      <c r="N2780">
        <v>-2.7251770000000001E-3</v>
      </c>
      <c r="O2780">
        <v>-1.38932E-2</v>
      </c>
      <c r="P2780">
        <v>0.98127929999999997</v>
      </c>
      <c r="Q2780">
        <v>0.19155259999999999</v>
      </c>
      <c r="R2780">
        <v>1.9975260000000002E-2</v>
      </c>
      <c r="S2780">
        <v>3.0782780000000001</v>
      </c>
      <c r="T2780">
        <v>-0.11650000000000001</v>
      </c>
      <c r="U2780">
        <v>8.1100459999999999E-2</v>
      </c>
      <c r="V2780">
        <v>-3.4234359999999998E-2</v>
      </c>
      <c r="W2780">
        <v>0.1941155</v>
      </c>
      <c r="X2780">
        <v>0.98038110000000001</v>
      </c>
      <c r="Y2780">
        <v>-4.0183429999999999E-2</v>
      </c>
      <c r="Z2780">
        <v>1.302459E-3</v>
      </c>
      <c r="AA2780">
        <v>0.99919150000000001</v>
      </c>
      <c r="AB2780">
        <v>28</v>
      </c>
      <c r="AC2780">
        <v>29.326000000000001</v>
      </c>
      <c r="AD2780">
        <v>-1.1212497508199999</v>
      </c>
      <c r="AE2780">
        <v>0.78350000000000297</v>
      </c>
      <c r="AF2780">
        <v>-1.18912076221166</v>
      </c>
      <c r="AG2780">
        <v>-1.1212497508199999</v>
      </c>
      <c r="AH2780">
        <v>29.269527445476101</v>
      </c>
      <c r="AI2780">
        <v>92.191993265345204</v>
      </c>
      <c r="AJ2780">
        <v>92.326452111163704</v>
      </c>
      <c r="AK2780">
        <v>29.315123163178299</v>
      </c>
      <c r="AL2780">
        <v>78.806941343469703</v>
      </c>
      <c r="AM2780">
        <v>91.999923976962606</v>
      </c>
      <c r="AN2780">
        <v>0.99999995999103397</v>
      </c>
    </row>
    <row r="2781" spans="1:40" x14ac:dyDescent="0.25">
      <c r="A2781" t="str">
        <f>"20190303170551828"</f>
        <v>20190303170551828</v>
      </c>
      <c r="B2781" t="str">
        <f>"1551603951817869"</f>
        <v>1551603951817869</v>
      </c>
      <c r="C2781" t="s">
        <v>40</v>
      </c>
      <c r="D2781">
        <v>5.2335659999999997</v>
      </c>
      <c r="E2781">
        <v>0.50316269999999996</v>
      </c>
      <c r="F2781" t="s">
        <v>64</v>
      </c>
      <c r="G2781">
        <v>-423.5016</v>
      </c>
      <c r="H2781" s="1">
        <v>3.3687029999999999E-6</v>
      </c>
      <c r="I2781">
        <v>214.32759999999999</v>
      </c>
      <c r="J2781">
        <v>-453.18729999999999</v>
      </c>
      <c r="K2781">
        <v>1.1212040000000001</v>
      </c>
      <c r="L2781">
        <v>213.58330000000001</v>
      </c>
      <c r="M2781">
        <v>0.99992329999999996</v>
      </c>
      <c r="N2781">
        <v>-2.5247899999999998E-3</v>
      </c>
      <c r="O2781">
        <v>-1.2131930000000001E-2</v>
      </c>
      <c r="P2781">
        <v>0.98114219999999996</v>
      </c>
      <c r="Q2781">
        <v>0.19237879999999999</v>
      </c>
      <c r="R2781">
        <v>1.872741E-2</v>
      </c>
      <c r="S2781">
        <v>3.0781559999999999</v>
      </c>
      <c r="T2781">
        <v>-0.11512509999999999</v>
      </c>
      <c r="U2781">
        <v>7.6187130000000006E-2</v>
      </c>
      <c r="V2781">
        <v>-3.1247629999999998E-2</v>
      </c>
      <c r="W2781">
        <v>0.19475680000000001</v>
      </c>
      <c r="X2781">
        <v>0.98035369999999999</v>
      </c>
      <c r="Y2781">
        <v>-3.6834899999999997E-2</v>
      </c>
      <c r="Z2781">
        <v>1.157911E-3</v>
      </c>
      <c r="AA2781">
        <v>0.99932069999999995</v>
      </c>
      <c r="AB2781">
        <v>29</v>
      </c>
      <c r="AC2781">
        <v>29.685700000000001</v>
      </c>
      <c r="AD2781">
        <v>-1.121200631297</v>
      </c>
      <c r="AE2781">
        <v>0.74429999999998098</v>
      </c>
      <c r="AF2781">
        <v>-1.10281899189476</v>
      </c>
      <c r="AG2781">
        <v>-1.121200631297</v>
      </c>
      <c r="AH2781">
        <v>29.632241590587601</v>
      </c>
      <c r="AI2781">
        <v>92.165379698174704</v>
      </c>
      <c r="AJ2781">
        <v>92.131385321034102</v>
      </c>
      <c r="AK2781">
        <v>29.673945512308499</v>
      </c>
      <c r="AL2781">
        <v>78.769483135682506</v>
      </c>
      <c r="AM2781">
        <v>91.825618028298607</v>
      </c>
      <c r="AN2781">
        <v>1.0000000013152699</v>
      </c>
    </row>
    <row r="2782" spans="1:40" x14ac:dyDescent="0.25">
      <c r="A2782" t="str">
        <f>"20190303170551848"</f>
        <v>20190303170551848</v>
      </c>
      <c r="B2782" t="str">
        <f>"1551603951837388"</f>
        <v>1551603951837388</v>
      </c>
      <c r="C2782" t="s">
        <v>40</v>
      </c>
      <c r="D2782">
        <v>5.3530680000000004</v>
      </c>
      <c r="E2782">
        <v>0.50338519999999998</v>
      </c>
      <c r="F2782" t="s">
        <v>64</v>
      </c>
      <c r="G2782">
        <v>-422.46730000000002</v>
      </c>
      <c r="H2782" s="1">
        <v>3.5551570000000002E-6</v>
      </c>
      <c r="I2782">
        <v>214.2936</v>
      </c>
      <c r="J2782">
        <v>-452.92829999999998</v>
      </c>
      <c r="K2782">
        <v>1.1211739999999999</v>
      </c>
      <c r="L2782">
        <v>213.58160000000001</v>
      </c>
      <c r="M2782">
        <v>0.99994110000000003</v>
      </c>
      <c r="N2782">
        <v>-2.3640570000000001E-3</v>
      </c>
      <c r="O2782">
        <v>-1.061491E-2</v>
      </c>
      <c r="P2782">
        <v>0.98103739999999995</v>
      </c>
      <c r="Q2782">
        <v>0.19306490000000001</v>
      </c>
      <c r="R2782">
        <v>1.7094140000000001E-2</v>
      </c>
      <c r="S2782">
        <v>3.0783390000000002</v>
      </c>
      <c r="T2782">
        <v>-0.1123513</v>
      </c>
      <c r="U2782">
        <v>7.1182250000000002E-2</v>
      </c>
      <c r="V2782">
        <v>-2.8120300000000001E-2</v>
      </c>
      <c r="W2782">
        <v>0.19529560000000001</v>
      </c>
      <c r="X2782">
        <v>0.98034120000000002</v>
      </c>
      <c r="Y2782">
        <v>-3.3698159999999998E-2</v>
      </c>
      <c r="Z2782">
        <v>1.0166719999999999E-3</v>
      </c>
      <c r="AA2782">
        <v>0.99943159999999998</v>
      </c>
      <c r="AB2782">
        <v>29</v>
      </c>
      <c r="AC2782">
        <v>30.460999999999899</v>
      </c>
      <c r="AD2782">
        <v>-1.121170444843</v>
      </c>
      <c r="AE2782">
        <v>0.71199999999998898</v>
      </c>
      <c r="AF2782">
        <v>-1.033901587376</v>
      </c>
      <c r="AG2782">
        <v>-1.121170444843</v>
      </c>
      <c r="AH2782">
        <v>30.4105501921585</v>
      </c>
      <c r="AI2782">
        <v>92.110195630208196</v>
      </c>
      <c r="AJ2782">
        <v>91.947198879997302</v>
      </c>
      <c r="AK2782">
        <v>30.448769082650301</v>
      </c>
      <c r="AL2782">
        <v>78.738007714599505</v>
      </c>
      <c r="AM2782">
        <v>91.643032899407402</v>
      </c>
      <c r="AN2782">
        <v>0.99999999553444496</v>
      </c>
    </row>
    <row r="2783" spans="1:40" x14ac:dyDescent="0.25">
      <c r="A2783" t="str">
        <f>"20190303170551871"</f>
        <v>20190303170551871</v>
      </c>
      <c r="B2783" t="str">
        <f>"1551603951857885"</f>
        <v>1551603951857885</v>
      </c>
      <c r="C2783" t="s">
        <v>40</v>
      </c>
      <c r="D2783">
        <v>5.2929209999999998</v>
      </c>
      <c r="E2783">
        <v>0.50346709999999995</v>
      </c>
      <c r="F2783" t="s">
        <v>64</v>
      </c>
      <c r="G2783">
        <v>-421.49329999999998</v>
      </c>
      <c r="H2783" s="1">
        <v>3.7325310000000001E-6</v>
      </c>
      <c r="I2783">
        <v>214.24080000000001</v>
      </c>
      <c r="J2783">
        <v>-452.6266</v>
      </c>
      <c r="K2783">
        <v>1.1211370000000001</v>
      </c>
      <c r="L2783">
        <v>213.58</v>
      </c>
      <c r="M2783">
        <v>0.99995820000000002</v>
      </c>
      <c r="N2783">
        <v>-2.1979130000000001E-3</v>
      </c>
      <c r="O2783">
        <v>-8.8903699999999999E-3</v>
      </c>
      <c r="P2783">
        <v>0.98103669999999998</v>
      </c>
      <c r="Q2783">
        <v>0.19301099999999999</v>
      </c>
      <c r="R2783">
        <v>1.771445E-2</v>
      </c>
      <c r="S2783">
        <v>3.0784609999999999</v>
      </c>
      <c r="T2783">
        <v>-0.109797699999999</v>
      </c>
      <c r="U2783">
        <v>6.4559939999999996E-2</v>
      </c>
      <c r="V2783">
        <v>-2.704208E-2</v>
      </c>
      <c r="W2783">
        <v>0.19508320000000001</v>
      </c>
      <c r="X2783">
        <v>0.98041389999999995</v>
      </c>
      <c r="Y2783">
        <v>-2.9829399999999999E-2</v>
      </c>
      <c r="Z2783">
        <v>8.6194699999999995E-4</v>
      </c>
      <c r="AA2783">
        <v>0.99955459999999996</v>
      </c>
      <c r="AB2783">
        <v>29</v>
      </c>
      <c r="AC2783">
        <v>31.133299999999998</v>
      </c>
      <c r="AD2783">
        <v>-1.121133267469</v>
      </c>
      <c r="AE2783">
        <v>0.66079999999999395</v>
      </c>
      <c r="AF2783">
        <v>-0.93634738849143995</v>
      </c>
      <c r="AG2783">
        <v>-1.121133267469</v>
      </c>
      <c r="AH2783">
        <v>31.0859016075607</v>
      </c>
      <c r="AI2783">
        <v>92.064578753717896</v>
      </c>
      <c r="AJ2783">
        <v>91.725301006051296</v>
      </c>
      <c r="AK2783">
        <v>31.1202018790095</v>
      </c>
      <c r="AL2783">
        <v>78.750416877961797</v>
      </c>
      <c r="AM2783">
        <v>91.579949359936705</v>
      </c>
      <c r="AN2783">
        <v>1.00000007216308</v>
      </c>
    </row>
    <row r="2784" spans="1:40" x14ac:dyDescent="0.25">
      <c r="A2784" t="str">
        <f>"20190303170551894"</f>
        <v>20190303170551894</v>
      </c>
      <c r="B2784" t="str">
        <f>"1551603951887165"</f>
        <v>1551603951887165</v>
      </c>
      <c r="C2784" t="s">
        <v>40</v>
      </c>
      <c r="D2784">
        <v>5.2120170000000003</v>
      </c>
      <c r="E2784">
        <v>0.50371960000000005</v>
      </c>
      <c r="F2784" t="s">
        <v>64</v>
      </c>
      <c r="G2784">
        <v>-421.1585</v>
      </c>
      <c r="H2784" s="1">
        <v>3.7909279999999999E-6</v>
      </c>
      <c r="I2784">
        <v>214.25229999999999</v>
      </c>
      <c r="J2784">
        <v>-452.32299999999998</v>
      </c>
      <c r="K2784">
        <v>1.1211009999999999</v>
      </c>
      <c r="L2784">
        <v>213.57900000000001</v>
      </c>
      <c r="M2784">
        <v>0.99997190000000002</v>
      </c>
      <c r="N2784">
        <v>-2.052005E-3</v>
      </c>
      <c r="O2784">
        <v>-7.2012259999999998E-3</v>
      </c>
      <c r="P2784">
        <v>0.98107940000000005</v>
      </c>
      <c r="Q2784">
        <v>0.1928047</v>
      </c>
      <c r="R2784">
        <v>1.760318E-2</v>
      </c>
      <c r="S2784">
        <v>3.0783689999999999</v>
      </c>
      <c r="T2784">
        <v>-0.1096747</v>
      </c>
      <c r="U2784">
        <v>6.5765379999999998E-2</v>
      </c>
      <c r="V2784">
        <v>-2.5266360000000002E-2</v>
      </c>
      <c r="W2784">
        <v>0.19474040000000001</v>
      </c>
      <c r="X2784">
        <v>0.9805294</v>
      </c>
      <c r="Y2784">
        <v>-2.8534690000000001E-2</v>
      </c>
      <c r="Z2784">
        <v>7.7906500000000001E-4</v>
      </c>
      <c r="AA2784">
        <v>0.99959249999999999</v>
      </c>
      <c r="AB2784">
        <v>29</v>
      </c>
      <c r="AC2784">
        <v>31.1645</v>
      </c>
      <c r="AD2784">
        <v>-1.1210972090719999</v>
      </c>
      <c r="AE2784">
        <v>0.67329999999998302</v>
      </c>
      <c r="AF2784">
        <v>-0.89654596216374904</v>
      </c>
      <c r="AG2784">
        <v>-1.1210972090719999</v>
      </c>
      <c r="AH2784">
        <v>31.118591699886</v>
      </c>
      <c r="AI2784">
        <v>92.0624250235076</v>
      </c>
      <c r="AJ2784">
        <v>91.650270505682997</v>
      </c>
      <c r="AK2784">
        <v>31.151683790746802</v>
      </c>
      <c r="AL2784">
        <v>78.770441777238304</v>
      </c>
      <c r="AM2784">
        <v>91.476075584972804</v>
      </c>
      <c r="AN2784">
        <v>1.0000000583020801</v>
      </c>
    </row>
    <row r="2785" spans="1:40" x14ac:dyDescent="0.25">
      <c r="A2785" t="str">
        <f>"20190303170551920"</f>
        <v>20190303170551920</v>
      </c>
      <c r="B2785" t="str">
        <f>"1551603951907661"</f>
        <v>1551603951907661</v>
      </c>
      <c r="C2785" t="s">
        <v>40</v>
      </c>
      <c r="D2785">
        <v>5.347626</v>
      </c>
      <c r="E2785">
        <v>0.50381579999999904</v>
      </c>
      <c r="F2785" t="s">
        <v>64</v>
      </c>
      <c r="G2785">
        <v>-421.16379999999998</v>
      </c>
      <c r="H2785" s="1">
        <v>3.7924389999999999E-6</v>
      </c>
      <c r="I2785">
        <v>214.22409999999999</v>
      </c>
      <c r="J2785">
        <v>-451.97949999999997</v>
      </c>
      <c r="K2785">
        <v>1.121057</v>
      </c>
      <c r="L2785">
        <v>213.57830000000001</v>
      </c>
      <c r="M2785">
        <v>0.99998379999999998</v>
      </c>
      <c r="N2785">
        <v>-1.910581E-3</v>
      </c>
      <c r="O2785">
        <v>-5.3551939999999998E-3</v>
      </c>
      <c r="P2785">
        <v>0.98097659999999998</v>
      </c>
      <c r="Q2785">
        <v>0.1933541</v>
      </c>
      <c r="R2785">
        <v>1.729547E-2</v>
      </c>
      <c r="S2785">
        <v>3.078522</v>
      </c>
      <c r="T2785">
        <v>-0.1107643</v>
      </c>
      <c r="U2785">
        <v>6.3735959999999994E-2</v>
      </c>
      <c r="V2785">
        <v>-2.313697E-2</v>
      </c>
      <c r="W2785">
        <v>0.195159</v>
      </c>
      <c r="X2785">
        <v>0.98049869999999995</v>
      </c>
      <c r="Y2785">
        <v>-2.603192E-2</v>
      </c>
      <c r="Z2785">
        <v>6.7535779999999997E-4</v>
      </c>
      <c r="AA2785">
        <v>0.99966089999999996</v>
      </c>
      <c r="AB2785">
        <v>29</v>
      </c>
      <c r="AC2785">
        <v>30.8157</v>
      </c>
      <c r="AD2785">
        <v>-1.121053207561</v>
      </c>
      <c r="AE2785">
        <v>0.64579999999997995</v>
      </c>
      <c r="AF2785">
        <v>-0.80974391137291002</v>
      </c>
      <c r="AG2785">
        <v>-1.121053207561</v>
      </c>
      <c r="AH2785">
        <v>30.7710935319862</v>
      </c>
      <c r="AI2785">
        <v>92.085756985749796</v>
      </c>
      <c r="AJ2785">
        <v>91.507395366653199</v>
      </c>
      <c r="AK2785">
        <v>30.8021532145146</v>
      </c>
      <c r="AL2785">
        <v>78.745988238636798</v>
      </c>
      <c r="AM2785">
        <v>91.351765955384195</v>
      </c>
      <c r="AN2785">
        <v>1.00000002768173</v>
      </c>
    </row>
    <row r="2786" spans="1:40" x14ac:dyDescent="0.25">
      <c r="A2786" t="str">
        <f>"20190303170551941"</f>
        <v>20190303170551941</v>
      </c>
      <c r="B2786" t="str">
        <f>"1551603951927180"</f>
        <v>1551603951927180</v>
      </c>
      <c r="C2786" t="s">
        <v>40</v>
      </c>
      <c r="D2786">
        <v>5.3395289999999997</v>
      </c>
      <c r="E2786">
        <v>0.50385720000000001</v>
      </c>
      <c r="F2786" t="s">
        <v>64</v>
      </c>
      <c r="G2786">
        <v>-420.5093</v>
      </c>
      <c r="H2786" s="1">
        <v>3.9090439999999997E-6</v>
      </c>
      <c r="I2786">
        <v>214.2184</v>
      </c>
      <c r="J2786">
        <v>-451.6936</v>
      </c>
      <c r="K2786">
        <v>1.1210180000000001</v>
      </c>
      <c r="L2786">
        <v>213.57820000000001</v>
      </c>
      <c r="M2786">
        <v>0.99999090000000002</v>
      </c>
      <c r="N2786">
        <v>-1.811261E-3</v>
      </c>
      <c r="O2786">
        <v>-3.8847629999999998E-3</v>
      </c>
      <c r="P2786">
        <v>0.98086819999999997</v>
      </c>
      <c r="Q2786">
        <v>0.19394110000000001</v>
      </c>
      <c r="R2786">
        <v>1.686826E-2</v>
      </c>
      <c r="S2786">
        <v>3.0787049999999998</v>
      </c>
      <c r="T2786">
        <v>-0.109671699999999</v>
      </c>
      <c r="U2786">
        <v>6.2622070000000002E-2</v>
      </c>
      <c r="V2786">
        <v>-2.125529E-2</v>
      </c>
      <c r="W2786">
        <v>0.19565560000000001</v>
      </c>
      <c r="X2786">
        <v>0.98044229999999999</v>
      </c>
      <c r="Y2786">
        <v>-2.420166E-2</v>
      </c>
      <c r="Z2786">
        <v>5.8410530000000001E-4</v>
      </c>
      <c r="AA2786">
        <v>0.99970689999999995</v>
      </c>
      <c r="AB2786">
        <v>30</v>
      </c>
      <c r="AC2786">
        <v>31.1843</v>
      </c>
      <c r="AD2786">
        <v>-1.121014090956</v>
      </c>
      <c r="AE2786">
        <v>0.640199999999992</v>
      </c>
      <c r="AF2786">
        <v>-0.76035680703677799</v>
      </c>
      <c r="AG2786">
        <v>-1.121014090956</v>
      </c>
      <c r="AH2786">
        <v>31.141351870006002</v>
      </c>
      <c r="AI2786">
        <v>92.061006938773204</v>
      </c>
      <c r="AJ2786">
        <v>91.398673442890498</v>
      </c>
      <c r="AK2786">
        <v>31.170797412925701</v>
      </c>
      <c r="AL2786">
        <v>78.716975570442798</v>
      </c>
      <c r="AM2786">
        <v>91.241937105205906</v>
      </c>
      <c r="AN2786">
        <v>1.0000000023968101</v>
      </c>
    </row>
    <row r="2787" spans="1:40" x14ac:dyDescent="0.25">
      <c r="A2787" t="str">
        <f>"20190303170551961"</f>
        <v>20190303170551961</v>
      </c>
      <c r="B2787" t="str">
        <f>"1551603951947678"</f>
        <v>1551603951947678</v>
      </c>
      <c r="C2787" t="s">
        <v>40</v>
      </c>
      <c r="D2787">
        <v>5.1903839999999999</v>
      </c>
      <c r="E2787">
        <v>0.50383999999999995</v>
      </c>
      <c r="F2787" t="s">
        <v>64</v>
      </c>
      <c r="G2787">
        <v>-419.71910000000003</v>
      </c>
      <c r="H2787" s="1">
        <v>3.9652580000000001E-6</v>
      </c>
      <c r="I2787">
        <v>214.21010000000001</v>
      </c>
      <c r="J2787">
        <v>-451.43020000000001</v>
      </c>
      <c r="K2787">
        <v>1.1209739999999999</v>
      </c>
      <c r="L2787">
        <v>213.57839999999999</v>
      </c>
      <c r="M2787">
        <v>0.99999530000000003</v>
      </c>
      <c r="N2787">
        <v>-1.7330879999999901E-3</v>
      </c>
      <c r="O2787">
        <v>-2.5951519999999999E-3</v>
      </c>
      <c r="P2787">
        <v>0.98077979999999998</v>
      </c>
      <c r="Q2787">
        <v>0.1944417</v>
      </c>
      <c r="R2787">
        <v>1.6233270000000001E-2</v>
      </c>
      <c r="S2787">
        <v>3.0787960000000001</v>
      </c>
      <c r="T2787">
        <v>-0.10794140000000001</v>
      </c>
      <c r="U2787">
        <v>6.0852049999999998E-2</v>
      </c>
      <c r="V2787">
        <v>-1.93405E-2</v>
      </c>
      <c r="W2787">
        <v>0.19608629999999999</v>
      </c>
      <c r="X2787">
        <v>0.98039589999999999</v>
      </c>
      <c r="Y2787">
        <v>-2.2339769999999998E-2</v>
      </c>
      <c r="Z2787">
        <v>4.9727270000000001E-4</v>
      </c>
      <c r="AA2787">
        <v>0.99975029999999998</v>
      </c>
      <c r="AB2787">
        <v>30</v>
      </c>
      <c r="AC2787">
        <v>31.711099999999899</v>
      </c>
      <c r="AD2787">
        <v>-1.120970034742</v>
      </c>
      <c r="AE2787">
        <v>0.63170000000002302</v>
      </c>
      <c r="AF2787">
        <v>-0.71310237932168097</v>
      </c>
      <c r="AG2787">
        <v>-1.120970034742</v>
      </c>
      <c r="AH2787">
        <v>31.669795489448799</v>
      </c>
      <c r="AI2787">
        <v>92.026656435294299</v>
      </c>
      <c r="AJ2787">
        <v>91.289899512114204</v>
      </c>
      <c r="AK2787">
        <v>31.697650309852499</v>
      </c>
      <c r="AL2787">
        <v>78.691810874406897</v>
      </c>
      <c r="AM2787">
        <v>91.130140700641505</v>
      </c>
      <c r="AN2787">
        <v>1.00000000636237</v>
      </c>
    </row>
    <row r="2788" spans="1:40" x14ac:dyDescent="0.25">
      <c r="A2788" t="str">
        <f>"20190303170551983"</f>
        <v>20190303170551983</v>
      </c>
      <c r="B2788" t="str">
        <f>"1551603951977933"</f>
        <v>1551603951977933</v>
      </c>
      <c r="C2788" t="s">
        <v>40</v>
      </c>
      <c r="D2788">
        <v>5.2326119999999996</v>
      </c>
      <c r="E2788">
        <v>0.50396229999999997</v>
      </c>
      <c r="F2788" t="s">
        <v>64</v>
      </c>
      <c r="G2788">
        <v>-418.959</v>
      </c>
      <c r="H2788" s="1">
        <v>3.830907E-6</v>
      </c>
      <c r="I2788">
        <v>214.20480000000001</v>
      </c>
      <c r="J2788">
        <v>-451.12549999999999</v>
      </c>
      <c r="K2788">
        <v>1.120916</v>
      </c>
      <c r="L2788">
        <v>213.5789</v>
      </c>
      <c r="M2788">
        <v>0.9999979</v>
      </c>
      <c r="N2788">
        <v>-1.656357E-3</v>
      </c>
      <c r="O2788">
        <v>-1.187502E-3</v>
      </c>
      <c r="P2788">
        <v>0.98093379999999997</v>
      </c>
      <c r="Q2788">
        <v>0.19372600000000001</v>
      </c>
      <c r="R2788">
        <v>1.546906E-2</v>
      </c>
      <c r="S2788">
        <v>3.0788880000000001</v>
      </c>
      <c r="T2788">
        <v>-0.1062895</v>
      </c>
      <c r="U2788">
        <v>5.9402469999999999E-2</v>
      </c>
      <c r="V2788">
        <v>-1.7169830000000001E-2</v>
      </c>
      <c r="W2788">
        <v>0.19530400000000001</v>
      </c>
      <c r="X2788">
        <v>0.98059240000000003</v>
      </c>
      <c r="Y2788">
        <v>-2.0463749999999999E-2</v>
      </c>
      <c r="Z2788">
        <v>4.0905470000000003E-4</v>
      </c>
      <c r="AA2788">
        <v>0.99979050000000003</v>
      </c>
      <c r="AB2788">
        <v>30</v>
      </c>
      <c r="AC2788">
        <v>32.1664999999999</v>
      </c>
      <c r="AD2788">
        <v>-1.120912169093</v>
      </c>
      <c r="AE2788">
        <v>0.62590000000000101</v>
      </c>
      <c r="AF2788">
        <v>-0.66329224640101903</v>
      </c>
      <c r="AG2788">
        <v>-1.120912169093</v>
      </c>
      <c r="AH2788">
        <v>32.1267364721135</v>
      </c>
      <c r="AI2788">
        <v>91.997832180665995</v>
      </c>
      <c r="AJ2788">
        <v>91.182767127652497</v>
      </c>
      <c r="AK2788">
        <v>32.153127329135202</v>
      </c>
      <c r="AL2788">
        <v>78.737516520150095</v>
      </c>
      <c r="AM2788">
        <v>91.003126555214294</v>
      </c>
      <c r="AN2788">
        <v>0.99999995520799301</v>
      </c>
    </row>
    <row r="2789" spans="1:40" x14ac:dyDescent="0.25">
      <c r="A2789" t="str">
        <f>"20190303170552008"</f>
        <v>20190303170552008</v>
      </c>
      <c r="B2789" t="str">
        <f>"1551603951997453"</f>
        <v>1551603951997453</v>
      </c>
      <c r="C2789" t="s">
        <v>40</v>
      </c>
      <c r="D2789">
        <v>5.3433289999999998</v>
      </c>
      <c r="E2789">
        <v>0.50394939999999999</v>
      </c>
      <c r="F2789" t="s">
        <v>64</v>
      </c>
      <c r="G2789">
        <v>-419.51530000000002</v>
      </c>
      <c r="H2789" s="1">
        <v>3.9334689999999999E-6</v>
      </c>
      <c r="I2789">
        <v>214.16030000000001</v>
      </c>
      <c r="J2789">
        <v>-450.79649999999998</v>
      </c>
      <c r="K2789">
        <v>1.1208370000000001</v>
      </c>
      <c r="L2789">
        <v>213.57990000000001</v>
      </c>
      <c r="M2789">
        <v>0.99999870000000002</v>
      </c>
      <c r="N2789">
        <v>-1.590141E-3</v>
      </c>
      <c r="O2789">
        <v>2.0109889999999999E-4</v>
      </c>
      <c r="P2789">
        <v>0.98103479999999998</v>
      </c>
      <c r="Q2789">
        <v>0.1932508</v>
      </c>
      <c r="R2789">
        <v>1.498883E-2</v>
      </c>
      <c r="S2789">
        <v>3.0789789999999999</v>
      </c>
      <c r="T2789">
        <v>-0.1091816</v>
      </c>
      <c r="U2789">
        <v>5.6625370000000001E-2</v>
      </c>
      <c r="V2789">
        <v>-1.529457E-2</v>
      </c>
      <c r="W2789">
        <v>0.19477179999999999</v>
      </c>
      <c r="X2789">
        <v>0.98072930000000003</v>
      </c>
      <c r="Y2789">
        <v>-1.817496E-2</v>
      </c>
      <c r="Z2789">
        <v>3.2976449999999998E-4</v>
      </c>
      <c r="AA2789">
        <v>0.99983480000000002</v>
      </c>
      <c r="AB2789">
        <v>30</v>
      </c>
      <c r="AC2789">
        <v>31.281199999999899</v>
      </c>
      <c r="AD2789">
        <v>-1.120833066531</v>
      </c>
      <c r="AE2789">
        <v>0.58039999999999703</v>
      </c>
      <c r="AF2789">
        <v>-0.573373491765373</v>
      </c>
      <c r="AG2789">
        <v>-1.120833066531</v>
      </c>
      <c r="AH2789">
        <v>31.241220775873199</v>
      </c>
      <c r="AI2789">
        <v>92.054358694551098</v>
      </c>
      <c r="AJ2789">
        <v>91.051437572564097</v>
      </c>
      <c r="AK2789">
        <v>31.2665779945766</v>
      </c>
      <c r="AL2789">
        <v>78.768606550854898</v>
      </c>
      <c r="AM2789">
        <v>90.893460895763397</v>
      </c>
      <c r="AN2789">
        <v>0.99999996891260701</v>
      </c>
    </row>
    <row r="2790" spans="1:40" x14ac:dyDescent="0.25">
      <c r="A2790" t="str">
        <f>"20190303170552027"</f>
        <v>20190303170552027</v>
      </c>
      <c r="B2790" t="str">
        <f>"1551603952016973"</f>
        <v>1551603952016973</v>
      </c>
      <c r="C2790" t="s">
        <v>40</v>
      </c>
      <c r="D2790">
        <v>5.3062529999999999</v>
      </c>
      <c r="E2790">
        <v>0.50397069999999999</v>
      </c>
      <c r="F2790" t="s">
        <v>64</v>
      </c>
      <c r="G2790">
        <v>-419.74079999999998</v>
      </c>
      <c r="H2790" s="1">
        <v>3.9751689999999999E-6</v>
      </c>
      <c r="I2790">
        <v>214.14099999999999</v>
      </c>
      <c r="J2790">
        <v>-450.51670000000001</v>
      </c>
      <c r="K2790">
        <v>1.1207739999999999</v>
      </c>
      <c r="L2790">
        <v>213.58099999999999</v>
      </c>
      <c r="M2790">
        <v>0.9999981</v>
      </c>
      <c r="N2790">
        <v>-1.5438190000000001E-3</v>
      </c>
      <c r="O2790">
        <v>1.297213E-3</v>
      </c>
      <c r="P2790">
        <v>0.98092009999999996</v>
      </c>
      <c r="Q2790">
        <v>0.1938753</v>
      </c>
      <c r="R2790">
        <v>1.4440700000000001E-2</v>
      </c>
      <c r="S2790">
        <v>3.0790099999999998</v>
      </c>
      <c r="T2790">
        <v>-0.1111248</v>
      </c>
      <c r="U2790">
        <v>5.5633540000000002E-2</v>
      </c>
      <c r="V2790">
        <v>-1.3645869999999999E-2</v>
      </c>
      <c r="W2790">
        <v>0.1953568</v>
      </c>
      <c r="X2790">
        <v>0.98063730000000005</v>
      </c>
      <c r="Y2790">
        <v>-1.6758080000000002E-2</v>
      </c>
      <c r="Z2790">
        <v>2.7042990000000002E-4</v>
      </c>
      <c r="AA2790">
        <v>0.99985950000000001</v>
      </c>
      <c r="AB2790">
        <v>31</v>
      </c>
      <c r="AC2790">
        <v>30.7759</v>
      </c>
      <c r="AD2790">
        <v>-1.120770024831</v>
      </c>
      <c r="AE2790">
        <v>0.56000000000000205</v>
      </c>
      <c r="AF2790">
        <v>-0.519388000706418</v>
      </c>
      <c r="AG2790">
        <v>-1.120770024831</v>
      </c>
      <c r="AH2790">
        <v>30.735851919147699</v>
      </c>
      <c r="AI2790">
        <v>92.088043596666907</v>
      </c>
      <c r="AJ2790">
        <v>90.9681172438262</v>
      </c>
      <c r="AK2790">
        <v>30.760664533452601</v>
      </c>
      <c r="AL2790">
        <v>78.734432414671801</v>
      </c>
      <c r="AM2790">
        <v>90.797236959966796</v>
      </c>
      <c r="AN2790">
        <v>1.0000000016127899</v>
      </c>
    </row>
    <row r="2791" spans="1:40" x14ac:dyDescent="0.25">
      <c r="A2791" t="str">
        <f>"20190303170552051"</f>
        <v>20190303170552051</v>
      </c>
      <c r="B2791" t="str">
        <f>"1551603952037469"</f>
        <v>1551603952037469</v>
      </c>
      <c r="C2791" t="s">
        <v>40</v>
      </c>
      <c r="D2791">
        <v>5.400569</v>
      </c>
      <c r="E2791">
        <v>0.50400659999999997</v>
      </c>
      <c r="F2791" t="s">
        <v>64</v>
      </c>
      <c r="G2791">
        <v>-419.11270000000002</v>
      </c>
      <c r="H2791" s="1">
        <v>3.8646539999999996E-6</v>
      </c>
      <c r="I2791">
        <v>214.13059999999999</v>
      </c>
      <c r="J2791">
        <v>-450.20240000000001</v>
      </c>
      <c r="K2791">
        <v>1.1206989999999999</v>
      </c>
      <c r="L2791">
        <v>213.58250000000001</v>
      </c>
      <c r="M2791">
        <v>0.999996</v>
      </c>
      <c r="N2791">
        <v>-1.502233E-3</v>
      </c>
      <c r="O2791">
        <v>2.4124110000000002E-3</v>
      </c>
      <c r="P2791">
        <v>0.98072809999999999</v>
      </c>
      <c r="Q2791">
        <v>0.19488059999999999</v>
      </c>
      <c r="R2791">
        <v>1.393045E-2</v>
      </c>
      <c r="S2791">
        <v>3.0792540000000002</v>
      </c>
      <c r="T2791">
        <v>-0.1098949</v>
      </c>
      <c r="U2791">
        <v>5.3894039999999997E-2</v>
      </c>
      <c r="V2791">
        <v>-1.2010140000000001E-2</v>
      </c>
      <c r="W2791">
        <v>0.1963271</v>
      </c>
      <c r="X2791">
        <v>0.98046489999999997</v>
      </c>
      <c r="Y2791">
        <v>-1.5078940000000001E-2</v>
      </c>
      <c r="Z2791">
        <v>1.9786010000000001E-4</v>
      </c>
      <c r="AA2791">
        <v>0.99988630000000001</v>
      </c>
      <c r="AB2791">
        <v>31</v>
      </c>
      <c r="AC2791">
        <v>31.089700000000001</v>
      </c>
      <c r="AD2791">
        <v>-1.120695135346</v>
      </c>
      <c r="AE2791">
        <v>0.54809999999997605</v>
      </c>
      <c r="AF2791">
        <v>-0.472483436195336</v>
      </c>
      <c r="AG2791">
        <v>-1.120695135346</v>
      </c>
      <c r="AH2791">
        <v>31.050597255258701</v>
      </c>
      <c r="AI2791">
        <v>92.066814294657902</v>
      </c>
      <c r="AJ2791">
        <v>90.871777681224003</v>
      </c>
      <c r="AK2791">
        <v>31.0744072846474</v>
      </c>
      <c r="AL2791">
        <v>78.677740451220501</v>
      </c>
      <c r="AM2791">
        <v>90.701805764579603</v>
      </c>
      <c r="AN2791">
        <v>0.99999999689461905</v>
      </c>
    </row>
    <row r="2792" spans="1:40" x14ac:dyDescent="0.25">
      <c r="A2792" t="str">
        <f>"20190303170552073"</f>
        <v>20190303170552073</v>
      </c>
      <c r="B2792" t="str">
        <f>"1551603952067472"</f>
        <v>1551603952067472</v>
      </c>
      <c r="C2792" t="s">
        <v>40</v>
      </c>
      <c r="D2792">
        <v>5.3508680000000002</v>
      </c>
      <c r="E2792">
        <v>0.50395710000000005</v>
      </c>
      <c r="F2792" t="s">
        <v>64</v>
      </c>
      <c r="G2792">
        <v>-418.05849999999998</v>
      </c>
      <c r="H2792" s="1">
        <v>3.6786919999999998E-6</v>
      </c>
      <c r="I2792">
        <v>214.11879999999999</v>
      </c>
      <c r="J2792">
        <v>-449.89159999999998</v>
      </c>
      <c r="K2792">
        <v>1.1206119999999999</v>
      </c>
      <c r="L2792">
        <v>213.58420000000001</v>
      </c>
      <c r="M2792">
        <v>0.99999329999999997</v>
      </c>
      <c r="N2792">
        <v>-1.469216E-3</v>
      </c>
      <c r="O2792">
        <v>3.3777669999999998E-3</v>
      </c>
      <c r="P2792">
        <v>0.98060599999999998</v>
      </c>
      <c r="Q2792">
        <v>0.19550219999999999</v>
      </c>
      <c r="R2792">
        <v>1.3826990000000001E-2</v>
      </c>
      <c r="S2792">
        <v>3.079529</v>
      </c>
      <c r="T2792">
        <v>-0.1073675</v>
      </c>
      <c r="U2792">
        <v>5.137634E-2</v>
      </c>
      <c r="V2792">
        <v>-1.0922279999999999E-2</v>
      </c>
      <c r="W2792">
        <v>0.1969204</v>
      </c>
      <c r="X2792">
        <v>0.98035870000000003</v>
      </c>
      <c r="Y2792">
        <v>-1.329693E-2</v>
      </c>
      <c r="Z2792">
        <v>1.287239E-4</v>
      </c>
      <c r="AA2792">
        <v>0.99991160000000001</v>
      </c>
      <c r="AB2792">
        <v>31</v>
      </c>
      <c r="AC2792">
        <v>31.833100000000002</v>
      </c>
      <c r="AD2792">
        <v>-1.120608321308</v>
      </c>
      <c r="AE2792">
        <v>0.53459999999998298</v>
      </c>
      <c r="AF2792">
        <v>-0.42654361451467598</v>
      </c>
      <c r="AG2792">
        <v>-1.120608321308</v>
      </c>
      <c r="AH2792">
        <v>31.7953337267679</v>
      </c>
      <c r="AI2792">
        <v>92.018339956302597</v>
      </c>
      <c r="AJ2792">
        <v>90.768593377685804</v>
      </c>
      <c r="AK2792">
        <v>31.817934396522599</v>
      </c>
      <c r="AL2792">
        <v>78.643070795317101</v>
      </c>
      <c r="AM2792">
        <v>90.638311932407504</v>
      </c>
      <c r="AN2792">
        <v>1.0000000604011201</v>
      </c>
    </row>
    <row r="2793" spans="1:40" x14ac:dyDescent="0.25">
      <c r="A2793" t="str">
        <f>"20190303170552095"</f>
        <v>20190303170552095</v>
      </c>
      <c r="B2793" t="str">
        <f>"1551603952087968"</f>
        <v>1551603952087968</v>
      </c>
      <c r="C2793" t="s">
        <v>40</v>
      </c>
      <c r="D2793">
        <v>5.2979200000000004</v>
      </c>
      <c r="E2793">
        <v>0.53219150000000004</v>
      </c>
      <c r="F2793" t="s">
        <v>64</v>
      </c>
      <c r="G2793">
        <v>-417.3032</v>
      </c>
      <c r="H2793" s="1">
        <v>3.543804E-6</v>
      </c>
      <c r="I2793">
        <v>214.12909999999999</v>
      </c>
      <c r="J2793">
        <v>-449.5779</v>
      </c>
      <c r="K2793">
        <v>1.1204970000000001</v>
      </c>
      <c r="L2793">
        <v>213.58609999999999</v>
      </c>
      <c r="M2793">
        <v>0.99999020000000005</v>
      </c>
      <c r="N2793">
        <v>-1.440659E-3</v>
      </c>
      <c r="O2793">
        <v>4.1962509999999998E-3</v>
      </c>
      <c r="P2793">
        <v>0.98061180000000003</v>
      </c>
      <c r="Q2793">
        <v>0.19551959999999999</v>
      </c>
      <c r="R2793">
        <v>1.314474E-2</v>
      </c>
      <c r="S2793">
        <v>3.0796809999999999</v>
      </c>
      <c r="T2793">
        <v>-0.1059002</v>
      </c>
      <c r="U2793">
        <v>5.1498410000000001E-2</v>
      </c>
      <c r="V2793">
        <v>-9.3885070000000008E-3</v>
      </c>
      <c r="W2793">
        <v>0.19691520000000001</v>
      </c>
      <c r="X2793">
        <v>0.98037560000000001</v>
      </c>
      <c r="Y2793">
        <v>-1.2518410000000001E-2</v>
      </c>
      <c r="Z2793" s="1">
        <v>8.5978099999999894E-5</v>
      </c>
      <c r="AA2793">
        <v>0.99992159999999997</v>
      </c>
      <c r="AB2793">
        <v>31</v>
      </c>
      <c r="AC2793">
        <v>32.274700000000003</v>
      </c>
      <c r="AD2793">
        <v>-1.1204934561959901</v>
      </c>
      <c r="AE2793">
        <v>0.54300000000000603</v>
      </c>
      <c r="AF2793">
        <v>-0.40707183846767397</v>
      </c>
      <c r="AG2793">
        <v>-1.1204934561959901</v>
      </c>
      <c r="AH2793">
        <v>32.2378492093559</v>
      </c>
      <c r="AI2793">
        <v>91.990474016510802</v>
      </c>
      <c r="AJ2793">
        <v>90.723443386916799</v>
      </c>
      <c r="AK2793">
        <v>32.259884294774302</v>
      </c>
      <c r="AL2793">
        <v>78.643374317120703</v>
      </c>
      <c r="AM2793">
        <v>90.548672757654899</v>
      </c>
      <c r="AN2793">
        <v>1.0000000285650399</v>
      </c>
    </row>
    <row r="2794" spans="1:40" x14ac:dyDescent="0.25">
      <c r="A2794" t="str">
        <f>"20190303170552118"</f>
        <v>20190303170552118</v>
      </c>
      <c r="B2794" t="str">
        <f>"1551603952107488"</f>
        <v>1551603952107488</v>
      </c>
      <c r="C2794" t="s">
        <v>40</v>
      </c>
      <c r="D2794">
        <v>5.3041400000000003</v>
      </c>
      <c r="E2794">
        <v>0.53756019999999904</v>
      </c>
      <c r="F2794" t="s">
        <v>64</v>
      </c>
      <c r="G2794">
        <v>-419.02069999999998</v>
      </c>
      <c r="H2794" s="1">
        <v>4.0485439999999998E-6</v>
      </c>
      <c r="I2794">
        <v>211.84039999999999</v>
      </c>
      <c r="J2794">
        <v>-449.24990000000003</v>
      </c>
      <c r="K2794">
        <v>1.1203559999999999</v>
      </c>
      <c r="L2794">
        <v>213.5882</v>
      </c>
      <c r="M2794">
        <v>0.99998719999999996</v>
      </c>
      <c r="N2794">
        <v>-1.4161009999999999E-3</v>
      </c>
      <c r="O2794">
        <v>4.8724980000000003E-3</v>
      </c>
      <c r="P2794">
        <v>0.98063880000000003</v>
      </c>
      <c r="Q2794">
        <v>0.19539719999999999</v>
      </c>
      <c r="R2794">
        <v>1.295988E-2</v>
      </c>
      <c r="S2794">
        <v>3.0841980000000002</v>
      </c>
      <c r="T2794">
        <v>-0.1130936</v>
      </c>
      <c r="U2794">
        <v>-0.17619319999999999</v>
      </c>
      <c r="V2794">
        <v>-8.4818389999999997E-3</v>
      </c>
      <c r="W2794">
        <v>0.19677310000000001</v>
      </c>
      <c r="X2794">
        <v>0.98041239999999996</v>
      </c>
      <c r="Y2794">
        <v>6.1852589999999999E-2</v>
      </c>
      <c r="Z2794">
        <v>-1.3481470000000001E-3</v>
      </c>
      <c r="AA2794">
        <v>0.99808439999999998</v>
      </c>
      <c r="AB2794">
        <v>31</v>
      </c>
      <c r="AC2794">
        <v>30.229199999999999</v>
      </c>
      <c r="AD2794">
        <v>-1.1203519514560001</v>
      </c>
      <c r="AE2794">
        <v>-1.74780000000001</v>
      </c>
      <c r="AF2794">
        <v>1.8924802836421899</v>
      </c>
      <c r="AG2794">
        <v>-1.1203519514560001</v>
      </c>
      <c r="AH2794">
        <v>30.179009668381699</v>
      </c>
      <c r="AI2794">
        <v>92.121882291660597</v>
      </c>
      <c r="AJ2794">
        <v>86.411766365356101</v>
      </c>
      <c r="AK2794">
        <v>30.259036578902901</v>
      </c>
      <c r="AL2794">
        <v>78.651678586288</v>
      </c>
      <c r="AM2794">
        <v>90.495670447999601</v>
      </c>
      <c r="AN2794">
        <v>1.0000000342750901</v>
      </c>
    </row>
    <row r="2795" spans="1:40" x14ac:dyDescent="0.25">
      <c r="A2795" t="str">
        <f>"20190303170552142"</f>
        <v>20190303170552142</v>
      </c>
      <c r="B2795" t="str">
        <f>"1551603952127007"</f>
        <v>1551603952127007</v>
      </c>
      <c r="C2795" t="s">
        <v>40</v>
      </c>
      <c r="D2795">
        <v>5.4719959999999999</v>
      </c>
      <c r="E2795">
        <v>0.53983019999999904</v>
      </c>
      <c r="F2795" t="s">
        <v>64</v>
      </c>
      <c r="G2795">
        <v>-418.71390000000002</v>
      </c>
      <c r="H2795" s="1">
        <v>4.0315899999999998E-6</v>
      </c>
      <c r="I2795">
        <v>211.4119</v>
      </c>
      <c r="J2795">
        <v>-448.91879999999998</v>
      </c>
      <c r="K2795">
        <v>1.1202110000000001</v>
      </c>
      <c r="L2795">
        <v>213.59030000000001</v>
      </c>
      <c r="M2795">
        <v>0.99998469999999995</v>
      </c>
      <c r="N2795">
        <v>-1.397412E-3</v>
      </c>
      <c r="O2795">
        <v>5.3599959999999997E-3</v>
      </c>
      <c r="P2795">
        <v>0.98050459999999995</v>
      </c>
      <c r="Q2795">
        <v>0.19606460000000001</v>
      </c>
      <c r="R2795">
        <v>1.302406E-2</v>
      </c>
      <c r="S2795">
        <v>3.0847470000000001</v>
      </c>
      <c r="T2795">
        <v>-0.113178</v>
      </c>
      <c r="U2795">
        <v>-0.21984860000000001</v>
      </c>
      <c r="V2795">
        <v>-8.0039220000000001E-3</v>
      </c>
      <c r="W2795">
        <v>0.1974253</v>
      </c>
      <c r="X2795">
        <v>0.98028530000000003</v>
      </c>
      <c r="Y2795">
        <v>7.6378260000000003E-2</v>
      </c>
      <c r="Z2795">
        <v>-1.6412229999999901E-3</v>
      </c>
      <c r="AA2795">
        <v>0.99707760000000001</v>
      </c>
      <c r="AB2795">
        <v>31</v>
      </c>
      <c r="AC2795">
        <v>30.204899999999899</v>
      </c>
      <c r="AD2795">
        <v>-1.12020696841</v>
      </c>
      <c r="AE2795">
        <v>-2.1784000000000101</v>
      </c>
      <c r="AF2795">
        <v>2.3370691364374601</v>
      </c>
      <c r="AG2795">
        <v>-1.12020696841</v>
      </c>
      <c r="AH2795">
        <v>30.151532845148999</v>
      </c>
      <c r="AI2795">
        <v>92.121349845070199</v>
      </c>
      <c r="AJ2795">
        <v>85.567820742494703</v>
      </c>
      <c r="AK2795">
        <v>30.262711192367799</v>
      </c>
      <c r="AL2795">
        <v>78.613562651929996</v>
      </c>
      <c r="AM2795">
        <v>90.467803362794299</v>
      </c>
      <c r="AN2795">
        <v>1.0000000406217799</v>
      </c>
    </row>
    <row r="2796" spans="1:40" x14ac:dyDescent="0.25">
      <c r="A2796" t="str">
        <f>"20190303170552164"</f>
        <v>20190303170552164</v>
      </c>
      <c r="B2796" t="str">
        <f>"1551603952157264"</f>
        <v>1551603952157264</v>
      </c>
      <c r="C2796" t="s">
        <v>40</v>
      </c>
      <c r="D2796">
        <v>5.2979000000000003</v>
      </c>
      <c r="E2796">
        <v>0.54208020000000001</v>
      </c>
      <c r="F2796" t="s">
        <v>64</v>
      </c>
      <c r="G2796">
        <v>-418.05040000000002</v>
      </c>
      <c r="H2796" s="1">
        <v>3.9323119999999999E-6</v>
      </c>
      <c r="I2796">
        <v>211.20140000000001</v>
      </c>
      <c r="J2796">
        <v>-448.60399999999998</v>
      </c>
      <c r="K2796">
        <v>1.1200779999999999</v>
      </c>
      <c r="L2796">
        <v>213.5924</v>
      </c>
      <c r="M2796">
        <v>0.99998310000000001</v>
      </c>
      <c r="N2796">
        <v>-1.3852529999999999E-3</v>
      </c>
      <c r="O2796">
        <v>5.6549859999999999E-3</v>
      </c>
      <c r="P2796">
        <v>0.98039359999999998</v>
      </c>
      <c r="Q2796">
        <v>0.19659840000000001</v>
      </c>
      <c r="R2796">
        <v>1.3322779999999999E-2</v>
      </c>
      <c r="S2796">
        <v>3.0852050000000002</v>
      </c>
      <c r="T2796">
        <v>-0.1119617</v>
      </c>
      <c r="U2796">
        <v>-0.2387695</v>
      </c>
      <c r="V2796">
        <v>-7.9535149999999995E-3</v>
      </c>
      <c r="W2796">
        <v>0.19794970000000001</v>
      </c>
      <c r="X2796">
        <v>0.98017989999999999</v>
      </c>
      <c r="Y2796">
        <v>8.2738320000000004E-2</v>
      </c>
      <c r="Z2796">
        <v>-1.752998E-3</v>
      </c>
      <c r="AA2796">
        <v>0.99656979999999995</v>
      </c>
      <c r="AB2796">
        <v>32</v>
      </c>
      <c r="AC2796">
        <v>30.553599999999999</v>
      </c>
      <c r="AD2796">
        <v>-1.1200740676880001</v>
      </c>
      <c r="AE2796">
        <v>-2.3909999999999898</v>
      </c>
      <c r="AF2796">
        <v>2.5603222188718502</v>
      </c>
      <c r="AG2796">
        <v>-1.1200740676880001</v>
      </c>
      <c r="AH2796">
        <v>30.498852283156001</v>
      </c>
      <c r="AI2796">
        <v>92.095883674548801</v>
      </c>
      <c r="AJ2796">
        <v>85.201376647899295</v>
      </c>
      <c r="AK2796">
        <v>30.626619244887699</v>
      </c>
      <c r="AL2796">
        <v>78.582911260965702</v>
      </c>
      <c r="AM2796">
        <v>90.4649073508279</v>
      </c>
      <c r="AN2796">
        <v>0.99999998924747702</v>
      </c>
    </row>
    <row r="2797" spans="1:40" x14ac:dyDescent="0.25">
      <c r="A2797" t="str">
        <f>"20190303170552184"</f>
        <v>20190303170552184</v>
      </c>
      <c r="B2797" t="str">
        <f>"1551603952177760"</f>
        <v>1551603952177760</v>
      </c>
      <c r="C2797" t="s">
        <v>40</v>
      </c>
      <c r="D2797">
        <v>5.3248629999999997</v>
      </c>
      <c r="E2797">
        <v>0.54303650000000003</v>
      </c>
      <c r="F2797" t="s">
        <v>64</v>
      </c>
      <c r="G2797">
        <v>-417.4006</v>
      </c>
      <c r="H2797" s="1">
        <v>3.8348309999999999E-6</v>
      </c>
      <c r="I2797">
        <v>210.99789999999999</v>
      </c>
      <c r="J2797">
        <v>-448.29750000000001</v>
      </c>
      <c r="K2797">
        <v>1.1199570000000001</v>
      </c>
      <c r="L2797">
        <v>213.5943</v>
      </c>
      <c r="M2797">
        <v>0.99998220000000004</v>
      </c>
      <c r="N2797">
        <v>-1.378836E-3</v>
      </c>
      <c r="O2797">
        <v>5.8049869999999898E-3</v>
      </c>
      <c r="P2797">
        <v>0.98039529999999997</v>
      </c>
      <c r="Q2797">
        <v>0.1966021</v>
      </c>
      <c r="R2797">
        <v>1.314222E-2</v>
      </c>
      <c r="S2797">
        <v>3.0856629999999998</v>
      </c>
      <c r="T2797">
        <v>-0.11076279999999999</v>
      </c>
      <c r="U2797">
        <v>-0.25656129999999999</v>
      </c>
      <c r="V2797">
        <v>-7.5725949999999997E-3</v>
      </c>
      <c r="W2797">
        <v>0.19794919999999999</v>
      </c>
      <c r="X2797">
        <v>0.98018300000000003</v>
      </c>
      <c r="Y2797">
        <v>8.8581679999999996E-2</v>
      </c>
      <c r="Z2797">
        <v>-1.8477859999999999E-3</v>
      </c>
      <c r="AA2797">
        <v>0.99606719999999904</v>
      </c>
      <c r="AB2797">
        <v>32</v>
      </c>
      <c r="AC2797">
        <v>30.896899999999999</v>
      </c>
      <c r="AD2797">
        <v>-1.11995316516899</v>
      </c>
      <c r="AE2797">
        <v>-2.5964000000000098</v>
      </c>
      <c r="AF2797">
        <v>2.7720957469074299</v>
      </c>
      <c r="AG2797">
        <v>-1.11995316516899</v>
      </c>
      <c r="AH2797">
        <v>30.841068699071499</v>
      </c>
      <c r="AI2797">
        <v>92.071364502210201</v>
      </c>
      <c r="AJ2797">
        <v>84.863870568810398</v>
      </c>
      <c r="AK2797">
        <v>30.985647135779601</v>
      </c>
      <c r="AL2797">
        <v>78.582940284516496</v>
      </c>
      <c r="AM2797">
        <v>90.442640916620704</v>
      </c>
      <c r="AN2797">
        <v>0.99999997173233601</v>
      </c>
    </row>
    <row r="2798" spans="1:40" x14ac:dyDescent="0.25">
      <c r="A2798" t="str">
        <f>"20190303170552208"</f>
        <v>20190303170552208</v>
      </c>
      <c r="B2798" t="str">
        <f>"1551603952197280"</f>
        <v>1551603952197280</v>
      </c>
      <c r="C2798" t="s">
        <v>40</v>
      </c>
      <c r="D2798">
        <v>5.3273460000000004</v>
      </c>
      <c r="E2798">
        <v>0.54374339999999999</v>
      </c>
      <c r="F2798" t="s">
        <v>64</v>
      </c>
      <c r="G2798">
        <v>-417.32900000000001</v>
      </c>
      <c r="H2798" s="1">
        <v>3.8283969999999998E-6</v>
      </c>
      <c r="I2798">
        <v>210.92619999999999</v>
      </c>
      <c r="J2798">
        <v>-447.96749999999997</v>
      </c>
      <c r="K2798">
        <v>1.119858</v>
      </c>
      <c r="L2798">
        <v>213.59630000000001</v>
      </c>
      <c r="M2798">
        <v>0.99998189999999998</v>
      </c>
      <c r="N2798">
        <v>-1.3765330000000001E-3</v>
      </c>
      <c r="O2798">
        <v>5.8563230000000001E-3</v>
      </c>
      <c r="P2798">
        <v>0.98059560000000001</v>
      </c>
      <c r="Q2798">
        <v>0.19563820000000001</v>
      </c>
      <c r="R2798">
        <v>1.2570339999999999E-2</v>
      </c>
      <c r="S2798">
        <v>3.0859380000000001</v>
      </c>
      <c r="T2798">
        <v>-0.1116008</v>
      </c>
      <c r="U2798">
        <v>-0.26586910000000002</v>
      </c>
      <c r="V2798">
        <v>-6.902325E-3</v>
      </c>
      <c r="W2798">
        <v>0.1969854</v>
      </c>
      <c r="X2798">
        <v>0.98038210000000003</v>
      </c>
      <c r="Y2798">
        <v>9.160509E-2</v>
      </c>
      <c r="Z2798">
        <v>-1.9193019999999999E-3</v>
      </c>
      <c r="AA2798">
        <v>0.99579359999999995</v>
      </c>
      <c r="AB2798">
        <v>32</v>
      </c>
      <c r="AC2798">
        <v>30.638499999999901</v>
      </c>
      <c r="AD2798">
        <v>-1.1198541716029999</v>
      </c>
      <c r="AE2798">
        <v>-2.6701000000000099</v>
      </c>
      <c r="AF2798">
        <v>2.84571028385936</v>
      </c>
      <c r="AG2798">
        <v>-1.1198541716029999</v>
      </c>
      <c r="AH2798">
        <v>30.581790038062799</v>
      </c>
      <c r="AI2798">
        <v>92.088126150135196</v>
      </c>
      <c r="AJ2798">
        <v>84.683796361119803</v>
      </c>
      <c r="AK2798">
        <v>30.734313434945602</v>
      </c>
      <c r="AL2798">
        <v>78.639271193765893</v>
      </c>
      <c r="AM2798">
        <v>90.4033810462833</v>
      </c>
      <c r="AN2798">
        <v>0.99999997595198697</v>
      </c>
    </row>
    <row r="2799" spans="1:40" x14ac:dyDescent="0.25">
      <c r="A2799" t="str">
        <f>"20190303170552230"</f>
        <v>20190303170552230</v>
      </c>
      <c r="B2799" t="str">
        <f>"1551603952217776"</f>
        <v>1551603952217776</v>
      </c>
      <c r="C2799" t="s">
        <v>40</v>
      </c>
      <c r="D2799">
        <v>5.3204750000000001</v>
      </c>
      <c r="E2799">
        <v>0.54430979999999995</v>
      </c>
      <c r="F2799" t="s">
        <v>64</v>
      </c>
      <c r="G2799">
        <v>-418.10539999999997</v>
      </c>
      <c r="H2799" s="1">
        <v>3.9643110000000004E-6</v>
      </c>
      <c r="I2799">
        <v>210.9468</v>
      </c>
      <c r="J2799">
        <v>-447.63170000000002</v>
      </c>
      <c r="K2799">
        <v>1.119767</v>
      </c>
      <c r="L2799">
        <v>213.59829999999999</v>
      </c>
      <c r="M2799">
        <v>0.99998220000000004</v>
      </c>
      <c r="N2799">
        <v>-1.3785290000000001E-3</v>
      </c>
      <c r="O2799">
        <v>5.8251669999999896E-3</v>
      </c>
      <c r="P2799">
        <v>0.98080319999999999</v>
      </c>
      <c r="Q2799">
        <v>0.1945934</v>
      </c>
      <c r="R2799">
        <v>1.260551E-2</v>
      </c>
      <c r="S2799">
        <v>3.0859679999999998</v>
      </c>
      <c r="T2799">
        <v>-0.1157262</v>
      </c>
      <c r="U2799">
        <v>-0.27380369999999998</v>
      </c>
      <c r="V2799">
        <v>-6.9304459999999998E-3</v>
      </c>
      <c r="W2799">
        <v>0.1959437</v>
      </c>
      <c r="X2799">
        <v>0.98059059999999998</v>
      </c>
      <c r="Y2799">
        <v>9.4107250000000003E-2</v>
      </c>
      <c r="Z2799">
        <v>-2.0354349999999999E-3</v>
      </c>
      <c r="AA2799">
        <v>0.99556</v>
      </c>
      <c r="AB2799">
        <v>32</v>
      </c>
      <c r="AC2799">
        <v>29.526299999999999</v>
      </c>
      <c r="AD2799">
        <v>-1.119763035689</v>
      </c>
      <c r="AE2799">
        <v>-2.6514999999999902</v>
      </c>
      <c r="AF2799">
        <v>2.8194281836948001</v>
      </c>
      <c r="AG2799">
        <v>-1.119763035689</v>
      </c>
      <c r="AH2799">
        <v>29.468309873554102</v>
      </c>
      <c r="AI2799">
        <v>92.166246137578298</v>
      </c>
      <c r="AJ2799">
        <v>84.534769428027005</v>
      </c>
      <c r="AK2799">
        <v>29.624049880847</v>
      </c>
      <c r="AL2799">
        <v>78.700142180459096</v>
      </c>
      <c r="AM2799">
        <v>90.404938304015104</v>
      </c>
      <c r="AN2799">
        <v>0.99999994472990295</v>
      </c>
    </row>
    <row r="2800" spans="1:40" x14ac:dyDescent="0.25">
      <c r="A2800" t="str">
        <f>"20190303170552251"</f>
        <v>20190303170552251</v>
      </c>
      <c r="B2800" t="str">
        <f>"1551603952237297"</f>
        <v>1551603952237297</v>
      </c>
      <c r="C2800" t="s">
        <v>40</v>
      </c>
      <c r="D2800">
        <v>5.3019379999999998</v>
      </c>
      <c r="E2800">
        <v>0.54464609999999902</v>
      </c>
      <c r="F2800" t="s">
        <v>64</v>
      </c>
      <c r="G2800">
        <v>-418.8091</v>
      </c>
      <c r="H2800" s="1">
        <v>4.0854870000000004E-6</v>
      </c>
      <c r="I2800">
        <v>210.98859999999999</v>
      </c>
      <c r="J2800">
        <v>-447.32299999999998</v>
      </c>
      <c r="K2800">
        <v>1.1197079999999999</v>
      </c>
      <c r="L2800">
        <v>213.6001</v>
      </c>
      <c r="M2800">
        <v>0.9999825</v>
      </c>
      <c r="N2800">
        <v>-1.383661E-3</v>
      </c>
      <c r="O2800">
        <v>5.7492669999999997E-3</v>
      </c>
      <c r="P2800">
        <v>0.98074969999999995</v>
      </c>
      <c r="Q2800">
        <v>0.1948667</v>
      </c>
      <c r="R2800">
        <v>1.253168E-2</v>
      </c>
      <c r="S2800">
        <v>3.0861209999999999</v>
      </c>
      <c r="T2800">
        <v>-0.1198965</v>
      </c>
      <c r="U2800">
        <v>-0.27943420000000002</v>
      </c>
      <c r="V2800">
        <v>-6.9062059999999998E-3</v>
      </c>
      <c r="W2800">
        <v>0.19622329999999999</v>
      </c>
      <c r="X2800">
        <v>0.98053489999999999</v>
      </c>
      <c r="Y2800">
        <v>9.5822649999999995E-2</v>
      </c>
      <c r="Z2800">
        <v>-2.1382240000000002E-3</v>
      </c>
      <c r="AA2800">
        <v>0.99539610000000001</v>
      </c>
      <c r="AB2800">
        <v>33</v>
      </c>
      <c r="AC2800">
        <v>28.5139</v>
      </c>
      <c r="AD2800">
        <v>-1.1197039145130001</v>
      </c>
      <c r="AE2800">
        <v>-2.6114999999999999</v>
      </c>
      <c r="AF2800">
        <v>2.77115336433486</v>
      </c>
      <c r="AG2800">
        <v>-1.1197039145130001</v>
      </c>
      <c r="AH2800">
        <v>28.4549011724189</v>
      </c>
      <c r="AI2800">
        <v>92.242833580639399</v>
      </c>
      <c r="AJ2800">
        <v>84.437644724593497</v>
      </c>
      <c r="AK2800">
        <v>28.611438771179699</v>
      </c>
      <c r="AL2800">
        <v>78.683805589194705</v>
      </c>
      <c r="AM2800">
        <v>90.403544956112796</v>
      </c>
      <c r="AN2800">
        <v>0.99999998463110695</v>
      </c>
    </row>
    <row r="2801" spans="1:40" x14ac:dyDescent="0.25">
      <c r="A2801" t="str">
        <f>"20190303170552274"</f>
        <v>20190303170552274</v>
      </c>
      <c r="B2801" t="str">
        <f>"1551603952267552"</f>
        <v>1551603952267552</v>
      </c>
      <c r="C2801" t="s">
        <v>40</v>
      </c>
      <c r="D2801">
        <v>5.2804599999999997</v>
      </c>
      <c r="E2801">
        <v>0.54486599999999996</v>
      </c>
      <c r="F2801" t="s">
        <v>64</v>
      </c>
      <c r="G2801">
        <v>-418.40929999999997</v>
      </c>
      <c r="H2801" s="1">
        <v>4.0179010000000003E-6</v>
      </c>
      <c r="I2801">
        <v>210.9504</v>
      </c>
      <c r="J2801">
        <v>-446.99720000000002</v>
      </c>
      <c r="K2801">
        <v>1.1196619999999999</v>
      </c>
      <c r="L2801">
        <v>213.6019</v>
      </c>
      <c r="M2801">
        <v>0.99998330000000002</v>
      </c>
      <c r="N2801">
        <v>-1.3924320000000001E-3</v>
      </c>
      <c r="O2801">
        <v>5.6392229999999996E-3</v>
      </c>
      <c r="P2801">
        <v>0.98044469999999995</v>
      </c>
      <c r="Q2801">
        <v>0.1964226</v>
      </c>
      <c r="R2801">
        <v>1.210233E-2</v>
      </c>
      <c r="S2801">
        <v>3.0862120000000002</v>
      </c>
      <c r="T2801">
        <v>-0.11951580000000001</v>
      </c>
      <c r="U2801">
        <v>-0.28282170000000001</v>
      </c>
      <c r="V2801">
        <v>-6.5669919999999998E-3</v>
      </c>
      <c r="W2801">
        <v>0.19778799999999999</v>
      </c>
      <c r="X2801">
        <v>0.98022279999999995</v>
      </c>
      <c r="Y2801">
        <v>9.6793790000000005E-2</v>
      </c>
      <c r="Z2801">
        <v>-2.1471720000000001E-3</v>
      </c>
      <c r="AA2801">
        <v>0.99530209999999997</v>
      </c>
      <c r="AB2801">
        <v>33</v>
      </c>
      <c r="AC2801">
        <v>28.587900000000001</v>
      </c>
      <c r="AD2801">
        <v>-1.119657982099</v>
      </c>
      <c r="AE2801">
        <v>-2.6514999999999902</v>
      </c>
      <c r="AF2801">
        <v>2.8084003572119198</v>
      </c>
      <c r="AG2801">
        <v>-1.119657982099</v>
      </c>
      <c r="AH2801">
        <v>28.529104547629</v>
      </c>
      <c r="AI2801">
        <v>92.236686254314293</v>
      </c>
      <c r="AJ2801">
        <v>84.377926252010596</v>
      </c>
      <c r="AK2801">
        <v>28.688857642869198</v>
      </c>
      <c r="AL2801">
        <v>78.592362730691605</v>
      </c>
      <c r="AM2801">
        <v>90.383846709736403</v>
      </c>
      <c r="AN2801">
        <v>0.99999997798388296</v>
      </c>
    </row>
    <row r="2802" spans="1:40" x14ac:dyDescent="0.25">
      <c r="A2802" t="str">
        <f>"20190303170552296"</f>
        <v>20190303170552296</v>
      </c>
      <c r="B2802" t="str">
        <f>"1551603952288048"</f>
        <v>1551603952288048</v>
      </c>
      <c r="C2802" t="s">
        <v>40</v>
      </c>
      <c r="D2802">
        <v>5.3268719999999998</v>
      </c>
      <c r="E2802">
        <v>0.54505539999999997</v>
      </c>
      <c r="F2802" t="s">
        <v>64</v>
      </c>
      <c r="G2802">
        <v>-416.09230000000002</v>
      </c>
      <c r="H2802" s="1">
        <v>3.6251069999999998E-6</v>
      </c>
      <c r="I2802">
        <v>210.7422</v>
      </c>
      <c r="J2802">
        <v>-446.66559999999998</v>
      </c>
      <c r="K2802">
        <v>1.1196269999999999</v>
      </c>
      <c r="L2802">
        <v>213.6037</v>
      </c>
      <c r="M2802">
        <v>0.99998390000000004</v>
      </c>
      <c r="N2802">
        <v>-1.4046149999999999E-3</v>
      </c>
      <c r="O2802">
        <v>5.5122620000000004E-3</v>
      </c>
      <c r="P2802">
        <v>0.98031500000000005</v>
      </c>
      <c r="Q2802">
        <v>0.19711680000000001</v>
      </c>
      <c r="R2802">
        <v>1.12844E-2</v>
      </c>
      <c r="S2802">
        <v>3.0857540000000001</v>
      </c>
      <c r="T2802">
        <v>-0.1117942</v>
      </c>
      <c r="U2802">
        <v>-0.28553770000000001</v>
      </c>
      <c r="V2802">
        <v>-5.8598840000000001E-3</v>
      </c>
      <c r="W2802">
        <v>0.19849420000000001</v>
      </c>
      <c r="X2802">
        <v>0.98008450000000003</v>
      </c>
      <c r="Y2802">
        <v>9.7558690000000003E-2</v>
      </c>
      <c r="Z2802">
        <v>-2.02308E-3</v>
      </c>
      <c r="AA2802">
        <v>0.99522770000000005</v>
      </c>
      <c r="AB2802">
        <v>33</v>
      </c>
      <c r="AC2802">
        <v>30.5732999999999</v>
      </c>
      <c r="AD2802">
        <v>-1.119623374893</v>
      </c>
      <c r="AE2802">
        <v>-2.8614999999999999</v>
      </c>
      <c r="AF2802">
        <v>3.0259618592348199</v>
      </c>
      <c r="AG2802">
        <v>-1.119623374893</v>
      </c>
      <c r="AH2802">
        <v>30.516492061361099</v>
      </c>
      <c r="AI2802">
        <v>92.090944381526796</v>
      </c>
      <c r="AJ2802">
        <v>84.337162208528298</v>
      </c>
      <c r="AK2802">
        <v>30.6865815855443</v>
      </c>
      <c r="AL2802">
        <v>78.551081746757802</v>
      </c>
      <c r="AM2802">
        <v>90.342564973706004</v>
      </c>
      <c r="AN2802">
        <v>0.99999995640718997</v>
      </c>
    </row>
    <row r="2803" spans="1:40" x14ac:dyDescent="0.25">
      <c r="A2803" t="str">
        <f>"20190303170552320"</f>
        <v>20190303170552320</v>
      </c>
      <c r="B2803" t="str">
        <f>"1551603952307568"</f>
        <v>1551603952307568</v>
      </c>
      <c r="C2803" t="s">
        <v>40</v>
      </c>
      <c r="D2803">
        <v>5.3244579999999999</v>
      </c>
      <c r="E2803">
        <v>0.54529300000000003</v>
      </c>
      <c r="F2803" t="s">
        <v>64</v>
      </c>
      <c r="G2803">
        <v>-414.53609999999998</v>
      </c>
      <c r="H2803" s="1">
        <v>3.3624869999999998E-6</v>
      </c>
      <c r="I2803">
        <v>210.58869999999999</v>
      </c>
      <c r="J2803">
        <v>-446.31450000000001</v>
      </c>
      <c r="K2803">
        <v>1.119599</v>
      </c>
      <c r="L2803">
        <v>213.60560000000001</v>
      </c>
      <c r="M2803">
        <v>0.99998469999999995</v>
      </c>
      <c r="N2803">
        <v>-1.420562E-3</v>
      </c>
      <c r="O2803">
        <v>5.3706429999999996E-3</v>
      </c>
      <c r="P2803">
        <v>0.98056410000000005</v>
      </c>
      <c r="Q2803">
        <v>0.19590199999999999</v>
      </c>
      <c r="R2803">
        <v>1.079686E-2</v>
      </c>
      <c r="S2803">
        <v>3.0852360000000001</v>
      </c>
      <c r="T2803">
        <v>-0.107511999999999</v>
      </c>
      <c r="U2803">
        <v>-0.28952030000000001</v>
      </c>
      <c r="V2803">
        <v>-5.4985859999999998E-3</v>
      </c>
      <c r="W2803">
        <v>0.19729579999999999</v>
      </c>
      <c r="X2803">
        <v>0.98032859999999999</v>
      </c>
      <c r="Y2803">
        <v>9.8711110000000005E-2</v>
      </c>
      <c r="Z2803">
        <v>-1.9649939999999999E-3</v>
      </c>
      <c r="AA2803">
        <v>0.99511419999999995</v>
      </c>
      <c r="AB2803">
        <v>33</v>
      </c>
      <c r="AC2803">
        <v>31.778400000000001</v>
      </c>
      <c r="AD2803">
        <v>-1.1195956375130001</v>
      </c>
      <c r="AE2803">
        <v>-3.0169000000000201</v>
      </c>
      <c r="AF2803">
        <v>3.1836107302192702</v>
      </c>
      <c r="AG2803">
        <v>-1.1195956375130001</v>
      </c>
      <c r="AH2803">
        <v>31.722714961463002</v>
      </c>
      <c r="AI2803">
        <v>92.011217179836194</v>
      </c>
      <c r="AJ2803">
        <v>84.269130070688803</v>
      </c>
      <c r="AK2803">
        <v>31.901716508666599</v>
      </c>
      <c r="AL2803">
        <v>78.621131034524197</v>
      </c>
      <c r="AM2803">
        <v>90.321364150114803</v>
      </c>
      <c r="AN2803">
        <v>1.0000000155617901</v>
      </c>
    </row>
    <row r="2804" spans="1:40" x14ac:dyDescent="0.25">
      <c r="A2804" t="str">
        <f>"20190303170552341"</f>
        <v>20190303170552341</v>
      </c>
      <c r="B2804" t="str">
        <f>"1551603952327088"</f>
        <v>1551603952327088</v>
      </c>
      <c r="C2804" t="s">
        <v>40</v>
      </c>
      <c r="D2804">
        <v>5.262975</v>
      </c>
      <c r="E2804">
        <v>0.54549239999999999</v>
      </c>
      <c r="F2804" t="s">
        <v>64</v>
      </c>
      <c r="G2804">
        <v>-414.7133</v>
      </c>
      <c r="H2804" s="1">
        <v>3.3929129999999999E-6</v>
      </c>
      <c r="I2804">
        <v>210.6002</v>
      </c>
      <c r="J2804">
        <v>-445.98379999999997</v>
      </c>
      <c r="K2804">
        <v>1.1195729999999999</v>
      </c>
      <c r="L2804">
        <v>213.60730000000001</v>
      </c>
      <c r="M2804">
        <v>0.99998529999999997</v>
      </c>
      <c r="N2804">
        <v>-1.438225E-3</v>
      </c>
      <c r="O2804">
        <v>5.2360660000000002E-3</v>
      </c>
      <c r="P2804">
        <v>0.98076660000000004</v>
      </c>
      <c r="Q2804">
        <v>0.1948867</v>
      </c>
      <c r="R2804">
        <v>1.0772250000000001E-2</v>
      </c>
      <c r="S2804">
        <v>3.0845340000000001</v>
      </c>
      <c r="T2804">
        <v>-0.1092818</v>
      </c>
      <c r="U2804">
        <v>-0.29335020000000001</v>
      </c>
      <c r="V2804">
        <v>-5.5960219999999896E-3</v>
      </c>
      <c r="W2804">
        <v>0.19629859999999999</v>
      </c>
      <c r="X2804">
        <v>0.98052819999999996</v>
      </c>
      <c r="Y2804">
        <v>9.9820030000000004E-2</v>
      </c>
      <c r="Z2804">
        <v>-2.0132290000000001E-3</v>
      </c>
      <c r="AA2804">
        <v>0.99500350000000004</v>
      </c>
      <c r="AB2804">
        <v>33</v>
      </c>
      <c r="AC2804">
        <v>31.270499999999899</v>
      </c>
      <c r="AD2804">
        <v>-1.11956960708699</v>
      </c>
      <c r="AE2804">
        <v>-3.0070999999999999</v>
      </c>
      <c r="AF2804">
        <v>3.1667712541701198</v>
      </c>
      <c r="AG2804">
        <v>-1.11956960708699</v>
      </c>
      <c r="AH2804">
        <v>31.214680458598501</v>
      </c>
      <c r="AI2804">
        <v>92.043652596013999</v>
      </c>
      <c r="AJ2804">
        <v>84.2070862443164</v>
      </c>
      <c r="AK2804">
        <v>31.394874620131201</v>
      </c>
      <c r="AL2804">
        <v>78.679405860904595</v>
      </c>
      <c r="AM2804">
        <v>90.326992086109101</v>
      </c>
      <c r="AN2804">
        <v>1.0000000034097101</v>
      </c>
    </row>
    <row r="2805" spans="1:40" x14ac:dyDescent="0.25">
      <c r="A2805" t="str">
        <f>"20190303170552362"</f>
        <v>20190303170552362</v>
      </c>
      <c r="B2805" t="str">
        <f>"1551603952357939"</f>
        <v>1551603952357939</v>
      </c>
      <c r="C2805" t="s">
        <v>40</v>
      </c>
      <c r="D2805">
        <v>5.2396140000000004</v>
      </c>
      <c r="E2805">
        <v>0.54589580000000004</v>
      </c>
      <c r="F2805" t="s">
        <v>64</v>
      </c>
      <c r="G2805">
        <v>-414.74189999999999</v>
      </c>
      <c r="H2805" s="1">
        <v>3.3962720000000001E-6</v>
      </c>
      <c r="I2805">
        <v>210.6198</v>
      </c>
      <c r="J2805">
        <v>-445.66820000000001</v>
      </c>
      <c r="K2805">
        <v>1.1195539999999999</v>
      </c>
      <c r="L2805">
        <v>213.60890000000001</v>
      </c>
      <c r="M2805">
        <v>0.99998600000000004</v>
      </c>
      <c r="N2805">
        <v>-1.457301E-3</v>
      </c>
      <c r="O2805">
        <v>5.1080520000000001E-3</v>
      </c>
      <c r="P2805">
        <v>0.98059050000000003</v>
      </c>
      <c r="Q2805">
        <v>0.1957547</v>
      </c>
      <c r="R2805">
        <v>1.1082689999999999E-2</v>
      </c>
      <c r="S2805">
        <v>3.084015</v>
      </c>
      <c r="T2805">
        <v>-0.1105174</v>
      </c>
      <c r="U2805">
        <v>-0.29490660000000002</v>
      </c>
      <c r="V2805">
        <v>-6.0269470000000004E-3</v>
      </c>
      <c r="W2805">
        <v>0.19718550000000001</v>
      </c>
      <c r="X2805">
        <v>0.98034770000000004</v>
      </c>
      <c r="Y2805">
        <v>0.1002043</v>
      </c>
      <c r="Z2805">
        <v>-2.0391480000000002E-3</v>
      </c>
      <c r="AA2805">
        <v>0.99496479999999998</v>
      </c>
      <c r="AB2805">
        <v>33</v>
      </c>
      <c r="AC2805">
        <v>30.926300000000001</v>
      </c>
      <c r="AD2805">
        <v>-1.1195506037279901</v>
      </c>
      <c r="AE2805">
        <v>-2.9891000000000001</v>
      </c>
      <c r="AF2805">
        <v>3.1429536345161901</v>
      </c>
      <c r="AG2805">
        <v>-1.1195506037279901</v>
      </c>
      <c r="AH2805">
        <v>30.870547119426199</v>
      </c>
      <c r="AI2805">
        <v>92.066305145104494</v>
      </c>
      <c r="AJ2805">
        <v>84.186704117911603</v>
      </c>
      <c r="AK2805">
        <v>31.050317720689101</v>
      </c>
      <c r="AL2805">
        <v>78.627577554184001</v>
      </c>
      <c r="AM2805">
        <v>90.352236534147195</v>
      </c>
      <c r="AN2805">
        <v>1.0000000291978399</v>
      </c>
    </row>
    <row r="2806" spans="1:40" x14ac:dyDescent="0.25">
      <c r="A2806" t="str">
        <f>"20190303170552386"</f>
        <v>20190303170552386</v>
      </c>
      <c r="B2806" t="str">
        <f>"1551603952377459"</f>
        <v>1551603952377459</v>
      </c>
      <c r="C2806" t="s">
        <v>40</v>
      </c>
      <c r="D2806">
        <v>5.2530479999999997</v>
      </c>
      <c r="E2806">
        <v>0.54606769999999905</v>
      </c>
      <c r="F2806" t="s">
        <v>64</v>
      </c>
      <c r="G2806">
        <v>-412.76170000000002</v>
      </c>
      <c r="H2806" s="1">
        <v>3.0617420000000002E-6</v>
      </c>
      <c r="I2806">
        <v>210.42840000000001</v>
      </c>
      <c r="J2806">
        <v>-445.30849999999998</v>
      </c>
      <c r="K2806">
        <v>1.1195440000000001</v>
      </c>
      <c r="L2806">
        <v>213.61060000000001</v>
      </c>
      <c r="M2806">
        <v>0.99998659999999995</v>
      </c>
      <c r="N2806">
        <v>-1.48111799999999E-3</v>
      </c>
      <c r="O2806">
        <v>4.962869E-3</v>
      </c>
      <c r="P2806">
        <v>0.98031889999999999</v>
      </c>
      <c r="Q2806">
        <v>0.197106</v>
      </c>
      <c r="R2806">
        <v>1.1153649999999999E-2</v>
      </c>
      <c r="S2806">
        <v>3.0836489999999999</v>
      </c>
      <c r="T2806">
        <v>-0.10491250000000001</v>
      </c>
      <c r="U2806">
        <v>-0.29803469999999999</v>
      </c>
      <c r="V2806">
        <v>-6.2355419999999898E-3</v>
      </c>
      <c r="W2806">
        <v>0.1985596</v>
      </c>
      <c r="X2806">
        <v>0.98006899999999997</v>
      </c>
      <c r="Y2806">
        <v>0.10107729999999999</v>
      </c>
      <c r="Z2806">
        <v>-1.951082E-3</v>
      </c>
      <c r="AA2806">
        <v>0.99487669999999995</v>
      </c>
      <c r="AB2806">
        <v>34</v>
      </c>
      <c r="AC2806">
        <v>32.546799999999898</v>
      </c>
      <c r="AD2806">
        <v>-1.1195409382579999</v>
      </c>
      <c r="AE2806">
        <v>-3.1821999999999901</v>
      </c>
      <c r="AF2806">
        <v>3.3397722434027401</v>
      </c>
      <c r="AG2806">
        <v>-1.1195409382579999</v>
      </c>
      <c r="AH2806">
        <v>32.492524750088201</v>
      </c>
      <c r="AI2806">
        <v>91.963030573214894</v>
      </c>
      <c r="AJ2806">
        <v>84.131412948012795</v>
      </c>
      <c r="AK2806">
        <v>32.682894840961197</v>
      </c>
      <c r="AL2806">
        <v>78.5472592494704</v>
      </c>
      <c r="AM2806">
        <v>90.364530884036796</v>
      </c>
      <c r="AN2806">
        <v>1.00000002074859</v>
      </c>
    </row>
    <row r="2807" spans="1:40" x14ac:dyDescent="0.25">
      <c r="A2807" t="str">
        <f>"20190303170552407"</f>
        <v>20190303170552407</v>
      </c>
      <c r="B2807" t="str">
        <f>"1551603952397955"</f>
        <v>1551603952397955</v>
      </c>
      <c r="C2807" t="s">
        <v>40</v>
      </c>
      <c r="D2807">
        <v>5.2247349999999999</v>
      </c>
      <c r="E2807">
        <v>0.54636109999999904</v>
      </c>
      <c r="F2807" t="s">
        <v>64</v>
      </c>
      <c r="G2807">
        <v>-410.89159999999998</v>
      </c>
      <c r="H2807" s="1">
        <v>2.7428299999999998E-6</v>
      </c>
      <c r="I2807">
        <v>210.28190000000001</v>
      </c>
      <c r="J2807">
        <v>-444.9819</v>
      </c>
      <c r="K2807">
        <v>1.1195310000000001</v>
      </c>
      <c r="L2807">
        <v>213.6121</v>
      </c>
      <c r="M2807">
        <v>0.99998719999999996</v>
      </c>
      <c r="N2807">
        <v>-1.5043560000000001E-3</v>
      </c>
      <c r="O2807">
        <v>4.8313419999999998E-3</v>
      </c>
      <c r="P2807">
        <v>0.98044969999999998</v>
      </c>
      <c r="Q2807">
        <v>0.19641030000000001</v>
      </c>
      <c r="R2807">
        <v>1.190542E-2</v>
      </c>
      <c r="S2807">
        <v>3.083771</v>
      </c>
      <c r="T2807">
        <v>-0.10031130000000001</v>
      </c>
      <c r="U2807">
        <v>-0.29824830000000002</v>
      </c>
      <c r="V2807">
        <v>-7.1113729999999998E-3</v>
      </c>
      <c r="W2807">
        <v>0.19788710000000001</v>
      </c>
      <c r="X2807">
        <v>0.98019900000000004</v>
      </c>
      <c r="Y2807">
        <v>0.10101640000000001</v>
      </c>
      <c r="Z2807">
        <v>-1.864405E-3</v>
      </c>
      <c r="AA2807">
        <v>0.99488299999999996</v>
      </c>
      <c r="AB2807">
        <v>34</v>
      </c>
      <c r="AC2807">
        <v>34.090299999999999</v>
      </c>
      <c r="AD2807">
        <v>-1.11952825717</v>
      </c>
      <c r="AE2807">
        <v>-3.3301999999999898</v>
      </c>
      <c r="AF2807">
        <v>3.49113372088053</v>
      </c>
      <c r="AG2807">
        <v>-1.11952825717</v>
      </c>
      <c r="AH2807">
        <v>34.037451365732402</v>
      </c>
      <c r="AI2807">
        <v>91.874015927040503</v>
      </c>
      <c r="AJ2807">
        <v>84.143798066814696</v>
      </c>
      <c r="AK2807">
        <v>34.234331505818403</v>
      </c>
      <c r="AL2807">
        <v>78.586570226693297</v>
      </c>
      <c r="AM2807">
        <v>90.415675297431903</v>
      </c>
      <c r="AN2807">
        <v>0.99999997778667704</v>
      </c>
    </row>
    <row r="2808" spans="1:40" x14ac:dyDescent="0.25">
      <c r="A2808" t="str">
        <f>"20190303170552439"</f>
        <v>20190303170552439</v>
      </c>
      <c r="B2808" t="str">
        <f>"1551603952427234"</f>
        <v>1551603952427234</v>
      </c>
      <c r="C2808" t="s">
        <v>40</v>
      </c>
      <c r="D2808">
        <v>5.2249230000000004</v>
      </c>
      <c r="E2808">
        <v>0.54670920000000001</v>
      </c>
      <c r="F2808" t="s">
        <v>64</v>
      </c>
      <c r="G2808">
        <v>-410.7441</v>
      </c>
      <c r="H2808" s="1">
        <v>2.7154540000000001E-6</v>
      </c>
      <c r="I2808">
        <v>210.29570000000001</v>
      </c>
      <c r="J2808">
        <v>-444.49189999999999</v>
      </c>
      <c r="K2808">
        <v>1.1194999999999999</v>
      </c>
      <c r="L2808">
        <v>213.61429999999999</v>
      </c>
      <c r="M2808">
        <v>0.99998819999999999</v>
      </c>
      <c r="N2808">
        <v>-1.541756E-3</v>
      </c>
      <c r="O2808">
        <v>4.6334590000000004E-3</v>
      </c>
      <c r="P2808">
        <v>0.98096349999999999</v>
      </c>
      <c r="Q2808">
        <v>0.19383990000000001</v>
      </c>
      <c r="R2808">
        <v>1.1712510000000001E-2</v>
      </c>
      <c r="S2808">
        <v>3.0836790000000001</v>
      </c>
      <c r="T2808">
        <v>-0.100832</v>
      </c>
      <c r="U2808">
        <v>-0.29869079999999998</v>
      </c>
      <c r="V2808">
        <v>-7.1061739999999998E-3</v>
      </c>
      <c r="W2808">
        <v>0.195354</v>
      </c>
      <c r="X2808">
        <v>0.980707</v>
      </c>
      <c r="Y2808">
        <v>0.1009632</v>
      </c>
      <c r="Z2808">
        <v>-1.8684179999999999E-3</v>
      </c>
      <c r="AA2808">
        <v>0.99488840000000001</v>
      </c>
      <c r="AB2808">
        <v>34</v>
      </c>
      <c r="AC2808">
        <v>33.747799999999899</v>
      </c>
      <c r="AD2808">
        <v>-1.1194972845459901</v>
      </c>
      <c r="AE2808">
        <v>-3.3185999999999698</v>
      </c>
      <c r="AF2808">
        <v>3.4711504784029401</v>
      </c>
      <c r="AG2808">
        <v>-1.1194972845459901</v>
      </c>
      <c r="AH2808">
        <v>33.695337490481201</v>
      </c>
      <c r="AI2808">
        <v>91.892890727404605</v>
      </c>
      <c r="AJ2808">
        <v>84.118379454263803</v>
      </c>
      <c r="AK2808">
        <v>33.892151427893303</v>
      </c>
      <c r="AL2808">
        <v>78.734595421978995</v>
      </c>
      <c r="AM2808">
        <v>90.415156262945004</v>
      </c>
      <c r="AN2808">
        <v>0.99999995143695797</v>
      </c>
    </row>
    <row r="2809" spans="1:40" x14ac:dyDescent="0.25">
      <c r="A2809" t="str">
        <f>"20190303170552462"</f>
        <v>20190303170552462</v>
      </c>
      <c r="B2809" t="str">
        <f>"1551603952457272"</f>
        <v>1551603952457272</v>
      </c>
      <c r="C2809" t="s">
        <v>40</v>
      </c>
      <c r="D2809">
        <v>5.2128360000000002</v>
      </c>
      <c r="E2809">
        <v>0.54700209999999905</v>
      </c>
      <c r="F2809" t="s">
        <v>64</v>
      </c>
      <c r="G2809">
        <v>-412.23970000000003</v>
      </c>
      <c r="H2809" s="1">
        <v>2.9679870000000001E-6</v>
      </c>
      <c r="I2809">
        <v>210.4418</v>
      </c>
      <c r="J2809">
        <v>-444.13990000000001</v>
      </c>
      <c r="K2809">
        <v>1.1194820000000001</v>
      </c>
      <c r="L2809">
        <v>213.61580000000001</v>
      </c>
      <c r="M2809">
        <v>0.99998869999999895</v>
      </c>
      <c r="N2809">
        <v>-1.57024799999999E-3</v>
      </c>
      <c r="O2809">
        <v>4.4909650000000004E-3</v>
      </c>
      <c r="P2809">
        <v>0.98113740000000005</v>
      </c>
      <c r="Q2809">
        <v>0.19299910000000001</v>
      </c>
      <c r="R2809">
        <v>1.099404E-2</v>
      </c>
      <c r="S2809">
        <v>3.0829770000000001</v>
      </c>
      <c r="T2809">
        <v>-0.1070125</v>
      </c>
      <c r="U2809">
        <v>-0.3032532</v>
      </c>
      <c r="V2809">
        <v>-6.5245700000000004E-3</v>
      </c>
      <c r="W2809">
        <v>0.19454160000000001</v>
      </c>
      <c r="X2809">
        <v>0.98087259999999998</v>
      </c>
      <c r="Y2809">
        <v>0.1022935</v>
      </c>
      <c r="Z2809">
        <v>-1.9995109999999998E-3</v>
      </c>
      <c r="AA2809">
        <v>0.99475219999999998</v>
      </c>
      <c r="AB2809">
        <v>34</v>
      </c>
      <c r="AC2809">
        <v>31.900199999999899</v>
      </c>
      <c r="AD2809">
        <v>-1.1194790320129999</v>
      </c>
      <c r="AE2809">
        <v>-3.1739999999999999</v>
      </c>
      <c r="AF2809">
        <v>3.3131905512642001</v>
      </c>
      <c r="AG2809">
        <v>-1.1194790320129999</v>
      </c>
      <c r="AH2809">
        <v>31.846788145076399</v>
      </c>
      <c r="AI2809">
        <v>92.002435119298795</v>
      </c>
      <c r="AJ2809">
        <v>84.0605823098104</v>
      </c>
      <c r="AK2809">
        <v>32.038233098744499</v>
      </c>
      <c r="AL2809">
        <v>78.782053959067497</v>
      </c>
      <c r="AM2809">
        <v>90.381114540998695</v>
      </c>
      <c r="AN2809">
        <v>1.0000000307875001</v>
      </c>
    </row>
    <row r="2810" spans="1:40" x14ac:dyDescent="0.25">
      <c r="A2810" t="str">
        <f>"20190303170552485"</f>
        <v>20190303170552485</v>
      </c>
      <c r="B2810" t="str">
        <f>"1551603952477767"</f>
        <v>1551603952477767</v>
      </c>
      <c r="C2810" t="s">
        <v>40</v>
      </c>
      <c r="D2810">
        <v>5.2243930000000001</v>
      </c>
      <c r="E2810">
        <v>0.54720519999999995</v>
      </c>
      <c r="F2810" t="s">
        <v>64</v>
      </c>
      <c r="G2810">
        <v>-412.08159999999998</v>
      </c>
      <c r="H2810" s="1">
        <v>2.9432090000000001E-6</v>
      </c>
      <c r="I2810">
        <v>210.40440000000001</v>
      </c>
      <c r="J2810">
        <v>-443.77679999999998</v>
      </c>
      <c r="K2810">
        <v>1.1194839999999999</v>
      </c>
      <c r="L2810">
        <v>213.6173</v>
      </c>
      <c r="M2810">
        <v>0.99998940000000003</v>
      </c>
      <c r="N2810">
        <v>-1.600984E-3</v>
      </c>
      <c r="O2810">
        <v>4.3431059999999898E-3</v>
      </c>
      <c r="P2810">
        <v>0.98090759999999999</v>
      </c>
      <c r="Q2810">
        <v>0.1941611</v>
      </c>
      <c r="R2810">
        <v>1.105098E-2</v>
      </c>
      <c r="S2810">
        <v>3.0822750000000001</v>
      </c>
      <c r="T2810">
        <v>-0.1076334</v>
      </c>
      <c r="U2810">
        <v>-0.30876160000000002</v>
      </c>
      <c r="V2810">
        <v>-6.7249969999999999E-3</v>
      </c>
      <c r="W2810">
        <v>0.1957332</v>
      </c>
      <c r="X2810">
        <v>0.98063409999999995</v>
      </c>
      <c r="Y2810">
        <v>0.10392700000000001</v>
      </c>
      <c r="Z2810">
        <v>-2.0372319999999999E-3</v>
      </c>
      <c r="AA2810">
        <v>0.99458279999999999</v>
      </c>
      <c r="AB2810">
        <v>34</v>
      </c>
      <c r="AC2810">
        <v>31.6952</v>
      </c>
      <c r="AD2810">
        <v>-1.1194810567910001</v>
      </c>
      <c r="AE2810">
        <v>-3.2128999999999901</v>
      </c>
      <c r="AF2810">
        <v>3.3463932504734402</v>
      </c>
      <c r="AG2810">
        <v>-1.1194810567910001</v>
      </c>
      <c r="AH2810">
        <v>31.641874801590198</v>
      </c>
      <c r="AI2810">
        <v>92.015035930971905</v>
      </c>
      <c r="AJ2810">
        <v>83.962932606533201</v>
      </c>
      <c r="AK2810">
        <v>31.838024853668902</v>
      </c>
      <c r="AL2810">
        <v>78.712441438745103</v>
      </c>
      <c r="AM2810">
        <v>90.392917098371996</v>
      </c>
      <c r="AN2810">
        <v>0.99999997462484902</v>
      </c>
    </row>
    <row r="2811" spans="1:40" x14ac:dyDescent="0.25">
      <c r="A2811" t="str">
        <f>"20190303170552508"</f>
        <v>20190303170552508</v>
      </c>
      <c r="B2811" t="str">
        <f>"1551603952497287"</f>
        <v>1551603952497287</v>
      </c>
      <c r="C2811" t="s">
        <v>40</v>
      </c>
      <c r="D2811">
        <v>5.2990779999999997</v>
      </c>
      <c r="E2811">
        <v>0.54731549999999995</v>
      </c>
      <c r="F2811" t="s">
        <v>64</v>
      </c>
      <c r="G2811">
        <v>-410.2038</v>
      </c>
      <c r="H2811" s="1">
        <v>2.625643E-6</v>
      </c>
      <c r="I2811">
        <v>210.2269</v>
      </c>
      <c r="J2811">
        <v>-443.41550000000001</v>
      </c>
      <c r="K2811">
        <v>1.11948799999999</v>
      </c>
      <c r="L2811">
        <v>213.61879999999999</v>
      </c>
      <c r="M2811">
        <v>0.99998989999999999</v>
      </c>
      <c r="N2811">
        <v>-1.6325759999999999E-3</v>
      </c>
      <c r="O2811">
        <v>4.1960230000000001E-3</v>
      </c>
      <c r="P2811">
        <v>0.98058000000000001</v>
      </c>
      <c r="Q2811">
        <v>0.1957335</v>
      </c>
      <c r="R2811">
        <v>1.22916E-2</v>
      </c>
      <c r="S2811">
        <v>3.0822449999999999</v>
      </c>
      <c r="T2811">
        <v>-0.1027766</v>
      </c>
      <c r="U2811">
        <v>-0.31126399999999999</v>
      </c>
      <c r="V2811">
        <v>-8.1092400000000002E-3</v>
      </c>
      <c r="W2811">
        <v>0.1973374</v>
      </c>
      <c r="X2811">
        <v>0.98030209999999995</v>
      </c>
      <c r="Y2811">
        <v>0.1045865</v>
      </c>
      <c r="Z2811">
        <v>-1.9571150000000002E-3</v>
      </c>
      <c r="AA2811">
        <v>0.99451389999999995</v>
      </c>
      <c r="AB2811">
        <v>35</v>
      </c>
      <c r="AC2811">
        <v>33.2117</v>
      </c>
      <c r="AD2811">
        <v>-1.1194853743569999</v>
      </c>
      <c r="AE2811">
        <v>-3.3918999999999899</v>
      </c>
      <c r="AF2811">
        <v>3.5272610753692799</v>
      </c>
      <c r="AG2811">
        <v>-1.1194853743569999</v>
      </c>
      <c r="AH2811">
        <v>33.159887789172899</v>
      </c>
      <c r="AI2811">
        <v>91.922745217505494</v>
      </c>
      <c r="AJ2811">
        <v>83.928204045262007</v>
      </c>
      <c r="AK2811">
        <v>33.365745554202</v>
      </c>
      <c r="AL2811">
        <v>78.618699645785895</v>
      </c>
      <c r="AM2811">
        <v>90.473950458273094</v>
      </c>
      <c r="AN2811">
        <v>1.0000000082382701</v>
      </c>
    </row>
    <row r="2812" spans="1:40" x14ac:dyDescent="0.25">
      <c r="A2812" t="str">
        <f>"20190303170552532"</f>
        <v>20190303170552532</v>
      </c>
      <c r="B2812" t="str">
        <f>"1551603952527543"</f>
        <v>1551603952527543</v>
      </c>
      <c r="C2812" t="s">
        <v>40</v>
      </c>
      <c r="D2812">
        <v>5.4167389999999997</v>
      </c>
      <c r="E2812">
        <v>0.5115885</v>
      </c>
      <c r="F2812" t="s">
        <v>64</v>
      </c>
      <c r="G2812">
        <v>-407.83440000000002</v>
      </c>
      <c r="H2812" s="1">
        <v>5.8718579999999997E-6</v>
      </c>
      <c r="I2812">
        <v>210.0487</v>
      </c>
      <c r="J2812">
        <v>-443.04599999999999</v>
      </c>
      <c r="K2812">
        <v>1.119491</v>
      </c>
      <c r="L2812">
        <v>213.62020000000001</v>
      </c>
      <c r="M2812">
        <v>0.9999905</v>
      </c>
      <c r="N2812">
        <v>-1.6658039999999999E-3</v>
      </c>
      <c r="O2812">
        <v>4.0450629999999998E-3</v>
      </c>
      <c r="P2812">
        <v>0.98046259999999996</v>
      </c>
      <c r="Q2812">
        <v>0.19622700000000001</v>
      </c>
      <c r="R2812">
        <v>1.370794E-2</v>
      </c>
      <c r="S2812">
        <v>3.0826419999999999</v>
      </c>
      <c r="T2812">
        <v>-9.6988560000000001E-2</v>
      </c>
      <c r="U2812">
        <v>-0.30929570000000001</v>
      </c>
      <c r="V2812">
        <v>-9.6722519999999992E-3</v>
      </c>
      <c r="W2812">
        <v>0.1978637</v>
      </c>
      <c r="X2812">
        <v>0.98018179999999999</v>
      </c>
      <c r="Y2812">
        <v>0.10380209999999999</v>
      </c>
      <c r="Z2812">
        <v>-1.8353639999999999E-3</v>
      </c>
      <c r="AA2812">
        <v>0.99459629999999999</v>
      </c>
      <c r="AB2812">
        <v>35</v>
      </c>
      <c r="AC2812">
        <v>35.211599999999898</v>
      </c>
      <c r="AD2812">
        <v>-1.119485128142</v>
      </c>
      <c r="AE2812">
        <v>-3.5715000000000101</v>
      </c>
      <c r="AF2812">
        <v>3.7101920369668799</v>
      </c>
      <c r="AG2812">
        <v>-1.119485128142</v>
      </c>
      <c r="AH2812">
        <v>35.161685462848297</v>
      </c>
      <c r="AI2812">
        <v>91.813517881307106</v>
      </c>
      <c r="AJ2812">
        <v>83.976550952356604</v>
      </c>
      <c r="AK2812">
        <v>35.3746080754484</v>
      </c>
      <c r="AL2812">
        <v>78.587938002465293</v>
      </c>
      <c r="AM2812">
        <v>90.565365763303404</v>
      </c>
      <c r="AN2812">
        <v>0.99999997864384005</v>
      </c>
    </row>
    <row r="2813" spans="1:40" x14ac:dyDescent="0.25">
      <c r="A2813" t="str">
        <f>"20190303170552553"</f>
        <v>20190303170552553</v>
      </c>
      <c r="B2813" t="str">
        <f>"1551603952548039"</f>
        <v>1551603952548039</v>
      </c>
      <c r="C2813" t="s">
        <v>40</v>
      </c>
      <c r="D2813">
        <v>5.3603259999999997</v>
      </c>
      <c r="E2813">
        <v>0.50487170000000003</v>
      </c>
      <c r="F2813" t="s">
        <v>64</v>
      </c>
      <c r="G2813">
        <v>-413.8503</v>
      </c>
      <c r="H2813" s="1">
        <v>2.9908510000000002E-6</v>
      </c>
      <c r="I2813">
        <v>213.44820000000001</v>
      </c>
      <c r="J2813">
        <v>-442.70600000000002</v>
      </c>
      <c r="K2813">
        <v>1.1194919999999999</v>
      </c>
      <c r="L2813">
        <v>213.6215</v>
      </c>
      <c r="M2813">
        <v>0.99999110000000002</v>
      </c>
      <c r="N2813">
        <v>-1.697049E-3</v>
      </c>
      <c r="O2813">
        <v>3.9057290000000001E-3</v>
      </c>
      <c r="P2813">
        <v>0.98027779999999998</v>
      </c>
      <c r="Q2813">
        <v>0.1971202</v>
      </c>
      <c r="R2813">
        <v>1.412982E-2</v>
      </c>
      <c r="S2813">
        <v>3.083771</v>
      </c>
      <c r="T2813">
        <v>-0.1182449</v>
      </c>
      <c r="U2813">
        <v>-1.817322E-2</v>
      </c>
      <c r="V2813">
        <v>-1.023023E-2</v>
      </c>
      <c r="W2813">
        <v>0.1987872</v>
      </c>
      <c r="X2813">
        <v>0.97998929999999995</v>
      </c>
      <c r="Y2813">
        <v>9.7885660000000003E-3</v>
      </c>
      <c r="Z2813">
        <v>-3.389865E-4</v>
      </c>
      <c r="AA2813">
        <v>0.99995199999999995</v>
      </c>
      <c r="AB2813">
        <v>35</v>
      </c>
      <c r="AC2813">
        <v>28.855699999999899</v>
      </c>
      <c r="AD2813">
        <v>-1.119489009149</v>
      </c>
      <c r="AE2813">
        <v>-0.173299999999983</v>
      </c>
      <c r="AF2813">
        <v>0.28557155668392697</v>
      </c>
      <c r="AG2813">
        <v>-1.119489009149</v>
      </c>
      <c r="AH2813">
        <v>28.811439401976301</v>
      </c>
      <c r="AI2813">
        <v>92.225039790020801</v>
      </c>
      <c r="AJ2813">
        <v>89.432117606708402</v>
      </c>
      <c r="AK2813">
        <v>28.834594624675201</v>
      </c>
      <c r="AL2813">
        <v>78.533953461573503</v>
      </c>
      <c r="AM2813">
        <v>90.598096032187598</v>
      </c>
      <c r="AN2813">
        <v>1.0000000183020901</v>
      </c>
    </row>
    <row r="2814" spans="1:40" x14ac:dyDescent="0.25">
      <c r="A2814" t="str">
        <f>"20190303170552575"</f>
        <v>20190303170552575</v>
      </c>
      <c r="B2814" t="str">
        <f>"1551603952567157"</f>
        <v>1551603952567157</v>
      </c>
      <c r="C2814" t="s">
        <v>40</v>
      </c>
      <c r="D2814">
        <v>5.473077</v>
      </c>
      <c r="E2814">
        <v>0.50172859999999997</v>
      </c>
      <c r="F2814" t="s">
        <v>64</v>
      </c>
      <c r="G2814">
        <v>-405.87880000000001</v>
      </c>
      <c r="H2814" s="1">
        <v>5.9104829999999997E-6</v>
      </c>
      <c r="I2814">
        <v>214.05860000000001</v>
      </c>
      <c r="J2814">
        <v>-442.35640000000001</v>
      </c>
      <c r="K2814">
        <v>1.119497</v>
      </c>
      <c r="L2814">
        <v>213.62270000000001</v>
      </c>
      <c r="M2814">
        <v>0.99999150000000003</v>
      </c>
      <c r="N2814">
        <v>-1.7297429999999999E-3</v>
      </c>
      <c r="O2814">
        <v>3.7628169999999999E-3</v>
      </c>
      <c r="P2814">
        <v>0.98022039999999999</v>
      </c>
      <c r="Q2814">
        <v>0.19744220000000001</v>
      </c>
      <c r="R2814">
        <v>1.3602120000000001E-2</v>
      </c>
      <c r="S2814">
        <v>3.0786440000000002</v>
      </c>
      <c r="T2814">
        <v>-9.3585730000000006E-2</v>
      </c>
      <c r="U2814">
        <v>3.6544800000000002E-2</v>
      </c>
      <c r="V2814">
        <v>-9.8421189999999999E-3</v>
      </c>
      <c r="W2814">
        <v>0.19914100000000001</v>
      </c>
      <c r="X2814">
        <v>0.9799215</v>
      </c>
      <c r="Y2814">
        <v>-8.1045330000000006E-3</v>
      </c>
      <c r="Z2814" s="1">
        <v>2.231574E-5</v>
      </c>
      <c r="AA2814">
        <v>0.99996719999999895</v>
      </c>
      <c r="AB2814">
        <v>35</v>
      </c>
      <c r="AC2814">
        <v>36.477600000000002</v>
      </c>
      <c r="AD2814">
        <v>-1.119491089517</v>
      </c>
      <c r="AE2814">
        <v>0.43590000000000301</v>
      </c>
      <c r="AF2814">
        <v>-0.29835721352084399</v>
      </c>
      <c r="AG2814">
        <v>-1.119491089517</v>
      </c>
      <c r="AH2814">
        <v>36.444660914938297</v>
      </c>
      <c r="AI2814">
        <v>91.759374432438705</v>
      </c>
      <c r="AJ2814">
        <v>90.469046132243605</v>
      </c>
      <c r="AK2814">
        <v>36.463071545485498</v>
      </c>
      <c r="AL2814">
        <v>78.513269327218595</v>
      </c>
      <c r="AM2814">
        <v>90.5754470325341</v>
      </c>
      <c r="AN2814">
        <v>1.00000007567482</v>
      </c>
    </row>
    <row r="2815" spans="1:40" x14ac:dyDescent="0.25">
      <c r="A2815" t="str">
        <f>"20190303170552598"</f>
        <v>20190303170552598</v>
      </c>
      <c r="B2815" t="str">
        <f>"1551603952587653"</f>
        <v>1551603952587653</v>
      </c>
      <c r="C2815" t="s">
        <v>40</v>
      </c>
      <c r="D2815">
        <v>5.2037979999999999</v>
      </c>
      <c r="E2815">
        <v>0.5001331</v>
      </c>
      <c r="F2815" t="s">
        <v>64</v>
      </c>
      <c r="G2815">
        <v>-400.74439999999998</v>
      </c>
      <c r="H2815" s="1">
        <v>8.1097119999999906E-6</v>
      </c>
      <c r="I2815">
        <v>214.43440000000001</v>
      </c>
      <c r="J2815">
        <v>-441.99509999999998</v>
      </c>
      <c r="K2815">
        <v>1.1195010000000001</v>
      </c>
      <c r="L2815">
        <v>213.62389999999999</v>
      </c>
      <c r="M2815">
        <v>0.99999199999999999</v>
      </c>
      <c r="N2815">
        <v>-1.7640889999999999E-3</v>
      </c>
      <c r="O2815">
        <v>3.615194E-3</v>
      </c>
      <c r="P2815">
        <v>0.97992889999999999</v>
      </c>
      <c r="Q2815">
        <v>0.19893379999999999</v>
      </c>
      <c r="R2815">
        <v>1.2852010000000001E-2</v>
      </c>
      <c r="S2815">
        <v>3.0763850000000001</v>
      </c>
      <c r="T2815">
        <v>-8.2764149999999995E-2</v>
      </c>
      <c r="U2815">
        <v>6.0012820000000001E-2</v>
      </c>
      <c r="V2815">
        <v>-9.2359480000000008E-3</v>
      </c>
      <c r="W2815">
        <v>0.20066590000000001</v>
      </c>
      <c r="X2815">
        <v>0.97961620000000005</v>
      </c>
      <c r="Y2815">
        <v>-1.5884240000000001E-2</v>
      </c>
      <c r="Z2815">
        <v>1.3676699999999999E-4</v>
      </c>
      <c r="AA2815">
        <v>0.99987380000000003</v>
      </c>
      <c r="AB2815">
        <v>36</v>
      </c>
      <c r="AC2815">
        <v>41.250700000000002</v>
      </c>
      <c r="AD2815">
        <v>-1.1194928902879999</v>
      </c>
      <c r="AE2815">
        <v>0.81050000000001798</v>
      </c>
      <c r="AF2815">
        <v>-0.66087864441813804</v>
      </c>
      <c r="AG2815">
        <v>-1.1194928902879999</v>
      </c>
      <c r="AH2815">
        <v>41.223011011389801</v>
      </c>
      <c r="AI2815">
        <v>91.555398785025005</v>
      </c>
      <c r="AJ2815">
        <v>90.918475206442096</v>
      </c>
      <c r="AK2815">
        <v>41.243504479605299</v>
      </c>
      <c r="AL2815">
        <v>78.424098287301504</v>
      </c>
      <c r="AM2815">
        <v>90.540176001047598</v>
      </c>
      <c r="AN2815">
        <v>1.0000000027303499</v>
      </c>
    </row>
    <row r="2816" spans="1:40" x14ac:dyDescent="0.25">
      <c r="A2816" t="str">
        <f>"20190303170552619"</f>
        <v>20190303170552619</v>
      </c>
      <c r="B2816" t="str">
        <f>"1551603952607177"</f>
        <v>1551603952607177</v>
      </c>
      <c r="C2816" t="s">
        <v>40</v>
      </c>
      <c r="D2816">
        <v>5.4275440000000001</v>
      </c>
      <c r="E2816">
        <v>0.4992105</v>
      </c>
      <c r="F2816" t="s">
        <v>60</v>
      </c>
      <c r="G2816">
        <v>-395.1474</v>
      </c>
      <c r="H2816" s="1">
        <v>1.2024149999999999E-6</v>
      </c>
      <c r="I2816">
        <v>214.67830000000001</v>
      </c>
      <c r="J2816">
        <v>-441.65140000000002</v>
      </c>
      <c r="K2816">
        <v>1.119497</v>
      </c>
      <c r="L2816">
        <v>213.6251</v>
      </c>
      <c r="M2816">
        <v>0.99999249999999995</v>
      </c>
      <c r="N2816">
        <v>-1.797122E-3</v>
      </c>
      <c r="O2816">
        <v>3.4744870000000001E-3</v>
      </c>
      <c r="P2816">
        <v>0.97968599999999995</v>
      </c>
      <c r="Q2816">
        <v>0.20018749999999999</v>
      </c>
      <c r="R2816">
        <v>1.185779E-2</v>
      </c>
      <c r="S2816">
        <v>3.0754389999999998</v>
      </c>
      <c r="T2816">
        <v>-7.349253E-2</v>
      </c>
      <c r="U2816">
        <v>6.9213869999999997E-2</v>
      </c>
      <c r="V2816">
        <v>-8.3788600000000001E-3</v>
      </c>
      <c r="W2816">
        <v>0.20195089999999999</v>
      </c>
      <c r="X2816">
        <v>0.9793598</v>
      </c>
      <c r="Y2816">
        <v>-1.9020929999999998E-2</v>
      </c>
      <c r="Z2816">
        <v>1.675402E-4</v>
      </c>
      <c r="AA2816">
        <v>0.99981909999999896</v>
      </c>
      <c r="AB2816">
        <v>36</v>
      </c>
      <c r="AC2816">
        <v>46.503999999999998</v>
      </c>
      <c r="AD2816">
        <v>-1.119495797585</v>
      </c>
      <c r="AE2816">
        <v>1.0531999999999999</v>
      </c>
      <c r="AF2816">
        <v>-0.89109972234021495</v>
      </c>
      <c r="AG2816">
        <v>-1.119495797585</v>
      </c>
      <c r="AH2816">
        <v>46.4804563436238</v>
      </c>
      <c r="AI2816">
        <v>91.379465976539294</v>
      </c>
      <c r="AJ2816">
        <v>91.098311063062994</v>
      </c>
      <c r="AK2816">
        <v>46.502474681112197</v>
      </c>
      <c r="AL2816">
        <v>78.3489343477045</v>
      </c>
      <c r="AM2816">
        <v>90.490178995044701</v>
      </c>
      <c r="AN2816">
        <v>0.99999999458087396</v>
      </c>
    </row>
    <row r="2817" spans="1:40" x14ac:dyDescent="0.25">
      <c r="A2817" t="str">
        <f>"20190303170552642"</f>
        <v>20190303170552642</v>
      </c>
      <c r="B2817" t="str">
        <f>"1551603952637429"</f>
        <v>1551603952637429</v>
      </c>
      <c r="C2817" t="s">
        <v>40</v>
      </c>
      <c r="D2817">
        <v>5.3653899999999997</v>
      </c>
      <c r="E2817">
        <v>0.49804359999999998</v>
      </c>
      <c r="F2817" t="s">
        <v>60</v>
      </c>
      <c r="G2817">
        <v>-390.39049999999997</v>
      </c>
      <c r="H2817" s="1">
        <v>-1.328967E-6</v>
      </c>
      <c r="I2817">
        <v>214.84729999999999</v>
      </c>
      <c r="J2817">
        <v>-441.28660000000002</v>
      </c>
      <c r="K2817">
        <v>1.1195029999999999</v>
      </c>
      <c r="L2817">
        <v>213.62620000000001</v>
      </c>
      <c r="M2817">
        <v>0.99999289999999996</v>
      </c>
      <c r="N2817">
        <v>-1.83275E-3</v>
      </c>
      <c r="O2817">
        <v>3.3256689999999998E-3</v>
      </c>
      <c r="P2817">
        <v>0.97953080000000003</v>
      </c>
      <c r="Q2817">
        <v>0.2009978</v>
      </c>
      <c r="R2817">
        <v>1.0933480000000001E-2</v>
      </c>
      <c r="S2817">
        <v>3.0750120000000001</v>
      </c>
      <c r="T2817">
        <v>-6.7155960000000001E-2</v>
      </c>
      <c r="U2817">
        <v>7.3318480000000005E-2</v>
      </c>
      <c r="V2817">
        <v>-7.5994879999999997E-3</v>
      </c>
      <c r="W2817">
        <v>0.20279610000000001</v>
      </c>
      <c r="X2817">
        <v>0.97919149999999999</v>
      </c>
      <c r="Y2817">
        <v>-2.0507049999999999E-2</v>
      </c>
      <c r="Z2817">
        <v>1.7615139999999999E-4</v>
      </c>
      <c r="AA2817">
        <v>0.9997897</v>
      </c>
      <c r="AB2817">
        <v>36</v>
      </c>
      <c r="AC2817">
        <v>50.896099999999997</v>
      </c>
      <c r="AD2817">
        <v>-1.1195043289669999</v>
      </c>
      <c r="AE2817">
        <v>1.2210999999999701</v>
      </c>
      <c r="AF2817">
        <v>-1.05132104346856</v>
      </c>
      <c r="AG2817">
        <v>-1.1195043289669999</v>
      </c>
      <c r="AH2817">
        <v>50.875279276632703</v>
      </c>
      <c r="AI2817">
        <v>91.260314237600795</v>
      </c>
      <c r="AJ2817">
        <v>91.183830094931594</v>
      </c>
      <c r="AK2817">
        <v>50.898453879802602</v>
      </c>
      <c r="AL2817">
        <v>78.299484850885904</v>
      </c>
      <c r="AM2817">
        <v>90.444662608906398</v>
      </c>
      <c r="AN2817">
        <v>1.00000000203266</v>
      </c>
    </row>
    <row r="2818" spans="1:40" x14ac:dyDescent="0.25">
      <c r="A2818" t="str">
        <f>"20190303170552664"</f>
        <v>20190303170552664</v>
      </c>
      <c r="B2818" t="str">
        <f>"1551603952657630"</f>
        <v>1551603952657630</v>
      </c>
      <c r="C2818" t="s">
        <v>40</v>
      </c>
      <c r="D2818">
        <v>5.2945209999999996</v>
      </c>
      <c r="E2818">
        <v>0.4975311</v>
      </c>
      <c r="F2818" t="s">
        <v>60</v>
      </c>
      <c r="G2818">
        <v>-386.3775</v>
      </c>
      <c r="H2818" s="1">
        <v>1.83753E-6</v>
      </c>
      <c r="I2818">
        <v>215.0615</v>
      </c>
      <c r="J2818">
        <v>-440.92259999999999</v>
      </c>
      <c r="K2818">
        <v>1.119499</v>
      </c>
      <c r="L2818">
        <v>213.62729999999999</v>
      </c>
      <c r="M2818">
        <v>0.99999329999999997</v>
      </c>
      <c r="N2818">
        <v>-1.869082E-3</v>
      </c>
      <c r="O2818">
        <v>3.1769699999999999E-3</v>
      </c>
      <c r="P2818">
        <v>0.9793039</v>
      </c>
      <c r="Q2818">
        <v>0.20212669999999999</v>
      </c>
      <c r="R2818">
        <v>1.044114E-2</v>
      </c>
      <c r="S2818">
        <v>3.0746769999999999</v>
      </c>
      <c r="T2818">
        <v>-6.2687279999999998E-2</v>
      </c>
      <c r="U2818">
        <v>8.0368040000000002E-2</v>
      </c>
      <c r="V2818">
        <v>-7.2521809999999999E-3</v>
      </c>
      <c r="W2818">
        <v>0.20395949999999999</v>
      </c>
      <c r="X2818">
        <v>0.9789525</v>
      </c>
      <c r="Y2818">
        <v>-2.29491E-2</v>
      </c>
      <c r="Z2818">
        <v>1.965169E-4</v>
      </c>
      <c r="AA2818">
        <v>0.99973659999999998</v>
      </c>
      <c r="AB2818">
        <v>36</v>
      </c>
      <c r="AC2818">
        <v>54.545099999999898</v>
      </c>
      <c r="AD2818">
        <v>-1.1194971624700001</v>
      </c>
      <c r="AE2818">
        <v>1.4341999999999999</v>
      </c>
      <c r="AF2818">
        <v>-1.2603737702708899</v>
      </c>
      <c r="AG2818">
        <v>-1.1194971624700001</v>
      </c>
      <c r="AH2818">
        <v>54.526428047679197</v>
      </c>
      <c r="AI2818">
        <v>91.175876228736996</v>
      </c>
      <c r="AJ2818">
        <v>91.324151297598803</v>
      </c>
      <c r="AK2818">
        <v>54.5524808929557</v>
      </c>
      <c r="AL2818">
        <v>78.231404459098002</v>
      </c>
      <c r="AM2818">
        <v>90.424445274497202</v>
      </c>
      <c r="AN2818">
        <v>1.0000000345128699</v>
      </c>
    </row>
    <row r="2819" spans="1:40" x14ac:dyDescent="0.25">
      <c r="A2819" t="str">
        <f>"20190303170552687"</f>
        <v>20190303170552687</v>
      </c>
      <c r="B2819" t="str">
        <f>"1551603952677150"</f>
        <v>1551603952677150</v>
      </c>
      <c r="C2819" t="s">
        <v>40</v>
      </c>
      <c r="D2819">
        <v>5.2846479999999998</v>
      </c>
      <c r="E2819">
        <v>0.49717030000000001</v>
      </c>
      <c r="F2819" t="s">
        <v>60</v>
      </c>
      <c r="G2819">
        <v>-382.31380000000001</v>
      </c>
      <c r="H2819" s="1">
        <v>-3.31201999999999E-7</v>
      </c>
      <c r="I2819">
        <v>215.20439999999999</v>
      </c>
      <c r="J2819">
        <v>-440.54520000000002</v>
      </c>
      <c r="K2819">
        <v>1.1194930000000001</v>
      </c>
      <c r="L2819">
        <v>213.6284</v>
      </c>
      <c r="M2819">
        <v>0.99999360000000004</v>
      </c>
      <c r="N2819">
        <v>-1.906846E-3</v>
      </c>
      <c r="O2819">
        <v>3.023263E-3</v>
      </c>
      <c r="P2819">
        <v>0.97919610000000001</v>
      </c>
      <c r="Q2819">
        <v>0.20264679999999999</v>
      </c>
      <c r="R2819">
        <v>1.045715E-2</v>
      </c>
      <c r="S2819">
        <v>3.0746150000000001</v>
      </c>
      <c r="T2819">
        <v>-5.8728929999999999E-2</v>
      </c>
      <c r="U2819">
        <v>8.2733150000000005E-2</v>
      </c>
      <c r="V2819">
        <v>-7.4179479999999997E-3</v>
      </c>
      <c r="W2819">
        <v>0.2045169</v>
      </c>
      <c r="X2819">
        <v>0.97883489999999995</v>
      </c>
      <c r="Y2819">
        <v>-2.387208E-2</v>
      </c>
      <c r="Z2819">
        <v>1.987294E-4</v>
      </c>
      <c r="AA2819">
        <v>0.99971500000000002</v>
      </c>
      <c r="AB2819">
        <v>36</v>
      </c>
      <c r="AC2819">
        <v>58.231400000000001</v>
      </c>
      <c r="AD2819">
        <v>-1.1194933312019999</v>
      </c>
      <c r="AE2819">
        <v>1.5759999999999901</v>
      </c>
      <c r="AF2819">
        <v>-1.3994267928211599</v>
      </c>
      <c r="AG2819">
        <v>-1.1194933312019999</v>
      </c>
      <c r="AH2819">
        <v>58.2143984241306</v>
      </c>
      <c r="AI2819">
        <v>91.101373907778495</v>
      </c>
      <c r="AJ2819">
        <v>91.377078718940197</v>
      </c>
      <c r="AK2819">
        <v>58.241976653874701</v>
      </c>
      <c r="AL2819">
        <v>78.198779397197299</v>
      </c>
      <c r="AM2819">
        <v>90.434198838740599</v>
      </c>
      <c r="AN2819">
        <v>0.99999997489807402</v>
      </c>
    </row>
    <row r="2820" spans="1:40" x14ac:dyDescent="0.25">
      <c r="A2820" t="str">
        <f>"20190303170552709"</f>
        <v>20190303170552709</v>
      </c>
      <c r="B2820" t="str">
        <f>"1551603952697646"</f>
        <v>1551603952697646</v>
      </c>
      <c r="C2820" t="s">
        <v>40</v>
      </c>
      <c r="D2820">
        <v>5.4745549999999996</v>
      </c>
      <c r="E2820">
        <v>0.49682969999999999</v>
      </c>
      <c r="F2820" t="s">
        <v>60</v>
      </c>
      <c r="G2820">
        <v>-379.83479999999997</v>
      </c>
      <c r="H2820" s="1">
        <v>3.6968139999999999E-6</v>
      </c>
      <c r="I2820">
        <v>215.3184</v>
      </c>
      <c r="J2820">
        <v>-440.18779999999998</v>
      </c>
      <c r="K2820">
        <v>1.1194900000000001</v>
      </c>
      <c r="L2820">
        <v>213.6293</v>
      </c>
      <c r="M2820">
        <v>0.99999420000000006</v>
      </c>
      <c r="N2820">
        <v>-1.942718E-3</v>
      </c>
      <c r="O2820">
        <v>2.877246E-3</v>
      </c>
      <c r="P2820">
        <v>0.97916590000000003</v>
      </c>
      <c r="Q2820">
        <v>0.20279549999999999</v>
      </c>
      <c r="R2820">
        <v>1.0423079999999999E-2</v>
      </c>
      <c r="S2820">
        <v>3.074554</v>
      </c>
      <c r="T2820">
        <v>-5.6694269999999998E-2</v>
      </c>
      <c r="U2820">
        <v>8.5586549999999997E-2</v>
      </c>
      <c r="V2820">
        <v>-7.5268710000000001E-3</v>
      </c>
      <c r="W2820">
        <v>0.2047003</v>
      </c>
      <c r="X2820">
        <v>0.97879579999999999</v>
      </c>
      <c r="Y2820">
        <v>-2.4945740000000001E-2</v>
      </c>
      <c r="Z2820">
        <v>2.0671949999999999E-4</v>
      </c>
      <c r="AA2820">
        <v>0.99968880000000004</v>
      </c>
      <c r="AB2820">
        <v>37</v>
      </c>
      <c r="AC2820">
        <v>60.353000000000002</v>
      </c>
      <c r="AD2820">
        <v>-1.1194863031859901</v>
      </c>
      <c r="AE2820">
        <v>1.6890999999999901</v>
      </c>
      <c r="AF2820">
        <v>-1.5149214693700499</v>
      </c>
      <c r="AG2820">
        <v>-1.1194863031859901</v>
      </c>
      <c r="AH2820">
        <v>60.336866620474296</v>
      </c>
      <c r="AI2820">
        <v>91.062605407407304</v>
      </c>
      <c r="AJ2820">
        <v>91.438264514320807</v>
      </c>
      <c r="AK2820">
        <v>60.366263013526698</v>
      </c>
      <c r="AL2820">
        <v>78.188045044730998</v>
      </c>
      <c r="AM2820">
        <v>90.440591838180396</v>
      </c>
      <c r="AN2820">
        <v>1.00000004235238</v>
      </c>
    </row>
    <row r="2821" spans="1:40" x14ac:dyDescent="0.25">
      <c r="A2821" t="str">
        <f>"20190303170552733"</f>
        <v>20190303170552733</v>
      </c>
      <c r="B2821" t="str">
        <f>"1551603952727902"</f>
        <v>1551603952727902</v>
      </c>
      <c r="C2821" t="s">
        <v>40</v>
      </c>
      <c r="D2821">
        <v>5.34565</v>
      </c>
      <c r="E2821">
        <v>0.49640970000000001</v>
      </c>
      <c r="F2821" t="s">
        <v>60</v>
      </c>
      <c r="G2821">
        <v>-378.26170000000002</v>
      </c>
      <c r="H2821" s="1">
        <v>2.8596859999999999E-6</v>
      </c>
      <c r="I2821">
        <v>215.40180000000001</v>
      </c>
      <c r="J2821">
        <v>-439.7953</v>
      </c>
      <c r="K2821">
        <v>1.119483</v>
      </c>
      <c r="L2821">
        <v>213.63030000000001</v>
      </c>
      <c r="M2821">
        <v>0.99999439999999995</v>
      </c>
      <c r="N2821">
        <v>-1.9822419999999999E-3</v>
      </c>
      <c r="O2821">
        <v>2.7172770000000001E-3</v>
      </c>
      <c r="P2821">
        <v>0.97911250000000005</v>
      </c>
      <c r="Q2821">
        <v>0.2030179</v>
      </c>
      <c r="R2821">
        <v>1.107062E-2</v>
      </c>
      <c r="S2821">
        <v>3.0743710000000002</v>
      </c>
      <c r="T2821">
        <v>-5.5577870000000001E-2</v>
      </c>
      <c r="U2821">
        <v>8.7997439999999996E-2</v>
      </c>
      <c r="V2821">
        <v>-8.3301050000000008E-3</v>
      </c>
      <c r="W2821">
        <v>0.20496210000000001</v>
      </c>
      <c r="X2821">
        <v>0.9787344</v>
      </c>
      <c r="Y2821">
        <v>-2.5890570000000002E-2</v>
      </c>
      <c r="Z2821">
        <v>2.1590070000000001E-4</v>
      </c>
      <c r="AA2821">
        <v>0.99966480000000002</v>
      </c>
      <c r="AB2821">
        <v>37</v>
      </c>
      <c r="AC2821">
        <v>61.5335999999999</v>
      </c>
      <c r="AD2821">
        <v>-1.119480140314</v>
      </c>
      <c r="AE2821">
        <v>1.7715000000000001</v>
      </c>
      <c r="AF2821">
        <v>-1.6037589245314601</v>
      </c>
      <c r="AG2821">
        <v>-1.119480140314</v>
      </c>
      <c r="AH2821">
        <v>61.517841881689399</v>
      </c>
      <c r="AI2821">
        <v>91.042179445645004</v>
      </c>
      <c r="AJ2821">
        <v>91.493352277772701</v>
      </c>
      <c r="AK2821">
        <v>61.548924834257797</v>
      </c>
      <c r="AL2821">
        <v>78.172718844762002</v>
      </c>
      <c r="AM2821">
        <v>90.487638255460297</v>
      </c>
      <c r="AN2821">
        <v>0.99999993941453802</v>
      </c>
    </row>
    <row r="2822" spans="1:40" x14ac:dyDescent="0.25">
      <c r="A2822" t="str">
        <f>"20190303170552755"</f>
        <v>20190303170552755</v>
      </c>
      <c r="B2822" t="str">
        <f>"1551603952747422"</f>
        <v>1551603952747422</v>
      </c>
      <c r="C2822" t="s">
        <v>40</v>
      </c>
      <c r="D2822">
        <v>5.410126</v>
      </c>
      <c r="E2822">
        <v>0.49611369999999999</v>
      </c>
      <c r="F2822" t="s">
        <v>60</v>
      </c>
      <c r="G2822">
        <v>-376.35</v>
      </c>
      <c r="H2822" s="1">
        <v>1.842363E-6</v>
      </c>
      <c r="I2822">
        <v>215.55629999999999</v>
      </c>
      <c r="J2822">
        <v>-439.43709999999999</v>
      </c>
      <c r="K2822">
        <v>1.1194839999999999</v>
      </c>
      <c r="L2822">
        <v>213.63120000000001</v>
      </c>
      <c r="M2822">
        <v>0.99999479999999996</v>
      </c>
      <c r="N2822">
        <v>-2.0184859999999999E-3</v>
      </c>
      <c r="O2822">
        <v>2.5712589999999998E-3</v>
      </c>
      <c r="P2822">
        <v>0.97923720000000003</v>
      </c>
      <c r="Q2822">
        <v>0.2023751</v>
      </c>
      <c r="R2822">
        <v>1.179552E-2</v>
      </c>
      <c r="S2822">
        <v>3.0741879999999999</v>
      </c>
      <c r="T2822">
        <v>-5.4243449999999999E-2</v>
      </c>
      <c r="U2822">
        <v>9.3322749999999996E-2</v>
      </c>
      <c r="V2822">
        <v>-9.197485E-3</v>
      </c>
      <c r="W2822">
        <v>0.20435490000000001</v>
      </c>
      <c r="X2822">
        <v>0.97885359999999999</v>
      </c>
      <c r="Y2822">
        <v>-2.776822E-2</v>
      </c>
      <c r="Z2822">
        <v>2.3277439999999999E-4</v>
      </c>
      <c r="AA2822">
        <v>0.99961440000000001</v>
      </c>
      <c r="AB2822">
        <v>37</v>
      </c>
      <c r="AC2822">
        <v>63.0870999999999</v>
      </c>
      <c r="AD2822">
        <v>-1.119482157637</v>
      </c>
      <c r="AE2822">
        <v>1.92509999999998</v>
      </c>
      <c r="AF2822">
        <v>-1.76232563999084</v>
      </c>
      <c r="AG2822">
        <v>-1.119482157637</v>
      </c>
      <c r="AH2822">
        <v>63.0719993851624</v>
      </c>
      <c r="AI2822">
        <v>91.016455053128595</v>
      </c>
      <c r="AJ2822">
        <v>91.600513015720196</v>
      </c>
      <c r="AK2822">
        <v>63.106545923577201</v>
      </c>
      <c r="AL2822">
        <v>78.208261214939597</v>
      </c>
      <c r="AM2822">
        <v>90.5383456370148</v>
      </c>
      <c r="AN2822">
        <v>0.99999994455864605</v>
      </c>
    </row>
    <row r="2823" spans="1:40" x14ac:dyDescent="0.25">
      <c r="A2823" t="str">
        <f>"20190303170552778"</f>
        <v>20190303170552778</v>
      </c>
      <c r="B2823" t="str">
        <f>"1551603952767449"</f>
        <v>1551603952767449</v>
      </c>
      <c r="C2823" t="s">
        <v>40</v>
      </c>
      <c r="D2823">
        <v>5.3409360000000001</v>
      </c>
      <c r="E2823">
        <v>0.49591249999999998</v>
      </c>
      <c r="F2823" t="s">
        <v>60</v>
      </c>
      <c r="G2823">
        <v>-378.24369999999999</v>
      </c>
      <c r="H2823" s="1">
        <v>2.8501110000000001E-6</v>
      </c>
      <c r="I2823">
        <v>215.58090000000001</v>
      </c>
      <c r="J2823">
        <v>-439.05349999999999</v>
      </c>
      <c r="K2823">
        <v>1.119475</v>
      </c>
      <c r="L2823">
        <v>213.63200000000001</v>
      </c>
      <c r="M2823">
        <v>0.99999499999999997</v>
      </c>
      <c r="N2823">
        <v>-2.0575849999999998E-3</v>
      </c>
      <c r="O2823">
        <v>2.415103E-3</v>
      </c>
      <c r="P2823">
        <v>0.97941900000000004</v>
      </c>
      <c r="Q2823">
        <v>0.2014678</v>
      </c>
      <c r="R2823">
        <v>1.2213389999999999E-2</v>
      </c>
      <c r="S2823">
        <v>3.074036</v>
      </c>
      <c r="T2823">
        <v>-5.623686E-2</v>
      </c>
      <c r="U2823">
        <v>9.7946169999999999E-2</v>
      </c>
      <c r="V2823">
        <v>-9.7673269999999993E-3</v>
      </c>
      <c r="W2823">
        <v>0.20348659999999999</v>
      </c>
      <c r="X2823">
        <v>0.97902900000000004</v>
      </c>
      <c r="Y2823">
        <v>-2.9427109999999999E-2</v>
      </c>
      <c r="Z2823">
        <v>2.60167E-4</v>
      </c>
      <c r="AA2823">
        <v>0.99956690000000004</v>
      </c>
      <c r="AB2823">
        <v>37</v>
      </c>
      <c r="AC2823">
        <v>60.809800000000003</v>
      </c>
      <c r="AD2823">
        <v>-1.1194721498889999</v>
      </c>
      <c r="AE2823">
        <v>1.9489000000000001</v>
      </c>
      <c r="AF2823">
        <v>-1.80142219325572</v>
      </c>
      <c r="AG2823">
        <v>-1.1194721498889999</v>
      </c>
      <c r="AH2823">
        <v>60.793747226428202</v>
      </c>
      <c r="AI2823">
        <v>91.0544776898207</v>
      </c>
      <c r="AJ2823">
        <v>91.697274815965301</v>
      </c>
      <c r="AK2823">
        <v>60.830732706778903</v>
      </c>
      <c r="AL2823">
        <v>78.259079498468395</v>
      </c>
      <c r="AM2823">
        <v>90.571594966559999</v>
      </c>
      <c r="AN2823">
        <v>0.99999998994864203</v>
      </c>
    </row>
    <row r="2824" spans="1:40" x14ac:dyDescent="0.25">
      <c r="A2824" t="str">
        <f>"20190303170552798"</f>
        <v>20190303170552798</v>
      </c>
      <c r="B2824" t="str">
        <f>"1551603952787946"</f>
        <v>1551603952787946</v>
      </c>
      <c r="C2824" t="s">
        <v>40</v>
      </c>
      <c r="D2824">
        <v>5.3039100000000001</v>
      </c>
      <c r="E2824">
        <v>0.49570760000000003</v>
      </c>
      <c r="F2824" t="s">
        <v>60</v>
      </c>
      <c r="G2824">
        <v>-380.95100000000002</v>
      </c>
      <c r="H2824" s="1">
        <v>-1.0712969999999999E-6</v>
      </c>
      <c r="I2824">
        <v>215.5453</v>
      </c>
      <c r="J2824">
        <v>-438.70229999999998</v>
      </c>
      <c r="K2824">
        <v>1.1194649999999999</v>
      </c>
      <c r="L2824">
        <v>213.6327</v>
      </c>
      <c r="M2824">
        <v>0.99999519999999997</v>
      </c>
      <c r="N2824">
        <v>-2.093588E-3</v>
      </c>
      <c r="O2824">
        <v>2.271945E-3</v>
      </c>
      <c r="P2824">
        <v>0.97960789999999998</v>
      </c>
      <c r="Q2824">
        <v>0.2005989</v>
      </c>
      <c r="R2824">
        <v>1.133786E-2</v>
      </c>
      <c r="S2824">
        <v>3.0740050000000001</v>
      </c>
      <c r="T2824">
        <v>-5.9227710000000003E-2</v>
      </c>
      <c r="U2824">
        <v>0.10122680000000001</v>
      </c>
      <c r="V2824">
        <v>-9.0317799999999997E-3</v>
      </c>
      <c r="W2824">
        <v>0.20265320000000001</v>
      </c>
      <c r="X2824">
        <v>0.97920890000000005</v>
      </c>
      <c r="Y2824">
        <v>-3.063534E-2</v>
      </c>
      <c r="Z2824">
        <v>2.8810039999999998E-4</v>
      </c>
      <c r="AA2824">
        <v>0.99953060000000005</v>
      </c>
      <c r="AB2824">
        <v>37</v>
      </c>
      <c r="AC2824">
        <v>57.751300000000001</v>
      </c>
      <c r="AD2824">
        <v>-1.1194660712969999</v>
      </c>
      <c r="AE2824">
        <v>1.9125999999999901</v>
      </c>
      <c r="AF2824">
        <v>-1.7807186243995301</v>
      </c>
      <c r="AG2824">
        <v>-1.1194660712969999</v>
      </c>
      <c r="AH2824">
        <v>57.733826596545498</v>
      </c>
      <c r="AI2824">
        <v>91.110305208053006</v>
      </c>
      <c r="AJ2824">
        <v>91.766647600712602</v>
      </c>
      <c r="AK2824">
        <v>57.772129063970397</v>
      </c>
      <c r="AL2824">
        <v>78.307845783882996</v>
      </c>
      <c r="AM2824">
        <v>90.528455369930995</v>
      </c>
      <c r="AN2824">
        <v>0.99999998117970901</v>
      </c>
    </row>
    <row r="2825" spans="1:40" x14ac:dyDescent="0.25">
      <c r="A2825" t="str">
        <f>"20190303170552823"</f>
        <v>20190303170552823</v>
      </c>
      <c r="B2825" t="str">
        <f>"1551603952817227"</f>
        <v>1551603952817227</v>
      </c>
      <c r="C2825" t="s">
        <v>40</v>
      </c>
      <c r="D2825">
        <v>5.294562</v>
      </c>
      <c r="E2825">
        <v>0.49557590000000001</v>
      </c>
      <c r="F2825" t="s">
        <v>60</v>
      </c>
      <c r="G2825">
        <v>-383.21980000000002</v>
      </c>
      <c r="H2825" s="1">
        <v>1.399991E-7</v>
      </c>
      <c r="I2825">
        <v>215.45429999999999</v>
      </c>
      <c r="J2825">
        <v>-438.30189999999999</v>
      </c>
      <c r="K2825">
        <v>1.1194500000000001</v>
      </c>
      <c r="L2825">
        <v>213.6335</v>
      </c>
      <c r="M2825">
        <v>0.99999550000000004</v>
      </c>
      <c r="N2825">
        <v>-2.1351579999999998E-3</v>
      </c>
      <c r="O2825">
        <v>2.1095250000000001E-3</v>
      </c>
      <c r="P2825">
        <v>0.97979400000000005</v>
      </c>
      <c r="Q2825">
        <v>0.1997843</v>
      </c>
      <c r="R2825">
        <v>9.4874610000000009E-3</v>
      </c>
      <c r="S2825">
        <v>3.0740050000000001</v>
      </c>
      <c r="T2825">
        <v>-6.2023880000000003E-2</v>
      </c>
      <c r="U2825">
        <v>0.1009216</v>
      </c>
      <c r="V2825">
        <v>-7.3394350000000001E-3</v>
      </c>
      <c r="W2825">
        <v>0.2018789</v>
      </c>
      <c r="X2825">
        <v>0.979383</v>
      </c>
      <c r="Y2825">
        <v>-3.069796E-2</v>
      </c>
      <c r="Z2825">
        <v>3.0432009999999999E-4</v>
      </c>
      <c r="AA2825">
        <v>0.99952859999999999</v>
      </c>
      <c r="AB2825">
        <v>37</v>
      </c>
      <c r="AC2825">
        <v>55.082099999999897</v>
      </c>
      <c r="AD2825">
        <v>-1.1194498600009</v>
      </c>
      <c r="AE2825">
        <v>1.82079999999999</v>
      </c>
      <c r="AF2825">
        <v>-1.70389561455052</v>
      </c>
      <c r="AG2825">
        <v>-1.1194498600009</v>
      </c>
      <c r="AH2825">
        <v>55.063100231196302</v>
      </c>
      <c r="AI2825">
        <v>91.164123405153305</v>
      </c>
      <c r="AJ2825">
        <v>91.772418990136998</v>
      </c>
      <c r="AK2825">
        <v>55.100829715396401</v>
      </c>
      <c r="AL2825">
        <v>78.353146571010797</v>
      </c>
      <c r="AM2825">
        <v>90.429362953811705</v>
      </c>
      <c r="AN2825">
        <v>1.00000000913016</v>
      </c>
    </row>
    <row r="2826" spans="1:40" x14ac:dyDescent="0.25">
      <c r="A2826" t="str">
        <f>"20190303170552843"</f>
        <v>20190303170552843</v>
      </c>
      <c r="B2826" t="str">
        <f>"1551603952837722"</f>
        <v>1551603952837722</v>
      </c>
      <c r="C2826" t="s">
        <v>40</v>
      </c>
      <c r="D2826">
        <v>5.5126520000000001</v>
      </c>
      <c r="E2826">
        <v>0.4954749</v>
      </c>
      <c r="F2826" t="s">
        <v>60</v>
      </c>
      <c r="G2826">
        <v>-384.85730000000001</v>
      </c>
      <c r="H2826" s="1">
        <v>1.017187E-6</v>
      </c>
      <c r="I2826">
        <v>215.32149999999999</v>
      </c>
      <c r="J2826">
        <v>-437.95819999999998</v>
      </c>
      <c r="K2826">
        <v>1.11944</v>
      </c>
      <c r="L2826">
        <v>213.63409999999999</v>
      </c>
      <c r="M2826">
        <v>0.99999579999999999</v>
      </c>
      <c r="N2826">
        <v>-2.1710760000000001E-3</v>
      </c>
      <c r="O2826">
        <v>1.97006E-3</v>
      </c>
      <c r="P2826">
        <v>0.97991760000000006</v>
      </c>
      <c r="Q2826">
        <v>0.1992622</v>
      </c>
      <c r="R2826">
        <v>7.507489E-3</v>
      </c>
      <c r="S2826">
        <v>3.0740660000000002</v>
      </c>
      <c r="T2826">
        <v>-6.4389230000000006E-2</v>
      </c>
      <c r="U2826">
        <v>9.7091670000000005E-2</v>
      </c>
      <c r="V2826">
        <v>-5.4953140000000003E-3</v>
      </c>
      <c r="W2826">
        <v>0.20139180000000001</v>
      </c>
      <c r="X2826">
        <v>0.97949529999999996</v>
      </c>
      <c r="Y2826">
        <v>-2.9592429999999999E-2</v>
      </c>
      <c r="Z2826">
        <v>3.0497119999999998E-4</v>
      </c>
      <c r="AA2826">
        <v>0.99956199999999995</v>
      </c>
      <c r="AB2826">
        <v>38</v>
      </c>
      <c r="AC2826">
        <v>53.100899999999903</v>
      </c>
      <c r="AD2826">
        <v>-1.119438982813</v>
      </c>
      <c r="AE2826">
        <v>1.68739999999999</v>
      </c>
      <c r="AF2826">
        <v>-1.58208212473898</v>
      </c>
      <c r="AG2826">
        <v>-1.119438982813</v>
      </c>
      <c r="AH2826">
        <v>53.080554787557404</v>
      </c>
      <c r="AI2826">
        <v>91.207620482126899</v>
      </c>
      <c r="AJ2826">
        <v>91.707212765323803</v>
      </c>
      <c r="AK2826">
        <v>53.115924392224798</v>
      </c>
      <c r="AL2826">
        <v>78.381639887121594</v>
      </c>
      <c r="AM2826">
        <v>90.321446152791495</v>
      </c>
      <c r="AN2826">
        <v>0.99999994915264301</v>
      </c>
    </row>
    <row r="2827" spans="1:40" x14ac:dyDescent="0.25">
      <c r="A2827" t="str">
        <f>"20190303170552866"</f>
        <v>20190303170552866</v>
      </c>
      <c r="B2827" t="str">
        <f>"1551603952857242"</f>
        <v>1551603952857242</v>
      </c>
      <c r="C2827" t="s">
        <v>40</v>
      </c>
      <c r="D2827">
        <v>5.3268639999999996</v>
      </c>
      <c r="E2827">
        <v>0.495342</v>
      </c>
      <c r="F2827" t="s">
        <v>60</v>
      </c>
      <c r="G2827">
        <v>-386.23469999999998</v>
      </c>
      <c r="H2827" s="1">
        <v>1.756207E-6</v>
      </c>
      <c r="I2827">
        <v>215.18340000000001</v>
      </c>
      <c r="J2827">
        <v>-437.56619999999998</v>
      </c>
      <c r="K2827">
        <v>1.11944</v>
      </c>
      <c r="L2827">
        <v>213.63480000000001</v>
      </c>
      <c r="M2827">
        <v>0.99999610000000005</v>
      </c>
      <c r="N2827">
        <v>-2.2118630000000001E-3</v>
      </c>
      <c r="O2827">
        <v>1.8106789999999999E-3</v>
      </c>
      <c r="P2827">
        <v>0.97995869999999996</v>
      </c>
      <c r="Q2827">
        <v>0.1991192</v>
      </c>
      <c r="R2827">
        <v>5.7226079999999997E-3</v>
      </c>
      <c r="S2827">
        <v>3.074341</v>
      </c>
      <c r="T2827">
        <v>-6.6537139999999995E-2</v>
      </c>
      <c r="U2827">
        <v>9.2086790000000002E-2</v>
      </c>
      <c r="V2827">
        <v>-3.8653519999999999E-3</v>
      </c>
      <c r="W2827">
        <v>0.20128770000000001</v>
      </c>
      <c r="X2827">
        <v>0.97952459999999997</v>
      </c>
      <c r="Y2827">
        <v>-2.8123080000000002E-2</v>
      </c>
      <c r="Z2827">
        <v>3.001689E-4</v>
      </c>
      <c r="AA2827">
        <v>0.99960439999999995</v>
      </c>
      <c r="AB2827">
        <v>38</v>
      </c>
      <c r="AC2827">
        <v>51.331499999999998</v>
      </c>
      <c r="AD2827">
        <v>-1.1194382437929999</v>
      </c>
      <c r="AE2827">
        <v>1.54859999999999</v>
      </c>
      <c r="AF2827">
        <v>-1.45496104702896</v>
      </c>
      <c r="AG2827">
        <v>-1.1194382437929999</v>
      </c>
      <c r="AH2827">
        <v>51.309839639053699</v>
      </c>
      <c r="AI2827">
        <v>91.249334529073906</v>
      </c>
      <c r="AJ2827">
        <v>91.624265346730994</v>
      </c>
      <c r="AK2827">
        <v>51.342669363945703</v>
      </c>
      <c r="AL2827">
        <v>78.387730387452194</v>
      </c>
      <c r="AM2827">
        <v>90.226096625206495</v>
      </c>
      <c r="AN2827">
        <v>1.00000006056126</v>
      </c>
    </row>
    <row r="2828" spans="1:40" x14ac:dyDescent="0.25">
      <c r="A2828" t="str">
        <f>"20190303170552889"</f>
        <v>20190303170552889</v>
      </c>
      <c r="B2828" t="str">
        <f>"1551603952877738"</f>
        <v>1551603952877738</v>
      </c>
      <c r="C2828" t="s">
        <v>40</v>
      </c>
      <c r="D2828">
        <v>5.2087070000000004</v>
      </c>
      <c r="E2828">
        <v>0.49522270000000002</v>
      </c>
      <c r="F2828" t="s">
        <v>60</v>
      </c>
      <c r="G2828">
        <v>-386.08940000000001</v>
      </c>
      <c r="H2828" s="1">
        <v>1.6822479999999901E-6</v>
      </c>
      <c r="I2828">
        <v>215.10659999999999</v>
      </c>
      <c r="J2828">
        <v>-437.17559999999997</v>
      </c>
      <c r="K2828">
        <v>1.119445</v>
      </c>
      <c r="L2828">
        <v>213.6353</v>
      </c>
      <c r="M2828">
        <v>0.99999610000000005</v>
      </c>
      <c r="N2828">
        <v>-2.2527010000000002E-3</v>
      </c>
      <c r="O2828">
        <v>1.6500429999999999E-3</v>
      </c>
      <c r="P2828">
        <v>0.97986660000000003</v>
      </c>
      <c r="Q2828">
        <v>0.19961290000000001</v>
      </c>
      <c r="R2828">
        <v>4.0363370000000001E-3</v>
      </c>
      <c r="S2828">
        <v>3.0744319999999998</v>
      </c>
      <c r="T2828">
        <v>-6.6858050000000002E-2</v>
      </c>
      <c r="U2828">
        <v>8.7905880000000006E-2</v>
      </c>
      <c r="V2828">
        <v>-2.3358860000000001E-3</v>
      </c>
      <c r="W2828">
        <v>0.20182059999999999</v>
      </c>
      <c r="X2828">
        <v>0.9794197</v>
      </c>
      <c r="Y2828">
        <v>-2.6924759999999999E-2</v>
      </c>
      <c r="Z2828">
        <v>2.9084690000000002E-4</v>
      </c>
      <c r="AA2828">
        <v>0.99963740000000001</v>
      </c>
      <c r="AB2828">
        <v>38</v>
      </c>
      <c r="AC2828">
        <v>51.086199999999899</v>
      </c>
      <c r="AD2828">
        <v>-1.119443317752</v>
      </c>
      <c r="AE2828">
        <v>1.4712999999999801</v>
      </c>
      <c r="AF2828">
        <v>-1.3863382269870199</v>
      </c>
      <c r="AG2828">
        <v>-1.119443317752</v>
      </c>
      <c r="AH2828">
        <v>51.064058948599701</v>
      </c>
      <c r="AI2828">
        <v>91.255393593036203</v>
      </c>
      <c r="AJ2828">
        <v>91.555141212955505</v>
      </c>
      <c r="AK2828">
        <v>51.095138744574598</v>
      </c>
      <c r="AL2828">
        <v>78.356556770160694</v>
      </c>
      <c r="AM2828">
        <v>90.136648420965102</v>
      </c>
      <c r="AN2828">
        <v>0.99999997984792699</v>
      </c>
    </row>
    <row r="2829" spans="1:40" x14ac:dyDescent="0.25">
      <c r="A2829" t="str">
        <f>"20190303170552909"</f>
        <v>20190303170552909</v>
      </c>
      <c r="B2829" t="str">
        <f>"1551603952897258"</f>
        <v>1551603952897258</v>
      </c>
      <c r="C2829" t="s">
        <v>40</v>
      </c>
      <c r="D2829">
        <v>5.3921419999999998</v>
      </c>
      <c r="E2829">
        <v>0.49512899999999999</v>
      </c>
      <c r="F2829" t="s">
        <v>60</v>
      </c>
      <c r="G2829">
        <v>-384.66140000000001</v>
      </c>
      <c r="H2829" s="1">
        <v>9.2400550000000001E-7</v>
      </c>
      <c r="I2829">
        <v>215.06819999999999</v>
      </c>
      <c r="J2829">
        <v>-436.81580000000002</v>
      </c>
      <c r="K2829">
        <v>1.119451</v>
      </c>
      <c r="L2829">
        <v>213.63579999999999</v>
      </c>
      <c r="M2829">
        <v>0.99999640000000001</v>
      </c>
      <c r="N2829">
        <v>-2.2905170000000002E-3</v>
      </c>
      <c r="O2829">
        <v>1.499242E-3</v>
      </c>
      <c r="P2829">
        <v>0.9796298</v>
      </c>
      <c r="Q2829">
        <v>0.20080500000000001</v>
      </c>
      <c r="R2829">
        <v>1.7779429999999999E-3</v>
      </c>
      <c r="S2829">
        <v>3.074646</v>
      </c>
      <c r="T2829">
        <v>-6.5542100000000006E-2</v>
      </c>
      <c r="U2829">
        <v>8.3892820000000007E-2</v>
      </c>
      <c r="V2829">
        <v>-2.2394299999999999E-4</v>
      </c>
      <c r="W2829">
        <v>0.20304820000000001</v>
      </c>
      <c r="X2829">
        <v>0.9791687</v>
      </c>
      <c r="Y2829">
        <v>-2.577028E-2</v>
      </c>
      <c r="Z2829">
        <v>2.7559619999999998E-4</v>
      </c>
      <c r="AA2829">
        <v>0.9996678</v>
      </c>
      <c r="AB2829">
        <v>38</v>
      </c>
      <c r="AC2829">
        <v>52.154400000000003</v>
      </c>
      <c r="AD2829">
        <v>-1.1194500759945001</v>
      </c>
      <c r="AE2829">
        <v>1.4323999999999999</v>
      </c>
      <c r="AF2829">
        <v>-1.3535829905301899</v>
      </c>
      <c r="AG2829">
        <v>-1.1194500759945001</v>
      </c>
      <c r="AH2829">
        <v>52.132489053723603</v>
      </c>
      <c r="AI2829">
        <v>91.229718963164302</v>
      </c>
      <c r="AJ2829">
        <v>91.487309993626596</v>
      </c>
      <c r="AK2829">
        <v>52.162072143670699</v>
      </c>
      <c r="AL2829">
        <v>78.284733451332002</v>
      </c>
      <c r="AM2829">
        <v>90.013103961072005</v>
      </c>
      <c r="AN2829">
        <v>0.99999998236669796</v>
      </c>
    </row>
    <row r="2830" spans="1:40" x14ac:dyDescent="0.25">
      <c r="A2830" t="str">
        <f>"20190303170552933"</f>
        <v>20190303170552933</v>
      </c>
      <c r="B2830" t="str">
        <f>"1551603952927514"</f>
        <v>1551603952927514</v>
      </c>
      <c r="C2830" t="s">
        <v>40</v>
      </c>
      <c r="D2830">
        <v>5.3651730000000004</v>
      </c>
      <c r="E2830">
        <v>0.49506149999999999</v>
      </c>
      <c r="F2830" t="s">
        <v>60</v>
      </c>
      <c r="G2830">
        <v>-381.28379999999999</v>
      </c>
      <c r="H2830" s="1">
        <v>-8.7274880000000002E-7</v>
      </c>
      <c r="I2830">
        <v>215.05330000000001</v>
      </c>
      <c r="J2830">
        <v>-436.40969999999999</v>
      </c>
      <c r="K2830">
        <v>1.1194519999999999</v>
      </c>
      <c r="L2830">
        <v>213.63630000000001</v>
      </c>
      <c r="M2830">
        <v>0.99999649999999995</v>
      </c>
      <c r="N2830">
        <v>-2.3334060000000001E-3</v>
      </c>
      <c r="O2830">
        <v>1.3230939999999999E-3</v>
      </c>
      <c r="P2830">
        <v>0.97957749999999999</v>
      </c>
      <c r="Q2830">
        <v>0.2010651</v>
      </c>
      <c r="R2830">
        <v>1.0622240000000001E-3</v>
      </c>
      <c r="S2830">
        <v>3.0749209999999998</v>
      </c>
      <c r="T2830">
        <v>-6.1986329999999999E-2</v>
      </c>
      <c r="U2830">
        <v>7.8491210000000006E-2</v>
      </c>
      <c r="V2830">
        <v>3.221133E-4</v>
      </c>
      <c r="W2830">
        <v>0.20335030000000001</v>
      </c>
      <c r="X2830">
        <v>0.97910600000000003</v>
      </c>
      <c r="Y2830">
        <v>-2.418998E-2</v>
      </c>
      <c r="Z2830">
        <v>2.4840680000000001E-4</v>
      </c>
      <c r="AA2830">
        <v>0.99970729999999997</v>
      </c>
      <c r="AB2830">
        <v>38</v>
      </c>
      <c r="AC2830">
        <v>55.125900000000001</v>
      </c>
      <c r="AD2830">
        <v>-1.1194528727488</v>
      </c>
      <c r="AE2830">
        <v>1.417</v>
      </c>
      <c r="AF2830">
        <v>-1.3435081472974399</v>
      </c>
      <c r="AG2830">
        <v>-1.1194528727488</v>
      </c>
      <c r="AH2830">
        <v>55.105017236972003</v>
      </c>
      <c r="AI2830">
        <v>91.163452260242494</v>
      </c>
      <c r="AJ2830">
        <v>91.396644142661103</v>
      </c>
      <c r="AK2830">
        <v>55.132758987403697</v>
      </c>
      <c r="AL2830">
        <v>78.267055844419303</v>
      </c>
      <c r="AM2830">
        <v>89.981150425031402</v>
      </c>
      <c r="AN2830">
        <v>1.00000000375153</v>
      </c>
    </row>
    <row r="2831" spans="1:40" x14ac:dyDescent="0.25">
      <c r="A2831" t="str">
        <f>"20190303170552955"</f>
        <v>20190303170552955</v>
      </c>
      <c r="B2831" t="str">
        <f>"1551603952948010"</f>
        <v>1551603952948010</v>
      </c>
      <c r="C2831" t="s">
        <v>40</v>
      </c>
      <c r="D2831">
        <v>5.3302829999999997</v>
      </c>
      <c r="E2831">
        <v>0.49496230000000002</v>
      </c>
      <c r="F2831" t="s">
        <v>60</v>
      </c>
      <c r="G2831">
        <v>-380.30799999999999</v>
      </c>
      <c r="H2831" s="1">
        <v>-1.391539E-6</v>
      </c>
      <c r="I2831">
        <v>215.04259999999999</v>
      </c>
      <c r="J2831">
        <v>-436.02109999999999</v>
      </c>
      <c r="K2831">
        <v>1.1194500000000001</v>
      </c>
      <c r="L2831">
        <v>213.63659999999999</v>
      </c>
      <c r="M2831">
        <v>0.99999660000000001</v>
      </c>
      <c r="N2831">
        <v>-2.374433E-3</v>
      </c>
      <c r="O2831">
        <v>1.1472989999999901E-3</v>
      </c>
      <c r="P2831">
        <v>0.97960159999999996</v>
      </c>
      <c r="Q2831">
        <v>0.2009502</v>
      </c>
      <c r="R2831">
        <v>3.3566910000000001E-4</v>
      </c>
      <c r="S2831">
        <v>3.0750730000000002</v>
      </c>
      <c r="T2831">
        <v>-6.1359999999999998E-2</v>
      </c>
      <c r="U2831">
        <v>7.7087399999999903E-2</v>
      </c>
      <c r="V2831">
        <v>8.7986229999999904E-4</v>
      </c>
      <c r="W2831">
        <v>0.20327509999999999</v>
      </c>
      <c r="X2831">
        <v>0.97912129999999997</v>
      </c>
      <c r="Y2831">
        <v>-2.3908499999999999E-2</v>
      </c>
      <c r="Z2831">
        <v>2.4670239999999998E-4</v>
      </c>
      <c r="AA2831">
        <v>0.99971410000000005</v>
      </c>
      <c r="AB2831">
        <v>38</v>
      </c>
      <c r="AC2831">
        <v>55.713099999999898</v>
      </c>
      <c r="AD2831">
        <v>-1.1194513915390001</v>
      </c>
      <c r="AE2831">
        <v>1.4059999999999999</v>
      </c>
      <c r="AF2831">
        <v>-1.3415380350427</v>
      </c>
      <c r="AG2831">
        <v>-1.1194513915390001</v>
      </c>
      <c r="AH2831">
        <v>55.692205886805198</v>
      </c>
      <c r="AI2831">
        <v>91.151195393078396</v>
      </c>
      <c r="AJ2831">
        <v>91.379898757412704</v>
      </c>
      <c r="AK2831">
        <v>55.719607789859602</v>
      </c>
      <c r="AL2831">
        <v>78.271456713112698</v>
      </c>
      <c r="AM2831">
        <v>89.9485126278297</v>
      </c>
      <c r="AN2831">
        <v>1.00000003027568</v>
      </c>
    </row>
    <row r="2832" spans="1:40" x14ac:dyDescent="0.25">
      <c r="A2832" t="str">
        <f>"20190303170552977"</f>
        <v>20190303170552977</v>
      </c>
      <c r="B2832" t="str">
        <f>"1551603952967060"</f>
        <v>1551603952967060</v>
      </c>
      <c r="C2832" t="s">
        <v>40</v>
      </c>
      <c r="D2832">
        <v>5.2570240000000004</v>
      </c>
      <c r="E2832">
        <v>0.49487530000000002</v>
      </c>
      <c r="F2832" t="s">
        <v>60</v>
      </c>
      <c r="G2832">
        <v>-379.54509999999999</v>
      </c>
      <c r="H2832" s="1">
        <v>3.542638E-6</v>
      </c>
      <c r="I2832">
        <v>215.01849999999999</v>
      </c>
      <c r="J2832">
        <v>-435.6379</v>
      </c>
      <c r="K2832">
        <v>1.119443</v>
      </c>
      <c r="L2832">
        <v>213.6369</v>
      </c>
      <c r="M2832">
        <v>0.99999669999999896</v>
      </c>
      <c r="N2832">
        <v>-2.4150080000000002E-3</v>
      </c>
      <c r="O2832">
        <v>9.6727059999999999E-4</v>
      </c>
      <c r="P2832">
        <v>0.97951569999999999</v>
      </c>
      <c r="Q2832">
        <v>0.2013665</v>
      </c>
      <c r="R2832">
        <v>8.5609029999999999E-4</v>
      </c>
      <c r="S2832">
        <v>3.074951</v>
      </c>
      <c r="T2832">
        <v>-6.0950520000000001E-2</v>
      </c>
      <c r="U2832">
        <v>7.5241089999999997E-2</v>
      </c>
      <c r="V2832">
        <v>1.8686239999999999E-4</v>
      </c>
      <c r="W2832">
        <v>0.20373169999999999</v>
      </c>
      <c r="X2832">
        <v>0.97902670000000003</v>
      </c>
      <c r="Y2832">
        <v>-2.3489690000000001E-2</v>
      </c>
      <c r="Z2832">
        <v>2.442829E-4</v>
      </c>
      <c r="AA2832">
        <v>0.99972399999999995</v>
      </c>
      <c r="AB2832">
        <v>39</v>
      </c>
      <c r="AC2832">
        <v>56.092799999999997</v>
      </c>
      <c r="AD2832">
        <v>-1.1194394573619999</v>
      </c>
      <c r="AE2832">
        <v>1.3815999999999899</v>
      </c>
      <c r="AF2832">
        <v>-1.3268141623907601</v>
      </c>
      <c r="AG2832">
        <v>-1.1194394573619999</v>
      </c>
      <c r="AH2832">
        <v>56.071791488962504</v>
      </c>
      <c r="AI2832">
        <v>91.143403719811403</v>
      </c>
      <c r="AJ2832">
        <v>91.3555241547148</v>
      </c>
      <c r="AK2832">
        <v>56.098657571299398</v>
      </c>
      <c r="AL2832">
        <v>78.244735477113807</v>
      </c>
      <c r="AM2832">
        <v>89.989064213734196</v>
      </c>
      <c r="AN2832">
        <v>0.99999995990766699</v>
      </c>
    </row>
    <row r="2833" spans="1:40" x14ac:dyDescent="0.25">
      <c r="A2833" t="str">
        <f>"20190303170553000"</f>
        <v>20190303170553000</v>
      </c>
      <c r="B2833" t="str">
        <f>"1551603952987557"</f>
        <v>1551603952987557</v>
      </c>
      <c r="C2833" t="s">
        <v>40</v>
      </c>
      <c r="D2833">
        <v>5.3304470000000004</v>
      </c>
      <c r="E2833">
        <v>0.49475970000000002</v>
      </c>
      <c r="F2833" t="s">
        <v>60</v>
      </c>
      <c r="G2833">
        <v>-378.39049999999997</v>
      </c>
      <c r="H2833" s="1">
        <v>2.9282390000000002E-6</v>
      </c>
      <c r="I2833">
        <v>215.06720000000001</v>
      </c>
      <c r="J2833">
        <v>-435.25599999999997</v>
      </c>
      <c r="K2833">
        <v>1.1194440000000001</v>
      </c>
      <c r="L2833">
        <v>213.6371</v>
      </c>
      <c r="M2833">
        <v>0.99999680000000002</v>
      </c>
      <c r="N2833">
        <v>-2.455572E-3</v>
      </c>
      <c r="O2833">
        <v>7.8283119999999996E-4</v>
      </c>
      <c r="P2833">
        <v>0.97921159999999996</v>
      </c>
      <c r="Q2833">
        <v>0.20283989999999999</v>
      </c>
      <c r="R2833">
        <v>9.0219829999999999E-4</v>
      </c>
      <c r="S2833">
        <v>3.075043</v>
      </c>
      <c r="T2833">
        <v>-6.0130719999999999E-2</v>
      </c>
      <c r="U2833">
        <v>7.6827999999999994E-2</v>
      </c>
      <c r="V2833" s="1">
        <v>-3.6252660000000003E-5</v>
      </c>
      <c r="W2833">
        <v>0.20524400000000001</v>
      </c>
      <c r="X2833">
        <v>0.97871079999999999</v>
      </c>
      <c r="Y2833">
        <v>-2.4188890000000001E-2</v>
      </c>
      <c r="Z2833">
        <v>2.5276509999999999E-4</v>
      </c>
      <c r="AA2833">
        <v>0.99970740000000002</v>
      </c>
      <c r="AB2833">
        <v>39</v>
      </c>
      <c r="AC2833">
        <v>56.865499999999997</v>
      </c>
      <c r="AD2833">
        <v>-1.1194410717609999</v>
      </c>
      <c r="AE2833">
        <v>1.4301000000000099</v>
      </c>
      <c r="AF2833">
        <v>-1.3850469381150099</v>
      </c>
      <c r="AG2833">
        <v>-1.1194410717609999</v>
      </c>
      <c r="AH2833">
        <v>56.844587075959602</v>
      </c>
      <c r="AI2833">
        <v>91.127845930427199</v>
      </c>
      <c r="AJ2833">
        <v>91.395764300970995</v>
      </c>
      <c r="AK2833">
        <v>56.872476499360197</v>
      </c>
      <c r="AL2833">
        <v>78.156216638970207</v>
      </c>
      <c r="AM2833">
        <v>90.002122306623306</v>
      </c>
      <c r="AN2833">
        <v>0.99999996544344705</v>
      </c>
    </row>
    <row r="2834" spans="1:40" x14ac:dyDescent="0.25">
      <c r="A2834" t="str">
        <f>"20190303170553021"</f>
        <v>20190303170553021</v>
      </c>
      <c r="B2834" t="str">
        <f>"1551603953007076"</f>
        <v>1551603953007076</v>
      </c>
      <c r="C2834" t="s">
        <v>40</v>
      </c>
      <c r="D2834">
        <v>5.3356019999999997</v>
      </c>
      <c r="E2834">
        <v>0.49462040000000002</v>
      </c>
      <c r="F2834" t="s">
        <v>60</v>
      </c>
      <c r="G2834">
        <v>-373.27199999999999</v>
      </c>
      <c r="H2834" s="1">
        <v>2.044156E-7</v>
      </c>
      <c r="I2834">
        <v>215.2199</v>
      </c>
      <c r="J2834">
        <v>-434.87779999999998</v>
      </c>
      <c r="K2834">
        <v>1.119432</v>
      </c>
      <c r="L2834">
        <v>213.63730000000001</v>
      </c>
      <c r="M2834">
        <v>0.99999669999999896</v>
      </c>
      <c r="N2834">
        <v>-2.4959959999999999E-3</v>
      </c>
      <c r="O2834">
        <v>5.9618879999999896E-4</v>
      </c>
      <c r="P2834">
        <v>0.97918300000000003</v>
      </c>
      <c r="Q2834">
        <v>0.20297870000000001</v>
      </c>
      <c r="R2834">
        <v>2.240129E-4</v>
      </c>
      <c r="S2834">
        <v>3.0751040000000001</v>
      </c>
      <c r="T2834">
        <v>-5.5536990000000001E-2</v>
      </c>
      <c r="U2834">
        <v>7.8521729999999998E-2</v>
      </c>
      <c r="V2834">
        <v>4.6215770000000001E-4</v>
      </c>
      <c r="W2834">
        <v>0.20542189999999999</v>
      </c>
      <c r="X2834">
        <v>0.97867340000000003</v>
      </c>
      <c r="Y2834">
        <v>-2.492579E-2</v>
      </c>
      <c r="Z2834">
        <v>2.4686579999999998E-4</v>
      </c>
      <c r="AA2834">
        <v>0.9996893</v>
      </c>
      <c r="AB2834">
        <v>39</v>
      </c>
      <c r="AC2834">
        <v>61.605799999999903</v>
      </c>
      <c r="AD2834">
        <v>-1.11943179558439</v>
      </c>
      <c r="AE2834">
        <v>1.58259999999998</v>
      </c>
      <c r="AF2834">
        <v>-1.54536100375726</v>
      </c>
      <c r="AG2834">
        <v>-1.11943179558439</v>
      </c>
      <c r="AH2834">
        <v>61.586411330671801</v>
      </c>
      <c r="AI2834">
        <v>91.041000407820604</v>
      </c>
      <c r="AJ2834">
        <v>91.437396419182207</v>
      </c>
      <c r="AK2834">
        <v>61.615966508427</v>
      </c>
      <c r="AL2834">
        <v>78.145802184174698</v>
      </c>
      <c r="AM2834">
        <v>89.972943288628102</v>
      </c>
      <c r="AN2834">
        <v>0.99999999722845401</v>
      </c>
    </row>
    <row r="2835" spans="1:40" x14ac:dyDescent="0.25">
      <c r="A2835" t="str">
        <f>"20190303170553045"</f>
        <v>20190303170553045</v>
      </c>
      <c r="B2835" t="str">
        <f>"1551603953037333"</f>
        <v>1551603953037333</v>
      </c>
      <c r="C2835" t="s">
        <v>40</v>
      </c>
      <c r="D2835">
        <v>5.3391010000000003</v>
      </c>
      <c r="E2835">
        <v>0.49454579999999998</v>
      </c>
      <c r="F2835" t="s">
        <v>60</v>
      </c>
      <c r="G2835">
        <v>-372.28129999999999</v>
      </c>
      <c r="H2835" s="1">
        <v>-3.2277859999999999E-7</v>
      </c>
      <c r="I2835">
        <v>215.25120000000001</v>
      </c>
      <c r="J2835">
        <v>-434.47289999999998</v>
      </c>
      <c r="K2835">
        <v>1.119429</v>
      </c>
      <c r="L2835">
        <v>213.63740000000001</v>
      </c>
      <c r="M2835">
        <v>0.99999680000000002</v>
      </c>
      <c r="N2835">
        <v>-2.5393920000000001E-3</v>
      </c>
      <c r="O2835">
        <v>3.926752E-4</v>
      </c>
      <c r="P2835">
        <v>0.97927989999999998</v>
      </c>
      <c r="Q2835">
        <v>0.2025101</v>
      </c>
      <c r="R2835">
        <v>-8.284338E-4</v>
      </c>
      <c r="S2835">
        <v>3.0751650000000001</v>
      </c>
      <c r="T2835">
        <v>-5.4994109999999999E-2</v>
      </c>
      <c r="U2835">
        <v>7.9284670000000002E-2</v>
      </c>
      <c r="V2835">
        <v>1.31746799999999E-3</v>
      </c>
      <c r="W2835">
        <v>0.20499580000000001</v>
      </c>
      <c r="X2835">
        <v>0.97876200000000002</v>
      </c>
      <c r="Y2835">
        <v>-2.5376550000000001E-2</v>
      </c>
      <c r="Z2835">
        <v>2.5305770000000002E-4</v>
      </c>
      <c r="AA2835">
        <v>0.99967799999999996</v>
      </c>
      <c r="AB2835">
        <v>39</v>
      </c>
      <c r="AC2835">
        <v>62.191600000000001</v>
      </c>
      <c r="AD2835">
        <v>-1.1194293227786001</v>
      </c>
      <c r="AE2835">
        <v>1.6137999999999899</v>
      </c>
      <c r="AF2835">
        <v>-1.58886427262213</v>
      </c>
      <c r="AG2835">
        <v>-1.1194293227786001</v>
      </c>
      <c r="AH2835">
        <v>62.172099401204001</v>
      </c>
      <c r="AI2835">
        <v>91.031181494583805</v>
      </c>
      <c r="AJ2835">
        <v>91.463926860805202</v>
      </c>
      <c r="AK2835">
        <v>62.202472263075698</v>
      </c>
      <c r="AL2835">
        <v>78.170747213458498</v>
      </c>
      <c r="AM2835">
        <v>89.922876745875001</v>
      </c>
      <c r="AN2835">
        <v>1.00000003319178</v>
      </c>
    </row>
    <row r="2836" spans="1:40" x14ac:dyDescent="0.25">
      <c r="A2836" t="str">
        <f>"20190303170553067"</f>
        <v>20190303170553067</v>
      </c>
      <c r="B2836" t="str">
        <f>"1551603953057828"</f>
        <v>1551603953057828</v>
      </c>
      <c r="C2836" t="s">
        <v>40</v>
      </c>
      <c r="D2836">
        <v>5.4167649999999998</v>
      </c>
      <c r="E2836">
        <v>0.4945329</v>
      </c>
      <c r="F2836" t="s">
        <v>60</v>
      </c>
      <c r="G2836">
        <v>-373.51319999999998</v>
      </c>
      <c r="H2836" s="1">
        <v>3.3275859999999902E-7</v>
      </c>
      <c r="I2836">
        <v>215.15100000000001</v>
      </c>
      <c r="J2836">
        <v>-434.05759999999998</v>
      </c>
      <c r="K2836">
        <v>1.1194200000000001</v>
      </c>
      <c r="L2836">
        <v>213.63740000000001</v>
      </c>
      <c r="M2836">
        <v>0.99999669999999896</v>
      </c>
      <c r="N2836">
        <v>-2.5837619999999999E-3</v>
      </c>
      <c r="O2836">
        <v>1.8236620000000001E-4</v>
      </c>
      <c r="P2836">
        <v>0.97948080000000004</v>
      </c>
      <c r="Q2836">
        <v>0.2015343</v>
      </c>
      <c r="R2836">
        <v>-1.290383E-3</v>
      </c>
      <c r="S2836">
        <v>3.0751949999999999</v>
      </c>
      <c r="T2836">
        <v>-5.6471109999999998E-2</v>
      </c>
      <c r="U2836">
        <v>7.6354980000000003E-2</v>
      </c>
      <c r="V2836">
        <v>1.5750409999999999E-3</v>
      </c>
      <c r="W2836">
        <v>0.20406360000000001</v>
      </c>
      <c r="X2836">
        <v>0.9789563</v>
      </c>
      <c r="Y2836">
        <v>-2.4634639999999999E-2</v>
      </c>
      <c r="Z2836">
        <v>2.5509019999999999E-4</v>
      </c>
      <c r="AA2836">
        <v>0.99969649999999999</v>
      </c>
      <c r="AB2836">
        <v>39</v>
      </c>
      <c r="AC2836">
        <v>60.544400000000003</v>
      </c>
      <c r="AD2836">
        <v>-1.1194196672413901</v>
      </c>
      <c r="AE2836">
        <v>1.5135999999999601</v>
      </c>
      <c r="AF2836">
        <v>-1.50204553012716</v>
      </c>
      <c r="AG2836">
        <v>-1.1194196672413901</v>
      </c>
      <c r="AH2836">
        <v>60.523997707513601</v>
      </c>
      <c r="AI2836">
        <v>91.059265372409001</v>
      </c>
      <c r="AJ2836">
        <v>91.421637878692593</v>
      </c>
      <c r="AK2836">
        <v>60.552981261578601</v>
      </c>
      <c r="AL2836">
        <v>78.225310648365294</v>
      </c>
      <c r="AM2836">
        <v>89.907817004708207</v>
      </c>
      <c r="AN2836">
        <v>0.99999993545439803</v>
      </c>
    </row>
    <row r="2837" spans="1:40" x14ac:dyDescent="0.25">
      <c r="A2837" t="str">
        <f>"20190303170553089"</f>
        <v>20190303170553089</v>
      </c>
      <c r="B2837" t="str">
        <f>"1551603953077349"</f>
        <v>1551603953077349</v>
      </c>
      <c r="C2837" t="s">
        <v>40</v>
      </c>
      <c r="D2837">
        <v>5.3339670000000003</v>
      </c>
      <c r="E2837">
        <v>0.49511559999999999</v>
      </c>
      <c r="F2837" t="s">
        <v>60</v>
      </c>
      <c r="G2837">
        <v>-376.47809999999998</v>
      </c>
      <c r="H2837" s="1">
        <v>1.9105129999999999E-6</v>
      </c>
      <c r="I2837">
        <v>215.03299999999999</v>
      </c>
      <c r="J2837">
        <v>-433.68239999999997</v>
      </c>
      <c r="K2837">
        <v>1.1194090000000001</v>
      </c>
      <c r="L2837">
        <v>213.63730000000001</v>
      </c>
      <c r="M2837">
        <v>0.99999649999999995</v>
      </c>
      <c r="N2837">
        <v>-2.6236829999999999E-3</v>
      </c>
      <c r="O2837" s="1">
        <v>-8.5625540000000008E-6</v>
      </c>
      <c r="P2837">
        <v>0.97955219999999998</v>
      </c>
      <c r="Q2837">
        <v>0.2011811</v>
      </c>
      <c r="R2837">
        <v>-1.919886E-3</v>
      </c>
      <c r="S2837">
        <v>3.0752869999999999</v>
      </c>
      <c r="T2837">
        <v>-5.9787390000000003E-2</v>
      </c>
      <c r="U2837">
        <v>7.4539179999999997E-2</v>
      </c>
      <c r="V2837">
        <v>2.0190809999999998E-3</v>
      </c>
      <c r="W2837">
        <v>0.2037495</v>
      </c>
      <c r="X2837">
        <v>0.97902100000000003</v>
      </c>
      <c r="Y2837">
        <v>-2.423438E-2</v>
      </c>
      <c r="Z2837">
        <v>2.6746019999999998E-4</v>
      </c>
      <c r="AA2837">
        <v>0.99970630000000005</v>
      </c>
      <c r="AB2837">
        <v>40</v>
      </c>
      <c r="AC2837">
        <v>57.204299999999897</v>
      </c>
      <c r="AD2837">
        <v>-1.1194070894869901</v>
      </c>
      <c r="AE2837">
        <v>1.39569999999997</v>
      </c>
      <c r="AF2837">
        <v>-1.39565569687331</v>
      </c>
      <c r="AG2837">
        <v>-1.1194070894869901</v>
      </c>
      <c r="AH2837">
        <v>57.1824042483032</v>
      </c>
      <c r="AI2837">
        <v>91.121149485020794</v>
      </c>
      <c r="AJ2837">
        <v>91.398145272772794</v>
      </c>
      <c r="AK2837">
        <v>57.210386143361902</v>
      </c>
      <c r="AL2837">
        <v>78.243694561424206</v>
      </c>
      <c r="AM2837">
        <v>89.881836389840103</v>
      </c>
      <c r="AN2837">
        <v>1.0000000269396601</v>
      </c>
    </row>
    <row r="2838" spans="1:40" x14ac:dyDescent="0.25">
      <c r="A2838" t="str">
        <f>"20190303170553109"</f>
        <v>20190303170553109</v>
      </c>
      <c r="B2838" t="str">
        <f>"1551603953097845"</f>
        <v>1551603953097845</v>
      </c>
      <c r="C2838" t="s">
        <v>40</v>
      </c>
      <c r="D2838">
        <v>5.3571929999999996</v>
      </c>
      <c r="E2838">
        <v>0.49575849999999999</v>
      </c>
      <c r="F2838" t="s">
        <v>60</v>
      </c>
      <c r="G2838">
        <v>-378.6078</v>
      </c>
      <c r="H2838" s="1">
        <v>3.0438590000000001E-6</v>
      </c>
      <c r="I2838">
        <v>214.84909999999999</v>
      </c>
      <c r="J2838">
        <v>-433.31560000000002</v>
      </c>
      <c r="K2838">
        <v>1.1194200000000001</v>
      </c>
      <c r="L2838">
        <v>213.63720000000001</v>
      </c>
      <c r="M2838">
        <v>0.99999649999999995</v>
      </c>
      <c r="N2838">
        <v>-2.6628509999999999E-3</v>
      </c>
      <c r="O2838">
        <v>-1.9567529999999999E-4</v>
      </c>
      <c r="P2838">
        <v>0.97947079999999997</v>
      </c>
      <c r="Q2838">
        <v>0.20157639999999999</v>
      </c>
      <c r="R2838">
        <v>-2.1037009999999999E-3</v>
      </c>
      <c r="S2838">
        <v>3.075653</v>
      </c>
      <c r="T2838">
        <v>-6.2513470000000002E-2</v>
      </c>
      <c r="U2838">
        <v>6.767273E-2</v>
      </c>
      <c r="V2838">
        <v>2.0211510000000001E-3</v>
      </c>
      <c r="W2838">
        <v>0.20418310000000001</v>
      </c>
      <c r="X2838">
        <v>0.97893059999999998</v>
      </c>
      <c r="Y2838">
        <v>-2.2187809999999999E-2</v>
      </c>
      <c r="Z2838">
        <v>2.5843989999999999E-4</v>
      </c>
      <c r="AA2838">
        <v>0.99975380000000003</v>
      </c>
      <c r="AB2838">
        <v>40</v>
      </c>
      <c r="AC2838">
        <v>54.707799999999999</v>
      </c>
      <c r="AD2838">
        <v>-1.1194169561409999</v>
      </c>
      <c r="AE2838">
        <v>1.21189999999998</v>
      </c>
      <c r="AF2838">
        <v>-1.2220935604829299</v>
      </c>
      <c r="AG2838">
        <v>-1.1194169561409999</v>
      </c>
      <c r="AH2838">
        <v>54.684677501420303</v>
      </c>
      <c r="AI2838">
        <v>91.172410809986204</v>
      </c>
      <c r="AJ2838">
        <v>91.280233384682106</v>
      </c>
      <c r="AK2838">
        <v>54.709784869131198</v>
      </c>
      <c r="AL2838">
        <v>78.2183169733092</v>
      </c>
      <c r="AM2838">
        <v>89.881704323564307</v>
      </c>
      <c r="AN2838">
        <v>0.99999997149666697</v>
      </c>
    </row>
    <row r="2839" spans="1:40" x14ac:dyDescent="0.25">
      <c r="A2839" t="str">
        <f>"20190303170553134"</f>
        <v>20190303170553134</v>
      </c>
      <c r="B2839" t="str">
        <f>"1551603953127126"</f>
        <v>1551603953127126</v>
      </c>
      <c r="C2839" t="s">
        <v>40</v>
      </c>
      <c r="D2839">
        <v>5.2680259999999999</v>
      </c>
      <c r="E2839">
        <v>0.49665029999999999</v>
      </c>
      <c r="F2839" t="s">
        <v>60</v>
      </c>
      <c r="G2839">
        <v>-378.58609999999999</v>
      </c>
      <c r="H2839" s="1">
        <v>3.0323160000000002E-6</v>
      </c>
      <c r="I2839">
        <v>214.73920000000001</v>
      </c>
      <c r="J2839">
        <v>-432.86219999999997</v>
      </c>
      <c r="K2839">
        <v>1.119418</v>
      </c>
      <c r="L2839">
        <v>213.6369</v>
      </c>
      <c r="M2839">
        <v>0.99999640000000001</v>
      </c>
      <c r="N2839">
        <v>-2.711289E-3</v>
      </c>
      <c r="O2839">
        <v>-4.2679399999999998E-4</v>
      </c>
      <c r="P2839">
        <v>0.9793134</v>
      </c>
      <c r="Q2839">
        <v>0.20234460000000001</v>
      </c>
      <c r="R2839">
        <v>-1.536403E-3</v>
      </c>
      <c r="S2839">
        <v>3.075958</v>
      </c>
      <c r="T2839">
        <v>-6.2914609999999996E-2</v>
      </c>
      <c r="U2839">
        <v>6.1935419999999998E-2</v>
      </c>
      <c r="V2839">
        <v>1.2297110000000001E-3</v>
      </c>
      <c r="W2839">
        <v>0.2049985</v>
      </c>
      <c r="X2839">
        <v>0.97876149999999995</v>
      </c>
      <c r="Y2839">
        <v>-2.0553020000000002E-2</v>
      </c>
      <c r="Z2839">
        <v>2.4558849999999999E-4</v>
      </c>
      <c r="AA2839">
        <v>0.99978880000000003</v>
      </c>
      <c r="AB2839">
        <v>40</v>
      </c>
      <c r="AC2839">
        <v>54.2760999999999</v>
      </c>
      <c r="AD2839">
        <v>-1.119414967684</v>
      </c>
      <c r="AE2839">
        <v>1.10230000000001</v>
      </c>
      <c r="AF2839">
        <v>-1.12498635866001</v>
      </c>
      <c r="AG2839">
        <v>-1.119414967684</v>
      </c>
      <c r="AH2839">
        <v>54.252556805754203</v>
      </c>
      <c r="AI2839">
        <v>91.181785310664694</v>
      </c>
      <c r="AJ2839">
        <v>91.187920680819204</v>
      </c>
      <c r="AK2839">
        <v>54.275764427031703</v>
      </c>
      <c r="AL2839">
        <v>78.170588586291998</v>
      </c>
      <c r="AM2839">
        <v>89.928013910183495</v>
      </c>
      <c r="AN2839">
        <v>0.99999998553682101</v>
      </c>
    </row>
    <row r="2840" spans="1:40" x14ac:dyDescent="0.25">
      <c r="A2840" t="str">
        <f>"20190303170553157"</f>
        <v>20190303170553157</v>
      </c>
      <c r="B2840" t="str">
        <f>"1551603953147621"</f>
        <v>1551603953147621</v>
      </c>
      <c r="C2840" t="s">
        <v>40</v>
      </c>
      <c r="D2840">
        <v>5.3269599999999997</v>
      </c>
      <c r="E2840">
        <v>0.49728290000000003</v>
      </c>
      <c r="F2840" t="s">
        <v>60</v>
      </c>
      <c r="G2840">
        <v>-375.16820000000001</v>
      </c>
      <c r="H2840" s="1">
        <v>1.2134600000000001E-6</v>
      </c>
      <c r="I2840">
        <v>214.68819999999999</v>
      </c>
      <c r="J2840">
        <v>-432.45339999999999</v>
      </c>
      <c r="K2840">
        <v>1.11941</v>
      </c>
      <c r="L2840">
        <v>213.63659999999999</v>
      </c>
      <c r="M2840">
        <v>0.999996</v>
      </c>
      <c r="N2840">
        <v>-2.7548619999999998E-3</v>
      </c>
      <c r="O2840">
        <v>-6.3334519999999996E-4</v>
      </c>
      <c r="P2840">
        <v>0.97942750000000001</v>
      </c>
      <c r="Q2840">
        <v>0.20179569999999999</v>
      </c>
      <c r="R2840">
        <v>-6.5653399999999996E-4</v>
      </c>
      <c r="S2840">
        <v>3.075806</v>
      </c>
      <c r="T2840">
        <v>-5.9678790000000002E-2</v>
      </c>
      <c r="U2840">
        <v>5.6045530000000003E-2</v>
      </c>
      <c r="V2840">
        <v>1.4848119999999999E-4</v>
      </c>
      <c r="W2840">
        <v>0.20449310000000001</v>
      </c>
      <c r="X2840">
        <v>0.97886799999999996</v>
      </c>
      <c r="Y2840">
        <v>-1.88475E-2</v>
      </c>
      <c r="Z2840">
        <v>2.193214E-4</v>
      </c>
      <c r="AA2840">
        <v>0.99982230000000005</v>
      </c>
      <c r="AB2840">
        <v>40</v>
      </c>
      <c r="AC2840">
        <v>57.285199999999897</v>
      </c>
      <c r="AD2840">
        <v>-1.11940878654</v>
      </c>
      <c r="AE2840">
        <v>1.0516000000000001</v>
      </c>
      <c r="AF2840">
        <v>-1.0874661245627999</v>
      </c>
      <c r="AG2840">
        <v>-1.11940878654</v>
      </c>
      <c r="AH2840">
        <v>57.2626641120725</v>
      </c>
      <c r="AI2840">
        <v>91.119711661052307</v>
      </c>
      <c r="AJ2840">
        <v>91.087964234271794</v>
      </c>
      <c r="AK2840">
        <v>57.283927587199301</v>
      </c>
      <c r="AL2840">
        <v>78.200172847636594</v>
      </c>
      <c r="AM2840">
        <v>89.991308995664596</v>
      </c>
      <c r="AN2840">
        <v>1.0000000057091301</v>
      </c>
    </row>
    <row r="2841" spans="1:40" x14ac:dyDescent="0.25">
      <c r="A2841" t="str">
        <f>"20190303170553180"</f>
        <v>20190303170553180</v>
      </c>
      <c r="B2841" t="str">
        <f>"1551603953167141"</f>
        <v>1551603953167141</v>
      </c>
      <c r="C2841" t="s">
        <v>40</v>
      </c>
      <c r="D2841">
        <v>5.35168</v>
      </c>
      <c r="E2841">
        <v>0.49788680000000002</v>
      </c>
      <c r="F2841" t="s">
        <v>60</v>
      </c>
      <c r="G2841">
        <v>-376.55829999999997</v>
      </c>
      <c r="H2841" s="1">
        <v>1.953199E-6</v>
      </c>
      <c r="I2841">
        <v>214.60300000000001</v>
      </c>
      <c r="J2841">
        <v>-432.03339999999997</v>
      </c>
      <c r="K2841">
        <v>1.119405</v>
      </c>
      <c r="L2841">
        <v>213.6362</v>
      </c>
      <c r="M2841">
        <v>0.99999590000000005</v>
      </c>
      <c r="N2841">
        <v>-2.799541E-3</v>
      </c>
      <c r="O2841">
        <v>-8.4096399999999895E-4</v>
      </c>
      <c r="P2841">
        <v>0.97965170000000001</v>
      </c>
      <c r="Q2841">
        <v>0.20070550000000001</v>
      </c>
      <c r="R2841">
        <v>-2.944302E-4</v>
      </c>
      <c r="S2841">
        <v>3.075745</v>
      </c>
      <c r="T2841">
        <v>-6.1597699999999998E-2</v>
      </c>
      <c r="U2841">
        <v>5.3176880000000003E-2</v>
      </c>
      <c r="V2841">
        <v>-4.176726E-4</v>
      </c>
      <c r="W2841">
        <v>0.20344789999999999</v>
      </c>
      <c r="X2841">
        <v>0.97908569999999995</v>
      </c>
      <c r="Y2841">
        <v>-1.81231E-2</v>
      </c>
      <c r="Z2841">
        <v>2.2130129999999999E-4</v>
      </c>
      <c r="AA2841">
        <v>0.99983569999999999</v>
      </c>
      <c r="AB2841">
        <v>40</v>
      </c>
      <c r="AC2841">
        <v>55.475099999999998</v>
      </c>
      <c r="AD2841">
        <v>-1.1194030468009999</v>
      </c>
      <c r="AE2841">
        <v>0.96679999999997801</v>
      </c>
      <c r="AF2841">
        <v>-1.0130400396722801</v>
      </c>
      <c r="AG2841">
        <v>-1.1194030468009999</v>
      </c>
      <c r="AH2841">
        <v>55.451695872205804</v>
      </c>
      <c r="AI2841">
        <v>91.156279589228205</v>
      </c>
      <c r="AJ2841">
        <v>91.046612945235594</v>
      </c>
      <c r="AK2841">
        <v>55.472244306560903</v>
      </c>
      <c r="AL2841">
        <v>78.261344519836996</v>
      </c>
      <c r="AM2841">
        <v>90.024442064414302</v>
      </c>
      <c r="AN2841">
        <v>1.00000001520465</v>
      </c>
    </row>
    <row r="2842" spans="1:40" x14ac:dyDescent="0.25">
      <c r="A2842" t="str">
        <f>"20190303170553202"</f>
        <v>20190303170553202</v>
      </c>
      <c r="B2842" t="str">
        <f>"1551603953187637"</f>
        <v>1551603953187637</v>
      </c>
      <c r="C2842" t="s">
        <v>40</v>
      </c>
      <c r="D2842">
        <v>5.3061809999999996</v>
      </c>
      <c r="E2842">
        <v>0.49841249999999998</v>
      </c>
      <c r="F2842" t="s">
        <v>60</v>
      </c>
      <c r="G2842">
        <v>-379.00200000000001</v>
      </c>
      <c r="H2842" s="1">
        <v>3.253614E-6</v>
      </c>
      <c r="I2842">
        <v>214.49209999999999</v>
      </c>
      <c r="J2842">
        <v>-431.64710000000002</v>
      </c>
      <c r="K2842">
        <v>1.1194040000000001</v>
      </c>
      <c r="L2842">
        <v>213.63579999999999</v>
      </c>
      <c r="M2842">
        <v>0.99999550000000004</v>
      </c>
      <c r="N2842">
        <v>-2.8407469999999998E-3</v>
      </c>
      <c r="O2842">
        <v>-1.0213830000000001E-3</v>
      </c>
      <c r="P2842">
        <v>0.97976810000000003</v>
      </c>
      <c r="Q2842">
        <v>0.20013600000000001</v>
      </c>
      <c r="R2842" s="1">
        <v>6.1934809999999996E-5</v>
      </c>
      <c r="S2842">
        <v>3.0756230000000002</v>
      </c>
      <c r="T2842">
        <v>-6.4921140000000002E-2</v>
      </c>
      <c r="U2842">
        <v>4.9636840000000002E-2</v>
      </c>
      <c r="V2842">
        <v>-9.523388E-4</v>
      </c>
      <c r="W2842">
        <v>0.20291890000000001</v>
      </c>
      <c r="X2842">
        <v>0.97919509999999998</v>
      </c>
      <c r="Y2842">
        <v>-1.7153430000000001E-2</v>
      </c>
      <c r="Z2842">
        <v>2.240318E-4</v>
      </c>
      <c r="AA2842">
        <v>0.99985279999999999</v>
      </c>
      <c r="AB2842">
        <v>40</v>
      </c>
      <c r="AC2842">
        <v>52.645099999999999</v>
      </c>
      <c r="AD2842">
        <v>-1.1194007463860001</v>
      </c>
      <c r="AE2842">
        <v>0.85630000000000395</v>
      </c>
      <c r="AF2842">
        <v>-0.90965940953182101</v>
      </c>
      <c r="AG2842">
        <v>-1.1194007463860001</v>
      </c>
      <c r="AH2842">
        <v>52.620413391834198</v>
      </c>
      <c r="AI2842">
        <v>91.218494587648195</v>
      </c>
      <c r="AJ2842">
        <v>90.990384730872506</v>
      </c>
      <c r="AK2842">
        <v>52.640178987156602</v>
      </c>
      <c r="AL2842">
        <v>78.292299692656798</v>
      </c>
      <c r="AM2842">
        <v>90.055724315514098</v>
      </c>
      <c r="AN2842">
        <v>1.0000000153952</v>
      </c>
    </row>
    <row r="2843" spans="1:40" x14ac:dyDescent="0.25">
      <c r="A2843" t="str">
        <f>"20190303170553224"</f>
        <v>20190303170553224</v>
      </c>
      <c r="B2843" t="str">
        <f>"1551603953217893"</f>
        <v>1551603953217893</v>
      </c>
      <c r="C2843" t="s">
        <v>40</v>
      </c>
      <c r="D2843">
        <v>5.3296539999999997</v>
      </c>
      <c r="E2843">
        <v>0.49917309999999998</v>
      </c>
      <c r="F2843" t="s">
        <v>60</v>
      </c>
      <c r="G2843">
        <v>-379.86369999999999</v>
      </c>
      <c r="H2843" s="1">
        <v>3.712183E-6</v>
      </c>
      <c r="I2843">
        <v>214.41319999999999</v>
      </c>
      <c r="J2843">
        <v>-431.2432</v>
      </c>
      <c r="K2843">
        <v>1.1194090000000001</v>
      </c>
      <c r="L2843">
        <v>213.6352</v>
      </c>
      <c r="M2843">
        <v>0.99999510000000003</v>
      </c>
      <c r="N2843">
        <v>-2.8838729999999999E-3</v>
      </c>
      <c r="O2843">
        <v>-1.191412E-3</v>
      </c>
      <c r="P2843">
        <v>0.97976580000000002</v>
      </c>
      <c r="Q2843">
        <v>0.20014589999999999</v>
      </c>
      <c r="R2843">
        <v>7.1210969999999996E-4</v>
      </c>
      <c r="S2843">
        <v>3.0755309999999998</v>
      </c>
      <c r="T2843">
        <v>-6.6483619999999993E-2</v>
      </c>
      <c r="U2843">
        <v>4.6173100000000002E-2</v>
      </c>
      <c r="V2843">
        <v>-1.7736259999999999E-3</v>
      </c>
      <c r="W2843">
        <v>0.2029716</v>
      </c>
      <c r="X2843">
        <v>0.97918300000000003</v>
      </c>
      <c r="Y2843">
        <v>-1.6198130000000002E-2</v>
      </c>
      <c r="Z2843">
        <v>2.207229E-4</v>
      </c>
      <c r="AA2843">
        <v>0.9998688</v>
      </c>
      <c r="AB2843">
        <v>41</v>
      </c>
      <c r="AC2843">
        <v>51.3795</v>
      </c>
      <c r="AD2843">
        <v>-1.119405287817</v>
      </c>
      <c r="AE2843">
        <v>0.77799999999999103</v>
      </c>
      <c r="AF2843">
        <v>-0.83881578485480401</v>
      </c>
      <c r="AG2843">
        <v>-1.119405287817</v>
      </c>
      <c r="AH2843">
        <v>51.354165739400202</v>
      </c>
      <c r="AI2843">
        <v>91.248554861862104</v>
      </c>
      <c r="AJ2843">
        <v>90.935782523245095</v>
      </c>
      <c r="AK2843">
        <v>51.373213048330001</v>
      </c>
      <c r="AL2843">
        <v>78.289215635732106</v>
      </c>
      <c r="AM2843">
        <v>90.103781594551293</v>
      </c>
      <c r="AN2843">
        <v>0.99999998182237304</v>
      </c>
    </row>
    <row r="2844" spans="1:40" x14ac:dyDescent="0.25">
      <c r="A2844" t="str">
        <f>"20190303170553246"</f>
        <v>20190303170553246</v>
      </c>
      <c r="B2844" t="str">
        <f>"1551603953237414"</f>
        <v>1551603953237414</v>
      </c>
      <c r="C2844" t="s">
        <v>40</v>
      </c>
      <c r="D2844">
        <v>5.3302829999999997</v>
      </c>
      <c r="E2844">
        <v>0.49962849999999998</v>
      </c>
      <c r="F2844" t="s">
        <v>60</v>
      </c>
      <c r="G2844">
        <v>-379.62419999999997</v>
      </c>
      <c r="H2844" s="1">
        <v>3.5847390000000002E-6</v>
      </c>
      <c r="I2844">
        <v>214.33359999999999</v>
      </c>
      <c r="J2844">
        <v>-430.83390000000003</v>
      </c>
      <c r="K2844">
        <v>1.1194269999999999</v>
      </c>
      <c r="L2844">
        <v>213.63470000000001</v>
      </c>
      <c r="M2844">
        <v>0.99999479999999996</v>
      </c>
      <c r="N2844">
        <v>-2.927416E-3</v>
      </c>
      <c r="O2844">
        <v>-1.338409E-3</v>
      </c>
      <c r="P2844">
        <v>0.97979830000000001</v>
      </c>
      <c r="Q2844">
        <v>0.199987</v>
      </c>
      <c r="R2844">
        <v>7.8680269999999999E-4</v>
      </c>
      <c r="S2844">
        <v>3.0755620000000001</v>
      </c>
      <c r="T2844">
        <v>-6.6696409999999998E-2</v>
      </c>
      <c r="U2844">
        <v>4.1610719999999997E-2</v>
      </c>
      <c r="V2844">
        <v>-2.0001260000000001E-3</v>
      </c>
      <c r="W2844">
        <v>0.20285539999999999</v>
      </c>
      <c r="X2844">
        <v>0.97920669999999999</v>
      </c>
      <c r="Y2844">
        <v>-1.486231E-2</v>
      </c>
      <c r="Z2844">
        <v>2.0798569999999999E-4</v>
      </c>
      <c r="AA2844">
        <v>0.99988960000000005</v>
      </c>
      <c r="AB2844">
        <v>41</v>
      </c>
      <c r="AC2844">
        <v>51.209699999999998</v>
      </c>
      <c r="AD2844">
        <v>-1.1194234152610001</v>
      </c>
      <c r="AE2844">
        <v>0.69889999999997998</v>
      </c>
      <c r="AF2844">
        <v>-0.76707272110028302</v>
      </c>
      <c r="AG2844">
        <v>-1.1194234152610001</v>
      </c>
      <c r="AH2844">
        <v>51.184265278123704</v>
      </c>
      <c r="AI2844">
        <v>91.252744680858001</v>
      </c>
      <c r="AJ2844">
        <v>90.858598621742004</v>
      </c>
      <c r="AK2844">
        <v>51.202251136091903</v>
      </c>
      <c r="AL2844">
        <v>78.296015513489493</v>
      </c>
      <c r="AM2844">
        <v>90.117032102535703</v>
      </c>
      <c r="AN2844">
        <v>1.0000000375690301</v>
      </c>
    </row>
    <row r="2845" spans="1:40" x14ac:dyDescent="0.25">
      <c r="A2845" t="str">
        <f>"20190303170553269"</f>
        <v>20190303170553269</v>
      </c>
      <c r="B2845" t="str">
        <f>"1551603953257909"</f>
        <v>1551603953257909</v>
      </c>
      <c r="C2845" t="s">
        <v>40</v>
      </c>
      <c r="D2845">
        <v>5.4190889999999996</v>
      </c>
      <c r="E2845">
        <v>0.49993349999999998</v>
      </c>
      <c r="F2845" t="s">
        <v>60</v>
      </c>
      <c r="G2845">
        <v>-379.34390000000002</v>
      </c>
      <c r="H2845" s="1">
        <v>3.4355680000000002E-6</v>
      </c>
      <c r="I2845">
        <v>214.26689999999999</v>
      </c>
      <c r="J2845">
        <v>-430.3947</v>
      </c>
      <c r="K2845">
        <v>1.119442</v>
      </c>
      <c r="L2845">
        <v>213.63399999999999</v>
      </c>
      <c r="M2845">
        <v>0.99999459999999996</v>
      </c>
      <c r="N2845">
        <v>-2.974155E-3</v>
      </c>
      <c r="O2845">
        <v>-1.470973E-3</v>
      </c>
      <c r="P2845">
        <v>0.97984490000000002</v>
      </c>
      <c r="Q2845">
        <v>0.19975970000000001</v>
      </c>
      <c r="R2845">
        <v>4.9185009999999998E-4</v>
      </c>
      <c r="S2845">
        <v>3.0754389999999998</v>
      </c>
      <c r="T2845">
        <v>-6.6861870000000004E-2</v>
      </c>
      <c r="U2845">
        <v>3.77655E-2</v>
      </c>
      <c r="V2845">
        <v>-1.844245E-3</v>
      </c>
      <c r="W2845">
        <v>0.20267370000000001</v>
      </c>
      <c r="X2845">
        <v>0.97924460000000002</v>
      </c>
      <c r="Y2845">
        <v>-1.374569E-2</v>
      </c>
      <c r="Z2845">
        <v>1.974415E-4</v>
      </c>
      <c r="AA2845">
        <v>0.9999055</v>
      </c>
      <c r="AB2845">
        <v>41</v>
      </c>
      <c r="AC2845">
        <v>51.050799999999903</v>
      </c>
      <c r="AD2845">
        <v>-1.119438564432</v>
      </c>
      <c r="AE2845">
        <v>0.63289999999997804</v>
      </c>
      <c r="AF2845">
        <v>-0.70765377606122004</v>
      </c>
      <c r="AG2845">
        <v>-1.119438564432</v>
      </c>
      <c r="AH2845">
        <v>51.025282850861302</v>
      </c>
      <c r="AI2845">
        <v>91.256683937017002</v>
      </c>
      <c r="AJ2845">
        <v>90.794566403955201</v>
      </c>
      <c r="AK2845">
        <v>51.042466697610898</v>
      </c>
      <c r="AL2845">
        <v>78.306646651100806</v>
      </c>
      <c r="AM2845">
        <v>90.107906982541394</v>
      </c>
      <c r="AN2845">
        <v>1.0000000082702301</v>
      </c>
    </row>
    <row r="2846" spans="1:40" x14ac:dyDescent="0.25">
      <c r="A2846" t="str">
        <f>"20190303170553291"</f>
        <v>20190303170553291</v>
      </c>
      <c r="B2846" t="str">
        <f>"1551603953277429"</f>
        <v>1551603953277429</v>
      </c>
      <c r="C2846" t="s">
        <v>40</v>
      </c>
      <c r="D2846">
        <v>5.3704320000000001</v>
      </c>
      <c r="E2846">
        <v>0.50030439999999998</v>
      </c>
      <c r="F2846" t="s">
        <v>60</v>
      </c>
      <c r="G2846">
        <v>-378.77159999999998</v>
      </c>
      <c r="H2846" s="1">
        <v>3.1310050000000001E-6</v>
      </c>
      <c r="I2846">
        <v>214.21520000000001</v>
      </c>
      <c r="J2846">
        <v>-430.00240000000002</v>
      </c>
      <c r="K2846">
        <v>1.119451</v>
      </c>
      <c r="L2846">
        <v>213.63329999999999</v>
      </c>
      <c r="M2846">
        <v>0.9999943</v>
      </c>
      <c r="N2846">
        <v>-3.01578E-3</v>
      </c>
      <c r="O2846">
        <v>-1.5671719999999999E-3</v>
      </c>
      <c r="P2846">
        <v>0.97996700000000003</v>
      </c>
      <c r="Q2846">
        <v>0.19916059999999999</v>
      </c>
      <c r="R2846">
        <v>2.758382E-4</v>
      </c>
      <c r="S2846">
        <v>3.075256</v>
      </c>
      <c r="T2846">
        <v>-6.6686389999999998E-2</v>
      </c>
      <c r="U2846">
        <v>3.4622189999999997E-2</v>
      </c>
      <c r="V2846">
        <v>-1.73145E-3</v>
      </c>
      <c r="W2846">
        <v>0.20211570000000001</v>
      </c>
      <c r="X2846">
        <v>0.97936009999999996</v>
      </c>
      <c r="Y2846">
        <v>-1.2820959999999999E-2</v>
      </c>
      <c r="Z2846">
        <v>1.8757849999999999E-4</v>
      </c>
      <c r="AA2846">
        <v>0.99991779999999997</v>
      </c>
      <c r="AB2846">
        <v>41</v>
      </c>
      <c r="AC2846">
        <v>51.230800000000002</v>
      </c>
      <c r="AD2846">
        <v>-1.119447868995</v>
      </c>
      <c r="AE2846">
        <v>0.58190000000001796</v>
      </c>
      <c r="AF2846">
        <v>-0.66187113735797398</v>
      </c>
      <c r="AG2846">
        <v>-1.119447868995</v>
      </c>
      <c r="AH2846">
        <v>51.205379301913297</v>
      </c>
      <c r="AI2846">
        <v>91.252291630687694</v>
      </c>
      <c r="AJ2846">
        <v>90.740553267981696</v>
      </c>
      <c r="AK2846">
        <v>51.221890890386703</v>
      </c>
      <c r="AL2846">
        <v>78.339293014597203</v>
      </c>
      <c r="AM2846">
        <v>90.101295401027201</v>
      </c>
      <c r="AN2846">
        <v>0.99999997978880095</v>
      </c>
    </row>
    <row r="2847" spans="1:40" x14ac:dyDescent="0.25">
      <c r="A2847" t="str">
        <f>"20190303170553313"</f>
        <v>20190303170553313</v>
      </c>
      <c r="B2847" t="str">
        <f>"1551603953307685"</f>
        <v>1551603953307685</v>
      </c>
      <c r="C2847" t="s">
        <v>40</v>
      </c>
      <c r="D2847">
        <v>5.5174390000000004</v>
      </c>
      <c r="E2847">
        <v>0.50096079999999998</v>
      </c>
      <c r="F2847" t="s">
        <v>60</v>
      </c>
      <c r="G2847">
        <v>-379.40050000000002</v>
      </c>
      <c r="H2847" s="1">
        <v>3.4656820000000001E-6</v>
      </c>
      <c r="I2847">
        <v>214.1456</v>
      </c>
      <c r="J2847">
        <v>-429.57979999999998</v>
      </c>
      <c r="K2847">
        <v>1.11947</v>
      </c>
      <c r="L2847">
        <v>213.6326</v>
      </c>
      <c r="M2847">
        <v>0.99999400000000005</v>
      </c>
      <c r="N2847">
        <v>-3.060564E-3</v>
      </c>
      <c r="O2847">
        <v>-1.6453660000000001E-3</v>
      </c>
      <c r="P2847">
        <v>0.98004669999999905</v>
      </c>
      <c r="Q2847">
        <v>0.19876779999999999</v>
      </c>
      <c r="R2847">
        <v>-2.557328E-4</v>
      </c>
      <c r="S2847">
        <v>3.0751339999999998</v>
      </c>
      <c r="T2847">
        <v>-6.8029999999999993E-2</v>
      </c>
      <c r="U2847">
        <v>3.1127930000000002E-2</v>
      </c>
      <c r="V2847">
        <v>-1.2864969999999999E-3</v>
      </c>
      <c r="W2847">
        <v>0.2017669</v>
      </c>
      <c r="X2847">
        <v>0.97943270000000004</v>
      </c>
      <c r="Y2847">
        <v>-1.176365E-2</v>
      </c>
      <c r="Z2847">
        <v>1.7946610000000001E-4</v>
      </c>
      <c r="AA2847">
        <v>0.99993080000000001</v>
      </c>
      <c r="AB2847">
        <v>41</v>
      </c>
      <c r="AC2847">
        <v>50.179299999999898</v>
      </c>
      <c r="AD2847">
        <v>-1.1194665343179999</v>
      </c>
      <c r="AE2847">
        <v>0.51300000000000501</v>
      </c>
      <c r="AF2847">
        <v>-0.59526676634827702</v>
      </c>
      <c r="AG2847">
        <v>-1.1194665343179999</v>
      </c>
      <c r="AH2847">
        <v>50.153428936333</v>
      </c>
      <c r="AI2847">
        <v>91.278587429585698</v>
      </c>
      <c r="AJ2847">
        <v>90.680006785677506</v>
      </c>
      <c r="AK2847">
        <v>50.169452677066197</v>
      </c>
      <c r="AL2847">
        <v>78.359698126250805</v>
      </c>
      <c r="AM2847">
        <v>90.075258673786095</v>
      </c>
      <c r="AN2847">
        <v>0.99999997541971497</v>
      </c>
    </row>
    <row r="2848" spans="1:40" x14ac:dyDescent="0.25">
      <c r="A2848" t="str">
        <f>"20190303170553336"</f>
        <v>20190303170553336</v>
      </c>
      <c r="B2848" t="str">
        <f>"1551603953327205"</f>
        <v>1551603953327205</v>
      </c>
      <c r="C2848" t="s">
        <v>40</v>
      </c>
      <c r="D2848">
        <v>5.3894320000000002</v>
      </c>
      <c r="E2848">
        <v>0.50135929999999995</v>
      </c>
      <c r="F2848" t="s">
        <v>60</v>
      </c>
      <c r="G2848">
        <v>-379.7808</v>
      </c>
      <c r="H2848" s="1">
        <v>3.6680479999999999E-6</v>
      </c>
      <c r="I2848">
        <v>214.02430000000001</v>
      </c>
      <c r="J2848">
        <v>-429.14800000000002</v>
      </c>
      <c r="K2848">
        <v>1.11948799999999</v>
      </c>
      <c r="L2848">
        <v>213.6319</v>
      </c>
      <c r="M2848">
        <v>0.99999369999999999</v>
      </c>
      <c r="N2848">
        <v>-3.1065210000000001E-3</v>
      </c>
      <c r="O2848">
        <v>-1.7007929999999999E-3</v>
      </c>
      <c r="P2848">
        <v>0.98013689999999998</v>
      </c>
      <c r="Q2848">
        <v>0.19831989999999999</v>
      </c>
      <c r="R2848">
        <v>-8.861432E-4</v>
      </c>
      <c r="S2848">
        <v>3.0751040000000001</v>
      </c>
      <c r="T2848">
        <v>-6.9127320000000006E-2</v>
      </c>
      <c r="U2848">
        <v>2.4185180000000001E-2</v>
      </c>
      <c r="V2848">
        <v>-7.2051769999999997E-4</v>
      </c>
      <c r="W2848">
        <v>0.20136380000000001</v>
      </c>
      <c r="X2848">
        <v>0.97951630000000001</v>
      </c>
      <c r="Y2848">
        <v>-9.5622599999999995E-3</v>
      </c>
      <c r="Z2848">
        <v>1.552631E-4</v>
      </c>
      <c r="AA2848">
        <v>0.99995429999999996</v>
      </c>
      <c r="AB2848">
        <v>41</v>
      </c>
      <c r="AC2848">
        <v>49.367199999999997</v>
      </c>
      <c r="AD2848">
        <v>-1.11948433195199</v>
      </c>
      <c r="AE2848">
        <v>0.39240000000000902</v>
      </c>
      <c r="AF2848">
        <v>-0.47611840834192698</v>
      </c>
      <c r="AG2848">
        <v>-1.11948433195199</v>
      </c>
      <c r="AH2848">
        <v>49.3410900411778</v>
      </c>
      <c r="AI2848">
        <v>91.299682274917899</v>
      </c>
      <c r="AJ2848">
        <v>90.552860276748206</v>
      </c>
      <c r="AK2848">
        <v>49.3560847349125</v>
      </c>
      <c r="AL2848">
        <v>78.383278798610206</v>
      </c>
      <c r="AM2848">
        <v>90.042145920214494</v>
      </c>
      <c r="AN2848">
        <v>1.0000000405309399</v>
      </c>
    </row>
    <row r="2849" spans="1:40" x14ac:dyDescent="0.25">
      <c r="A2849" t="str">
        <f>"20190303170553359"</f>
        <v>20190303170553359</v>
      </c>
      <c r="B2849" t="str">
        <f>"1551603953347701"</f>
        <v>1551603953347701</v>
      </c>
      <c r="C2849" t="s">
        <v>40</v>
      </c>
      <c r="D2849">
        <v>5.4911810000000001</v>
      </c>
      <c r="E2849">
        <v>0.53908900000000004</v>
      </c>
      <c r="F2849" t="s">
        <v>60</v>
      </c>
      <c r="G2849">
        <v>-380.14249999999998</v>
      </c>
      <c r="H2849" s="1">
        <v>-1.4312880000000001E-6</v>
      </c>
      <c r="I2849">
        <v>213.93700000000001</v>
      </c>
      <c r="J2849">
        <v>-428.74630000000002</v>
      </c>
      <c r="K2849">
        <v>1.1195059999999999</v>
      </c>
      <c r="L2849">
        <v>213.63120000000001</v>
      </c>
      <c r="M2849">
        <v>0.99999360000000004</v>
      </c>
      <c r="N2849">
        <v>-3.1492289999999999E-3</v>
      </c>
      <c r="O2849">
        <v>-1.7351269999999999E-3</v>
      </c>
      <c r="P2849">
        <v>0.98010790000000003</v>
      </c>
      <c r="Q2849">
        <v>0.19845699999999999</v>
      </c>
      <c r="R2849">
        <v>-1.8775700000000001E-3</v>
      </c>
      <c r="S2849">
        <v>3.0750730000000002</v>
      </c>
      <c r="T2849">
        <v>-7.0247409999999996E-2</v>
      </c>
      <c r="U2849">
        <v>1.9149780000000002E-2</v>
      </c>
      <c r="V2849">
        <v>2.2863460000000001E-4</v>
      </c>
      <c r="W2849">
        <v>0.2015422</v>
      </c>
      <c r="X2849">
        <v>0.97947980000000001</v>
      </c>
      <c r="Y2849">
        <v>-7.9596960000000005E-3</v>
      </c>
      <c r="Z2849">
        <v>1.376072E-4</v>
      </c>
      <c r="AA2849">
        <v>0.99996830000000003</v>
      </c>
      <c r="AB2849">
        <v>42</v>
      </c>
      <c r="AC2849">
        <v>48.6038</v>
      </c>
      <c r="AD2849">
        <v>-1.11950743128799</v>
      </c>
      <c r="AE2849">
        <v>0.30580000000000401</v>
      </c>
      <c r="AF2849">
        <v>-0.38992685672960298</v>
      </c>
      <c r="AG2849">
        <v>-1.11950743128799</v>
      </c>
      <c r="AH2849">
        <v>48.577425257121099</v>
      </c>
      <c r="AI2849">
        <v>91.320152999543197</v>
      </c>
      <c r="AJ2849">
        <v>90.459898466949298</v>
      </c>
      <c r="AK2849">
        <v>48.591888051952701</v>
      </c>
      <c r="AL2849">
        <v>78.372842743830105</v>
      </c>
      <c r="AM2849">
        <v>89.986625760538601</v>
      </c>
      <c r="AN2849">
        <v>0.99999999463133005</v>
      </c>
    </row>
    <row r="2850" spans="1:40" x14ac:dyDescent="0.25">
      <c r="A2850" t="str">
        <f>"20190303170553378"</f>
        <v>20190303170553378</v>
      </c>
      <c r="B2850" t="str">
        <f>"1551603953367221"</f>
        <v>1551603953367221</v>
      </c>
      <c r="C2850" t="s">
        <v>40</v>
      </c>
      <c r="D2850">
        <v>5.4031409999999997</v>
      </c>
      <c r="E2850">
        <v>0.548369</v>
      </c>
      <c r="F2850" t="s">
        <v>64</v>
      </c>
      <c r="G2850">
        <v>-412.3931</v>
      </c>
      <c r="H2850" s="1">
        <v>2.844507E-6</v>
      </c>
      <c r="I2850">
        <v>212.16550000000001</v>
      </c>
      <c r="J2850">
        <v>-428.35879999999997</v>
      </c>
      <c r="K2850">
        <v>1.1195200000000001</v>
      </c>
      <c r="L2850">
        <v>213.63050000000001</v>
      </c>
      <c r="M2850">
        <v>0.99999340000000003</v>
      </c>
      <c r="N2850">
        <v>-3.1904099999999999E-3</v>
      </c>
      <c r="O2850">
        <v>-1.7564779999999999E-3</v>
      </c>
      <c r="P2850">
        <v>0.98007169999999999</v>
      </c>
      <c r="Q2850">
        <v>0.19863890000000001</v>
      </c>
      <c r="R2850">
        <v>-1.494897E-3</v>
      </c>
      <c r="S2850">
        <v>3.1033330000000001</v>
      </c>
      <c r="T2850">
        <v>-0.21244689999999999</v>
      </c>
      <c r="U2850">
        <v>-0.27813719999999997</v>
      </c>
      <c r="V2850">
        <v>-1.815036E-4</v>
      </c>
      <c r="W2850">
        <v>0.20176450000000001</v>
      </c>
      <c r="X2850">
        <v>0.97943400000000003</v>
      </c>
      <c r="Y2850">
        <v>8.7309380000000006E-2</v>
      </c>
      <c r="Z2850">
        <v>-3.0045050000000002E-3</v>
      </c>
      <c r="AA2850">
        <v>0.99617670000000003</v>
      </c>
      <c r="AB2850">
        <v>42</v>
      </c>
      <c r="AC2850">
        <v>15.965699999999901</v>
      </c>
      <c r="AD2850">
        <v>-1.1195171554929999</v>
      </c>
      <c r="AE2850">
        <v>-1.4650000000000001</v>
      </c>
      <c r="AF2850">
        <v>1.42998191807157</v>
      </c>
      <c r="AG2850">
        <v>-1.1195171554929999</v>
      </c>
      <c r="AH2850">
        <v>15.890768708442</v>
      </c>
      <c r="AI2850">
        <v>94.013709192108607</v>
      </c>
      <c r="AJ2850">
        <v>84.857905223047098</v>
      </c>
      <c r="AK2850">
        <v>15.9942082358788</v>
      </c>
      <c r="AL2850">
        <v>78.359838263426198</v>
      </c>
      <c r="AM2850">
        <v>90.010617754874104</v>
      </c>
      <c r="AN2850">
        <v>0.999999953379902</v>
      </c>
    </row>
    <row r="2851" spans="1:40" x14ac:dyDescent="0.25">
      <c r="A2851" t="str">
        <f>"20190303170553407"</f>
        <v>20190303170553407</v>
      </c>
      <c r="B2851" t="str">
        <f>"1551603953397478"</f>
        <v>1551603953397478</v>
      </c>
      <c r="C2851" t="s">
        <v>40</v>
      </c>
      <c r="D2851">
        <v>5.3774259999999998</v>
      </c>
      <c r="E2851">
        <v>0.55076650000000005</v>
      </c>
      <c r="F2851" t="s">
        <v>42</v>
      </c>
      <c r="G2851">
        <v>-427.56079999999997</v>
      </c>
      <c r="H2851">
        <v>1.034689</v>
      </c>
      <c r="I2851">
        <v>213.5421</v>
      </c>
      <c r="J2851">
        <v>-427.84449999999998</v>
      </c>
      <c r="K2851">
        <v>1.1195389999999901</v>
      </c>
      <c r="L2851">
        <v>213.62960000000001</v>
      </c>
      <c r="M2851">
        <v>0.99999329999999997</v>
      </c>
      <c r="N2851">
        <v>-3.244842E-3</v>
      </c>
      <c r="O2851">
        <v>-1.773197E-3</v>
      </c>
      <c r="P2851">
        <v>0.98007</v>
      </c>
      <c r="Q2851">
        <v>0.19865060000000001</v>
      </c>
      <c r="R2851">
        <v>-1.004823E-3</v>
      </c>
      <c r="S2851">
        <v>3.127869</v>
      </c>
      <c r="T2851">
        <v>-0.33253670000000002</v>
      </c>
      <c r="U2851">
        <v>-0.34559630000000002</v>
      </c>
      <c r="V2851">
        <v>-6.9522720000000004E-4</v>
      </c>
      <c r="W2851">
        <v>0.20182990000000001</v>
      </c>
      <c r="X2851">
        <v>0.97942039999999997</v>
      </c>
      <c r="Y2851">
        <v>0.107451</v>
      </c>
      <c r="Z2851">
        <v>-5.6722609999999996E-3</v>
      </c>
      <c r="AA2851">
        <v>0.99419420000000003</v>
      </c>
      <c r="AB2851">
        <v>42</v>
      </c>
      <c r="AC2851">
        <v>0.28370000000001</v>
      </c>
      <c r="AD2851">
        <v>-8.4849999999999801E-2</v>
      </c>
      <c r="AE2851">
        <v>-8.7500000000005601E-2</v>
      </c>
      <c r="AF2851">
        <v>8.0427411808392898E-2</v>
      </c>
      <c r="AG2851">
        <v>-8.4849999999999801E-2</v>
      </c>
      <c r="AH2851">
        <v>0.26241998097298902</v>
      </c>
      <c r="AI2851">
        <v>107.178640231047</v>
      </c>
      <c r="AJ2851">
        <v>72.960558564425895</v>
      </c>
      <c r="AK2851">
        <v>0.28728441914601099</v>
      </c>
      <c r="AL2851">
        <v>78.356013621777905</v>
      </c>
      <c r="AM2851">
        <v>90.0406705615611</v>
      </c>
      <c r="AN2851">
        <v>1.00000005590551</v>
      </c>
    </row>
    <row r="2852" spans="1:40" x14ac:dyDescent="0.25">
      <c r="A2852" t="str">
        <f>"20190303170553424"</f>
        <v>20190303170553424</v>
      </c>
      <c r="B2852" t="str">
        <f>"1551603953417973"</f>
        <v>1551603953417973</v>
      </c>
      <c r="C2852" t="s">
        <v>40</v>
      </c>
      <c r="D2852">
        <v>5.4057550000000001</v>
      </c>
      <c r="E2852">
        <v>0.55161870000000002</v>
      </c>
      <c r="F2852" t="s">
        <v>42</v>
      </c>
      <c r="G2852">
        <v>-426.83600000000001</v>
      </c>
      <c r="H2852">
        <v>0.97038849999999999</v>
      </c>
      <c r="I2852">
        <v>213.5153</v>
      </c>
      <c r="J2852">
        <v>-427.5043</v>
      </c>
      <c r="K2852">
        <v>1.1195409999999999</v>
      </c>
      <c r="L2852">
        <v>213.62899999999999</v>
      </c>
      <c r="M2852">
        <v>0.99999309999999997</v>
      </c>
      <c r="N2852">
        <v>-3.2808070000000002E-3</v>
      </c>
      <c r="O2852">
        <v>-1.7794239999999999E-3</v>
      </c>
      <c r="P2852">
        <v>0.9801261</v>
      </c>
      <c r="Q2852">
        <v>0.19837550000000001</v>
      </c>
      <c r="R2852">
        <v>-3.5364549999999999E-4</v>
      </c>
      <c r="S2852">
        <v>3.1552730000000002</v>
      </c>
      <c r="T2852">
        <v>-0.46682099999999999</v>
      </c>
      <c r="U2852">
        <v>-0.35612490000000002</v>
      </c>
      <c r="V2852">
        <v>-1.357069E-3</v>
      </c>
      <c r="W2852">
        <v>0.2015903</v>
      </c>
      <c r="X2852">
        <v>0.97946900000000003</v>
      </c>
      <c r="Y2852">
        <v>0.109204</v>
      </c>
      <c r="Z2852">
        <v>-7.9350449999999999E-3</v>
      </c>
      <c r="AA2852">
        <v>0.99398770000000003</v>
      </c>
      <c r="AB2852">
        <v>42</v>
      </c>
      <c r="AC2852">
        <v>0.66829999999998702</v>
      </c>
      <c r="AD2852">
        <v>-0.14915249999999899</v>
      </c>
      <c r="AE2852">
        <v>-0.11370000000002201</v>
      </c>
      <c r="AF2852">
        <v>0.10731558728401699</v>
      </c>
      <c r="AG2852">
        <v>-0.14915249999999899</v>
      </c>
      <c r="AH2852">
        <v>0.63763405407999896</v>
      </c>
      <c r="AI2852">
        <v>102.98929221382799</v>
      </c>
      <c r="AJ2852">
        <v>80.446492957362395</v>
      </c>
      <c r="AK2852">
        <v>0.66358141207606003</v>
      </c>
      <c r="AL2852">
        <v>78.370029203652706</v>
      </c>
      <c r="AM2852">
        <v>90.079384111650597</v>
      </c>
      <c r="AN2852">
        <v>1.00000000632568</v>
      </c>
    </row>
    <row r="2853" spans="1:40" x14ac:dyDescent="0.25">
      <c r="A2853" t="str">
        <f>"20190303170553447"</f>
        <v>20190303170553447</v>
      </c>
      <c r="B2853" t="str">
        <f>"1551603953437493"</f>
        <v>1551603953437493</v>
      </c>
      <c r="C2853" t="s">
        <v>40</v>
      </c>
      <c r="D2853">
        <v>5.4021619999999997</v>
      </c>
      <c r="E2853">
        <v>0.55208630000000003</v>
      </c>
      <c r="F2853" t="s">
        <v>42</v>
      </c>
      <c r="G2853">
        <v>-426.46499999999997</v>
      </c>
      <c r="H2853">
        <v>0.95190560000000002</v>
      </c>
      <c r="I2853">
        <v>213.5111</v>
      </c>
      <c r="J2853">
        <v>-427.07299999999998</v>
      </c>
      <c r="K2853">
        <v>1.119542</v>
      </c>
      <c r="L2853">
        <v>213.62819999999999</v>
      </c>
      <c r="M2853">
        <v>0.99999300000000002</v>
      </c>
      <c r="N2853">
        <v>-3.3264570000000001E-3</v>
      </c>
      <c r="O2853">
        <v>-1.7839959999999999E-3</v>
      </c>
      <c r="P2853">
        <v>0.98008240000000002</v>
      </c>
      <c r="Q2853">
        <v>0.19859199999999999</v>
      </c>
      <c r="R2853">
        <v>-5.012657E-4</v>
      </c>
      <c r="S2853">
        <v>3.1640929999999998</v>
      </c>
      <c r="T2853">
        <v>-0.51047679999999995</v>
      </c>
      <c r="U2853">
        <v>-0.3585663</v>
      </c>
      <c r="V2853">
        <v>-1.2182880000000001E-3</v>
      </c>
      <c r="W2853">
        <v>0.20185139999999999</v>
      </c>
      <c r="X2853">
        <v>0.97941540000000005</v>
      </c>
      <c r="Y2853">
        <v>0.1094253</v>
      </c>
      <c r="Z2853">
        <v>-8.6474469999999904E-3</v>
      </c>
      <c r="AA2853">
        <v>0.99395739999999999</v>
      </c>
      <c r="AB2853">
        <v>42</v>
      </c>
      <c r="AC2853">
        <v>0.60800000000006005</v>
      </c>
      <c r="AD2853">
        <v>-0.16763639999999999</v>
      </c>
      <c r="AE2853">
        <v>-0.117099999999993</v>
      </c>
      <c r="AF2853">
        <v>0.10809187106159</v>
      </c>
      <c r="AG2853">
        <v>-0.16763639999999999</v>
      </c>
      <c r="AH2853">
        <v>0.56667030860772305</v>
      </c>
      <c r="AI2853">
        <v>106.20321581338099</v>
      </c>
      <c r="AJ2853">
        <v>79.200611854844297</v>
      </c>
      <c r="AK2853">
        <v>0.60075040894878096</v>
      </c>
      <c r="AL2853">
        <v>78.354755202204103</v>
      </c>
      <c r="AM2853">
        <v>90.071269784639099</v>
      </c>
      <c r="AN2853">
        <v>0.999999998832385</v>
      </c>
    </row>
    <row r="2854" spans="1:40" x14ac:dyDescent="0.25">
      <c r="A2854" t="str">
        <f>"20190303170553480"</f>
        <v>20190303170553480</v>
      </c>
      <c r="B2854" t="str">
        <f>"1551603953467750"</f>
        <v>1551603953467750</v>
      </c>
      <c r="C2854" t="s">
        <v>40</v>
      </c>
      <c r="D2854">
        <v>5.4362899999999996</v>
      </c>
      <c r="E2854">
        <v>0.55253479999999999</v>
      </c>
      <c r="F2854" t="s">
        <v>42</v>
      </c>
      <c r="G2854">
        <v>-426.08420000000001</v>
      </c>
      <c r="H2854">
        <v>0.95202830000000005</v>
      </c>
      <c r="I2854">
        <v>213.5153</v>
      </c>
      <c r="J2854">
        <v>-426.44869999999997</v>
      </c>
      <c r="K2854">
        <v>1.119564</v>
      </c>
      <c r="L2854">
        <v>213.62710000000001</v>
      </c>
      <c r="M2854">
        <v>0.99999280000000002</v>
      </c>
      <c r="N2854">
        <v>-3.3926109999999998E-3</v>
      </c>
      <c r="O2854">
        <v>-1.7883560000000001E-3</v>
      </c>
      <c r="P2854">
        <v>0.97989150000000003</v>
      </c>
      <c r="Q2854">
        <v>0.19953199999999999</v>
      </c>
      <c r="R2854">
        <v>-2.6416219999999998E-4</v>
      </c>
      <c r="S2854">
        <v>3.1696469999999999</v>
      </c>
      <c r="T2854">
        <v>-0.53710400000000003</v>
      </c>
      <c r="U2854">
        <v>-0.36067199999999999</v>
      </c>
      <c r="V2854">
        <v>-1.4645649999999999E-3</v>
      </c>
      <c r="W2854">
        <v>0.20285539999999999</v>
      </c>
      <c r="X2854">
        <v>0.97920759999999996</v>
      </c>
      <c r="Y2854">
        <v>0.1097308</v>
      </c>
      <c r="Z2854">
        <v>-9.0963329999999998E-3</v>
      </c>
      <c r="AA2854">
        <v>0.99391969999999996</v>
      </c>
      <c r="AB2854">
        <v>42</v>
      </c>
      <c r="AC2854">
        <v>0.36449999999996402</v>
      </c>
      <c r="AD2854">
        <v>-0.16753569999999901</v>
      </c>
      <c r="AE2854">
        <v>-0.111800000000016</v>
      </c>
      <c r="AF2854">
        <v>9.3159345192818196E-2</v>
      </c>
      <c r="AG2854">
        <v>-0.16753569999999901</v>
      </c>
      <c r="AH2854">
        <v>0.305675000121021</v>
      </c>
      <c r="AI2854">
        <v>117.666985706012</v>
      </c>
      <c r="AJ2854">
        <v>73.050561392590595</v>
      </c>
      <c r="AK2854">
        <v>0.36081031037129602</v>
      </c>
      <c r="AL2854">
        <v>78.296014961671503</v>
      </c>
      <c r="AM2854">
        <v>90.0856951383455</v>
      </c>
      <c r="AN2854">
        <v>0.99999999107877902</v>
      </c>
    </row>
    <row r="2855" spans="1:40" x14ac:dyDescent="0.25">
      <c r="A2855" t="str">
        <f>"20190303170553501"</f>
        <v>20190303170553501</v>
      </c>
      <c r="B2855" t="str">
        <f>"1551603953487270"</f>
        <v>1551603953487270</v>
      </c>
      <c r="C2855" t="s">
        <v>40</v>
      </c>
      <c r="D2855">
        <v>5.4260570000000001</v>
      </c>
      <c r="E2855">
        <v>0.55284169999999999</v>
      </c>
      <c r="F2855" t="s">
        <v>42</v>
      </c>
      <c r="G2855">
        <v>-425.68650000000002</v>
      </c>
      <c r="H2855">
        <v>0.98596229999999996</v>
      </c>
      <c r="I2855">
        <v>213.53970000000001</v>
      </c>
      <c r="J2855">
        <v>-426.02890000000002</v>
      </c>
      <c r="K2855">
        <v>1.119569</v>
      </c>
      <c r="L2855">
        <v>213.62639999999999</v>
      </c>
      <c r="M2855">
        <v>0.99999249999999995</v>
      </c>
      <c r="N2855">
        <v>-3.4368419999999998E-3</v>
      </c>
      <c r="O2855">
        <v>-1.790076E-3</v>
      </c>
      <c r="P2855">
        <v>0.97975900000000005</v>
      </c>
      <c r="Q2855">
        <v>0.20018089999999999</v>
      </c>
      <c r="R2855">
        <v>2.45221E-4</v>
      </c>
      <c r="S2855">
        <v>3.174744</v>
      </c>
      <c r="T2855">
        <v>-0.55639589999999906</v>
      </c>
      <c r="U2855">
        <v>-0.36402889999999999</v>
      </c>
      <c r="V2855">
        <v>-1.9778899999999999E-3</v>
      </c>
      <c r="W2855">
        <v>0.20354729999999999</v>
      </c>
      <c r="X2855">
        <v>0.97906309999999996</v>
      </c>
      <c r="Y2855">
        <v>0.1104695</v>
      </c>
      <c r="Z2855">
        <v>-9.4640290000000005E-3</v>
      </c>
      <c r="AA2855">
        <v>0.99383440000000001</v>
      </c>
      <c r="AB2855">
        <v>43</v>
      </c>
      <c r="AC2855">
        <v>0.34239999999999698</v>
      </c>
      <c r="AD2855">
        <v>-0.13360669999999999</v>
      </c>
      <c r="AE2855">
        <v>-8.6699999999979099E-2</v>
      </c>
      <c r="AF2855">
        <v>7.5310931285594199E-2</v>
      </c>
      <c r="AG2855">
        <v>-0.13360669999999999</v>
      </c>
      <c r="AH2855">
        <v>0.29967508677385601</v>
      </c>
      <c r="AI2855">
        <v>113.38333886933199</v>
      </c>
      <c r="AJ2855">
        <v>75.893210600333205</v>
      </c>
      <c r="AK2855">
        <v>0.33664171501599599</v>
      </c>
      <c r="AL2855">
        <v>78.255527238297304</v>
      </c>
      <c r="AM2855">
        <v>90.115747999466294</v>
      </c>
      <c r="AN2855">
        <v>0.99999998458387496</v>
      </c>
    </row>
    <row r="2856" spans="1:40" x14ac:dyDescent="0.25">
      <c r="A2856" t="str">
        <f>"20190303170553524"</f>
        <v>20190303170553524</v>
      </c>
      <c r="B2856" t="str">
        <f>"1551603953517526"</f>
        <v>1551603953517526</v>
      </c>
      <c r="C2856" t="s">
        <v>40</v>
      </c>
      <c r="D2856">
        <v>5.4189470000000002</v>
      </c>
      <c r="E2856">
        <v>0.55316509999999997</v>
      </c>
      <c r="F2856" t="s">
        <v>42</v>
      </c>
      <c r="G2856">
        <v>-425.30099999999999</v>
      </c>
      <c r="H2856">
        <v>0.99011119999999997</v>
      </c>
      <c r="I2856">
        <v>213.54230000000001</v>
      </c>
      <c r="J2856">
        <v>-425.59809999999999</v>
      </c>
      <c r="K2856">
        <v>1.1195759999999999</v>
      </c>
      <c r="L2856">
        <v>213.62559999999999</v>
      </c>
      <c r="M2856">
        <v>0.99999229999999995</v>
      </c>
      <c r="N2856">
        <v>-3.4822780000000001E-3</v>
      </c>
      <c r="O2856">
        <v>-1.7918020000000001E-3</v>
      </c>
      <c r="P2856">
        <v>0.97981070000000003</v>
      </c>
      <c r="Q2856">
        <v>0.19992770000000001</v>
      </c>
      <c r="R2856">
        <v>4.5142970000000001E-4</v>
      </c>
      <c r="S2856">
        <v>3.177521</v>
      </c>
      <c r="T2856">
        <v>-0.56520939999999997</v>
      </c>
      <c r="U2856">
        <v>-0.3652802</v>
      </c>
      <c r="V2856">
        <v>-2.1890059999999999E-3</v>
      </c>
      <c r="W2856">
        <v>0.20333860000000001</v>
      </c>
      <c r="X2856">
        <v>0.97910600000000003</v>
      </c>
      <c r="Y2856">
        <v>0.1107023</v>
      </c>
      <c r="Z2856">
        <v>-9.6235709999999992E-3</v>
      </c>
      <c r="AA2856">
        <v>0.993807</v>
      </c>
      <c r="AB2856">
        <v>43</v>
      </c>
      <c r="AC2856">
        <v>0.29709999999999998</v>
      </c>
      <c r="AD2856">
        <v>-0.12946479999999999</v>
      </c>
      <c r="AE2856">
        <v>-8.3299999999979904E-2</v>
      </c>
      <c r="AF2856">
        <v>7.0377620431973403E-2</v>
      </c>
      <c r="AG2856">
        <v>-0.12946479999999999</v>
      </c>
      <c r="AH2856">
        <v>0.25275207264363297</v>
      </c>
      <c r="AI2856">
        <v>116.26397171555099</v>
      </c>
      <c r="AJ2856">
        <v>74.440389929500299</v>
      </c>
      <c r="AK2856">
        <v>0.29257093861550798</v>
      </c>
      <c r="AL2856">
        <v>78.267740091493494</v>
      </c>
      <c r="AM2856">
        <v>90.128097056049</v>
      </c>
      <c r="AN2856">
        <v>0.999999968616613</v>
      </c>
    </row>
    <row r="2857" spans="1:40" x14ac:dyDescent="0.25">
      <c r="A2857" t="str">
        <f>"20190303170553548"</f>
        <v>20190303170553548</v>
      </c>
      <c r="B2857" t="str">
        <f>"1551603953537046"</f>
        <v>1551603953537046</v>
      </c>
      <c r="C2857" t="s">
        <v>40</v>
      </c>
      <c r="D2857">
        <v>5.4189999999999996</v>
      </c>
      <c r="E2857">
        <v>0.55331669999999999</v>
      </c>
      <c r="F2857" t="s">
        <v>42</v>
      </c>
      <c r="G2857">
        <v>-424.55770000000001</v>
      </c>
      <c r="H2857">
        <v>0.93047489999999999</v>
      </c>
      <c r="I2857">
        <v>213.50540000000001</v>
      </c>
      <c r="J2857">
        <v>-425.13639999999998</v>
      </c>
      <c r="K2857">
        <v>1.11958</v>
      </c>
      <c r="L2857">
        <v>213.62479999999999</v>
      </c>
      <c r="M2857">
        <v>0.99999229999999995</v>
      </c>
      <c r="N2857">
        <v>-3.5309E-3</v>
      </c>
      <c r="O2857">
        <v>-1.793776E-3</v>
      </c>
      <c r="P2857">
        <v>0.97995699999999997</v>
      </c>
      <c r="Q2857">
        <v>0.19920940000000001</v>
      </c>
      <c r="R2857">
        <v>4.9125679999999998E-4</v>
      </c>
      <c r="S2857">
        <v>3.179932</v>
      </c>
      <c r="T2857">
        <v>-0.57806630000000003</v>
      </c>
      <c r="U2857">
        <v>-0.36619570000000001</v>
      </c>
      <c r="V2857">
        <v>-2.233676E-3</v>
      </c>
      <c r="W2857">
        <v>0.2026686</v>
      </c>
      <c r="X2857">
        <v>0.97924480000000003</v>
      </c>
      <c r="Y2857">
        <v>0.11081969999999999</v>
      </c>
      <c r="Z2857">
        <v>-9.8405109999999997E-3</v>
      </c>
      <c r="AA2857">
        <v>0.9937918</v>
      </c>
      <c r="AB2857">
        <v>43</v>
      </c>
      <c r="AC2857">
        <v>0.57869999999996902</v>
      </c>
      <c r="AD2857">
        <v>-0.1891051</v>
      </c>
      <c r="AE2857">
        <v>-0.11939999999998401</v>
      </c>
      <c r="AF2857">
        <v>0.10736516051888</v>
      </c>
      <c r="AG2857">
        <v>-0.1891051</v>
      </c>
      <c r="AH2857">
        <v>0.52512840646876102</v>
      </c>
      <c r="AI2857">
        <v>109.433528251307</v>
      </c>
      <c r="AJ2857">
        <v>78.444840459399302</v>
      </c>
      <c r="AK2857">
        <v>0.56837299356995796</v>
      </c>
      <c r="AL2857">
        <v>78.3069445336684</v>
      </c>
      <c r="AM2857">
        <v>90.130692535347606</v>
      </c>
      <c r="AN2857">
        <v>0.99999996453073503</v>
      </c>
    </row>
    <row r="2858" spans="1:40" x14ac:dyDescent="0.25">
      <c r="A2858" t="str">
        <f>"20190303170553570"</f>
        <v>20190303170553570</v>
      </c>
      <c r="B2858" t="str">
        <f>"1551603953557541"</f>
        <v>1551603953557541</v>
      </c>
      <c r="C2858" t="s">
        <v>40</v>
      </c>
      <c r="D2858">
        <v>5.4327959999999997</v>
      </c>
      <c r="E2858">
        <v>0.55351879999999998</v>
      </c>
      <c r="F2858" t="s">
        <v>42</v>
      </c>
      <c r="G2858">
        <v>-424.166</v>
      </c>
      <c r="H2858">
        <v>0.94085529999999995</v>
      </c>
      <c r="I2858">
        <v>213.51259999999999</v>
      </c>
      <c r="J2858">
        <v>-424.70830000000001</v>
      </c>
      <c r="K2858">
        <v>1.119583</v>
      </c>
      <c r="L2858">
        <v>213.624</v>
      </c>
      <c r="M2858">
        <v>0.99999210000000005</v>
      </c>
      <c r="N2858">
        <v>-3.5759609999999999E-3</v>
      </c>
      <c r="O2858">
        <v>-1.7950329999999999E-3</v>
      </c>
      <c r="P2858">
        <v>0.98004389999999997</v>
      </c>
      <c r="Q2858">
        <v>0.19878100000000001</v>
      </c>
      <c r="R2858">
        <v>7.8733920000000003E-4</v>
      </c>
      <c r="S2858">
        <v>3.1806640000000002</v>
      </c>
      <c r="T2858">
        <v>-0.58586689999999997</v>
      </c>
      <c r="U2858">
        <v>-0.36666870000000001</v>
      </c>
      <c r="V2858">
        <v>-2.5327230000000002E-3</v>
      </c>
      <c r="W2858">
        <v>0.2022843</v>
      </c>
      <c r="X2858">
        <v>0.97932359999999896</v>
      </c>
      <c r="Y2858">
        <v>0.1108895</v>
      </c>
      <c r="Z2858">
        <v>-9.9750510000000004E-3</v>
      </c>
      <c r="AA2858">
        <v>0.99378270000000002</v>
      </c>
      <c r="AB2858">
        <v>43</v>
      </c>
      <c r="AC2858">
        <v>0.542300000000011</v>
      </c>
      <c r="AD2858">
        <v>-0.17872769999999999</v>
      </c>
      <c r="AE2858">
        <v>-0.111400000000031</v>
      </c>
      <c r="AF2858">
        <v>0.100003885144819</v>
      </c>
      <c r="AG2858">
        <v>-0.17872769999999999</v>
      </c>
      <c r="AH2858">
        <v>0.49129585705655798</v>
      </c>
      <c r="AI2858">
        <v>109.62004690637001</v>
      </c>
      <c r="AJ2858">
        <v>78.494556077770596</v>
      </c>
      <c r="AK2858">
        <v>0.53227435308521698</v>
      </c>
      <c r="AL2858">
        <v>78.329429832591799</v>
      </c>
      <c r="AM2858">
        <v>90.148177798481399</v>
      </c>
      <c r="AN2858">
        <v>1.0000000331146199</v>
      </c>
    </row>
    <row r="2859" spans="1:40" x14ac:dyDescent="0.25">
      <c r="A2859" t="str">
        <f>"20190303170553591"</f>
        <v>20190303170553591</v>
      </c>
      <c r="B2859" t="str">
        <f>"1551603953577061"</f>
        <v>1551603953577061</v>
      </c>
      <c r="C2859" t="s">
        <v>40</v>
      </c>
      <c r="D2859">
        <v>5.4273559999999996</v>
      </c>
      <c r="E2859">
        <v>0.5543093</v>
      </c>
      <c r="F2859" t="s">
        <v>42</v>
      </c>
      <c r="G2859">
        <v>-423.77510000000001</v>
      </c>
      <c r="H2859">
        <v>0.94616599999999995</v>
      </c>
      <c r="I2859">
        <v>213.5154</v>
      </c>
      <c r="J2859">
        <v>-424.30130000000003</v>
      </c>
      <c r="K2859">
        <v>1.1195949999999999</v>
      </c>
      <c r="L2859">
        <v>213.6233</v>
      </c>
      <c r="M2859">
        <v>0.99999190000000004</v>
      </c>
      <c r="N2859">
        <v>-3.6185829999999999E-3</v>
      </c>
      <c r="O2859">
        <v>-1.7965310000000001E-3</v>
      </c>
      <c r="P2859">
        <v>0.97984389999999999</v>
      </c>
      <c r="Q2859">
        <v>0.19976260000000001</v>
      </c>
      <c r="R2859">
        <v>1.024077E-3</v>
      </c>
      <c r="S2859">
        <v>3.181305</v>
      </c>
      <c r="T2859">
        <v>-0.59123329999999996</v>
      </c>
      <c r="U2859">
        <v>-0.3684692</v>
      </c>
      <c r="V2859">
        <v>-2.771215E-3</v>
      </c>
      <c r="W2859">
        <v>0.20330690000000001</v>
      </c>
      <c r="X2859">
        <v>0.97911110000000001</v>
      </c>
      <c r="Y2859">
        <v>0.1113789</v>
      </c>
      <c r="Z2859">
        <v>-1.0108860000000001E-2</v>
      </c>
      <c r="AA2859">
        <v>0.99372660000000002</v>
      </c>
      <c r="AB2859">
        <v>43</v>
      </c>
      <c r="AC2859">
        <v>0.52620000000001699</v>
      </c>
      <c r="AD2859">
        <v>-0.173429</v>
      </c>
      <c r="AE2859">
        <v>-0.1079</v>
      </c>
      <c r="AF2859">
        <v>9.6857589823273305E-2</v>
      </c>
      <c r="AG2859">
        <v>-0.173429</v>
      </c>
      <c r="AH2859">
        <v>0.47669956994629298</v>
      </c>
      <c r="AI2859">
        <v>109.622524245318</v>
      </c>
      <c r="AJ2859">
        <v>78.514777833074604</v>
      </c>
      <c r="AK2859">
        <v>0.51643149665212595</v>
      </c>
      <c r="AL2859">
        <v>78.269595021537299</v>
      </c>
      <c r="AM2859">
        <v>90.162165968338698</v>
      </c>
      <c r="AN2859">
        <v>0.99999996068169705</v>
      </c>
    </row>
    <row r="2860" spans="1:40" x14ac:dyDescent="0.25">
      <c r="A2860" t="str">
        <f>"20190303170553614"</f>
        <v>20190303170553614</v>
      </c>
      <c r="B2860" t="str">
        <f>"1551603953607317"</f>
        <v>1551603953607317</v>
      </c>
      <c r="C2860" t="s">
        <v>40</v>
      </c>
      <c r="D2860">
        <v>5.4302449999999904</v>
      </c>
      <c r="E2860">
        <v>0.55527839999999995</v>
      </c>
      <c r="F2860" t="s">
        <v>42</v>
      </c>
      <c r="G2860">
        <v>-423.38380000000001</v>
      </c>
      <c r="H2860">
        <v>0.94947559999999998</v>
      </c>
      <c r="I2860">
        <v>213.5147</v>
      </c>
      <c r="J2860">
        <v>-423.85809999999998</v>
      </c>
      <c r="K2860">
        <v>1.1195999999999999</v>
      </c>
      <c r="L2860">
        <v>213.6225</v>
      </c>
      <c r="M2860">
        <v>0.99999170000000004</v>
      </c>
      <c r="N2860">
        <v>-3.666112E-3</v>
      </c>
      <c r="O2860">
        <v>-1.800191E-3</v>
      </c>
      <c r="P2860">
        <v>0.97967649999999995</v>
      </c>
      <c r="Q2860">
        <v>0.20057449999999999</v>
      </c>
      <c r="R2860">
        <v>1.946265E-3</v>
      </c>
      <c r="S2860">
        <v>3.1824340000000002</v>
      </c>
      <c r="T2860">
        <v>-0.59014650000000002</v>
      </c>
      <c r="U2860">
        <v>-0.37567139999999999</v>
      </c>
      <c r="V2860">
        <v>-3.6972889999999999E-3</v>
      </c>
      <c r="W2860">
        <v>0.20416500000000001</v>
      </c>
      <c r="X2860">
        <v>0.97892950000000001</v>
      </c>
      <c r="Y2860">
        <v>0.11352470000000001</v>
      </c>
      <c r="Z2860">
        <v>-1.0289E-2</v>
      </c>
      <c r="AA2860">
        <v>0.99348190000000003</v>
      </c>
      <c r="AB2860">
        <v>43</v>
      </c>
      <c r="AC2860">
        <v>0.47429999999997102</v>
      </c>
      <c r="AD2860">
        <v>-0.17012439999999901</v>
      </c>
      <c r="AE2860">
        <v>-0.107799999999997</v>
      </c>
      <c r="AF2860">
        <v>9.5288781753136903E-2</v>
      </c>
      <c r="AG2860">
        <v>-0.17012439999999901</v>
      </c>
      <c r="AH2860">
        <v>0.42277310522012201</v>
      </c>
      <c r="AI2860">
        <v>111.432674365412</v>
      </c>
      <c r="AJ2860">
        <v>77.298355902186103</v>
      </c>
      <c r="AK2860">
        <v>0.46557422813212201</v>
      </c>
      <c r="AL2860">
        <v>78.219376582865294</v>
      </c>
      <c r="AM2860">
        <v>90.216397654858795</v>
      </c>
      <c r="AN2860">
        <v>0.99999999157059904</v>
      </c>
    </row>
    <row r="2861" spans="1:40" x14ac:dyDescent="0.25">
      <c r="A2861" t="str">
        <f>"20190303170553636"</f>
        <v>20190303170553636</v>
      </c>
      <c r="B2861" t="str">
        <f>"1551603953627814"</f>
        <v>1551603953627814</v>
      </c>
      <c r="C2861" t="s">
        <v>40</v>
      </c>
      <c r="D2861">
        <v>5.411022</v>
      </c>
      <c r="E2861">
        <v>0.55585340000000005</v>
      </c>
      <c r="F2861" t="s">
        <v>42</v>
      </c>
      <c r="G2861">
        <v>-422.98860000000002</v>
      </c>
      <c r="H2861">
        <v>0.95852530000000002</v>
      </c>
      <c r="I2861">
        <v>213.5179</v>
      </c>
      <c r="J2861">
        <v>-423.40140000000002</v>
      </c>
      <c r="K2861">
        <v>1.119605</v>
      </c>
      <c r="L2861">
        <v>213.6216</v>
      </c>
      <c r="M2861">
        <v>0.99999150000000003</v>
      </c>
      <c r="N2861">
        <v>-3.7194979999999999E-3</v>
      </c>
      <c r="O2861">
        <v>-1.810791E-3</v>
      </c>
      <c r="P2861">
        <v>0.97974810000000001</v>
      </c>
      <c r="Q2861">
        <v>0.20020550000000001</v>
      </c>
      <c r="R2861">
        <v>3.4206470000000002E-3</v>
      </c>
      <c r="S2861">
        <v>3.1837770000000001</v>
      </c>
      <c r="T2861">
        <v>-0.58994840000000004</v>
      </c>
      <c r="U2861">
        <v>-0.381546</v>
      </c>
      <c r="V2861">
        <v>-5.181092E-3</v>
      </c>
      <c r="W2861">
        <v>0.2038489</v>
      </c>
      <c r="X2861">
        <v>0.97898859999999999</v>
      </c>
      <c r="Y2861">
        <v>0.1152463</v>
      </c>
      <c r="Z2861">
        <v>-1.044258E-2</v>
      </c>
      <c r="AA2861">
        <v>0.99328209999999995</v>
      </c>
      <c r="AB2861">
        <v>44</v>
      </c>
      <c r="AC2861">
        <v>0.412800000000004</v>
      </c>
      <c r="AD2861">
        <v>-0.16107969999999899</v>
      </c>
      <c r="AE2861">
        <v>-0.103700000000003</v>
      </c>
      <c r="AF2861">
        <v>9.0054136481501207E-2</v>
      </c>
      <c r="AG2861">
        <v>-0.16107969999999899</v>
      </c>
      <c r="AH2861">
        <v>0.36124677184892301</v>
      </c>
      <c r="AI2861">
        <v>113.396127115383</v>
      </c>
      <c r="AJ2861">
        <v>76.002209954396903</v>
      </c>
      <c r="AK2861">
        <v>0.40565459127290399</v>
      </c>
      <c r="AL2861">
        <v>78.237876334220303</v>
      </c>
      <c r="AM2861">
        <v>90.3032230747596</v>
      </c>
      <c r="AN2861">
        <v>0.99999994833773898</v>
      </c>
    </row>
    <row r="2862" spans="1:40" x14ac:dyDescent="0.25">
      <c r="A2862" t="str">
        <f>"20190303170553659"</f>
        <v>20190303170553659</v>
      </c>
      <c r="B2862" t="str">
        <f>"1551603953647333"</f>
        <v>1551603953647333</v>
      </c>
      <c r="C2862" t="s">
        <v>40</v>
      </c>
      <c r="D2862">
        <v>5.4398989999999996</v>
      </c>
      <c r="E2862">
        <v>0.55637969999999903</v>
      </c>
      <c r="F2862" t="s">
        <v>42</v>
      </c>
      <c r="G2862">
        <v>-422.59160000000003</v>
      </c>
      <c r="H2862">
        <v>0.96888289999999999</v>
      </c>
      <c r="I2862">
        <v>213.5241</v>
      </c>
      <c r="J2862">
        <v>-422.97469999999998</v>
      </c>
      <c r="K2862">
        <v>1.119599</v>
      </c>
      <c r="L2862">
        <v>213.62090000000001</v>
      </c>
      <c r="M2862">
        <v>0.99999119999999997</v>
      </c>
      <c r="N2862">
        <v>-3.775816E-3</v>
      </c>
      <c r="O2862">
        <v>-1.8315499999999999E-3</v>
      </c>
      <c r="P2862">
        <v>0.97974030000000001</v>
      </c>
      <c r="Q2862">
        <v>0.20023099999999999</v>
      </c>
      <c r="R2862">
        <v>4.0979529999999997E-3</v>
      </c>
      <c r="S2862">
        <v>3.1844790000000001</v>
      </c>
      <c r="T2862">
        <v>-0.59280489999999997</v>
      </c>
      <c r="U2862">
        <v>-0.38284299999999999</v>
      </c>
      <c r="V2862">
        <v>-5.8756169999999996E-3</v>
      </c>
      <c r="W2862">
        <v>0.2039292</v>
      </c>
      <c r="X2862">
        <v>0.97896799999999995</v>
      </c>
      <c r="Y2862">
        <v>0.115575</v>
      </c>
      <c r="Z2862">
        <v>-1.051931E-2</v>
      </c>
      <c r="AA2862">
        <v>0.99324299999999999</v>
      </c>
      <c r="AB2862">
        <v>44</v>
      </c>
      <c r="AC2862">
        <v>0.38309999999995598</v>
      </c>
      <c r="AD2862">
        <v>-0.15071609999999999</v>
      </c>
      <c r="AE2862">
        <v>-9.6800000000001704E-2</v>
      </c>
      <c r="AF2862">
        <v>8.3893031804762402E-2</v>
      </c>
      <c r="AG2862">
        <v>-0.15071609999999999</v>
      </c>
      <c r="AH2862">
        <v>0.33459785770299399</v>
      </c>
      <c r="AI2862">
        <v>113.601266868126</v>
      </c>
      <c r="AJ2862">
        <v>75.924508741554504</v>
      </c>
      <c r="AK2862">
        <v>0.37644270475603298</v>
      </c>
      <c r="AL2862">
        <v>78.233177299807707</v>
      </c>
      <c r="AM2862">
        <v>90.343876422883397</v>
      </c>
      <c r="AN2862">
        <v>0.99999999325588496</v>
      </c>
    </row>
    <row r="2863" spans="1:40" x14ac:dyDescent="0.25">
      <c r="A2863" t="str">
        <f>"20190303170553679"</f>
        <v>20190303170553679</v>
      </c>
      <c r="B2863" t="str">
        <f>"1551603953667830"</f>
        <v>1551603953667830</v>
      </c>
      <c r="C2863" t="s">
        <v>40</v>
      </c>
      <c r="D2863">
        <v>5.4072789999999999</v>
      </c>
      <c r="E2863">
        <v>0.5568476</v>
      </c>
      <c r="F2863" t="s">
        <v>42</v>
      </c>
      <c r="G2863">
        <v>-422.19569999999999</v>
      </c>
      <c r="H2863">
        <v>0.97415940000000001</v>
      </c>
      <c r="I2863">
        <v>213.5264</v>
      </c>
      <c r="J2863">
        <v>-422.56900000000002</v>
      </c>
      <c r="K2863">
        <v>1.1195870000000001</v>
      </c>
      <c r="L2863">
        <v>213.62010000000001</v>
      </c>
      <c r="M2863">
        <v>0.99999090000000002</v>
      </c>
      <c r="N2863">
        <v>-3.8345139999999998E-3</v>
      </c>
      <c r="O2863">
        <v>-1.864847E-3</v>
      </c>
      <c r="P2863">
        <v>0.97993249999999998</v>
      </c>
      <c r="Q2863">
        <v>0.19928370000000001</v>
      </c>
      <c r="R2863">
        <v>4.2468549999999999E-3</v>
      </c>
      <c r="S2863">
        <v>3.1852109999999998</v>
      </c>
      <c r="T2863">
        <v>-0.59481689999999998</v>
      </c>
      <c r="U2863">
        <v>-0.38421630000000001</v>
      </c>
      <c r="V2863">
        <v>-6.0536779999999998E-3</v>
      </c>
      <c r="W2863">
        <v>0.20304030000000001</v>
      </c>
      <c r="X2863">
        <v>0.97915169999999996</v>
      </c>
      <c r="Y2863">
        <v>0.1159188</v>
      </c>
      <c r="Z2863">
        <v>-1.0581E-2</v>
      </c>
      <c r="AA2863">
        <v>0.99320229999999998</v>
      </c>
      <c r="AB2863">
        <v>44</v>
      </c>
      <c r="AC2863">
        <v>0.373300000000028</v>
      </c>
      <c r="AD2863">
        <v>-0.14542759999999999</v>
      </c>
      <c r="AE2863">
        <v>-9.3700000000012496E-2</v>
      </c>
      <c r="AF2863">
        <v>8.13842860951738E-2</v>
      </c>
      <c r="AG2863">
        <v>-0.14542759999999999</v>
      </c>
      <c r="AH2863">
        <v>0.32681417083778602</v>
      </c>
      <c r="AI2863">
        <v>113.35461489984</v>
      </c>
      <c r="AJ2863">
        <v>76.016447045533397</v>
      </c>
      <c r="AK2863">
        <v>0.36685159278020202</v>
      </c>
      <c r="AL2863">
        <v>78.285196295324994</v>
      </c>
      <c r="AM2863">
        <v>90.354230892590707</v>
      </c>
      <c r="AN2863">
        <v>1.00000003102715</v>
      </c>
    </row>
    <row r="2864" spans="1:40" x14ac:dyDescent="0.25">
      <c r="A2864" t="str">
        <f>"20190303170553701"</f>
        <v>20190303170553701</v>
      </c>
      <c r="B2864" t="str">
        <f>"1551603953697112"</f>
        <v>1551603953697112</v>
      </c>
      <c r="C2864" t="s">
        <v>40</v>
      </c>
      <c r="D2864">
        <v>5.4194589999999998</v>
      </c>
      <c r="E2864">
        <v>0.55746700000000005</v>
      </c>
      <c r="F2864" t="s">
        <v>42</v>
      </c>
      <c r="G2864">
        <v>-421.80070000000001</v>
      </c>
      <c r="H2864">
        <v>0.97498070000000003</v>
      </c>
      <c r="I2864">
        <v>213.52690000000001</v>
      </c>
      <c r="J2864">
        <v>-422.12240000000003</v>
      </c>
      <c r="K2864">
        <v>1.1195790000000001</v>
      </c>
      <c r="L2864">
        <v>213.61930000000001</v>
      </c>
      <c r="M2864">
        <v>0.99999059999999995</v>
      </c>
      <c r="N2864">
        <v>-3.9017409999999998E-3</v>
      </c>
      <c r="O2864">
        <v>-1.919406E-3</v>
      </c>
      <c r="P2864">
        <v>0.97992619999999997</v>
      </c>
      <c r="Q2864">
        <v>0.19931360000000001</v>
      </c>
      <c r="R2864">
        <v>4.3846279999999998E-3</v>
      </c>
      <c r="S2864">
        <v>3.1850589999999999</v>
      </c>
      <c r="T2864">
        <v>-0.59946739999999998</v>
      </c>
      <c r="U2864">
        <v>-0.38703920000000003</v>
      </c>
      <c r="V2864">
        <v>-6.2379760000000001E-3</v>
      </c>
      <c r="W2864">
        <v>0.2031365</v>
      </c>
      <c r="X2864">
        <v>0.97913059999999996</v>
      </c>
      <c r="Y2864">
        <v>0.116693699999999</v>
      </c>
      <c r="Z2864">
        <v>-1.072822E-2</v>
      </c>
      <c r="AA2864">
        <v>0.99311000000000005</v>
      </c>
      <c r="AB2864">
        <v>44</v>
      </c>
      <c r="AC2864">
        <v>0.32170000000002102</v>
      </c>
      <c r="AD2864">
        <v>-0.14459830000000001</v>
      </c>
      <c r="AE2864">
        <v>-9.2399999999997803E-2</v>
      </c>
      <c r="AF2864">
        <v>7.7346625755455298E-2</v>
      </c>
      <c r="AG2864">
        <v>-0.14459830000000001</v>
      </c>
      <c r="AH2864">
        <v>0.27125129001417603</v>
      </c>
      <c r="AI2864">
        <v>117.14170399655001</v>
      </c>
      <c r="AJ2864">
        <v>74.084632406981399</v>
      </c>
      <c r="AK2864">
        <v>0.31696755545796701</v>
      </c>
      <c r="AL2864">
        <v>78.279567249590201</v>
      </c>
      <c r="AM2864">
        <v>90.365022666038698</v>
      </c>
      <c r="AN2864">
        <v>1.0000000409165899</v>
      </c>
    </row>
    <row r="2865" spans="1:40" x14ac:dyDescent="0.25">
      <c r="A2865" t="str">
        <f>"20190303170553726"</f>
        <v>20190303170553726</v>
      </c>
      <c r="B2865" t="str">
        <f>"1551603953717605"</f>
        <v>1551603953717605</v>
      </c>
      <c r="C2865" t="s">
        <v>40</v>
      </c>
      <c r="D2865">
        <v>5.3965389999999998</v>
      </c>
      <c r="E2865">
        <v>0.5578651</v>
      </c>
      <c r="F2865" t="s">
        <v>42</v>
      </c>
      <c r="G2865">
        <v>-421.4008</v>
      </c>
      <c r="H2865">
        <v>0.9835026</v>
      </c>
      <c r="I2865">
        <v>213.5301</v>
      </c>
      <c r="J2865">
        <v>-421.65589999999997</v>
      </c>
      <c r="K2865">
        <v>1.11957</v>
      </c>
      <c r="L2865">
        <v>213.6183</v>
      </c>
      <c r="M2865">
        <v>0.99999020000000005</v>
      </c>
      <c r="N2865">
        <v>-3.9725539999999997E-3</v>
      </c>
      <c r="O2865">
        <v>-2.0032100000000001E-3</v>
      </c>
      <c r="P2865">
        <v>0.97979620000000001</v>
      </c>
      <c r="Q2865">
        <v>0.19994680000000001</v>
      </c>
      <c r="R2865">
        <v>4.5974120000000004E-3</v>
      </c>
      <c r="S2865">
        <v>3.185425</v>
      </c>
      <c r="T2865">
        <v>-0.60071619999999903</v>
      </c>
      <c r="U2865">
        <v>-0.39215090000000002</v>
      </c>
      <c r="V2865">
        <v>-6.5227369999999998E-3</v>
      </c>
      <c r="W2865">
        <v>0.20383860000000001</v>
      </c>
      <c r="X2865">
        <v>0.97898269999999998</v>
      </c>
      <c r="Y2865">
        <v>0.1181345</v>
      </c>
      <c r="Z2865">
        <v>-1.087367E-2</v>
      </c>
      <c r="AA2865">
        <v>0.99293799999999999</v>
      </c>
      <c r="AB2865">
        <v>44</v>
      </c>
      <c r="AC2865">
        <v>0.25509999999997002</v>
      </c>
      <c r="AD2865">
        <v>-0.13606740000000001</v>
      </c>
      <c r="AE2865">
        <v>-8.82000000000005E-2</v>
      </c>
      <c r="AF2865">
        <v>6.9920305485302606E-2</v>
      </c>
      <c r="AG2865">
        <v>-0.13606740000000001</v>
      </c>
      <c r="AH2865">
        <v>0.20354923250110801</v>
      </c>
      <c r="AI2865">
        <v>122.301668884433</v>
      </c>
      <c r="AJ2865">
        <v>71.042115349555601</v>
      </c>
      <c r="AK2865">
        <v>0.25462811414631398</v>
      </c>
      <c r="AL2865">
        <v>78.238478846331205</v>
      </c>
      <c r="AM2865">
        <v>90.381742977602897</v>
      </c>
      <c r="AN2865">
        <v>0.99999992392360704</v>
      </c>
    </row>
    <row r="2866" spans="1:40" x14ac:dyDescent="0.25">
      <c r="A2866" t="str">
        <f>"20190303170553748"</f>
        <v>20190303170553748</v>
      </c>
      <c r="B2866" t="str">
        <f>"1551603953737129"</f>
        <v>1551603953737129</v>
      </c>
      <c r="C2866" t="s">
        <v>40</v>
      </c>
      <c r="D2866">
        <v>5.4050880000000001</v>
      </c>
      <c r="E2866">
        <v>0.55821980000000004</v>
      </c>
      <c r="F2866" t="s">
        <v>42</v>
      </c>
      <c r="G2866">
        <v>-420.63130000000001</v>
      </c>
      <c r="H2866">
        <v>0.92681159999999996</v>
      </c>
      <c r="I2866">
        <v>213.49100000000001</v>
      </c>
      <c r="J2866">
        <v>-421.202</v>
      </c>
      <c r="K2866">
        <v>1.1195469999999901</v>
      </c>
      <c r="L2866">
        <v>213.6173</v>
      </c>
      <c r="M2866">
        <v>0.99998969999999998</v>
      </c>
      <c r="N2866">
        <v>-4.0404250000000003E-3</v>
      </c>
      <c r="O2866">
        <v>-2.1138519999999998E-3</v>
      </c>
      <c r="P2866">
        <v>0.97994740000000002</v>
      </c>
      <c r="Q2866">
        <v>0.19921140000000001</v>
      </c>
      <c r="R2866">
        <v>4.3310329999999998E-3</v>
      </c>
      <c r="S2866">
        <v>3.186096</v>
      </c>
      <c r="T2866">
        <v>-0.59936619999999996</v>
      </c>
      <c r="U2866">
        <v>-0.39538570000000001</v>
      </c>
      <c r="V2866">
        <v>-6.3546509999999898E-3</v>
      </c>
      <c r="W2866">
        <v>0.20317060000000001</v>
      </c>
      <c r="X2866">
        <v>0.97912279999999996</v>
      </c>
      <c r="Y2866">
        <v>0.11898839999999999</v>
      </c>
      <c r="Z2866">
        <v>-1.091253E-2</v>
      </c>
      <c r="AA2866">
        <v>0.99283560000000004</v>
      </c>
      <c r="AB2866">
        <v>44</v>
      </c>
      <c r="AC2866">
        <v>0.570699999999987</v>
      </c>
      <c r="AD2866">
        <v>-0.192735399999999</v>
      </c>
      <c r="AE2866">
        <v>-0.12630000000001401</v>
      </c>
      <c r="AF2866">
        <v>0.11282599054982401</v>
      </c>
      <c r="AG2866">
        <v>-0.192735399999999</v>
      </c>
      <c r="AH2866">
        <v>0.51497366006167999</v>
      </c>
      <c r="AI2866">
        <v>110.08196481417799</v>
      </c>
      <c r="AJ2866">
        <v>77.642279410938599</v>
      </c>
      <c r="AK2866">
        <v>0.56131498208584396</v>
      </c>
      <c r="AL2866">
        <v>78.277572150243103</v>
      </c>
      <c r="AM2866">
        <v>90.371852816188706</v>
      </c>
      <c r="AN2866">
        <v>1.00000006588676</v>
      </c>
    </row>
    <row r="2867" spans="1:40" x14ac:dyDescent="0.25">
      <c r="A2867" t="str">
        <f>"20190303170553791"</f>
        <v>20190303170553791</v>
      </c>
      <c r="B2867" t="str">
        <f>"1551603953787877"</f>
        <v>1551603953787877</v>
      </c>
      <c r="C2867" t="s">
        <v>40</v>
      </c>
      <c r="D2867">
        <v>5.4702149999999996</v>
      </c>
      <c r="E2867">
        <v>0.52609269999999997</v>
      </c>
      <c r="F2867" t="s">
        <v>42</v>
      </c>
      <c r="G2867">
        <v>-420.22809999999998</v>
      </c>
      <c r="H2867">
        <v>0.93533180000000005</v>
      </c>
      <c r="I2867">
        <v>213.49539999999999</v>
      </c>
      <c r="J2867">
        <v>-420.3329</v>
      </c>
      <c r="K2867">
        <v>1.119507</v>
      </c>
      <c r="L2867">
        <v>213.61519999999999</v>
      </c>
      <c r="M2867">
        <v>0.99998860000000001</v>
      </c>
      <c r="N2867">
        <v>-4.1657509999999997E-3</v>
      </c>
      <c r="O2867">
        <v>-2.3956960000000001E-3</v>
      </c>
      <c r="P2867">
        <v>0.97992349999999995</v>
      </c>
      <c r="Q2867">
        <v>0.1993414</v>
      </c>
      <c r="R2867">
        <v>3.6324019999999999E-3</v>
      </c>
      <c r="S2867">
        <v>3.185638</v>
      </c>
      <c r="T2867">
        <v>-0.60265609999999903</v>
      </c>
      <c r="U2867">
        <v>-0.39888000000000001</v>
      </c>
      <c r="V2867">
        <v>-5.9103289999999998E-3</v>
      </c>
      <c r="W2867">
        <v>0.20342360000000001</v>
      </c>
      <c r="X2867">
        <v>0.97907299999999997</v>
      </c>
      <c r="Y2867">
        <v>0.11976530000000001</v>
      </c>
      <c r="Z2867">
        <v>-1.10014E-2</v>
      </c>
      <c r="AA2867">
        <v>0.99274130000000005</v>
      </c>
      <c r="AB2867">
        <v>45</v>
      </c>
      <c r="AC2867">
        <v>0.104800000000011</v>
      </c>
      <c r="AD2867">
        <v>-0.18417519999999901</v>
      </c>
      <c r="AE2867">
        <v>-0.11979999999999701</v>
      </c>
      <c r="AF2867">
        <v>5.1113713652883398E-2</v>
      </c>
      <c r="AG2867">
        <v>-0.18417519999999901</v>
      </c>
      <c r="AH2867">
        <v>4.4930450643171298E-2</v>
      </c>
      <c r="AI2867">
        <v>159.720362246272</v>
      </c>
      <c r="AJ2867">
        <v>41.316417186981198</v>
      </c>
      <c r="AK2867">
        <v>0.19634627934704299</v>
      </c>
      <c r="AL2867">
        <v>78.262766555786897</v>
      </c>
      <c r="AM2867">
        <v>90.345870832791704</v>
      </c>
      <c r="AN2867">
        <v>1.0000000161774201</v>
      </c>
    </row>
    <row r="2868" spans="1:40" x14ac:dyDescent="0.25">
      <c r="A2868" t="str">
        <f>"20190303170553816"</f>
        <v>20190303170553816</v>
      </c>
      <c r="B2868" t="str">
        <f>"1551603953807398"</f>
        <v>1551603953807398</v>
      </c>
      <c r="C2868" t="s">
        <v>40</v>
      </c>
      <c r="D2868">
        <v>5.4290729999999998</v>
      </c>
      <c r="E2868">
        <v>0.51561539999999995</v>
      </c>
      <c r="F2868" t="s">
        <v>42</v>
      </c>
      <c r="G2868">
        <v>-419.39479999999998</v>
      </c>
      <c r="H2868">
        <v>1.001897</v>
      </c>
      <c r="I2868">
        <v>213.56880000000001</v>
      </c>
      <c r="J2868">
        <v>-419.8578</v>
      </c>
      <c r="K2868">
        <v>1.1194930000000001</v>
      </c>
      <c r="L2868">
        <v>213.614</v>
      </c>
      <c r="M2868">
        <v>0.99998779999999998</v>
      </c>
      <c r="N2868">
        <v>-4.2300769999999996E-3</v>
      </c>
      <c r="O2868">
        <v>-2.5868330000000002E-3</v>
      </c>
      <c r="P2868">
        <v>0.97970789999999996</v>
      </c>
      <c r="Q2868">
        <v>0.2004126</v>
      </c>
      <c r="R2868">
        <v>2.7455729999999999E-3</v>
      </c>
      <c r="S2868">
        <v>3.1421510000000001</v>
      </c>
      <c r="T2868">
        <v>-0.39386320000000002</v>
      </c>
      <c r="U2868">
        <v>-0.15563959999999999</v>
      </c>
      <c r="V2868">
        <v>-5.1975800000000003E-3</v>
      </c>
      <c r="W2868">
        <v>0.20455699999999999</v>
      </c>
      <c r="X2868">
        <v>0.97884090000000001</v>
      </c>
      <c r="Y2868">
        <v>4.6531570000000001E-2</v>
      </c>
      <c r="Z2868">
        <v>-2.6901780000000001E-3</v>
      </c>
      <c r="AA2868">
        <v>0.99891319999999995</v>
      </c>
      <c r="AB2868">
        <v>45</v>
      </c>
      <c r="AC2868">
        <v>0.46300000000002201</v>
      </c>
      <c r="AD2868">
        <v>-0.11759600000000001</v>
      </c>
      <c r="AE2868">
        <v>-4.5199999999994099E-2</v>
      </c>
      <c r="AF2868">
        <v>4.1359260557736401E-2</v>
      </c>
      <c r="AG2868">
        <v>-0.11759600000000001</v>
      </c>
      <c r="AH2868">
        <v>0.43529955444994101</v>
      </c>
      <c r="AI2868">
        <v>105.052867718904</v>
      </c>
      <c r="AJ2868">
        <v>84.572430536249399</v>
      </c>
      <c r="AK2868">
        <v>0.452796985142569</v>
      </c>
      <c r="AL2868">
        <v>78.196433045193899</v>
      </c>
      <c r="AM2868">
        <v>90.304233914696397</v>
      </c>
      <c r="AN2868">
        <v>1.00000004429983</v>
      </c>
    </row>
    <row r="2869" spans="1:40" x14ac:dyDescent="0.25">
      <c r="A2869" t="str">
        <f>"20190303170553838"</f>
        <v>20190303170553838</v>
      </c>
      <c r="B2869" t="str">
        <f>"1551603953827895"</f>
        <v>1551603953827895</v>
      </c>
      <c r="C2869" t="s">
        <v>40</v>
      </c>
      <c r="D2869">
        <v>5.6084969999999998</v>
      </c>
      <c r="E2869">
        <v>0.51193729999999904</v>
      </c>
      <c r="F2869" t="s">
        <v>42</v>
      </c>
      <c r="G2869">
        <v>-418.96820000000002</v>
      </c>
      <c r="H2869">
        <v>1.04681</v>
      </c>
      <c r="I2869">
        <v>213.59119999999999</v>
      </c>
      <c r="J2869">
        <v>-419.40039999999999</v>
      </c>
      <c r="K2869">
        <v>1.11947</v>
      </c>
      <c r="L2869">
        <v>213.61269999999999</v>
      </c>
      <c r="M2869">
        <v>0.99998690000000001</v>
      </c>
      <c r="N2869">
        <v>-4.2868899999999998E-3</v>
      </c>
      <c r="O2869">
        <v>-2.789864E-3</v>
      </c>
      <c r="P2869">
        <v>0.97970749999999995</v>
      </c>
      <c r="Q2869">
        <v>0.2004254</v>
      </c>
      <c r="R2869">
        <v>1.6865059999999999E-3</v>
      </c>
      <c r="S2869">
        <v>3.114471</v>
      </c>
      <c r="T2869">
        <v>-0.2545637</v>
      </c>
      <c r="U2869">
        <v>-7.9055790000000001E-2</v>
      </c>
      <c r="V2869">
        <v>-4.3260979999999996E-3</v>
      </c>
      <c r="W2869">
        <v>0.20462559999999999</v>
      </c>
      <c r="X2869">
        <v>0.9788308</v>
      </c>
      <c r="Y2869">
        <v>2.2515469999999999E-2</v>
      </c>
      <c r="Z2869">
        <v>-7.5115960000000004E-4</v>
      </c>
      <c r="AA2869">
        <v>0.99974620000000003</v>
      </c>
      <c r="AB2869">
        <v>45</v>
      </c>
      <c r="AC2869">
        <v>0.432199999999966</v>
      </c>
      <c r="AD2869">
        <v>-7.2659999999999905E-2</v>
      </c>
      <c r="AE2869">
        <v>-2.15000000000031E-2</v>
      </c>
      <c r="AF2869">
        <v>1.9737653887076798E-2</v>
      </c>
      <c r="AG2869">
        <v>-7.2659999999999905E-2</v>
      </c>
      <c r="AH2869">
        <v>0.42040562505328</v>
      </c>
      <c r="AI2869">
        <v>99.795155338240306</v>
      </c>
      <c r="AJ2869">
        <v>87.311990156902198</v>
      </c>
      <c r="AK2869">
        <v>0.427094767185697</v>
      </c>
      <c r="AL2869">
        <v>78.192417604924401</v>
      </c>
      <c r="AM2869">
        <v>90.253226138045704</v>
      </c>
      <c r="AN2869">
        <v>1.00000004316395</v>
      </c>
    </row>
    <row r="2870" spans="1:40" x14ac:dyDescent="0.25">
      <c r="A2870" t="str">
        <f>"20190303170553858"</f>
        <v>20190303170553858</v>
      </c>
      <c r="B2870" t="str">
        <f>"1551603953847414"</f>
        <v>1551603953847414</v>
      </c>
      <c r="C2870" t="s">
        <v>40</v>
      </c>
      <c r="D2870">
        <v>5.4413019999999896</v>
      </c>
      <c r="E2870">
        <v>0.51045410000000002</v>
      </c>
      <c r="F2870" t="s">
        <v>64</v>
      </c>
      <c r="G2870">
        <v>-401.2226</v>
      </c>
      <c r="H2870" s="1">
        <v>8.1338720000000002E-6</v>
      </c>
      <c r="I2870">
        <v>213.2912</v>
      </c>
      <c r="J2870">
        <v>-418.9828</v>
      </c>
      <c r="K2870">
        <v>1.1194500000000001</v>
      </c>
      <c r="L2870">
        <v>213.6114</v>
      </c>
      <c r="M2870">
        <v>0.99998620000000005</v>
      </c>
      <c r="N2870">
        <v>-4.3336049999999999E-3</v>
      </c>
      <c r="O2870">
        <v>-2.9878449999999998E-3</v>
      </c>
      <c r="P2870">
        <v>0.97992389999999996</v>
      </c>
      <c r="Q2870">
        <v>0.1993694</v>
      </c>
      <c r="R2870">
        <v>1.0689919999999999E-3</v>
      </c>
      <c r="S2870">
        <v>3.1012879999999998</v>
      </c>
      <c r="T2870">
        <v>-0.1909903</v>
      </c>
      <c r="U2870">
        <v>-5.4840090000000001E-2</v>
      </c>
      <c r="V2870">
        <v>-3.8956640000000001E-3</v>
      </c>
      <c r="W2870">
        <v>0.2036164</v>
      </c>
      <c r="X2870">
        <v>0.979043</v>
      </c>
      <c r="Y2870">
        <v>1.4667909999999999E-2</v>
      </c>
      <c r="Z2870">
        <v>-3.1213220000000003E-4</v>
      </c>
      <c r="AA2870">
        <v>0.99989240000000001</v>
      </c>
      <c r="AB2870">
        <v>45</v>
      </c>
      <c r="AC2870">
        <v>17.760199999999902</v>
      </c>
      <c r="AD2870">
        <v>-1.1194418661279999</v>
      </c>
      <c r="AE2870">
        <v>-0.32019999999999899</v>
      </c>
      <c r="AF2870">
        <v>0.26607659889663399</v>
      </c>
      <c r="AG2870">
        <v>-1.1194418661279999</v>
      </c>
      <c r="AH2870">
        <v>17.6908164741489</v>
      </c>
      <c r="AI2870">
        <v>93.620334194586405</v>
      </c>
      <c r="AJ2870">
        <v>89.138314685584305</v>
      </c>
      <c r="AK2870">
        <v>17.728196026954901</v>
      </c>
      <c r="AL2870">
        <v>78.251483659450599</v>
      </c>
      <c r="AM2870">
        <v>90.227981740965703</v>
      </c>
      <c r="AN2870">
        <v>1.00000000519798</v>
      </c>
    </row>
    <row r="2871" spans="1:40" x14ac:dyDescent="0.25">
      <c r="A2871" t="str">
        <f>"20190303170553881"</f>
        <v>20190303170553881</v>
      </c>
      <c r="B2871" t="str">
        <f>"1551603953867910"</f>
        <v>1551603953867910</v>
      </c>
      <c r="C2871" t="s">
        <v>40</v>
      </c>
      <c r="D2871">
        <v>5.4389770000000004</v>
      </c>
      <c r="E2871">
        <v>0.50948400000000005</v>
      </c>
      <c r="F2871" t="s">
        <v>60</v>
      </c>
      <c r="G2871">
        <v>-397.9348</v>
      </c>
      <c r="H2871" s="1">
        <v>2.6857399999999998E-6</v>
      </c>
      <c r="I2871">
        <v>213.29740000000001</v>
      </c>
      <c r="J2871">
        <v>-418.52699999999999</v>
      </c>
      <c r="K2871">
        <v>1.1194249999999999</v>
      </c>
      <c r="L2871">
        <v>213.60990000000001</v>
      </c>
      <c r="M2871">
        <v>0.99998529999999997</v>
      </c>
      <c r="N2871">
        <v>-4.377644E-3</v>
      </c>
      <c r="O2871">
        <v>-3.21252E-3</v>
      </c>
      <c r="P2871">
        <v>0.97985699999999998</v>
      </c>
      <c r="Q2871">
        <v>0.19969919999999999</v>
      </c>
      <c r="R2871">
        <v>7.3722000000000002E-4</v>
      </c>
      <c r="S2871">
        <v>3.0949710000000001</v>
      </c>
      <c r="T2871">
        <v>-0.1646078</v>
      </c>
      <c r="U2871">
        <v>-4.6173100000000002E-2</v>
      </c>
      <c r="V2871">
        <v>-3.7753859999999999E-3</v>
      </c>
      <c r="W2871">
        <v>0.2039889</v>
      </c>
      <c r="X2871">
        <v>0.97896589999999994</v>
      </c>
      <c r="Y2871">
        <v>1.169076E-2</v>
      </c>
      <c r="Z2871">
        <v>-1.795884E-4</v>
      </c>
      <c r="AA2871">
        <v>0.99993160000000003</v>
      </c>
      <c r="AB2871">
        <v>45</v>
      </c>
      <c r="AC2871">
        <v>20.592199999999899</v>
      </c>
      <c r="AD2871">
        <v>-1.1194223142599999</v>
      </c>
      <c r="AE2871">
        <v>-0.3125</v>
      </c>
      <c r="AF2871">
        <v>0.245619222627186</v>
      </c>
      <c r="AG2871">
        <v>-1.1194223142599999</v>
      </c>
      <c r="AH2871">
        <v>20.532434802701601</v>
      </c>
      <c r="AI2871">
        <v>93.120436748074596</v>
      </c>
      <c r="AJ2871">
        <v>89.3146320087818</v>
      </c>
      <c r="AK2871">
        <v>20.5643943272682</v>
      </c>
      <c r="AL2871">
        <v>78.229683126905101</v>
      </c>
      <c r="AM2871">
        <v>90.220960312773201</v>
      </c>
      <c r="AN2871">
        <v>0.99999997911273397</v>
      </c>
    </row>
    <row r="2872" spans="1:40" x14ac:dyDescent="0.25">
      <c r="A2872" t="str">
        <f>"20190303170553903"</f>
        <v>20190303170553903</v>
      </c>
      <c r="B2872" t="str">
        <f>"1551603953897190"</f>
        <v>1551603953897190</v>
      </c>
      <c r="C2872" t="s">
        <v>40</v>
      </c>
      <c r="D2872">
        <v>5.4422969999999999</v>
      </c>
      <c r="E2872">
        <v>0.50850689999999998</v>
      </c>
      <c r="F2872" t="s">
        <v>60</v>
      </c>
      <c r="G2872">
        <v>-394.87490000000003</v>
      </c>
      <c r="H2872" s="1">
        <v>1.0573889999999999E-6</v>
      </c>
      <c r="I2872">
        <v>213.3038</v>
      </c>
      <c r="J2872">
        <v>-418.08339999999998</v>
      </c>
      <c r="K2872">
        <v>1.119424</v>
      </c>
      <c r="L2872">
        <v>213.60830000000001</v>
      </c>
      <c r="M2872">
        <v>0.99998450000000005</v>
      </c>
      <c r="N2872">
        <v>-4.4142230000000001E-3</v>
      </c>
      <c r="O2872">
        <v>-3.4376419999999999E-3</v>
      </c>
      <c r="P2872">
        <v>0.9796975</v>
      </c>
      <c r="Q2872">
        <v>0.20048099999999999</v>
      </c>
      <c r="R2872">
        <v>-6.0924139999999998E-4</v>
      </c>
      <c r="S2872">
        <v>3.0915219999999999</v>
      </c>
      <c r="T2872">
        <v>-0.14631759999999999</v>
      </c>
      <c r="U2872">
        <v>-4.0008540000000002E-2</v>
      </c>
      <c r="V2872">
        <v>-2.6410489999999999E-3</v>
      </c>
      <c r="W2872">
        <v>0.20480480000000001</v>
      </c>
      <c r="X2872">
        <v>0.97879930000000004</v>
      </c>
      <c r="Y2872">
        <v>9.4943719999999992E-3</v>
      </c>
      <c r="Z2872" s="1">
        <v>-9.807812E-5</v>
      </c>
      <c r="AA2872">
        <v>0.99995489999999998</v>
      </c>
      <c r="AB2872">
        <v>45</v>
      </c>
      <c r="AC2872">
        <v>23.208499999999901</v>
      </c>
      <c r="AD2872">
        <v>-1.1194229426109901</v>
      </c>
      <c r="AE2872">
        <v>-0.30450000000001798</v>
      </c>
      <c r="AF2872">
        <v>0.22419343548897799</v>
      </c>
      <c r="AG2872">
        <v>-1.1194229426109901</v>
      </c>
      <c r="AH2872">
        <v>23.155548615750298</v>
      </c>
      <c r="AI2872">
        <v>92.767600810833201</v>
      </c>
      <c r="AJ2872">
        <v>89.445276097754103</v>
      </c>
      <c r="AK2872">
        <v>23.183675336696201</v>
      </c>
      <c r="AL2872">
        <v>78.181927837253696</v>
      </c>
      <c r="AM2872">
        <v>90.154598183666806</v>
      </c>
      <c r="AN2872">
        <v>1.0000000254616701</v>
      </c>
    </row>
    <row r="2873" spans="1:40" x14ac:dyDescent="0.25">
      <c r="A2873" t="str">
        <f>"20190303170553926"</f>
        <v>20190303170553926</v>
      </c>
      <c r="B2873" t="str">
        <f>"1551603953917686"</f>
        <v>1551603953917686</v>
      </c>
      <c r="C2873" t="s">
        <v>40</v>
      </c>
      <c r="D2873">
        <v>5.4505749999999997</v>
      </c>
      <c r="E2873">
        <v>0.50797530000000002</v>
      </c>
      <c r="F2873" t="s">
        <v>60</v>
      </c>
      <c r="G2873">
        <v>-391.84399999999999</v>
      </c>
      <c r="H2873" s="1">
        <v>-5.554847E-7</v>
      </c>
      <c r="I2873">
        <v>213.30189999999999</v>
      </c>
      <c r="J2873">
        <v>-417.5976</v>
      </c>
      <c r="K2873">
        <v>1.119413</v>
      </c>
      <c r="L2873">
        <v>213.60650000000001</v>
      </c>
      <c r="M2873">
        <v>0.99998330000000002</v>
      </c>
      <c r="N2873">
        <v>-4.4500920000000001E-3</v>
      </c>
      <c r="O2873">
        <v>-3.6885080000000001E-3</v>
      </c>
      <c r="P2873">
        <v>0.97950470000000001</v>
      </c>
      <c r="Q2873">
        <v>0.2014204</v>
      </c>
      <c r="R2873">
        <v>-7.129498E-4</v>
      </c>
      <c r="S2873">
        <v>3.0891419999999998</v>
      </c>
      <c r="T2873">
        <v>-0.13178909999999999</v>
      </c>
      <c r="U2873">
        <v>-3.6071779999999998E-2</v>
      </c>
      <c r="V2873">
        <v>-2.77582E-3</v>
      </c>
      <c r="W2873">
        <v>0.20577880000000001</v>
      </c>
      <c r="X2873">
        <v>0.97859459999999998</v>
      </c>
      <c r="Y2873">
        <v>7.9824630000000004E-3</v>
      </c>
      <c r="Z2873" s="1">
        <v>-4.7087710000000001E-5</v>
      </c>
      <c r="AA2873">
        <v>0.99996810000000003</v>
      </c>
      <c r="AB2873">
        <v>45</v>
      </c>
      <c r="AC2873">
        <v>25.753599999999999</v>
      </c>
      <c r="AD2873">
        <v>-1.1194135554847</v>
      </c>
      <c r="AE2873">
        <v>-0.30460000000002202</v>
      </c>
      <c r="AF2873">
        <v>0.20920942009278101</v>
      </c>
      <c r="AG2873">
        <v>-1.1194135554847</v>
      </c>
      <c r="AH2873">
        <v>25.705988324216499</v>
      </c>
      <c r="AI2873">
        <v>92.493390084791301</v>
      </c>
      <c r="AJ2873">
        <v>89.533705842691305</v>
      </c>
      <c r="AK2873">
        <v>25.731200730133299</v>
      </c>
      <c r="AL2873">
        <v>78.124907013330102</v>
      </c>
      <c r="AM2873">
        <v>90.162521174897506</v>
      </c>
      <c r="AN2873">
        <v>1.0000000054276299</v>
      </c>
    </row>
    <row r="2874" spans="1:40" x14ac:dyDescent="0.25">
      <c r="A2874" t="str">
        <f>"20190303170553949"</f>
        <v>20190303170553949</v>
      </c>
      <c r="B2874" t="str">
        <f>"1551603953937209"</f>
        <v>1551603953937209</v>
      </c>
      <c r="C2874" t="s">
        <v>40</v>
      </c>
      <c r="D2874">
        <v>5.4664519999999897</v>
      </c>
      <c r="E2874">
        <v>0.50771920000000004</v>
      </c>
      <c r="F2874" t="s">
        <v>60</v>
      </c>
      <c r="G2874">
        <v>-390.96390000000002</v>
      </c>
      <c r="H2874" s="1">
        <v>-1.023868E-6</v>
      </c>
      <c r="I2874">
        <v>213.3296</v>
      </c>
      <c r="J2874">
        <v>-417.13389999999998</v>
      </c>
      <c r="K2874">
        <v>1.119397</v>
      </c>
      <c r="L2874">
        <v>213.60470000000001</v>
      </c>
      <c r="M2874">
        <v>0.99998229999999999</v>
      </c>
      <c r="N2874">
        <v>-4.4827979999999996E-3</v>
      </c>
      <c r="O2874">
        <v>-3.9299390000000003E-3</v>
      </c>
      <c r="P2874">
        <v>0.97948740000000001</v>
      </c>
      <c r="Q2874">
        <v>0.20150580000000001</v>
      </c>
      <c r="R2874">
        <v>-3.9207750000000001E-4</v>
      </c>
      <c r="S2874">
        <v>3.0894780000000002</v>
      </c>
      <c r="T2874">
        <v>-0.12985070000000001</v>
      </c>
      <c r="U2874">
        <v>-3.2119750000000002E-2</v>
      </c>
      <c r="V2874">
        <v>-3.3268260000000002E-3</v>
      </c>
      <c r="W2874">
        <v>0.20589640000000001</v>
      </c>
      <c r="X2874">
        <v>0.97856810000000005</v>
      </c>
      <c r="Y2874">
        <v>6.4625469999999999E-3</v>
      </c>
      <c r="Z2874" s="1">
        <v>-2.7525820000000001E-6</v>
      </c>
      <c r="AA2874">
        <v>0.99997910000000001</v>
      </c>
      <c r="AB2874">
        <v>46</v>
      </c>
      <c r="AC2874">
        <v>26.169999999999899</v>
      </c>
      <c r="AD2874">
        <v>-1.1193980238679999</v>
      </c>
      <c r="AE2874">
        <v>-0.275100000000009</v>
      </c>
      <c r="AF2874">
        <v>0.17193580280675499</v>
      </c>
      <c r="AG2874">
        <v>-1.1193980238679999</v>
      </c>
      <c r="AH2874">
        <v>26.123088916890701</v>
      </c>
      <c r="AI2874">
        <v>92.453621896471503</v>
      </c>
      <c r="AJ2874">
        <v>89.622898592376103</v>
      </c>
      <c r="AK2874">
        <v>26.1476268218725</v>
      </c>
      <c r="AL2874">
        <v>78.118021048547604</v>
      </c>
      <c r="AM2874">
        <v>90.194787010345607</v>
      </c>
      <c r="AN2874">
        <v>0.99999996082090103</v>
      </c>
    </row>
    <row r="2875" spans="1:40" x14ac:dyDescent="0.25">
      <c r="A2875" t="str">
        <f>"20190303170553972"</f>
        <v>20190303170553972</v>
      </c>
      <c r="B2875" t="str">
        <f>"1551603953957701"</f>
        <v>1551603953957701</v>
      </c>
      <c r="C2875" t="s">
        <v>40</v>
      </c>
      <c r="D2875">
        <v>5.4438129999999996</v>
      </c>
      <c r="E2875">
        <v>0.50743159999999998</v>
      </c>
      <c r="F2875" t="s">
        <v>60</v>
      </c>
      <c r="G2875">
        <v>-389.28579999999999</v>
      </c>
      <c r="H2875" s="1">
        <v>3.4605140000000001E-6</v>
      </c>
      <c r="I2875">
        <v>213.33799999999999</v>
      </c>
      <c r="J2875">
        <v>-416.6755</v>
      </c>
      <c r="K2875">
        <v>1.11937999999999</v>
      </c>
      <c r="L2875">
        <v>213.6027</v>
      </c>
      <c r="M2875">
        <v>0.99998129999999996</v>
      </c>
      <c r="N2875">
        <v>-4.5151389999999996E-3</v>
      </c>
      <c r="O2875">
        <v>-4.1696939999999998E-3</v>
      </c>
      <c r="P2875">
        <v>0.97949589999999997</v>
      </c>
      <c r="Q2875">
        <v>0.2014638</v>
      </c>
      <c r="R2875">
        <v>-5.6284670000000001E-4</v>
      </c>
      <c r="S2875">
        <v>3.0883479999999999</v>
      </c>
      <c r="T2875">
        <v>-0.1241406</v>
      </c>
      <c r="U2875">
        <v>-2.9571529999999999E-2</v>
      </c>
      <c r="V2875">
        <v>-3.3865589999999999E-3</v>
      </c>
      <c r="W2875">
        <v>0.2058866</v>
      </c>
      <c r="X2875">
        <v>0.97857000000000005</v>
      </c>
      <c r="Y2875">
        <v>5.4029269999999897E-3</v>
      </c>
      <c r="Z2875" s="1">
        <v>2.796818E-5</v>
      </c>
      <c r="AA2875">
        <v>0.99998540000000002</v>
      </c>
      <c r="AB2875">
        <v>46</v>
      </c>
      <c r="AC2875">
        <v>27.389700000000001</v>
      </c>
      <c r="AD2875">
        <v>-1.11937653948599</v>
      </c>
      <c r="AE2875">
        <v>-0.26470000000000399</v>
      </c>
      <c r="AF2875">
        <v>0.15023897714595599</v>
      </c>
      <c r="AG2875">
        <v>-1.11937653948599</v>
      </c>
      <c r="AH2875">
        <v>27.344897451908199</v>
      </c>
      <c r="AI2875">
        <v>92.344086198967204</v>
      </c>
      <c r="AJ2875">
        <v>89.685207351396002</v>
      </c>
      <c r="AK2875">
        <v>27.368211345332401</v>
      </c>
      <c r="AL2875">
        <v>78.118595347706403</v>
      </c>
      <c r="AM2875">
        <v>90.198283989033996</v>
      </c>
      <c r="AN2875">
        <v>1.0000000028707099</v>
      </c>
    </row>
    <row r="2876" spans="1:40" x14ac:dyDescent="0.25">
      <c r="A2876" t="str">
        <f>"20190303170553994"</f>
        <v>20190303170553994</v>
      </c>
      <c r="B2876" t="str">
        <f>"1551603953987958"</f>
        <v>1551603953987958</v>
      </c>
      <c r="C2876" t="s">
        <v>40</v>
      </c>
      <c r="D2876">
        <v>5.6404360000000002</v>
      </c>
      <c r="E2876">
        <v>0.50739970000000001</v>
      </c>
      <c r="F2876" t="s">
        <v>60</v>
      </c>
      <c r="G2876">
        <v>-389.3587</v>
      </c>
      <c r="H2876" s="1">
        <v>3.4985160000000001E-6</v>
      </c>
      <c r="I2876">
        <v>213.3562</v>
      </c>
      <c r="J2876">
        <v>-416.20400000000001</v>
      </c>
      <c r="K2876">
        <v>1.11937</v>
      </c>
      <c r="L2876">
        <v>213.60059999999999</v>
      </c>
      <c r="M2876">
        <v>0.99997990000000003</v>
      </c>
      <c r="N2876">
        <v>-4.5478059999999997E-3</v>
      </c>
      <c r="O2876">
        <v>-4.4163600000000003E-3</v>
      </c>
      <c r="P2876">
        <v>0.9795488</v>
      </c>
      <c r="Q2876">
        <v>0.20120489999999999</v>
      </c>
      <c r="R2876">
        <v>-9.1887450000000003E-4</v>
      </c>
      <c r="S2876">
        <v>3.0888059999999999</v>
      </c>
      <c r="T2876">
        <v>-0.12657180000000001</v>
      </c>
      <c r="U2876">
        <v>-2.7877809999999999E-2</v>
      </c>
      <c r="V2876">
        <v>-3.2677299999999999E-3</v>
      </c>
      <c r="W2876">
        <v>0.2056598</v>
      </c>
      <c r="X2876">
        <v>0.97861810000000005</v>
      </c>
      <c r="Y2876">
        <v>4.607384E-3</v>
      </c>
      <c r="Z2876" s="1">
        <v>5.5973610000000003E-5</v>
      </c>
      <c r="AA2876">
        <v>0.99998940000000003</v>
      </c>
      <c r="AB2876">
        <v>46</v>
      </c>
      <c r="AC2876">
        <v>26.845300000000002</v>
      </c>
      <c r="AD2876">
        <v>-1.119366501484</v>
      </c>
      <c r="AE2876">
        <v>-0.24439999999998399</v>
      </c>
      <c r="AF2876">
        <v>0.125619492409037</v>
      </c>
      <c r="AG2876">
        <v>-1.119366501484</v>
      </c>
      <c r="AH2876">
        <v>26.7995268658625</v>
      </c>
      <c r="AI2876">
        <v>92.391721916938906</v>
      </c>
      <c r="AJ2876">
        <v>89.731435033787207</v>
      </c>
      <c r="AK2876">
        <v>26.8231877646115</v>
      </c>
      <c r="AL2876">
        <v>78.131874269878693</v>
      </c>
      <c r="AM2876">
        <v>90.191317166263801</v>
      </c>
      <c r="AN2876">
        <v>1.0000000085215</v>
      </c>
    </row>
    <row r="2877" spans="1:40" x14ac:dyDescent="0.25">
      <c r="A2877" t="str">
        <f>"20190303170554016"</f>
        <v>20190303170554016</v>
      </c>
      <c r="B2877" t="str">
        <f>"1551603954007478"</f>
        <v>1551603954007478</v>
      </c>
      <c r="C2877" t="s">
        <v>40</v>
      </c>
      <c r="D2877">
        <v>5.5068140000000003</v>
      </c>
      <c r="E2877">
        <v>0.50699499999999997</v>
      </c>
      <c r="F2877" t="s">
        <v>60</v>
      </c>
      <c r="G2877">
        <v>-388.56900000000002</v>
      </c>
      <c r="H2877" s="1">
        <v>3.0787510000000002E-6</v>
      </c>
      <c r="I2877">
        <v>213.34540000000001</v>
      </c>
      <c r="J2877">
        <v>-415.74919999999997</v>
      </c>
      <c r="K2877">
        <v>1.119359</v>
      </c>
      <c r="L2877">
        <v>213.5985</v>
      </c>
      <c r="M2877">
        <v>0.99997879999999995</v>
      </c>
      <c r="N2877">
        <v>-4.576302E-3</v>
      </c>
      <c r="O2877">
        <v>-4.6549019999999998E-3</v>
      </c>
      <c r="P2877">
        <v>0.9796513</v>
      </c>
      <c r="Q2877">
        <v>0.20069960000000001</v>
      </c>
      <c r="R2877">
        <v>-1.8174249999999999E-3</v>
      </c>
      <c r="S2877">
        <v>3.0883180000000001</v>
      </c>
      <c r="T2877">
        <v>-0.1250936</v>
      </c>
      <c r="U2877">
        <v>-2.8518680000000001E-2</v>
      </c>
      <c r="V2877">
        <v>-2.5997659999999999E-3</v>
      </c>
      <c r="W2877">
        <v>0.20518239999999999</v>
      </c>
      <c r="X2877">
        <v>0.97872029999999999</v>
      </c>
      <c r="Y2877">
        <v>4.5779519999999997E-3</v>
      </c>
      <c r="Z2877" s="1">
        <v>6.4015550000000001E-5</v>
      </c>
      <c r="AA2877">
        <v>0.99998949999999998</v>
      </c>
      <c r="AB2877">
        <v>46</v>
      </c>
      <c r="AC2877">
        <v>27.1801999999999</v>
      </c>
      <c r="AD2877">
        <v>-1.1193559212490001</v>
      </c>
      <c r="AE2877">
        <v>-0.253099999999989</v>
      </c>
      <c r="AF2877">
        <v>0.12636048758509399</v>
      </c>
      <c r="AG2877">
        <v>-1.1193559212490001</v>
      </c>
      <c r="AH2877">
        <v>27.135066049485399</v>
      </c>
      <c r="AI2877">
        <v>92.362158780171299</v>
      </c>
      <c r="AJ2877">
        <v>89.733191351346704</v>
      </c>
      <c r="AK2877">
        <v>27.158437623714502</v>
      </c>
      <c r="AL2877">
        <v>78.159823233354501</v>
      </c>
      <c r="AM2877">
        <v>90.152193909930403</v>
      </c>
      <c r="AN2877">
        <v>1.00000000084255</v>
      </c>
    </row>
    <row r="2878" spans="1:40" x14ac:dyDescent="0.25">
      <c r="A2878" t="str">
        <f>"20190303170554037"</f>
        <v>20190303170554037</v>
      </c>
      <c r="B2878" t="str">
        <f>"1551603954027974"</f>
        <v>1551603954027974</v>
      </c>
      <c r="C2878" t="s">
        <v>40</v>
      </c>
      <c r="D2878">
        <v>5.5439850000000002</v>
      </c>
      <c r="E2878">
        <v>0.50675329999999996</v>
      </c>
      <c r="F2878" t="s">
        <v>60</v>
      </c>
      <c r="G2878">
        <v>-387.62790000000001</v>
      </c>
      <c r="H2878" s="1">
        <v>2.5780519999999999E-6</v>
      </c>
      <c r="I2878">
        <v>213.3426</v>
      </c>
      <c r="J2878">
        <v>-415.29969999999997</v>
      </c>
      <c r="K2878">
        <v>1.119345</v>
      </c>
      <c r="L2878">
        <v>213.59630000000001</v>
      </c>
      <c r="M2878">
        <v>0.99997740000000002</v>
      </c>
      <c r="N2878">
        <v>-4.5994779999999997E-3</v>
      </c>
      <c r="O2878">
        <v>-4.8905629999999997E-3</v>
      </c>
      <c r="P2878">
        <v>0.97960159999999996</v>
      </c>
      <c r="Q2878">
        <v>0.2009377</v>
      </c>
      <c r="R2878">
        <v>-2.1609060000000002E-3</v>
      </c>
      <c r="S2878">
        <v>3.087402</v>
      </c>
      <c r="T2878">
        <v>-0.1228924</v>
      </c>
      <c r="U2878">
        <v>-2.8091430000000001E-2</v>
      </c>
      <c r="V2878">
        <v>-2.4829539999999999E-3</v>
      </c>
      <c r="W2878">
        <v>0.2054433</v>
      </c>
      <c r="X2878">
        <v>0.97866589999999998</v>
      </c>
      <c r="Y2878">
        <v>4.2071419999999997E-3</v>
      </c>
      <c r="Z2878" s="1">
        <v>7.8721029999999996E-5</v>
      </c>
      <c r="AA2878">
        <v>0.99999110000000002</v>
      </c>
      <c r="AB2878">
        <v>46</v>
      </c>
      <c r="AC2878">
        <v>27.671799999999902</v>
      </c>
      <c r="AD2878">
        <v>-1.1193424219479999</v>
      </c>
      <c r="AE2878">
        <v>-0.25370000000000897</v>
      </c>
      <c r="AF2878">
        <v>0.118171502163537</v>
      </c>
      <c r="AG2878">
        <v>-1.1193424219479999</v>
      </c>
      <c r="AH2878">
        <v>27.627507957356201</v>
      </c>
      <c r="AI2878">
        <v>92.320077280433296</v>
      </c>
      <c r="AJ2878">
        <v>89.754929505313399</v>
      </c>
      <c r="AK2878">
        <v>27.650426540928301</v>
      </c>
      <c r="AL2878">
        <v>78.144549717285201</v>
      </c>
      <c r="AM2878">
        <v>90.145363683038696</v>
      </c>
      <c r="AN2878">
        <v>1.00000002919913</v>
      </c>
    </row>
    <row r="2879" spans="1:40" x14ac:dyDescent="0.25">
      <c r="A2879" t="str">
        <f>"20190303170554059"</f>
        <v>20190303170554059</v>
      </c>
      <c r="B2879" t="str">
        <f>"1551603954047494"</f>
        <v>1551603954047494</v>
      </c>
      <c r="C2879" t="s">
        <v>40</v>
      </c>
      <c r="D2879">
        <v>5.5106970000000004</v>
      </c>
      <c r="E2879">
        <v>0.50658990000000004</v>
      </c>
      <c r="F2879" t="s">
        <v>60</v>
      </c>
      <c r="G2879">
        <v>-386.6678</v>
      </c>
      <c r="H2879" s="1">
        <v>2.066967E-6</v>
      </c>
      <c r="I2879">
        <v>213.34690000000001</v>
      </c>
      <c r="J2879">
        <v>-414.85489999999999</v>
      </c>
      <c r="K2879">
        <v>1.119335</v>
      </c>
      <c r="L2879">
        <v>213.59399999999999</v>
      </c>
      <c r="M2879">
        <v>0.99997630000000004</v>
      </c>
      <c r="N2879">
        <v>-4.6179999999999997E-3</v>
      </c>
      <c r="O2879">
        <v>-5.1241799999999999E-3</v>
      </c>
      <c r="P2879">
        <v>0.97938860000000005</v>
      </c>
      <c r="Q2879">
        <v>0.2019658</v>
      </c>
      <c r="R2879">
        <v>-2.8308270000000002E-3</v>
      </c>
      <c r="S2879">
        <v>3.0871279999999999</v>
      </c>
      <c r="T2879">
        <v>-0.1206888</v>
      </c>
      <c r="U2879">
        <v>-2.6885989999999999E-2</v>
      </c>
      <c r="V2879">
        <v>-2.0372989999999998E-3</v>
      </c>
      <c r="W2879">
        <v>0.20648810000000001</v>
      </c>
      <c r="X2879">
        <v>0.97844699999999996</v>
      </c>
      <c r="Y2879">
        <v>3.584561E-3</v>
      </c>
      <c r="Z2879" s="1">
        <v>9.8268119999999997E-5</v>
      </c>
      <c r="AA2879">
        <v>0.99999360000000004</v>
      </c>
      <c r="AB2879">
        <v>46</v>
      </c>
      <c r="AC2879">
        <v>28.187099999999901</v>
      </c>
      <c r="AD2879">
        <v>-1.119332933033</v>
      </c>
      <c r="AE2879">
        <v>-0.247100000000017</v>
      </c>
      <c r="AF2879">
        <v>0.10249783340099999</v>
      </c>
      <c r="AG2879">
        <v>-1.119332933033</v>
      </c>
      <c r="AH2879">
        <v>28.1436184774041</v>
      </c>
      <c r="AI2879">
        <v>92.277562304834305</v>
      </c>
      <c r="AJ2879">
        <v>89.791332187678705</v>
      </c>
      <c r="AK2879">
        <v>28.166055333015699</v>
      </c>
      <c r="AL2879">
        <v>78.083375215949502</v>
      </c>
      <c r="AM2879">
        <v>90.119299732756005</v>
      </c>
      <c r="AN2879">
        <v>1.0000000089189101</v>
      </c>
    </row>
    <row r="2880" spans="1:40" x14ac:dyDescent="0.25">
      <c r="A2880" t="str">
        <f>"20190303170554082"</f>
        <v>20190303170554082</v>
      </c>
      <c r="B2880" t="str">
        <f>"1551603954067990"</f>
        <v>1551603954067990</v>
      </c>
      <c r="C2880" t="s">
        <v>40</v>
      </c>
      <c r="D2880">
        <v>5.5055120000000004</v>
      </c>
      <c r="E2880">
        <v>0.50635659999999905</v>
      </c>
      <c r="F2880" t="s">
        <v>60</v>
      </c>
      <c r="G2880">
        <v>-385.8519</v>
      </c>
      <c r="H2880" s="1">
        <v>1.633043E-6</v>
      </c>
      <c r="I2880">
        <v>213.3407</v>
      </c>
      <c r="J2880">
        <v>-414.3725</v>
      </c>
      <c r="K2880">
        <v>1.119332</v>
      </c>
      <c r="L2880">
        <v>213.59139999999999</v>
      </c>
      <c r="M2880">
        <v>0.99997480000000005</v>
      </c>
      <c r="N2880">
        <v>-4.634188E-3</v>
      </c>
      <c r="O2880">
        <v>-5.3774560000000001E-3</v>
      </c>
      <c r="P2880">
        <v>0.97929359999999999</v>
      </c>
      <c r="Q2880">
        <v>0.2024193</v>
      </c>
      <c r="R2880">
        <v>-3.2674470000000001E-3</v>
      </c>
      <c r="S2880">
        <v>3.0876160000000001</v>
      </c>
      <c r="T2880">
        <v>-0.1191624</v>
      </c>
      <c r="U2880">
        <v>-2.6962280000000002E-2</v>
      </c>
      <c r="V2880">
        <v>-1.845356E-3</v>
      </c>
      <c r="W2880">
        <v>0.20695640000000001</v>
      </c>
      <c r="X2880">
        <v>0.97834840000000001</v>
      </c>
      <c r="Y2880">
        <v>3.3549280000000001E-3</v>
      </c>
      <c r="Z2880">
        <v>1.100495E-4</v>
      </c>
      <c r="AA2880">
        <v>0.9999943</v>
      </c>
      <c r="AB2880">
        <v>46</v>
      </c>
      <c r="AC2880">
        <v>28.520600000000002</v>
      </c>
      <c r="AD2880">
        <v>-1.1193303669570001</v>
      </c>
      <c r="AE2880">
        <v>-0.25069999999999398</v>
      </c>
      <c r="AF2880">
        <v>9.7176788416827795E-2</v>
      </c>
      <c r="AG2880">
        <v>-1.1193303669570001</v>
      </c>
      <c r="AH2880">
        <v>28.477675602401199</v>
      </c>
      <c r="AI2880">
        <v>92.250869688884293</v>
      </c>
      <c r="AJ2880">
        <v>89.804485509647705</v>
      </c>
      <c r="AK2880">
        <v>28.499830727816502</v>
      </c>
      <c r="AL2880">
        <v>78.055950815839694</v>
      </c>
      <c r="AM2880">
        <v>90.108070892855494</v>
      </c>
      <c r="AN2880">
        <v>0.99999997431114296</v>
      </c>
    </row>
    <row r="2881" spans="1:40" x14ac:dyDescent="0.25">
      <c r="A2881" t="str">
        <f>"20190303170554105"</f>
        <v>20190303170554105</v>
      </c>
      <c r="B2881" t="str">
        <f>"1551603954097271"</f>
        <v>1551603954097271</v>
      </c>
      <c r="C2881" t="s">
        <v>40</v>
      </c>
      <c r="D2881">
        <v>5.6420560000000002</v>
      </c>
      <c r="E2881">
        <v>0.50627730000000004</v>
      </c>
      <c r="F2881" t="s">
        <v>60</v>
      </c>
      <c r="G2881">
        <v>-384.3997</v>
      </c>
      <c r="H2881" s="1">
        <v>8.6028969999999995E-7</v>
      </c>
      <c r="I2881">
        <v>213.3398</v>
      </c>
      <c r="J2881">
        <v>-413.8954</v>
      </c>
      <c r="K2881">
        <v>1.119318</v>
      </c>
      <c r="L2881">
        <v>213.58869999999999</v>
      </c>
      <c r="M2881">
        <v>0.99997340000000001</v>
      </c>
      <c r="N2881">
        <v>-4.6477519999999998E-3</v>
      </c>
      <c r="O2881">
        <v>-5.6285750000000002E-3</v>
      </c>
      <c r="P2881">
        <v>0.97942189999999996</v>
      </c>
      <c r="Q2881">
        <v>0.2017864</v>
      </c>
      <c r="R2881">
        <v>-3.8851290000000002E-3</v>
      </c>
      <c r="S2881">
        <v>3.087189</v>
      </c>
      <c r="T2881">
        <v>-0.11529059999999999</v>
      </c>
      <c r="U2881">
        <v>-2.5909419999999999E-2</v>
      </c>
      <c r="V2881">
        <v>-1.472342E-3</v>
      </c>
      <c r="W2881">
        <v>0.2063374</v>
      </c>
      <c r="X2881">
        <v>0.97847980000000001</v>
      </c>
      <c r="Y2881">
        <v>2.7645370000000001E-3</v>
      </c>
      <c r="Z2881">
        <v>1.2593829999999999E-4</v>
      </c>
      <c r="AA2881">
        <v>0.9999962</v>
      </c>
      <c r="AB2881">
        <v>47</v>
      </c>
      <c r="AC2881">
        <v>29.495699999999999</v>
      </c>
      <c r="AD2881">
        <v>-1.1193171397102999</v>
      </c>
      <c r="AE2881">
        <v>-0.24889999999999099</v>
      </c>
      <c r="AF2881">
        <v>8.2756343419632006E-2</v>
      </c>
      <c r="AG2881">
        <v>-1.1193171397102999</v>
      </c>
      <c r="AH2881">
        <v>29.454220093934602</v>
      </c>
      <c r="AI2881">
        <v>92.1762942532106</v>
      </c>
      <c r="AJ2881">
        <v>89.839018764923395</v>
      </c>
      <c r="AK2881">
        <v>29.475596699873002</v>
      </c>
      <c r="AL2881">
        <v>78.092199674828194</v>
      </c>
      <c r="AM2881">
        <v>90.086214267204596</v>
      </c>
      <c r="AN2881">
        <v>1.00000000471888</v>
      </c>
    </row>
    <row r="2882" spans="1:40" x14ac:dyDescent="0.25">
      <c r="A2882" t="str">
        <f>"20190303170554128"</f>
        <v>20190303170554128</v>
      </c>
      <c r="B2882" t="str">
        <f>"1551603954117768"</f>
        <v>1551603954117768</v>
      </c>
      <c r="C2882" t="s">
        <v>40</v>
      </c>
      <c r="D2882">
        <v>5.5462069999999999</v>
      </c>
      <c r="E2882">
        <v>0.50630649999999999</v>
      </c>
      <c r="F2882" t="s">
        <v>60</v>
      </c>
      <c r="G2882">
        <v>-384.16300000000001</v>
      </c>
      <c r="H2882" s="1">
        <v>7.3498440000000001E-7</v>
      </c>
      <c r="I2882">
        <v>213.3253</v>
      </c>
      <c r="J2882">
        <v>-413.40750000000003</v>
      </c>
      <c r="K2882">
        <v>1.1193120000000001</v>
      </c>
      <c r="L2882">
        <v>213.58580000000001</v>
      </c>
      <c r="M2882">
        <v>0.99997190000000002</v>
      </c>
      <c r="N2882">
        <v>-4.6744450000000002E-3</v>
      </c>
      <c r="O2882">
        <v>-5.8849729999999999E-3</v>
      </c>
      <c r="P2882">
        <v>0.97961189999999998</v>
      </c>
      <c r="Q2882">
        <v>0.200846</v>
      </c>
      <c r="R2882">
        <v>-4.6265580000000002E-3</v>
      </c>
      <c r="S2882">
        <v>3.0868530000000001</v>
      </c>
      <c r="T2882">
        <v>-0.1162089</v>
      </c>
      <c r="U2882">
        <v>-2.734375E-2</v>
      </c>
      <c r="V2882">
        <v>-9.8216490000000009E-4</v>
      </c>
      <c r="W2882">
        <v>0.20542369999999999</v>
      </c>
      <c r="X2882">
        <v>0.9786726</v>
      </c>
      <c r="Y2882">
        <v>2.9736540000000001E-3</v>
      </c>
      <c r="Z2882">
        <v>1.3105669999999999E-4</v>
      </c>
      <c r="AA2882">
        <v>0.99999559999999998</v>
      </c>
      <c r="AB2882">
        <v>47</v>
      </c>
      <c r="AC2882">
        <v>29.244499999999999</v>
      </c>
      <c r="AD2882">
        <v>-1.1193112650156001</v>
      </c>
      <c r="AE2882">
        <v>-0.260500000000007</v>
      </c>
      <c r="AF2882">
        <v>8.8261254932732097E-2</v>
      </c>
      <c r="AG2882">
        <v>-1.1193112650156001</v>
      </c>
      <c r="AH2882">
        <v>29.202750381886801</v>
      </c>
      <c r="AI2882">
        <v>92.195003560509207</v>
      </c>
      <c r="AJ2882">
        <v>89.826831995680706</v>
      </c>
      <c r="AK2882">
        <v>29.2243268121595</v>
      </c>
      <c r="AL2882">
        <v>78.145696351596996</v>
      </c>
      <c r="AM2882">
        <v>90.057500214743698</v>
      </c>
      <c r="AN2882">
        <v>0.99999995958016896</v>
      </c>
    </row>
    <row r="2883" spans="1:40" x14ac:dyDescent="0.25">
      <c r="A2883" t="str">
        <f>"20190303170554148"</f>
        <v>20190303170554148</v>
      </c>
      <c r="B2883" t="str">
        <f>"1551603954137286"</f>
        <v>1551603954137286</v>
      </c>
      <c r="C2883" t="s">
        <v>40</v>
      </c>
      <c r="D2883">
        <v>5.5480299999999998</v>
      </c>
      <c r="E2883">
        <v>0.50638430000000001</v>
      </c>
      <c r="F2883" t="s">
        <v>60</v>
      </c>
      <c r="G2883">
        <v>-384.6712</v>
      </c>
      <c r="H2883" s="1">
        <v>1.0062209999999999E-6</v>
      </c>
      <c r="I2883">
        <v>213.3074</v>
      </c>
      <c r="J2883">
        <v>-412.97489999999999</v>
      </c>
      <c r="K2883">
        <v>1.1193340000000001</v>
      </c>
      <c r="L2883">
        <v>213.5831</v>
      </c>
      <c r="M2883">
        <v>0.99997000000000003</v>
      </c>
      <c r="N2883">
        <v>-4.7708550000000001E-3</v>
      </c>
      <c r="O2883">
        <v>-6.1112809999999997E-3</v>
      </c>
      <c r="P2883">
        <v>0.97970599999999997</v>
      </c>
      <c r="Q2883">
        <v>0.20036409999999999</v>
      </c>
      <c r="R2883">
        <v>-5.5023219999999996E-3</v>
      </c>
      <c r="S2883">
        <v>3.0869450000000001</v>
      </c>
      <c r="T2883">
        <v>-0.1202401</v>
      </c>
      <c r="U2883">
        <v>-2.990723E-2</v>
      </c>
      <c r="V2883">
        <v>-3.2698919999999998E-4</v>
      </c>
      <c r="W2883">
        <v>0.20503640000000001</v>
      </c>
      <c r="X2883">
        <v>0.97875429999999997</v>
      </c>
      <c r="Y2883">
        <v>3.5771179999999998E-3</v>
      </c>
      <c r="Z2883">
        <v>1.3062139999999901E-4</v>
      </c>
      <c r="AA2883">
        <v>0.99999360000000004</v>
      </c>
      <c r="AB2883">
        <v>47</v>
      </c>
      <c r="AC2883">
        <v>28.3036999999999</v>
      </c>
      <c r="AD2883">
        <v>-1.119332993779</v>
      </c>
      <c r="AE2883">
        <v>-0.2757</v>
      </c>
      <c r="AF2883">
        <v>0.102560640413261</v>
      </c>
      <c r="AG2883">
        <v>-1.119332993779</v>
      </c>
      <c r="AH2883">
        <v>28.260661325910402</v>
      </c>
      <c r="AI2883">
        <v>92.268139774989805</v>
      </c>
      <c r="AJ2883">
        <v>89.792069054057194</v>
      </c>
      <c r="AK2883">
        <v>28.283005561886998</v>
      </c>
      <c r="AL2883">
        <v>78.168370194326101</v>
      </c>
      <c r="AM2883">
        <v>90.019141780944693</v>
      </c>
      <c r="AN2883">
        <v>1.0000000060076899</v>
      </c>
    </row>
    <row r="2884" spans="1:40" x14ac:dyDescent="0.25">
      <c r="A2884" t="str">
        <f>"20190303170554172"</f>
        <v>20190303170554172</v>
      </c>
      <c r="B2884" t="str">
        <f>"1551603954167542"</f>
        <v>1551603954167542</v>
      </c>
      <c r="C2884" t="s">
        <v>40</v>
      </c>
      <c r="D2884">
        <v>5.5233759999999998</v>
      </c>
      <c r="E2884">
        <v>0.50635450000000004</v>
      </c>
      <c r="F2884" t="s">
        <v>60</v>
      </c>
      <c r="G2884">
        <v>-384.84379999999999</v>
      </c>
      <c r="H2884" s="1">
        <v>1.099209E-6</v>
      </c>
      <c r="I2884">
        <v>213.2816</v>
      </c>
      <c r="J2884">
        <v>-412.49290000000002</v>
      </c>
      <c r="K2884">
        <v>1.119389</v>
      </c>
      <c r="L2884">
        <v>213.58009999999999</v>
      </c>
      <c r="M2884">
        <v>0.99996700000000005</v>
      </c>
      <c r="N2884">
        <v>-5.0420100000000004E-3</v>
      </c>
      <c r="O2884">
        <v>-6.3620619999999999E-3</v>
      </c>
      <c r="P2884">
        <v>0.97957939999999999</v>
      </c>
      <c r="Q2884">
        <v>0.2009696</v>
      </c>
      <c r="R2884">
        <v>-5.9471840000000003E-3</v>
      </c>
      <c r="S2884">
        <v>3.0870669999999998</v>
      </c>
      <c r="T2884">
        <v>-0.1228341</v>
      </c>
      <c r="U2884">
        <v>-3.3096309999999997E-2</v>
      </c>
      <c r="V2884">
        <v>-1.2394969999999901E-4</v>
      </c>
      <c r="W2884">
        <v>0.2059067</v>
      </c>
      <c r="X2884">
        <v>0.97857169999999905</v>
      </c>
      <c r="Y2884">
        <v>4.3583010000000002E-3</v>
      </c>
      <c r="Z2884">
        <v>1.233048E-4</v>
      </c>
      <c r="AA2884">
        <v>0.9999905</v>
      </c>
      <c r="AB2884">
        <v>47</v>
      </c>
      <c r="AC2884">
        <v>27.649100000000001</v>
      </c>
      <c r="AD2884">
        <v>-1.1193879007909999</v>
      </c>
      <c r="AE2884">
        <v>-0.29849999999999</v>
      </c>
      <c r="AF2884">
        <v>0.122385849068525</v>
      </c>
      <c r="AG2884">
        <v>-1.1193879007909999</v>
      </c>
      <c r="AH2884">
        <v>27.6051977623544</v>
      </c>
      <c r="AI2884">
        <v>92.3220429483641</v>
      </c>
      <c r="AJ2884">
        <v>89.745984551811404</v>
      </c>
      <c r="AK2884">
        <v>27.628155042767201</v>
      </c>
      <c r="AL2884">
        <v>78.117419395640098</v>
      </c>
      <c r="AM2884">
        <v>90.007257306382201</v>
      </c>
      <c r="AN2884">
        <v>1.0000000782546501</v>
      </c>
    </row>
    <row r="2885" spans="1:40" x14ac:dyDescent="0.25">
      <c r="A2885" t="str">
        <f>"20190303170554195"</f>
        <v>20190303170554195</v>
      </c>
      <c r="B2885" t="str">
        <f>"1551603954188038"</f>
        <v>1551603954188038</v>
      </c>
      <c r="C2885" t="s">
        <v>40</v>
      </c>
      <c r="D2885">
        <v>5.5428569999999997</v>
      </c>
      <c r="E2885">
        <v>0.50629389999999996</v>
      </c>
      <c r="F2885" t="s">
        <v>60</v>
      </c>
      <c r="G2885">
        <v>-384.0505</v>
      </c>
      <c r="H2885" s="1">
        <v>6.7752979999999997E-7</v>
      </c>
      <c r="I2885">
        <v>213.27</v>
      </c>
      <c r="J2885">
        <v>-411.9905</v>
      </c>
      <c r="K2885">
        <v>1.119499</v>
      </c>
      <c r="L2885">
        <v>213.57669999999999</v>
      </c>
      <c r="M2885">
        <v>0.99996260000000003</v>
      </c>
      <c r="N2885">
        <v>-5.5484999999999996E-3</v>
      </c>
      <c r="O2885">
        <v>-6.6254340000000004E-3</v>
      </c>
      <c r="P2885">
        <v>0.97950490000000001</v>
      </c>
      <c r="Q2885">
        <v>0.20132949999999999</v>
      </c>
      <c r="R2885">
        <v>-6.0618109999999899E-3</v>
      </c>
      <c r="S2885">
        <v>3.0872190000000002</v>
      </c>
      <c r="T2885">
        <v>-0.1215017</v>
      </c>
      <c r="U2885">
        <v>-3.3660889999999999E-2</v>
      </c>
      <c r="V2885">
        <v>-2.620206E-4</v>
      </c>
      <c r="W2885">
        <v>0.2067619</v>
      </c>
      <c r="X2885">
        <v>0.97839120000000002</v>
      </c>
      <c r="Y2885">
        <v>4.2772799999999996E-3</v>
      </c>
      <c r="Z2885">
        <v>1.2788590000000001E-4</v>
      </c>
      <c r="AA2885">
        <v>0.99999079999999996</v>
      </c>
      <c r="AB2885">
        <v>47</v>
      </c>
      <c r="AC2885">
        <v>27.94</v>
      </c>
      <c r="AD2885">
        <v>-1.1194983224702</v>
      </c>
      <c r="AE2885">
        <v>-0.30669999999997799</v>
      </c>
      <c r="AF2885">
        <v>0.121380935619541</v>
      </c>
      <c r="AG2885">
        <v>-1.1194983224702</v>
      </c>
      <c r="AH2885">
        <v>27.896637810531999</v>
      </c>
      <c r="AI2885">
        <v>92.298037637110497</v>
      </c>
      <c r="AJ2885">
        <v>89.750702164047496</v>
      </c>
      <c r="AK2885">
        <v>27.919355489651799</v>
      </c>
      <c r="AL2885">
        <v>78.067340869486898</v>
      </c>
      <c r="AM2885">
        <v>90.015344244885398</v>
      </c>
      <c r="AN2885">
        <v>0.99999994609192</v>
      </c>
    </row>
    <row r="2886" spans="1:40" x14ac:dyDescent="0.25">
      <c r="A2886" t="str">
        <f>"20190303170554218"</f>
        <v>20190303170554218</v>
      </c>
      <c r="B2886" t="str">
        <f>"1551603954207558"</f>
        <v>1551603954207558</v>
      </c>
      <c r="C2886" t="s">
        <v>40</v>
      </c>
      <c r="D2886">
        <v>5.5811310000000001</v>
      </c>
      <c r="E2886">
        <v>0.50618929999999995</v>
      </c>
      <c r="F2886" t="s">
        <v>60</v>
      </c>
      <c r="G2886">
        <v>-383.03620000000001</v>
      </c>
      <c r="H2886" s="1">
        <v>1.3793269999999999E-7</v>
      </c>
      <c r="I2886">
        <v>213.2662</v>
      </c>
      <c r="J2886">
        <v>-411.52569999999997</v>
      </c>
      <c r="K2886">
        <v>1.119632</v>
      </c>
      <c r="L2886">
        <v>213.5735</v>
      </c>
      <c r="M2886">
        <v>0.99995710000000004</v>
      </c>
      <c r="N2886">
        <v>-6.2148469999999999E-3</v>
      </c>
      <c r="O2886">
        <v>-6.8654190000000002E-3</v>
      </c>
      <c r="P2886">
        <v>0.979688</v>
      </c>
      <c r="Q2886">
        <v>0.20043820000000001</v>
      </c>
      <c r="R2886">
        <v>-5.9918559999999899E-3</v>
      </c>
      <c r="S2886">
        <v>3.087097</v>
      </c>
      <c r="T2886">
        <v>-0.11936040000000001</v>
      </c>
      <c r="U2886">
        <v>-3.311157E-2</v>
      </c>
      <c r="V2886">
        <v>-5.6436289999999998E-4</v>
      </c>
      <c r="W2886">
        <v>0.2065235</v>
      </c>
      <c r="X2886">
        <v>0.97844149999999996</v>
      </c>
      <c r="Y2886">
        <v>3.860034E-3</v>
      </c>
      <c r="Z2886">
        <v>1.360887E-4</v>
      </c>
      <c r="AA2886">
        <v>0.99999249999999995</v>
      </c>
      <c r="AB2886">
        <v>47</v>
      </c>
      <c r="AC2886">
        <v>28.4894999999999</v>
      </c>
      <c r="AD2886">
        <v>-1.1196318620673</v>
      </c>
      <c r="AE2886">
        <v>-0.30729999999999702</v>
      </c>
      <c r="AF2886">
        <v>0.11152439499338899</v>
      </c>
      <c r="AG2886">
        <v>-1.1196318620673</v>
      </c>
      <c r="AH2886">
        <v>28.447007761322698</v>
      </c>
      <c r="AI2886">
        <v>92.253895893989593</v>
      </c>
      <c r="AJ2886">
        <v>89.7753772747255</v>
      </c>
      <c r="AK2886">
        <v>28.469251197915099</v>
      </c>
      <c r="AL2886">
        <v>78.081302418720796</v>
      </c>
      <c r="AM2886">
        <v>90.033048075636401</v>
      </c>
      <c r="AN2886">
        <v>1.00000002173999</v>
      </c>
    </row>
    <row r="2887" spans="1:40" x14ac:dyDescent="0.25">
      <c r="A2887" t="str">
        <f>"20190303170554240"</f>
        <v>20190303170554240</v>
      </c>
      <c r="B2887" t="str">
        <f>"1551603954227078"</f>
        <v>1551603954227078</v>
      </c>
      <c r="C2887" t="s">
        <v>40</v>
      </c>
      <c r="D2887">
        <v>5.561204</v>
      </c>
      <c r="E2887">
        <v>0.50610940000000004</v>
      </c>
      <c r="F2887" t="s">
        <v>60</v>
      </c>
      <c r="G2887">
        <v>-383.11829999999998</v>
      </c>
      <c r="H2887" s="1">
        <v>1.8099000000000001E-7</v>
      </c>
      <c r="I2887">
        <v>213.28039999999999</v>
      </c>
      <c r="J2887">
        <v>-411.04820000000001</v>
      </c>
      <c r="K2887">
        <v>1.1197589999999999</v>
      </c>
      <c r="L2887">
        <v>213.5701</v>
      </c>
      <c r="M2887">
        <v>0.99995040000000002</v>
      </c>
      <c r="N2887">
        <v>-6.9786680000000004E-3</v>
      </c>
      <c r="O2887">
        <v>-7.1088499999999999E-3</v>
      </c>
      <c r="P2887">
        <v>0.98002489999999998</v>
      </c>
      <c r="Q2887">
        <v>0.19877339999999999</v>
      </c>
      <c r="R2887">
        <v>-6.3729859999999998E-3</v>
      </c>
      <c r="S2887">
        <v>3.086884</v>
      </c>
      <c r="T2887">
        <v>-0.12166440000000001</v>
      </c>
      <c r="U2887">
        <v>-3.184509E-2</v>
      </c>
      <c r="V2887">
        <v>-4.2214660000000002E-4</v>
      </c>
      <c r="W2887">
        <v>0.2056085</v>
      </c>
      <c r="X2887">
        <v>0.97863420000000001</v>
      </c>
      <c r="Y2887">
        <v>3.2076119999999999E-3</v>
      </c>
      <c r="Z2887">
        <v>1.5608540000000001E-4</v>
      </c>
      <c r="AA2887">
        <v>0.99999479999999996</v>
      </c>
      <c r="AB2887">
        <v>47</v>
      </c>
      <c r="AC2887">
        <v>27.9299</v>
      </c>
      <c r="AD2887">
        <v>-1.1197588190100001</v>
      </c>
      <c r="AE2887">
        <v>-0.28970000000001001</v>
      </c>
      <c r="AF2887">
        <v>9.0992138368741302E-2</v>
      </c>
      <c r="AG2887">
        <v>-1.1197588190100001</v>
      </c>
      <c r="AH2887">
        <v>27.886435295629301</v>
      </c>
      <c r="AI2887">
        <v>92.299421361761205</v>
      </c>
      <c r="AJ2887">
        <v>89.813047205930204</v>
      </c>
      <c r="AK2887">
        <v>27.9090561087135</v>
      </c>
      <c r="AL2887">
        <v>78.134877211944001</v>
      </c>
      <c r="AM2887">
        <v>90.024715278717593</v>
      </c>
      <c r="AN2887">
        <v>0.99999996544481995</v>
      </c>
    </row>
    <row r="2888" spans="1:40" x14ac:dyDescent="0.25">
      <c r="A2888" t="str">
        <f>"20190303170554262"</f>
        <v>20190303170554262</v>
      </c>
      <c r="B2888" t="str">
        <f>"1551603954257334"</f>
        <v>1551603954257334</v>
      </c>
      <c r="C2888" t="s">
        <v>40</v>
      </c>
      <c r="D2888">
        <v>5.559774</v>
      </c>
      <c r="E2888">
        <v>0.50598639999999995</v>
      </c>
      <c r="F2888" t="s">
        <v>60</v>
      </c>
      <c r="G2888">
        <v>-383.74720000000002</v>
      </c>
      <c r="H2888" s="1">
        <v>5.1563530000000003E-7</v>
      </c>
      <c r="I2888">
        <v>213.2816</v>
      </c>
      <c r="J2888">
        <v>-410.60419999999999</v>
      </c>
      <c r="K2888">
        <v>1.119861</v>
      </c>
      <c r="L2888">
        <v>213.5667</v>
      </c>
      <c r="M2888">
        <v>0.9999439</v>
      </c>
      <c r="N2888">
        <v>-7.6439150000000003E-3</v>
      </c>
      <c r="O2888">
        <v>-7.3415219999999996E-3</v>
      </c>
      <c r="P2888">
        <v>0.98021080000000005</v>
      </c>
      <c r="Q2888">
        <v>0.1978298</v>
      </c>
      <c r="R2888">
        <v>-7.097618E-3</v>
      </c>
      <c r="S2888">
        <v>3.0866389999999999</v>
      </c>
      <c r="T2888">
        <v>-0.12659960000000001</v>
      </c>
      <c r="U2888">
        <v>-3.2608030000000003E-2</v>
      </c>
      <c r="V2888" s="1">
        <v>7.4018719999999896E-5</v>
      </c>
      <c r="W2888">
        <v>0.20531679999999999</v>
      </c>
      <c r="X2888">
        <v>0.9786956</v>
      </c>
      <c r="Y2888">
        <v>3.2229210000000001E-3</v>
      </c>
      <c r="Z2888">
        <v>1.66486699999999E-4</v>
      </c>
      <c r="AA2888">
        <v>0.99999479999999996</v>
      </c>
      <c r="AB2888">
        <v>47</v>
      </c>
      <c r="AC2888">
        <v>26.8569999999999</v>
      </c>
      <c r="AD2888">
        <v>-1.1198604843647</v>
      </c>
      <c r="AE2888">
        <v>-0.28509999999999902</v>
      </c>
      <c r="AF2888">
        <v>8.7762740522940294E-2</v>
      </c>
      <c r="AG2888">
        <v>-1.1198604843647</v>
      </c>
      <c r="AH2888">
        <v>26.811758224810099</v>
      </c>
      <c r="AI2888">
        <v>92.391699315047305</v>
      </c>
      <c r="AJ2888">
        <v>89.812454795785698</v>
      </c>
      <c r="AK2888">
        <v>26.8352784391878</v>
      </c>
      <c r="AL2888">
        <v>78.151955585170995</v>
      </c>
      <c r="AM2888">
        <v>89.995666721856196</v>
      </c>
      <c r="AN2888">
        <v>1.0000000356501799</v>
      </c>
    </row>
    <row r="2889" spans="1:40" x14ac:dyDescent="0.25">
      <c r="A2889" t="str">
        <f>"20190303170554285"</f>
        <v>20190303170554285</v>
      </c>
      <c r="B2889" t="str">
        <f>"1551603954277831"</f>
        <v>1551603954277831</v>
      </c>
      <c r="C2889" t="s">
        <v>40</v>
      </c>
      <c r="D2889">
        <v>5.5741550000000002</v>
      </c>
      <c r="E2889">
        <v>0.50625350000000002</v>
      </c>
      <c r="F2889" t="s">
        <v>60</v>
      </c>
      <c r="G2889">
        <v>-383.84969999999998</v>
      </c>
      <c r="H2889" s="1">
        <v>5.7059989999999899E-7</v>
      </c>
      <c r="I2889">
        <v>213.2715</v>
      </c>
      <c r="J2889">
        <v>-410.11079999999998</v>
      </c>
      <c r="K2889">
        <v>1.119937</v>
      </c>
      <c r="L2889">
        <v>213.56290000000001</v>
      </c>
      <c r="M2889">
        <v>0.99993679999999996</v>
      </c>
      <c r="N2889">
        <v>-8.2917640000000001E-3</v>
      </c>
      <c r="O2889">
        <v>-7.602686E-3</v>
      </c>
      <c r="P2889">
        <v>0.9800662</v>
      </c>
      <c r="Q2889">
        <v>0.19852110000000001</v>
      </c>
      <c r="R2889">
        <v>-7.7319930000000004E-3</v>
      </c>
      <c r="S2889">
        <v>3.086395</v>
      </c>
      <c r="T2889">
        <v>-0.129187</v>
      </c>
      <c r="U2889">
        <v>-3.4057619999999997E-2</v>
      </c>
      <c r="V2889">
        <v>4.5474620000000003E-4</v>
      </c>
      <c r="W2889">
        <v>0.20664109999999999</v>
      </c>
      <c r="X2889">
        <v>0.97841670000000003</v>
      </c>
      <c r="Y2889">
        <v>3.43196E-3</v>
      </c>
      <c r="Z2889">
        <v>1.6902390000000001E-4</v>
      </c>
      <c r="AA2889">
        <v>0.9999941</v>
      </c>
      <c r="AB2889">
        <v>47</v>
      </c>
      <c r="AC2889">
        <v>26.261099999999999</v>
      </c>
      <c r="AD2889">
        <v>-1.1199364294001</v>
      </c>
      <c r="AE2889">
        <v>-0.29140000000000998</v>
      </c>
      <c r="AF2889">
        <v>9.1563326707875495E-2</v>
      </c>
      <c r="AG2889">
        <v>-1.1199364294001</v>
      </c>
      <c r="AH2889">
        <v>26.214885353029999</v>
      </c>
      <c r="AI2889">
        <v>92.446253113148202</v>
      </c>
      <c r="AJ2889">
        <v>89.799878169438799</v>
      </c>
      <c r="AK2889">
        <v>26.238956829897099</v>
      </c>
      <c r="AL2889">
        <v>78.074415562867401</v>
      </c>
      <c r="AM2889">
        <v>89.973370205012301</v>
      </c>
      <c r="AN2889">
        <v>0.99999999492110303</v>
      </c>
    </row>
    <row r="2890" spans="1:40" x14ac:dyDescent="0.25">
      <c r="A2890" t="str">
        <f>"20190303170554306"</f>
        <v>20190303170554306</v>
      </c>
      <c r="B2890" t="str">
        <f>"1551603954297350"</f>
        <v>1551603954297350</v>
      </c>
      <c r="C2890" t="s">
        <v>40</v>
      </c>
      <c r="D2890">
        <v>5.5638339999999999</v>
      </c>
      <c r="E2890">
        <v>0.50655989999999995</v>
      </c>
      <c r="F2890" t="s">
        <v>60</v>
      </c>
      <c r="G2890">
        <v>-382.51400000000001</v>
      </c>
      <c r="H2890" s="1">
        <v>-1.3807590000000001E-7</v>
      </c>
      <c r="I2890">
        <v>213.22300000000001</v>
      </c>
      <c r="J2890">
        <v>-409.65280000000001</v>
      </c>
      <c r="K2890">
        <v>1.119996</v>
      </c>
      <c r="L2890">
        <v>213.5592</v>
      </c>
      <c r="M2890">
        <v>0.9999304</v>
      </c>
      <c r="N2890">
        <v>-8.8159889999999998E-3</v>
      </c>
      <c r="O2890">
        <v>-7.8368480000000004E-3</v>
      </c>
      <c r="P2890">
        <v>0.97988240000000004</v>
      </c>
      <c r="Q2890">
        <v>0.1994032</v>
      </c>
      <c r="R2890">
        <v>-8.3024659999999997E-3</v>
      </c>
      <c r="S2890">
        <v>3.0860599999999998</v>
      </c>
      <c r="T2890">
        <v>-0.12523879999999901</v>
      </c>
      <c r="U2890">
        <v>-3.8009639999999997E-2</v>
      </c>
      <c r="V2890">
        <v>7.9738349999999999E-4</v>
      </c>
      <c r="W2890">
        <v>0.20803350000000001</v>
      </c>
      <c r="X2890">
        <v>0.97812140000000003</v>
      </c>
      <c r="Y2890">
        <v>4.478157E-3</v>
      </c>
      <c r="Z2890">
        <v>1.3824280000000001E-4</v>
      </c>
      <c r="AA2890">
        <v>0.99999000000000005</v>
      </c>
      <c r="AB2890">
        <v>47</v>
      </c>
      <c r="AC2890">
        <v>27.1388</v>
      </c>
      <c r="AD2890">
        <v>-1.1199961380759</v>
      </c>
      <c r="AE2890">
        <v>-0.33620000000001898</v>
      </c>
      <c r="AF2890">
        <v>0.12328880630933101</v>
      </c>
      <c r="AG2890">
        <v>-1.1199961380759</v>
      </c>
      <c r="AH2890">
        <v>27.094462659043099</v>
      </c>
      <c r="AI2890">
        <v>92.367047341121093</v>
      </c>
      <c r="AJ2890">
        <v>89.739286968037803</v>
      </c>
      <c r="AK2890">
        <v>27.117881522371</v>
      </c>
      <c r="AL2890">
        <v>77.992865115861093</v>
      </c>
      <c r="AM2890">
        <v>89.953291381742005</v>
      </c>
      <c r="AN2890">
        <v>1.0000000230403201</v>
      </c>
    </row>
    <row r="2891" spans="1:40" x14ac:dyDescent="0.25">
      <c r="A2891" t="str">
        <f>"20190303170554328"</f>
        <v>20190303170554328</v>
      </c>
      <c r="B2891" t="str">
        <f>"1551603954317846"</f>
        <v>1551603954317846</v>
      </c>
      <c r="C2891" t="s">
        <v>40</v>
      </c>
      <c r="D2891">
        <v>5.5674210000000004</v>
      </c>
      <c r="E2891">
        <v>0.50685119999999995</v>
      </c>
      <c r="F2891" t="s">
        <v>60</v>
      </c>
      <c r="G2891">
        <v>-380.78570000000002</v>
      </c>
      <c r="H2891" s="1">
        <v>-1.0552489999999999E-6</v>
      </c>
      <c r="I2891">
        <v>213.16480000000001</v>
      </c>
      <c r="J2891">
        <v>-409.19420000000002</v>
      </c>
      <c r="K2891">
        <v>1.1200349999999999</v>
      </c>
      <c r="L2891">
        <v>213.55539999999999</v>
      </c>
      <c r="M2891">
        <v>0.99992449999999999</v>
      </c>
      <c r="N2891">
        <v>-9.2839099999999994E-3</v>
      </c>
      <c r="O2891">
        <v>-8.0540319999999992E-3</v>
      </c>
      <c r="P2891">
        <v>0.97999309999999995</v>
      </c>
      <c r="Q2891">
        <v>0.1988461</v>
      </c>
      <c r="R2891">
        <v>-8.5898439999999993E-3</v>
      </c>
      <c r="S2891">
        <v>3.0855709999999998</v>
      </c>
      <c r="T2891">
        <v>-0.11971519999999999</v>
      </c>
      <c r="U2891">
        <v>-4.2160030000000001E-2</v>
      </c>
      <c r="V2891">
        <v>8.6917639999999996E-4</v>
      </c>
      <c r="W2891">
        <v>0.2079355</v>
      </c>
      <c r="X2891">
        <v>0.97814210000000001</v>
      </c>
      <c r="Y2891">
        <v>5.6065419999999999E-3</v>
      </c>
      <c r="Z2891">
        <v>1.028377E-4</v>
      </c>
      <c r="AA2891">
        <v>0.99998430000000005</v>
      </c>
      <c r="AB2891">
        <v>47</v>
      </c>
      <c r="AC2891">
        <v>28.4085</v>
      </c>
      <c r="AD2891">
        <v>-1.1200360552490001</v>
      </c>
      <c r="AE2891">
        <v>-0.39059999999997702</v>
      </c>
      <c r="AF2891">
        <v>0.16152348103392</v>
      </c>
      <c r="AG2891">
        <v>-1.1200360552490001</v>
      </c>
      <c r="AH2891">
        <v>28.366639314515499</v>
      </c>
      <c r="AI2891">
        <v>92.261070890430702</v>
      </c>
      <c r="AJ2891">
        <v>89.673753607767296</v>
      </c>
      <c r="AK2891">
        <v>28.389202112771699</v>
      </c>
      <c r="AL2891">
        <v>77.998604717570402</v>
      </c>
      <c r="AM2891">
        <v>89.949087022974595</v>
      </c>
      <c r="AN2891">
        <v>0.99999994771013501</v>
      </c>
    </row>
    <row r="2892" spans="1:40" x14ac:dyDescent="0.25">
      <c r="A2892" t="str">
        <f>"20190303170554350"</f>
        <v>20190303170554350</v>
      </c>
      <c r="B2892" t="str">
        <f>"1551603954337366"</f>
        <v>1551603954337366</v>
      </c>
      <c r="C2892" t="s">
        <v>40</v>
      </c>
      <c r="D2892">
        <v>5.6052530000000003</v>
      </c>
      <c r="E2892">
        <v>0.50710239999999995</v>
      </c>
      <c r="F2892" t="s">
        <v>60</v>
      </c>
      <c r="G2892">
        <v>-380.40269999999998</v>
      </c>
      <c r="H2892" s="1">
        <v>-1.257714E-6</v>
      </c>
      <c r="I2892">
        <v>213.1344</v>
      </c>
      <c r="J2892">
        <v>-408.73540000000003</v>
      </c>
      <c r="K2892">
        <v>1.120063</v>
      </c>
      <c r="L2892">
        <v>213.5515</v>
      </c>
      <c r="M2892">
        <v>0.99991890000000005</v>
      </c>
      <c r="N2892">
        <v>-9.7020040000000002E-3</v>
      </c>
      <c r="O2892">
        <v>-8.2447430000000006E-3</v>
      </c>
      <c r="P2892">
        <v>0.98030050000000002</v>
      </c>
      <c r="Q2892">
        <v>0.1972835</v>
      </c>
      <c r="R2892">
        <v>-9.4941330000000001E-3</v>
      </c>
      <c r="S2892">
        <v>3.0852050000000002</v>
      </c>
      <c r="T2892">
        <v>-0.1200193</v>
      </c>
      <c r="U2892">
        <v>-4.5120239999999999E-2</v>
      </c>
      <c r="V2892">
        <v>1.577564E-3</v>
      </c>
      <c r="W2892">
        <v>0.2067843</v>
      </c>
      <c r="X2892">
        <v>0.97838530000000001</v>
      </c>
      <c r="Y2892">
        <v>6.3758900000000004E-3</v>
      </c>
      <c r="Z2892" s="1">
        <v>8.5711170000000005E-5</v>
      </c>
      <c r="AA2892">
        <v>0.99997970000000003</v>
      </c>
      <c r="AB2892">
        <v>47</v>
      </c>
      <c r="AC2892">
        <v>28.332699999999999</v>
      </c>
      <c r="AD2892">
        <v>-1.1200642577140001</v>
      </c>
      <c r="AE2892">
        <v>-0.41710000000000402</v>
      </c>
      <c r="AF2892">
        <v>0.18319275096131299</v>
      </c>
      <c r="AG2892">
        <v>-1.1200642577140001</v>
      </c>
      <c r="AH2892">
        <v>28.290971751142301</v>
      </c>
      <c r="AI2892">
        <v>92.267158352677995</v>
      </c>
      <c r="AJ2892">
        <v>89.628997375439695</v>
      </c>
      <c r="AK2892">
        <v>28.313727874466601</v>
      </c>
      <c r="AL2892">
        <v>78.066029933728004</v>
      </c>
      <c r="AM2892">
        <v>89.907615454995707</v>
      </c>
      <c r="AN2892">
        <v>1.0000000153453701</v>
      </c>
    </row>
    <row r="2893" spans="1:40" x14ac:dyDescent="0.25">
      <c r="A2893" t="str">
        <f>"20190303170554374"</f>
        <v>20190303170554374</v>
      </c>
      <c r="B2893" t="str">
        <f>"1551603954367306"</f>
        <v>1551603954367306</v>
      </c>
      <c r="C2893" t="s">
        <v>40</v>
      </c>
      <c r="D2893">
        <v>5.6089399999999996</v>
      </c>
      <c r="E2893">
        <v>0.50741859999999905</v>
      </c>
      <c r="F2893" t="s">
        <v>60</v>
      </c>
      <c r="G2893">
        <v>-380.66680000000002</v>
      </c>
      <c r="H2893" s="1">
        <v>-1.1160289999999999E-6</v>
      </c>
      <c r="I2893">
        <v>213.10820000000001</v>
      </c>
      <c r="J2893">
        <v>-408.2439</v>
      </c>
      <c r="K2893">
        <v>1.120107</v>
      </c>
      <c r="L2893">
        <v>213.54730000000001</v>
      </c>
      <c r="M2893">
        <v>0.99991379999999996</v>
      </c>
      <c r="N2893">
        <v>-1.009816E-2</v>
      </c>
      <c r="O2893">
        <v>-8.4092049999999995E-3</v>
      </c>
      <c r="P2893">
        <v>0.98040879999999997</v>
      </c>
      <c r="Q2893">
        <v>0.1967016</v>
      </c>
      <c r="R2893">
        <v>-1.035576E-2</v>
      </c>
      <c r="S2893">
        <v>3.0845639999999999</v>
      </c>
      <c r="T2893">
        <v>-0.12308819999999999</v>
      </c>
      <c r="U2893">
        <v>-4.8721309999999997E-2</v>
      </c>
      <c r="V2893">
        <v>2.2631449999999998E-3</v>
      </c>
      <c r="W2893">
        <v>0.20659069999999999</v>
      </c>
      <c r="X2893">
        <v>0.97842479999999998</v>
      </c>
      <c r="Y2893">
        <v>7.380462E-3</v>
      </c>
      <c r="Z2893" s="1">
        <v>6.6035819999999895E-5</v>
      </c>
      <c r="AA2893">
        <v>0.9999728</v>
      </c>
      <c r="AB2893">
        <v>47</v>
      </c>
      <c r="AC2893">
        <v>27.577099999999898</v>
      </c>
      <c r="AD2893">
        <v>-1.1201081160290001</v>
      </c>
      <c r="AE2893">
        <v>-0.43909999999999599</v>
      </c>
      <c r="AF2893">
        <v>0.206830060013456</v>
      </c>
      <c r="AG2893">
        <v>-1.1201081160290001</v>
      </c>
      <c r="AH2893">
        <v>27.534403653758002</v>
      </c>
      <c r="AI2893">
        <v>92.329460039825904</v>
      </c>
      <c r="AJ2893">
        <v>89.569619637252501</v>
      </c>
      <c r="AK2893">
        <v>27.557953578475399</v>
      </c>
      <c r="AL2893">
        <v>78.077366583301199</v>
      </c>
      <c r="AM2893">
        <v>89.867472261868301</v>
      </c>
      <c r="AN2893">
        <v>0.99999996420340898</v>
      </c>
    </row>
    <row r="2894" spans="1:40" x14ac:dyDescent="0.25">
      <c r="A2894" t="str">
        <f>"20190303170554396"</f>
        <v>20190303170554396</v>
      </c>
      <c r="B2894" t="str">
        <f>"1551603954387802"</f>
        <v>1551603954387802</v>
      </c>
      <c r="C2894" t="s">
        <v>40</v>
      </c>
      <c r="D2894">
        <v>5.5978349999999999</v>
      </c>
      <c r="E2894">
        <v>0.50758729999999996</v>
      </c>
      <c r="F2894" t="s">
        <v>60</v>
      </c>
      <c r="G2894">
        <v>-380.27820000000003</v>
      </c>
      <c r="H2894" s="1">
        <v>-1.3207980000000001E-6</v>
      </c>
      <c r="I2894">
        <v>213.0616</v>
      </c>
      <c r="J2894">
        <v>-407.75369999999998</v>
      </c>
      <c r="K2894">
        <v>1.1201650000000001</v>
      </c>
      <c r="L2894">
        <v>213.54300000000001</v>
      </c>
      <c r="M2894">
        <v>0.99990919999999905</v>
      </c>
      <c r="N2894">
        <v>-1.0444780000000001E-2</v>
      </c>
      <c r="O2894">
        <v>-8.5257619999999992E-3</v>
      </c>
      <c r="P2894">
        <v>0.98022629999999999</v>
      </c>
      <c r="Q2894">
        <v>0.1975644</v>
      </c>
      <c r="R2894">
        <v>-1.117604E-2</v>
      </c>
      <c r="S2894">
        <v>3.0841370000000001</v>
      </c>
      <c r="T2894">
        <v>-0.12352870000000001</v>
      </c>
      <c r="U2894">
        <v>-5.3558349999999998E-2</v>
      </c>
      <c r="V2894">
        <v>2.948829E-3</v>
      </c>
      <c r="W2894">
        <v>0.207791</v>
      </c>
      <c r="X2894">
        <v>0.97816879999999995</v>
      </c>
      <c r="Y2894">
        <v>8.8323659999999995E-3</v>
      </c>
      <c r="Z2894" s="1">
        <v>2.933733E-5</v>
      </c>
      <c r="AA2894">
        <v>0.99996099999999999</v>
      </c>
      <c r="AB2894">
        <v>47</v>
      </c>
      <c r="AC2894">
        <v>27.475499999999901</v>
      </c>
      <c r="AD2894">
        <v>-1.1201663207979999</v>
      </c>
      <c r="AE2894">
        <v>-0.48140000000000699</v>
      </c>
      <c r="AF2894">
        <v>0.246710224547116</v>
      </c>
      <c r="AG2894">
        <v>-1.1201663207979999</v>
      </c>
      <c r="AH2894">
        <v>27.433021639359399</v>
      </c>
      <c r="AI2894">
        <v>92.338152108483598</v>
      </c>
      <c r="AJ2894">
        <v>89.484742375297301</v>
      </c>
      <c r="AK2894">
        <v>27.456990271817901</v>
      </c>
      <c r="AL2894">
        <v>78.007069447783195</v>
      </c>
      <c r="AM2894">
        <v>89.827274245117593</v>
      </c>
      <c r="AN2894">
        <v>0.99999999828345498</v>
      </c>
    </row>
    <row r="2895" spans="1:40" x14ac:dyDescent="0.25">
      <c r="A2895" t="str">
        <f>"20190303170554420"</f>
        <v>20190303170554420</v>
      </c>
      <c r="B2895" t="str">
        <f>"1551603954407322"</f>
        <v>1551603954407322</v>
      </c>
      <c r="C2895" t="s">
        <v>40</v>
      </c>
      <c r="D2895">
        <v>5.5993779999999997</v>
      </c>
      <c r="E2895">
        <v>0.50775890000000001</v>
      </c>
      <c r="F2895" t="s">
        <v>60</v>
      </c>
      <c r="G2895">
        <v>-378.839</v>
      </c>
      <c r="H2895" s="1">
        <v>3.1668649999999998E-6</v>
      </c>
      <c r="I2895">
        <v>213.00790000000001</v>
      </c>
      <c r="J2895">
        <v>-407.26119999999997</v>
      </c>
      <c r="K2895">
        <v>1.1202209999999999</v>
      </c>
      <c r="L2895">
        <v>213.53870000000001</v>
      </c>
      <c r="M2895">
        <v>0.99990520000000005</v>
      </c>
      <c r="N2895">
        <v>-1.074861E-2</v>
      </c>
      <c r="O2895">
        <v>-8.6040860000000004E-3</v>
      </c>
      <c r="P2895">
        <v>0.98012180000000004</v>
      </c>
      <c r="Q2895">
        <v>0.1980111</v>
      </c>
      <c r="R2895">
        <v>-1.236636E-2</v>
      </c>
      <c r="S2895">
        <v>3.0839539999999999</v>
      </c>
      <c r="T2895">
        <v>-0.1194727</v>
      </c>
      <c r="U2895">
        <v>-5.706787E-2</v>
      </c>
      <c r="V2895">
        <v>4.0367069999999996E-3</v>
      </c>
      <c r="W2895">
        <v>0.20853350000000001</v>
      </c>
      <c r="X2895">
        <v>0.97800690000000001</v>
      </c>
      <c r="Y2895">
        <v>9.891703E-3</v>
      </c>
      <c r="Z2895" s="1">
        <v>-4.0014130000000001E-6</v>
      </c>
      <c r="AA2895">
        <v>0.99995109999999998</v>
      </c>
      <c r="AB2895">
        <v>47</v>
      </c>
      <c r="AC2895">
        <v>28.422199999999901</v>
      </c>
      <c r="AD2895">
        <v>-1.1202178331349999</v>
      </c>
      <c r="AE2895">
        <v>-0.53079999999999905</v>
      </c>
      <c r="AF2895">
        <v>0.28577539024112403</v>
      </c>
      <c r="AG2895">
        <v>-1.1202178331349999</v>
      </c>
      <c r="AH2895">
        <v>28.381641811437301</v>
      </c>
      <c r="AI2895">
        <v>92.260165472523795</v>
      </c>
      <c r="AJ2895">
        <v>89.423107002026299</v>
      </c>
      <c r="AK2895">
        <v>28.405178180748401</v>
      </c>
      <c r="AL2895">
        <v>77.963574639069805</v>
      </c>
      <c r="AM2895">
        <v>89.763513978441594</v>
      </c>
      <c r="AN2895">
        <v>1.0000000060366301</v>
      </c>
    </row>
    <row r="2896" spans="1:40" x14ac:dyDescent="0.25">
      <c r="A2896" t="str">
        <f>"20190303170554440"</f>
        <v>20190303170554440</v>
      </c>
      <c r="B2896" t="str">
        <f>"1551603954427817"</f>
        <v>1551603954427817</v>
      </c>
      <c r="C2896" t="s">
        <v>40</v>
      </c>
      <c r="D2896">
        <v>5.6378269999999997</v>
      </c>
      <c r="E2896">
        <v>0.5079418</v>
      </c>
      <c r="F2896" t="s">
        <v>60</v>
      </c>
      <c r="G2896">
        <v>-377.63740000000001</v>
      </c>
      <c r="H2896" s="1">
        <v>2.5274620000000002E-6</v>
      </c>
      <c r="I2896">
        <v>212.95169999999999</v>
      </c>
      <c r="J2896">
        <v>-406.83670000000001</v>
      </c>
      <c r="K2896">
        <v>1.120277</v>
      </c>
      <c r="L2896">
        <v>213.53489999999999</v>
      </c>
      <c r="M2896">
        <v>0.99990250000000003</v>
      </c>
      <c r="N2896">
        <v>-1.0977010000000001E-2</v>
      </c>
      <c r="O2896">
        <v>-8.6320019999999997E-3</v>
      </c>
      <c r="P2896">
        <v>0.98026440000000004</v>
      </c>
      <c r="Q2896">
        <v>0.197188</v>
      </c>
      <c r="R2896">
        <v>-1.409506E-2</v>
      </c>
      <c r="S2896">
        <v>3.0836489999999999</v>
      </c>
      <c r="T2896">
        <v>-0.1166075</v>
      </c>
      <c r="U2896">
        <v>-6.1096190000000002E-2</v>
      </c>
      <c r="V2896">
        <v>5.7121219999999896E-3</v>
      </c>
      <c r="W2896">
        <v>0.20793510000000001</v>
      </c>
      <c r="X2896">
        <v>0.97812589999999999</v>
      </c>
      <c r="Y2896">
        <v>1.1170309999999999E-2</v>
      </c>
      <c r="Z2896" s="1">
        <v>-4.0917039999999997E-5</v>
      </c>
      <c r="AA2896">
        <v>0.99993759999999998</v>
      </c>
      <c r="AB2896">
        <v>47</v>
      </c>
      <c r="AC2896">
        <v>29.199299999999901</v>
      </c>
      <c r="AD2896">
        <v>-1.1202744725380001</v>
      </c>
      <c r="AE2896">
        <v>-0.58320000000000405</v>
      </c>
      <c r="AF2896">
        <v>0.33062818244679598</v>
      </c>
      <c r="AG2896">
        <v>-1.1202744725380001</v>
      </c>
      <c r="AH2896">
        <v>29.160339966912499</v>
      </c>
      <c r="AI2896">
        <v>92.199951354045396</v>
      </c>
      <c r="AJ2896">
        <v>89.350392082152993</v>
      </c>
      <c r="AK2896">
        <v>29.183724177609001</v>
      </c>
      <c r="AL2896">
        <v>77.998628239242606</v>
      </c>
      <c r="AM2896">
        <v>89.6654042570445</v>
      </c>
      <c r="AN2896">
        <v>0.99999995520027996</v>
      </c>
    </row>
    <row r="2897" spans="1:40" x14ac:dyDescent="0.25">
      <c r="A2897" t="str">
        <f>"20190303170554462"</f>
        <v>20190303170554462</v>
      </c>
      <c r="B2897" t="str">
        <f>"1551603954457100"</f>
        <v>1551603954457100</v>
      </c>
      <c r="C2897" t="s">
        <v>40</v>
      </c>
      <c r="D2897">
        <v>5.6162539999999996</v>
      </c>
      <c r="E2897">
        <v>0.50827159999999905</v>
      </c>
      <c r="F2897" t="s">
        <v>60</v>
      </c>
      <c r="G2897">
        <v>-377.54930000000002</v>
      </c>
      <c r="H2897" s="1">
        <v>2.480577E-6</v>
      </c>
      <c r="I2897">
        <v>212.89570000000001</v>
      </c>
      <c r="J2897">
        <v>-406.3689</v>
      </c>
      <c r="K2897">
        <v>1.1203419999999999</v>
      </c>
      <c r="L2897">
        <v>213.5309</v>
      </c>
      <c r="M2897">
        <v>0.99990029999999996</v>
      </c>
      <c r="N2897">
        <v>-1.119846E-2</v>
      </c>
      <c r="O2897">
        <v>-8.6055200000000002E-3</v>
      </c>
      <c r="P2897">
        <v>0.98045139999999997</v>
      </c>
      <c r="Q2897">
        <v>0.19621630000000001</v>
      </c>
      <c r="R2897">
        <v>-1.4643750000000001E-2</v>
      </c>
      <c r="S2897">
        <v>3.0831300000000001</v>
      </c>
      <c r="T2897">
        <v>-0.117933</v>
      </c>
      <c r="U2897">
        <v>-6.7291260000000006E-2</v>
      </c>
      <c r="V2897">
        <v>6.2558730000000003E-3</v>
      </c>
      <c r="W2897">
        <v>0.20718320000000001</v>
      </c>
      <c r="X2897">
        <v>0.97828219999999999</v>
      </c>
      <c r="Y2897">
        <v>1.3206280000000001E-2</v>
      </c>
      <c r="Z2897" s="1">
        <v>-9.3784120000000004E-5</v>
      </c>
      <c r="AA2897">
        <v>0.99991280000000005</v>
      </c>
      <c r="AB2897">
        <v>47</v>
      </c>
      <c r="AC2897">
        <v>28.819599999999902</v>
      </c>
      <c r="AD2897">
        <v>-1.1203395194229999</v>
      </c>
      <c r="AE2897">
        <v>-0.63519999999999699</v>
      </c>
      <c r="AF2897">
        <v>0.38656938709108801</v>
      </c>
      <c r="AG2897">
        <v>-1.1203395194229999</v>
      </c>
      <c r="AH2897">
        <v>28.7805271364305</v>
      </c>
      <c r="AI2897">
        <v>92.229026296587605</v>
      </c>
      <c r="AJ2897">
        <v>89.230470572567</v>
      </c>
      <c r="AK2897">
        <v>28.8049186560321</v>
      </c>
      <c r="AL2897">
        <v>78.042669028334203</v>
      </c>
      <c r="AM2897">
        <v>89.6336126381767</v>
      </c>
      <c r="AN2897">
        <v>1.0000000385730301</v>
      </c>
    </row>
    <row r="2898" spans="1:40" x14ac:dyDescent="0.25">
      <c r="A2898" t="str">
        <f>"20190303170554486"</f>
        <v>20190303170554486</v>
      </c>
      <c r="B2898" t="str">
        <f>"1551603954477265"</f>
        <v>1551603954477265</v>
      </c>
      <c r="C2898" t="s">
        <v>40</v>
      </c>
      <c r="D2898">
        <v>5.5950480000000002</v>
      </c>
      <c r="E2898">
        <v>0.50845019999999996</v>
      </c>
      <c r="F2898" t="s">
        <v>60</v>
      </c>
      <c r="G2898">
        <v>-377.46469999999999</v>
      </c>
      <c r="H2898" s="1">
        <v>2.4355260000000001E-6</v>
      </c>
      <c r="I2898">
        <v>212.85560000000001</v>
      </c>
      <c r="J2898">
        <v>-405.87490000000003</v>
      </c>
      <c r="K2898">
        <v>1.1204160000000001</v>
      </c>
      <c r="L2898">
        <v>213.52670000000001</v>
      </c>
      <c r="M2898">
        <v>0.99989899999999998</v>
      </c>
      <c r="N2898">
        <v>-1.1401730000000001E-2</v>
      </c>
      <c r="O2898">
        <v>-8.4943899999999992E-3</v>
      </c>
      <c r="P2898">
        <v>0.98047410000000002</v>
      </c>
      <c r="Q2898">
        <v>0.196049</v>
      </c>
      <c r="R2898">
        <v>-1.5358220000000001E-2</v>
      </c>
      <c r="S2898">
        <v>3.0826419999999999</v>
      </c>
      <c r="T2898">
        <v>-0.1194843</v>
      </c>
      <c r="U2898">
        <v>-7.2021479999999999E-2</v>
      </c>
      <c r="V2898">
        <v>7.0448530000000002E-3</v>
      </c>
      <c r="W2898">
        <v>0.20721629999999999</v>
      </c>
      <c r="X2898">
        <v>0.97826979999999997</v>
      </c>
      <c r="Y2898">
        <v>1.485247E-2</v>
      </c>
      <c r="Z2898">
        <v>-1.401757E-4</v>
      </c>
      <c r="AA2898">
        <v>0.99988969999999999</v>
      </c>
      <c r="AB2898">
        <v>47</v>
      </c>
      <c r="AC2898">
        <v>28.4102</v>
      </c>
      <c r="AD2898">
        <v>-1.1204135644740001</v>
      </c>
      <c r="AE2898">
        <v>-0.67109999999999503</v>
      </c>
      <c r="AF2898">
        <v>0.429065853539848</v>
      </c>
      <c r="AG2898">
        <v>-1.1204135644740001</v>
      </c>
      <c r="AH2898">
        <v>28.370775992274702</v>
      </c>
      <c r="AI2898">
        <v>92.261281051602495</v>
      </c>
      <c r="AJ2898">
        <v>89.133552478766106</v>
      </c>
      <c r="AK2898">
        <v>28.396132737856401</v>
      </c>
      <c r="AL2898">
        <v>78.040730161633903</v>
      </c>
      <c r="AM2898">
        <v>89.587400769290397</v>
      </c>
      <c r="AN2898">
        <v>1.00000001326576</v>
      </c>
    </row>
    <row r="2899" spans="1:40" x14ac:dyDescent="0.25">
      <c r="A2899" t="str">
        <f>"20190303170554520"</f>
        <v>20190303170554520</v>
      </c>
      <c r="B2899" t="str">
        <f>"1551603954507521"</f>
        <v>1551603954507521</v>
      </c>
      <c r="C2899" t="s">
        <v>40</v>
      </c>
      <c r="D2899">
        <v>5.6169200000000004</v>
      </c>
      <c r="E2899">
        <v>0.50870689999999996</v>
      </c>
      <c r="F2899" t="s">
        <v>60</v>
      </c>
      <c r="G2899">
        <v>-377.2081</v>
      </c>
      <c r="H2899" s="1">
        <v>2.2989799999999998E-6</v>
      </c>
      <c r="I2899">
        <v>212.82740000000001</v>
      </c>
      <c r="J2899">
        <v>-405.1644</v>
      </c>
      <c r="K2899">
        <v>1.1203019999999999</v>
      </c>
      <c r="L2899">
        <v>213.52080000000001</v>
      </c>
      <c r="M2899">
        <v>0.9999072</v>
      </c>
      <c r="N2899">
        <v>-1.086529E-2</v>
      </c>
      <c r="O2899">
        <v>-8.2168269999999995E-3</v>
      </c>
      <c r="P2899">
        <v>0.98034540000000003</v>
      </c>
      <c r="Q2899">
        <v>0.19668160000000001</v>
      </c>
      <c r="R2899">
        <v>-1.5464820000000001E-2</v>
      </c>
      <c r="S2899">
        <v>3.0826720000000001</v>
      </c>
      <c r="T2899">
        <v>-0.120483199999999</v>
      </c>
      <c r="U2899">
        <v>-7.5195310000000001E-2</v>
      </c>
      <c r="V2899">
        <v>7.3819089999999999E-3</v>
      </c>
      <c r="W2899">
        <v>0.2073236</v>
      </c>
      <c r="X2899">
        <v>0.97824460000000002</v>
      </c>
      <c r="Y2899">
        <v>1.6157459999999998E-2</v>
      </c>
      <c r="Z2899">
        <v>-1.716984E-4</v>
      </c>
      <c r="AA2899">
        <v>0.99986949999999997</v>
      </c>
      <c r="AB2899">
        <v>47</v>
      </c>
      <c r="AC2899">
        <v>27.956299999999999</v>
      </c>
      <c r="AD2899">
        <v>-1.12029970102</v>
      </c>
      <c r="AE2899">
        <v>-0.69339999999999602</v>
      </c>
      <c r="AF2899">
        <v>0.462908034633632</v>
      </c>
      <c r="AG2899">
        <v>-1.12029970102</v>
      </c>
      <c r="AH2899">
        <v>27.916251832318899</v>
      </c>
      <c r="AI2899">
        <v>92.297773052819593</v>
      </c>
      <c r="AJ2899">
        <v>89.050006916264493</v>
      </c>
      <c r="AK2899">
        <v>27.942556640974701</v>
      </c>
      <c r="AL2899">
        <v>78.034446087515207</v>
      </c>
      <c r="AM2899">
        <v>89.567649846849505</v>
      </c>
      <c r="AN2899">
        <v>1.0000000325633001</v>
      </c>
    </row>
    <row r="2900" spans="1:40" x14ac:dyDescent="0.25">
      <c r="A2900" t="str">
        <f>"20190303170554541"</f>
        <v>20190303170554541</v>
      </c>
      <c r="B2900" t="str">
        <f>"1551603954528017"</f>
        <v>1551603954528017</v>
      </c>
      <c r="C2900" t="s">
        <v>40</v>
      </c>
      <c r="D2900">
        <v>5.6477870000000001</v>
      </c>
      <c r="E2900">
        <v>0.50887700000000002</v>
      </c>
      <c r="F2900" t="s">
        <v>60</v>
      </c>
      <c r="G2900">
        <v>-376.24369999999999</v>
      </c>
      <c r="H2900" s="1">
        <v>1.785764E-6</v>
      </c>
      <c r="I2900">
        <v>212.80779999999999</v>
      </c>
      <c r="J2900">
        <v>-404.73289999999997</v>
      </c>
      <c r="K2900">
        <v>1.1200289999999999</v>
      </c>
      <c r="L2900">
        <v>213.51730000000001</v>
      </c>
      <c r="M2900">
        <v>0.99992060000000005</v>
      </c>
      <c r="N2900">
        <v>-9.7300070000000006E-3</v>
      </c>
      <c r="O2900">
        <v>-8.0183559999999904E-3</v>
      </c>
      <c r="P2900">
        <v>0.98015110000000005</v>
      </c>
      <c r="Q2900">
        <v>0.1976859</v>
      </c>
      <c r="R2900">
        <v>-1.49769E-2</v>
      </c>
      <c r="S2900">
        <v>3.082916</v>
      </c>
      <c r="T2900">
        <v>-0.1194226</v>
      </c>
      <c r="U2900">
        <v>-7.600403E-2</v>
      </c>
      <c r="V2900">
        <v>7.075306E-3</v>
      </c>
      <c r="W2900">
        <v>0.20721580000000001</v>
      </c>
      <c r="X2900">
        <v>0.97826970000000002</v>
      </c>
      <c r="Y2900">
        <v>1.6616499999999999E-2</v>
      </c>
      <c r="Z2900">
        <v>-1.701145E-4</v>
      </c>
      <c r="AA2900">
        <v>0.99986189999999997</v>
      </c>
      <c r="AB2900">
        <v>47</v>
      </c>
      <c r="AC2900">
        <v>28.489199999999901</v>
      </c>
      <c r="AD2900">
        <v>-1.1200272142359999</v>
      </c>
      <c r="AE2900">
        <v>-0.709500000000019</v>
      </c>
      <c r="AF2900">
        <v>0.48028797488722003</v>
      </c>
      <c r="AG2900">
        <v>-1.1200272142359999</v>
      </c>
      <c r="AH2900">
        <v>28.450028287399</v>
      </c>
      <c r="AI2900">
        <v>92.254148261816894</v>
      </c>
      <c r="AJ2900">
        <v>89.032835402937494</v>
      </c>
      <c r="AK2900">
        <v>28.4761171344208</v>
      </c>
      <c r="AL2900">
        <v>78.040759609747397</v>
      </c>
      <c r="AM2900">
        <v>89.585617233769</v>
      </c>
      <c r="AN2900">
        <v>1.00000002683136</v>
      </c>
    </row>
    <row r="2901" spans="1:40" x14ac:dyDescent="0.25">
      <c r="A2901" t="str">
        <f>"20190303170554563"</f>
        <v>20190303170554563</v>
      </c>
      <c r="B2901" t="str">
        <f>"1551603954557297"</f>
        <v>1551603954557297</v>
      </c>
      <c r="C2901" t="s">
        <v>40</v>
      </c>
      <c r="D2901">
        <v>5.8150190000000004</v>
      </c>
      <c r="E2901">
        <v>0.50908050000000005</v>
      </c>
      <c r="F2901" t="s">
        <v>60</v>
      </c>
      <c r="G2901">
        <v>-375.0994</v>
      </c>
      <c r="H2901" s="1">
        <v>1.1768380000000001E-6</v>
      </c>
      <c r="I2901">
        <v>212.78489999999999</v>
      </c>
      <c r="J2901">
        <v>-404.23719999999997</v>
      </c>
      <c r="K2901">
        <v>1.1197569999999999</v>
      </c>
      <c r="L2901">
        <v>213.51349999999999</v>
      </c>
      <c r="M2901">
        <v>0.99993520000000002</v>
      </c>
      <c r="N2901">
        <v>-8.343952E-3</v>
      </c>
      <c r="O2901">
        <v>-7.7555430000000002E-3</v>
      </c>
      <c r="P2901">
        <v>0.97976920000000001</v>
      </c>
      <c r="Q2901">
        <v>0.19963880000000001</v>
      </c>
      <c r="R2901">
        <v>-1.403159E-2</v>
      </c>
      <c r="S2901">
        <v>3.0831300000000001</v>
      </c>
      <c r="T2901">
        <v>-0.1165297</v>
      </c>
      <c r="U2901">
        <v>-7.6202389999999995E-2</v>
      </c>
      <c r="V2901">
        <v>6.3738909999999996E-3</v>
      </c>
      <c r="W2901">
        <v>0.20780960000000001</v>
      </c>
      <c r="X2901">
        <v>0.97814849999999998</v>
      </c>
      <c r="Y2901">
        <v>1.6942789999999999E-2</v>
      </c>
      <c r="Z2901">
        <v>-1.6246650000000001E-4</v>
      </c>
      <c r="AA2901">
        <v>0.99985650000000004</v>
      </c>
      <c r="AB2901">
        <v>47</v>
      </c>
      <c r="AC2901">
        <v>29.137799999999899</v>
      </c>
      <c r="AD2901">
        <v>-1.119755823162</v>
      </c>
      <c r="AE2901">
        <v>-0.72860000000000003</v>
      </c>
      <c r="AF2901">
        <v>0.501850089356637</v>
      </c>
      <c r="AG2901">
        <v>-1.119755823162</v>
      </c>
      <c r="AH2901">
        <v>29.099625906903899</v>
      </c>
      <c r="AI2901">
        <v>92.203331415661907</v>
      </c>
      <c r="AJ2901">
        <v>89.011978985976199</v>
      </c>
      <c r="AK2901">
        <v>29.1254859965881</v>
      </c>
      <c r="AL2901">
        <v>78.005979646689099</v>
      </c>
      <c r="AM2901">
        <v>89.626649854783594</v>
      </c>
      <c r="AN2901">
        <v>0.99999997219544401</v>
      </c>
    </row>
    <row r="2902" spans="1:40" x14ac:dyDescent="0.25">
      <c r="A2902" t="str">
        <f>"20190303170554587"</f>
        <v>20190303170554587</v>
      </c>
      <c r="B2902" t="str">
        <f>"1551603954577452"</f>
        <v>1551603954577452</v>
      </c>
      <c r="C2902" t="s">
        <v>40</v>
      </c>
      <c r="D2902">
        <v>5.6577299999999999</v>
      </c>
      <c r="E2902">
        <v>0.5092023</v>
      </c>
      <c r="F2902" t="s">
        <v>60</v>
      </c>
      <c r="G2902">
        <v>-373.04219999999998</v>
      </c>
      <c r="H2902" s="1">
        <v>8.2126289999999997E-8</v>
      </c>
      <c r="I2902">
        <v>212.75210000000001</v>
      </c>
      <c r="J2902">
        <v>-403.73809999999997</v>
      </c>
      <c r="K2902">
        <v>1.119599</v>
      </c>
      <c r="L2902">
        <v>213.50970000000001</v>
      </c>
      <c r="M2902">
        <v>0.99994709999999998</v>
      </c>
      <c r="N2902">
        <v>-7.1283539999999999E-3</v>
      </c>
      <c r="O2902">
        <v>-7.4336869999999996E-3</v>
      </c>
      <c r="P2902">
        <v>0.97923530000000003</v>
      </c>
      <c r="Q2902">
        <v>0.20226089999999999</v>
      </c>
      <c r="R2902">
        <v>-1.3746960000000001E-2</v>
      </c>
      <c r="S2902">
        <v>3.083466</v>
      </c>
      <c r="T2902">
        <v>-0.1106824</v>
      </c>
      <c r="U2902">
        <v>-7.525635E-2</v>
      </c>
      <c r="V2902">
        <v>6.3843939999999998E-3</v>
      </c>
      <c r="W2902">
        <v>0.20923900000000001</v>
      </c>
      <c r="X2902">
        <v>0.97784369999999998</v>
      </c>
      <c r="Y2902">
        <v>1.6956809999999999E-2</v>
      </c>
      <c r="Z2902">
        <v>-1.5093149999999999E-4</v>
      </c>
      <c r="AA2902">
        <v>0.99985619999999997</v>
      </c>
      <c r="AB2902">
        <v>48</v>
      </c>
      <c r="AC2902">
        <v>30.695899999999899</v>
      </c>
      <c r="AD2902">
        <v>-1.11959891787371</v>
      </c>
      <c r="AE2902">
        <v>-0.75759999999999605</v>
      </c>
      <c r="AF2902">
        <v>0.52868667998498597</v>
      </c>
      <c r="AG2902">
        <v>-1.11959891787371</v>
      </c>
      <c r="AH2902">
        <v>30.659920292867898</v>
      </c>
      <c r="AI2902">
        <v>92.091012616284004</v>
      </c>
      <c r="AJ2902">
        <v>89.012113750079493</v>
      </c>
      <c r="AK2902">
        <v>30.684910358472798</v>
      </c>
      <c r="AL2902">
        <v>77.922240691633803</v>
      </c>
      <c r="AM2902">
        <v>89.625918095849002</v>
      </c>
      <c r="AN2902">
        <v>1.0000000106187099</v>
      </c>
    </row>
    <row r="2903" spans="1:40" x14ac:dyDescent="0.25">
      <c r="A2903" t="str">
        <f>"20190303170554609"</f>
        <v>20190303170554609</v>
      </c>
      <c r="B2903" t="str">
        <f>"1551603954597947"</f>
        <v>1551603954597947</v>
      </c>
      <c r="C2903" t="s">
        <v>40</v>
      </c>
      <c r="D2903">
        <v>5.812983</v>
      </c>
      <c r="E2903">
        <v>0.50932939999999904</v>
      </c>
      <c r="F2903" t="s">
        <v>60</v>
      </c>
      <c r="G2903">
        <v>-370.18650000000002</v>
      </c>
      <c r="H2903" s="1">
        <v>-1.437537E-6</v>
      </c>
      <c r="I2903">
        <v>212.6926</v>
      </c>
      <c r="J2903">
        <v>-403.24029999999999</v>
      </c>
      <c r="K2903">
        <v>1.1195930000000001</v>
      </c>
      <c r="L2903">
        <v>213.5061</v>
      </c>
      <c r="M2903">
        <v>0.9999555</v>
      </c>
      <c r="N2903">
        <v>-6.2749640000000001E-3</v>
      </c>
      <c r="O2903">
        <v>-7.0617049999999997E-3</v>
      </c>
      <c r="P2903">
        <v>0.97870520000000005</v>
      </c>
      <c r="Q2903">
        <v>0.20483950000000001</v>
      </c>
      <c r="R2903">
        <v>-1.331009E-2</v>
      </c>
      <c r="S2903">
        <v>3.0838619999999999</v>
      </c>
      <c r="T2903">
        <v>-0.1029071</v>
      </c>
      <c r="U2903">
        <v>-7.5103760000000006E-2</v>
      </c>
      <c r="V2903">
        <v>6.2797919999999898E-3</v>
      </c>
      <c r="W2903">
        <v>0.21098069999999999</v>
      </c>
      <c r="X2903">
        <v>0.97746999999999995</v>
      </c>
      <c r="Y2903">
        <v>1.727739E-2</v>
      </c>
      <c r="Z2903">
        <v>-1.511386E-4</v>
      </c>
      <c r="AA2903">
        <v>0.99985069999999998</v>
      </c>
      <c r="AB2903">
        <v>48</v>
      </c>
      <c r="AC2903">
        <v>33.053799999999903</v>
      </c>
      <c r="AD2903">
        <v>-1.1195944375369999</v>
      </c>
      <c r="AE2903">
        <v>-0.813500000000004</v>
      </c>
      <c r="AF2903">
        <v>0.57939462396450403</v>
      </c>
      <c r="AG2903">
        <v>-1.1195944375369999</v>
      </c>
      <c r="AH2903">
        <v>33.020858564945598</v>
      </c>
      <c r="AI2903">
        <v>91.941609431968004</v>
      </c>
      <c r="AJ2903">
        <v>88.994772943936496</v>
      </c>
      <c r="AK2903">
        <v>33.044913227318098</v>
      </c>
      <c r="AL2903">
        <v>77.820169382310496</v>
      </c>
      <c r="AM2903">
        <v>89.631906219467893</v>
      </c>
      <c r="AN2903">
        <v>0.99999994623002497</v>
      </c>
    </row>
    <row r="2904" spans="1:40" x14ac:dyDescent="0.25">
      <c r="A2904" t="str">
        <f>"20190303170554630"</f>
        <v>20190303170554630</v>
      </c>
      <c r="B2904" t="str">
        <f>"1551603954617467"</f>
        <v>1551603954617467</v>
      </c>
      <c r="C2904" t="s">
        <v>40</v>
      </c>
      <c r="D2904">
        <v>5.659618</v>
      </c>
      <c r="E2904">
        <v>0.50944909999999999</v>
      </c>
      <c r="F2904" t="s">
        <v>60</v>
      </c>
      <c r="G2904">
        <v>-366.86470000000003</v>
      </c>
      <c r="H2904" s="1">
        <v>2.116277E-6</v>
      </c>
      <c r="I2904">
        <v>212.63290000000001</v>
      </c>
      <c r="J2904">
        <v>-402.78190000000001</v>
      </c>
      <c r="K2904">
        <v>1.1197159999999999</v>
      </c>
      <c r="L2904">
        <v>213.50299999999999</v>
      </c>
      <c r="M2904">
        <v>0.99996039999999997</v>
      </c>
      <c r="N2904">
        <v>-5.8983960000000002E-3</v>
      </c>
      <c r="O2904">
        <v>-6.6861009999999998E-3</v>
      </c>
      <c r="P2904">
        <v>0.97840300000000002</v>
      </c>
      <c r="Q2904">
        <v>0.20632420000000001</v>
      </c>
      <c r="R2904">
        <v>-1.256434E-2</v>
      </c>
      <c r="S2904">
        <v>3.0841370000000001</v>
      </c>
      <c r="T2904">
        <v>-9.4925640000000006E-2</v>
      </c>
      <c r="U2904">
        <v>-7.403564E-2</v>
      </c>
      <c r="V2904">
        <v>5.8629370000000004E-3</v>
      </c>
      <c r="W2904">
        <v>0.21209639999999999</v>
      </c>
      <c r="X2904">
        <v>0.97723110000000002</v>
      </c>
      <c r="Y2904">
        <v>1.7305870000000001E-2</v>
      </c>
      <c r="Z2904">
        <v>-1.5100479999999999E-4</v>
      </c>
      <c r="AA2904">
        <v>0.99985020000000002</v>
      </c>
      <c r="AB2904">
        <v>48</v>
      </c>
      <c r="AC2904">
        <v>35.917199999999902</v>
      </c>
      <c r="AD2904">
        <v>-1.1197138837229901</v>
      </c>
      <c r="AE2904">
        <v>-0.870099999999979</v>
      </c>
      <c r="AF2904">
        <v>0.62931912279129298</v>
      </c>
      <c r="AG2904">
        <v>-1.1197138837229901</v>
      </c>
      <c r="AH2904">
        <v>35.887357349637199</v>
      </c>
      <c r="AI2904">
        <v>91.786819269953796</v>
      </c>
      <c r="AJ2904">
        <v>88.995366695859303</v>
      </c>
      <c r="AK2904">
        <v>35.910335828007398</v>
      </c>
      <c r="AL2904">
        <v>77.754764255590402</v>
      </c>
      <c r="AM2904">
        <v>89.656255807558907</v>
      </c>
      <c r="AN2904">
        <v>0.99999993986521596</v>
      </c>
    </row>
    <row r="2905" spans="1:40" x14ac:dyDescent="0.25">
      <c r="A2905" t="str">
        <f>"20190303170554651"</f>
        <v>20190303170554651</v>
      </c>
      <c r="B2905" t="str">
        <f>"1551603954637964"</f>
        <v>1551603954637964</v>
      </c>
      <c r="C2905" t="s">
        <v>40</v>
      </c>
      <c r="D2905">
        <v>5.7014740000000002</v>
      </c>
      <c r="E2905">
        <v>0.50953979999999999</v>
      </c>
      <c r="F2905" t="s">
        <v>60</v>
      </c>
      <c r="G2905">
        <v>-364.7647</v>
      </c>
      <c r="H2905" s="1">
        <v>9.9874850000000003E-7</v>
      </c>
      <c r="I2905">
        <v>212.6037</v>
      </c>
      <c r="J2905">
        <v>-402.3186</v>
      </c>
      <c r="K2905">
        <v>1.1199159999999999</v>
      </c>
      <c r="L2905">
        <v>213.5001</v>
      </c>
      <c r="M2905">
        <v>0.9999633</v>
      </c>
      <c r="N2905">
        <v>-5.8450910000000002E-3</v>
      </c>
      <c r="O2905">
        <v>-6.2774349999999996E-3</v>
      </c>
      <c r="P2905">
        <v>0.97823490000000002</v>
      </c>
      <c r="Q2905">
        <v>0.20720530000000001</v>
      </c>
      <c r="R2905">
        <v>-1.108978E-2</v>
      </c>
      <c r="S2905">
        <v>3.0844420000000001</v>
      </c>
      <c r="T2905">
        <v>-9.0845700000000001E-2</v>
      </c>
      <c r="U2905">
        <v>-7.2967530000000003E-2</v>
      </c>
      <c r="V2905">
        <v>4.7476360000000004E-3</v>
      </c>
      <c r="W2905">
        <v>0.21292440000000001</v>
      </c>
      <c r="X2905">
        <v>0.97705719999999996</v>
      </c>
      <c r="Y2905">
        <v>1.7366489999999998E-2</v>
      </c>
      <c r="Z2905">
        <v>-1.5829409999999999E-4</v>
      </c>
      <c r="AA2905">
        <v>0.99984919999999999</v>
      </c>
      <c r="AB2905">
        <v>49</v>
      </c>
      <c r="AC2905">
        <v>37.553899999999999</v>
      </c>
      <c r="AD2905">
        <v>-1.1199150012515</v>
      </c>
      <c r="AE2905">
        <v>-0.89639999999999898</v>
      </c>
      <c r="AF2905">
        <v>0.66004950066304202</v>
      </c>
      <c r="AG2905">
        <v>-1.1199150012515</v>
      </c>
      <c r="AH2905">
        <v>37.525433960695999</v>
      </c>
      <c r="AI2905">
        <v>91.709172712031005</v>
      </c>
      <c r="AJ2905">
        <v>88.992306090641407</v>
      </c>
      <c r="AK2905">
        <v>37.547943604036597</v>
      </c>
      <c r="AL2905">
        <v>77.706215860548596</v>
      </c>
      <c r="AM2905">
        <v>89.721595250914405</v>
      </c>
      <c r="AN2905">
        <v>1.0000000561173901</v>
      </c>
    </row>
    <row r="2906" spans="1:40" x14ac:dyDescent="0.25">
      <c r="A2906" t="str">
        <f>"20190303170554675"</f>
        <v>20190303170554675</v>
      </c>
      <c r="B2906" t="str">
        <f>"1551603954667245"</f>
        <v>1551603954667245</v>
      </c>
      <c r="C2906" t="s">
        <v>40</v>
      </c>
      <c r="D2906">
        <v>5.6704730000000003</v>
      </c>
      <c r="E2906">
        <v>0.50967200000000001</v>
      </c>
      <c r="F2906" t="s">
        <v>60</v>
      </c>
      <c r="G2906">
        <v>-363.35890000000001</v>
      </c>
      <c r="H2906" s="1">
        <v>2.5068099999999999E-7</v>
      </c>
      <c r="I2906">
        <v>212.619</v>
      </c>
      <c r="J2906">
        <v>-401.81529999999998</v>
      </c>
      <c r="K2906">
        <v>1.1201289999999999</v>
      </c>
      <c r="L2906">
        <v>213.49719999999999</v>
      </c>
      <c r="M2906">
        <v>0.99996549999999995</v>
      </c>
      <c r="N2906">
        <v>-5.9571629999999997E-3</v>
      </c>
      <c r="O2906">
        <v>-5.7929330000000001E-3</v>
      </c>
      <c r="P2906">
        <v>0.97816250000000005</v>
      </c>
      <c r="Q2906">
        <v>0.20758509999999999</v>
      </c>
      <c r="R2906">
        <v>-1.032873E-2</v>
      </c>
      <c r="S2906">
        <v>3.0847470000000001</v>
      </c>
      <c r="T2906">
        <v>-8.8672760000000003E-2</v>
      </c>
      <c r="U2906">
        <v>-6.9763179999999994E-2</v>
      </c>
      <c r="V2906">
        <v>4.4228729999999999E-3</v>
      </c>
      <c r="W2906">
        <v>0.21341360000000001</v>
      </c>
      <c r="X2906">
        <v>0.97695200000000004</v>
      </c>
      <c r="Y2906">
        <v>1.681094E-2</v>
      </c>
      <c r="Z2906">
        <v>-1.5966959999999999E-4</v>
      </c>
      <c r="AA2906">
        <v>0.99985869999999999</v>
      </c>
      <c r="AB2906">
        <v>49</v>
      </c>
      <c r="AC2906">
        <v>38.456399999999903</v>
      </c>
      <c r="AD2906">
        <v>-1.120128749319</v>
      </c>
      <c r="AE2906">
        <v>-0.87819999999996401</v>
      </c>
      <c r="AF2906">
        <v>0.65485068446329597</v>
      </c>
      <c r="AG2906">
        <v>-1.120128749319</v>
      </c>
      <c r="AH2906">
        <v>38.4282567663398</v>
      </c>
      <c r="AI2906">
        <v>91.669375083828399</v>
      </c>
      <c r="AJ2906">
        <v>89.023724925893902</v>
      </c>
      <c r="AK2906">
        <v>38.450155213389401</v>
      </c>
      <c r="AL2906">
        <v>77.677527524966905</v>
      </c>
      <c r="AM2906">
        <v>89.740611386271198</v>
      </c>
      <c r="AN2906">
        <v>1.0000000683872601</v>
      </c>
    </row>
    <row r="2907" spans="1:40" x14ac:dyDescent="0.25">
      <c r="A2907" t="str">
        <f>"20190303170554697"</f>
        <v>20190303170554697</v>
      </c>
      <c r="B2907" t="str">
        <f>"1551603954687739"</f>
        <v>1551603954687739</v>
      </c>
      <c r="C2907" t="s">
        <v>40</v>
      </c>
      <c r="D2907">
        <v>6.066643</v>
      </c>
      <c r="E2907">
        <v>0.50974209999999998</v>
      </c>
      <c r="F2907" t="s">
        <v>60</v>
      </c>
      <c r="G2907">
        <v>-362.76319999999998</v>
      </c>
      <c r="H2907" s="1">
        <v>-6.6374179999999895E-8</v>
      </c>
      <c r="I2907">
        <v>212.63829999999999</v>
      </c>
      <c r="J2907">
        <v>-401.31920000000002</v>
      </c>
      <c r="K2907">
        <v>1.120293</v>
      </c>
      <c r="L2907">
        <v>213.49469999999999</v>
      </c>
      <c r="M2907">
        <v>0.99996750000000001</v>
      </c>
      <c r="N2907">
        <v>-6.1085990000000001E-3</v>
      </c>
      <c r="O2907">
        <v>-5.2728690000000003E-3</v>
      </c>
      <c r="P2907">
        <v>0.97804979999999997</v>
      </c>
      <c r="Q2907">
        <v>0.2081162</v>
      </c>
      <c r="R2907">
        <v>-1.032514E-2</v>
      </c>
      <c r="S2907">
        <v>3.0850219999999999</v>
      </c>
      <c r="T2907">
        <v>-8.8487389999999999E-2</v>
      </c>
      <c r="U2907">
        <v>-6.7855830000000006E-2</v>
      </c>
      <c r="V2907">
        <v>4.8992549999999999E-3</v>
      </c>
      <c r="W2907">
        <v>0.21409320000000001</v>
      </c>
      <c r="X2907">
        <v>0.97680100000000003</v>
      </c>
      <c r="Y2907">
        <v>1.6710940000000001E-2</v>
      </c>
      <c r="Z2907">
        <v>-1.716531E-4</v>
      </c>
      <c r="AA2907">
        <v>0.99986030000000004</v>
      </c>
      <c r="AB2907">
        <v>49</v>
      </c>
      <c r="AC2907">
        <v>38.555999999999997</v>
      </c>
      <c r="AD2907">
        <v>-1.1202930663741799</v>
      </c>
      <c r="AE2907">
        <v>-0.85640000000000704</v>
      </c>
      <c r="AF2907">
        <v>0.652532936158571</v>
      </c>
      <c r="AG2907">
        <v>-1.1202930663741799</v>
      </c>
      <c r="AH2907">
        <v>38.527468360698499</v>
      </c>
      <c r="AI2907">
        <v>91.665325782156501</v>
      </c>
      <c r="AJ2907">
        <v>89.029684261403304</v>
      </c>
      <c r="AK2907">
        <v>38.549275921500303</v>
      </c>
      <c r="AL2907">
        <v>77.637667804590095</v>
      </c>
      <c r="AM2907">
        <v>89.712628999723506</v>
      </c>
      <c r="AN2907">
        <v>1.0000000472933901</v>
      </c>
    </row>
    <row r="2908" spans="1:40" x14ac:dyDescent="0.25">
      <c r="A2908" t="str">
        <f>"20190303170554717"</f>
        <v>20190303170554717</v>
      </c>
      <c r="B2908" t="str">
        <f>"1551603954707265"</f>
        <v>1551603954707265</v>
      </c>
      <c r="C2908" t="s">
        <v>40</v>
      </c>
      <c r="D2908">
        <v>5.6644009999999998</v>
      </c>
      <c r="E2908">
        <v>0.50982769999999999</v>
      </c>
      <c r="F2908" t="s">
        <v>60</v>
      </c>
      <c r="G2908">
        <v>-361.81240000000003</v>
      </c>
      <c r="H2908" s="1">
        <v>-5.723251E-7</v>
      </c>
      <c r="I2908">
        <v>212.6225</v>
      </c>
      <c r="J2908">
        <v>-400.8605</v>
      </c>
      <c r="K2908">
        <v>1.1204019999999999</v>
      </c>
      <c r="L2908">
        <v>213.49260000000001</v>
      </c>
      <c r="M2908">
        <v>0.99996929999999995</v>
      </c>
      <c r="N2908">
        <v>-6.2498069999999996E-3</v>
      </c>
      <c r="O2908">
        <v>-4.7588470000000001E-3</v>
      </c>
      <c r="P2908">
        <v>0.97788730000000001</v>
      </c>
      <c r="Q2908">
        <v>0.2089068</v>
      </c>
      <c r="R2908">
        <v>-9.7268000000000007E-3</v>
      </c>
      <c r="S2908">
        <v>3.0852659999999998</v>
      </c>
      <c r="T2908">
        <v>-8.7488769999999993E-2</v>
      </c>
      <c r="U2908">
        <v>-6.8115229999999999E-2</v>
      </c>
      <c r="V2908">
        <v>4.7841109999999997E-3</v>
      </c>
      <c r="W2908">
        <v>0.2150214</v>
      </c>
      <c r="X2908">
        <v>0.97659759999999995</v>
      </c>
      <c r="Y2908">
        <v>1.730686E-2</v>
      </c>
      <c r="Z2908">
        <v>-1.9424199999999999E-4</v>
      </c>
      <c r="AA2908">
        <v>0.99985020000000002</v>
      </c>
      <c r="AB2908">
        <v>49</v>
      </c>
      <c r="AC2908">
        <v>39.048099999999899</v>
      </c>
      <c r="AD2908">
        <v>-1.1204025723251001</v>
      </c>
      <c r="AE2908">
        <v>-0.87010000000000698</v>
      </c>
      <c r="AF2908">
        <v>0.68370001467548402</v>
      </c>
      <c r="AG2908">
        <v>-1.1204025723251001</v>
      </c>
      <c r="AH2908">
        <v>39.019690331003297</v>
      </c>
      <c r="AI2908">
        <v>91.644473868848905</v>
      </c>
      <c r="AJ2908">
        <v>88.996170478258307</v>
      </c>
      <c r="AK2908">
        <v>39.0417594526877</v>
      </c>
      <c r="AL2908">
        <v>77.583216965023297</v>
      </c>
      <c r="AM2908">
        <v>89.719324339542695</v>
      </c>
      <c r="AN2908">
        <v>0.99999998125088996</v>
      </c>
    </row>
    <row r="2909" spans="1:40" x14ac:dyDescent="0.25">
      <c r="A2909" t="str">
        <f>"20190303170554740"</f>
        <v>20190303170554740</v>
      </c>
      <c r="B2909" t="str">
        <f>"1551603954727756"</f>
        <v>1551603954727756</v>
      </c>
      <c r="C2909" t="s">
        <v>40</v>
      </c>
      <c r="D2909">
        <v>5.7228500000000002</v>
      </c>
      <c r="E2909">
        <v>0.50990609999999903</v>
      </c>
      <c r="F2909" t="s">
        <v>60</v>
      </c>
      <c r="G2909">
        <v>-360.5385</v>
      </c>
      <c r="H2909" s="1">
        <v>-1.25024E-6</v>
      </c>
      <c r="I2909">
        <v>212.61799999999999</v>
      </c>
      <c r="J2909">
        <v>-400.38479999999998</v>
      </c>
      <c r="K2909">
        <v>1.1204769999999999</v>
      </c>
      <c r="L2909">
        <v>213.4906</v>
      </c>
      <c r="M2909">
        <v>0.9999709</v>
      </c>
      <c r="N2909">
        <v>-6.3924969999999996E-3</v>
      </c>
      <c r="O2909">
        <v>-4.2008929999999998E-3</v>
      </c>
      <c r="P2909">
        <v>0.97775389999999995</v>
      </c>
      <c r="Q2909">
        <v>0.20957909999999999</v>
      </c>
      <c r="R2909">
        <v>-8.6192939999999996E-3</v>
      </c>
      <c r="S2909">
        <v>3.08548</v>
      </c>
      <c r="T2909">
        <v>-8.5734370000000004E-2</v>
      </c>
      <c r="U2909">
        <v>-6.692505E-2</v>
      </c>
      <c r="V2909">
        <v>4.2064529999999998E-3</v>
      </c>
      <c r="W2909">
        <v>0.2158312</v>
      </c>
      <c r="X2909">
        <v>0.97642169999999895</v>
      </c>
      <c r="Y2909">
        <v>1.747771E-2</v>
      </c>
      <c r="Z2909">
        <v>-2.0878730000000001E-4</v>
      </c>
      <c r="AA2909">
        <v>0.99984720000000005</v>
      </c>
      <c r="AB2909">
        <v>49</v>
      </c>
      <c r="AC2909">
        <v>39.8462999999999</v>
      </c>
      <c r="AD2909">
        <v>-1.1204782502399999</v>
      </c>
      <c r="AE2909">
        <v>-0.87260000000000504</v>
      </c>
      <c r="AF2909">
        <v>0.704641945392254</v>
      </c>
      <c r="AG2909">
        <v>-1.1204782502399999</v>
      </c>
      <c r="AH2909">
        <v>39.818143663835997</v>
      </c>
      <c r="AI2909">
        <v>91.611619464974197</v>
      </c>
      <c r="AJ2909">
        <v>88.986170822445402</v>
      </c>
      <c r="AK2909">
        <v>39.840137507472903</v>
      </c>
      <c r="AL2909">
        <v>77.535704329836904</v>
      </c>
      <c r="AM2909">
        <v>89.753169647246594</v>
      </c>
      <c r="AN2909">
        <v>1.0000000686855799</v>
      </c>
    </row>
    <row r="2910" spans="1:40" x14ac:dyDescent="0.25">
      <c r="A2910" t="str">
        <f>"20190303170554762"</f>
        <v>20190303170554762</v>
      </c>
      <c r="B2910" t="str">
        <f>"1551603954758012"</f>
        <v>1551603954758012</v>
      </c>
      <c r="C2910" t="s">
        <v>40</v>
      </c>
      <c r="D2910">
        <v>5.7176799999999997</v>
      </c>
      <c r="E2910">
        <v>0.51000389999999995</v>
      </c>
      <c r="F2910" t="s">
        <v>60</v>
      </c>
      <c r="G2910">
        <v>-359.50240000000002</v>
      </c>
      <c r="H2910" s="1">
        <v>3.6066630000000002E-6</v>
      </c>
      <c r="I2910">
        <v>212.63220000000001</v>
      </c>
      <c r="J2910">
        <v>-399.88459999999998</v>
      </c>
      <c r="K2910">
        <v>1.1205369999999999</v>
      </c>
      <c r="L2910">
        <v>213.4888</v>
      </c>
      <c r="M2910">
        <v>0.99997230000000004</v>
      </c>
      <c r="N2910">
        <v>-6.5303899999999996E-3</v>
      </c>
      <c r="O2910">
        <v>-3.5978920000000001E-3</v>
      </c>
      <c r="P2910">
        <v>0.97777409999999998</v>
      </c>
      <c r="Q2910">
        <v>0.20952029999999999</v>
      </c>
      <c r="R2910">
        <v>-7.7069219999999997E-3</v>
      </c>
      <c r="S2910">
        <v>3.0858150000000002</v>
      </c>
      <c r="T2910">
        <v>-8.4573750000000003E-2</v>
      </c>
      <c r="U2910">
        <v>-6.4788819999999997E-2</v>
      </c>
      <c r="V2910">
        <v>3.8704669999999998E-3</v>
      </c>
      <c r="W2910">
        <v>0.21590709999999999</v>
      </c>
      <c r="X2910">
        <v>0.97640629999999995</v>
      </c>
      <c r="Y2910">
        <v>1.7386450000000001E-2</v>
      </c>
      <c r="Z2910">
        <v>-2.198891E-4</v>
      </c>
      <c r="AA2910">
        <v>0.99984879999999998</v>
      </c>
      <c r="AB2910">
        <v>49</v>
      </c>
      <c r="AC2910">
        <v>40.382199999999898</v>
      </c>
      <c r="AD2910">
        <v>-1.1205333933370001</v>
      </c>
      <c r="AE2910">
        <v>-0.85659999999998604</v>
      </c>
      <c r="AF2910">
        <v>0.71075356937324696</v>
      </c>
      <c r="AG2910">
        <v>-1.1205333933370001</v>
      </c>
      <c r="AH2910">
        <v>40.353963567412102</v>
      </c>
      <c r="AI2910">
        <v>91.590312008828803</v>
      </c>
      <c r="AJ2910">
        <v>88.990954890814507</v>
      </c>
      <c r="AK2910">
        <v>40.375774188515301</v>
      </c>
      <c r="AL2910">
        <v>77.531250454883406</v>
      </c>
      <c r="AM2910">
        <v>89.772881163993006</v>
      </c>
      <c r="AN2910">
        <v>1.0000000595124401</v>
      </c>
    </row>
    <row r="2911" spans="1:40" x14ac:dyDescent="0.25">
      <c r="A2911" t="str">
        <f>"20190303170554788"</f>
        <v>20190303170554788</v>
      </c>
      <c r="B2911" t="str">
        <f>"1551603954777532"</f>
        <v>1551603954777532</v>
      </c>
      <c r="C2911" t="s">
        <v>40</v>
      </c>
      <c r="D2911">
        <v>5.7082499999999996</v>
      </c>
      <c r="E2911">
        <v>0.51009009999999999</v>
      </c>
      <c r="F2911" t="s">
        <v>60</v>
      </c>
      <c r="G2911">
        <v>-359.13440000000003</v>
      </c>
      <c r="H2911" s="1">
        <v>3.409512E-6</v>
      </c>
      <c r="I2911">
        <v>212.66220000000001</v>
      </c>
      <c r="J2911">
        <v>-399.34769999999997</v>
      </c>
      <c r="K2911">
        <v>1.1205799999999999</v>
      </c>
      <c r="L2911">
        <v>213.4872</v>
      </c>
      <c r="M2911">
        <v>0.99997349999999996</v>
      </c>
      <c r="N2911">
        <v>-6.6578770000000004E-3</v>
      </c>
      <c r="O2911">
        <v>-2.9432519999999999E-3</v>
      </c>
      <c r="P2911">
        <v>0.97783969999999998</v>
      </c>
      <c r="Q2911">
        <v>0.2092444</v>
      </c>
      <c r="R2911">
        <v>-6.7904949999999997E-3</v>
      </c>
      <c r="S2911">
        <v>3.0858460000000001</v>
      </c>
      <c r="T2911">
        <v>-8.4853529999999996E-2</v>
      </c>
      <c r="U2911">
        <v>-6.2591549999999996E-2</v>
      </c>
      <c r="V2911">
        <v>3.5814079999999999E-3</v>
      </c>
      <c r="W2911">
        <v>0.21575569999999999</v>
      </c>
      <c r="X2911">
        <v>0.9764408</v>
      </c>
      <c r="Y2911">
        <v>1.7328969999999999E-2</v>
      </c>
      <c r="Z2911">
        <v>-2.3457379999999999E-4</v>
      </c>
      <c r="AA2911">
        <v>0.99984980000000001</v>
      </c>
      <c r="AB2911">
        <v>49</v>
      </c>
      <c r="AC2911">
        <v>40.213299999999897</v>
      </c>
      <c r="AD2911">
        <v>-1.1205765904879901</v>
      </c>
      <c r="AE2911">
        <v>-0.82499999999998797</v>
      </c>
      <c r="AF2911">
        <v>0.70608787757677705</v>
      </c>
      <c r="AG2911">
        <v>-1.1205765904879901</v>
      </c>
      <c r="AH2911">
        <v>40.184363860888197</v>
      </c>
      <c r="AI2911">
        <v>91.597083222054806</v>
      </c>
      <c r="AJ2911">
        <v>88.993347444422</v>
      </c>
      <c r="AK2911">
        <v>40.206185480473899</v>
      </c>
      <c r="AL2911">
        <v>77.5401335730661</v>
      </c>
      <c r="AM2911">
        <v>89.789850400612295</v>
      </c>
      <c r="AN2911">
        <v>0.99999999223519598</v>
      </c>
    </row>
    <row r="2912" spans="1:40" x14ac:dyDescent="0.25">
      <c r="A2912" t="str">
        <f>"20190303170554810"</f>
        <v>20190303170554810</v>
      </c>
      <c r="B2912" t="str">
        <f>"1551603954798028"</f>
        <v>1551603954798028</v>
      </c>
      <c r="C2912" t="s">
        <v>40</v>
      </c>
      <c r="D2912">
        <v>5.738124</v>
      </c>
      <c r="E2912">
        <v>0.51015889999999997</v>
      </c>
      <c r="F2912" t="s">
        <v>60</v>
      </c>
      <c r="G2912">
        <v>-359.11739999999998</v>
      </c>
      <c r="H2912" s="1">
        <v>3.3983020000000002E-6</v>
      </c>
      <c r="I2912">
        <v>212.7114</v>
      </c>
      <c r="J2912">
        <v>-398.85879999999997</v>
      </c>
      <c r="K2912">
        <v>1.1206130000000001</v>
      </c>
      <c r="L2912">
        <v>213.48609999999999</v>
      </c>
      <c r="M2912">
        <v>0.99997449999999999</v>
      </c>
      <c r="N2912">
        <v>-6.7590580000000001E-3</v>
      </c>
      <c r="O2912">
        <v>-2.3474530000000002E-3</v>
      </c>
      <c r="P2912">
        <v>0.97784190000000004</v>
      </c>
      <c r="Q2912">
        <v>0.20926420000000001</v>
      </c>
      <c r="R2912">
        <v>-5.799584E-3</v>
      </c>
      <c r="S2912">
        <v>3.0859679999999998</v>
      </c>
      <c r="T2912">
        <v>-8.5956809999999995E-2</v>
      </c>
      <c r="U2912">
        <v>-5.9509279999999998E-2</v>
      </c>
      <c r="V2912">
        <v>3.1612239999999998E-3</v>
      </c>
      <c r="W2912">
        <v>0.21587400000000001</v>
      </c>
      <c r="X2912">
        <v>0.97641610000000001</v>
      </c>
      <c r="Y2912">
        <v>1.6925490000000001E-2</v>
      </c>
      <c r="Z2912">
        <v>-2.433705E-4</v>
      </c>
      <c r="AA2912">
        <v>0.99985670000000004</v>
      </c>
      <c r="AB2912">
        <v>49</v>
      </c>
      <c r="AC2912">
        <v>39.741399999999999</v>
      </c>
      <c r="AD2912">
        <v>-1.1206096016979901</v>
      </c>
      <c r="AE2912">
        <v>-0.77469999999999495</v>
      </c>
      <c r="AF2912">
        <v>0.68086352511539805</v>
      </c>
      <c r="AG2912">
        <v>-1.1206096016979901</v>
      </c>
      <c r="AH2912">
        <v>39.711546409401798</v>
      </c>
      <c r="AI2912">
        <v>91.616148067596697</v>
      </c>
      <c r="AJ2912">
        <v>89.017747025484695</v>
      </c>
      <c r="AK2912">
        <v>39.733188385093399</v>
      </c>
      <c r="AL2912">
        <v>77.533191853043903</v>
      </c>
      <c r="AM2912">
        <v>89.814501050879301</v>
      </c>
      <c r="AN2912">
        <v>0.999999988776194</v>
      </c>
    </row>
    <row r="2913" spans="1:40" x14ac:dyDescent="0.25">
      <c r="A2913" t="str">
        <f>"20190303170554833"</f>
        <v>20190303170554833</v>
      </c>
      <c r="B2913" t="str">
        <f>"1551603954827308"</f>
        <v>1551603954827308</v>
      </c>
      <c r="C2913" t="s">
        <v>40</v>
      </c>
      <c r="D2913">
        <v>5.6993429999999998</v>
      </c>
      <c r="E2913">
        <v>0.51019939999999997</v>
      </c>
      <c r="F2913" t="s">
        <v>60</v>
      </c>
      <c r="G2913">
        <v>-358.55079999999998</v>
      </c>
      <c r="H2913" s="1">
        <v>3.0957479999999999E-6</v>
      </c>
      <c r="I2913">
        <v>212.73490000000001</v>
      </c>
      <c r="J2913">
        <v>-398.34449999999998</v>
      </c>
      <c r="K2913">
        <v>1.120641</v>
      </c>
      <c r="L2913">
        <v>213.48519999999999</v>
      </c>
      <c r="M2913">
        <v>0.99997510000000001</v>
      </c>
      <c r="N2913">
        <v>-6.8542069999999898E-3</v>
      </c>
      <c r="O2913">
        <v>-1.723739E-3</v>
      </c>
      <c r="P2913">
        <v>0.9779466</v>
      </c>
      <c r="Q2913">
        <v>0.2088035</v>
      </c>
      <c r="R2913">
        <v>-4.6801029999999997E-3</v>
      </c>
      <c r="S2913">
        <v>3.0860599999999998</v>
      </c>
      <c r="T2913">
        <v>-8.5796120000000003E-2</v>
      </c>
      <c r="U2913">
        <v>-5.751038E-2</v>
      </c>
      <c r="V2913">
        <v>2.6400569999999999E-3</v>
      </c>
      <c r="W2913">
        <v>0.21550620000000001</v>
      </c>
      <c r="X2913">
        <v>0.97649889999999995</v>
      </c>
      <c r="Y2913">
        <v>1.6901039999999999E-2</v>
      </c>
      <c r="Z2913">
        <v>-2.5671389999999997E-4</v>
      </c>
      <c r="AA2913">
        <v>0.99985710000000005</v>
      </c>
      <c r="AB2913">
        <v>49</v>
      </c>
      <c r="AC2913">
        <v>39.793700000000001</v>
      </c>
      <c r="AD2913">
        <v>-1.120637904252</v>
      </c>
      <c r="AE2913">
        <v>-0.75029999999998098</v>
      </c>
      <c r="AF2913">
        <v>0.68116332016613101</v>
      </c>
      <c r="AG2913">
        <v>-1.120637904252</v>
      </c>
      <c r="AH2913">
        <v>39.763410961417499</v>
      </c>
      <c r="AI2913">
        <v>91.614082348308898</v>
      </c>
      <c r="AJ2913">
        <v>89.018596102409006</v>
      </c>
      <c r="AK2913">
        <v>39.785030653095703</v>
      </c>
      <c r="AL2913">
        <v>77.554773329320895</v>
      </c>
      <c r="AM2913">
        <v>89.845095826299001</v>
      </c>
      <c r="AN2913">
        <v>0.99999999692030594</v>
      </c>
    </row>
    <row r="2914" spans="1:40" x14ac:dyDescent="0.25">
      <c r="A2914" t="str">
        <f>"20190303170554853"</f>
        <v>20190303170554853</v>
      </c>
      <c r="B2914" t="str">
        <f>"1551603954847804"</f>
        <v>1551603954847804</v>
      </c>
      <c r="C2914" t="s">
        <v>40</v>
      </c>
      <c r="D2914">
        <v>5.7399870000000002</v>
      </c>
      <c r="E2914">
        <v>0.51025829999999905</v>
      </c>
      <c r="F2914" t="s">
        <v>60</v>
      </c>
      <c r="G2914">
        <v>-359.03930000000003</v>
      </c>
      <c r="H2914" s="1">
        <v>3.3535499999999999E-6</v>
      </c>
      <c r="I2914">
        <v>212.785</v>
      </c>
      <c r="J2914">
        <v>-397.90039999999999</v>
      </c>
      <c r="K2914">
        <v>1.1206640000000001</v>
      </c>
      <c r="L2914">
        <v>213.4846</v>
      </c>
      <c r="M2914">
        <v>0.99997539999999996</v>
      </c>
      <c r="N2914">
        <v>-6.9276119999999997E-3</v>
      </c>
      <c r="O2914">
        <v>-1.1876149999999999E-3</v>
      </c>
      <c r="P2914">
        <v>0.97783319999999996</v>
      </c>
      <c r="Q2914">
        <v>0.20935599999999999</v>
      </c>
      <c r="R2914">
        <v>-3.5508549999999999E-3</v>
      </c>
      <c r="S2914">
        <v>3.086182</v>
      </c>
      <c r="T2914">
        <v>-8.7990879999999994E-2</v>
      </c>
      <c r="U2914">
        <v>-5.4977419999999999E-2</v>
      </c>
      <c r="V2914">
        <v>2.0243510000000002E-3</v>
      </c>
      <c r="W2914">
        <v>0.2161286</v>
      </c>
      <c r="X2914">
        <v>0.97636279999999998</v>
      </c>
      <c r="Y2914">
        <v>1.6615649999999999E-2</v>
      </c>
      <c r="Z2914">
        <v>-2.6874759999999999E-4</v>
      </c>
      <c r="AA2914">
        <v>0.99986189999999997</v>
      </c>
      <c r="AB2914">
        <v>49</v>
      </c>
      <c r="AC2914">
        <v>38.861099999999901</v>
      </c>
      <c r="AD2914">
        <v>-1.12066064645</v>
      </c>
      <c r="AE2914">
        <v>-0.699600000000003</v>
      </c>
      <c r="AF2914">
        <v>0.65290359531612796</v>
      </c>
      <c r="AG2914">
        <v>-1.12066064645</v>
      </c>
      <c r="AH2914">
        <v>38.829622949609202</v>
      </c>
      <c r="AI2914">
        <v>91.652919449309294</v>
      </c>
      <c r="AJ2914">
        <v>89.036686614884204</v>
      </c>
      <c r="AK2914">
        <v>38.8512777370075</v>
      </c>
      <c r="AL2914">
        <v>77.518251714893793</v>
      </c>
      <c r="AM2914">
        <v>89.881205426557102</v>
      </c>
      <c r="AN2914">
        <v>0.99999999347938495</v>
      </c>
    </row>
    <row r="2915" spans="1:40" x14ac:dyDescent="0.25">
      <c r="A2915" t="str">
        <f>"20190303170554876"</f>
        <v>20190303170554876</v>
      </c>
      <c r="B2915" t="str">
        <f>"1551603954867324"</f>
        <v>1551603954867324</v>
      </c>
      <c r="C2915" t="s">
        <v>40</v>
      </c>
      <c r="D2915">
        <v>5.748386</v>
      </c>
      <c r="E2915">
        <v>0.51034020000000002</v>
      </c>
      <c r="F2915" t="s">
        <v>60</v>
      </c>
      <c r="G2915">
        <v>-357.65179999999998</v>
      </c>
      <c r="H2915" s="1">
        <v>2.6146529999999999E-6</v>
      </c>
      <c r="I2915">
        <v>212.7971</v>
      </c>
      <c r="J2915">
        <v>-397.39960000000002</v>
      </c>
      <c r="K2915">
        <v>1.1206750000000001</v>
      </c>
      <c r="L2915">
        <v>213.48429999999999</v>
      </c>
      <c r="M2915">
        <v>0.99997539999999996</v>
      </c>
      <c r="N2915">
        <v>-6.9956030000000004E-3</v>
      </c>
      <c r="O2915">
        <v>-5.8459940000000002E-4</v>
      </c>
      <c r="P2915">
        <v>0.97753900000000005</v>
      </c>
      <c r="Q2915">
        <v>0.21073359999999999</v>
      </c>
      <c r="R2915">
        <v>-2.9955390000000002E-3</v>
      </c>
      <c r="S2915">
        <v>3.0862120000000002</v>
      </c>
      <c r="T2915">
        <v>-8.5931060000000004E-2</v>
      </c>
      <c r="U2915">
        <v>-5.2719120000000001E-2</v>
      </c>
      <c r="V2915">
        <v>2.0466260000000002E-3</v>
      </c>
      <c r="W2915">
        <v>0.21757119999999999</v>
      </c>
      <c r="X2915">
        <v>0.97604230000000003</v>
      </c>
      <c r="Y2915">
        <v>1.6487249999999998E-2</v>
      </c>
      <c r="Z2915">
        <v>-2.7497440000000001E-4</v>
      </c>
      <c r="AA2915">
        <v>0.99986399999999998</v>
      </c>
      <c r="AB2915">
        <v>49</v>
      </c>
      <c r="AC2915">
        <v>39.747799999999998</v>
      </c>
      <c r="AD2915">
        <v>-1.120672385347</v>
      </c>
      <c r="AE2915">
        <v>-0.68719999999999004</v>
      </c>
      <c r="AF2915">
        <v>0.66343554490287504</v>
      </c>
      <c r="AG2915">
        <v>-1.120672385347</v>
      </c>
      <c r="AH2915">
        <v>39.716632281599701</v>
      </c>
      <c r="AI2915">
        <v>91.616043762463406</v>
      </c>
      <c r="AJ2915">
        <v>89.043007435559105</v>
      </c>
      <c r="AK2915">
        <v>39.737978472858003</v>
      </c>
      <c r="AL2915">
        <v>77.433582098229806</v>
      </c>
      <c r="AM2915">
        <v>89.879858833802203</v>
      </c>
      <c r="AN2915">
        <v>0.999999993568357</v>
      </c>
    </row>
    <row r="2916" spans="1:40" x14ac:dyDescent="0.25">
      <c r="A2916" t="str">
        <f>"20190303170554898"</f>
        <v>20190303170554898</v>
      </c>
      <c r="B2916" t="str">
        <f>"1551603954887820"</f>
        <v>1551603954887820</v>
      </c>
      <c r="C2916" t="s">
        <v>40</v>
      </c>
      <c r="D2916">
        <v>5.7692290000000002</v>
      </c>
      <c r="E2916">
        <v>0.51042469999999995</v>
      </c>
      <c r="F2916" t="s">
        <v>60</v>
      </c>
      <c r="G2916">
        <v>-355.0317</v>
      </c>
      <c r="H2916" s="1">
        <v>1.221322E-6</v>
      </c>
      <c r="I2916">
        <v>212.77529999999999</v>
      </c>
      <c r="J2916">
        <v>-396.89929999999998</v>
      </c>
      <c r="K2916">
        <v>1.120682</v>
      </c>
      <c r="L2916">
        <v>213.48429999999999</v>
      </c>
      <c r="M2916">
        <v>0.99997519999999995</v>
      </c>
      <c r="N2916">
        <v>-7.0470419999999999E-3</v>
      </c>
      <c r="O2916" s="1">
        <v>1.75469E-5</v>
      </c>
      <c r="P2916">
        <v>0.97754700000000005</v>
      </c>
      <c r="Q2916">
        <v>0.21070420000000001</v>
      </c>
      <c r="R2916">
        <v>-2.3300869999999998E-3</v>
      </c>
      <c r="S2916">
        <v>3.0863649999999998</v>
      </c>
      <c r="T2916">
        <v>-8.1637500000000002E-2</v>
      </c>
      <c r="U2916">
        <v>-5.1651000000000002E-2</v>
      </c>
      <c r="V2916">
        <v>1.9611889999999999E-3</v>
      </c>
      <c r="W2916">
        <v>0.2175917</v>
      </c>
      <c r="X2916">
        <v>0.97603790000000001</v>
      </c>
      <c r="Y2916">
        <v>1.6743009999999999E-2</v>
      </c>
      <c r="Z2916">
        <v>-2.8073330000000002E-4</v>
      </c>
      <c r="AA2916">
        <v>0.99985979999999997</v>
      </c>
      <c r="AB2916">
        <v>49</v>
      </c>
      <c r="AC2916">
        <v>41.867599999999896</v>
      </c>
      <c r="AD2916">
        <v>-1.120680778678</v>
      </c>
      <c r="AE2916">
        <v>-0.70900000000000296</v>
      </c>
      <c r="AF2916">
        <v>0.70922665940423701</v>
      </c>
      <c r="AG2916">
        <v>-1.120680778678</v>
      </c>
      <c r="AH2916">
        <v>41.837620076912302</v>
      </c>
      <c r="AI2916">
        <v>91.534162572037303</v>
      </c>
      <c r="AJ2916">
        <v>89.028821370518102</v>
      </c>
      <c r="AK2916">
        <v>41.8586356868229</v>
      </c>
      <c r="AL2916">
        <v>77.432378635502801</v>
      </c>
      <c r="AM2916">
        <v>89.884873629085604</v>
      </c>
      <c r="AN2916">
        <v>0.99999998820379599</v>
      </c>
    </row>
    <row r="2917" spans="1:40" x14ac:dyDescent="0.25">
      <c r="A2917" t="str">
        <f>"20190303170554920"</f>
        <v>20190303170554920</v>
      </c>
      <c r="B2917" t="str">
        <f>"1551603954907343"</f>
        <v>1551603954907343</v>
      </c>
      <c r="C2917" t="s">
        <v>40</v>
      </c>
      <c r="D2917">
        <v>5.852849</v>
      </c>
      <c r="E2917">
        <v>0.51045549999999995</v>
      </c>
      <c r="F2917" t="s">
        <v>60</v>
      </c>
      <c r="G2917">
        <v>-354.94909999999999</v>
      </c>
      <c r="H2917" s="1">
        <v>1.1759940000000001E-6</v>
      </c>
      <c r="I2917">
        <v>212.80609999999999</v>
      </c>
      <c r="J2917">
        <v>-396.43040000000002</v>
      </c>
      <c r="K2917">
        <v>1.1206739999999999</v>
      </c>
      <c r="L2917">
        <v>213.4845</v>
      </c>
      <c r="M2917">
        <v>0.99997480000000005</v>
      </c>
      <c r="N2917">
        <v>-7.0828810000000001E-3</v>
      </c>
      <c r="O2917">
        <v>5.8269599999999995E-4</v>
      </c>
      <c r="P2917">
        <v>0.97781379999999996</v>
      </c>
      <c r="Q2917">
        <v>0.20947009999999999</v>
      </c>
      <c r="R2917">
        <v>-1.5352670000000001E-3</v>
      </c>
      <c r="S2917">
        <v>3.0865480000000001</v>
      </c>
      <c r="T2917">
        <v>-8.2455639999999997E-2</v>
      </c>
      <c r="U2917">
        <v>-4.9896240000000001E-2</v>
      </c>
      <c r="V2917">
        <v>1.7146900000000001E-3</v>
      </c>
      <c r="W2917">
        <v>0.216394</v>
      </c>
      <c r="X2917">
        <v>0.97630459999999997</v>
      </c>
      <c r="Y2917">
        <v>1.6738570000000001E-2</v>
      </c>
      <c r="Z2917">
        <v>-2.942598E-4</v>
      </c>
      <c r="AA2917">
        <v>0.99985990000000002</v>
      </c>
      <c r="AB2917">
        <v>50</v>
      </c>
      <c r="AC2917">
        <v>41.481299999999997</v>
      </c>
      <c r="AD2917">
        <v>-1.120672824006</v>
      </c>
      <c r="AE2917">
        <v>-0.67840000000001</v>
      </c>
      <c r="AF2917">
        <v>0.70205919371228298</v>
      </c>
      <c r="AG2917">
        <v>-1.120672824006</v>
      </c>
      <c r="AH2917">
        <v>41.4506516302081</v>
      </c>
      <c r="AI2917">
        <v>91.548467422262604</v>
      </c>
      <c r="AJ2917">
        <v>89.029661020989707</v>
      </c>
      <c r="AK2917">
        <v>41.471741165024802</v>
      </c>
      <c r="AL2917">
        <v>77.502676770115997</v>
      </c>
      <c r="AM2917">
        <v>89.899371160231993</v>
      </c>
      <c r="AN2917">
        <v>0.99999998768947795</v>
      </c>
    </row>
    <row r="2918" spans="1:40" x14ac:dyDescent="0.25">
      <c r="A2918" t="str">
        <f>"20190303170554942"</f>
        <v>20190303170554942</v>
      </c>
      <c r="B2918" t="str">
        <f>"1551603954937596"</f>
        <v>1551603954937596</v>
      </c>
      <c r="C2918" t="s">
        <v>40</v>
      </c>
      <c r="D2918">
        <v>5.7232849999999997</v>
      </c>
      <c r="E2918">
        <v>0.543493</v>
      </c>
      <c r="F2918" t="s">
        <v>60</v>
      </c>
      <c r="G2918">
        <v>-356.4076</v>
      </c>
      <c r="H2918" s="1">
        <v>1.950131E-6</v>
      </c>
      <c r="I2918">
        <v>212.852</v>
      </c>
      <c r="J2918">
        <v>-395.93329999999997</v>
      </c>
      <c r="K2918">
        <v>1.1206700000000001</v>
      </c>
      <c r="L2918">
        <v>213.48509999999999</v>
      </c>
      <c r="M2918">
        <v>0.99997409999999998</v>
      </c>
      <c r="N2918">
        <v>-7.1119440000000003E-3</v>
      </c>
      <c r="O2918">
        <v>1.182422E-3</v>
      </c>
      <c r="P2918">
        <v>0.97802350000000005</v>
      </c>
      <c r="Q2918">
        <v>0.2084945</v>
      </c>
      <c r="R2918">
        <v>-4.5818280000000001E-4</v>
      </c>
      <c r="S2918">
        <v>3.0865170000000002</v>
      </c>
      <c r="T2918">
        <v>-8.6425189999999999E-2</v>
      </c>
      <c r="U2918">
        <v>-4.8782350000000002E-2</v>
      </c>
      <c r="V2918">
        <v>1.2204399999999999E-3</v>
      </c>
      <c r="W2918">
        <v>0.21544749999999999</v>
      </c>
      <c r="X2918">
        <v>0.97651469999999996</v>
      </c>
      <c r="Y2918">
        <v>1.6976700000000001E-2</v>
      </c>
      <c r="Z2918">
        <v>-3.2270070000000001E-4</v>
      </c>
      <c r="AA2918">
        <v>0.99985579999999996</v>
      </c>
      <c r="AB2918">
        <v>50</v>
      </c>
      <c r="AC2918">
        <v>39.525699999999901</v>
      </c>
      <c r="AD2918">
        <v>-1.120668049869</v>
      </c>
      <c r="AE2918">
        <v>-0.63309999999998401</v>
      </c>
      <c r="AF2918">
        <v>0.67929085964814995</v>
      </c>
      <c r="AG2918">
        <v>-1.120668049869</v>
      </c>
      <c r="AH2918">
        <v>39.493183855572099</v>
      </c>
      <c r="AI2918">
        <v>91.625162347349999</v>
      </c>
      <c r="AJ2918">
        <v>89.014598013382198</v>
      </c>
      <c r="AK2918">
        <v>39.514920017633997</v>
      </c>
      <c r="AL2918">
        <v>77.558218005693206</v>
      </c>
      <c r="AM2918">
        <v>89.928392245665805</v>
      </c>
      <c r="AN2918">
        <v>1.00000003702306</v>
      </c>
    </row>
    <row r="2919" spans="1:40" x14ac:dyDescent="0.25">
      <c r="A2919" t="str">
        <f>"20190303170554964"</f>
        <v>20190303170554964</v>
      </c>
      <c r="B2919" t="str">
        <f>"1551603954958093"</f>
        <v>1551603954958093</v>
      </c>
      <c r="C2919" t="s">
        <v>40</v>
      </c>
      <c r="D2919">
        <v>5.7135579999999999</v>
      </c>
      <c r="E2919">
        <v>0.54672319999999996</v>
      </c>
      <c r="F2919" t="s">
        <v>42</v>
      </c>
      <c r="G2919">
        <v>-395.18110000000001</v>
      </c>
      <c r="H2919">
        <v>1.027439</v>
      </c>
      <c r="I2919">
        <v>213.41480000000001</v>
      </c>
      <c r="J2919">
        <v>-395.4237</v>
      </c>
      <c r="K2919">
        <v>1.120668</v>
      </c>
      <c r="L2919">
        <v>213.48599999999999</v>
      </c>
      <c r="M2919">
        <v>0.99997309999999995</v>
      </c>
      <c r="N2919">
        <v>-7.1358359999999996E-3</v>
      </c>
      <c r="O2919">
        <v>1.7957310000000001E-3</v>
      </c>
      <c r="P2919">
        <v>0.97787820000000003</v>
      </c>
      <c r="Q2919">
        <v>0.20917549999999999</v>
      </c>
      <c r="R2919">
        <v>4.0815959999999999E-4</v>
      </c>
      <c r="S2919">
        <v>3.1505740000000002</v>
      </c>
      <c r="T2919">
        <v>-0.39066210000000001</v>
      </c>
      <c r="U2919">
        <v>-0.29327389999999998</v>
      </c>
      <c r="V2919">
        <v>9.4839139999999995E-4</v>
      </c>
      <c r="W2919">
        <v>0.2161505</v>
      </c>
      <c r="X2919">
        <v>0.97635959999999999</v>
      </c>
      <c r="Y2919">
        <v>9.3707910000000005E-2</v>
      </c>
      <c r="Z2919">
        <v>-6.3202650000000003E-3</v>
      </c>
      <c r="AA2919">
        <v>0.99557969999999896</v>
      </c>
      <c r="AB2919">
        <v>50</v>
      </c>
      <c r="AC2919">
        <v>0.242599999999981</v>
      </c>
      <c r="AD2919">
        <v>-9.3228999999999895E-2</v>
      </c>
      <c r="AE2919">
        <v>-7.1199999999976102E-2</v>
      </c>
      <c r="AF2919">
        <v>6.3061230377477698E-2</v>
      </c>
      <c r="AG2919">
        <v>-9.3228999999999895E-2</v>
      </c>
      <c r="AH2919">
        <v>0.21344945176861599</v>
      </c>
      <c r="AI2919">
        <v>112.727593078072</v>
      </c>
      <c r="AJ2919">
        <v>73.540819728137507</v>
      </c>
      <c r="AK2919">
        <v>0.241306928367264</v>
      </c>
      <c r="AL2919">
        <v>77.516966684050701</v>
      </c>
      <c r="AM2919">
        <v>89.944345497850904</v>
      </c>
      <c r="AN2919">
        <v>1.0000000033043199</v>
      </c>
    </row>
    <row r="2920" spans="1:40" x14ac:dyDescent="0.25">
      <c r="A2920" t="str">
        <f>"20190303170554988"</f>
        <v>20190303170554988</v>
      </c>
      <c r="B2920" t="str">
        <f>"1551603954977612"</f>
        <v>1551603954977612</v>
      </c>
      <c r="C2920" t="s">
        <v>40</v>
      </c>
      <c r="D2920">
        <v>5.7247599999999998</v>
      </c>
      <c r="E2920">
        <v>0.54904350000000002</v>
      </c>
      <c r="F2920" t="s">
        <v>42</v>
      </c>
      <c r="G2920">
        <v>-394.32260000000002</v>
      </c>
      <c r="H2920">
        <v>0.95346830000000005</v>
      </c>
      <c r="I2920">
        <v>213.37710000000001</v>
      </c>
      <c r="J2920">
        <v>-394.9008</v>
      </c>
      <c r="K2920">
        <v>1.1206659999999999</v>
      </c>
      <c r="L2920">
        <v>213.4872</v>
      </c>
      <c r="M2920">
        <v>0.99997159999999996</v>
      </c>
      <c r="N2920">
        <v>-7.1570089999999998E-3</v>
      </c>
      <c r="O2920">
        <v>2.4211879999999999E-3</v>
      </c>
      <c r="P2920">
        <v>0.97767910000000002</v>
      </c>
      <c r="Q2920">
        <v>0.2100948</v>
      </c>
      <c r="R2920">
        <v>1.9779910000000001E-3</v>
      </c>
      <c r="S2920">
        <v>3.1710509999999998</v>
      </c>
      <c r="T2920">
        <v>-0.48166140000000002</v>
      </c>
      <c r="U2920">
        <v>-0.31253049999999999</v>
      </c>
      <c r="V2920" s="1">
        <v>-1.4245980000000001E-5</v>
      </c>
      <c r="W2920">
        <v>0.21708710000000001</v>
      </c>
      <c r="X2920">
        <v>0.97615220000000003</v>
      </c>
      <c r="Y2920">
        <v>9.9284360000000002E-2</v>
      </c>
      <c r="Z2920">
        <v>-8.1853749999999999E-3</v>
      </c>
      <c r="AA2920">
        <v>0.99502550000000001</v>
      </c>
      <c r="AB2920">
        <v>50</v>
      </c>
      <c r="AC2920">
        <v>0.57819999999998095</v>
      </c>
      <c r="AD2920">
        <v>-0.16719769999999901</v>
      </c>
      <c r="AE2920">
        <v>-0.110099999999988</v>
      </c>
      <c r="AF2920">
        <v>0.103174204782517</v>
      </c>
      <c r="AG2920">
        <v>-0.16719769999999901</v>
      </c>
      <c r="AH2920">
        <v>0.53477880428343805</v>
      </c>
      <c r="AI2920">
        <v>107.06581931479499</v>
      </c>
      <c r="AJ2920">
        <v>79.080162110501703</v>
      </c>
      <c r="AK2920">
        <v>0.56972656329911397</v>
      </c>
      <c r="AL2920">
        <v>77.461997791300405</v>
      </c>
      <c r="AM2920">
        <v>90.000836175474404</v>
      </c>
      <c r="AN2920">
        <v>0.99999996337709796</v>
      </c>
    </row>
    <row r="2921" spans="1:40" x14ac:dyDescent="0.25">
      <c r="A2921" t="str">
        <f>"20190303170555011"</f>
        <v>20190303170555011</v>
      </c>
      <c r="B2921" t="str">
        <f>"1551603954998108"</f>
        <v>1551603954998108</v>
      </c>
      <c r="C2921" t="s">
        <v>40</v>
      </c>
      <c r="D2921">
        <v>5.7265119999999996</v>
      </c>
      <c r="E2921">
        <v>0.5503846</v>
      </c>
      <c r="F2921" t="s">
        <v>42</v>
      </c>
      <c r="G2921">
        <v>-393.87670000000003</v>
      </c>
      <c r="H2921">
        <v>0.94930049999999999</v>
      </c>
      <c r="I2921">
        <v>213.38290000000001</v>
      </c>
      <c r="J2921">
        <v>-394.39749999999998</v>
      </c>
      <c r="K2921">
        <v>1.120655</v>
      </c>
      <c r="L2921">
        <v>213.48869999999999</v>
      </c>
      <c r="M2921">
        <v>0.99996980000000002</v>
      </c>
      <c r="N2921">
        <v>-7.1752119999999898E-3</v>
      </c>
      <c r="O2921">
        <v>3.0195209999999998E-3</v>
      </c>
      <c r="P2921">
        <v>0.97774559999999999</v>
      </c>
      <c r="Q2921">
        <v>0.20977019999999999</v>
      </c>
      <c r="R2921">
        <v>3.209487E-3</v>
      </c>
      <c r="S2921">
        <v>3.1836549999999999</v>
      </c>
      <c r="T2921">
        <v>-0.53282619999999903</v>
      </c>
      <c r="U2921">
        <v>-0.32394410000000001</v>
      </c>
      <c r="V2921">
        <v>-6.6176759999999897E-4</v>
      </c>
      <c r="W2921">
        <v>0.2167799</v>
      </c>
      <c r="X2921">
        <v>0.97622030000000004</v>
      </c>
      <c r="Y2921">
        <v>0.1027189</v>
      </c>
      <c r="Z2921">
        <v>-9.3660299999999991E-3</v>
      </c>
      <c r="AA2921">
        <v>0.9946663</v>
      </c>
      <c r="AB2921">
        <v>50</v>
      </c>
      <c r="AC2921">
        <v>0.52079999999995097</v>
      </c>
      <c r="AD2921">
        <v>-0.17135449999999999</v>
      </c>
      <c r="AE2921">
        <v>-0.105799999999987</v>
      </c>
      <c r="AF2921">
        <v>9.7260468659630894E-2</v>
      </c>
      <c r="AG2921">
        <v>-0.17135449999999999</v>
      </c>
      <c r="AH2921">
        <v>0.47146267463146602</v>
      </c>
      <c r="AI2921">
        <v>109.593568368324</v>
      </c>
      <c r="AJ2921">
        <v>78.343677447742294</v>
      </c>
      <c r="AK2921">
        <v>0.51097848976722804</v>
      </c>
      <c r="AL2921">
        <v>77.480029132286901</v>
      </c>
      <c r="AM2921">
        <v>90.038840090387893</v>
      </c>
      <c r="AN2921">
        <v>1.0000000185562199</v>
      </c>
    </row>
    <row r="2922" spans="1:40" x14ac:dyDescent="0.25">
      <c r="A2922" t="str">
        <f>"20190303170555033"</f>
        <v>20190303170555033</v>
      </c>
      <c r="B2922" t="str">
        <f>"1551603955027388"</f>
        <v>1551603955027388</v>
      </c>
      <c r="C2922" t="s">
        <v>40</v>
      </c>
      <c r="D2922">
        <v>5.6880430000000004</v>
      </c>
      <c r="E2922">
        <v>0.55160869999999995</v>
      </c>
      <c r="F2922" t="s">
        <v>42</v>
      </c>
      <c r="G2922">
        <v>-393.42809999999997</v>
      </c>
      <c r="H2922">
        <v>0.94896829999999999</v>
      </c>
      <c r="I2922">
        <v>213.3878</v>
      </c>
      <c r="J2922">
        <v>-393.9049</v>
      </c>
      <c r="K2922">
        <v>1.1206449999999999</v>
      </c>
      <c r="L2922">
        <v>213.49039999999999</v>
      </c>
      <c r="M2922">
        <v>0.99996779999999996</v>
      </c>
      <c r="N2922">
        <v>-7.1913940000000003E-3</v>
      </c>
      <c r="O2922">
        <v>3.5992530000000002E-3</v>
      </c>
      <c r="P2922">
        <v>0.97782429999999998</v>
      </c>
      <c r="Q2922">
        <v>0.2093969</v>
      </c>
      <c r="R2922">
        <v>3.5804159999999999E-3</v>
      </c>
      <c r="S2922">
        <v>3.190582</v>
      </c>
      <c r="T2922">
        <v>-0.5651851</v>
      </c>
      <c r="U2922">
        <v>-0.33070369999999999</v>
      </c>
      <c r="V2922">
        <v>-4.6536510000000001E-4</v>
      </c>
      <c r="W2922">
        <v>0.2164229</v>
      </c>
      <c r="X2922">
        <v>0.97629960000000005</v>
      </c>
      <c r="Y2922">
        <v>0.1049422</v>
      </c>
      <c r="Z2922">
        <v>-1.0185710000000001E-2</v>
      </c>
      <c r="AA2922">
        <v>0.99442609999999998</v>
      </c>
      <c r="AB2922">
        <v>50</v>
      </c>
      <c r="AC2922">
        <v>0.47680000000002498</v>
      </c>
      <c r="AD2922">
        <v>-0.17167669999999999</v>
      </c>
      <c r="AE2922">
        <v>-0.102599999999995</v>
      </c>
      <c r="AF2922">
        <v>9.2815153403867798E-2</v>
      </c>
      <c r="AG2922">
        <v>-0.17167669999999999</v>
      </c>
      <c r="AH2922">
        <v>0.42390345709499699</v>
      </c>
      <c r="AI2922">
        <v>111.58464381538001</v>
      </c>
      <c r="AJ2922">
        <v>77.649784951553002</v>
      </c>
      <c r="AK2922">
        <v>0.46667085077317999</v>
      </c>
      <c r="AL2922">
        <v>77.500980869262307</v>
      </c>
      <c r="AM2922">
        <v>90.027310729353204</v>
      </c>
      <c r="AN2922">
        <v>0.99999999858462296</v>
      </c>
    </row>
    <row r="2923" spans="1:40" x14ac:dyDescent="0.25">
      <c r="A2923" t="str">
        <f>"20190303170555053"</f>
        <v>20190303170555053</v>
      </c>
      <c r="B2923" t="str">
        <f>"1551603955047884"</f>
        <v>1551603955047884</v>
      </c>
      <c r="C2923" t="s">
        <v>40</v>
      </c>
      <c r="D2923">
        <v>5.7181800000000003</v>
      </c>
      <c r="E2923">
        <v>0.55248350000000002</v>
      </c>
      <c r="F2923" t="s">
        <v>42</v>
      </c>
      <c r="G2923">
        <v>-392.97910000000002</v>
      </c>
      <c r="H2923">
        <v>0.94801009999999997</v>
      </c>
      <c r="I2923">
        <v>213.3931</v>
      </c>
      <c r="J2923">
        <v>-393.42759999999998</v>
      </c>
      <c r="K2923">
        <v>1.1206370000000001</v>
      </c>
      <c r="L2923">
        <v>213.4924</v>
      </c>
      <c r="M2923">
        <v>0.9999654</v>
      </c>
      <c r="N2923">
        <v>-7.2059680000000001E-3</v>
      </c>
      <c r="O2923">
        <v>4.1561549999999999E-3</v>
      </c>
      <c r="P2923">
        <v>0.97793379999999996</v>
      </c>
      <c r="Q2923">
        <v>0.20888490000000001</v>
      </c>
      <c r="R2923">
        <v>3.5912489999999999E-3</v>
      </c>
      <c r="S2923">
        <v>3.1969599999999998</v>
      </c>
      <c r="T2923">
        <v>-0.59612849999999995</v>
      </c>
      <c r="U2923">
        <v>-0.33590700000000001</v>
      </c>
      <c r="V2923" s="1">
        <v>6.9574919999999897E-5</v>
      </c>
      <c r="W2923">
        <v>0.21592710000000001</v>
      </c>
      <c r="X2923">
        <v>0.97640950000000004</v>
      </c>
      <c r="Y2923">
        <v>0.10667160000000001</v>
      </c>
      <c r="Z2923">
        <v>-1.095952E-2</v>
      </c>
      <c r="AA2923">
        <v>0.9942339</v>
      </c>
      <c r="AB2923">
        <v>50</v>
      </c>
      <c r="AC2923">
        <v>0.44849999999996698</v>
      </c>
      <c r="AD2923">
        <v>-0.1726269</v>
      </c>
      <c r="AE2923">
        <v>-9.92999999999995E-2</v>
      </c>
      <c r="AF2923">
        <v>8.8644502043638801E-2</v>
      </c>
      <c r="AG2923">
        <v>-0.1726269</v>
      </c>
      <c r="AH2923">
        <v>0.39263408422402302</v>
      </c>
      <c r="AI2923">
        <v>113.213009382198</v>
      </c>
      <c r="AJ2923">
        <v>77.277700280740405</v>
      </c>
      <c r="AK2923">
        <v>0.43797193796019901</v>
      </c>
      <c r="AL2923">
        <v>77.530076286116596</v>
      </c>
      <c r="AM2923">
        <v>89.995917338709603</v>
      </c>
      <c r="AN2923">
        <v>1.00000001452266</v>
      </c>
    </row>
    <row r="2924" spans="1:40" x14ac:dyDescent="0.25">
      <c r="A2924" t="str">
        <f>"20190303170555077"</f>
        <v>20190303170555077</v>
      </c>
      <c r="B2924" t="str">
        <f>"1551603955067409"</f>
        <v>1551603955067409</v>
      </c>
      <c r="C2924" t="s">
        <v>40</v>
      </c>
      <c r="D2924">
        <v>5.7217460000000004</v>
      </c>
      <c r="E2924">
        <v>0.55304989999999998</v>
      </c>
      <c r="F2924" t="s">
        <v>42</v>
      </c>
      <c r="G2924">
        <v>-392.52820000000003</v>
      </c>
      <c r="H2924">
        <v>0.94903490000000001</v>
      </c>
      <c r="I2924">
        <v>213.39609999999999</v>
      </c>
      <c r="J2924">
        <v>-392.89589999999998</v>
      </c>
      <c r="K2924">
        <v>1.120635</v>
      </c>
      <c r="L2924">
        <v>213.4949</v>
      </c>
      <c r="M2924">
        <v>0.99996249999999998</v>
      </c>
      <c r="N2924">
        <v>-7.221313E-3</v>
      </c>
      <c r="O2924">
        <v>4.7712859999999996E-3</v>
      </c>
      <c r="P2924">
        <v>0.97789409999999999</v>
      </c>
      <c r="Q2924">
        <v>0.20905180000000001</v>
      </c>
      <c r="R2924">
        <v>4.5217369999999996E-3</v>
      </c>
      <c r="S2924">
        <v>3.1993710000000002</v>
      </c>
      <c r="T2924">
        <v>-0.61058639999999997</v>
      </c>
      <c r="U2924">
        <v>-0.34107969999999999</v>
      </c>
      <c r="V2924">
        <v>-2.5961689999999998E-4</v>
      </c>
      <c r="W2924">
        <v>0.21610770000000001</v>
      </c>
      <c r="X2924">
        <v>0.9763695</v>
      </c>
      <c r="Y2924">
        <v>0.1086573</v>
      </c>
      <c r="Z2924">
        <v>-1.1510390000000001E-2</v>
      </c>
      <c r="AA2924">
        <v>0.99401269999999997</v>
      </c>
      <c r="AB2924">
        <v>50</v>
      </c>
      <c r="AC2924">
        <v>0.36769999999995601</v>
      </c>
      <c r="AD2924">
        <v>-0.17160010000000001</v>
      </c>
      <c r="AE2924">
        <v>-9.8800000000011295E-2</v>
      </c>
      <c r="AF2924">
        <v>8.35764843758528E-2</v>
      </c>
      <c r="AG2924">
        <v>-0.17160010000000001</v>
      </c>
      <c r="AH2924">
        <v>0.30522436579026002</v>
      </c>
      <c r="AI2924">
        <v>118.468714949489</v>
      </c>
      <c r="AJ2924">
        <v>74.6866322487746</v>
      </c>
      <c r="AK2924">
        <v>0.35999102285015899</v>
      </c>
      <c r="AL2924">
        <v>77.519478301808604</v>
      </c>
      <c r="AM2924">
        <v>90.015234962081095</v>
      </c>
      <c r="AN2924">
        <v>1.0000000029652301</v>
      </c>
    </row>
    <row r="2925" spans="1:40" x14ac:dyDescent="0.25">
      <c r="A2925" t="str">
        <f>"20190303170555098"</f>
        <v>20190303170555098</v>
      </c>
      <c r="B2925" t="str">
        <f>"1551603955087900"</f>
        <v>1551603955087900</v>
      </c>
      <c r="C2925" t="s">
        <v>40</v>
      </c>
      <c r="D2925">
        <v>5.6887509999999999</v>
      </c>
      <c r="E2925">
        <v>0.55338169999999898</v>
      </c>
      <c r="F2925" t="s">
        <v>42</v>
      </c>
      <c r="G2925">
        <v>-392.07139999999998</v>
      </c>
      <c r="H2925">
        <v>0.96116650000000003</v>
      </c>
      <c r="I2925">
        <v>213.40690000000001</v>
      </c>
      <c r="J2925">
        <v>-392.41860000000003</v>
      </c>
      <c r="K2925">
        <v>1.1206240000000001</v>
      </c>
      <c r="L2925">
        <v>213.4974</v>
      </c>
      <c r="M2925">
        <v>0.99995970000000001</v>
      </c>
      <c r="N2925">
        <v>-7.2345939999999996E-3</v>
      </c>
      <c r="O2925">
        <v>5.3194280000000002E-3</v>
      </c>
      <c r="P2925">
        <v>0.97794910000000002</v>
      </c>
      <c r="Q2925">
        <v>0.20877090000000001</v>
      </c>
      <c r="R2925">
        <v>5.50637E-3</v>
      </c>
      <c r="S2925">
        <v>3.2017820000000001</v>
      </c>
      <c r="T2925">
        <v>-0.61926359999999903</v>
      </c>
      <c r="U2925">
        <v>-0.34198000000000001</v>
      </c>
      <c r="V2925">
        <v>-7.0800309999999897E-4</v>
      </c>
      <c r="W2925">
        <v>0.21583949999999999</v>
      </c>
      <c r="X2925">
        <v>0.97642859999999998</v>
      </c>
      <c r="Y2925">
        <v>0.10932219999999999</v>
      </c>
      <c r="Z2925">
        <v>-1.182508E-2</v>
      </c>
      <c r="AA2925">
        <v>0.99393600000000004</v>
      </c>
      <c r="AB2925">
        <v>50</v>
      </c>
      <c r="AC2925">
        <v>0.34720000000004297</v>
      </c>
      <c r="AD2925">
        <v>-0.1594575</v>
      </c>
      <c r="AE2925">
        <v>-9.0499999999991601E-2</v>
      </c>
      <c r="AF2925">
        <v>7.7114923770119706E-2</v>
      </c>
      <c r="AG2925">
        <v>-0.1594575</v>
      </c>
      <c r="AH2925">
        <v>0.28952951493791401</v>
      </c>
      <c r="AI2925">
        <v>118.021616309604</v>
      </c>
      <c r="AJ2925">
        <v>75.0857565577694</v>
      </c>
      <c r="AK2925">
        <v>0.33941235362683098</v>
      </c>
      <c r="AL2925">
        <v>77.535216437670698</v>
      </c>
      <c r="AM2925">
        <v>90.041544852744806</v>
      </c>
      <c r="AN2925">
        <v>1.0000000009632899</v>
      </c>
    </row>
    <row r="2926" spans="1:40" x14ac:dyDescent="0.25">
      <c r="A2926" t="str">
        <f>"20190303170555120"</f>
        <v>20190303170555120</v>
      </c>
      <c r="B2926" t="str">
        <f>"1551603955107420"</f>
        <v>1551603955107420</v>
      </c>
      <c r="C2926" t="s">
        <v>40</v>
      </c>
      <c r="D2926">
        <v>5.6841229999999996</v>
      </c>
      <c r="E2926">
        <v>0.55365529999999996</v>
      </c>
      <c r="F2926" t="s">
        <v>42</v>
      </c>
      <c r="G2926">
        <v>-391.61810000000003</v>
      </c>
      <c r="H2926">
        <v>0.96390319999999996</v>
      </c>
      <c r="I2926">
        <v>213.41149999999999</v>
      </c>
      <c r="J2926">
        <v>-391.92660000000001</v>
      </c>
      <c r="K2926">
        <v>1.1206069999999999</v>
      </c>
      <c r="L2926">
        <v>213.50020000000001</v>
      </c>
      <c r="M2926">
        <v>0.99995650000000003</v>
      </c>
      <c r="N2926">
        <v>-7.2479509999999999E-3</v>
      </c>
      <c r="O2926">
        <v>5.8814019999999896E-3</v>
      </c>
      <c r="P2926">
        <v>0.97817880000000001</v>
      </c>
      <c r="Q2926">
        <v>0.20768210000000001</v>
      </c>
      <c r="R2926">
        <v>5.8989639999999996E-3</v>
      </c>
      <c r="S2926">
        <v>3.2034910000000001</v>
      </c>
      <c r="T2926">
        <v>-0.62729119999999905</v>
      </c>
      <c r="U2926">
        <v>-0.34179690000000001</v>
      </c>
      <c r="V2926">
        <v>-5.4797020000000001E-4</v>
      </c>
      <c r="W2926">
        <v>0.21476619999999999</v>
      </c>
      <c r="X2926">
        <v>0.97666529999999996</v>
      </c>
      <c r="Y2926">
        <v>0.1096982</v>
      </c>
      <c r="Z2926">
        <v>-1.210814E-2</v>
      </c>
      <c r="AA2926">
        <v>0.99389119999999997</v>
      </c>
      <c r="AB2926">
        <v>50</v>
      </c>
      <c r="AC2926">
        <v>0.30849999999998001</v>
      </c>
      <c r="AD2926">
        <v>-0.156703799999999</v>
      </c>
      <c r="AE2926">
        <v>-8.8700000000017099E-2</v>
      </c>
      <c r="AF2926">
        <v>7.3093552462607E-2</v>
      </c>
      <c r="AG2926">
        <v>-0.156703799999999</v>
      </c>
      <c r="AH2926">
        <v>0.248703024735353</v>
      </c>
      <c r="AI2926">
        <v>121.153660299012</v>
      </c>
      <c r="AJ2926">
        <v>73.621994260830206</v>
      </c>
      <c r="AK2926">
        <v>0.30290583166812302</v>
      </c>
      <c r="AL2926">
        <v>77.598188414802394</v>
      </c>
      <c r="AM2926">
        <v>90.032146505526995</v>
      </c>
      <c r="AN2926">
        <v>0.99999996457893403</v>
      </c>
    </row>
    <row r="2927" spans="1:40" x14ac:dyDescent="0.25">
      <c r="A2927" t="str">
        <f>"20190303170555143"</f>
        <v>20190303170555143</v>
      </c>
      <c r="B2927" t="str">
        <f>"1551603955137676"</f>
        <v>1551603955137676</v>
      </c>
      <c r="C2927" t="s">
        <v>40</v>
      </c>
      <c r="D2927">
        <v>5.6708100000000004</v>
      </c>
      <c r="E2927">
        <v>0.55403729999999995</v>
      </c>
      <c r="F2927" t="s">
        <v>42</v>
      </c>
      <c r="G2927">
        <v>-391.16289999999998</v>
      </c>
      <c r="H2927">
        <v>0.96884009999999998</v>
      </c>
      <c r="I2927">
        <v>213.41820000000001</v>
      </c>
      <c r="J2927">
        <v>-391.411</v>
      </c>
      <c r="K2927">
        <v>1.120598</v>
      </c>
      <c r="L2927">
        <v>213.5035</v>
      </c>
      <c r="M2927">
        <v>0.99995270000000003</v>
      </c>
      <c r="N2927">
        <v>-7.2617459999999899E-3</v>
      </c>
      <c r="O2927">
        <v>6.4682289999999998E-3</v>
      </c>
      <c r="P2927">
        <v>0.97826550000000001</v>
      </c>
      <c r="Q2927">
        <v>0.2072687</v>
      </c>
      <c r="R2927">
        <v>6.0247570000000004E-3</v>
      </c>
      <c r="S2927">
        <v>3.2041930000000001</v>
      </c>
      <c r="T2927">
        <v>-0.63682499999999997</v>
      </c>
      <c r="U2927">
        <v>-0.3429565</v>
      </c>
      <c r="V2927" s="1">
        <v>-9.8568389999999996E-5</v>
      </c>
      <c r="W2927">
        <v>0.21436749999999999</v>
      </c>
      <c r="X2927">
        <v>0.97675310000000004</v>
      </c>
      <c r="Y2927">
        <v>0.11052099999999999</v>
      </c>
      <c r="Z2927">
        <v>-1.247612E-2</v>
      </c>
      <c r="AA2927">
        <v>0.99379550000000005</v>
      </c>
      <c r="AB2927">
        <v>51</v>
      </c>
      <c r="AC2927">
        <v>0.248100000000022</v>
      </c>
      <c r="AD2927">
        <v>-0.1517579</v>
      </c>
      <c r="AE2927">
        <v>-8.5299999999989495E-2</v>
      </c>
      <c r="AF2927">
        <v>6.5115379254658004E-2</v>
      </c>
      <c r="AG2927">
        <v>-0.1517579</v>
      </c>
      <c r="AH2927">
        <v>0.18548099835406701</v>
      </c>
      <c r="AI2927">
        <v>127.667974114239</v>
      </c>
      <c r="AJ2927">
        <v>70.655750585382904</v>
      </c>
      <c r="AK2927">
        <v>0.24834184822198099</v>
      </c>
      <c r="AL2927">
        <v>77.621577758499797</v>
      </c>
      <c r="AM2927">
        <v>90.005781965494904</v>
      </c>
      <c r="AN2927">
        <v>1.00000002656579</v>
      </c>
    </row>
    <row r="2928" spans="1:40" x14ac:dyDescent="0.25">
      <c r="A2928" t="str">
        <f>"20190303170555166"</f>
        <v>20190303170555166</v>
      </c>
      <c r="B2928" t="str">
        <f>"1551603955158172"</f>
        <v>1551603955158172</v>
      </c>
      <c r="C2928" t="s">
        <v>40</v>
      </c>
      <c r="D2928">
        <v>5.7201300000000002</v>
      </c>
      <c r="E2928">
        <v>0.55416049999999994</v>
      </c>
      <c r="F2928" t="s">
        <v>42</v>
      </c>
      <c r="G2928">
        <v>-390.7047</v>
      </c>
      <c r="H2928">
        <v>0.97849540000000002</v>
      </c>
      <c r="I2928">
        <v>213.42679999999999</v>
      </c>
      <c r="J2928">
        <v>-390.87220000000002</v>
      </c>
      <c r="K2928">
        <v>1.1205940000000001</v>
      </c>
      <c r="L2928">
        <v>213.50729999999999</v>
      </c>
      <c r="M2928">
        <v>0.99994839999999996</v>
      </c>
      <c r="N2928">
        <v>-7.2760589999999997E-3</v>
      </c>
      <c r="O2928">
        <v>7.0789549999999996E-3</v>
      </c>
      <c r="P2928">
        <v>0.97812560000000004</v>
      </c>
      <c r="Q2928">
        <v>0.20790610000000001</v>
      </c>
      <c r="R2928">
        <v>6.738165E-3</v>
      </c>
      <c r="S2928">
        <v>3.205505</v>
      </c>
      <c r="T2928">
        <v>-0.64514110000000002</v>
      </c>
      <c r="U2928">
        <v>-0.34608460000000002</v>
      </c>
      <c r="V2928">
        <v>-2.1683750000000001E-4</v>
      </c>
      <c r="W2928">
        <v>0.21501770000000001</v>
      </c>
      <c r="X2928">
        <v>0.97661010000000004</v>
      </c>
      <c r="Y2928">
        <v>0.111945</v>
      </c>
      <c r="Z2928">
        <v>-1.28903E-2</v>
      </c>
      <c r="AA2928">
        <v>0.99363080000000004</v>
      </c>
      <c r="AB2928">
        <v>51</v>
      </c>
      <c r="AC2928">
        <v>0.167500000000018</v>
      </c>
      <c r="AD2928">
        <v>-0.14209859999999999</v>
      </c>
      <c r="AE2928">
        <v>-8.0500000000000599E-2</v>
      </c>
      <c r="AF2928">
        <v>5.1546631789632799E-2</v>
      </c>
      <c r="AG2928">
        <v>-0.14209859999999999</v>
      </c>
      <c r="AH2928">
        <v>0.105338830211989</v>
      </c>
      <c r="AI2928">
        <v>140.46700021900099</v>
      </c>
      <c r="AJ2928">
        <v>63.925591183439501</v>
      </c>
      <c r="AK2928">
        <v>0.18424260235148199</v>
      </c>
      <c r="AL2928">
        <v>77.583433931140405</v>
      </c>
      <c r="AM2928">
        <v>90.012721426274396</v>
      </c>
      <c r="AN2928">
        <v>0.99999997287690001</v>
      </c>
    </row>
    <row r="2929" spans="1:40" x14ac:dyDescent="0.25">
      <c r="A2929" t="str">
        <f>"20190303170555190"</f>
        <v>20190303170555190</v>
      </c>
      <c r="B2929" t="str">
        <f>"1551603955177692"</f>
        <v>1551603955177692</v>
      </c>
      <c r="C2929" t="s">
        <v>40</v>
      </c>
      <c r="D2929">
        <v>5.6488690000000004</v>
      </c>
      <c r="E2929">
        <v>0.55427309999999996</v>
      </c>
      <c r="F2929" t="s">
        <v>42</v>
      </c>
      <c r="G2929">
        <v>-389.82569999999998</v>
      </c>
      <c r="H2929">
        <v>0.90975879999999998</v>
      </c>
      <c r="I2929">
        <v>213.39400000000001</v>
      </c>
      <c r="J2929">
        <v>-390.34010000000001</v>
      </c>
      <c r="K2929">
        <v>1.120593</v>
      </c>
      <c r="L2929">
        <v>213.51130000000001</v>
      </c>
      <c r="M2929">
        <v>0.99994419999999995</v>
      </c>
      <c r="N2929">
        <v>-7.2903129999999997E-3</v>
      </c>
      <c r="O2929">
        <v>7.6803829999999998E-3</v>
      </c>
      <c r="P2929">
        <v>0.97810940000000002</v>
      </c>
      <c r="Q2929">
        <v>0.207955</v>
      </c>
      <c r="R2929">
        <v>7.5682630000000004E-3</v>
      </c>
      <c r="S2929">
        <v>3.2068180000000002</v>
      </c>
      <c r="T2929">
        <v>-0.64616560000000001</v>
      </c>
      <c r="U2929">
        <v>-0.34538269999999999</v>
      </c>
      <c r="V2929">
        <v>-4.5945259999999999E-4</v>
      </c>
      <c r="W2929">
        <v>0.2150801</v>
      </c>
      <c r="X2929">
        <v>0.97659629999999997</v>
      </c>
      <c r="Y2929">
        <v>0.1122606</v>
      </c>
      <c r="Z2929">
        <v>-1.3053550000000001E-2</v>
      </c>
      <c r="AA2929">
        <v>0.99359299999999995</v>
      </c>
      <c r="AB2929">
        <v>51</v>
      </c>
      <c r="AC2929">
        <v>0.51440000000002295</v>
      </c>
      <c r="AD2929">
        <v>-0.2108342</v>
      </c>
      <c r="AE2929">
        <v>-0.1173</v>
      </c>
      <c r="AF2929">
        <v>0.104552014106381</v>
      </c>
      <c r="AG2929">
        <v>-0.2108342</v>
      </c>
      <c r="AH2929">
        <v>0.44277865550946799</v>
      </c>
      <c r="AI2929">
        <v>114.863840711717</v>
      </c>
      <c r="AJ2929">
        <v>76.7142689539305</v>
      </c>
      <c r="AK2929">
        <v>0.50143306763526596</v>
      </c>
      <c r="AL2929">
        <v>77.579773323536003</v>
      </c>
      <c r="AM2929">
        <v>90.026955552590195</v>
      </c>
      <c r="AN2929">
        <v>0.99999999684319496</v>
      </c>
    </row>
    <row r="2930" spans="1:40" x14ac:dyDescent="0.25">
      <c r="A2930" t="str">
        <f>"20190303170555211"</f>
        <v>20190303170555211</v>
      </c>
      <c r="B2930" t="str">
        <f>"1551603955197213"</f>
        <v>1551603955197213</v>
      </c>
      <c r="C2930" t="s">
        <v>40</v>
      </c>
      <c r="D2930">
        <v>5.6307479999999996</v>
      </c>
      <c r="E2930">
        <v>0.55439169999999904</v>
      </c>
      <c r="F2930" t="s">
        <v>42</v>
      </c>
      <c r="G2930">
        <v>-389.36439999999999</v>
      </c>
      <c r="H2930">
        <v>0.9230855</v>
      </c>
      <c r="I2930">
        <v>213.4066</v>
      </c>
      <c r="J2930">
        <v>-389.8571</v>
      </c>
      <c r="K2930">
        <v>1.120595</v>
      </c>
      <c r="L2930">
        <v>213.51519999999999</v>
      </c>
      <c r="M2930">
        <v>0.99993940000000003</v>
      </c>
      <c r="N2930">
        <v>-7.3041479999999999E-3</v>
      </c>
      <c r="O2930">
        <v>8.2257230000000008E-3</v>
      </c>
      <c r="P2930">
        <v>0.97817589999999999</v>
      </c>
      <c r="Q2930">
        <v>0.20759559999999999</v>
      </c>
      <c r="R2930">
        <v>8.7081550000000004E-3</v>
      </c>
      <c r="S2930">
        <v>3.2078859999999998</v>
      </c>
      <c r="T2930">
        <v>-0.64944060000000003</v>
      </c>
      <c r="U2930">
        <v>-0.34301759999999998</v>
      </c>
      <c r="V2930">
        <v>-1.0644509999999999E-3</v>
      </c>
      <c r="W2930">
        <v>0.2147336</v>
      </c>
      <c r="X2930">
        <v>0.97667210000000004</v>
      </c>
      <c r="Y2930">
        <v>0.1120148</v>
      </c>
      <c r="Z2930">
        <v>-1.319328E-2</v>
      </c>
      <c r="AA2930">
        <v>0.99361900000000003</v>
      </c>
      <c r="AB2930">
        <v>51</v>
      </c>
      <c r="AC2930">
        <v>0.49270000000001302</v>
      </c>
      <c r="AD2930">
        <v>-0.1975095</v>
      </c>
      <c r="AE2930">
        <v>-0.10859999999999501</v>
      </c>
      <c r="AF2930">
        <v>9.7679604260857603E-2</v>
      </c>
      <c r="AG2930">
        <v>-0.1975095</v>
      </c>
      <c r="AH2930">
        <v>0.42643739551112397</v>
      </c>
      <c r="AI2930">
        <v>114.297713198496</v>
      </c>
      <c r="AJ2930">
        <v>77.098416647643404</v>
      </c>
      <c r="AK2930">
        <v>0.48000016663446998</v>
      </c>
      <c r="AL2930">
        <v>77.600101593481099</v>
      </c>
      <c r="AM2930">
        <v>90.062445242011606</v>
      </c>
      <c r="AN2930">
        <v>1.00000002147165</v>
      </c>
    </row>
    <row r="2931" spans="1:40" x14ac:dyDescent="0.25">
      <c r="A2931" t="str">
        <f>"20190303170555237"</f>
        <v>20190303170555237</v>
      </c>
      <c r="B2931" t="str">
        <f>"1551603955227469"</f>
        <v>1551603955227469</v>
      </c>
      <c r="C2931" t="s">
        <v>40</v>
      </c>
      <c r="D2931">
        <v>5.7274979999999998</v>
      </c>
      <c r="E2931">
        <v>0.55187569999999997</v>
      </c>
      <c r="F2931" t="s">
        <v>42</v>
      </c>
      <c r="G2931">
        <v>-388.90589999999997</v>
      </c>
      <c r="H2931">
        <v>0.92693910000000002</v>
      </c>
      <c r="I2931">
        <v>213.41390000000001</v>
      </c>
      <c r="J2931">
        <v>-389.28300000000002</v>
      </c>
      <c r="K2931">
        <v>1.120593</v>
      </c>
      <c r="L2931">
        <v>213.52019999999999</v>
      </c>
      <c r="M2931">
        <v>0.99993379999999998</v>
      </c>
      <c r="N2931">
        <v>-7.3299559999999899E-3</v>
      </c>
      <c r="O2931">
        <v>8.8711050000000007E-3</v>
      </c>
      <c r="P2931">
        <v>0.97818709999999998</v>
      </c>
      <c r="Q2931">
        <v>0.20748749999999999</v>
      </c>
      <c r="R2931">
        <v>9.9440629999999995E-3</v>
      </c>
      <c r="S2931">
        <v>3.208618</v>
      </c>
      <c r="T2931">
        <v>-0.65334639999999999</v>
      </c>
      <c r="U2931">
        <v>-0.34037779999999901</v>
      </c>
      <c r="V2931">
        <v>-1.66897799999999E-3</v>
      </c>
      <c r="W2931">
        <v>0.21464929999999999</v>
      </c>
      <c r="X2931">
        <v>0.97668980000000005</v>
      </c>
      <c r="Y2931">
        <v>0.1117875</v>
      </c>
      <c r="Z2931">
        <v>-1.3369320000000001E-2</v>
      </c>
      <c r="AA2931">
        <v>0.99364220000000003</v>
      </c>
      <c r="AB2931">
        <v>51</v>
      </c>
      <c r="AC2931">
        <v>0.37710000000004101</v>
      </c>
      <c r="AD2931">
        <v>-0.19365389999999999</v>
      </c>
      <c r="AE2931">
        <v>-0.106299999999976</v>
      </c>
      <c r="AF2931">
        <v>8.8114403262259E-2</v>
      </c>
      <c r="AG2931">
        <v>-0.19365389999999999</v>
      </c>
      <c r="AH2931">
        <v>0.30229092518276701</v>
      </c>
      <c r="AI2931">
        <v>121.592576532476</v>
      </c>
      <c r="AJ2931">
        <v>73.749190529823395</v>
      </c>
      <c r="AK2931">
        <v>0.36965630590499499</v>
      </c>
      <c r="AL2931">
        <v>77.6050471322568</v>
      </c>
      <c r="AM2931">
        <v>90.097907546924105</v>
      </c>
      <c r="AN2931">
        <v>1.00000003645104</v>
      </c>
    </row>
    <row r="2932" spans="1:40" x14ac:dyDescent="0.25">
      <c r="A2932" t="str">
        <f>"20190303170555256"</f>
        <v>20190303170555256</v>
      </c>
      <c r="B2932" t="str">
        <f>"1551603955247967"</f>
        <v>1551603955247967</v>
      </c>
      <c r="C2932" t="s">
        <v>40</v>
      </c>
      <c r="D2932">
        <v>5.6753330000000002</v>
      </c>
      <c r="E2932">
        <v>0.49531429999999999</v>
      </c>
      <c r="F2932" t="s">
        <v>42</v>
      </c>
      <c r="G2932">
        <v>-388.43939999999998</v>
      </c>
      <c r="H2932">
        <v>0.94753180000000004</v>
      </c>
      <c r="I2932">
        <v>213.43709999999999</v>
      </c>
      <c r="J2932">
        <v>-388.80430000000001</v>
      </c>
      <c r="K2932">
        <v>1.120593</v>
      </c>
      <c r="L2932">
        <v>213.5247</v>
      </c>
      <c r="M2932">
        <v>0.9999287</v>
      </c>
      <c r="N2932">
        <v>-7.3653809999999998E-3</v>
      </c>
      <c r="O2932">
        <v>9.4040960000000007E-3</v>
      </c>
      <c r="P2932">
        <v>0.97803890000000004</v>
      </c>
      <c r="Q2932">
        <v>0.2081567</v>
      </c>
      <c r="R2932">
        <v>1.052208E-2</v>
      </c>
      <c r="S2932">
        <v>3.2097470000000001</v>
      </c>
      <c r="T2932">
        <v>-0.65845369999999903</v>
      </c>
      <c r="U2932">
        <v>-0.31587219999999999</v>
      </c>
      <c r="V2932">
        <v>-1.727386E-3</v>
      </c>
      <c r="W2932">
        <v>0.21535199999999999</v>
      </c>
      <c r="X2932">
        <v>0.97653500000000004</v>
      </c>
      <c r="Y2932">
        <v>0.10486819999999999</v>
      </c>
      <c r="Z2932">
        <v>-1.284855E-2</v>
      </c>
      <c r="AA2932">
        <v>0.99440309999999998</v>
      </c>
      <c r="AB2932">
        <v>51</v>
      </c>
      <c r="AC2932">
        <v>0.36490000000003397</v>
      </c>
      <c r="AD2932">
        <v>-0.173061199999999</v>
      </c>
      <c r="AE2932">
        <v>-8.7600000000008907E-2</v>
      </c>
      <c r="AF2932">
        <v>7.5063592998166104E-2</v>
      </c>
      <c r="AG2932">
        <v>-0.173061199999999</v>
      </c>
      <c r="AH2932">
        <v>0.30021227287605001</v>
      </c>
      <c r="AI2932">
        <v>119.215946798975</v>
      </c>
      <c r="AJ2932">
        <v>75.961866040873204</v>
      </c>
      <c r="AK2932">
        <v>0.35455906521288999</v>
      </c>
      <c r="AL2932">
        <v>77.563821283668503</v>
      </c>
      <c r="AM2932">
        <v>90.101350001959005</v>
      </c>
      <c r="AN2932">
        <v>1.0000000369956901</v>
      </c>
    </row>
    <row r="2933" spans="1:40" x14ac:dyDescent="0.25">
      <c r="A2933" t="str">
        <f>"20190303170555280"</f>
        <v>20190303170555280</v>
      </c>
      <c r="B2933" t="str">
        <f>"1551603955267485"</f>
        <v>1551603955267485</v>
      </c>
      <c r="C2933" t="s">
        <v>40</v>
      </c>
      <c r="D2933">
        <v>5.6835649999999998</v>
      </c>
      <c r="E2933">
        <v>0.4888864</v>
      </c>
      <c r="F2933" t="s">
        <v>60</v>
      </c>
      <c r="G2933">
        <v>-374.53269999999998</v>
      </c>
      <c r="H2933" s="1">
        <v>8.7529089999999897E-7</v>
      </c>
      <c r="I2933">
        <v>214.05699999999999</v>
      </c>
      <c r="J2933">
        <v>-388.29149999999998</v>
      </c>
      <c r="K2933">
        <v>1.1206039999999999</v>
      </c>
      <c r="L2933">
        <v>213.52969999999999</v>
      </c>
      <c r="M2933">
        <v>0.99992309999999995</v>
      </c>
      <c r="N2933">
        <v>-7.4195240000000003E-3</v>
      </c>
      <c r="O2933">
        <v>9.9621009999999992E-3</v>
      </c>
      <c r="P2933">
        <v>0.97800370000000003</v>
      </c>
      <c r="Q2933">
        <v>0.20829500000000001</v>
      </c>
      <c r="R2933">
        <v>1.106419E-2</v>
      </c>
      <c r="S2933">
        <v>3.1182249999999998</v>
      </c>
      <c r="T2933">
        <v>-0.2448409</v>
      </c>
      <c r="U2933">
        <v>0.1163025</v>
      </c>
      <c r="V2933">
        <v>-1.72219E-3</v>
      </c>
      <c r="W2933">
        <v>0.21554290000000001</v>
      </c>
      <c r="X2933">
        <v>0.97649280000000005</v>
      </c>
      <c r="Y2933">
        <v>-2.7247850000000001E-2</v>
      </c>
      <c r="Z2933">
        <v>4.6210929999999998E-4</v>
      </c>
      <c r="AA2933">
        <v>0.99962859999999998</v>
      </c>
      <c r="AB2933">
        <v>51</v>
      </c>
      <c r="AC2933">
        <v>13.758800000000001</v>
      </c>
      <c r="AD2933">
        <v>-1.1206031247091</v>
      </c>
      <c r="AE2933">
        <v>0.52730000000002497</v>
      </c>
      <c r="AF2933">
        <v>-0.38763592789694801</v>
      </c>
      <c r="AG2933">
        <v>-1.1206031247091</v>
      </c>
      <c r="AH2933">
        <v>13.672804878251901</v>
      </c>
      <c r="AI2933">
        <v>94.683532728231896</v>
      </c>
      <c r="AJ2933">
        <v>91.623950254304106</v>
      </c>
      <c r="AK2933">
        <v>13.7241249708116</v>
      </c>
      <c r="AL2933">
        <v>77.5526193489207</v>
      </c>
      <c r="AM2933">
        <v>90.101049507187895</v>
      </c>
      <c r="AN2933">
        <v>0.999999948065321</v>
      </c>
    </row>
    <row r="2934" spans="1:40" x14ac:dyDescent="0.25">
      <c r="A2934" t="str">
        <f>"20190303170555301"</f>
        <v>20190303170555301</v>
      </c>
      <c r="B2934" t="str">
        <f>"1551603955287981"</f>
        <v>1551603955287981</v>
      </c>
      <c r="C2934" t="s">
        <v>40</v>
      </c>
      <c r="D2934">
        <v>5.714988</v>
      </c>
      <c r="E2934">
        <v>0.48660170000000003</v>
      </c>
      <c r="F2934" t="s">
        <v>60</v>
      </c>
      <c r="G2934">
        <v>-369.51369999999997</v>
      </c>
      <c r="H2934" s="1">
        <v>3.52593E-6</v>
      </c>
      <c r="I2934">
        <v>214.53370000000001</v>
      </c>
      <c r="J2934">
        <v>-387.79270000000002</v>
      </c>
      <c r="K2934">
        <v>1.120598</v>
      </c>
      <c r="L2934">
        <v>213.53489999999999</v>
      </c>
      <c r="M2934">
        <v>0.99991719999999895</v>
      </c>
      <c r="N2934">
        <v>-7.4838250000000004E-3</v>
      </c>
      <c r="O2934">
        <v>1.048379E-2</v>
      </c>
      <c r="P2934">
        <v>0.97810640000000004</v>
      </c>
      <c r="Q2934">
        <v>0.2077871</v>
      </c>
      <c r="R2934">
        <v>1.151863E-2</v>
      </c>
      <c r="S2934">
        <v>3.1050420000000001</v>
      </c>
      <c r="T2934">
        <v>-0.18529880000000001</v>
      </c>
      <c r="U2934">
        <v>0.16601560000000001</v>
      </c>
      <c r="V2934">
        <v>-1.6580989999999999E-3</v>
      </c>
      <c r="W2934">
        <v>0.2150987</v>
      </c>
      <c r="X2934">
        <v>0.97659090000000004</v>
      </c>
      <c r="Y2934">
        <v>-4.2846809999999999E-2</v>
      </c>
      <c r="Z2934">
        <v>8.908039E-4</v>
      </c>
      <c r="AA2934">
        <v>0.99908129999999995</v>
      </c>
      <c r="AB2934">
        <v>51</v>
      </c>
      <c r="AC2934">
        <v>18.279</v>
      </c>
      <c r="AD2934">
        <v>-1.12059447407</v>
      </c>
      <c r="AE2934">
        <v>0.99880000000001701</v>
      </c>
      <c r="AF2934">
        <v>-0.80409354034635705</v>
      </c>
      <c r="AG2934">
        <v>-1.12059447407</v>
      </c>
      <c r="AH2934">
        <v>18.220193687130202</v>
      </c>
      <c r="AI2934">
        <v>93.516008983323502</v>
      </c>
      <c r="AJ2934">
        <v>92.5269375276077</v>
      </c>
      <c r="AK2934">
        <v>18.2723221401518</v>
      </c>
      <c r="AL2934">
        <v>77.578682032282302</v>
      </c>
      <c r="AM2934">
        <v>90.097279201995704</v>
      </c>
      <c r="AN2934">
        <v>0.99999999299839604</v>
      </c>
    </row>
    <row r="2935" spans="1:40" x14ac:dyDescent="0.25">
      <c r="A2935" t="str">
        <f>"20190303170555322"</f>
        <v>20190303170555322</v>
      </c>
      <c r="B2935" t="str">
        <f>"1551603955307501"</f>
        <v>1551603955307501</v>
      </c>
      <c r="C2935" t="s">
        <v>40</v>
      </c>
      <c r="D2935">
        <v>5.6271409999999999</v>
      </c>
      <c r="E2935">
        <v>0.48485549999999999</v>
      </c>
      <c r="F2935" t="s">
        <v>60</v>
      </c>
      <c r="G2935">
        <v>-368.03739999999999</v>
      </c>
      <c r="H2935" s="1">
        <v>2.740292E-6</v>
      </c>
      <c r="I2935">
        <v>214.70609999999999</v>
      </c>
      <c r="J2935">
        <v>-387.32080000000002</v>
      </c>
      <c r="K2935">
        <v>1.1205769999999999</v>
      </c>
      <c r="L2935">
        <v>213.54</v>
      </c>
      <c r="M2935">
        <v>0.99991149999999995</v>
      </c>
      <c r="N2935">
        <v>-7.5466140000000001E-3</v>
      </c>
      <c r="O2935">
        <v>1.0948930000000001E-2</v>
      </c>
      <c r="P2935">
        <v>0.97817940000000003</v>
      </c>
      <c r="Q2935">
        <v>0.20740620000000001</v>
      </c>
      <c r="R2935">
        <v>1.2162360000000001E-2</v>
      </c>
      <c r="S2935">
        <v>3.1023860000000001</v>
      </c>
      <c r="T2935">
        <v>-0.175979</v>
      </c>
      <c r="U2935">
        <v>0.18392939999999999</v>
      </c>
      <c r="V2935">
        <v>-1.836584E-3</v>
      </c>
      <c r="W2935">
        <v>0.2147802</v>
      </c>
      <c r="X2935">
        <v>0.97666070000000005</v>
      </c>
      <c r="Y2935">
        <v>-4.8174630000000003E-2</v>
      </c>
      <c r="Z2935">
        <v>1.008679E-3</v>
      </c>
      <c r="AA2935">
        <v>0.99883840000000002</v>
      </c>
      <c r="AB2935">
        <v>51</v>
      </c>
      <c r="AC2935">
        <v>19.2834</v>
      </c>
      <c r="AD2935">
        <v>-1.120574259708</v>
      </c>
      <c r="AE2935">
        <v>1.1660999999999999</v>
      </c>
      <c r="AF2935">
        <v>-0.95168945190958498</v>
      </c>
      <c r="AG2935">
        <v>-1.120574259708</v>
      </c>
      <c r="AH2935">
        <v>19.230310359133899</v>
      </c>
      <c r="AI2935">
        <v>93.330858371209501</v>
      </c>
      <c r="AJ2935">
        <v>92.833201204102295</v>
      </c>
      <c r="AK2935">
        <v>19.286426211017101</v>
      </c>
      <c r="AL2935">
        <v>77.597367744853997</v>
      </c>
      <c r="AM2935">
        <v>90.107743034900295</v>
      </c>
      <c r="AN2935">
        <v>1.0000000151386499</v>
      </c>
    </row>
    <row r="2936" spans="1:40" x14ac:dyDescent="0.25">
      <c r="A2936" t="str">
        <f>"20190303170555345"</f>
        <v>20190303170555345</v>
      </c>
      <c r="B2936" t="str">
        <f>"1551603955337756"</f>
        <v>1551603955337756</v>
      </c>
      <c r="C2936" t="s">
        <v>40</v>
      </c>
      <c r="D2936">
        <v>5.677575</v>
      </c>
      <c r="E2936">
        <v>0.4836181</v>
      </c>
      <c r="F2936" t="s">
        <v>60</v>
      </c>
      <c r="G2936">
        <v>-367.25839999999999</v>
      </c>
      <c r="H2936" s="1">
        <v>2.3257839999999998E-6</v>
      </c>
      <c r="I2936">
        <v>214.83349999999999</v>
      </c>
      <c r="J2936">
        <v>-386.78989999999999</v>
      </c>
      <c r="K2936">
        <v>1.1205499999999999</v>
      </c>
      <c r="L2936">
        <v>213.54599999999999</v>
      </c>
      <c r="M2936">
        <v>0.99990579999999996</v>
      </c>
      <c r="N2936">
        <v>-7.6178629999999999E-3</v>
      </c>
      <c r="O2936">
        <v>1.142628E-2</v>
      </c>
      <c r="P2936">
        <v>0.97812580000000005</v>
      </c>
      <c r="Q2936">
        <v>0.20767530000000001</v>
      </c>
      <c r="R2936">
        <v>1.18829E-2</v>
      </c>
      <c r="S2936">
        <v>3.1011350000000002</v>
      </c>
      <c r="T2936">
        <v>-0.17321239999999999</v>
      </c>
      <c r="U2936">
        <v>0.1999359</v>
      </c>
      <c r="V2936">
        <v>-1.0746029999999999E-3</v>
      </c>
      <c r="W2936">
        <v>0.2151197</v>
      </c>
      <c r="X2936">
        <v>0.97658710000000004</v>
      </c>
      <c r="Y2936">
        <v>-5.2851099999999998E-2</v>
      </c>
      <c r="Z2936">
        <v>1.124929E-3</v>
      </c>
      <c r="AA2936">
        <v>0.99860179999999998</v>
      </c>
      <c r="AB2936">
        <v>51</v>
      </c>
      <c r="AC2936">
        <v>19.531499999999902</v>
      </c>
      <c r="AD2936">
        <v>-1.1205476742160001</v>
      </c>
      <c r="AE2936">
        <v>1.2874999999999901</v>
      </c>
      <c r="AF2936">
        <v>-1.0607607503145899</v>
      </c>
      <c r="AG2936">
        <v>-1.1205476742160001</v>
      </c>
      <c r="AH2936">
        <v>19.481092683661299</v>
      </c>
      <c r="AI2936">
        <v>93.287153109410994</v>
      </c>
      <c r="AJ2936">
        <v>93.116722244755195</v>
      </c>
      <c r="AK2936">
        <v>19.542103587101401</v>
      </c>
      <c r="AL2936">
        <v>77.577450092048807</v>
      </c>
      <c r="AM2936">
        <v>90.063046288141905</v>
      </c>
      <c r="AN2936">
        <v>1.0000000019930499</v>
      </c>
    </row>
    <row r="2937" spans="1:40" x14ac:dyDescent="0.25">
      <c r="A2937" t="str">
        <f>"20190303170555368"</f>
        <v>20190303170555368</v>
      </c>
      <c r="B2937" t="str">
        <f>"1551603955357281"</f>
        <v>1551603955357281</v>
      </c>
      <c r="C2937" t="s">
        <v>40</v>
      </c>
      <c r="D2937">
        <v>5.6146940000000001</v>
      </c>
      <c r="E2937">
        <v>0.48317759999999998</v>
      </c>
      <c r="F2937" t="s">
        <v>60</v>
      </c>
      <c r="G2937">
        <v>-365.91359999999997</v>
      </c>
      <c r="H2937" s="1">
        <v>1.610158E-6</v>
      </c>
      <c r="I2937">
        <v>214.95</v>
      </c>
      <c r="J2937">
        <v>-386.25029999999998</v>
      </c>
      <c r="K2937">
        <v>1.1205130000000001</v>
      </c>
      <c r="L2937">
        <v>213.5523</v>
      </c>
      <c r="M2937">
        <v>0.99990020000000002</v>
      </c>
      <c r="N2937">
        <v>-7.6923039999999996E-3</v>
      </c>
      <c r="O2937">
        <v>1.1848559999999999E-2</v>
      </c>
      <c r="P2937">
        <v>0.97806249999999995</v>
      </c>
      <c r="Q2937">
        <v>0.20797479999999999</v>
      </c>
      <c r="R2937">
        <v>1.185757E-2</v>
      </c>
      <c r="S2937">
        <v>3.0999150000000002</v>
      </c>
      <c r="T2937">
        <v>-0.16639010000000001</v>
      </c>
      <c r="U2937">
        <v>0.20848079999999999</v>
      </c>
      <c r="V2937">
        <v>-6.1446570000000004E-4</v>
      </c>
      <c r="W2937">
        <v>0.21549219999999999</v>
      </c>
      <c r="X2937">
        <v>0.97650539999999997</v>
      </c>
      <c r="Y2937">
        <v>-5.5197209999999997E-2</v>
      </c>
      <c r="Z2937">
        <v>1.1476189999999999E-3</v>
      </c>
      <c r="AA2937">
        <v>0.9984748</v>
      </c>
      <c r="AB2937">
        <v>52</v>
      </c>
      <c r="AC2937">
        <v>20.3367</v>
      </c>
      <c r="AD2937">
        <v>-1.1205113898419901</v>
      </c>
      <c r="AE2937">
        <v>1.39769999999998</v>
      </c>
      <c r="AF2937">
        <v>-1.1531498755173599</v>
      </c>
      <c r="AG2937">
        <v>-1.1205113898419901</v>
      </c>
      <c r="AH2937">
        <v>20.290525406582901</v>
      </c>
      <c r="AI2937">
        <v>93.155774117769397</v>
      </c>
      <c r="AJ2937">
        <v>93.252731216693306</v>
      </c>
      <c r="AK2937">
        <v>20.354132791287299</v>
      </c>
      <c r="AL2937">
        <v>77.555595202078095</v>
      </c>
      <c r="AM2937">
        <v>90.036053345551196</v>
      </c>
      <c r="AN2937">
        <v>1.00000003102904</v>
      </c>
    </row>
    <row r="2938" spans="1:40" x14ac:dyDescent="0.25">
      <c r="A2938" t="str">
        <f>"20190303170555389"</f>
        <v>20190303170555389</v>
      </c>
      <c r="B2938" t="str">
        <f>"1551603955377772"</f>
        <v>1551603955377772</v>
      </c>
      <c r="C2938" t="s">
        <v>40</v>
      </c>
      <c r="D2938">
        <v>5.6327259999999999</v>
      </c>
      <c r="E2938">
        <v>0.4828498</v>
      </c>
      <c r="F2938" t="s">
        <v>60</v>
      </c>
      <c r="G2938">
        <v>-365.03649999999999</v>
      </c>
      <c r="H2938" s="1">
        <v>1.1433609999999999E-6</v>
      </c>
      <c r="I2938">
        <v>215.00149999999999</v>
      </c>
      <c r="J2938">
        <v>-385.75630000000001</v>
      </c>
      <c r="K2938">
        <v>1.120476</v>
      </c>
      <c r="L2938">
        <v>213.5583</v>
      </c>
      <c r="M2938">
        <v>0.9998958</v>
      </c>
      <c r="N2938">
        <v>-7.7608109999999899E-3</v>
      </c>
      <c r="O2938">
        <v>1.2184830000000001E-2</v>
      </c>
      <c r="P2938">
        <v>0.97827509999999995</v>
      </c>
      <c r="Q2938">
        <v>0.2069714</v>
      </c>
      <c r="R2938">
        <v>1.186358E-2</v>
      </c>
      <c r="S2938">
        <v>3.0995789999999999</v>
      </c>
      <c r="T2938">
        <v>-0.16371920000000001</v>
      </c>
      <c r="U2938">
        <v>0.2117462</v>
      </c>
      <c r="V2938">
        <v>-2.6343440000000003E-4</v>
      </c>
      <c r="W2938">
        <v>0.214558</v>
      </c>
      <c r="X2938">
        <v>0.9767112</v>
      </c>
      <c r="Y2938">
        <v>-5.5917019999999998E-2</v>
      </c>
      <c r="Z2938">
        <v>1.1435149999999999E-3</v>
      </c>
      <c r="AA2938">
        <v>0.99843479999999996</v>
      </c>
      <c r="AB2938">
        <v>52</v>
      </c>
      <c r="AC2938">
        <v>20.719799999999999</v>
      </c>
      <c r="AD2938">
        <v>-1.1204748566389999</v>
      </c>
      <c r="AE2938">
        <v>1.44319999999999</v>
      </c>
      <c r="AF2938">
        <v>-1.1871631002343801</v>
      </c>
      <c r="AG2938">
        <v>-1.1204748566389999</v>
      </c>
      <c r="AH2938">
        <v>20.6756758784346</v>
      </c>
      <c r="AI2938">
        <v>93.096899291375195</v>
      </c>
      <c r="AJ2938">
        <v>93.286220620998705</v>
      </c>
      <c r="AK2938">
        <v>20.740019121519701</v>
      </c>
      <c r="AL2938">
        <v>77.610402393524694</v>
      </c>
      <c r="AM2938">
        <v>90.015453574129694</v>
      </c>
      <c r="AN2938">
        <v>0.99999998648356103</v>
      </c>
    </row>
    <row r="2939" spans="1:40" x14ac:dyDescent="0.25">
      <c r="A2939" t="str">
        <f>"20190303170555412"</f>
        <v>20190303170555412</v>
      </c>
      <c r="B2939" t="str">
        <f>"1551603955408029"</f>
        <v>1551603955408029</v>
      </c>
      <c r="C2939" t="s">
        <v>40</v>
      </c>
      <c r="D2939">
        <v>5.6466029999999998</v>
      </c>
      <c r="E2939">
        <v>0.48289710000000002</v>
      </c>
      <c r="F2939" t="s">
        <v>60</v>
      </c>
      <c r="G2939">
        <v>-364.82420000000002</v>
      </c>
      <c r="H2939" s="1">
        <v>1.030426E-6</v>
      </c>
      <c r="I2939">
        <v>215.00319999999999</v>
      </c>
      <c r="J2939">
        <v>-385.22</v>
      </c>
      <c r="K2939">
        <v>1.120425</v>
      </c>
      <c r="L2939">
        <v>213.56479999999999</v>
      </c>
      <c r="M2939">
        <v>0.99989139999999999</v>
      </c>
      <c r="N2939">
        <v>-7.8374929999999992E-3</v>
      </c>
      <c r="O2939">
        <v>1.2482689999999999E-2</v>
      </c>
      <c r="P2939">
        <v>0.97843060000000004</v>
      </c>
      <c r="Q2939">
        <v>0.20624700000000001</v>
      </c>
      <c r="R2939">
        <v>1.164771E-2</v>
      </c>
      <c r="S2939">
        <v>3.0991209999999998</v>
      </c>
      <c r="T2939">
        <v>-0.16589279999999901</v>
      </c>
      <c r="U2939">
        <v>0.21392820000000001</v>
      </c>
      <c r="V2939">
        <v>2.7663539999999998E-4</v>
      </c>
      <c r="W2939">
        <v>0.21391009999999999</v>
      </c>
      <c r="X2939">
        <v>0.97685330000000004</v>
      </c>
      <c r="Y2939">
        <v>-5.6326899999999999E-2</v>
      </c>
      <c r="Z2939">
        <v>1.156713E-3</v>
      </c>
      <c r="AA2939">
        <v>0.99841170000000001</v>
      </c>
      <c r="AB2939">
        <v>52</v>
      </c>
      <c r="AC2939">
        <v>20.395800000000001</v>
      </c>
      <c r="AD2939">
        <v>-1.1204239695739999</v>
      </c>
      <c r="AE2939">
        <v>1.4383999999999999</v>
      </c>
      <c r="AF2939">
        <v>-1.1801419153194399</v>
      </c>
      <c r="AG2939">
        <v>-1.1204239695739999</v>
      </c>
      <c r="AH2939">
        <v>20.351056020742998</v>
      </c>
      <c r="AI2939">
        <v>93.145953809692102</v>
      </c>
      <c r="AJ2939">
        <v>93.318820913934204</v>
      </c>
      <c r="AK2939">
        <v>20.416012489497302</v>
      </c>
      <c r="AL2939">
        <v>77.648406726952601</v>
      </c>
      <c r="AM2939">
        <v>89.983774390217803</v>
      </c>
      <c r="AN2939">
        <v>0.99999998856502204</v>
      </c>
    </row>
    <row r="2940" spans="1:40" x14ac:dyDescent="0.25">
      <c r="A2940" t="str">
        <f>"20190303170555435"</f>
        <v>20190303170555435</v>
      </c>
      <c r="B2940" t="str">
        <f>"1551603955427548"</f>
        <v>1551603955427548</v>
      </c>
      <c r="C2940" t="s">
        <v>40</v>
      </c>
      <c r="D2940">
        <v>5.6661140000000003</v>
      </c>
      <c r="E2940">
        <v>0.48291640000000002</v>
      </c>
      <c r="F2940" t="s">
        <v>60</v>
      </c>
      <c r="G2940">
        <v>-364.47160000000002</v>
      </c>
      <c r="H2940" s="1">
        <v>8.4278139999999998E-7</v>
      </c>
      <c r="I2940">
        <v>214.9896</v>
      </c>
      <c r="J2940">
        <v>-384.69529999999997</v>
      </c>
      <c r="K2940">
        <v>1.120368</v>
      </c>
      <c r="L2940">
        <v>213.57140000000001</v>
      </c>
      <c r="M2940">
        <v>0.99988809999999995</v>
      </c>
      <c r="N2940">
        <v>-7.916803E-3</v>
      </c>
      <c r="O2940">
        <v>1.270221E-2</v>
      </c>
      <c r="P2940">
        <v>0.97845280000000001</v>
      </c>
      <c r="Q2940">
        <v>0.20616689999999999</v>
      </c>
      <c r="R2940">
        <v>1.119829E-2</v>
      </c>
      <c r="S2940">
        <v>3.0989070000000001</v>
      </c>
      <c r="T2940">
        <v>-0.16734270000000001</v>
      </c>
      <c r="U2940">
        <v>0.21279909999999999</v>
      </c>
      <c r="V2940">
        <v>9.74149E-4</v>
      </c>
      <c r="W2940">
        <v>0.21390870000000001</v>
      </c>
      <c r="X2940">
        <v>0.97685319999999998</v>
      </c>
      <c r="Y2940">
        <v>-5.5750109999999999E-2</v>
      </c>
      <c r="Z2940">
        <v>1.139396E-3</v>
      </c>
      <c r="AA2940">
        <v>0.99844409999999895</v>
      </c>
      <c r="AB2940">
        <v>52</v>
      </c>
      <c r="AC2940">
        <v>20.223699999999901</v>
      </c>
      <c r="AD2940">
        <v>-1.1203671572186</v>
      </c>
      <c r="AE2940">
        <v>1.4181999999999799</v>
      </c>
      <c r="AF2940">
        <v>-1.157656390001</v>
      </c>
      <c r="AG2940">
        <v>-1.1203671572186</v>
      </c>
      <c r="AH2940">
        <v>20.178458146676501</v>
      </c>
      <c r="AI2940">
        <v>93.172760199412295</v>
      </c>
      <c r="AJ2940">
        <v>93.283511363801097</v>
      </c>
      <c r="AK2940">
        <v>20.2426669206768</v>
      </c>
      <c r="AL2940">
        <v>77.648489331792504</v>
      </c>
      <c r="AM2940">
        <v>89.942862850001504</v>
      </c>
      <c r="AN2940">
        <v>1.0000000276261001</v>
      </c>
    </row>
    <row r="2941" spans="1:40" x14ac:dyDescent="0.25">
      <c r="A2941" t="str">
        <f>"20190303170555456"</f>
        <v>20190303170555456</v>
      </c>
      <c r="B2941" t="str">
        <f>"1551603955448045"</f>
        <v>1551603955448045</v>
      </c>
      <c r="C2941" t="s">
        <v>40</v>
      </c>
      <c r="D2941">
        <v>5.7840939999999996</v>
      </c>
      <c r="E2941">
        <v>0.4829833</v>
      </c>
      <c r="F2941" t="s">
        <v>60</v>
      </c>
      <c r="G2941">
        <v>-363.78199999999998</v>
      </c>
      <c r="H2941" s="1">
        <v>4.7582189999999999E-7</v>
      </c>
      <c r="I2941">
        <v>214.99760000000001</v>
      </c>
      <c r="J2941">
        <v>-384.2002</v>
      </c>
      <c r="K2941">
        <v>1.1203110000000001</v>
      </c>
      <c r="L2941">
        <v>213.57769999999999</v>
      </c>
      <c r="M2941">
        <v>0.99988540000000004</v>
      </c>
      <c r="N2941">
        <v>-7.9932619999999992E-3</v>
      </c>
      <c r="O2941">
        <v>1.285301E-2</v>
      </c>
      <c r="P2941">
        <v>0.97843749999999996</v>
      </c>
      <c r="Q2941">
        <v>0.2062542</v>
      </c>
      <c r="R2941">
        <v>1.0912710000000001E-2</v>
      </c>
      <c r="S2941">
        <v>3.098633</v>
      </c>
      <c r="T2941">
        <v>-0.16600000000000001</v>
      </c>
      <c r="U2941">
        <v>0.21130370000000001</v>
      </c>
      <c r="V2941">
        <v>1.4387239999999999E-3</v>
      </c>
      <c r="W2941">
        <v>0.21407080000000001</v>
      </c>
      <c r="X2941">
        <v>0.97681709999999999</v>
      </c>
      <c r="Y2941">
        <v>-5.5128099999999902E-2</v>
      </c>
      <c r="Z2941">
        <v>1.1100509999999999E-3</v>
      </c>
      <c r="AA2941">
        <v>0.99847870000000005</v>
      </c>
      <c r="AB2941">
        <v>52</v>
      </c>
      <c r="AC2941">
        <v>20.418199999999999</v>
      </c>
      <c r="AD2941">
        <v>-1.1203105241781</v>
      </c>
      <c r="AE2941">
        <v>1.4199000000000099</v>
      </c>
      <c r="AF2941">
        <v>-1.1538819089394301</v>
      </c>
      <c r="AG2941">
        <v>-1.1203105241781</v>
      </c>
      <c r="AH2941">
        <v>20.3737234810378</v>
      </c>
      <c r="AI2941">
        <v>93.142385606332894</v>
      </c>
      <c r="AJ2941">
        <v>93.241528795744998</v>
      </c>
      <c r="AK2941">
        <v>20.4371022312889</v>
      </c>
      <c r="AL2941">
        <v>77.638981249591694</v>
      </c>
      <c r="AM2941">
        <v>89.915610861566705</v>
      </c>
      <c r="AN2941">
        <v>1.0000000120958901</v>
      </c>
    </row>
    <row r="2942" spans="1:40" x14ac:dyDescent="0.25">
      <c r="A2942" t="str">
        <f>"20190303170555478"</f>
        <v>20190303170555478</v>
      </c>
      <c r="B2942" t="str">
        <f>"1551603955467564"</f>
        <v>1551603955467564</v>
      </c>
      <c r="C2942" t="s">
        <v>40</v>
      </c>
      <c r="D2942">
        <v>5.6653460000000004</v>
      </c>
      <c r="E2942">
        <v>0.4827169</v>
      </c>
      <c r="F2942" t="s">
        <v>60</v>
      </c>
      <c r="G2942">
        <v>-363.12920000000003</v>
      </c>
      <c r="H2942" s="1">
        <v>1.284411E-7</v>
      </c>
      <c r="I2942">
        <v>215.00640000000001</v>
      </c>
      <c r="J2942">
        <v>-383.69510000000002</v>
      </c>
      <c r="K2942">
        <v>1.120261</v>
      </c>
      <c r="L2942">
        <v>213.58420000000001</v>
      </c>
      <c r="M2942">
        <v>0.99988350000000004</v>
      </c>
      <c r="N2942">
        <v>-8.0788960000000003E-3</v>
      </c>
      <c r="O2942">
        <v>1.295266E-2</v>
      </c>
      <c r="P2942">
        <v>0.97847899999999999</v>
      </c>
      <c r="Q2942">
        <v>0.20606479999999999</v>
      </c>
      <c r="R2942">
        <v>1.0793809999999999E-2</v>
      </c>
      <c r="S2942">
        <v>3.0984799999999999</v>
      </c>
      <c r="T2942">
        <v>-0.16474140000000001</v>
      </c>
      <c r="U2942">
        <v>0.21008299999999999</v>
      </c>
      <c r="V2942">
        <v>1.688256E-3</v>
      </c>
      <c r="W2942">
        <v>0.21396509999999999</v>
      </c>
      <c r="X2942">
        <v>0.97683980000000004</v>
      </c>
      <c r="Y2942">
        <v>-5.4642110000000001E-2</v>
      </c>
      <c r="Z2942">
        <v>1.0882579999999999E-3</v>
      </c>
      <c r="AA2942">
        <v>0.99850539999999999</v>
      </c>
      <c r="AB2942">
        <v>52</v>
      </c>
      <c r="AC2942">
        <v>20.565899999999999</v>
      </c>
      <c r="AD2942">
        <v>-1.1202608715589</v>
      </c>
      <c r="AE2942">
        <v>1.4221999999999999</v>
      </c>
      <c r="AF2942">
        <v>-1.1522861282746599</v>
      </c>
      <c r="AG2942">
        <v>-1.1202608715589</v>
      </c>
      <c r="AH2942">
        <v>20.5219940057511</v>
      </c>
      <c r="AI2942">
        <v>93.119674246335293</v>
      </c>
      <c r="AJ2942">
        <v>93.213717021757603</v>
      </c>
      <c r="AK2942">
        <v>20.584824160381899</v>
      </c>
      <c r="AL2942">
        <v>77.645180342561503</v>
      </c>
      <c r="AM2942">
        <v>89.900976754603704</v>
      </c>
      <c r="AN2942">
        <v>0.99999995454518398</v>
      </c>
    </row>
    <row r="2943" spans="1:40" x14ac:dyDescent="0.25">
      <c r="A2943" t="str">
        <f>"20190303170555499"</f>
        <v>20190303170555499</v>
      </c>
      <c r="B2943" t="str">
        <f>"1551603955488061"</f>
        <v>1551603955488061</v>
      </c>
      <c r="C2943" t="s">
        <v>40</v>
      </c>
      <c r="D2943">
        <v>5.6576979999999999</v>
      </c>
      <c r="E2943">
        <v>0.48277690000000001</v>
      </c>
      <c r="F2943" t="s">
        <v>60</v>
      </c>
      <c r="G2943">
        <v>-362.71929999999998</v>
      </c>
      <c r="H2943" s="1">
        <v>-8.9718469999999994E-8</v>
      </c>
      <c r="I2943">
        <v>215.01259999999999</v>
      </c>
      <c r="J2943">
        <v>-383.18889999999999</v>
      </c>
      <c r="K2943">
        <v>1.1202019999999999</v>
      </c>
      <c r="L2943">
        <v>213.5907</v>
      </c>
      <c r="M2943">
        <v>0.9998823</v>
      </c>
      <c r="N2943">
        <v>-8.1836589999999994E-3</v>
      </c>
      <c r="O2943">
        <v>1.2991249999999999E-2</v>
      </c>
      <c r="P2943">
        <v>0.97859859999999999</v>
      </c>
      <c r="Q2943">
        <v>0.2055015</v>
      </c>
      <c r="R2943">
        <v>1.068874E-2</v>
      </c>
      <c r="S2943">
        <v>3.0985109999999998</v>
      </c>
      <c r="T2943">
        <v>-0.16548280000000001</v>
      </c>
      <c r="U2943">
        <v>0.21099850000000001</v>
      </c>
      <c r="V2943">
        <v>1.867795E-3</v>
      </c>
      <c r="W2943">
        <v>0.2135049</v>
      </c>
      <c r="X2943">
        <v>0.97694020000000004</v>
      </c>
      <c r="Y2943">
        <v>-5.4895369999999999E-2</v>
      </c>
      <c r="Z2943">
        <v>1.101943E-3</v>
      </c>
      <c r="AA2943">
        <v>0.99849149999999998</v>
      </c>
      <c r="AB2943">
        <v>52</v>
      </c>
      <c r="AC2943">
        <v>20.4696</v>
      </c>
      <c r="AD2943">
        <v>-1.1202020897184699</v>
      </c>
      <c r="AE2943">
        <v>1.4218999999999899</v>
      </c>
      <c r="AF2943">
        <v>-1.1524107337559499</v>
      </c>
      <c r="AG2943">
        <v>-1.1202020897184699</v>
      </c>
      <c r="AH2943">
        <v>20.425468012383099</v>
      </c>
      <c r="AI2943">
        <v>93.134175994207695</v>
      </c>
      <c r="AJ2943">
        <v>93.229220662789402</v>
      </c>
      <c r="AK2943">
        <v>20.488597969260098</v>
      </c>
      <c r="AL2943">
        <v>77.672172061640097</v>
      </c>
      <c r="AM2943">
        <v>89.890457327783906</v>
      </c>
      <c r="AN2943">
        <v>0.999999992679106</v>
      </c>
    </row>
    <row r="2944" spans="1:40" x14ac:dyDescent="0.25">
      <c r="A2944" t="str">
        <f>"20190303170555524"</f>
        <v>20190303170555524</v>
      </c>
      <c r="B2944" t="str">
        <f>"1551603955518317"</f>
        <v>1551603955518317</v>
      </c>
      <c r="C2944" t="s">
        <v>40</v>
      </c>
      <c r="D2944">
        <v>5.61151</v>
      </c>
      <c r="E2944">
        <v>0.48223179999999999</v>
      </c>
      <c r="F2944" t="s">
        <v>60</v>
      </c>
      <c r="G2944">
        <v>-362.17020000000002</v>
      </c>
      <c r="H2944" s="1">
        <v>-3.819264E-7</v>
      </c>
      <c r="I2944">
        <v>215.01730000000001</v>
      </c>
      <c r="J2944">
        <v>-382.63420000000002</v>
      </c>
      <c r="K2944">
        <v>1.1201399999999999</v>
      </c>
      <c r="L2944">
        <v>213.59790000000001</v>
      </c>
      <c r="M2944">
        <v>0.99988160000000004</v>
      </c>
      <c r="N2944">
        <v>-8.3299089999999999E-3</v>
      </c>
      <c r="O2944">
        <v>1.2954749999999999E-2</v>
      </c>
      <c r="P2944">
        <v>0.97872870000000001</v>
      </c>
      <c r="Q2944">
        <v>0.20489589999999999</v>
      </c>
      <c r="R2944">
        <v>1.0400360000000001E-2</v>
      </c>
      <c r="S2944">
        <v>3.0979920000000001</v>
      </c>
      <c r="T2944">
        <v>-0.16510920000000001</v>
      </c>
      <c r="U2944">
        <v>0.21026610000000001</v>
      </c>
      <c r="V2944">
        <v>2.1652590000000001E-3</v>
      </c>
      <c r="W2944">
        <v>0.21304319999999999</v>
      </c>
      <c r="X2944">
        <v>0.97704040000000003</v>
      </c>
      <c r="Y2944">
        <v>-5.4708420000000001E-2</v>
      </c>
      <c r="Z2944">
        <v>1.1021430000000001E-3</v>
      </c>
      <c r="AA2944">
        <v>0.99850179999999999</v>
      </c>
      <c r="AB2944">
        <v>52</v>
      </c>
      <c r="AC2944">
        <v>20.463999999999999</v>
      </c>
      <c r="AD2944">
        <v>-1.1201403819264</v>
      </c>
      <c r="AE2944">
        <v>1.41939999999999</v>
      </c>
      <c r="AF2944">
        <v>-1.15073446771022</v>
      </c>
      <c r="AG2944">
        <v>-1.1201403819264</v>
      </c>
      <c r="AH2944">
        <v>20.419783375079501</v>
      </c>
      <c r="AI2944">
        <v>93.134886093421002</v>
      </c>
      <c r="AJ2944">
        <v>93.225429221918901</v>
      </c>
      <c r="AK2944">
        <v>20.4828332360436</v>
      </c>
      <c r="AL2944">
        <v>77.699248807036994</v>
      </c>
      <c r="AM2944">
        <v>89.873024698717401</v>
      </c>
      <c r="AN2944">
        <v>1.00000001832246</v>
      </c>
    </row>
    <row r="2945" spans="1:40" x14ac:dyDescent="0.25">
      <c r="A2945" t="str">
        <f>"20190303170555545"</f>
        <v>20190303170555545</v>
      </c>
      <c r="B2945" t="str">
        <f>"1551603955537837"</f>
        <v>1551603955537837</v>
      </c>
      <c r="C2945" t="s">
        <v>40</v>
      </c>
      <c r="D2945">
        <v>5.6773730000000002</v>
      </c>
      <c r="E2945">
        <v>0.46120109999999997</v>
      </c>
      <c r="F2945" t="s">
        <v>60</v>
      </c>
      <c r="G2945">
        <v>-361.55799999999999</v>
      </c>
      <c r="H2945" s="1">
        <v>-7.0769499999999999E-7</v>
      </c>
      <c r="I2945">
        <v>215.05009999999999</v>
      </c>
      <c r="J2945">
        <v>-382.11419999999998</v>
      </c>
      <c r="K2945">
        <v>1.120074</v>
      </c>
      <c r="L2945">
        <v>213.6045</v>
      </c>
      <c r="M2945">
        <v>0.99988160000000004</v>
      </c>
      <c r="N2945">
        <v>-8.5053869999999997E-3</v>
      </c>
      <c r="O2945">
        <v>1.283339E-2</v>
      </c>
      <c r="P2945">
        <v>0.97874799999999995</v>
      </c>
      <c r="Q2945">
        <v>0.2048161</v>
      </c>
      <c r="R2945">
        <v>1.0163169999999999E-2</v>
      </c>
      <c r="S2945">
        <v>3.0974430000000002</v>
      </c>
      <c r="T2945">
        <v>-0.1646205</v>
      </c>
      <c r="U2945">
        <v>0.21342469999999999</v>
      </c>
      <c r="V2945">
        <v>2.3291359999999999E-3</v>
      </c>
      <c r="W2945">
        <v>0.2131345</v>
      </c>
      <c r="X2945">
        <v>0.97702009999999995</v>
      </c>
      <c r="Y2945">
        <v>-5.5853029999999998E-2</v>
      </c>
      <c r="Z2945">
        <v>1.1477150000000001E-3</v>
      </c>
      <c r="AA2945">
        <v>0.99843839999999995</v>
      </c>
      <c r="AB2945">
        <v>52</v>
      </c>
      <c r="AC2945">
        <v>20.556199999999901</v>
      </c>
      <c r="AD2945">
        <v>-1.1200747076949999</v>
      </c>
      <c r="AE2945">
        <v>1.44559999999998</v>
      </c>
      <c r="AF2945">
        <v>-1.1781849019302999</v>
      </c>
      <c r="AG2945">
        <v>-1.1200747076949999</v>
      </c>
      <c r="AH2945">
        <v>20.512458145895899</v>
      </c>
      <c r="AI2945">
        <v>93.120376817652996</v>
      </c>
      <c r="AJ2945">
        <v>93.287316122403894</v>
      </c>
      <c r="AK2945">
        <v>20.576773950284</v>
      </c>
      <c r="AL2945">
        <v>77.693894604083795</v>
      </c>
      <c r="AM2945">
        <v>89.863411807073604</v>
      </c>
      <c r="AN2945">
        <v>1.00000000788438</v>
      </c>
    </row>
    <row r="2946" spans="1:40" x14ac:dyDescent="0.25">
      <c r="A2946" t="str">
        <f>"20190303170555568"</f>
        <v>20190303170555568</v>
      </c>
      <c r="B2946" t="str">
        <f>"1551603955557360"</f>
        <v>1551603955557360</v>
      </c>
      <c r="C2946" t="s">
        <v>40</v>
      </c>
      <c r="D2946">
        <v>5.6482900000000003</v>
      </c>
      <c r="E2946">
        <v>0.45999970000000001</v>
      </c>
      <c r="F2946" t="s">
        <v>60</v>
      </c>
      <c r="G2946">
        <v>-353.17110000000002</v>
      </c>
      <c r="H2946" s="1">
        <v>4.003153E-8</v>
      </c>
      <c r="I2946">
        <v>217.14850000000001</v>
      </c>
      <c r="J2946">
        <v>-381.60169999999999</v>
      </c>
      <c r="K2946">
        <v>1.12002</v>
      </c>
      <c r="L2946">
        <v>213.61099999999999</v>
      </c>
      <c r="M2946">
        <v>0.9998823</v>
      </c>
      <c r="N2946">
        <v>-8.6960070000000004E-3</v>
      </c>
      <c r="O2946">
        <v>1.2648929999999999E-2</v>
      </c>
      <c r="P2946">
        <v>0.97879609999999995</v>
      </c>
      <c r="Q2946">
        <v>0.2046145</v>
      </c>
      <c r="R2946">
        <v>9.5607009999999996E-3</v>
      </c>
      <c r="S2946">
        <v>3.0862430000000001</v>
      </c>
      <c r="T2946">
        <v>-0.1194351</v>
      </c>
      <c r="U2946">
        <v>0.37789919999999999</v>
      </c>
      <c r="V2946">
        <v>2.7973960000000002E-3</v>
      </c>
      <c r="W2946">
        <v>0.21311910000000001</v>
      </c>
      <c r="X2946">
        <v>0.97702219999999995</v>
      </c>
      <c r="Y2946">
        <v>-0.1088803</v>
      </c>
      <c r="Z2946">
        <v>2.1957539999999998E-3</v>
      </c>
      <c r="AA2946">
        <v>0.99405250000000001</v>
      </c>
      <c r="AB2946">
        <v>52</v>
      </c>
      <c r="AC2946">
        <v>28.430599999999899</v>
      </c>
      <c r="AD2946">
        <v>-1.1200199599684699</v>
      </c>
      <c r="AE2946">
        <v>3.5375000000000201</v>
      </c>
      <c r="AF2946">
        <v>-3.1727378684565801</v>
      </c>
      <c r="AG2946">
        <v>-1.1200199599684699</v>
      </c>
      <c r="AH2946">
        <v>28.429623764581802</v>
      </c>
      <c r="AI2946">
        <v>92.242165949267701</v>
      </c>
      <c r="AJ2946">
        <v>96.367843717763506</v>
      </c>
      <c r="AK2946">
        <v>28.628032026116301</v>
      </c>
      <c r="AL2946">
        <v>77.694797331703597</v>
      </c>
      <c r="AM2946">
        <v>89.835951991214898</v>
      </c>
      <c r="AN2946">
        <v>0.99999997775101501</v>
      </c>
    </row>
    <row r="2947" spans="1:40" x14ac:dyDescent="0.25">
      <c r="A2947" t="str">
        <f>"20190303170555589"</f>
        <v>20190303170555589</v>
      </c>
      <c r="B2947" t="str">
        <f>"1551603955577853"</f>
        <v>1551603955577853</v>
      </c>
      <c r="C2947" t="s">
        <v>40</v>
      </c>
      <c r="D2947">
        <v>5.6629680000000002</v>
      </c>
      <c r="E2947">
        <v>0.45959230000000001</v>
      </c>
      <c r="F2947" t="s">
        <v>60</v>
      </c>
      <c r="G2947">
        <v>-347.2826</v>
      </c>
      <c r="H2947" s="1">
        <v>2.338657E-6</v>
      </c>
      <c r="I2947">
        <v>217.89519999999999</v>
      </c>
      <c r="J2947">
        <v>-381.10550000000001</v>
      </c>
      <c r="K2947">
        <v>1.119966</v>
      </c>
      <c r="L2947">
        <v>213.61709999999999</v>
      </c>
      <c r="M2947">
        <v>0.99988339999999998</v>
      </c>
      <c r="N2947">
        <v>-8.9015229999999997E-3</v>
      </c>
      <c r="O2947">
        <v>1.241341E-2</v>
      </c>
      <c r="P2947">
        <v>0.97887749999999996</v>
      </c>
      <c r="Q2947">
        <v>0.2042764</v>
      </c>
      <c r="R2947">
        <v>8.3775559999999995E-3</v>
      </c>
      <c r="S2947">
        <v>3.082306</v>
      </c>
      <c r="T2947">
        <v>-0.1005925</v>
      </c>
      <c r="U2947">
        <v>0.38478089999999998</v>
      </c>
      <c r="V2947">
        <v>3.7949669999999998E-3</v>
      </c>
      <c r="W2947">
        <v>0.2129817</v>
      </c>
      <c r="X2947">
        <v>0.97704880000000005</v>
      </c>
      <c r="Y2947">
        <v>-0.111475</v>
      </c>
      <c r="Z2947">
        <v>2.0164689999999999E-3</v>
      </c>
      <c r="AA2947">
        <v>0.99376520000000002</v>
      </c>
      <c r="AB2947">
        <v>52</v>
      </c>
      <c r="AC2947">
        <v>33.822899999999997</v>
      </c>
      <c r="AD2947">
        <v>-1.119963661343</v>
      </c>
      <c r="AE2947">
        <v>4.2780999999999896</v>
      </c>
      <c r="AF2947">
        <v>-3.8537373503107002</v>
      </c>
      <c r="AG2947">
        <v>-1.119963661343</v>
      </c>
      <c r="AH2947">
        <v>33.836885647370899</v>
      </c>
      <c r="AI2947">
        <v>91.883567200198399</v>
      </c>
      <c r="AJ2947">
        <v>96.497511320243007</v>
      </c>
      <c r="AK2947">
        <v>34.074043500605598</v>
      </c>
      <c r="AL2947">
        <v>77.702854813204496</v>
      </c>
      <c r="AM2947">
        <v>89.777457892516097</v>
      </c>
      <c r="AN2947">
        <v>0.99999998194543005</v>
      </c>
    </row>
    <row r="2948" spans="1:40" x14ac:dyDescent="0.25">
      <c r="A2948" t="str">
        <f>"20190303170555612"</f>
        <v>20190303170555612</v>
      </c>
      <c r="B2948" t="str">
        <f>"1551603955597376"</f>
        <v>1551603955597376</v>
      </c>
      <c r="C2948" t="s">
        <v>40</v>
      </c>
      <c r="D2948">
        <v>5.6622279999999998</v>
      </c>
      <c r="E2948">
        <v>0.45945429999999998</v>
      </c>
      <c r="F2948" t="s">
        <v>60</v>
      </c>
      <c r="G2948">
        <v>-343.13380000000001</v>
      </c>
      <c r="H2948" s="1">
        <v>1.3085059999999999E-7</v>
      </c>
      <c r="I2948">
        <v>218.34690000000001</v>
      </c>
      <c r="J2948">
        <v>-380.5829</v>
      </c>
      <c r="K2948">
        <v>1.119923</v>
      </c>
      <c r="L2948">
        <v>213.6234</v>
      </c>
      <c r="M2948">
        <v>0.99988500000000002</v>
      </c>
      <c r="N2948">
        <v>-9.1413870000000008E-3</v>
      </c>
      <c r="O2948">
        <v>1.2109429999999999E-2</v>
      </c>
      <c r="P2948">
        <v>0.97883540000000002</v>
      </c>
      <c r="Q2948">
        <v>0.2045235</v>
      </c>
      <c r="R2948">
        <v>7.1741679999999999E-3</v>
      </c>
      <c r="S2948">
        <v>3.0804140000000002</v>
      </c>
      <c r="T2948">
        <v>-9.0856080000000006E-2</v>
      </c>
      <c r="U2948">
        <v>0.38369750000000002</v>
      </c>
      <c r="V2948">
        <v>4.7451589999999997E-3</v>
      </c>
      <c r="W2948">
        <v>0.2134616</v>
      </c>
      <c r="X2948">
        <v>0.97693989999999997</v>
      </c>
      <c r="Y2948">
        <v>-0.1115188</v>
      </c>
      <c r="Z2948">
        <v>1.9044019999999999E-3</v>
      </c>
      <c r="AA2948">
        <v>0.99376050000000005</v>
      </c>
      <c r="AB2948">
        <v>52</v>
      </c>
      <c r="AC2948">
        <v>37.449099999999902</v>
      </c>
      <c r="AD2948">
        <v>-1.1199228691493901</v>
      </c>
      <c r="AE2948">
        <v>4.7234999999999996</v>
      </c>
      <c r="AF2948">
        <v>-4.2658921472324796</v>
      </c>
      <c r="AG2948">
        <v>-1.1199228691493901</v>
      </c>
      <c r="AH2948">
        <v>37.470569267732301</v>
      </c>
      <c r="AI2948">
        <v>91.7009692922352</v>
      </c>
      <c r="AJ2948">
        <v>96.494958312047501</v>
      </c>
      <c r="AK2948">
        <v>37.729240971593697</v>
      </c>
      <c r="AL2948">
        <v>77.674711224004497</v>
      </c>
      <c r="AM2948">
        <v>89.721707091911995</v>
      </c>
      <c r="AN2948">
        <v>0.99999996971025196</v>
      </c>
    </row>
    <row r="2949" spans="1:40" x14ac:dyDescent="0.25">
      <c r="A2949" t="str">
        <f>"20190303170555638"</f>
        <v>20190303170555638</v>
      </c>
      <c r="B2949" t="str">
        <f>"1551603955627630"</f>
        <v>1551603955627630</v>
      </c>
      <c r="C2949" t="s">
        <v>40</v>
      </c>
      <c r="D2949">
        <v>5.6616970000000002</v>
      </c>
      <c r="E2949">
        <v>0.45930189999999999</v>
      </c>
      <c r="F2949" t="s">
        <v>60</v>
      </c>
      <c r="G2949">
        <v>-340.86020000000002</v>
      </c>
      <c r="H2949" s="1">
        <v>-1.079033E-6</v>
      </c>
      <c r="I2949">
        <v>218.53630000000001</v>
      </c>
      <c r="J2949">
        <v>-379.97629999999998</v>
      </c>
      <c r="K2949">
        <v>1.119866</v>
      </c>
      <c r="L2949">
        <v>213.63050000000001</v>
      </c>
      <c r="M2949">
        <v>0.99988710000000003</v>
      </c>
      <c r="N2949">
        <v>-9.4436929999999995E-3</v>
      </c>
      <c r="O2949">
        <v>1.169897E-2</v>
      </c>
      <c r="P2949">
        <v>0.97886130000000005</v>
      </c>
      <c r="Q2949">
        <v>0.20444950000000001</v>
      </c>
      <c r="R2949">
        <v>5.574336E-3</v>
      </c>
      <c r="S2949">
        <v>3.0802610000000001</v>
      </c>
      <c r="T2949">
        <v>-8.6843370000000003E-2</v>
      </c>
      <c r="U2949">
        <v>0.38096619999999998</v>
      </c>
      <c r="V2949">
        <v>5.9920909999999997E-3</v>
      </c>
      <c r="W2949">
        <v>0.21368139999999999</v>
      </c>
      <c r="X2949">
        <v>0.976885</v>
      </c>
      <c r="Y2949">
        <v>-0.111069</v>
      </c>
      <c r="Z2949">
        <v>1.8676719999999999E-3</v>
      </c>
      <c r="AA2949">
        <v>0.993811</v>
      </c>
      <c r="AB2949">
        <v>52</v>
      </c>
      <c r="AC2949">
        <v>39.116099999999904</v>
      </c>
      <c r="AD2949">
        <v>-1.1198670790330001</v>
      </c>
      <c r="AE2949">
        <v>4.9057999999999904</v>
      </c>
      <c r="AF2949">
        <v>-4.4442395559709897</v>
      </c>
      <c r="AG2949">
        <v>-1.1198670790330001</v>
      </c>
      <c r="AH2949">
        <v>39.139234992280102</v>
      </c>
      <c r="AI2949">
        <v>91.6284631071983</v>
      </c>
      <c r="AJ2949">
        <v>96.478158717504598</v>
      </c>
      <c r="AK2949">
        <v>39.4066629300995</v>
      </c>
      <c r="AL2949">
        <v>77.661820242399997</v>
      </c>
      <c r="AM2949">
        <v>89.648559227445602</v>
      </c>
      <c r="AN2949">
        <v>0.99999997454275502</v>
      </c>
    </row>
    <row r="2950" spans="1:40" x14ac:dyDescent="0.25">
      <c r="A2950" t="str">
        <f>"20190303170555659"</f>
        <v>20190303170555659</v>
      </c>
      <c r="B2950" t="str">
        <f>"1551603955648124"</f>
        <v>1551603955648124</v>
      </c>
      <c r="C2950" t="s">
        <v>40</v>
      </c>
      <c r="D2950">
        <v>5.6717760000000004</v>
      </c>
      <c r="E2950">
        <v>0.45911669999999999</v>
      </c>
      <c r="F2950" t="s">
        <v>60</v>
      </c>
      <c r="G2950">
        <v>-337.8066</v>
      </c>
      <c r="H2950" s="1">
        <v>2.4344910000000001E-6</v>
      </c>
      <c r="I2950">
        <v>218.80260000000001</v>
      </c>
      <c r="J2950">
        <v>-379.4717</v>
      </c>
      <c r="K2950">
        <v>1.119828</v>
      </c>
      <c r="L2950">
        <v>213.6362</v>
      </c>
      <c r="M2950">
        <v>0.99988880000000002</v>
      </c>
      <c r="N2950">
        <v>-9.7082160000000004E-3</v>
      </c>
      <c r="O2950">
        <v>1.132231E-2</v>
      </c>
      <c r="P2950">
        <v>0.97903169999999995</v>
      </c>
      <c r="Q2950">
        <v>0.2036569</v>
      </c>
      <c r="R2950">
        <v>4.5544690000000002E-3</v>
      </c>
      <c r="S2950">
        <v>3.079742</v>
      </c>
      <c r="T2950">
        <v>-8.1786040000000004E-2</v>
      </c>
      <c r="U2950">
        <v>0.37773129999999999</v>
      </c>
      <c r="V2950">
        <v>6.6810639999999996E-3</v>
      </c>
      <c r="W2950">
        <v>0.21314710000000001</v>
      </c>
      <c r="X2950">
        <v>0.97699729999999996</v>
      </c>
      <c r="Y2950">
        <v>-0.1104407</v>
      </c>
      <c r="Z2950">
        <v>1.809017E-3</v>
      </c>
      <c r="AA2950">
        <v>0.99388100000000001</v>
      </c>
      <c r="AB2950">
        <v>52</v>
      </c>
      <c r="AC2950">
        <v>41.665100000000002</v>
      </c>
      <c r="AD2950">
        <v>-1.1198255655089999</v>
      </c>
      <c r="AE2950">
        <v>5.1664000000000003</v>
      </c>
      <c r="AF2950">
        <v>-4.6909641384711698</v>
      </c>
      <c r="AG2950">
        <v>-1.1198255655089999</v>
      </c>
      <c r="AH2950">
        <v>41.691267163422303</v>
      </c>
      <c r="AI2950">
        <v>91.528948936924905</v>
      </c>
      <c r="AJ2950">
        <v>96.419732068633095</v>
      </c>
      <c r="AK2950">
        <v>41.969285335080997</v>
      </c>
      <c r="AL2950">
        <v>77.693155893893902</v>
      </c>
      <c r="AM2950">
        <v>89.608196662277393</v>
      </c>
      <c r="AN2950">
        <v>1.0000000235309301</v>
      </c>
    </row>
    <row r="2951" spans="1:40" x14ac:dyDescent="0.25">
      <c r="A2951" t="str">
        <f>"20190303170555679"</f>
        <v>20190303170555679</v>
      </c>
      <c r="B2951" t="str">
        <f>"1551603955667644"</f>
        <v>1551603955667644</v>
      </c>
      <c r="C2951" t="s">
        <v>40</v>
      </c>
      <c r="D2951">
        <v>5.45078</v>
      </c>
      <c r="E2951">
        <v>0.45886339999999998</v>
      </c>
      <c r="F2951" t="s">
        <v>60</v>
      </c>
      <c r="G2951">
        <v>-337.00189999999998</v>
      </c>
      <c r="H2951" s="1">
        <v>2.0058170000000002E-6</v>
      </c>
      <c r="I2951">
        <v>218.81309999999999</v>
      </c>
      <c r="J2951">
        <v>-378.98669999999998</v>
      </c>
      <c r="K2951">
        <v>1.1197969999999999</v>
      </c>
      <c r="L2951">
        <v>213.64150000000001</v>
      </c>
      <c r="M2951">
        <v>0.99989050000000002</v>
      </c>
      <c r="N2951">
        <v>-9.9709819999999998E-3</v>
      </c>
      <c r="O2951">
        <v>1.093891E-2</v>
      </c>
      <c r="P2951">
        <v>0.97910350000000002</v>
      </c>
      <c r="Q2951">
        <v>0.20331730000000001</v>
      </c>
      <c r="R2951">
        <v>4.315892E-3</v>
      </c>
      <c r="S2951">
        <v>3.0793759999999999</v>
      </c>
      <c r="T2951">
        <v>-8.1195589999999998E-2</v>
      </c>
      <c r="U2951">
        <v>0.37536619999999998</v>
      </c>
      <c r="V2951">
        <v>6.5762009999999899E-3</v>
      </c>
      <c r="W2951">
        <v>0.21306420000000001</v>
      </c>
      <c r="X2951">
        <v>0.97701610000000005</v>
      </c>
      <c r="Y2951">
        <v>-0.11008419999999999</v>
      </c>
      <c r="Z2951">
        <v>1.8181289999999999E-3</v>
      </c>
      <c r="AA2951">
        <v>0.99392060000000004</v>
      </c>
      <c r="AB2951">
        <v>52</v>
      </c>
      <c r="AC2951">
        <v>41.9848</v>
      </c>
      <c r="AD2951">
        <v>-1.1197949941830001</v>
      </c>
      <c r="AE2951">
        <v>5.1715999999999802</v>
      </c>
      <c r="AF2951">
        <v>-4.7087002403048501</v>
      </c>
      <c r="AG2951">
        <v>-1.1197949941830001</v>
      </c>
      <c r="AH2951">
        <v>42.009424794483401</v>
      </c>
      <c r="AI2951">
        <v>91.517405816939402</v>
      </c>
      <c r="AJ2951">
        <v>96.395404565682497</v>
      </c>
      <c r="AK2951">
        <v>42.287321626527699</v>
      </c>
      <c r="AL2951">
        <v>77.698017463544502</v>
      </c>
      <c r="AM2951">
        <v>89.614353466087707</v>
      </c>
      <c r="AN2951">
        <v>1.0000000297002201</v>
      </c>
    </row>
    <row r="2952" spans="1:40" x14ac:dyDescent="0.25">
      <c r="A2952" t="str">
        <f>"20190303170555702"</f>
        <v>20190303170555702</v>
      </c>
      <c r="B2952" t="str">
        <f>"1551603955697901"</f>
        <v>1551603955697901</v>
      </c>
      <c r="C2952" t="s">
        <v>40</v>
      </c>
      <c r="D2952">
        <v>5.6831480000000001</v>
      </c>
      <c r="E2952">
        <v>0.45848549999999899</v>
      </c>
      <c r="F2952" t="s">
        <v>60</v>
      </c>
      <c r="G2952">
        <v>-336.65660000000003</v>
      </c>
      <c r="H2952" s="1">
        <v>1.8212579999999999E-6</v>
      </c>
      <c r="I2952">
        <v>218.8322</v>
      </c>
      <c r="J2952">
        <v>-378.46199999999999</v>
      </c>
      <c r="K2952">
        <v>1.119774</v>
      </c>
      <c r="L2952">
        <v>213.64699999999999</v>
      </c>
      <c r="M2952">
        <v>0.99989209999999995</v>
      </c>
      <c r="N2952">
        <v>-1.0264479999999999E-2</v>
      </c>
      <c r="O2952">
        <v>1.0509060000000001E-2</v>
      </c>
      <c r="P2952">
        <v>0.97920110000000005</v>
      </c>
      <c r="Q2952">
        <v>0.20286299999999999</v>
      </c>
      <c r="R2952">
        <v>3.4372729999999998E-3</v>
      </c>
      <c r="S2952">
        <v>3.079285</v>
      </c>
      <c r="T2952">
        <v>-8.1459050000000005E-2</v>
      </c>
      <c r="U2952">
        <v>0.37759399999999999</v>
      </c>
      <c r="V2952">
        <v>7.0653869999999898E-3</v>
      </c>
      <c r="W2952">
        <v>0.21289640000000001</v>
      </c>
      <c r="X2952">
        <v>0.97704919999999995</v>
      </c>
      <c r="Y2952">
        <v>-0.111222</v>
      </c>
      <c r="Z2952">
        <v>1.869091E-3</v>
      </c>
      <c r="AA2952">
        <v>0.99379379999999995</v>
      </c>
      <c r="AB2952">
        <v>52</v>
      </c>
      <c r="AC2952">
        <v>41.805399999999899</v>
      </c>
      <c r="AD2952">
        <v>-1.1197721787420001</v>
      </c>
      <c r="AE2952">
        <v>5.1851999999999796</v>
      </c>
      <c r="AF2952">
        <v>-4.7422042643840703</v>
      </c>
      <c r="AG2952">
        <v>-1.1197721787420001</v>
      </c>
      <c r="AH2952">
        <v>41.828030588193002</v>
      </c>
      <c r="AI2952">
        <v>91.523733946014204</v>
      </c>
      <c r="AJ2952">
        <v>96.468223269922206</v>
      </c>
      <c r="AK2952">
        <v>42.110883793910503</v>
      </c>
      <c r="AL2952">
        <v>77.707856689072202</v>
      </c>
      <c r="AM2952">
        <v>89.585681253657697</v>
      </c>
      <c r="AN2952">
        <v>0.99999996802352897</v>
      </c>
    </row>
    <row r="2953" spans="1:40" x14ac:dyDescent="0.25">
      <c r="A2953" t="str">
        <f>"20190303170555735"</f>
        <v>20190303170555735</v>
      </c>
      <c r="B2953" t="str">
        <f>"1551603955728157"</f>
        <v>1551603955728157</v>
      </c>
      <c r="C2953" t="s">
        <v>40</v>
      </c>
      <c r="D2953">
        <v>5.398752</v>
      </c>
      <c r="E2953">
        <v>0.45826430000000001</v>
      </c>
      <c r="F2953" t="s">
        <v>60</v>
      </c>
      <c r="G2953">
        <v>-336.4083</v>
      </c>
      <c r="H2953" s="1">
        <v>1.6896479999999999E-6</v>
      </c>
      <c r="I2953">
        <v>218.81970000000001</v>
      </c>
      <c r="J2953">
        <v>-377.68049999999999</v>
      </c>
      <c r="K2953">
        <v>1.1197649999999999</v>
      </c>
      <c r="L2953">
        <v>213.65469999999999</v>
      </c>
      <c r="M2953">
        <v>0.99989380000000005</v>
      </c>
      <c r="N2953">
        <v>-1.0731009999999999E-2</v>
      </c>
      <c r="O2953">
        <v>9.8521500000000005E-3</v>
      </c>
      <c r="P2953">
        <v>0.97950289999999995</v>
      </c>
      <c r="Q2953">
        <v>0.2013981</v>
      </c>
      <c r="R2953">
        <v>3.544705E-3</v>
      </c>
      <c r="S2953">
        <v>3.0793759999999999</v>
      </c>
      <c r="T2953">
        <v>-8.1995129999999999E-2</v>
      </c>
      <c r="U2953">
        <v>0.37876890000000002</v>
      </c>
      <c r="V2953">
        <v>6.3555169999999998E-3</v>
      </c>
      <c r="W2953">
        <v>0.21189040000000001</v>
      </c>
      <c r="X2953">
        <v>0.97727269999999999</v>
      </c>
      <c r="Y2953">
        <v>-0.11224290000000001</v>
      </c>
      <c r="Z2953">
        <v>1.937226E-3</v>
      </c>
      <c r="AA2953">
        <v>0.99367890000000003</v>
      </c>
      <c r="AB2953">
        <v>52</v>
      </c>
      <c r="AC2953">
        <v>41.272199999999998</v>
      </c>
      <c r="AD2953">
        <v>-1.1197633103519999</v>
      </c>
      <c r="AE2953">
        <v>5.1650000000000196</v>
      </c>
      <c r="AF2953">
        <v>-4.7546600003396602</v>
      </c>
      <c r="AG2953">
        <v>-1.1197633103519999</v>
      </c>
      <c r="AH2953">
        <v>41.291160191669498</v>
      </c>
      <c r="AI2953">
        <v>91.543214929630594</v>
      </c>
      <c r="AJ2953">
        <v>96.568655034390005</v>
      </c>
      <c r="AK2953">
        <v>41.579088152148699</v>
      </c>
      <c r="AL2953">
        <v>77.766841598468801</v>
      </c>
      <c r="AM2953">
        <v>89.627392469626599</v>
      </c>
      <c r="AN2953">
        <v>0.99999993218689098</v>
      </c>
    </row>
    <row r="2954" spans="1:40" x14ac:dyDescent="0.25">
      <c r="A2954" t="str">
        <f>"20190303170555758"</f>
        <v>20190303170555758</v>
      </c>
      <c r="B2954" t="str">
        <f>"1551603955747676"</f>
        <v>1551603955747676</v>
      </c>
      <c r="C2954" t="s">
        <v>40</v>
      </c>
      <c r="D2954">
        <v>5.6663100000000002</v>
      </c>
      <c r="E2954">
        <v>0.458206</v>
      </c>
      <c r="F2954" t="s">
        <v>60</v>
      </c>
      <c r="G2954">
        <v>-337.51710000000003</v>
      </c>
      <c r="H2954" s="1">
        <v>2.2887510000000001E-6</v>
      </c>
      <c r="I2954">
        <v>218.61279999999999</v>
      </c>
      <c r="J2954">
        <v>-377.15170000000001</v>
      </c>
      <c r="K2954">
        <v>1.1197629999999901</v>
      </c>
      <c r="L2954">
        <v>213.65969999999999</v>
      </c>
      <c r="M2954">
        <v>0.99989470000000003</v>
      </c>
      <c r="N2954">
        <v>-1.1055239999999999E-2</v>
      </c>
      <c r="O2954">
        <v>9.4053409999999994E-3</v>
      </c>
      <c r="P2954">
        <v>0.97969930000000005</v>
      </c>
      <c r="Q2954">
        <v>0.2004457</v>
      </c>
      <c r="R2954">
        <v>3.2756069999999998E-3</v>
      </c>
      <c r="S2954">
        <v>3.0790099999999998</v>
      </c>
      <c r="T2954">
        <v>-8.5843439999999993E-2</v>
      </c>
      <c r="U2954">
        <v>0.3800964</v>
      </c>
      <c r="V2954">
        <v>6.20916E-3</v>
      </c>
      <c r="W2954">
        <v>0.2112561</v>
      </c>
      <c r="X2954">
        <v>0.97741100000000003</v>
      </c>
      <c r="Y2954">
        <v>-0.1131178</v>
      </c>
      <c r="Z2954">
        <v>2.0408850000000001E-3</v>
      </c>
      <c r="AA2954">
        <v>0.99357949999999995</v>
      </c>
      <c r="AB2954">
        <v>52</v>
      </c>
      <c r="AC2954">
        <v>39.634599999999899</v>
      </c>
      <c r="AD2954">
        <v>-1.11976071124899</v>
      </c>
      <c r="AE2954">
        <v>4.9531000000000001</v>
      </c>
      <c r="AF2954">
        <v>-4.5764845045457196</v>
      </c>
      <c r="AG2954">
        <v>-1.11976071124899</v>
      </c>
      <c r="AH2954">
        <v>39.6482752640934</v>
      </c>
      <c r="AI2954">
        <v>91.6070730130903</v>
      </c>
      <c r="AJ2954">
        <v>96.584345525544904</v>
      </c>
      <c r="AK2954">
        <v>39.927231382705699</v>
      </c>
      <c r="AL2954">
        <v>77.804026661601</v>
      </c>
      <c r="AM2954">
        <v>89.636024275624905</v>
      </c>
      <c r="AN2954">
        <v>0.99999997818805697</v>
      </c>
    </row>
    <row r="2955" spans="1:40" x14ac:dyDescent="0.25">
      <c r="A2955" t="str">
        <f>"20190303170555779"</f>
        <v>20190303170555779</v>
      </c>
      <c r="B2955" t="str">
        <f>"1551603955767197"</f>
        <v>1551603955767197</v>
      </c>
      <c r="C2955" t="s">
        <v>40</v>
      </c>
      <c r="D2955">
        <v>5.6864109999999997</v>
      </c>
      <c r="E2955">
        <v>0.45786290000000002</v>
      </c>
      <c r="F2955" t="s">
        <v>60</v>
      </c>
      <c r="G2955">
        <v>-338.06699999999898</v>
      </c>
      <c r="H2955" s="1">
        <v>2.5875589999999999E-6</v>
      </c>
      <c r="I2955">
        <v>218.47110000000001</v>
      </c>
      <c r="J2955">
        <v>-376.65699999999998</v>
      </c>
      <c r="K2955">
        <v>1.119769</v>
      </c>
      <c r="L2955">
        <v>213.66409999999999</v>
      </c>
      <c r="M2955">
        <v>0.99989519999999998</v>
      </c>
      <c r="N2955">
        <v>-1.1364259999999999E-2</v>
      </c>
      <c r="O2955">
        <v>8.9871559999999996E-3</v>
      </c>
      <c r="P2955">
        <v>0.97965820000000003</v>
      </c>
      <c r="Q2955">
        <v>0.20065469999999999</v>
      </c>
      <c r="R2955">
        <v>2.842458E-3</v>
      </c>
      <c r="S2955">
        <v>3.0789490000000002</v>
      </c>
      <c r="T2955">
        <v>-8.8210460000000004E-2</v>
      </c>
      <c r="U2955">
        <v>0.37902829999999998</v>
      </c>
      <c r="V2955">
        <v>6.2477260000000003E-3</v>
      </c>
      <c r="W2955">
        <v>0.2117665</v>
      </c>
      <c r="X2955">
        <v>0.97730030000000001</v>
      </c>
      <c r="Y2955">
        <v>-0.11319269999999999</v>
      </c>
      <c r="Z2955">
        <v>2.1061669999999999E-3</v>
      </c>
      <c r="AA2955">
        <v>0.99357079999999998</v>
      </c>
      <c r="AB2955">
        <v>52</v>
      </c>
      <c r="AC2955">
        <v>38.590000000000003</v>
      </c>
      <c r="AD2955">
        <v>-1.1197664124410001</v>
      </c>
      <c r="AE2955">
        <v>4.8070000000000102</v>
      </c>
      <c r="AF2955">
        <v>-4.4562743587640803</v>
      </c>
      <c r="AG2955">
        <v>-1.1197664124410001</v>
      </c>
      <c r="AH2955">
        <v>38.5996415735627</v>
      </c>
      <c r="AI2955">
        <v>91.650712769996701</v>
      </c>
      <c r="AJ2955">
        <v>96.585562185846996</v>
      </c>
      <c r="AK2955">
        <v>38.872156971108801</v>
      </c>
      <c r="AL2955">
        <v>77.774105983824398</v>
      </c>
      <c r="AM2955">
        <v>89.633722147696105</v>
      </c>
      <c r="AN2955">
        <v>0.99999998049125505</v>
      </c>
    </row>
    <row r="2956" spans="1:40" x14ac:dyDescent="0.25">
      <c r="A2956" t="str">
        <f>"20190303170555803"</f>
        <v>20190303170555803</v>
      </c>
      <c r="B2956" t="str">
        <f>"1551603955798077"</f>
        <v>1551603955798077</v>
      </c>
      <c r="C2956" t="s">
        <v>40</v>
      </c>
      <c r="D2956">
        <v>5.8724210000000001</v>
      </c>
      <c r="E2956">
        <v>0.45763520000000002</v>
      </c>
      <c r="F2956" t="s">
        <v>60</v>
      </c>
      <c r="G2956">
        <v>-337.21109999999999</v>
      </c>
      <c r="H2956" s="1">
        <v>2.129321E-6</v>
      </c>
      <c r="I2956">
        <v>218.535</v>
      </c>
      <c r="J2956">
        <v>-376.10890000000001</v>
      </c>
      <c r="K2956">
        <v>1.119799</v>
      </c>
      <c r="L2956">
        <v>213.6687</v>
      </c>
      <c r="M2956">
        <v>0.99989499999999998</v>
      </c>
      <c r="N2956">
        <v>-1.173036E-2</v>
      </c>
      <c r="O2956">
        <v>8.5222119999999995E-3</v>
      </c>
      <c r="P2956">
        <v>0.9794832</v>
      </c>
      <c r="Q2956">
        <v>0.20151289999999999</v>
      </c>
      <c r="R2956">
        <v>2.3588559999999999E-3</v>
      </c>
      <c r="S2956">
        <v>3.0791019999999998</v>
      </c>
      <c r="T2956">
        <v>-8.740771E-2</v>
      </c>
      <c r="U2956">
        <v>0.38021850000000001</v>
      </c>
      <c r="V2956">
        <v>6.287333E-3</v>
      </c>
      <c r="W2956">
        <v>0.2129798</v>
      </c>
      <c r="X2956">
        <v>0.97703640000000003</v>
      </c>
      <c r="Y2956">
        <v>-0.11402669999999999</v>
      </c>
      <c r="Z2956">
        <v>2.1422160000000002E-3</v>
      </c>
      <c r="AA2956">
        <v>0.99347540000000001</v>
      </c>
      <c r="AB2956">
        <v>52</v>
      </c>
      <c r="AC2956">
        <v>38.897799999999997</v>
      </c>
      <c r="AD2956">
        <v>-1.119796870679</v>
      </c>
      <c r="AE2956">
        <v>4.8662999999999901</v>
      </c>
      <c r="AF2956">
        <v>-4.5309080228290499</v>
      </c>
      <c r="AG2956">
        <v>-1.119796870679</v>
      </c>
      <c r="AH2956">
        <v>38.906114805155603</v>
      </c>
      <c r="AI2956">
        <v>91.637572388284894</v>
      </c>
      <c r="AJ2956">
        <v>96.642600100890206</v>
      </c>
      <c r="AK2956">
        <v>39.185058909932302</v>
      </c>
      <c r="AL2956">
        <v>77.702966786044499</v>
      </c>
      <c r="AM2956">
        <v>89.631300663040307</v>
      </c>
      <c r="AN2956">
        <v>1.00000002634462</v>
      </c>
    </row>
    <row r="2957" spans="1:40" x14ac:dyDescent="0.25">
      <c r="A2957" t="str">
        <f>"20190303170555839"</f>
        <v>20190303170555839</v>
      </c>
      <c r="B2957" t="str">
        <f>"1551603955827356"</f>
        <v>1551603955827356</v>
      </c>
      <c r="C2957" t="s">
        <v>40</v>
      </c>
      <c r="D2957">
        <v>5.7526409999999997</v>
      </c>
      <c r="E2957">
        <v>0.45730359999999998</v>
      </c>
      <c r="F2957" t="s">
        <v>60</v>
      </c>
      <c r="G2957">
        <v>-334.90800000000002</v>
      </c>
      <c r="H2957" s="1">
        <v>8.9423459999999904E-7</v>
      </c>
      <c r="I2957">
        <v>218.75200000000001</v>
      </c>
      <c r="J2957">
        <v>-375.28230000000002</v>
      </c>
      <c r="K2957">
        <v>1.119856</v>
      </c>
      <c r="L2957">
        <v>213.67509999999999</v>
      </c>
      <c r="M2957">
        <v>0.99989380000000005</v>
      </c>
      <c r="N2957">
        <v>-1.2310389999999999E-2</v>
      </c>
      <c r="O2957">
        <v>7.80582699999999E-3</v>
      </c>
      <c r="P2957">
        <v>0.97945570000000004</v>
      </c>
      <c r="Q2957">
        <v>0.20165369999999999</v>
      </c>
      <c r="R2957">
        <v>1.644354E-3</v>
      </c>
      <c r="S2957">
        <v>3.0791019999999998</v>
      </c>
      <c r="T2957">
        <v>-8.3686830000000004E-2</v>
      </c>
      <c r="U2957">
        <v>0.37989810000000002</v>
      </c>
      <c r="V2957">
        <v>6.309421E-3</v>
      </c>
      <c r="W2957">
        <v>0.21368699999999999</v>
      </c>
      <c r="X2957">
        <v>0.97688180000000002</v>
      </c>
      <c r="Y2957">
        <v>-0.1146397</v>
      </c>
      <c r="Z2957">
        <v>2.1446849999999999E-3</v>
      </c>
      <c r="AA2957">
        <v>0.99340479999999998</v>
      </c>
      <c r="AB2957">
        <v>52</v>
      </c>
      <c r="AC2957">
        <v>40.374299999999998</v>
      </c>
      <c r="AD2957">
        <v>-1.1198551057654</v>
      </c>
      <c r="AE2957">
        <v>5.0769000000000197</v>
      </c>
      <c r="AF2957">
        <v>-4.7579631600456196</v>
      </c>
      <c r="AG2957">
        <v>-1.1198551057654</v>
      </c>
      <c r="AH2957">
        <v>40.382118520745799</v>
      </c>
      <c r="AI2957">
        <v>91.577581523201701</v>
      </c>
      <c r="AJ2957">
        <v>96.719808792411996</v>
      </c>
      <c r="AK2957">
        <v>40.676870394781098</v>
      </c>
      <c r="AL2957">
        <v>77.661492080958496</v>
      </c>
      <c r="AM2957">
        <v>89.629946869863304</v>
      </c>
      <c r="AN2957">
        <v>0.99999999696679698</v>
      </c>
    </row>
    <row r="2958" spans="1:40" x14ac:dyDescent="0.25">
      <c r="A2958" t="str">
        <f>"20190303170555859"</f>
        <v>20190303170555859</v>
      </c>
      <c r="B2958" t="str">
        <f>"1551603955847852"</f>
        <v>1551603955847852</v>
      </c>
      <c r="C2958" t="s">
        <v>40</v>
      </c>
      <c r="D2958">
        <v>5.7536990000000001</v>
      </c>
      <c r="E2958">
        <v>0.45724550000000003</v>
      </c>
      <c r="F2958" t="s">
        <v>60</v>
      </c>
      <c r="G2958">
        <v>-333.45609999999999</v>
      </c>
      <c r="H2958" s="1">
        <v>1.1746070000000001E-7</v>
      </c>
      <c r="I2958">
        <v>218.84700000000001</v>
      </c>
      <c r="J2958">
        <v>-374.78250000000003</v>
      </c>
      <c r="K2958">
        <v>1.1198790000000001</v>
      </c>
      <c r="L2958">
        <v>213.6788</v>
      </c>
      <c r="M2958">
        <v>0.99989300000000003</v>
      </c>
      <c r="N2958">
        <v>-1.2637880000000001E-2</v>
      </c>
      <c r="O2958">
        <v>7.36574E-3</v>
      </c>
      <c r="P2958">
        <v>0.97966839999999999</v>
      </c>
      <c r="Q2958">
        <v>0.2006231</v>
      </c>
      <c r="R2958">
        <v>4.5495479999999998E-4</v>
      </c>
      <c r="S2958">
        <v>3.079224</v>
      </c>
      <c r="T2958">
        <v>-8.2443240000000001E-2</v>
      </c>
      <c r="U2958">
        <v>0.3807526</v>
      </c>
      <c r="V2958">
        <v>7.072348E-3</v>
      </c>
      <c r="W2958">
        <v>0.21297749999999999</v>
      </c>
      <c r="X2958">
        <v>0.97703150000000005</v>
      </c>
      <c r="Y2958">
        <v>-0.1153441</v>
      </c>
      <c r="Z2958">
        <v>2.1661559999999998E-3</v>
      </c>
      <c r="AA2958">
        <v>0.99332319999999996</v>
      </c>
      <c r="AB2958">
        <v>52</v>
      </c>
      <c r="AC2958">
        <v>41.3264</v>
      </c>
      <c r="AD2958">
        <v>-1.1198788825393</v>
      </c>
      <c r="AE2958">
        <v>5.1682000000000103</v>
      </c>
      <c r="AF2958">
        <v>-4.8601220040205897</v>
      </c>
      <c r="AG2958">
        <v>-1.1198788825393</v>
      </c>
      <c r="AH2958">
        <v>41.333464680871998</v>
      </c>
      <c r="AI2958">
        <v>91.5413647362913</v>
      </c>
      <c r="AJ2958">
        <v>96.706229202250796</v>
      </c>
      <c r="AK2958">
        <v>41.633282564919298</v>
      </c>
      <c r="AL2958">
        <v>77.703101241867003</v>
      </c>
      <c r="AM2958">
        <v>89.5852655575097</v>
      </c>
      <c r="AN2958">
        <v>0.99999999280236596</v>
      </c>
    </row>
    <row r="2959" spans="1:40" x14ac:dyDescent="0.25">
      <c r="A2959" t="str">
        <f>"20190303170555880"</f>
        <v>20190303170555880</v>
      </c>
      <c r="B2959" t="str">
        <f>"1551603955867372"</f>
        <v>1551603955867372</v>
      </c>
      <c r="C2959" t="s">
        <v>40</v>
      </c>
      <c r="D2959">
        <v>5.7444949999999997</v>
      </c>
      <c r="E2959">
        <v>0.45711449999999998</v>
      </c>
      <c r="F2959" t="s">
        <v>60</v>
      </c>
      <c r="G2959">
        <v>-334.03879999999998</v>
      </c>
      <c r="H2959" s="1">
        <v>4.3485149999999999E-7</v>
      </c>
      <c r="I2959">
        <v>218.67939999999999</v>
      </c>
      <c r="J2959">
        <v>-374.29430000000002</v>
      </c>
      <c r="K2959">
        <v>1.1199079999999999</v>
      </c>
      <c r="L2959">
        <v>213.68209999999999</v>
      </c>
      <c r="M2959">
        <v>0.99989240000000001</v>
      </c>
      <c r="N2959">
        <v>-1.2927599999999999E-2</v>
      </c>
      <c r="O2959">
        <v>6.9358750000000002E-3</v>
      </c>
      <c r="P2959">
        <v>0.97980900000000004</v>
      </c>
      <c r="Q2959">
        <v>0.1999359</v>
      </c>
      <c r="R2959">
        <v>-5.5652670000000003E-4</v>
      </c>
      <c r="S2959">
        <v>3.0793759999999999</v>
      </c>
      <c r="T2959">
        <v>-8.4639430000000002E-2</v>
      </c>
      <c r="U2959">
        <v>0.37794489999999997</v>
      </c>
      <c r="V2959">
        <v>7.6671319999999897E-3</v>
      </c>
      <c r="W2959">
        <v>0.2125745</v>
      </c>
      <c r="X2959">
        <v>0.97711479999999995</v>
      </c>
      <c r="Y2959">
        <v>-0.11487</v>
      </c>
      <c r="Z2959">
        <v>2.2174310000000002E-3</v>
      </c>
      <c r="AA2959">
        <v>0.99337799999999998</v>
      </c>
      <c r="AB2959">
        <v>52</v>
      </c>
      <c r="AC2959">
        <v>40.255499999999998</v>
      </c>
      <c r="AD2959">
        <v>-1.1199075651485</v>
      </c>
      <c r="AE2959">
        <v>4.9972999999999903</v>
      </c>
      <c r="AF2959">
        <v>-4.7143560241661104</v>
      </c>
      <c r="AG2959">
        <v>-1.1199075651485</v>
      </c>
      <c r="AH2959">
        <v>40.2585098315351</v>
      </c>
      <c r="AI2959">
        <v>91.582629133563699</v>
      </c>
      <c r="AJ2959">
        <v>96.679037258429105</v>
      </c>
      <c r="AK2959">
        <v>40.5490685408787</v>
      </c>
      <c r="AL2959">
        <v>77.726732885133998</v>
      </c>
      <c r="AM2959">
        <v>89.550426122903602</v>
      </c>
      <c r="AN2959">
        <v>1.0000000176711901</v>
      </c>
    </row>
    <row r="2960" spans="1:40" x14ac:dyDescent="0.25">
      <c r="A2960" t="str">
        <f>"20190303170555902"</f>
        <v>20190303170555902</v>
      </c>
      <c r="B2960" t="str">
        <f>"1551603955897628"</f>
        <v>1551603955897628</v>
      </c>
      <c r="C2960" t="s">
        <v>40</v>
      </c>
      <c r="D2960">
        <v>5.7478740000000004</v>
      </c>
      <c r="E2960">
        <v>0.45700299999999999</v>
      </c>
      <c r="F2960" t="s">
        <v>60</v>
      </c>
      <c r="G2960">
        <v>-334.2423</v>
      </c>
      <c r="H2960" s="1">
        <v>5.4820360000000003E-7</v>
      </c>
      <c r="I2960">
        <v>218.5641</v>
      </c>
      <c r="J2960">
        <v>-373.78309999999999</v>
      </c>
      <c r="K2960">
        <v>1.1199319999999999</v>
      </c>
      <c r="L2960">
        <v>213.68539999999999</v>
      </c>
      <c r="M2960">
        <v>0.99989209999999995</v>
      </c>
      <c r="N2960">
        <v>-1.3199819999999999E-2</v>
      </c>
      <c r="O2960">
        <v>6.4915469999999899E-3</v>
      </c>
      <c r="P2960">
        <v>0.97954680000000005</v>
      </c>
      <c r="Q2960">
        <v>0.20121159999999999</v>
      </c>
      <c r="R2960">
        <v>-1.5092700000000001E-3</v>
      </c>
      <c r="S2960">
        <v>3.0796510000000001</v>
      </c>
      <c r="T2960">
        <v>-8.6111309999999996E-2</v>
      </c>
      <c r="U2960">
        <v>0.37538149999999998</v>
      </c>
      <c r="V2960">
        <v>8.1895570000000001E-3</v>
      </c>
      <c r="W2960">
        <v>0.2141113</v>
      </c>
      <c r="X2960">
        <v>0.9767749</v>
      </c>
      <c r="Y2960">
        <v>-0.114484</v>
      </c>
      <c r="Z2960">
        <v>2.2575590000000001E-3</v>
      </c>
      <c r="AA2960">
        <v>0.99342249999999999</v>
      </c>
      <c r="AB2960">
        <v>52</v>
      </c>
      <c r="AC2960">
        <v>39.540799999999898</v>
      </c>
      <c r="AD2960">
        <v>-1.1199314517964001</v>
      </c>
      <c r="AE2960">
        <v>4.8787000000000003</v>
      </c>
      <c r="AF2960">
        <v>-4.6182446555946299</v>
      </c>
      <c r="AG2960">
        <v>-1.1199314517964001</v>
      </c>
      <c r="AH2960">
        <v>39.540395443881899</v>
      </c>
      <c r="AI2960">
        <v>91.6114479249418</v>
      </c>
      <c r="AJ2960">
        <v>96.661856665168699</v>
      </c>
      <c r="AK2960">
        <v>39.8249331702416</v>
      </c>
      <c r="AL2960">
        <v>77.636605054089799</v>
      </c>
      <c r="AM2960">
        <v>89.519627236852301</v>
      </c>
      <c r="AN2960">
        <v>0.99999996145077696</v>
      </c>
    </row>
    <row r="2961" spans="1:40" x14ac:dyDescent="0.25">
      <c r="A2961" t="str">
        <f>"20190303170555925"</f>
        <v>20190303170555925</v>
      </c>
      <c r="B2961" t="str">
        <f>"1551603955918125"</f>
        <v>1551603955918125</v>
      </c>
      <c r="C2961" t="s">
        <v>40</v>
      </c>
      <c r="D2961">
        <v>5.7870400000000002</v>
      </c>
      <c r="E2961">
        <v>0.4569182</v>
      </c>
      <c r="F2961" t="s">
        <v>60</v>
      </c>
      <c r="G2961">
        <v>-331.30919999999998</v>
      </c>
      <c r="H2961" s="1">
        <v>-1.0246300000000001E-6</v>
      </c>
      <c r="I2961">
        <v>218.83840000000001</v>
      </c>
      <c r="J2961">
        <v>-373.24799999999999</v>
      </c>
      <c r="K2961">
        <v>1.11995</v>
      </c>
      <c r="L2961">
        <v>213.68860000000001</v>
      </c>
      <c r="M2961">
        <v>0.99989130000000004</v>
      </c>
      <c r="N2961">
        <v>-1.3451670000000001E-2</v>
      </c>
      <c r="O2961">
        <v>6.0415649999999996E-3</v>
      </c>
      <c r="P2961">
        <v>0.97927430000000004</v>
      </c>
      <c r="Q2961">
        <v>0.20252010000000001</v>
      </c>
      <c r="R2961">
        <v>-2.7673900000000002E-3</v>
      </c>
      <c r="S2961">
        <v>3.079895</v>
      </c>
      <c r="T2961">
        <v>-8.1209299999999998E-2</v>
      </c>
      <c r="U2961">
        <v>0.37365720000000002</v>
      </c>
      <c r="V2961">
        <v>9.0095999999999996E-3</v>
      </c>
      <c r="W2961">
        <v>0.2156612</v>
      </c>
      <c r="X2961">
        <v>0.97642669999999998</v>
      </c>
      <c r="Y2961">
        <v>-0.11437899999999999</v>
      </c>
      <c r="Z2961">
        <v>2.1968209999999998E-3</v>
      </c>
      <c r="AA2961">
        <v>0.9934347</v>
      </c>
      <c r="AB2961">
        <v>52</v>
      </c>
      <c r="AC2961">
        <v>41.938800000000001</v>
      </c>
      <c r="AD2961">
        <v>-1.11995102463</v>
      </c>
      <c r="AE2961">
        <v>5.1497999999999902</v>
      </c>
      <c r="AF2961">
        <v>-4.8928696901596602</v>
      </c>
      <c r="AG2961">
        <v>-1.11995102463</v>
      </c>
      <c r="AH2961">
        <v>41.939686123598399</v>
      </c>
      <c r="AI2961">
        <v>91.519354457647196</v>
      </c>
      <c r="AJ2961">
        <v>96.654298769156298</v>
      </c>
      <c r="AK2961">
        <v>42.238983608136301</v>
      </c>
      <c r="AL2961">
        <v>77.545678831760398</v>
      </c>
      <c r="AM2961">
        <v>89.471340341455203</v>
      </c>
      <c r="AN2961">
        <v>1.00000001327524</v>
      </c>
    </row>
    <row r="2962" spans="1:40" x14ac:dyDescent="0.25">
      <c r="A2962" t="str">
        <f>"20190303170555947"</f>
        <v>20190303170555947</v>
      </c>
      <c r="B2962" t="str">
        <f>"1551603955937644"</f>
        <v>1551603955937644</v>
      </c>
      <c r="C2962" t="s">
        <v>40</v>
      </c>
      <c r="D2962">
        <v>5.7812679999999999</v>
      </c>
      <c r="E2962">
        <v>0.45674219999999999</v>
      </c>
      <c r="F2962" t="s">
        <v>60</v>
      </c>
      <c r="G2962">
        <v>-328.1746</v>
      </c>
      <c r="H2962" s="1">
        <v>2.8133120000000001E-6</v>
      </c>
      <c r="I2962">
        <v>219.11949999999999</v>
      </c>
      <c r="J2962">
        <v>-372.73360000000002</v>
      </c>
      <c r="K2962">
        <v>1.1199650000000001</v>
      </c>
      <c r="L2962">
        <v>213.69139999999999</v>
      </c>
      <c r="M2962">
        <v>0.99989090000000003</v>
      </c>
      <c r="N2962">
        <v>-1.366584E-2</v>
      </c>
      <c r="O2962">
        <v>5.6290630000000001E-3</v>
      </c>
      <c r="P2962">
        <v>0.97925320000000005</v>
      </c>
      <c r="Q2962">
        <v>0.2026153</v>
      </c>
      <c r="R2962">
        <v>-3.2792450000000001E-3</v>
      </c>
      <c r="S2962">
        <v>3.0803829999999999</v>
      </c>
      <c r="T2962">
        <v>-7.6538800000000004E-2</v>
      </c>
      <c r="U2962">
        <v>0.37115480000000001</v>
      </c>
      <c r="V2962">
        <v>9.1156889999999997E-3</v>
      </c>
      <c r="W2962">
        <v>0.21596480000000001</v>
      </c>
      <c r="X2962">
        <v>0.97635859999999997</v>
      </c>
      <c r="Y2962">
        <v>-0.1139799</v>
      </c>
      <c r="Z2962">
        <v>2.1298879999999999E-3</v>
      </c>
      <c r="AA2962">
        <v>0.99348080000000005</v>
      </c>
      <c r="AB2962">
        <v>52</v>
      </c>
      <c r="AC2962">
        <v>44.558999999999997</v>
      </c>
      <c r="AD2962">
        <v>-1.1199621866879901</v>
      </c>
      <c r="AE2962">
        <v>5.4280999999999997</v>
      </c>
      <c r="AF2962">
        <v>-5.1739444004252402</v>
      </c>
      <c r="AG2962">
        <v>-1.1199621866879901</v>
      </c>
      <c r="AH2962">
        <v>44.561112641383602</v>
      </c>
      <c r="AI2962">
        <v>91.430118071071405</v>
      </c>
      <c r="AJ2962">
        <v>96.622897822604898</v>
      </c>
      <c r="AK2962">
        <v>44.874455715878902</v>
      </c>
      <c r="AL2962">
        <v>77.527863894600699</v>
      </c>
      <c r="AM2962">
        <v>89.465078371755496</v>
      </c>
      <c r="AN2962">
        <v>1.00000000320947</v>
      </c>
    </row>
    <row r="2963" spans="1:40" x14ac:dyDescent="0.25">
      <c r="A2963" t="str">
        <f>"20190303170555968"</f>
        <v>20190303170555968</v>
      </c>
      <c r="B2963" t="str">
        <f>"1551603955958142"</f>
        <v>1551603955958142</v>
      </c>
      <c r="C2963" t="s">
        <v>40</v>
      </c>
      <c r="D2963">
        <v>5.8377910000000002</v>
      </c>
      <c r="E2963">
        <v>0.45659280000000002</v>
      </c>
      <c r="F2963" t="s">
        <v>60</v>
      </c>
      <c r="G2963">
        <v>-327.56470000000002</v>
      </c>
      <c r="H2963" s="1">
        <v>2.4887610000000002E-6</v>
      </c>
      <c r="I2963">
        <v>219.12960000000001</v>
      </c>
      <c r="J2963">
        <v>-372.23399999999998</v>
      </c>
      <c r="K2963">
        <v>1.1199939999999999</v>
      </c>
      <c r="L2963">
        <v>213.69399999999999</v>
      </c>
      <c r="M2963">
        <v>0.99989039999999996</v>
      </c>
      <c r="N2963">
        <v>-1.384991E-2</v>
      </c>
      <c r="O2963">
        <v>5.2463960000000004E-3</v>
      </c>
      <c r="P2963">
        <v>0.9793596</v>
      </c>
      <c r="Q2963">
        <v>0.20209089999999999</v>
      </c>
      <c r="R2963">
        <v>-3.7675E-3</v>
      </c>
      <c r="S2963">
        <v>3.080597</v>
      </c>
      <c r="T2963">
        <v>-7.6383350000000003E-2</v>
      </c>
      <c r="U2963">
        <v>0.37089539999999999</v>
      </c>
      <c r="V2963">
        <v>9.2238719999999993E-3</v>
      </c>
      <c r="W2963">
        <v>0.2156216</v>
      </c>
      <c r="X2963">
        <v>0.97643340000000001</v>
      </c>
      <c r="Y2963">
        <v>-0.1142692</v>
      </c>
      <c r="Z2963">
        <v>2.1485409999999999E-3</v>
      </c>
      <c r="AA2963">
        <v>0.99344750000000004</v>
      </c>
      <c r="AB2963">
        <v>52</v>
      </c>
      <c r="AC2963">
        <v>44.6693</v>
      </c>
      <c r="AD2963">
        <v>-1.119991511239</v>
      </c>
      <c r="AE2963">
        <v>5.4355999999999902</v>
      </c>
      <c r="AF2963">
        <v>-5.19792986440111</v>
      </c>
      <c r="AG2963">
        <v>-1.119991511239</v>
      </c>
      <c r="AH2963">
        <v>44.669533266798098</v>
      </c>
      <c r="AI2963">
        <v>91.426643976276694</v>
      </c>
      <c r="AJ2963">
        <v>96.637321231539502</v>
      </c>
      <c r="AK2963">
        <v>44.984886997013298</v>
      </c>
      <c r="AL2963">
        <v>77.548001857481694</v>
      </c>
      <c r="AM2963">
        <v>89.458771876209894</v>
      </c>
      <c r="AN2963">
        <v>0.99999996941839497</v>
      </c>
    </row>
    <row r="2964" spans="1:40" x14ac:dyDescent="0.25">
      <c r="A2964" t="str">
        <f>"20190303170555992"</f>
        <v>20190303170555992</v>
      </c>
      <c r="B2964" t="str">
        <f>"1551603955977661"</f>
        <v>1551603955977661</v>
      </c>
      <c r="C2964" t="s">
        <v>40</v>
      </c>
      <c r="D2964">
        <v>5.7981319999999998</v>
      </c>
      <c r="E2964">
        <v>0.48324499999999998</v>
      </c>
      <c r="F2964" t="s">
        <v>60</v>
      </c>
      <c r="G2964">
        <v>-328.12819999999999</v>
      </c>
      <c r="H2964" s="1">
        <v>2.7886350000000002E-6</v>
      </c>
      <c r="I2964">
        <v>219.0016</v>
      </c>
      <c r="J2964">
        <v>-371.71280000000002</v>
      </c>
      <c r="K2964">
        <v>1.120025</v>
      </c>
      <c r="L2964">
        <v>213.69649999999999</v>
      </c>
      <c r="M2964">
        <v>0.9998899</v>
      </c>
      <c r="N2964">
        <v>-1.4018610000000001E-2</v>
      </c>
      <c r="O2964">
        <v>4.8699390000000002E-3</v>
      </c>
      <c r="P2964">
        <v>0.97925220000000002</v>
      </c>
      <c r="Q2964">
        <v>0.20259640000000001</v>
      </c>
      <c r="R2964">
        <v>-4.4669549999999999E-3</v>
      </c>
      <c r="S2964">
        <v>3.0808110000000002</v>
      </c>
      <c r="T2964">
        <v>-7.8231930000000005E-2</v>
      </c>
      <c r="U2964">
        <v>0.37074279999999998</v>
      </c>
      <c r="V2964">
        <v>9.5454990000000007E-3</v>
      </c>
      <c r="W2964">
        <v>0.21629019999999999</v>
      </c>
      <c r="X2964">
        <v>0.97628250000000005</v>
      </c>
      <c r="Y2964">
        <v>-0.11458400000000001</v>
      </c>
      <c r="Z2964">
        <v>2.2004889999999999E-3</v>
      </c>
      <c r="AA2964">
        <v>0.99341109999999999</v>
      </c>
      <c r="AB2964">
        <v>52</v>
      </c>
      <c r="AC2964">
        <v>43.584600000000002</v>
      </c>
      <c r="AD2964">
        <v>-1.120022211365</v>
      </c>
      <c r="AE2964">
        <v>5.3051000000000004</v>
      </c>
      <c r="AF2964">
        <v>-5.0894500298430998</v>
      </c>
      <c r="AG2964">
        <v>-1.120022211365</v>
      </c>
      <c r="AH2964">
        <v>43.581561340230301</v>
      </c>
      <c r="AI2964">
        <v>91.462213671517006</v>
      </c>
      <c r="AJ2964">
        <v>96.660825186536698</v>
      </c>
      <c r="AK2964">
        <v>43.892020233893099</v>
      </c>
      <c r="AL2964">
        <v>77.508769043091206</v>
      </c>
      <c r="AM2964">
        <v>89.439814419394907</v>
      </c>
      <c r="AN2964">
        <v>1.00000004348672</v>
      </c>
    </row>
    <row r="2965" spans="1:40" x14ac:dyDescent="0.25">
      <c r="A2965" t="str">
        <f>"20190303170556015"</f>
        <v>20190303170556015</v>
      </c>
      <c r="B2965" t="str">
        <f>"1551603956007916"</f>
        <v>1551603956007916</v>
      </c>
      <c r="C2965" t="s">
        <v>40</v>
      </c>
      <c r="D2965">
        <v>5.8200379999999896</v>
      </c>
      <c r="E2965">
        <v>0.49458370000000001</v>
      </c>
      <c r="F2965" t="s">
        <v>60</v>
      </c>
      <c r="G2965">
        <v>-354.85480000000001</v>
      </c>
      <c r="H2965" s="1">
        <v>1.0483570000000001E-6</v>
      </c>
      <c r="I2965">
        <v>214.57839999999999</v>
      </c>
      <c r="J2965">
        <v>-371.16289999999998</v>
      </c>
      <c r="K2965">
        <v>1.1200669999999999</v>
      </c>
      <c r="L2965">
        <v>213.69890000000001</v>
      </c>
      <c r="M2965">
        <v>0.99988960000000005</v>
      </c>
      <c r="N2965">
        <v>-1.417361E-2</v>
      </c>
      <c r="O2965">
        <v>4.506342E-3</v>
      </c>
      <c r="P2965">
        <v>0.97920560000000001</v>
      </c>
      <c r="Q2965">
        <v>0.20280619999999999</v>
      </c>
      <c r="R2965">
        <v>-5.1162880000000001E-3</v>
      </c>
      <c r="S2965">
        <v>3.106995</v>
      </c>
      <c r="T2965">
        <v>-0.20642479999999999</v>
      </c>
      <c r="U2965">
        <v>0.1625519</v>
      </c>
      <c r="V2965">
        <v>9.824358E-3</v>
      </c>
      <c r="W2965">
        <v>0.2166515</v>
      </c>
      <c r="X2965">
        <v>0.97619959999999995</v>
      </c>
      <c r="Y2965">
        <v>-4.7624399999999997E-2</v>
      </c>
      <c r="Z2965">
        <v>1.682362E-3</v>
      </c>
      <c r="AA2965">
        <v>0.99886390000000003</v>
      </c>
      <c r="AB2965">
        <v>52</v>
      </c>
      <c r="AC2965">
        <v>16.3080999999999</v>
      </c>
      <c r="AD2965">
        <v>-1.1200659516429901</v>
      </c>
      <c r="AE2965">
        <v>0.87949999999997797</v>
      </c>
      <c r="AF2965">
        <v>-0.802220597084361</v>
      </c>
      <c r="AG2965">
        <v>-1.1200659516429901</v>
      </c>
      <c r="AH2965">
        <v>16.2355346185259</v>
      </c>
      <c r="AI2965">
        <v>93.941705826695298</v>
      </c>
      <c r="AJ2965">
        <v>92.828764405555901</v>
      </c>
      <c r="AK2965">
        <v>16.293885048439801</v>
      </c>
      <c r="AL2965">
        <v>77.487565080767496</v>
      </c>
      <c r="AM2965">
        <v>89.423401477171296</v>
      </c>
      <c r="AN2965">
        <v>1.0000000247512599</v>
      </c>
    </row>
    <row r="2966" spans="1:40" x14ac:dyDescent="0.25">
      <c r="A2966" t="str">
        <f>"20190303170556038"</f>
        <v>20190303170556038</v>
      </c>
      <c r="B2966" t="str">
        <f>"1551603956027436"</f>
        <v>1551603956027436</v>
      </c>
      <c r="C2966" t="s">
        <v>40</v>
      </c>
      <c r="D2966">
        <v>5.7599859999999996</v>
      </c>
      <c r="E2966">
        <v>0.49749300000000002</v>
      </c>
      <c r="F2966" t="s">
        <v>60</v>
      </c>
      <c r="G2966">
        <v>-352.70659999999998</v>
      </c>
      <c r="H2966" s="1">
        <v>-7.4544229999999996E-8</v>
      </c>
      <c r="I2966">
        <v>214.11439999999999</v>
      </c>
      <c r="J2966">
        <v>-370.63549999999998</v>
      </c>
      <c r="K2966">
        <v>1.1201159999999999</v>
      </c>
      <c r="L2966">
        <v>213.7011</v>
      </c>
      <c r="M2966">
        <v>0.99988880000000002</v>
      </c>
      <c r="N2966">
        <v>-1.430267E-2</v>
      </c>
      <c r="O2966">
        <v>4.2024080000000004E-3</v>
      </c>
      <c r="P2966">
        <v>0.97903949999999995</v>
      </c>
      <c r="Q2966">
        <v>0.20359859999999999</v>
      </c>
      <c r="R2966">
        <v>-5.4398099999999998E-3</v>
      </c>
      <c r="S2966">
        <v>3.103119</v>
      </c>
      <c r="T2966">
        <v>-0.1883206</v>
      </c>
      <c r="U2966">
        <v>6.9870000000000002E-2</v>
      </c>
      <c r="V2966">
        <v>9.8315829999999996E-3</v>
      </c>
      <c r="W2966">
        <v>0.21756790000000001</v>
      </c>
      <c r="X2966">
        <v>0.97599570000000002</v>
      </c>
      <c r="Y2966">
        <v>-1.827136E-2</v>
      </c>
      <c r="Z2966">
        <v>4.899746E-4</v>
      </c>
      <c r="AA2966">
        <v>0.99983290000000002</v>
      </c>
      <c r="AB2966">
        <v>52</v>
      </c>
      <c r="AC2966">
        <v>17.928899999999999</v>
      </c>
      <c r="AD2966">
        <v>-1.12011607454422</v>
      </c>
      <c r="AE2966">
        <v>0.41329999999999201</v>
      </c>
      <c r="AF2966">
        <v>-0.33663084970752899</v>
      </c>
      <c r="AG2966">
        <v>-1.12011607454422</v>
      </c>
      <c r="AH2966">
        <v>17.860801757454102</v>
      </c>
      <c r="AI2966">
        <v>93.587892302162899</v>
      </c>
      <c r="AJ2966">
        <v>91.079752402726101</v>
      </c>
      <c r="AK2966">
        <v>17.8990563932432</v>
      </c>
      <c r="AL2966">
        <v>77.433776264487093</v>
      </c>
      <c r="AM2966">
        <v>89.422856925043902</v>
      </c>
      <c r="AN2966">
        <v>1.00000002877659</v>
      </c>
    </row>
    <row r="2967" spans="1:40" x14ac:dyDescent="0.25">
      <c r="A2967" t="str">
        <f>"20190303170556060"</f>
        <v>20190303170556060</v>
      </c>
      <c r="B2967" t="str">
        <f>"1551603956047932"</f>
        <v>1551603956047932</v>
      </c>
      <c r="C2967" t="s">
        <v>40</v>
      </c>
      <c r="D2967">
        <v>5.7703139999999999</v>
      </c>
      <c r="E2967">
        <v>0.49944060000000001</v>
      </c>
      <c r="F2967" t="s">
        <v>60</v>
      </c>
      <c r="G2967">
        <v>-351.67380000000003</v>
      </c>
      <c r="H2967" s="1">
        <v>-6.1827150000000003E-7</v>
      </c>
      <c r="I2967">
        <v>213.97970000000001</v>
      </c>
      <c r="J2967">
        <v>-370.12509999999997</v>
      </c>
      <c r="K2967">
        <v>1.12017099999999</v>
      </c>
      <c r="L2967">
        <v>213.70310000000001</v>
      </c>
      <c r="M2967">
        <v>0.99988840000000001</v>
      </c>
      <c r="N2967">
        <v>-1.441109E-2</v>
      </c>
      <c r="O2967">
        <v>3.9637279999999997E-3</v>
      </c>
      <c r="P2967">
        <v>0.97905790000000004</v>
      </c>
      <c r="Q2967">
        <v>0.2035149</v>
      </c>
      <c r="R2967">
        <v>-5.2514619999999897E-3</v>
      </c>
      <c r="S2967">
        <v>3.1025999999999998</v>
      </c>
      <c r="T2967">
        <v>-0.183278</v>
      </c>
      <c r="U2967">
        <v>4.5593259999999997E-2</v>
      </c>
      <c r="V2967">
        <v>9.3853579999999999E-3</v>
      </c>
      <c r="W2967">
        <v>0.2175917</v>
      </c>
      <c r="X2967">
        <v>0.97599480000000005</v>
      </c>
      <c r="Y2967">
        <v>-1.071049E-2</v>
      </c>
      <c r="Z2967">
        <v>2.164774E-4</v>
      </c>
      <c r="AA2967">
        <v>0.99994260000000001</v>
      </c>
      <c r="AB2967">
        <v>52</v>
      </c>
      <c r="AC2967">
        <v>18.4512999999999</v>
      </c>
      <c r="AD2967">
        <v>-1.12017161827149</v>
      </c>
      <c r="AE2967">
        <v>0.27660000000000201</v>
      </c>
      <c r="AF2967">
        <v>-0.20270736165165501</v>
      </c>
      <c r="AG2967">
        <v>-1.12017161827149</v>
      </c>
      <c r="AH2967">
        <v>18.384507696330399</v>
      </c>
      <c r="AI2967">
        <v>93.486520996304804</v>
      </c>
      <c r="AJ2967">
        <v>90.631716979671495</v>
      </c>
      <c r="AK2967">
        <v>18.419717640758801</v>
      </c>
      <c r="AL2967">
        <v>77.432379312945798</v>
      </c>
      <c r="AM2967">
        <v>89.449049494593297</v>
      </c>
      <c r="AN2967">
        <v>1.00000004124035</v>
      </c>
    </row>
    <row r="2968" spans="1:40" x14ac:dyDescent="0.25">
      <c r="A2968" t="str">
        <f>"20190303170556080"</f>
        <v>20190303170556080</v>
      </c>
      <c r="B2968" t="str">
        <f>"1551603956067452"</f>
        <v>1551603956067452</v>
      </c>
      <c r="C2968" t="s">
        <v>40</v>
      </c>
      <c r="D2968">
        <v>5.7763080000000002</v>
      </c>
      <c r="E2968">
        <v>0.50064649999999999</v>
      </c>
      <c r="F2968" t="s">
        <v>60</v>
      </c>
      <c r="G2968">
        <v>-350.90309999999999</v>
      </c>
      <c r="H2968" s="1">
        <v>-1.024467E-6</v>
      </c>
      <c r="I2968">
        <v>213.8905</v>
      </c>
      <c r="J2968">
        <v>-369.65640000000002</v>
      </c>
      <c r="K2968">
        <v>1.120223</v>
      </c>
      <c r="L2968">
        <v>213.70480000000001</v>
      </c>
      <c r="M2968">
        <v>0.99988770000000005</v>
      </c>
      <c r="N2968">
        <v>-1.449754E-2</v>
      </c>
      <c r="O2968">
        <v>3.7970640000000002E-3</v>
      </c>
      <c r="P2968">
        <v>0.9790856</v>
      </c>
      <c r="Q2968">
        <v>0.20339180000000001</v>
      </c>
      <c r="R2968">
        <v>-4.8437469999999998E-3</v>
      </c>
      <c r="S2968">
        <v>3.1018979999999998</v>
      </c>
      <c r="T2968">
        <v>-0.18076500000000001</v>
      </c>
      <c r="U2968">
        <v>3.024292E-2</v>
      </c>
      <c r="V2968">
        <v>8.7876769999999903E-3</v>
      </c>
      <c r="W2968">
        <v>0.21755540000000001</v>
      </c>
      <c r="X2968">
        <v>0.9760084</v>
      </c>
      <c r="Y2968">
        <v>-5.9430339999999998E-3</v>
      </c>
      <c r="Z2968" s="1">
        <v>5.007765E-5</v>
      </c>
      <c r="AA2968">
        <v>0.99998240000000005</v>
      </c>
      <c r="AB2968">
        <v>52</v>
      </c>
      <c r="AC2968">
        <v>18.753299999999999</v>
      </c>
      <c r="AD2968">
        <v>-1.1202240244670001</v>
      </c>
      <c r="AE2968">
        <v>0.18569999999999701</v>
      </c>
      <c r="AF2968">
        <v>-0.114076683351767</v>
      </c>
      <c r="AG2968">
        <v>-1.1202240244670001</v>
      </c>
      <c r="AH2968">
        <v>18.687196060689601</v>
      </c>
      <c r="AI2968">
        <v>93.430487896439701</v>
      </c>
      <c r="AJ2968">
        <v>90.349759872335497</v>
      </c>
      <c r="AK2968">
        <v>18.7210900314413</v>
      </c>
      <c r="AL2968">
        <v>77.434509493120999</v>
      </c>
      <c r="AM2968">
        <v>89.484140506451794</v>
      </c>
      <c r="AN2968">
        <v>0.99999998610338803</v>
      </c>
    </row>
    <row r="2969" spans="1:40" x14ac:dyDescent="0.25">
      <c r="A2969" t="str">
        <f>"20190303170556104"</f>
        <v>20190303170556104</v>
      </c>
      <c r="B2969" t="str">
        <f>"1551603956097388"</f>
        <v>1551603956097388</v>
      </c>
      <c r="C2969" t="s">
        <v>40</v>
      </c>
      <c r="D2969">
        <v>5.7610489999999999</v>
      </c>
      <c r="E2969">
        <v>0.50190649999999903</v>
      </c>
      <c r="F2969" t="s">
        <v>60</v>
      </c>
      <c r="G2969">
        <v>-350.34820000000002</v>
      </c>
      <c r="H2969" s="1">
        <v>-1.3176309999999999E-6</v>
      </c>
      <c r="I2969">
        <v>213.84180000000001</v>
      </c>
      <c r="J2969">
        <v>-369.10969999999998</v>
      </c>
      <c r="K2969">
        <v>1.120295</v>
      </c>
      <c r="L2969">
        <v>213.70679999999999</v>
      </c>
      <c r="M2969">
        <v>0.99988699999999997</v>
      </c>
      <c r="N2969">
        <v>-1.458509E-2</v>
      </c>
      <c r="O2969">
        <v>3.6555609999999999E-3</v>
      </c>
      <c r="P2969">
        <v>0.97908969999999995</v>
      </c>
      <c r="Q2969">
        <v>0.20337359999999999</v>
      </c>
      <c r="R2969">
        <v>-4.8055440000000001E-3</v>
      </c>
      <c r="S2969">
        <v>3.1015630000000001</v>
      </c>
      <c r="T2969">
        <v>-0.17994640000000001</v>
      </c>
      <c r="U2969">
        <v>2.2003169999999999E-2</v>
      </c>
      <c r="V2969">
        <v>8.578792E-3</v>
      </c>
      <c r="W2969">
        <v>0.21762429999999999</v>
      </c>
      <c r="X2969">
        <v>0.9759949</v>
      </c>
      <c r="Y2969">
        <v>-3.4343540000000001E-3</v>
      </c>
      <c r="Z2969" s="1">
        <v>-3.4005479999999997E-5</v>
      </c>
      <c r="AA2969">
        <v>0.9999941</v>
      </c>
      <c r="AB2969">
        <v>52</v>
      </c>
      <c r="AC2969">
        <v>18.761499999999899</v>
      </c>
      <c r="AD2969">
        <v>-1.1202963176309999</v>
      </c>
      <c r="AE2969">
        <v>0.13500000000001899</v>
      </c>
      <c r="AF2969">
        <v>-6.6172067777949706E-2</v>
      </c>
      <c r="AG2969">
        <v>-1.1202963176309999</v>
      </c>
      <c r="AH2969">
        <v>18.695212266959299</v>
      </c>
      <c r="AI2969">
        <v>93.429283544110305</v>
      </c>
      <c r="AJ2969">
        <v>90.2027986801249</v>
      </c>
      <c r="AK2969">
        <v>18.728865536612599</v>
      </c>
      <c r="AL2969">
        <v>77.430464933852704</v>
      </c>
      <c r="AM2969">
        <v>89.4963949945476</v>
      </c>
      <c r="AN2969">
        <v>0.999999988224339</v>
      </c>
    </row>
    <row r="2970" spans="1:40" x14ac:dyDescent="0.25">
      <c r="A2970" t="str">
        <f>"20190303170556126"</f>
        <v>20190303170556126</v>
      </c>
      <c r="B2970" t="str">
        <f>"1551603956117883"</f>
        <v>1551603956117883</v>
      </c>
      <c r="C2970" t="s">
        <v>40</v>
      </c>
      <c r="D2970">
        <v>5.7726069999999998</v>
      </c>
      <c r="E2970">
        <v>0.50234330000000005</v>
      </c>
      <c r="F2970" t="s">
        <v>60</v>
      </c>
      <c r="G2970">
        <v>-349.53410000000002</v>
      </c>
      <c r="H2970" s="1">
        <v>3.5367910000000001E-6</v>
      </c>
      <c r="I2970">
        <v>213.7868</v>
      </c>
      <c r="J2970">
        <v>-368.58089999999999</v>
      </c>
      <c r="K2970">
        <v>1.120368</v>
      </c>
      <c r="L2970">
        <v>213.70869999999999</v>
      </c>
      <c r="M2970">
        <v>0.99988630000000001</v>
      </c>
      <c r="N2970">
        <v>-1.465666E-2</v>
      </c>
      <c r="O2970">
        <v>3.5809359999999998E-3</v>
      </c>
      <c r="P2970">
        <v>0.97906950000000004</v>
      </c>
      <c r="Q2970">
        <v>0.2034763</v>
      </c>
      <c r="R2970">
        <v>-4.5285899999999999E-3</v>
      </c>
      <c r="S2970">
        <v>3.1009519999999999</v>
      </c>
      <c r="T2970">
        <v>-0.17746400000000001</v>
      </c>
      <c r="U2970">
        <v>1.266479E-2</v>
      </c>
      <c r="V2970">
        <v>8.1966039999999997E-3</v>
      </c>
      <c r="W2970">
        <v>0.21779789999999999</v>
      </c>
      <c r="X2970">
        <v>0.97595949999999998</v>
      </c>
      <c r="Y2970">
        <v>-5.0501680000000001E-4</v>
      </c>
      <c r="Z2970">
        <v>-1.341646E-4</v>
      </c>
      <c r="AA2970">
        <v>0.99999990000000005</v>
      </c>
      <c r="AB2970">
        <v>52</v>
      </c>
      <c r="AC2970">
        <v>19.046799999999902</v>
      </c>
      <c r="AD2970">
        <v>-1.120364463209</v>
      </c>
      <c r="AE2970">
        <v>7.8100000000006206E-2</v>
      </c>
      <c r="AF2970">
        <v>-9.8527192402968894E-3</v>
      </c>
      <c r="AG2970">
        <v>-1.120364463209</v>
      </c>
      <c r="AH2970">
        <v>18.981283643377601</v>
      </c>
      <c r="AI2970">
        <v>93.377946224609303</v>
      </c>
      <c r="AJ2970">
        <v>90.029740832553799</v>
      </c>
      <c r="AK2970">
        <v>19.014322032532501</v>
      </c>
      <c r="AL2970">
        <v>77.420274441040206</v>
      </c>
      <c r="AM2970">
        <v>89.518812231231706</v>
      </c>
      <c r="AN2970">
        <v>1.00000002760089</v>
      </c>
    </row>
    <row r="2971" spans="1:40" x14ac:dyDescent="0.25">
      <c r="A2971" t="str">
        <f>"20190303170556148"</f>
        <v>20190303170556148</v>
      </c>
      <c r="B2971" t="str">
        <f>"1551603956137407"</f>
        <v>1551603956137407</v>
      </c>
      <c r="C2971" t="s">
        <v>40</v>
      </c>
      <c r="D2971">
        <v>5.7762310000000001</v>
      </c>
      <c r="E2971">
        <v>0.50255050000000001</v>
      </c>
      <c r="F2971" t="s">
        <v>60</v>
      </c>
      <c r="G2971">
        <v>-349.09059999999999</v>
      </c>
      <c r="H2971" s="1">
        <v>3.3007879999999999E-6</v>
      </c>
      <c r="I2971">
        <v>213.7731</v>
      </c>
      <c r="J2971">
        <v>-368.09269999999998</v>
      </c>
      <c r="K2971">
        <v>1.1204320000000001</v>
      </c>
      <c r="L2971">
        <v>213.7105</v>
      </c>
      <c r="M2971">
        <v>0.99988560000000004</v>
      </c>
      <c r="N2971">
        <v>-1.4714100000000001E-2</v>
      </c>
      <c r="O2971">
        <v>3.5586599999999999E-3</v>
      </c>
      <c r="P2971">
        <v>0.97901729999999998</v>
      </c>
      <c r="Q2971">
        <v>0.2037419</v>
      </c>
      <c r="R2971">
        <v>-3.8822240000000001E-3</v>
      </c>
      <c r="S2971">
        <v>3.1012270000000002</v>
      </c>
      <c r="T2971">
        <v>-0.17826879999999901</v>
      </c>
      <c r="U2971">
        <v>1.023865E-2</v>
      </c>
      <c r="V2971">
        <v>7.4983150000000002E-3</v>
      </c>
      <c r="W2971">
        <v>0.21812039999999999</v>
      </c>
      <c r="X2971">
        <v>0.97589309999999996</v>
      </c>
      <c r="Y2971">
        <v>2.5380360000000002E-4</v>
      </c>
      <c r="Z2971">
        <v>-1.6121850000000001E-4</v>
      </c>
      <c r="AA2971">
        <v>0.99999990000000005</v>
      </c>
      <c r="AB2971">
        <v>52</v>
      </c>
      <c r="AC2971">
        <v>19.002099999999899</v>
      </c>
      <c r="AD2971">
        <v>-1.1204286992119901</v>
      </c>
      <c r="AE2971">
        <v>6.2600000000003306E-2</v>
      </c>
      <c r="AF2971">
        <v>5.0122922056239699E-3</v>
      </c>
      <c r="AG2971">
        <v>-1.1204286992119901</v>
      </c>
      <c r="AH2971">
        <v>18.9363673921074</v>
      </c>
      <c r="AI2971">
        <v>93.386133966416097</v>
      </c>
      <c r="AJ2971">
        <v>89.984834304467398</v>
      </c>
      <c r="AK2971">
        <v>18.969485907687599</v>
      </c>
      <c r="AL2971">
        <v>77.401341496240207</v>
      </c>
      <c r="AM2971">
        <v>89.559774171208701</v>
      </c>
      <c r="AN2971">
        <v>1.0000000381258001</v>
      </c>
    </row>
    <row r="2972" spans="1:40" x14ac:dyDescent="0.25">
      <c r="A2972" t="str">
        <f>"20190303170556169"</f>
        <v>20190303170556169</v>
      </c>
      <c r="B2972" t="str">
        <f>"1551603956157900"</f>
        <v>1551603956157900</v>
      </c>
      <c r="C2972" t="s">
        <v>40</v>
      </c>
      <c r="D2972">
        <v>5.7834529999999997</v>
      </c>
      <c r="E2972">
        <v>0.50268210000000002</v>
      </c>
      <c r="F2972" t="s">
        <v>60</v>
      </c>
      <c r="G2972">
        <v>-347.77449999999999</v>
      </c>
      <c r="H2972" s="1">
        <v>2.6004390000000001E-6</v>
      </c>
      <c r="I2972">
        <v>213.77889999999999</v>
      </c>
      <c r="J2972">
        <v>-367.59989999999999</v>
      </c>
      <c r="K2972">
        <v>1.120503</v>
      </c>
      <c r="L2972">
        <v>213.7123</v>
      </c>
      <c r="M2972">
        <v>0.99988469999999996</v>
      </c>
      <c r="N2972">
        <v>-1.476414E-2</v>
      </c>
      <c r="O2972">
        <v>3.5930430000000002E-3</v>
      </c>
      <c r="P2972">
        <v>0.97881079999999998</v>
      </c>
      <c r="Q2972">
        <v>0.20473930000000001</v>
      </c>
      <c r="R2972">
        <v>-3.3941599999999998E-3</v>
      </c>
      <c r="S2972">
        <v>3.099945</v>
      </c>
      <c r="T2972">
        <v>-0.17094409999999999</v>
      </c>
      <c r="U2972">
        <v>1.043701E-2</v>
      </c>
      <c r="V2972">
        <v>7.0109309999999998E-3</v>
      </c>
      <c r="W2972">
        <v>0.21916450000000001</v>
      </c>
      <c r="X2972">
        <v>0.97566269999999999</v>
      </c>
      <c r="Y2972">
        <v>2.2326059999999999E-4</v>
      </c>
      <c r="Z2972">
        <v>-1.5276330000000001E-4</v>
      </c>
      <c r="AA2972">
        <v>0.99999990000000005</v>
      </c>
      <c r="AB2972">
        <v>52</v>
      </c>
      <c r="AC2972">
        <v>19.825399999999998</v>
      </c>
      <c r="AD2972">
        <v>-1.1205003995609999</v>
      </c>
      <c r="AE2972">
        <v>6.6599999999993997E-2</v>
      </c>
      <c r="AF2972">
        <v>4.6269191434472603E-3</v>
      </c>
      <c r="AG2972">
        <v>-1.1205003995609999</v>
      </c>
      <c r="AH2972">
        <v>19.762384408306801</v>
      </c>
      <c r="AI2972">
        <v>93.245118496562597</v>
      </c>
      <c r="AJ2972">
        <v>89.986585478313401</v>
      </c>
      <c r="AK2972">
        <v>19.7941248873368</v>
      </c>
      <c r="AL2972">
        <v>77.340034773807403</v>
      </c>
      <c r="AM2972">
        <v>89.588290253407393</v>
      </c>
      <c r="AN2972">
        <v>0.99999996769251198</v>
      </c>
    </row>
    <row r="2973" spans="1:40" x14ac:dyDescent="0.25">
      <c r="A2973" t="str">
        <f>"20190303170556192"</f>
        <v>20190303170556192</v>
      </c>
      <c r="B2973" t="str">
        <f>"1551603956178019"</f>
        <v>1551603956178019</v>
      </c>
      <c r="C2973" t="s">
        <v>40</v>
      </c>
      <c r="D2973">
        <v>5.7747539999999997</v>
      </c>
      <c r="E2973">
        <v>0.50281750000000003</v>
      </c>
      <c r="F2973" t="s">
        <v>60</v>
      </c>
      <c r="G2973">
        <v>-346.22460000000001</v>
      </c>
      <c r="H2973" s="1">
        <v>1.775662E-6</v>
      </c>
      <c r="I2973">
        <v>213.78380000000001</v>
      </c>
      <c r="J2973">
        <v>-367.06819999999999</v>
      </c>
      <c r="K2973">
        <v>1.1205940000000001</v>
      </c>
      <c r="L2973">
        <v>213.71430000000001</v>
      </c>
      <c r="M2973">
        <v>0.99988350000000004</v>
      </c>
      <c r="N2973">
        <v>-1.481031E-2</v>
      </c>
      <c r="O2973">
        <v>3.7023310000000001E-3</v>
      </c>
      <c r="P2973">
        <v>0.97861240000000005</v>
      </c>
      <c r="Q2973">
        <v>0.20569100000000001</v>
      </c>
      <c r="R2973">
        <v>-3.0185170000000001E-3</v>
      </c>
      <c r="S2973">
        <v>3.0989990000000001</v>
      </c>
      <c r="T2973">
        <v>-0.16245079999999901</v>
      </c>
      <c r="U2973">
        <v>1.037598E-2</v>
      </c>
      <c r="V2973">
        <v>6.701238E-3</v>
      </c>
      <c r="W2973">
        <v>0.22015999999999999</v>
      </c>
      <c r="X2973">
        <v>0.97544070000000005</v>
      </c>
      <c r="Y2973">
        <v>3.5135279999999998E-4</v>
      </c>
      <c r="Z2973">
        <v>-1.5094159999999999E-4</v>
      </c>
      <c r="AA2973">
        <v>0.99999990000000005</v>
      </c>
      <c r="AB2973">
        <v>52</v>
      </c>
      <c r="AC2973">
        <v>20.843599999999899</v>
      </c>
      <c r="AD2973">
        <v>-1.120592224338</v>
      </c>
      <c r="AE2973">
        <v>6.9500000000005002E-2</v>
      </c>
      <c r="AF2973">
        <v>7.6567148285045499E-3</v>
      </c>
      <c r="AG2973">
        <v>-1.120592224338</v>
      </c>
      <c r="AH2973">
        <v>20.783643213862199</v>
      </c>
      <c r="AI2973">
        <v>93.086229516084202</v>
      </c>
      <c r="AJ2973">
        <v>89.978892178803903</v>
      </c>
      <c r="AK2973">
        <v>20.813832198796199</v>
      </c>
      <c r="AL2973">
        <v>77.281568563310302</v>
      </c>
      <c r="AM2973">
        <v>89.606386513606793</v>
      </c>
      <c r="AN2973">
        <v>0.99999994570360995</v>
      </c>
    </row>
    <row r="2974" spans="1:40" x14ac:dyDescent="0.25">
      <c r="A2974" t="str">
        <f>"20190303170556215"</f>
        <v>20190303170556215</v>
      </c>
      <c r="B2974" t="str">
        <f>"1551603956207299"</f>
        <v>1551603956207299</v>
      </c>
      <c r="C2974" t="s">
        <v>40</v>
      </c>
      <c r="D2974">
        <v>5.7094339999999999</v>
      </c>
      <c r="E2974">
        <v>0.50302799999999903</v>
      </c>
      <c r="F2974" t="s">
        <v>60</v>
      </c>
      <c r="G2974">
        <v>-344.71350000000001</v>
      </c>
      <c r="H2974" s="1">
        <v>9.715233999999999E-7</v>
      </c>
      <c r="I2974">
        <v>213.78579999999999</v>
      </c>
      <c r="J2974">
        <v>-366.54430000000002</v>
      </c>
      <c r="K2974">
        <v>1.120681</v>
      </c>
      <c r="L2974">
        <v>213.71629999999999</v>
      </c>
      <c r="M2974">
        <v>0.99988220000000005</v>
      </c>
      <c r="N2974">
        <v>-1.484918E-2</v>
      </c>
      <c r="O2974">
        <v>3.883924E-3</v>
      </c>
      <c r="P2974">
        <v>0.97858129999999999</v>
      </c>
      <c r="Q2974">
        <v>0.2058413</v>
      </c>
      <c r="R2974">
        <v>-2.8005880000000001E-3</v>
      </c>
      <c r="S2974">
        <v>3.098236</v>
      </c>
      <c r="T2974">
        <v>-0.15530840000000001</v>
      </c>
      <c r="U2974">
        <v>9.9182130000000004E-3</v>
      </c>
      <c r="V2974">
        <v>6.6161060000000001E-3</v>
      </c>
      <c r="W2974">
        <v>0.2203493</v>
      </c>
      <c r="X2974">
        <v>0.9753986</v>
      </c>
      <c r="Y2974">
        <v>6.7960639999999897E-4</v>
      </c>
      <c r="Z2974">
        <v>-1.5899229999999999E-4</v>
      </c>
      <c r="AA2974">
        <v>0.99999979999999999</v>
      </c>
      <c r="AB2974">
        <v>52</v>
      </c>
      <c r="AC2974">
        <v>21.8308</v>
      </c>
      <c r="AD2974">
        <v>-1.1206800284766001</v>
      </c>
      <c r="AE2974">
        <v>6.9500000000005002E-2</v>
      </c>
      <c r="AF2974">
        <v>1.5258831355153201E-2</v>
      </c>
      <c r="AG2974">
        <v>-1.1206800284766001</v>
      </c>
      <c r="AH2974">
        <v>21.773526880149301</v>
      </c>
      <c r="AI2974">
        <v>92.946404120041706</v>
      </c>
      <c r="AJ2974">
        <v>89.959847272394498</v>
      </c>
      <c r="AK2974">
        <v>21.802353757306701</v>
      </c>
      <c r="AL2974">
        <v>77.270450216721301</v>
      </c>
      <c r="AM2974">
        <v>89.611370021260498</v>
      </c>
      <c r="AN2974">
        <v>1.00000000787552</v>
      </c>
    </row>
    <row r="2975" spans="1:40" x14ac:dyDescent="0.25">
      <c r="A2975" t="str">
        <f>"20190303170556241"</f>
        <v>20190303170556241</v>
      </c>
      <c r="B2975" t="str">
        <f>"1551603956227795"</f>
        <v>1551603956227795</v>
      </c>
      <c r="C2975" t="s">
        <v>40</v>
      </c>
      <c r="D2975">
        <v>5.7912730000000003</v>
      </c>
      <c r="E2975">
        <v>0.50322909999999998</v>
      </c>
      <c r="F2975" t="s">
        <v>60</v>
      </c>
      <c r="G2975">
        <v>-343.99360000000001</v>
      </c>
      <c r="H2975" s="1">
        <v>5.8839299999999997E-7</v>
      </c>
      <c r="I2975">
        <v>213.77809999999999</v>
      </c>
      <c r="J2975">
        <v>-365.94630000000001</v>
      </c>
      <c r="K2975">
        <v>1.1208009999999999</v>
      </c>
      <c r="L2975">
        <v>213.71879999999999</v>
      </c>
      <c r="M2975">
        <v>0.9998804</v>
      </c>
      <c r="N2975">
        <v>-1.4886770000000001E-2</v>
      </c>
      <c r="O2975">
        <v>4.1761599999999999E-3</v>
      </c>
      <c r="P2975">
        <v>0.97882159999999996</v>
      </c>
      <c r="Q2975">
        <v>0.20470820000000001</v>
      </c>
      <c r="R2975">
        <v>-1.6633399999999999E-3</v>
      </c>
      <c r="S2975">
        <v>3.0980530000000002</v>
      </c>
      <c r="T2975">
        <v>-0.1539605</v>
      </c>
      <c r="U2975">
        <v>8.4838869999999903E-3</v>
      </c>
      <c r="V2975">
        <v>5.7112380000000004E-3</v>
      </c>
      <c r="W2975">
        <v>0.21925749999999999</v>
      </c>
      <c r="X2975">
        <v>0.97565029999999997</v>
      </c>
      <c r="Y2975">
        <v>1.433356E-3</v>
      </c>
      <c r="Z2975">
        <v>-1.9153479999999999E-4</v>
      </c>
      <c r="AA2975">
        <v>0.99999890000000002</v>
      </c>
      <c r="AB2975">
        <v>51</v>
      </c>
      <c r="AC2975">
        <v>21.9527</v>
      </c>
      <c r="AD2975">
        <v>-1.1208004116069901</v>
      </c>
      <c r="AE2975">
        <v>5.9300000000007402E-2</v>
      </c>
      <c r="AF2975">
        <v>3.23044657052481E-2</v>
      </c>
      <c r="AG2975">
        <v>-1.1208004116069901</v>
      </c>
      <c r="AH2975">
        <v>21.895682503621501</v>
      </c>
      <c r="AI2975">
        <v>92.930306632179096</v>
      </c>
      <c r="AJ2975">
        <v>89.9154669784308</v>
      </c>
      <c r="AK2975">
        <v>21.924373410443501</v>
      </c>
      <c r="AL2975">
        <v>77.334573703245695</v>
      </c>
      <c r="AM2975">
        <v>89.664607190119995</v>
      </c>
      <c r="AN2975">
        <v>0.99999998871791596</v>
      </c>
    </row>
    <row r="2976" spans="1:40" x14ac:dyDescent="0.25">
      <c r="A2976" t="str">
        <f>"20190303170556261"</f>
        <v>20190303170556261</v>
      </c>
      <c r="B2976" t="str">
        <f>"1551603956247315"</f>
        <v>1551603956247315</v>
      </c>
      <c r="C2976" t="s">
        <v>40</v>
      </c>
      <c r="D2976">
        <v>5.7912929999999996</v>
      </c>
      <c r="E2976">
        <v>0.50349060000000001</v>
      </c>
      <c r="F2976" t="s">
        <v>60</v>
      </c>
      <c r="G2976">
        <v>-343.52210000000002</v>
      </c>
      <c r="H2976" s="1">
        <v>3.3751800000000002E-7</v>
      </c>
      <c r="I2976">
        <v>213.78620000000001</v>
      </c>
      <c r="J2976">
        <v>-365.49119999999999</v>
      </c>
      <c r="K2976">
        <v>1.1208819999999999</v>
      </c>
      <c r="L2976">
        <v>213.7209</v>
      </c>
      <c r="M2976">
        <v>0.99987899999999996</v>
      </c>
      <c r="N2976">
        <v>-1.491077E-2</v>
      </c>
      <c r="O2976">
        <v>4.4584330000000004E-3</v>
      </c>
      <c r="P2976">
        <v>0.97893889999999995</v>
      </c>
      <c r="Q2976">
        <v>0.204153</v>
      </c>
      <c r="R2976">
        <v>-4.1386670000000001E-4</v>
      </c>
      <c r="S2976">
        <v>3.097321</v>
      </c>
      <c r="T2976">
        <v>-0.1548098</v>
      </c>
      <c r="U2976">
        <v>9.3078610000000006E-3</v>
      </c>
      <c r="V2976">
        <v>4.6978840000000003E-3</v>
      </c>
      <c r="W2976">
        <v>0.21872849999999999</v>
      </c>
      <c r="X2976">
        <v>0.97577449999999999</v>
      </c>
      <c r="Y2976">
        <v>1.4487300000000001E-3</v>
      </c>
      <c r="Z2976">
        <v>-2.0323960000000001E-4</v>
      </c>
      <c r="AA2976">
        <v>0.99999890000000002</v>
      </c>
      <c r="AB2976">
        <v>51</v>
      </c>
      <c r="AC2976">
        <v>21.969099999999901</v>
      </c>
      <c r="AD2976">
        <v>-1.1208816624819999</v>
      </c>
      <c r="AE2976">
        <v>6.5300000000007602E-2</v>
      </c>
      <c r="AF2976">
        <v>3.2574494136229197E-2</v>
      </c>
      <c r="AG2976">
        <v>-1.1208816624819999</v>
      </c>
      <c r="AH2976">
        <v>21.912133257134599</v>
      </c>
      <c r="AI2976">
        <v>92.928322356356603</v>
      </c>
      <c r="AJ2976">
        <v>89.914824374377403</v>
      </c>
      <c r="AK2976">
        <v>21.940807202046699</v>
      </c>
      <c r="AL2976">
        <v>77.365637991021202</v>
      </c>
      <c r="AM2976">
        <v>89.724150563342505</v>
      </c>
      <c r="AN2976">
        <v>1.00000005083828</v>
      </c>
    </row>
    <row r="2977" spans="1:40" x14ac:dyDescent="0.25">
      <c r="A2977" t="str">
        <f>"20190303170556285"</f>
        <v>20190303170556285</v>
      </c>
      <c r="B2977" t="str">
        <f>"1551603956277462"</f>
        <v>1551603956277462</v>
      </c>
      <c r="C2977" t="s">
        <v>40</v>
      </c>
      <c r="D2977">
        <v>5.8603239999999897</v>
      </c>
      <c r="E2977">
        <v>0.50384030000000002</v>
      </c>
      <c r="F2977" t="s">
        <v>60</v>
      </c>
      <c r="G2977">
        <v>-342.87610000000001</v>
      </c>
      <c r="H2977" s="1">
        <v>-6.27184699999999E-9</v>
      </c>
      <c r="I2977">
        <v>213.78989999999999</v>
      </c>
      <c r="J2977">
        <v>-364.95710000000003</v>
      </c>
      <c r="K2977">
        <v>1.12097</v>
      </c>
      <c r="L2977">
        <v>213.7236</v>
      </c>
      <c r="M2977">
        <v>0.99987669999999995</v>
      </c>
      <c r="N2977">
        <v>-1.4934879999999999E-2</v>
      </c>
      <c r="O2977">
        <v>4.8415350000000001E-3</v>
      </c>
      <c r="P2977">
        <v>0.97871339999999996</v>
      </c>
      <c r="Q2977">
        <v>0.20523130000000001</v>
      </c>
      <c r="R2977">
        <v>5.4969269999999998E-4</v>
      </c>
      <c r="S2977">
        <v>3.0965880000000001</v>
      </c>
      <c r="T2977">
        <v>-0.15347740000000001</v>
      </c>
      <c r="U2977">
        <v>9.4451899999999991E-3</v>
      </c>
      <c r="V2977">
        <v>4.0629530000000002E-3</v>
      </c>
      <c r="W2977">
        <v>0.21982789999999999</v>
      </c>
      <c r="X2977">
        <v>0.97553020000000001</v>
      </c>
      <c r="Y2977">
        <v>1.7861559999999999E-3</v>
      </c>
      <c r="Z2977">
        <v>-2.2511929999999999E-4</v>
      </c>
      <c r="AA2977">
        <v>0.99999839999999995</v>
      </c>
      <c r="AB2977">
        <v>51</v>
      </c>
      <c r="AC2977">
        <v>22.081</v>
      </c>
      <c r="AD2977">
        <v>-1.12097000627184</v>
      </c>
      <c r="AE2977">
        <v>6.6299999999983997E-2</v>
      </c>
      <c r="AF2977">
        <v>4.0514228385890999E-2</v>
      </c>
      <c r="AG2977">
        <v>-1.12097000627184</v>
      </c>
      <c r="AH2977">
        <v>22.024301346281501</v>
      </c>
      <c r="AI2977">
        <v>92.913661916831998</v>
      </c>
      <c r="AJ2977">
        <v>89.894603163934804</v>
      </c>
      <c r="AK2977">
        <v>22.052847093957801</v>
      </c>
      <c r="AL2977">
        <v>77.301074960586405</v>
      </c>
      <c r="AM2977">
        <v>89.761372109983697</v>
      </c>
      <c r="AN2977">
        <v>0.99999999215876501</v>
      </c>
    </row>
    <row r="2978" spans="1:40" x14ac:dyDescent="0.25">
      <c r="A2978" t="str">
        <f>"20190303170556305"</f>
        <v>20190303170556305</v>
      </c>
      <c r="B2978" t="str">
        <f>"1551603956297956"</f>
        <v>1551603956297956</v>
      </c>
      <c r="C2978" t="s">
        <v>40</v>
      </c>
      <c r="D2978">
        <v>5.8497300000000001</v>
      </c>
      <c r="E2978">
        <v>0.53534309999999996</v>
      </c>
      <c r="F2978" t="s">
        <v>60</v>
      </c>
      <c r="G2978">
        <v>-341.983</v>
      </c>
      <c r="H2978" s="1">
        <v>-4.8153479999999999E-7</v>
      </c>
      <c r="I2978">
        <v>213.79</v>
      </c>
      <c r="J2978">
        <v>-364.47280000000001</v>
      </c>
      <c r="K2978">
        <v>1.1210530000000001</v>
      </c>
      <c r="L2978">
        <v>213.72620000000001</v>
      </c>
      <c r="M2978">
        <v>0.9998745</v>
      </c>
      <c r="N2978">
        <v>-1.495321E-2</v>
      </c>
      <c r="O2978">
        <v>5.2296089999999996E-3</v>
      </c>
      <c r="P2978">
        <v>0.97843720000000001</v>
      </c>
      <c r="Q2978">
        <v>0.20653679999999999</v>
      </c>
      <c r="R2978">
        <v>1.7334060000000001E-3</v>
      </c>
      <c r="S2978">
        <v>3.0968930000000001</v>
      </c>
      <c r="T2978">
        <v>-0.15110609999999999</v>
      </c>
      <c r="U2978">
        <v>8.9569090000000007E-3</v>
      </c>
      <c r="V2978">
        <v>3.221252E-3</v>
      </c>
      <c r="W2978">
        <v>0.22114690000000001</v>
      </c>
      <c r="X2978">
        <v>0.97523519999999997</v>
      </c>
      <c r="Y2978">
        <v>2.3313840000000001E-3</v>
      </c>
      <c r="Z2978">
        <v>-2.5113080000000002E-4</v>
      </c>
      <c r="AA2978">
        <v>0.99999729999999998</v>
      </c>
      <c r="AB2978">
        <v>51</v>
      </c>
      <c r="AC2978">
        <v>22.489799999999999</v>
      </c>
      <c r="AD2978">
        <v>-1.1210534815347999</v>
      </c>
      <c r="AE2978">
        <v>6.3799999999986298E-2</v>
      </c>
      <c r="AF2978">
        <v>5.3693473116318897E-2</v>
      </c>
      <c r="AG2978">
        <v>-1.1210534815347999</v>
      </c>
      <c r="AH2978">
        <v>22.434083597111002</v>
      </c>
      <c r="AI2978">
        <v>92.860739329747005</v>
      </c>
      <c r="AJ2978">
        <v>89.862869213736303</v>
      </c>
      <c r="AK2978">
        <v>22.462140386429802</v>
      </c>
      <c r="AL2978">
        <v>77.223595277556399</v>
      </c>
      <c r="AM2978">
        <v>89.810749783082997</v>
      </c>
      <c r="AN2978">
        <v>1.0000000115815399</v>
      </c>
    </row>
    <row r="2979" spans="1:40" x14ac:dyDescent="0.25">
      <c r="A2979" t="str">
        <f>"20190303170556328"</f>
        <v>20190303170556328</v>
      </c>
      <c r="B2979" t="str">
        <f>"1551603956317476"</f>
        <v>1551603956317476</v>
      </c>
      <c r="C2979" t="s">
        <v>40</v>
      </c>
      <c r="D2979">
        <v>5.7455290000000003</v>
      </c>
      <c r="E2979">
        <v>0.54758609999999996</v>
      </c>
      <c r="F2979" t="s">
        <v>42</v>
      </c>
      <c r="G2979">
        <v>-363.35120000000001</v>
      </c>
      <c r="H2979">
        <v>1.0175510000000001</v>
      </c>
      <c r="I2979">
        <v>213.64269999999999</v>
      </c>
      <c r="J2979">
        <v>-363.96499999999997</v>
      </c>
      <c r="K2979">
        <v>1.1211180000000001</v>
      </c>
      <c r="L2979">
        <v>213.72909999999999</v>
      </c>
      <c r="M2979">
        <v>0.99987190000000004</v>
      </c>
      <c r="N2979">
        <v>-1.4969349999999999E-2</v>
      </c>
      <c r="O2979">
        <v>5.6672769999999897E-3</v>
      </c>
      <c r="P2979">
        <v>0.97834929999999998</v>
      </c>
      <c r="Q2979">
        <v>0.2069406</v>
      </c>
      <c r="R2979">
        <v>2.846973E-3</v>
      </c>
      <c r="S2979">
        <v>3.1274410000000001</v>
      </c>
      <c r="T2979">
        <v>-0.28861009999999998</v>
      </c>
      <c r="U2979">
        <v>-0.2327118</v>
      </c>
      <c r="V2979">
        <v>2.5030439999999998E-3</v>
      </c>
      <c r="W2979">
        <v>0.22156500000000001</v>
      </c>
      <c r="X2979">
        <v>0.97514239999999996</v>
      </c>
      <c r="Y2979">
        <v>7.9448089999999999E-2</v>
      </c>
      <c r="Z2979">
        <v>-4.6866529999999998E-3</v>
      </c>
      <c r="AA2979">
        <v>0.99682800000000005</v>
      </c>
      <c r="AB2979">
        <v>51</v>
      </c>
      <c r="AC2979">
        <v>0.61379999999996904</v>
      </c>
      <c r="AD2979">
        <v>-0.10356699999999899</v>
      </c>
      <c r="AE2979">
        <v>-8.6399999999997507E-2</v>
      </c>
      <c r="AF2979">
        <v>8.7436612722418997E-2</v>
      </c>
      <c r="AG2979">
        <v>-0.10356699999999899</v>
      </c>
      <c r="AH2979">
        <v>0.59664395158546701</v>
      </c>
      <c r="AI2979">
        <v>99.745364783009194</v>
      </c>
      <c r="AJ2979">
        <v>81.662798775152098</v>
      </c>
      <c r="AK2979">
        <v>0.61184580549096801</v>
      </c>
      <c r="AL2979">
        <v>77.199030481782003</v>
      </c>
      <c r="AM2979">
        <v>89.852930667186996</v>
      </c>
      <c r="AN2979">
        <v>1.00000000736601</v>
      </c>
    </row>
    <row r="2980" spans="1:40" x14ac:dyDescent="0.25">
      <c r="A2980" t="str">
        <f>"20190303170556348"</f>
        <v>20190303170556348</v>
      </c>
      <c r="B2980" t="str">
        <f>"1551603956337973"</f>
        <v>1551603956337973</v>
      </c>
      <c r="C2980" t="s">
        <v>40</v>
      </c>
      <c r="D2980">
        <v>5.6990230000000004</v>
      </c>
      <c r="E2980">
        <v>0.55224119999999999</v>
      </c>
      <c r="F2980" t="s">
        <v>42</v>
      </c>
      <c r="G2980">
        <v>-362.90649999999999</v>
      </c>
      <c r="H2980">
        <v>0.9901664</v>
      </c>
      <c r="I2980">
        <v>213.62119999999999</v>
      </c>
      <c r="J2980">
        <v>-363.48309999999998</v>
      </c>
      <c r="K2980">
        <v>1.121173</v>
      </c>
      <c r="L2980">
        <v>213.7321</v>
      </c>
      <c r="M2980">
        <v>0.99986909999999896</v>
      </c>
      <c r="N2980">
        <v>-1.49821E-2</v>
      </c>
      <c r="O2980">
        <v>6.1026810000000004E-3</v>
      </c>
      <c r="P2980">
        <v>0.97853089999999998</v>
      </c>
      <c r="Q2980">
        <v>0.20607059999999999</v>
      </c>
      <c r="R2980">
        <v>3.492935E-3</v>
      </c>
      <c r="S2980">
        <v>3.1497799999999998</v>
      </c>
      <c r="T2980">
        <v>-0.3897043</v>
      </c>
      <c r="U2980">
        <v>-0.3209381</v>
      </c>
      <c r="V2980">
        <v>2.259147E-3</v>
      </c>
      <c r="W2980">
        <v>0.22071070000000001</v>
      </c>
      <c r="X2980">
        <v>0.97533669999999995</v>
      </c>
      <c r="Y2980">
        <v>0.1064991</v>
      </c>
      <c r="Z2980">
        <v>-8.0091740000000008E-3</v>
      </c>
      <c r="AA2980">
        <v>0.99428050000000001</v>
      </c>
      <c r="AB2980">
        <v>51</v>
      </c>
      <c r="AC2980">
        <v>0.57659999999998401</v>
      </c>
      <c r="AD2980">
        <v>-0.131006599999999</v>
      </c>
      <c r="AE2980">
        <v>-0.110900000000015</v>
      </c>
      <c r="AF2980">
        <v>0.10899145859996601</v>
      </c>
      <c r="AG2980">
        <v>-0.131006599999999</v>
      </c>
      <c r="AH2980">
        <v>0.54860254950329002</v>
      </c>
      <c r="AI2980">
        <v>103.182348924408</v>
      </c>
      <c r="AJ2980">
        <v>78.763299430305196</v>
      </c>
      <c r="AK2980">
        <v>0.57446203061022005</v>
      </c>
      <c r="AL2980">
        <v>77.249220726153794</v>
      </c>
      <c r="AM2980">
        <v>89.867287515261296</v>
      </c>
      <c r="AN2980">
        <v>0.99999999760327296</v>
      </c>
    </row>
    <row r="2981" spans="1:40" x14ac:dyDescent="0.25">
      <c r="A2981" t="str">
        <f>"20190303170556371"</f>
        <v>20190303170556371</v>
      </c>
      <c r="B2981" t="str">
        <f>"1551603956357492"</f>
        <v>1551603956357492</v>
      </c>
      <c r="C2981" t="s">
        <v>40</v>
      </c>
      <c r="D2981">
        <v>5.6993879999999999</v>
      </c>
      <c r="E2981">
        <v>0.5552878</v>
      </c>
      <c r="F2981" t="s">
        <v>42</v>
      </c>
      <c r="G2981">
        <v>-362.46039999999999</v>
      </c>
      <c r="H2981">
        <v>0.96669530000000004</v>
      </c>
      <c r="I2981">
        <v>213.61850000000001</v>
      </c>
      <c r="J2981">
        <v>-362.97500000000002</v>
      </c>
      <c r="K2981">
        <v>1.121218</v>
      </c>
      <c r="L2981">
        <v>213.7355</v>
      </c>
      <c r="M2981">
        <v>0.99986589999999997</v>
      </c>
      <c r="N2981">
        <v>-1.4993390000000001E-2</v>
      </c>
      <c r="O2981">
        <v>6.5756769999999898E-3</v>
      </c>
      <c r="P2981">
        <v>0.97873410000000005</v>
      </c>
      <c r="Q2981">
        <v>0.20509959999999999</v>
      </c>
      <c r="R2981">
        <v>3.749175E-3</v>
      </c>
      <c r="S2981">
        <v>3.1678470000000001</v>
      </c>
      <c r="T2981">
        <v>-0.4785372</v>
      </c>
      <c r="U2981">
        <v>-0.35200500000000001</v>
      </c>
      <c r="V2981">
        <v>2.444823E-3</v>
      </c>
      <c r="W2981">
        <v>0.2197539</v>
      </c>
      <c r="X2981">
        <v>0.97555230000000004</v>
      </c>
      <c r="Y2981">
        <v>0.11548659999999999</v>
      </c>
      <c r="Z2981">
        <v>-1.0408199999999999E-2</v>
      </c>
      <c r="AA2981">
        <v>0.99325450000000004</v>
      </c>
      <c r="AB2981">
        <v>51</v>
      </c>
      <c r="AC2981">
        <v>0.51460000000002903</v>
      </c>
      <c r="AD2981">
        <v>-0.15452269999999901</v>
      </c>
      <c r="AE2981">
        <v>-0.11699999999999</v>
      </c>
      <c r="AF2981">
        <v>0.110875803811536</v>
      </c>
      <c r="AG2981">
        <v>-0.15452269999999901</v>
      </c>
      <c r="AH2981">
        <v>0.47324589461254202</v>
      </c>
      <c r="AI2981">
        <v>107.6358849902</v>
      </c>
      <c r="AJ2981">
        <v>76.814118033262602</v>
      </c>
      <c r="AK2981">
        <v>0.51003174945661001</v>
      </c>
      <c r="AL2981">
        <v>77.305421508637295</v>
      </c>
      <c r="AM2981">
        <v>89.856411853772897</v>
      </c>
      <c r="AN2981">
        <v>1.00000002188</v>
      </c>
    </row>
    <row r="2982" spans="1:40" x14ac:dyDescent="0.25">
      <c r="A2982" t="str">
        <f>"20190303170556394"</f>
        <v>20190303170556394</v>
      </c>
      <c r="B2982" t="str">
        <f>"1551603956387357"</f>
        <v>1551603956387357</v>
      </c>
      <c r="C2982" t="s">
        <v>40</v>
      </c>
      <c r="D2982">
        <v>5.6945499999999996</v>
      </c>
      <c r="E2982">
        <v>0.55818840000000003</v>
      </c>
      <c r="F2982" t="s">
        <v>42</v>
      </c>
      <c r="G2982">
        <v>-362.00819999999999</v>
      </c>
      <c r="H2982">
        <v>0.95669230000000005</v>
      </c>
      <c r="I2982">
        <v>213.62190000000001</v>
      </c>
      <c r="J2982">
        <v>-362.46620000000001</v>
      </c>
      <c r="K2982">
        <v>1.1212569999999999</v>
      </c>
      <c r="L2982">
        <v>213.73920000000001</v>
      </c>
      <c r="M2982">
        <v>0.99986260000000005</v>
      </c>
      <c r="N2982">
        <v>-1.5002730000000001E-2</v>
      </c>
      <c r="O2982">
        <v>7.0574059999999996E-3</v>
      </c>
      <c r="P2982">
        <v>0.97879179999999999</v>
      </c>
      <c r="Q2982">
        <v>0.2048258</v>
      </c>
      <c r="R2982">
        <v>3.6194899999999999E-3</v>
      </c>
      <c r="S2982">
        <v>3.1800229999999998</v>
      </c>
      <c r="T2982">
        <v>-0.54122709999999996</v>
      </c>
      <c r="U2982">
        <v>-0.37312319999999999</v>
      </c>
      <c r="V2982">
        <v>3.0269189999999999E-3</v>
      </c>
      <c r="W2982">
        <v>0.21949109999999999</v>
      </c>
      <c r="X2982">
        <v>0.97560979999999997</v>
      </c>
      <c r="Y2982">
        <v>0.121577</v>
      </c>
      <c r="Z2982">
        <v>-1.2243749999999999E-2</v>
      </c>
      <c r="AA2982">
        <v>0.99250649999999996</v>
      </c>
      <c r="AB2982">
        <v>51</v>
      </c>
      <c r="AC2982">
        <v>0.458000000000026</v>
      </c>
      <c r="AD2982">
        <v>-0.16456469999999901</v>
      </c>
      <c r="AE2982">
        <v>-0.1173</v>
      </c>
      <c r="AF2982">
        <v>0.10750472196925499</v>
      </c>
      <c r="AG2982">
        <v>-0.16456469999999901</v>
      </c>
      <c r="AH2982">
        <v>0.40775772605475302</v>
      </c>
      <c r="AI2982">
        <v>111.31817243376</v>
      </c>
      <c r="AJ2982">
        <v>75.230150099214896</v>
      </c>
      <c r="AK2982">
        <v>0.45266452135010499</v>
      </c>
      <c r="AL2982">
        <v>77.320855299848702</v>
      </c>
      <c r="AM2982">
        <v>89.822235152671894</v>
      </c>
      <c r="AN2982">
        <v>0.99999999353694102</v>
      </c>
    </row>
    <row r="2983" spans="1:40" x14ac:dyDescent="0.25">
      <c r="A2983" t="str">
        <f>"20190303170556416"</f>
        <v>20190303170556416</v>
      </c>
      <c r="B2983" t="str">
        <f>"1551603956407852"</f>
        <v>1551603956407852</v>
      </c>
      <c r="C2983" t="s">
        <v>40</v>
      </c>
      <c r="D2983">
        <v>5.6856980000000004</v>
      </c>
      <c r="E2983">
        <v>0.55954559999999998</v>
      </c>
      <c r="F2983" t="s">
        <v>42</v>
      </c>
      <c r="G2983">
        <v>-361.55349999999999</v>
      </c>
      <c r="H2983">
        <v>0.95263279999999995</v>
      </c>
      <c r="I2983">
        <v>213.62610000000001</v>
      </c>
      <c r="J2983">
        <v>-361.94170000000003</v>
      </c>
      <c r="K2983">
        <v>1.1212959999999901</v>
      </c>
      <c r="L2983">
        <v>213.7432</v>
      </c>
      <c r="M2983">
        <v>0.99985889999999999</v>
      </c>
      <c r="N2983">
        <v>-1.5010610000000001E-2</v>
      </c>
      <c r="O2983">
        <v>7.5580859999999899E-3</v>
      </c>
      <c r="P2983">
        <v>0.97873019999999999</v>
      </c>
      <c r="Q2983">
        <v>0.20511869999999999</v>
      </c>
      <c r="R2983">
        <v>3.7515980000000001E-3</v>
      </c>
      <c r="S2983">
        <v>3.1897890000000002</v>
      </c>
      <c r="T2983">
        <v>-0.58934529999999996</v>
      </c>
      <c r="U2983">
        <v>-0.39457700000000001</v>
      </c>
      <c r="V2983">
        <v>3.3659689999999999E-3</v>
      </c>
      <c r="W2983">
        <v>0.2197916</v>
      </c>
      <c r="X2983">
        <v>0.97554110000000005</v>
      </c>
      <c r="Y2983">
        <v>0.12784609999999999</v>
      </c>
      <c r="Z2983">
        <v>-1.3907350000000001E-2</v>
      </c>
      <c r="AA2983">
        <v>0.99169649999999998</v>
      </c>
      <c r="AB2983">
        <v>51</v>
      </c>
      <c r="AC2983">
        <v>0.38820000000004001</v>
      </c>
      <c r="AD2983">
        <v>-0.16866319999999899</v>
      </c>
      <c r="AE2983">
        <v>-0.117099999999993</v>
      </c>
      <c r="AF2983">
        <v>0.102326093060156</v>
      </c>
      <c r="AG2983">
        <v>-0.16866319999999899</v>
      </c>
      <c r="AH2983">
        <v>0.33017528168547899</v>
      </c>
      <c r="AI2983">
        <v>116.009327590388</v>
      </c>
      <c r="AJ2983">
        <v>72.7810354674872</v>
      </c>
      <c r="AK2983">
        <v>0.38462139954932401</v>
      </c>
      <c r="AL2983">
        <v>77.303207782992402</v>
      </c>
      <c r="AM2983">
        <v>89.802309659365704</v>
      </c>
      <c r="AN2983">
        <v>1.0000000574835299</v>
      </c>
    </row>
    <row r="2984" spans="1:40" x14ac:dyDescent="0.25">
      <c r="A2984" t="str">
        <f>"20190303170556439"</f>
        <v>20190303170556439</v>
      </c>
      <c r="B2984" t="str">
        <f>"1551603956427372"</f>
        <v>1551603956427372</v>
      </c>
      <c r="C2984" t="s">
        <v>40</v>
      </c>
      <c r="D2984">
        <v>5.6603199999999996</v>
      </c>
      <c r="E2984">
        <v>0.56051700000000004</v>
      </c>
      <c r="F2984" t="s">
        <v>42</v>
      </c>
      <c r="G2984">
        <v>-361.09370000000001</v>
      </c>
      <c r="H2984">
        <v>0.96020640000000002</v>
      </c>
      <c r="I2984">
        <v>213.63560000000001</v>
      </c>
      <c r="J2984">
        <v>-361.42469999999997</v>
      </c>
      <c r="K2984">
        <v>1.1213340000000001</v>
      </c>
      <c r="L2984">
        <v>213.7474</v>
      </c>
      <c r="M2984">
        <v>0.99985489999999999</v>
      </c>
      <c r="N2984">
        <v>-1.501685E-2</v>
      </c>
      <c r="O2984">
        <v>8.053681E-3</v>
      </c>
      <c r="P2984">
        <v>0.97849549999999996</v>
      </c>
      <c r="Q2984">
        <v>0.20621980000000001</v>
      </c>
      <c r="R2984">
        <v>4.4924320000000002E-3</v>
      </c>
      <c r="S2984">
        <v>3.193848</v>
      </c>
      <c r="T2984">
        <v>-0.60669259999999903</v>
      </c>
      <c r="U2984">
        <v>-0.40463260000000001</v>
      </c>
      <c r="V2984">
        <v>3.0919839999999999E-3</v>
      </c>
      <c r="W2984">
        <v>0.22089490000000001</v>
      </c>
      <c r="X2984">
        <v>0.97529270000000001</v>
      </c>
      <c r="Y2984">
        <v>0.13105749999999999</v>
      </c>
      <c r="Z2984">
        <v>-1.4677890000000001E-2</v>
      </c>
      <c r="AA2984">
        <v>0.99126610000000004</v>
      </c>
      <c r="AB2984">
        <v>51</v>
      </c>
      <c r="AC2984">
        <v>0.33099999999995999</v>
      </c>
      <c r="AD2984">
        <v>-0.16112760000000001</v>
      </c>
      <c r="AE2984">
        <v>-0.11179999999998801</v>
      </c>
      <c r="AF2984">
        <v>9.4386515097955398E-2</v>
      </c>
      <c r="AG2984">
        <v>-0.16112760000000001</v>
      </c>
      <c r="AH2984">
        <v>0.27219345602653</v>
      </c>
      <c r="AI2984">
        <v>119.217782889246</v>
      </c>
      <c r="AJ2984">
        <v>70.875366077077601</v>
      </c>
      <c r="AK2984">
        <v>0.330091192275351</v>
      </c>
      <c r="AL2984">
        <v>77.238399588414794</v>
      </c>
      <c r="AM2984">
        <v>89.818355002559798</v>
      </c>
      <c r="AN2984">
        <v>0.99999998394217804</v>
      </c>
    </row>
    <row r="2985" spans="1:40" x14ac:dyDescent="0.25">
      <c r="A2985" t="str">
        <f>"20190303170556462"</f>
        <v>20190303170556462</v>
      </c>
      <c r="B2985" t="str">
        <f>"1551603956447868"</f>
        <v>1551603956447868</v>
      </c>
      <c r="C2985" t="s">
        <v>40</v>
      </c>
      <c r="D2985">
        <v>5.6719080000000002</v>
      </c>
      <c r="E2985">
        <v>0.56115490000000001</v>
      </c>
      <c r="F2985" t="s">
        <v>42</v>
      </c>
      <c r="G2985">
        <v>-360.63350000000003</v>
      </c>
      <c r="H2985">
        <v>0.96904460000000003</v>
      </c>
      <c r="I2985">
        <v>213.64570000000001</v>
      </c>
      <c r="J2985">
        <v>-360.9006</v>
      </c>
      <c r="K2985">
        <v>1.1213649999999999</v>
      </c>
      <c r="L2985">
        <v>213.75190000000001</v>
      </c>
      <c r="M2985">
        <v>0.99985060000000003</v>
      </c>
      <c r="N2985">
        <v>-1.5022280000000001E-2</v>
      </c>
      <c r="O2985">
        <v>8.5570209999999997E-3</v>
      </c>
      <c r="P2985">
        <v>0.97834589999999999</v>
      </c>
      <c r="Q2985">
        <v>0.20690430000000001</v>
      </c>
      <c r="R2985">
        <v>5.4993669999999998E-3</v>
      </c>
      <c r="S2985">
        <v>3.19754</v>
      </c>
      <c r="T2985">
        <v>-0.61548669999999905</v>
      </c>
      <c r="U2985">
        <v>-0.41082760000000001</v>
      </c>
      <c r="V2985">
        <v>2.5623989999999999E-3</v>
      </c>
      <c r="W2985">
        <v>0.22158220000000001</v>
      </c>
      <c r="X2985">
        <v>0.97513839999999996</v>
      </c>
      <c r="Y2985">
        <v>0.1331871</v>
      </c>
      <c r="Z2985">
        <v>-1.516435E-2</v>
      </c>
      <c r="AA2985">
        <v>0.99097489999999999</v>
      </c>
      <c r="AB2985">
        <v>51</v>
      </c>
      <c r="AC2985">
        <v>0.26709999999996997</v>
      </c>
      <c r="AD2985">
        <v>-0.152320399999999</v>
      </c>
      <c r="AE2985">
        <v>-0.106200000000001</v>
      </c>
      <c r="AF2985">
        <v>8.4697329811194794E-2</v>
      </c>
      <c r="AG2985">
        <v>-0.152320399999999</v>
      </c>
      <c r="AH2985">
        <v>0.20782121529578501</v>
      </c>
      <c r="AI2985">
        <v>124.166157644188</v>
      </c>
      <c r="AJ2985">
        <v>67.826696408436703</v>
      </c>
      <c r="AK2985">
        <v>0.27122831611084303</v>
      </c>
      <c r="AL2985">
        <v>77.1980206663914</v>
      </c>
      <c r="AM2985">
        <v>89.849442591724696</v>
      </c>
      <c r="AN2985">
        <v>1.0000000682000101</v>
      </c>
    </row>
    <row r="2986" spans="1:40" x14ac:dyDescent="0.25">
      <c r="A2986" t="str">
        <f>"20190303170556484"</f>
        <v>20190303170556484</v>
      </c>
      <c r="B2986" t="str">
        <f>"1551603956478125"</f>
        <v>1551603956478125</v>
      </c>
      <c r="C2986" t="s">
        <v>40</v>
      </c>
      <c r="D2986">
        <v>5.6700339999999896</v>
      </c>
      <c r="E2986">
        <v>0.56205509999999903</v>
      </c>
      <c r="F2986" t="s">
        <v>42</v>
      </c>
      <c r="G2986">
        <v>-360.1728</v>
      </c>
      <c r="H2986">
        <v>0.97965659999999999</v>
      </c>
      <c r="I2986">
        <v>213.65799999999999</v>
      </c>
      <c r="J2986">
        <v>-360.39330000000001</v>
      </c>
      <c r="K2986">
        <v>1.1213879999999901</v>
      </c>
      <c r="L2986">
        <v>213.75659999999999</v>
      </c>
      <c r="M2986">
        <v>0.99984620000000002</v>
      </c>
      <c r="N2986">
        <v>-1.5026100000000001E-2</v>
      </c>
      <c r="O2986">
        <v>9.0442950000000008E-3</v>
      </c>
      <c r="P2986">
        <v>0.97837719999999995</v>
      </c>
      <c r="Q2986">
        <v>0.2067204</v>
      </c>
      <c r="R2986">
        <v>6.7019649999999998E-3</v>
      </c>
      <c r="S2986">
        <v>3.2004700000000001</v>
      </c>
      <c r="T2986">
        <v>-0.62315310000000002</v>
      </c>
      <c r="U2986">
        <v>-0.4121552</v>
      </c>
      <c r="V2986">
        <v>1.827647E-3</v>
      </c>
      <c r="W2986">
        <v>0.2214013</v>
      </c>
      <c r="X2986">
        <v>0.97518110000000002</v>
      </c>
      <c r="Y2986">
        <v>0.1338773</v>
      </c>
      <c r="Z2986">
        <v>-1.548416E-2</v>
      </c>
      <c r="AA2986">
        <v>0.99087689999999995</v>
      </c>
      <c r="AB2986">
        <v>51</v>
      </c>
      <c r="AC2986">
        <v>0.22050000000001499</v>
      </c>
      <c r="AD2986">
        <v>-0.14173139999999901</v>
      </c>
      <c r="AE2986">
        <v>-9.8600000000004601E-2</v>
      </c>
      <c r="AF2986">
        <v>7.4826847811737596E-2</v>
      </c>
      <c r="AG2986">
        <v>-0.14173139999999901</v>
      </c>
      <c r="AH2986">
        <v>0.16335455189304901</v>
      </c>
      <c r="AI2986">
        <v>128.266830505477</v>
      </c>
      <c r="AJ2986">
        <v>65.3891868017718</v>
      </c>
      <c r="AK2986">
        <v>0.22884832646008099</v>
      </c>
      <c r="AL2986">
        <v>77.208648930061997</v>
      </c>
      <c r="AM2986">
        <v>89.892618574196007</v>
      </c>
      <c r="AN2986">
        <v>1.0000000268662199</v>
      </c>
    </row>
    <row r="2987" spans="1:40" x14ac:dyDescent="0.25">
      <c r="A2987" t="str">
        <f>"20190303170556506"</f>
        <v>20190303170556506</v>
      </c>
      <c r="B2987" t="str">
        <f>"1551603956497644"</f>
        <v>1551603956497644</v>
      </c>
      <c r="C2987" t="s">
        <v>40</v>
      </c>
      <c r="D2987">
        <v>5.6830669999999897</v>
      </c>
      <c r="E2987">
        <v>0.56247230000000004</v>
      </c>
      <c r="F2987" t="s">
        <v>42</v>
      </c>
      <c r="G2987">
        <v>-359.29539999999997</v>
      </c>
      <c r="H2987">
        <v>0.90377490000000005</v>
      </c>
      <c r="I2987">
        <v>213.61420000000001</v>
      </c>
      <c r="J2987">
        <v>-359.89170000000001</v>
      </c>
      <c r="K2987">
        <v>1.121402</v>
      </c>
      <c r="L2987">
        <v>213.76140000000001</v>
      </c>
      <c r="M2987">
        <v>0.99984170000000006</v>
      </c>
      <c r="N2987">
        <v>-1.50286E-2</v>
      </c>
      <c r="O2987">
        <v>9.5243979999999999E-3</v>
      </c>
      <c r="P2987">
        <v>0.97833919999999996</v>
      </c>
      <c r="Q2987">
        <v>0.20686199999999999</v>
      </c>
      <c r="R2987">
        <v>7.7852160000000002E-3</v>
      </c>
      <c r="S2987">
        <v>3.2033079999999998</v>
      </c>
      <c r="T2987">
        <v>-0.63501260000000004</v>
      </c>
      <c r="U2987">
        <v>-0.41464230000000002</v>
      </c>
      <c r="V2987">
        <v>1.206775E-3</v>
      </c>
      <c r="W2987">
        <v>0.22154399999999999</v>
      </c>
      <c r="X2987">
        <v>0.97514959999999995</v>
      </c>
      <c r="Y2987">
        <v>0.1348713</v>
      </c>
      <c r="Z2987">
        <v>-1.5935370000000001E-2</v>
      </c>
      <c r="AA2987">
        <v>0.99073500000000003</v>
      </c>
      <c r="AB2987">
        <v>51</v>
      </c>
      <c r="AC2987">
        <v>0.59630000000004202</v>
      </c>
      <c r="AD2987">
        <v>-0.21762709999999999</v>
      </c>
      <c r="AE2987">
        <v>-0.147199999999998</v>
      </c>
      <c r="AF2987">
        <v>0.135821389392908</v>
      </c>
      <c r="AG2987">
        <v>-0.21762709999999999</v>
      </c>
      <c r="AH2987">
        <v>0.52851704983938796</v>
      </c>
      <c r="AI2987">
        <v>111.742645664826</v>
      </c>
      <c r="AJ2987">
        <v>75.587666516740995</v>
      </c>
      <c r="AK2987">
        <v>0.58748555424108995</v>
      </c>
      <c r="AL2987">
        <v>77.200263888103905</v>
      </c>
      <c r="AM2987">
        <v>89.929094900900395</v>
      </c>
      <c r="AN2987">
        <v>0.99999997131102902</v>
      </c>
    </row>
    <row r="2988" spans="1:40" x14ac:dyDescent="0.25">
      <c r="A2988" t="str">
        <f>"20190303170556527"</f>
        <v>20190303170556527</v>
      </c>
      <c r="B2988" t="str">
        <f>"1551603956517164"</f>
        <v>1551603956517164</v>
      </c>
      <c r="C2988" t="s">
        <v>40</v>
      </c>
      <c r="D2988">
        <v>5.6805729999999999</v>
      </c>
      <c r="E2988">
        <v>0.56291340000000001</v>
      </c>
      <c r="F2988" t="s">
        <v>42</v>
      </c>
      <c r="G2988">
        <v>-358.83800000000002</v>
      </c>
      <c r="H2988">
        <v>0.91082240000000003</v>
      </c>
      <c r="I2988">
        <v>213.62520000000001</v>
      </c>
      <c r="J2988">
        <v>-359.40210000000002</v>
      </c>
      <c r="K2988">
        <v>1.1214170000000001</v>
      </c>
      <c r="L2988">
        <v>213.7664</v>
      </c>
      <c r="M2988">
        <v>0.99983710000000003</v>
      </c>
      <c r="N2988">
        <v>-1.5030170000000001E-2</v>
      </c>
      <c r="O2988">
        <v>9.9908449999999999E-3</v>
      </c>
      <c r="P2988">
        <v>0.97829410000000006</v>
      </c>
      <c r="Q2988">
        <v>0.2070285</v>
      </c>
      <c r="R2988">
        <v>8.9283139999999997E-3</v>
      </c>
      <c r="S2988">
        <v>3.2051699999999999</v>
      </c>
      <c r="T2988">
        <v>-0.64055399999999996</v>
      </c>
      <c r="U2988">
        <v>-0.41426089999999999</v>
      </c>
      <c r="V2988">
        <v>5.1497390000000004E-4</v>
      </c>
      <c r="W2988">
        <v>0.22171099999999999</v>
      </c>
      <c r="X2988">
        <v>0.97511230000000004</v>
      </c>
      <c r="Y2988">
        <v>0.1350856</v>
      </c>
      <c r="Z2988">
        <v>-1.6163770000000001E-2</v>
      </c>
      <c r="AA2988">
        <v>0.99070210000000003</v>
      </c>
      <c r="AB2988">
        <v>51</v>
      </c>
      <c r="AC2988">
        <v>0.56409999999999605</v>
      </c>
      <c r="AD2988">
        <v>-0.21059459999999999</v>
      </c>
      <c r="AE2988">
        <v>-0.14119999999999699</v>
      </c>
      <c r="AF2988">
        <v>0.12980469192244701</v>
      </c>
      <c r="AG2988">
        <v>-0.21059459999999999</v>
      </c>
      <c r="AH2988">
        <v>0.497420969306544</v>
      </c>
      <c r="AI2988">
        <v>112.276676329897</v>
      </c>
      <c r="AJ2988">
        <v>75.374521073044505</v>
      </c>
      <c r="AK2988">
        <v>0.55554204548360098</v>
      </c>
      <c r="AL2988">
        <v>77.190452042884004</v>
      </c>
      <c r="AM2988">
        <v>89.969741097219</v>
      </c>
      <c r="AN2988">
        <v>1.0000000151652</v>
      </c>
    </row>
    <row r="2989" spans="1:40" x14ac:dyDescent="0.25">
      <c r="A2989" t="str">
        <f>"20190303170556549"</f>
        <v>20190303170556549</v>
      </c>
      <c r="B2989" t="str">
        <f>"1551603956537660"</f>
        <v>1551603956537660</v>
      </c>
      <c r="C2989" t="s">
        <v>40</v>
      </c>
      <c r="D2989">
        <v>5.6699599999999997</v>
      </c>
      <c r="E2989">
        <v>0.56325519999999996</v>
      </c>
      <c r="F2989" t="s">
        <v>42</v>
      </c>
      <c r="G2989">
        <v>-358.38130000000001</v>
      </c>
      <c r="H2989">
        <v>0.91663799999999995</v>
      </c>
      <c r="I2989">
        <v>213.6337</v>
      </c>
      <c r="J2989">
        <v>-358.92090000000002</v>
      </c>
      <c r="K2989">
        <v>1.1214299999999999</v>
      </c>
      <c r="L2989">
        <v>213.7715</v>
      </c>
      <c r="M2989">
        <v>0.99983250000000001</v>
      </c>
      <c r="N2989">
        <v>-1.50311E-2</v>
      </c>
      <c r="O2989">
        <v>1.0442069999999999E-2</v>
      </c>
      <c r="P2989">
        <v>0.9779177</v>
      </c>
      <c r="Q2989">
        <v>0.2087743</v>
      </c>
      <c r="R2989">
        <v>9.5029750000000003E-3</v>
      </c>
      <c r="S2989">
        <v>3.206512</v>
      </c>
      <c r="T2989">
        <v>-0.64332869999999998</v>
      </c>
      <c r="U2989">
        <v>-0.4158173</v>
      </c>
      <c r="V2989">
        <v>3.7376770000000002E-4</v>
      </c>
      <c r="W2989">
        <v>0.22345139999999999</v>
      </c>
      <c r="X2989">
        <v>0.974715</v>
      </c>
      <c r="Y2989">
        <v>0.13590529999999901</v>
      </c>
      <c r="Z2989">
        <v>-1.63921E-2</v>
      </c>
      <c r="AA2989">
        <v>0.99058619999999997</v>
      </c>
      <c r="AB2989">
        <v>51</v>
      </c>
      <c r="AC2989">
        <v>0.53960000000000696</v>
      </c>
      <c r="AD2989">
        <v>-0.204792</v>
      </c>
      <c r="AE2989">
        <v>-0.13779999999999801</v>
      </c>
      <c r="AF2989">
        <v>0.12634337583623101</v>
      </c>
      <c r="AG2989">
        <v>-0.204792</v>
      </c>
      <c r="AH2989">
        <v>0.47403233253307803</v>
      </c>
      <c r="AI2989">
        <v>112.658011047657</v>
      </c>
      <c r="AJ2989">
        <v>75.075945741556396</v>
      </c>
      <c r="AK2989">
        <v>0.531609879675355</v>
      </c>
      <c r="AL2989">
        <v>77.088168382406593</v>
      </c>
      <c r="AM2989">
        <v>89.978029156544594</v>
      </c>
      <c r="AN2989">
        <v>0.99999999954462604</v>
      </c>
    </row>
    <row r="2990" spans="1:40" x14ac:dyDescent="0.25">
      <c r="A2990" t="str">
        <f>"20190303170556571"</f>
        <v>20190303170556571</v>
      </c>
      <c r="B2990" t="str">
        <f>"1551603956558156"</f>
        <v>1551603956558156</v>
      </c>
      <c r="C2990" t="s">
        <v>40</v>
      </c>
      <c r="D2990">
        <v>5.6437410000000003</v>
      </c>
      <c r="E2990">
        <v>0.56351929999999995</v>
      </c>
      <c r="F2990" t="s">
        <v>42</v>
      </c>
      <c r="G2990">
        <v>-357.9248</v>
      </c>
      <c r="H2990">
        <v>0.92257979999999995</v>
      </c>
      <c r="I2990">
        <v>213.64160000000001</v>
      </c>
      <c r="J2990">
        <v>-358.41590000000002</v>
      </c>
      <c r="K2990">
        <v>1.1214299999999999</v>
      </c>
      <c r="L2990">
        <v>213.77709999999999</v>
      </c>
      <c r="M2990">
        <v>0.99982769999999999</v>
      </c>
      <c r="N2990">
        <v>-1.5031559999999999E-2</v>
      </c>
      <c r="O2990">
        <v>1.089938E-2</v>
      </c>
      <c r="P2990">
        <v>0.97771759999999996</v>
      </c>
      <c r="Q2990">
        <v>0.2096827</v>
      </c>
      <c r="R2990">
        <v>1.0091670000000001E-2</v>
      </c>
      <c r="S2990">
        <v>3.2085569999999999</v>
      </c>
      <c r="T2990">
        <v>-0.64057249999999999</v>
      </c>
      <c r="U2990">
        <v>-0.41780089999999998</v>
      </c>
      <c r="V2990">
        <v>2.310472E-4</v>
      </c>
      <c r="W2990">
        <v>0.22435720000000001</v>
      </c>
      <c r="X2990">
        <v>0.97450700000000001</v>
      </c>
      <c r="Y2990">
        <v>0.1368809</v>
      </c>
      <c r="Z2990">
        <v>-1.6503480000000001E-2</v>
      </c>
      <c r="AA2990">
        <v>0.99045000000000005</v>
      </c>
      <c r="AB2990">
        <v>51</v>
      </c>
      <c r="AC2990">
        <v>0.49110000000001702</v>
      </c>
      <c r="AD2990">
        <v>-0.19885019999999901</v>
      </c>
      <c r="AE2990">
        <v>-0.135499999999979</v>
      </c>
      <c r="AF2990">
        <v>0.122224127331704</v>
      </c>
      <c r="AG2990">
        <v>-0.19885019999999901</v>
      </c>
      <c r="AH2990">
        <v>0.42486472332545899</v>
      </c>
      <c r="AI2990">
        <v>114.217727022613</v>
      </c>
      <c r="AJ2990">
        <v>73.950650384544105</v>
      </c>
      <c r="AK2990">
        <v>0.484757849310824</v>
      </c>
      <c r="AL2990">
        <v>77.0349185567391</v>
      </c>
      <c r="AM2990">
        <v>89.986415665377194</v>
      </c>
      <c r="AN2990">
        <v>1.00000004981182</v>
      </c>
    </row>
    <row r="2991" spans="1:40" x14ac:dyDescent="0.25">
      <c r="A2991" t="str">
        <f>"20190303170556594"</f>
        <v>20190303170556594</v>
      </c>
      <c r="B2991" t="str">
        <f>"1551603956587437"</f>
        <v>1551603956587437</v>
      </c>
      <c r="C2991" t="s">
        <v>40</v>
      </c>
      <c r="D2991">
        <v>5.873068</v>
      </c>
      <c r="E2991">
        <v>0.56361510000000004</v>
      </c>
      <c r="F2991" t="s">
        <v>42</v>
      </c>
      <c r="G2991">
        <v>-357.46710000000002</v>
      </c>
      <c r="H2991">
        <v>0.93239470000000002</v>
      </c>
      <c r="I2991">
        <v>213.65289999999999</v>
      </c>
      <c r="J2991">
        <v>-357.8895</v>
      </c>
      <c r="K2991">
        <v>1.1214219999999999</v>
      </c>
      <c r="L2991">
        <v>213.78319999999999</v>
      </c>
      <c r="M2991">
        <v>0.99982269999999895</v>
      </c>
      <c r="N2991">
        <v>-1.5031630000000001E-2</v>
      </c>
      <c r="O2991">
        <v>1.1350280000000001E-2</v>
      </c>
      <c r="P2991">
        <v>0.97763849999999997</v>
      </c>
      <c r="Q2991">
        <v>0.21001249999999999</v>
      </c>
      <c r="R2991">
        <v>1.087085E-2</v>
      </c>
      <c r="S2991">
        <v>3.2099000000000002</v>
      </c>
      <c r="T2991">
        <v>-0.63961659999999998</v>
      </c>
      <c r="U2991">
        <v>-0.41856379999999999</v>
      </c>
      <c r="V2991">
        <v>-1.011216E-4</v>
      </c>
      <c r="W2991">
        <v>0.2246853</v>
      </c>
      <c r="X2991">
        <v>0.97443139999999995</v>
      </c>
      <c r="Y2991">
        <v>0.137496799999999</v>
      </c>
      <c r="Z2991">
        <v>-1.6621170000000001E-2</v>
      </c>
      <c r="AA2991">
        <v>0.99036279999999999</v>
      </c>
      <c r="AB2991">
        <v>51</v>
      </c>
      <c r="AC2991">
        <v>0.42239999999998101</v>
      </c>
      <c r="AD2991">
        <v>-0.18902729999999901</v>
      </c>
      <c r="AE2991">
        <v>-0.130300000000005</v>
      </c>
      <c r="AF2991">
        <v>0.114203041626652</v>
      </c>
      <c r="AG2991">
        <v>-0.18902729999999901</v>
      </c>
      <c r="AH2991">
        <v>0.35582635211950198</v>
      </c>
      <c r="AI2991">
        <v>116.831236693554</v>
      </c>
      <c r="AJ2991">
        <v>72.205883225475503</v>
      </c>
      <c r="AK2991">
        <v>0.41879117436347701</v>
      </c>
      <c r="AL2991">
        <v>77.015626946913699</v>
      </c>
      <c r="AM2991">
        <v>90.005945868407693</v>
      </c>
      <c r="AN2991">
        <v>1.00000002378381</v>
      </c>
    </row>
    <row r="2992" spans="1:40" x14ac:dyDescent="0.25">
      <c r="A2992" t="str">
        <f>"20190303170556617"</f>
        <v>20190303170556617</v>
      </c>
      <c r="B2992" t="str">
        <f>"1551603956607933"</f>
        <v>1551603956607933</v>
      </c>
      <c r="C2992" t="s">
        <v>40</v>
      </c>
      <c r="D2992">
        <v>5.6762489999999897</v>
      </c>
      <c r="E2992">
        <v>0.52118310000000001</v>
      </c>
      <c r="F2992" t="s">
        <v>42</v>
      </c>
      <c r="G2992">
        <v>-357.00799999999998</v>
      </c>
      <c r="H2992">
        <v>0.94544980000000001</v>
      </c>
      <c r="I2992">
        <v>213.66829999999999</v>
      </c>
      <c r="J2992">
        <v>-357.36630000000002</v>
      </c>
      <c r="K2992">
        <v>1.121405</v>
      </c>
      <c r="L2992">
        <v>213.7894</v>
      </c>
      <c r="M2992">
        <v>0.99981779999999998</v>
      </c>
      <c r="N2992">
        <v>-1.503113E-2</v>
      </c>
      <c r="O2992">
        <v>1.176606E-2</v>
      </c>
      <c r="P2992">
        <v>0.97751580000000005</v>
      </c>
      <c r="Q2992">
        <v>0.2105225</v>
      </c>
      <c r="R2992">
        <v>1.1971020000000001E-2</v>
      </c>
      <c r="S2992">
        <v>3.2109679999999998</v>
      </c>
      <c r="T2992">
        <v>-0.64100599999999996</v>
      </c>
      <c r="U2992">
        <v>-0.41809079999999899</v>
      </c>
      <c r="V2992">
        <v>-7.8545000000000004E-4</v>
      </c>
      <c r="W2992">
        <v>0.22519259999999999</v>
      </c>
      <c r="X2992">
        <v>0.97431400000000001</v>
      </c>
      <c r="Y2992">
        <v>0.13770070000000001</v>
      </c>
      <c r="Z2992">
        <v>-1.6747089999999999E-2</v>
      </c>
      <c r="AA2992">
        <v>0.99033230000000005</v>
      </c>
      <c r="AB2992">
        <v>51</v>
      </c>
      <c r="AC2992">
        <v>0.35829999999998502</v>
      </c>
      <c r="AD2992">
        <v>-0.17595519999999901</v>
      </c>
      <c r="AE2992">
        <v>-0.121100000000012</v>
      </c>
      <c r="AF2992">
        <v>0.103012099547306</v>
      </c>
      <c r="AG2992">
        <v>-0.17595519999999901</v>
      </c>
      <c r="AH2992">
        <v>0.293356547089692</v>
      </c>
      <c r="AI2992">
        <v>119.50651386779001</v>
      </c>
      <c r="AJ2992">
        <v>70.651284414542801</v>
      </c>
      <c r="AK2992">
        <v>0.35725311584445402</v>
      </c>
      <c r="AL2992">
        <v>76.985796636327706</v>
      </c>
      <c r="AM2992">
        <v>90.046189380702202</v>
      </c>
      <c r="AN2992">
        <v>1.00000004731123</v>
      </c>
    </row>
    <row r="2993" spans="1:40" x14ac:dyDescent="0.25">
      <c r="A2993" t="str">
        <f>"20190303170556638"</f>
        <v>20190303170556638</v>
      </c>
      <c r="B2993" t="str">
        <f>"1551603956627452"</f>
        <v>1551603956627452</v>
      </c>
      <c r="C2993" t="s">
        <v>40</v>
      </c>
      <c r="D2993">
        <v>5.7050929999999997</v>
      </c>
      <c r="E2993">
        <v>0.51235759999999997</v>
      </c>
      <c r="F2993" t="s">
        <v>42</v>
      </c>
      <c r="G2993">
        <v>-356.53120000000001</v>
      </c>
      <c r="H2993">
        <v>0.99746679999999999</v>
      </c>
      <c r="I2993">
        <v>213.76679999999999</v>
      </c>
      <c r="J2993">
        <v>-356.91079999999999</v>
      </c>
      <c r="K2993">
        <v>1.121378</v>
      </c>
      <c r="L2993">
        <v>213.79499999999999</v>
      </c>
      <c r="M2993">
        <v>0.99981399999999998</v>
      </c>
      <c r="N2993">
        <v>-1.503027E-2</v>
      </c>
      <c r="O2993">
        <v>1.209373E-2</v>
      </c>
      <c r="P2993">
        <v>0.97737739999999995</v>
      </c>
      <c r="Q2993">
        <v>0.2111188</v>
      </c>
      <c r="R2993">
        <v>1.2762880000000001E-2</v>
      </c>
      <c r="S2993">
        <v>3.171478</v>
      </c>
      <c r="T2993">
        <v>-0.47088790000000003</v>
      </c>
      <c r="U2993">
        <v>-8.4426879999999996E-2</v>
      </c>
      <c r="V2993">
        <v>-1.2447529999999999E-3</v>
      </c>
      <c r="W2993">
        <v>0.22578500000000001</v>
      </c>
      <c r="X2993">
        <v>0.9741763</v>
      </c>
      <c r="Y2993">
        <v>3.8132529999999998E-2</v>
      </c>
      <c r="Z2993">
        <v>-4.708027E-3</v>
      </c>
      <c r="AA2993">
        <v>0.99926159999999997</v>
      </c>
      <c r="AB2993">
        <v>51</v>
      </c>
      <c r="AC2993">
        <v>0.37959999999998201</v>
      </c>
      <c r="AD2993">
        <v>-0.1239112</v>
      </c>
      <c r="AE2993">
        <v>-2.8199999999998199E-2</v>
      </c>
      <c r="AF2993">
        <v>2.9647519602036002E-2</v>
      </c>
      <c r="AG2993">
        <v>-0.1239112</v>
      </c>
      <c r="AH2993">
        <v>0.34289494362700601</v>
      </c>
      <c r="AI2993">
        <v>109.80012433514</v>
      </c>
      <c r="AJ2993">
        <v>85.058359120690994</v>
      </c>
      <c r="AK2993">
        <v>0.365800359853515</v>
      </c>
      <c r="AL2993">
        <v>76.950955927612398</v>
      </c>
      <c r="AM2993">
        <v>90.073209597301201</v>
      </c>
      <c r="AN2993">
        <v>0.99999993955835798</v>
      </c>
    </row>
    <row r="2994" spans="1:40" x14ac:dyDescent="0.25">
      <c r="A2994" t="str">
        <f>"20190303170556662"</f>
        <v>20190303170556662</v>
      </c>
      <c r="B2994" t="str">
        <f>"1551603956647948"</f>
        <v>1551603956647948</v>
      </c>
      <c r="C2994" t="s">
        <v>40</v>
      </c>
      <c r="D2994">
        <v>5.6653469999999997</v>
      </c>
      <c r="E2994">
        <v>0.50622120000000004</v>
      </c>
      <c r="F2994" t="s">
        <v>42</v>
      </c>
      <c r="G2994">
        <v>-356.0616</v>
      </c>
      <c r="H2994">
        <v>1.031453</v>
      </c>
      <c r="I2994">
        <v>213.7901</v>
      </c>
      <c r="J2994">
        <v>-356.35849999999999</v>
      </c>
      <c r="K2994">
        <v>1.1213340000000001</v>
      </c>
      <c r="L2994">
        <v>213.80189999999999</v>
      </c>
      <c r="M2994">
        <v>0.99980970000000002</v>
      </c>
      <c r="N2994">
        <v>-1.502886E-2</v>
      </c>
      <c r="O2994">
        <v>1.24449E-2</v>
      </c>
      <c r="P2994">
        <v>0.97743979999999997</v>
      </c>
      <c r="Q2994">
        <v>0.21081130000000001</v>
      </c>
      <c r="R2994">
        <v>1.3063440000000001E-2</v>
      </c>
      <c r="S2994">
        <v>3.1415410000000001</v>
      </c>
      <c r="T2994">
        <v>-0.33276939999999999</v>
      </c>
      <c r="U2994">
        <v>-1.7807010000000002E-2</v>
      </c>
      <c r="V2994">
        <v>-1.1784129999999999E-3</v>
      </c>
      <c r="W2994">
        <v>0.22547739999999999</v>
      </c>
      <c r="X2994">
        <v>0.97424770000000005</v>
      </c>
      <c r="Y2994">
        <v>1.794782E-2</v>
      </c>
      <c r="Z2994">
        <v>-2.2111489999999999E-3</v>
      </c>
      <c r="AA2994">
        <v>0.99983650000000002</v>
      </c>
      <c r="AB2994">
        <v>51</v>
      </c>
      <c r="AC2994">
        <v>0.296899999999993</v>
      </c>
      <c r="AD2994">
        <v>-8.9880999999999794E-2</v>
      </c>
      <c r="AE2994">
        <v>-1.17999999999938E-2</v>
      </c>
      <c r="AF2994">
        <v>1.41954808879919E-2</v>
      </c>
      <c r="AG2994">
        <v>-8.9880999999999794E-2</v>
      </c>
      <c r="AH2994">
        <v>0.27185490616796099</v>
      </c>
      <c r="AI2994">
        <v>108.271745376372</v>
      </c>
      <c r="AJ2994">
        <v>87.010894026913704</v>
      </c>
      <c r="AK2994">
        <v>0.28667960486618499</v>
      </c>
      <c r="AL2994">
        <v>76.969047603007596</v>
      </c>
      <c r="AM2994">
        <v>90.069302764067203</v>
      </c>
      <c r="AN2994">
        <v>1.0000000137616201</v>
      </c>
    </row>
    <row r="2995" spans="1:40" x14ac:dyDescent="0.25">
      <c r="A2995" t="str">
        <f>"20190303170556686"</f>
        <v>20190303170556686</v>
      </c>
      <c r="B2995" t="str">
        <f>"1551603956677229"</f>
        <v>1551603956677229</v>
      </c>
      <c r="C2995" t="s">
        <v>40</v>
      </c>
      <c r="D2995">
        <v>5.7050380000000001</v>
      </c>
      <c r="E2995">
        <v>0.50152159999999901</v>
      </c>
      <c r="F2995" t="s">
        <v>60</v>
      </c>
      <c r="G2995">
        <v>-343.28539999999998</v>
      </c>
      <c r="H2995" s="1">
        <v>2.1152160000000001E-7</v>
      </c>
      <c r="I2995">
        <v>213.92269999999999</v>
      </c>
      <c r="J2995">
        <v>-355.84120000000001</v>
      </c>
      <c r="K2995">
        <v>1.1212899999999999</v>
      </c>
      <c r="L2995">
        <v>213.80850000000001</v>
      </c>
      <c r="M2995">
        <v>0.99980650000000004</v>
      </c>
      <c r="N2995">
        <v>-1.5027199999999999E-2</v>
      </c>
      <c r="O2995">
        <v>1.2717010000000001E-2</v>
      </c>
      <c r="P2995">
        <v>0.97776260000000004</v>
      </c>
      <c r="Q2995">
        <v>0.2092704</v>
      </c>
      <c r="R2995">
        <v>1.365737E-2</v>
      </c>
      <c r="S2995">
        <v>3.126709</v>
      </c>
      <c r="T2995">
        <v>-0.2681904</v>
      </c>
      <c r="U2995">
        <v>2.8900149999999999E-2</v>
      </c>
      <c r="V2995">
        <v>-1.475802E-3</v>
      </c>
      <c r="W2995">
        <v>0.22393940000000001</v>
      </c>
      <c r="X2995">
        <v>0.97460190000000002</v>
      </c>
      <c r="Y2995">
        <v>3.4294880000000001E-3</v>
      </c>
      <c r="Z2995">
        <v>-1.070536E-3</v>
      </c>
      <c r="AA2995">
        <v>0.99999360000000004</v>
      </c>
      <c r="AB2995">
        <v>51</v>
      </c>
      <c r="AC2995">
        <v>12.5558</v>
      </c>
      <c r="AD2995">
        <v>-1.1212897884784001</v>
      </c>
      <c r="AE2995">
        <v>0.114199999999982</v>
      </c>
      <c r="AF2995">
        <v>4.5139485203367101E-2</v>
      </c>
      <c r="AG2995">
        <v>-1.1212897884784001</v>
      </c>
      <c r="AH2995">
        <v>12.4568976385236</v>
      </c>
      <c r="AI2995">
        <v>95.143502047077106</v>
      </c>
      <c r="AJ2995">
        <v>89.792380836179603</v>
      </c>
      <c r="AK2995">
        <v>12.5073429288369</v>
      </c>
      <c r="AL2995">
        <v>77.0594804033786</v>
      </c>
      <c r="AM2995">
        <v>90.086760718779104</v>
      </c>
      <c r="AN2995">
        <v>0.99999994817375504</v>
      </c>
    </row>
    <row r="2996" spans="1:40" x14ac:dyDescent="0.25">
      <c r="A2996" t="str">
        <f>"20190303170556707"</f>
        <v>20190303170556707</v>
      </c>
      <c r="B2996" t="str">
        <f>"1551603956697724"</f>
        <v>1551603956697724</v>
      </c>
      <c r="C2996" t="s">
        <v>40</v>
      </c>
      <c r="D2996">
        <v>5.663449</v>
      </c>
      <c r="E2996">
        <v>0.49977450000000001</v>
      </c>
      <c r="F2996" t="s">
        <v>42</v>
      </c>
      <c r="G2996">
        <v>-354.68970000000002</v>
      </c>
      <c r="H2996">
        <v>1.036673</v>
      </c>
      <c r="I2996">
        <v>213.83260000000001</v>
      </c>
      <c r="J2996">
        <v>-355.34219999999999</v>
      </c>
      <c r="K2996">
        <v>1.1212489999999999</v>
      </c>
      <c r="L2996">
        <v>213.815</v>
      </c>
      <c r="M2996">
        <v>0.99980369999999996</v>
      </c>
      <c r="N2996">
        <v>-1.502539E-2</v>
      </c>
      <c r="O2996">
        <v>1.2926409999999999E-2</v>
      </c>
      <c r="P2996">
        <v>0.97784380000000004</v>
      </c>
      <c r="Q2996">
        <v>0.2088671</v>
      </c>
      <c r="R2996">
        <v>1.401851E-2</v>
      </c>
      <c r="S2996">
        <v>3.116333</v>
      </c>
      <c r="T2996">
        <v>-0.229074</v>
      </c>
      <c r="U2996">
        <v>6.5841670000000005E-2</v>
      </c>
      <c r="V2996">
        <v>-1.6046840000000001E-3</v>
      </c>
      <c r="W2996">
        <v>0.22353609999999999</v>
      </c>
      <c r="X2996">
        <v>0.97469430000000001</v>
      </c>
      <c r="Y2996">
        <v>-8.1919049999999993E-3</v>
      </c>
      <c r="Z2996">
        <v>-3.9243699999999998E-4</v>
      </c>
      <c r="AA2996">
        <v>0.99996640000000003</v>
      </c>
      <c r="AB2996">
        <v>51</v>
      </c>
      <c r="AC2996">
        <v>0.65249999999997499</v>
      </c>
      <c r="AD2996">
        <v>-8.4575999999999901E-2</v>
      </c>
      <c r="AE2996">
        <v>1.7600000000015801E-2</v>
      </c>
      <c r="AF2996">
        <v>-9.0117991464754403E-3</v>
      </c>
      <c r="AG2996">
        <v>-8.4575999999999901E-2</v>
      </c>
      <c r="AH2996">
        <v>0.641896388148258</v>
      </c>
      <c r="AI2996">
        <v>97.505299700013197</v>
      </c>
      <c r="AJ2996">
        <v>90.804341863480204</v>
      </c>
      <c r="AK2996">
        <v>0.64750697711888505</v>
      </c>
      <c r="AL2996">
        <v>77.083189112027696</v>
      </c>
      <c r="AM2996">
        <v>90.094328588547597</v>
      </c>
      <c r="AN2996">
        <v>0.999999970733219</v>
      </c>
    </row>
    <row r="2997" spans="1:40" x14ac:dyDescent="0.25">
      <c r="A2997" t="str">
        <f>"20190303170556728"</f>
        <v>20190303170556728</v>
      </c>
      <c r="B2997" t="str">
        <f>"1551603956717251"</f>
        <v>1551603956717251</v>
      </c>
      <c r="C2997" t="s">
        <v>40</v>
      </c>
      <c r="D2997">
        <v>5.6740599999999999</v>
      </c>
      <c r="E2997">
        <v>0.49869249999999998</v>
      </c>
      <c r="F2997" t="s">
        <v>60</v>
      </c>
      <c r="G2997">
        <v>-338.9776</v>
      </c>
      <c r="H2997" s="1">
        <v>3.2573000000000001E-6</v>
      </c>
      <c r="I2997">
        <v>214.2353</v>
      </c>
      <c r="J2997">
        <v>-354.85250000000002</v>
      </c>
      <c r="K2997">
        <v>1.1212009999999999</v>
      </c>
      <c r="L2997">
        <v>213.82140000000001</v>
      </c>
      <c r="M2997">
        <v>0.99980159999999996</v>
      </c>
      <c r="N2997">
        <v>-1.5023460000000001E-2</v>
      </c>
      <c r="O2997">
        <v>1.3088829999999999E-2</v>
      </c>
      <c r="P2997">
        <v>0.97775389999999995</v>
      </c>
      <c r="Q2997">
        <v>0.20931430000000001</v>
      </c>
      <c r="R2997">
        <v>1.3601739999999999E-2</v>
      </c>
      <c r="S2997">
        <v>3.1123349999999999</v>
      </c>
      <c r="T2997">
        <v>-0.21324660000000001</v>
      </c>
      <c r="U2997">
        <v>7.9940800000000006E-2</v>
      </c>
      <c r="V2997">
        <v>-1.0036299999999999E-3</v>
      </c>
      <c r="W2997">
        <v>0.22398029999999999</v>
      </c>
      <c r="X2997">
        <v>0.97459320000000005</v>
      </c>
      <c r="Y2997">
        <v>-1.2571239999999999E-2</v>
      </c>
      <c r="Z2997">
        <v>-1.7441509999999901E-4</v>
      </c>
      <c r="AA2997">
        <v>0.99992099999999995</v>
      </c>
      <c r="AB2997">
        <v>51</v>
      </c>
      <c r="AC2997">
        <v>15.8749</v>
      </c>
      <c r="AD2997">
        <v>-1.1211977426999999</v>
      </c>
      <c r="AE2997">
        <v>0.413899999999984</v>
      </c>
      <c r="AF2997">
        <v>-0.20503518490320299</v>
      </c>
      <c r="AG2997">
        <v>-1.1211977426999999</v>
      </c>
      <c r="AH2997">
        <v>15.800197144002601</v>
      </c>
      <c r="AI2997">
        <v>94.0586212756008</v>
      </c>
      <c r="AJ2997">
        <v>90.743471191343602</v>
      </c>
      <c r="AK2997">
        <v>15.841254798614701</v>
      </c>
      <c r="AL2997">
        <v>77.057077187114203</v>
      </c>
      <c r="AM2997">
        <v>90.059002815601005</v>
      </c>
      <c r="AN2997">
        <v>1.00000004377375</v>
      </c>
    </row>
    <row r="2998" spans="1:40" x14ac:dyDescent="0.25">
      <c r="A2998" t="str">
        <f>"20190303170556751"</f>
        <v>20190303170556751</v>
      </c>
      <c r="B2998" t="str">
        <f>"1551603956737741"</f>
        <v>1551603956737741</v>
      </c>
      <c r="C2998" t="s">
        <v>40</v>
      </c>
      <c r="D2998">
        <v>5.6214190000000004</v>
      </c>
      <c r="E2998">
        <v>0.49775069999999999</v>
      </c>
      <c r="F2998" t="s">
        <v>60</v>
      </c>
      <c r="G2998">
        <v>-337.41109999999998</v>
      </c>
      <c r="H2998" s="1">
        <v>2.4205080000000002E-6</v>
      </c>
      <c r="I2998">
        <v>214.30850000000001</v>
      </c>
      <c r="J2998">
        <v>-354.3578</v>
      </c>
      <c r="K2998">
        <v>1.1211519999999999</v>
      </c>
      <c r="L2998">
        <v>213.828</v>
      </c>
      <c r="M2998">
        <v>0.99979989999999996</v>
      </c>
      <c r="N2998">
        <v>-1.5021390000000001E-2</v>
      </c>
      <c r="O2998">
        <v>1.3211240000000001E-2</v>
      </c>
      <c r="P2998">
        <v>0.97780630000000002</v>
      </c>
      <c r="Q2998">
        <v>0.2091113</v>
      </c>
      <c r="R2998">
        <v>1.293538E-2</v>
      </c>
      <c r="S2998">
        <v>3.1098629999999998</v>
      </c>
      <c r="T2998">
        <v>-0.19991429999999999</v>
      </c>
      <c r="U2998">
        <v>8.6853029999999998E-2</v>
      </c>
      <c r="V2998">
        <v>-1.89445E-4</v>
      </c>
      <c r="W2998">
        <v>0.2237768</v>
      </c>
      <c r="X2998">
        <v>0.97464039999999996</v>
      </c>
      <c r="Y2998">
        <v>-1.468596E-2</v>
      </c>
      <c r="Z2998" s="1">
        <v>-6.7964950000000001E-5</v>
      </c>
      <c r="AA2998">
        <v>0.99989220000000001</v>
      </c>
      <c r="AB2998">
        <v>50</v>
      </c>
      <c r="AC2998">
        <v>16.9467</v>
      </c>
      <c r="AD2998">
        <v>-1.1211495794919999</v>
      </c>
      <c r="AE2998">
        <v>0.48050000000000598</v>
      </c>
      <c r="AF2998">
        <v>-0.255428810889271</v>
      </c>
      <c r="AG2998">
        <v>-1.1211495794919999</v>
      </c>
      <c r="AH2998">
        <v>16.877758151315799</v>
      </c>
      <c r="AI2998">
        <v>93.800005908951306</v>
      </c>
      <c r="AJ2998">
        <v>90.867050915305796</v>
      </c>
      <c r="AK2998">
        <v>16.916883296616302</v>
      </c>
      <c r="AL2998">
        <v>77.069039976484106</v>
      </c>
      <c r="AM2998">
        <v>90.0111368242206</v>
      </c>
      <c r="AN2998">
        <v>1.0000000007098999</v>
      </c>
    </row>
    <row r="2999" spans="1:40" x14ac:dyDescent="0.25">
      <c r="A2999" t="str">
        <f>"20190303170556772"</f>
        <v>20190303170556772</v>
      </c>
      <c r="B2999" t="str">
        <f>"1551603956767998"</f>
        <v>1551603956767998</v>
      </c>
      <c r="C2999" t="s">
        <v>40</v>
      </c>
      <c r="D2999">
        <v>6.2151930000000002</v>
      </c>
      <c r="E2999">
        <v>0.49692829999999899</v>
      </c>
      <c r="F2999" t="s">
        <v>60</v>
      </c>
      <c r="G2999">
        <v>-336.57339999999999</v>
      </c>
      <c r="H2999" s="1">
        <v>1.9726430000000001E-6</v>
      </c>
      <c r="I2999">
        <v>214.35509999999999</v>
      </c>
      <c r="J2999">
        <v>-353.85980000000001</v>
      </c>
      <c r="K2999">
        <v>1.1211040000000001</v>
      </c>
      <c r="L2999">
        <v>213.83459999999999</v>
      </c>
      <c r="M2999">
        <v>0.99979870000000004</v>
      </c>
      <c r="N2999">
        <v>-1.501917E-2</v>
      </c>
      <c r="O2999">
        <v>1.3298310000000001E-2</v>
      </c>
      <c r="P2999">
        <v>0.97803910000000005</v>
      </c>
      <c r="Q2999">
        <v>0.20802319999999999</v>
      </c>
      <c r="R2999">
        <v>1.2874760000000001E-2</v>
      </c>
      <c r="S2999">
        <v>3.1088260000000001</v>
      </c>
      <c r="T2999">
        <v>-0.19598380000000001</v>
      </c>
      <c r="U2999">
        <v>9.214783E-2</v>
      </c>
      <c r="V2999" s="1">
        <v>-1.3086479999999999E-5</v>
      </c>
      <c r="W2999">
        <v>0.22269050000000001</v>
      </c>
      <c r="X2999">
        <v>0.97488920000000001</v>
      </c>
      <c r="Y2999">
        <v>-1.6306350000000001E-2</v>
      </c>
      <c r="Z2999" s="1">
        <v>-1.7044660000000001E-6</v>
      </c>
      <c r="AA2999">
        <v>0.99986699999999995</v>
      </c>
      <c r="AB2999">
        <v>50</v>
      </c>
      <c r="AC2999">
        <v>17.2864</v>
      </c>
      <c r="AD2999">
        <v>-1.121102027357</v>
      </c>
      <c r="AE2999">
        <v>0.52049999999999796</v>
      </c>
      <c r="AF2999">
        <v>-0.28933224725748802</v>
      </c>
      <c r="AG2999">
        <v>-1.121102027357</v>
      </c>
      <c r="AH2999">
        <v>17.2194323217138</v>
      </c>
      <c r="AI2999">
        <v>93.724562755136901</v>
      </c>
      <c r="AJ2999">
        <v>90.962630851757993</v>
      </c>
      <c r="AK2999">
        <v>17.2583148768102</v>
      </c>
      <c r="AL2999">
        <v>77.132891749796798</v>
      </c>
      <c r="AM2999">
        <v>90.000769113118295</v>
      </c>
      <c r="AN2999">
        <v>1.0000000056190701</v>
      </c>
    </row>
    <row r="3000" spans="1:40" x14ac:dyDescent="0.25">
      <c r="A3000" t="str">
        <f>"20190303170556796"</f>
        <v>20190303170556796</v>
      </c>
      <c r="B3000" t="str">
        <f>"1551603956787517"</f>
        <v>1551603956787517</v>
      </c>
      <c r="C3000" t="s">
        <v>40</v>
      </c>
      <c r="D3000">
        <v>5.5698309999999998</v>
      </c>
      <c r="E3000">
        <v>0.4963128</v>
      </c>
      <c r="F3000" t="s">
        <v>60</v>
      </c>
      <c r="G3000">
        <v>-335.92759999999998</v>
      </c>
      <c r="H3000" s="1">
        <v>1.627122E-6</v>
      </c>
      <c r="I3000">
        <v>214.39830000000001</v>
      </c>
      <c r="J3000">
        <v>-353.31599999999997</v>
      </c>
      <c r="K3000">
        <v>1.1210519999999999</v>
      </c>
      <c r="L3000">
        <v>213.84190000000001</v>
      </c>
      <c r="M3000">
        <v>0.99979790000000002</v>
      </c>
      <c r="N3000">
        <v>-1.501657E-2</v>
      </c>
      <c r="O3000">
        <v>1.3362799999999999E-2</v>
      </c>
      <c r="P3000">
        <v>0.97826869999999999</v>
      </c>
      <c r="Q3000">
        <v>0.20697450000000001</v>
      </c>
      <c r="R3000">
        <v>1.232045E-2</v>
      </c>
      <c r="S3000">
        <v>3.1073909999999998</v>
      </c>
      <c r="T3000">
        <v>-0.19427059999999999</v>
      </c>
      <c r="U3000">
        <v>9.7671510000000003E-2</v>
      </c>
      <c r="V3000">
        <v>6.3437970000000004E-4</v>
      </c>
      <c r="W3000">
        <v>0.22164310000000001</v>
      </c>
      <c r="X3000">
        <v>0.97512759999999998</v>
      </c>
      <c r="Y3000">
        <v>-1.8027370000000001E-2</v>
      </c>
      <c r="Z3000" s="1">
        <v>6.4544060000000002E-5</v>
      </c>
      <c r="AA3000">
        <v>0.99983750000000005</v>
      </c>
      <c r="AB3000">
        <v>50</v>
      </c>
      <c r="AC3000">
        <v>17.388399999999901</v>
      </c>
      <c r="AD3000">
        <v>-1.1210503728779999</v>
      </c>
      <c r="AE3000">
        <v>0.55639999999999601</v>
      </c>
      <c r="AF3000">
        <v>-0.32262674826153098</v>
      </c>
      <c r="AG3000">
        <v>-1.1210503728779999</v>
      </c>
      <c r="AH3000">
        <v>17.322355745664701</v>
      </c>
      <c r="AI3000">
        <v>93.702205185580993</v>
      </c>
      <c r="AJ3000">
        <v>91.067003491665304</v>
      </c>
      <c r="AK3000">
        <v>17.36159124437</v>
      </c>
      <c r="AL3000">
        <v>77.194440855673903</v>
      </c>
      <c r="AM3000">
        <v>89.9627256224815</v>
      </c>
      <c r="AN3000">
        <v>0.99999995124848495</v>
      </c>
    </row>
    <row r="3001" spans="1:40" x14ac:dyDescent="0.25">
      <c r="A3001" t="str">
        <f>"20190303170556829"</f>
        <v>20190303170556829</v>
      </c>
      <c r="B3001" t="str">
        <f>"1551603956817773"</f>
        <v>1551603956817773</v>
      </c>
      <c r="C3001" t="s">
        <v>40</v>
      </c>
      <c r="D3001">
        <v>5.7576019999999897</v>
      </c>
      <c r="E3001">
        <v>0.49571379999999998</v>
      </c>
      <c r="F3001" t="s">
        <v>60</v>
      </c>
      <c r="G3001">
        <v>-335.39190000000002</v>
      </c>
      <c r="H3001" s="1">
        <v>1.3410040000000001E-6</v>
      </c>
      <c r="I3001">
        <v>214.4222</v>
      </c>
      <c r="J3001">
        <v>-352.60230000000001</v>
      </c>
      <c r="K3001">
        <v>1.1210020000000001</v>
      </c>
      <c r="L3001">
        <v>213.85149999999999</v>
      </c>
      <c r="M3001">
        <v>0.99979750000000001</v>
      </c>
      <c r="N3001">
        <v>-1.501303E-2</v>
      </c>
      <c r="O3001">
        <v>1.341294E-2</v>
      </c>
      <c r="P3001">
        <v>0.97817900000000002</v>
      </c>
      <c r="Q3001">
        <v>0.207451</v>
      </c>
      <c r="R3001">
        <v>1.140122E-2</v>
      </c>
      <c r="S3001">
        <v>3.1064759999999998</v>
      </c>
      <c r="T3001">
        <v>-0.1942921</v>
      </c>
      <c r="U3001">
        <v>0.1005707</v>
      </c>
      <c r="V3001">
        <v>1.6305229999999901E-3</v>
      </c>
      <c r="W3001">
        <v>0.22211500000000001</v>
      </c>
      <c r="X3001">
        <v>0.97501910000000003</v>
      </c>
      <c r="Y3001">
        <v>-1.8916539999999999E-2</v>
      </c>
      <c r="Z3001" s="1">
        <v>9.6436559999999995E-5</v>
      </c>
      <c r="AA3001">
        <v>0.99982110000000002</v>
      </c>
      <c r="AB3001">
        <v>50</v>
      </c>
      <c r="AC3001">
        <v>17.2103999999999</v>
      </c>
      <c r="AD3001">
        <v>-1.121000658996</v>
      </c>
      <c r="AE3001">
        <v>0.57070000000001597</v>
      </c>
      <c r="AF3001">
        <v>-0.33834672141767602</v>
      </c>
      <c r="AG3001">
        <v>-1.121000658996</v>
      </c>
      <c r="AH3001">
        <v>17.143852835122001</v>
      </c>
      <c r="AI3001">
        <v>93.740399053997606</v>
      </c>
      <c r="AJ3001">
        <v>91.130628161466802</v>
      </c>
      <c r="AK3001">
        <v>17.183795011978098</v>
      </c>
      <c r="AL3001">
        <v>77.166712294275797</v>
      </c>
      <c r="AM3001">
        <v>89.904184441913301</v>
      </c>
      <c r="AN3001">
        <v>0.99999998859753103</v>
      </c>
    </row>
    <row r="3002" spans="1:40" x14ac:dyDescent="0.25">
      <c r="A3002" t="str">
        <f>"20190303170556852"</f>
        <v>20190303170556852</v>
      </c>
      <c r="B3002" t="str">
        <f>"1551603956837294"</f>
        <v>1551603956837294</v>
      </c>
      <c r="C3002" t="s">
        <v>40</v>
      </c>
      <c r="D3002">
        <v>5.6970340000000004</v>
      </c>
      <c r="E3002">
        <v>0.49541679999999999</v>
      </c>
      <c r="F3002" t="s">
        <v>60</v>
      </c>
      <c r="G3002">
        <v>-334.12520000000001</v>
      </c>
      <c r="H3002" s="1">
        <v>6.6499259999999898E-7</v>
      </c>
      <c r="I3002">
        <v>214.46559999999999</v>
      </c>
      <c r="J3002">
        <v>-352.0779</v>
      </c>
      <c r="K3002">
        <v>1.1209629999999999</v>
      </c>
      <c r="L3002">
        <v>213.85849999999999</v>
      </c>
      <c r="M3002">
        <v>0.99979720000000005</v>
      </c>
      <c r="N3002">
        <v>-1.501036E-2</v>
      </c>
      <c r="O3002">
        <v>1.3432090000000001E-2</v>
      </c>
      <c r="P3002">
        <v>0.9782459</v>
      </c>
      <c r="Q3002">
        <v>0.20717679999999999</v>
      </c>
      <c r="R3002">
        <v>1.0626160000000001E-2</v>
      </c>
      <c r="S3002">
        <v>3.1056819999999998</v>
      </c>
      <c r="T3002">
        <v>-0.1884208</v>
      </c>
      <c r="U3002">
        <v>0.1032257</v>
      </c>
      <c r="V3002">
        <v>2.4432059999999999E-3</v>
      </c>
      <c r="W3002">
        <v>0.22183929999999999</v>
      </c>
      <c r="X3002">
        <v>0.97508019999999995</v>
      </c>
      <c r="Y3002">
        <v>-1.9758830000000002E-2</v>
      </c>
      <c r="Z3002">
        <v>1.347469E-4</v>
      </c>
      <c r="AA3002">
        <v>0.99980480000000005</v>
      </c>
      <c r="AB3002">
        <v>50</v>
      </c>
      <c r="AC3002">
        <v>17.952699999999901</v>
      </c>
      <c r="AD3002">
        <v>-1.1209623350073901</v>
      </c>
      <c r="AE3002">
        <v>0.60710000000000197</v>
      </c>
      <c r="AF3002">
        <v>-0.36445649430183502</v>
      </c>
      <c r="AG3002">
        <v>-1.1209623350073901</v>
      </c>
      <c r="AH3002">
        <v>17.8895687569496</v>
      </c>
      <c r="AI3002">
        <v>93.584730291694299</v>
      </c>
      <c r="AJ3002">
        <v>91.167100839669104</v>
      </c>
      <c r="AK3002">
        <v>17.928358971260302</v>
      </c>
      <c r="AL3002">
        <v>77.182913330175595</v>
      </c>
      <c r="AM3002">
        <v>89.856437348100002</v>
      </c>
      <c r="AN3002">
        <v>1.00000002035604</v>
      </c>
    </row>
    <row r="3003" spans="1:40" x14ac:dyDescent="0.25">
      <c r="A3003" t="str">
        <f>"20190303170556877"</f>
        <v>20190303170556877</v>
      </c>
      <c r="B3003" t="str">
        <f>"1551603956867548"</f>
        <v>1551603956867548</v>
      </c>
      <c r="C3003" t="s">
        <v>40</v>
      </c>
      <c r="D3003">
        <v>5.6228740000000004</v>
      </c>
      <c r="E3003">
        <v>0.49506339999999999</v>
      </c>
      <c r="F3003" t="s">
        <v>60</v>
      </c>
      <c r="G3003">
        <v>-333.3734</v>
      </c>
      <c r="H3003" s="1">
        <v>2.6408200000000002E-7</v>
      </c>
      <c r="I3003">
        <v>214.48570000000001</v>
      </c>
      <c r="J3003">
        <v>-351.52699999999999</v>
      </c>
      <c r="K3003">
        <v>1.1209340000000001</v>
      </c>
      <c r="L3003">
        <v>213.86600000000001</v>
      </c>
      <c r="M3003">
        <v>0.99979700000000005</v>
      </c>
      <c r="N3003">
        <v>-1.5007339999999999E-2</v>
      </c>
      <c r="O3003">
        <v>1.344266E-2</v>
      </c>
      <c r="P3003">
        <v>0.97842209999999996</v>
      </c>
      <c r="Q3003">
        <v>0.20639289999999999</v>
      </c>
      <c r="R3003">
        <v>9.6004920000000004E-3</v>
      </c>
      <c r="S3003">
        <v>3.1049500000000001</v>
      </c>
      <c r="T3003">
        <v>-0.1860802</v>
      </c>
      <c r="U3003">
        <v>0.1041107</v>
      </c>
      <c r="V3003">
        <v>3.4982910000000002E-3</v>
      </c>
      <c r="W3003">
        <v>0.2210548</v>
      </c>
      <c r="X3003">
        <v>0.97525510000000004</v>
      </c>
      <c r="Y3003">
        <v>-2.0040680000000002E-2</v>
      </c>
      <c r="Z3003">
        <v>1.473763E-4</v>
      </c>
      <c r="AA3003">
        <v>0.99979910000000005</v>
      </c>
      <c r="AB3003">
        <v>50</v>
      </c>
      <c r="AC3003">
        <v>18.153599999999901</v>
      </c>
      <c r="AD3003">
        <v>-1.1209337359180001</v>
      </c>
      <c r="AE3003">
        <v>0.61970000000002201</v>
      </c>
      <c r="AF3003">
        <v>-0.37415893055282501</v>
      </c>
      <c r="AG3003">
        <v>-1.1209337359180001</v>
      </c>
      <c r="AH3003">
        <v>18.0913936426406</v>
      </c>
      <c r="AI3003">
        <v>93.544729493505699</v>
      </c>
      <c r="AJ3003">
        <v>91.184799374022106</v>
      </c>
      <c r="AK3003">
        <v>18.129947911635298</v>
      </c>
      <c r="AL3003">
        <v>77.229005804752603</v>
      </c>
      <c r="AM3003">
        <v>89.794477926705099</v>
      </c>
      <c r="AN3003">
        <v>0.99999998635948495</v>
      </c>
    </row>
    <row r="3004" spans="1:40" x14ac:dyDescent="0.25">
      <c r="A3004" t="str">
        <f>"20190303170556897"</f>
        <v>20190303170556897</v>
      </c>
      <c r="B3004" t="str">
        <f>"1551603956888045"</f>
        <v>1551603956888045</v>
      </c>
      <c r="C3004" t="s">
        <v>40</v>
      </c>
      <c r="D3004">
        <v>5.5971760000000002</v>
      </c>
      <c r="E3004">
        <v>0.49489149999999998</v>
      </c>
      <c r="F3004" t="s">
        <v>60</v>
      </c>
      <c r="G3004">
        <v>-332.82729999999998</v>
      </c>
      <c r="H3004" s="1">
        <v>-2.6745060000000002E-8</v>
      </c>
      <c r="I3004">
        <v>214.49109999999999</v>
      </c>
      <c r="J3004">
        <v>-351.04640000000001</v>
      </c>
      <c r="K3004">
        <v>1.1209070000000001</v>
      </c>
      <c r="L3004">
        <v>213.8725</v>
      </c>
      <c r="M3004">
        <v>0.99979700000000005</v>
      </c>
      <c r="N3004">
        <v>-1.5004719999999999E-2</v>
      </c>
      <c r="O3004">
        <v>1.3446609999999999E-2</v>
      </c>
      <c r="P3004">
        <v>0.9785334</v>
      </c>
      <c r="Q3004">
        <v>0.2059066</v>
      </c>
      <c r="R3004">
        <v>8.6577670000000002E-3</v>
      </c>
      <c r="S3004">
        <v>3.1044010000000002</v>
      </c>
      <c r="T3004">
        <v>-0.1860907</v>
      </c>
      <c r="U3004">
        <v>0.10377500000000001</v>
      </c>
      <c r="V3004">
        <v>4.4586620000000004E-3</v>
      </c>
      <c r="W3004">
        <v>0.2205675</v>
      </c>
      <c r="X3004">
        <v>0.97536149999999999</v>
      </c>
      <c r="Y3004">
        <v>-1.993489E-2</v>
      </c>
      <c r="Z3004">
        <v>1.4312729999999999E-4</v>
      </c>
      <c r="AA3004">
        <v>0.9998013</v>
      </c>
      <c r="AB3004">
        <v>50</v>
      </c>
      <c r="AC3004">
        <v>18.219100000000001</v>
      </c>
      <c r="AD3004">
        <v>-1.1209070267450501</v>
      </c>
      <c r="AE3004">
        <v>0.61859999999998605</v>
      </c>
      <c r="AF3004">
        <v>-0.37212441207654301</v>
      </c>
      <c r="AG3004">
        <v>-1.1209070267450501</v>
      </c>
      <c r="AH3004">
        <v>18.157122805287301</v>
      </c>
      <c r="AI3004">
        <v>93.531859647436406</v>
      </c>
      <c r="AJ3004">
        <v>91.174094269103307</v>
      </c>
      <c r="AK3004">
        <v>18.1954944342536</v>
      </c>
      <c r="AL3004">
        <v>77.257632547941199</v>
      </c>
      <c r="AM3004">
        <v>89.738086098891699</v>
      </c>
      <c r="AN3004">
        <v>0.99999997870266399</v>
      </c>
    </row>
    <row r="3005" spans="1:40" x14ac:dyDescent="0.25">
      <c r="A3005" t="str">
        <f>"20190303170556918"</f>
        <v>20190303170556918</v>
      </c>
      <c r="B3005" t="str">
        <f>"1551603956907565"</f>
        <v>1551603956907565</v>
      </c>
      <c r="C3005" t="s">
        <v>40</v>
      </c>
      <c r="D3005">
        <v>5.6986059999999998</v>
      </c>
      <c r="E3005">
        <v>0.49455660000000001</v>
      </c>
      <c r="F3005" t="s">
        <v>60</v>
      </c>
      <c r="G3005">
        <v>-332.34589999999997</v>
      </c>
      <c r="H3005" s="1">
        <v>-2.8286890000000002E-7</v>
      </c>
      <c r="I3005">
        <v>214.48990000000001</v>
      </c>
      <c r="J3005">
        <v>-350.58839999999998</v>
      </c>
      <c r="K3005">
        <v>1.1208849999999999</v>
      </c>
      <c r="L3005">
        <v>213.87860000000001</v>
      </c>
      <c r="M3005">
        <v>0.99979709999999999</v>
      </c>
      <c r="N3005">
        <v>-1.500226E-2</v>
      </c>
      <c r="O3005">
        <v>1.3447600000000001E-2</v>
      </c>
      <c r="P3005">
        <v>0.97854339999999995</v>
      </c>
      <c r="Q3005">
        <v>0.20589080000000001</v>
      </c>
      <c r="R3005">
        <v>7.8583669999999998E-3</v>
      </c>
      <c r="S3005">
        <v>3.1040649999999999</v>
      </c>
      <c r="T3005">
        <v>-0.1860578</v>
      </c>
      <c r="U3005">
        <v>0.1024933</v>
      </c>
      <c r="V3005">
        <v>5.2693030000000004E-3</v>
      </c>
      <c r="W3005">
        <v>0.22054889999999999</v>
      </c>
      <c r="X3005">
        <v>0.9753617</v>
      </c>
      <c r="Y3005">
        <v>-1.9526060000000001E-2</v>
      </c>
      <c r="Z3005">
        <v>1.2772799999999999E-4</v>
      </c>
      <c r="AA3005">
        <v>0.99980930000000001</v>
      </c>
      <c r="AB3005">
        <v>50</v>
      </c>
      <c r="AC3005">
        <v>18.2425</v>
      </c>
      <c r="AD3005">
        <v>-1.1208852828689</v>
      </c>
      <c r="AE3005">
        <v>0.61129999999999995</v>
      </c>
      <c r="AF3005">
        <v>-0.364524622693089</v>
      </c>
      <c r="AG3005">
        <v>-1.1208852828689</v>
      </c>
      <c r="AH3005">
        <v>18.180511289815101</v>
      </c>
      <c r="AI3005">
        <v>93.527290964552407</v>
      </c>
      <c r="AJ3005">
        <v>91.148643399749702</v>
      </c>
      <c r="AK3005">
        <v>18.218678678131301</v>
      </c>
      <c r="AL3005">
        <v>77.258725617887706</v>
      </c>
      <c r="AM3005">
        <v>89.690467766209906</v>
      </c>
      <c r="AN3005">
        <v>1.0000000143361001</v>
      </c>
    </row>
    <row r="3006" spans="1:40" x14ac:dyDescent="0.25">
      <c r="A3006" t="str">
        <f>"20190303170556938"</f>
        <v>20190303170556938</v>
      </c>
      <c r="B3006" t="str">
        <f>"1551603956928061"</f>
        <v>1551603956928061</v>
      </c>
      <c r="C3006" t="s">
        <v>40</v>
      </c>
      <c r="D3006">
        <v>5.6394880000000001</v>
      </c>
      <c r="E3006">
        <v>0.49440519999999999</v>
      </c>
      <c r="F3006" t="s">
        <v>60</v>
      </c>
      <c r="G3006">
        <v>-331.71839999999997</v>
      </c>
      <c r="H3006" s="1">
        <v>-6.1753780000000002E-7</v>
      </c>
      <c r="I3006">
        <v>214.50569999999999</v>
      </c>
      <c r="J3006">
        <v>-350.12779999999998</v>
      </c>
      <c r="K3006">
        <v>1.120876</v>
      </c>
      <c r="L3006">
        <v>213.88480000000001</v>
      </c>
      <c r="M3006">
        <v>0.99979709999999999</v>
      </c>
      <c r="N3006">
        <v>-1.499956E-2</v>
      </c>
      <c r="O3006">
        <v>1.3447499999999999E-2</v>
      </c>
      <c r="P3006">
        <v>0.97847660000000003</v>
      </c>
      <c r="Q3006">
        <v>0.20622209999999999</v>
      </c>
      <c r="R3006">
        <v>7.497816E-3</v>
      </c>
      <c r="S3006">
        <v>3.1036990000000002</v>
      </c>
      <c r="T3006">
        <v>-0.18436060000000001</v>
      </c>
      <c r="U3006">
        <v>0.103134199999999</v>
      </c>
      <c r="V3006">
        <v>5.6375599999999998E-3</v>
      </c>
      <c r="W3006">
        <v>0.22087670000000001</v>
      </c>
      <c r="X3006">
        <v>0.97528550000000003</v>
      </c>
      <c r="Y3006">
        <v>-1.9736179999999999E-2</v>
      </c>
      <c r="Z3006">
        <v>1.3746520000000001E-4</v>
      </c>
      <c r="AA3006">
        <v>0.99980519999999995</v>
      </c>
      <c r="AB3006">
        <v>50</v>
      </c>
      <c r="AC3006">
        <v>18.409400000000002</v>
      </c>
      <c r="AD3006">
        <v>-1.1208766175378</v>
      </c>
      <c r="AE3006">
        <v>0.62089999999997703</v>
      </c>
      <c r="AF3006">
        <v>-0.37187856114138002</v>
      </c>
      <c r="AG3006">
        <v>-1.1208766175378</v>
      </c>
      <c r="AH3006">
        <v>18.348144067680401</v>
      </c>
      <c r="AI3006">
        <v>93.495102852051403</v>
      </c>
      <c r="AJ3006">
        <v>91.161106819318505</v>
      </c>
      <c r="AK3006">
        <v>18.386110213537201</v>
      </c>
      <c r="AL3006">
        <v>77.239469671882702</v>
      </c>
      <c r="AM3006">
        <v>89.668810007698895</v>
      </c>
      <c r="AN3006">
        <v>1.00000005259794</v>
      </c>
    </row>
    <row r="3007" spans="1:40" x14ac:dyDescent="0.25">
      <c r="A3007" t="str">
        <f>"20190303170556964"</f>
        <v>20190303170556964</v>
      </c>
      <c r="B3007" t="str">
        <f>"1551603956947581"</f>
        <v>1551603956947581</v>
      </c>
      <c r="C3007" t="s">
        <v>40</v>
      </c>
      <c r="D3007">
        <v>5.5637689999999997</v>
      </c>
      <c r="E3007">
        <v>0.4942378</v>
      </c>
      <c r="F3007" t="s">
        <v>60</v>
      </c>
      <c r="G3007">
        <v>-331.04109999999997</v>
      </c>
      <c r="H3007" s="1">
        <v>-9.7840709999999995E-7</v>
      </c>
      <c r="I3007">
        <v>214.5162</v>
      </c>
      <c r="J3007">
        <v>-349.5797</v>
      </c>
      <c r="K3007">
        <v>1.1208640000000001</v>
      </c>
      <c r="L3007">
        <v>213.8922</v>
      </c>
      <c r="M3007">
        <v>0.99979720000000005</v>
      </c>
      <c r="N3007">
        <v>-1.499605E-2</v>
      </c>
      <c r="O3007">
        <v>1.3445749999999999E-2</v>
      </c>
      <c r="P3007">
        <v>0.97851489999999997</v>
      </c>
      <c r="Q3007">
        <v>0.20603170000000001</v>
      </c>
      <c r="R3007">
        <v>7.7199690000000001E-3</v>
      </c>
      <c r="S3007">
        <v>3.1036069999999998</v>
      </c>
      <c r="T3007">
        <v>-0.1822609</v>
      </c>
      <c r="U3007">
        <v>0.10266110000000001</v>
      </c>
      <c r="V3007">
        <v>5.4230149999999998E-3</v>
      </c>
      <c r="W3007">
        <v>0.22068280000000001</v>
      </c>
      <c r="X3007">
        <v>0.97533049999999999</v>
      </c>
      <c r="Y3007">
        <v>-1.9587520000000001E-2</v>
      </c>
      <c r="Z3007">
        <v>1.3439060000000001E-4</v>
      </c>
      <c r="AA3007">
        <v>0.99980809999999998</v>
      </c>
      <c r="AB3007">
        <v>50</v>
      </c>
      <c r="AC3007">
        <v>18.538599999999999</v>
      </c>
      <c r="AD3007">
        <v>-1.1208649784071001</v>
      </c>
      <c r="AE3007">
        <v>0.623999999999995</v>
      </c>
      <c r="AF3007">
        <v>-0.37328715379496002</v>
      </c>
      <c r="AG3007">
        <v>-1.1208649784071001</v>
      </c>
      <c r="AH3007">
        <v>18.477844614401601</v>
      </c>
      <c r="AI3007">
        <v>93.470598714913706</v>
      </c>
      <c r="AJ3007">
        <v>91.157324896576696</v>
      </c>
      <c r="AK3007">
        <v>18.5155724511282</v>
      </c>
      <c r="AL3007">
        <v>77.250859019256694</v>
      </c>
      <c r="AM3007">
        <v>89.681428326291496</v>
      </c>
      <c r="AN3007">
        <v>0.99999994576888795</v>
      </c>
    </row>
    <row r="3008" spans="1:40" x14ac:dyDescent="0.25">
      <c r="A3008" t="str">
        <f>"20190303170556985"</f>
        <v>20190303170556985</v>
      </c>
      <c r="B3008" t="str">
        <f>"1551603956977837"</f>
        <v>1551603956977837</v>
      </c>
      <c r="C3008" t="s">
        <v>40</v>
      </c>
      <c r="D3008">
        <v>5.6862529999999998</v>
      </c>
      <c r="E3008">
        <v>0.49389110000000003</v>
      </c>
      <c r="F3008" t="s">
        <v>60</v>
      </c>
      <c r="G3008">
        <v>-330.39710000000002</v>
      </c>
      <c r="H3008" s="1">
        <v>-1.322428E-6</v>
      </c>
      <c r="I3008">
        <v>214.5463</v>
      </c>
      <c r="J3008">
        <v>-349.08609999999999</v>
      </c>
      <c r="K3008">
        <v>1.120857</v>
      </c>
      <c r="L3008">
        <v>213.89879999999999</v>
      </c>
      <c r="M3008">
        <v>0.9997973</v>
      </c>
      <c r="N3008">
        <v>-1.4992770000000001E-2</v>
      </c>
      <c r="O3008">
        <v>1.3442040000000001E-2</v>
      </c>
      <c r="P3008">
        <v>0.97863160000000005</v>
      </c>
      <c r="Q3008">
        <v>0.20547000000000001</v>
      </c>
      <c r="R3008">
        <v>7.9184210000000001E-3</v>
      </c>
      <c r="S3008">
        <v>3.1032099999999998</v>
      </c>
      <c r="T3008">
        <v>-0.18132499999999999</v>
      </c>
      <c r="U3008">
        <v>0.1058197</v>
      </c>
      <c r="V3008">
        <v>5.2288259999999998E-3</v>
      </c>
      <c r="W3008">
        <v>0.2201195</v>
      </c>
      <c r="X3008">
        <v>0.97545890000000002</v>
      </c>
      <c r="Y3008">
        <v>-2.0609949999999998E-2</v>
      </c>
      <c r="Z3008">
        <v>1.73062799999999E-4</v>
      </c>
      <c r="AA3008">
        <v>0.9997876</v>
      </c>
      <c r="AB3008">
        <v>50</v>
      </c>
      <c r="AC3008">
        <v>18.688999999999901</v>
      </c>
      <c r="AD3008">
        <v>-1.120858322428</v>
      </c>
      <c r="AE3008">
        <v>0.64750000000000696</v>
      </c>
      <c r="AF3008">
        <v>-0.39477670234263701</v>
      </c>
      <c r="AG3008">
        <v>-1.120858322428</v>
      </c>
      <c r="AH3008">
        <v>18.629089018585201</v>
      </c>
      <c r="AI3008">
        <v>93.442399230711104</v>
      </c>
      <c r="AJ3008">
        <v>91.213996771125807</v>
      </c>
      <c r="AK3008">
        <v>18.6669528763009</v>
      </c>
      <c r="AL3008">
        <v>77.283948104471406</v>
      </c>
      <c r="AM3008">
        <v>89.692876048160102</v>
      </c>
      <c r="AN3008">
        <v>1.0000000002453899</v>
      </c>
    </row>
    <row r="3009" spans="1:40" x14ac:dyDescent="0.25">
      <c r="A3009" t="str">
        <f>"20190303170557008"</f>
        <v>20190303170557008</v>
      </c>
      <c r="B3009" t="str">
        <f>"1551603956997360"</f>
        <v>1551603956997360</v>
      </c>
      <c r="C3009" t="s">
        <v>40</v>
      </c>
      <c r="D3009">
        <v>5.5372279999999998</v>
      </c>
      <c r="E3009">
        <v>0.4938515</v>
      </c>
      <c r="F3009" t="s">
        <v>60</v>
      </c>
      <c r="G3009">
        <v>-329.87650000000002</v>
      </c>
      <c r="H3009" s="1">
        <v>3.7189730000000002E-6</v>
      </c>
      <c r="I3009">
        <v>214.57820000000001</v>
      </c>
      <c r="J3009">
        <v>-348.59039999999999</v>
      </c>
      <c r="K3009">
        <v>1.1208450000000001</v>
      </c>
      <c r="L3009">
        <v>213.90549999999999</v>
      </c>
      <c r="M3009">
        <v>0.99979750000000001</v>
      </c>
      <c r="N3009">
        <v>-1.498947E-2</v>
      </c>
      <c r="O3009">
        <v>1.343634E-2</v>
      </c>
      <c r="P3009">
        <v>0.97863</v>
      </c>
      <c r="Q3009">
        <v>0.20546990000000001</v>
      </c>
      <c r="R3009">
        <v>8.0862699999999996E-3</v>
      </c>
      <c r="S3009">
        <v>3.1026609999999999</v>
      </c>
      <c r="T3009">
        <v>-0.1810359</v>
      </c>
      <c r="U3009">
        <v>0.109726</v>
      </c>
      <c r="V3009">
        <v>5.0608110000000001E-3</v>
      </c>
      <c r="W3009">
        <v>0.2201167</v>
      </c>
      <c r="X3009">
        <v>0.97546040000000001</v>
      </c>
      <c r="Y3009">
        <v>-2.187623E-2</v>
      </c>
      <c r="Z3009">
        <v>2.1989899999999999E-4</v>
      </c>
      <c r="AA3009">
        <v>0.99976069999999995</v>
      </c>
      <c r="AB3009">
        <v>50</v>
      </c>
      <c r="AC3009">
        <v>18.713899999999899</v>
      </c>
      <c r="AD3009">
        <v>-1.1208412810269901</v>
      </c>
      <c r="AE3009">
        <v>0.67270000000001995</v>
      </c>
      <c r="AF3009">
        <v>-0.41966123740808697</v>
      </c>
      <c r="AG3009">
        <v>-1.1208412810269901</v>
      </c>
      <c r="AH3009">
        <v>18.654418530152402</v>
      </c>
      <c r="AI3009">
        <v>93.4375863887891</v>
      </c>
      <c r="AJ3009">
        <v>91.288743606755403</v>
      </c>
      <c r="AK3009">
        <v>18.692772170802598</v>
      </c>
      <c r="AL3009">
        <v>77.284112339499202</v>
      </c>
      <c r="AM3009">
        <v>89.702744970842602</v>
      </c>
      <c r="AN3009">
        <v>0.999999982697513</v>
      </c>
    </row>
    <row r="3010" spans="1:40" x14ac:dyDescent="0.25">
      <c r="A3010" t="str">
        <f>"20190303170557029"</f>
        <v>20190303170557029</v>
      </c>
      <c r="B3010" t="str">
        <f>"1551603957017853"</f>
        <v>1551603957017853</v>
      </c>
      <c r="C3010" t="s">
        <v>40</v>
      </c>
      <c r="D3010">
        <v>5.5853320000000002</v>
      </c>
      <c r="E3010">
        <v>0.4937144</v>
      </c>
      <c r="F3010" t="s">
        <v>60</v>
      </c>
      <c r="G3010">
        <v>-329.30309999999997</v>
      </c>
      <c r="H3010" s="1">
        <v>3.4138600000000002E-6</v>
      </c>
      <c r="I3010">
        <v>214.59209999999999</v>
      </c>
      <c r="J3010">
        <v>-348.11399999999998</v>
      </c>
      <c r="K3010">
        <v>1.120835</v>
      </c>
      <c r="L3010">
        <v>213.9119</v>
      </c>
      <c r="M3010">
        <v>0.99979759999999995</v>
      </c>
      <c r="N3010">
        <v>-1.49864E-2</v>
      </c>
      <c r="O3010">
        <v>1.3428529999999999E-2</v>
      </c>
      <c r="P3010">
        <v>0.97863160000000005</v>
      </c>
      <c r="Q3010">
        <v>0.20546420000000001</v>
      </c>
      <c r="R3010">
        <v>8.0634909999999903E-3</v>
      </c>
      <c r="S3010">
        <v>3.1024479999999999</v>
      </c>
      <c r="T3010">
        <v>-0.18029239999999999</v>
      </c>
      <c r="U3010">
        <v>0.1104431</v>
      </c>
      <c r="V3010">
        <v>5.0800899999999998E-3</v>
      </c>
      <c r="W3010">
        <v>0.2201079</v>
      </c>
      <c r="X3010">
        <v>0.9754623</v>
      </c>
      <c r="Y3010">
        <v>-2.211699E-2</v>
      </c>
      <c r="Z3010">
        <v>2.2954200000000001E-4</v>
      </c>
      <c r="AA3010">
        <v>0.99975539999999996</v>
      </c>
      <c r="AB3010">
        <v>50</v>
      </c>
      <c r="AC3010">
        <v>18.8109</v>
      </c>
      <c r="AD3010">
        <v>-1.12083158614</v>
      </c>
      <c r="AE3010">
        <v>0.68019999999998404</v>
      </c>
      <c r="AF3010">
        <v>-0.42599713819081497</v>
      </c>
      <c r="AG3010">
        <v>-1.12083158614</v>
      </c>
      <c r="AH3010">
        <v>18.751851382257598</v>
      </c>
      <c r="AI3010">
        <v>93.419720968904997</v>
      </c>
      <c r="AJ3010">
        <v>91.301398994081893</v>
      </c>
      <c r="AK3010">
        <v>18.790148143868201</v>
      </c>
      <c r="AL3010">
        <v>77.284629401904496</v>
      </c>
      <c r="AM3010">
        <v>89.701613188800295</v>
      </c>
      <c r="AN3010">
        <v>0.99999999683905405</v>
      </c>
    </row>
    <row r="3011" spans="1:40" x14ac:dyDescent="0.25">
      <c r="A3011" t="str">
        <f>"20190303170557052"</f>
        <v>20190303170557052</v>
      </c>
      <c r="B3011" t="str">
        <f>"1551603957037373"</f>
        <v>1551603957037373</v>
      </c>
      <c r="C3011" t="s">
        <v>40</v>
      </c>
      <c r="D3011">
        <v>5.592727</v>
      </c>
      <c r="E3011">
        <v>0.49371670000000001</v>
      </c>
      <c r="F3011" t="s">
        <v>60</v>
      </c>
      <c r="G3011">
        <v>-328.71480000000003</v>
      </c>
      <c r="H3011" s="1">
        <v>3.1007880000000001E-6</v>
      </c>
      <c r="I3011">
        <v>214.60830000000001</v>
      </c>
      <c r="J3011">
        <v>-347.61020000000002</v>
      </c>
      <c r="K3011">
        <v>1.120824</v>
      </c>
      <c r="L3011">
        <v>213.9186</v>
      </c>
      <c r="M3011">
        <v>0.99979790000000002</v>
      </c>
      <c r="N3011">
        <v>-1.498326E-2</v>
      </c>
      <c r="O3011">
        <v>1.341498E-2</v>
      </c>
      <c r="P3011">
        <v>0.97869629999999996</v>
      </c>
      <c r="Q3011">
        <v>0.2051828</v>
      </c>
      <c r="R3011">
        <v>7.3499009999999998E-3</v>
      </c>
      <c r="S3011">
        <v>3.1022639999999999</v>
      </c>
      <c r="T3011">
        <v>-0.17924000000000001</v>
      </c>
      <c r="U3011">
        <v>0.1113739</v>
      </c>
      <c r="V3011">
        <v>5.7860189999999999E-3</v>
      </c>
      <c r="W3011">
        <v>0.2198242</v>
      </c>
      <c r="X3011">
        <v>0.97552229999999995</v>
      </c>
      <c r="Y3011">
        <v>-2.243183E-2</v>
      </c>
      <c r="Z3011">
        <v>2.422848E-4</v>
      </c>
      <c r="AA3011">
        <v>0.99974830000000003</v>
      </c>
      <c r="AB3011">
        <v>50</v>
      </c>
      <c r="AC3011">
        <v>18.895399999999899</v>
      </c>
      <c r="AD3011">
        <v>-1.1208208992119999</v>
      </c>
      <c r="AE3011">
        <v>0.68970000000001597</v>
      </c>
      <c r="AF3011">
        <v>-0.43460097224799799</v>
      </c>
      <c r="AG3011">
        <v>-1.1208208992119999</v>
      </c>
      <c r="AH3011">
        <v>18.836763288091401</v>
      </c>
      <c r="AI3011">
        <v>93.404282048477398</v>
      </c>
      <c r="AJ3011">
        <v>91.321691213825005</v>
      </c>
      <c r="AK3011">
        <v>18.875083275704501</v>
      </c>
      <c r="AL3011">
        <v>77.301291821285503</v>
      </c>
      <c r="AM3011">
        <v>89.660171190859302</v>
      </c>
      <c r="AN3011">
        <v>0.99999995735939795</v>
      </c>
    </row>
    <row r="3012" spans="1:40" x14ac:dyDescent="0.25">
      <c r="A3012" t="str">
        <f>"20190303170557076"</f>
        <v>20190303170557076</v>
      </c>
      <c r="B3012" t="str">
        <f>"1551603957067629"</f>
        <v>1551603957067629</v>
      </c>
      <c r="C3012" t="s">
        <v>40</v>
      </c>
      <c r="D3012">
        <v>5.6139270000000003</v>
      </c>
      <c r="E3012">
        <v>0.49359789999999998</v>
      </c>
      <c r="F3012" t="s">
        <v>60</v>
      </c>
      <c r="G3012">
        <v>-328.03730000000002</v>
      </c>
      <c r="H3012" s="1">
        <v>2.7402539999999998E-6</v>
      </c>
      <c r="I3012">
        <v>214.61070000000001</v>
      </c>
      <c r="J3012">
        <v>-347.07830000000001</v>
      </c>
      <c r="K3012">
        <v>1.120822</v>
      </c>
      <c r="L3012">
        <v>213.92580000000001</v>
      </c>
      <c r="M3012">
        <v>0.99979819999999997</v>
      </c>
      <c r="N3012">
        <v>-1.4979839999999999E-2</v>
      </c>
      <c r="O3012">
        <v>1.339223E-2</v>
      </c>
      <c r="P3012">
        <v>0.97857400000000005</v>
      </c>
      <c r="Q3012">
        <v>0.20578370000000001</v>
      </c>
      <c r="R3012">
        <v>6.8092999999999999E-3</v>
      </c>
      <c r="S3012">
        <v>3.1016849999999998</v>
      </c>
      <c r="T3012">
        <v>-0.17761459999999901</v>
      </c>
      <c r="U3012">
        <v>0.109664899999999</v>
      </c>
      <c r="V3012">
        <v>6.3082299999999997E-3</v>
      </c>
      <c r="W3012">
        <v>0.220419</v>
      </c>
      <c r="X3012">
        <v>0.9753849</v>
      </c>
      <c r="Y3012">
        <v>-2.1912640000000001E-2</v>
      </c>
      <c r="Z3012">
        <v>2.255417E-4</v>
      </c>
      <c r="AA3012">
        <v>0.99975990000000003</v>
      </c>
      <c r="AB3012">
        <v>50</v>
      </c>
      <c r="AC3012">
        <v>19.041</v>
      </c>
      <c r="AD3012">
        <v>-1.1208192597460001</v>
      </c>
      <c r="AE3012">
        <v>0.68489999999999895</v>
      </c>
      <c r="AF3012">
        <v>-0.428326328111861</v>
      </c>
      <c r="AG3012">
        <v>-1.1208192597460001</v>
      </c>
      <c r="AH3012">
        <v>18.982776808946401</v>
      </c>
      <c r="AI3012">
        <v>93.378191664497706</v>
      </c>
      <c r="AJ3012">
        <v>91.292599468367101</v>
      </c>
      <c r="AK3012">
        <v>19.020660205015101</v>
      </c>
      <c r="AL3012">
        <v>77.266356146255902</v>
      </c>
      <c r="AM3012">
        <v>89.629448932411194</v>
      </c>
      <c r="AN3012">
        <v>1.0000000162373699</v>
      </c>
    </row>
    <row r="3013" spans="1:40" x14ac:dyDescent="0.25">
      <c r="A3013" t="str">
        <f>"20190303170557098"</f>
        <v>20190303170557098</v>
      </c>
      <c r="B3013" t="str">
        <f>"1551603957088125"</f>
        <v>1551603957088125</v>
      </c>
      <c r="C3013" t="s">
        <v>40</v>
      </c>
      <c r="D3013">
        <v>5.6332230000000001</v>
      </c>
      <c r="E3013">
        <v>0.4935158</v>
      </c>
      <c r="F3013" t="s">
        <v>60</v>
      </c>
      <c r="G3013">
        <v>-327.04649999999998</v>
      </c>
      <c r="H3013" s="1">
        <v>2.213036E-6</v>
      </c>
      <c r="I3013">
        <v>214.6326</v>
      </c>
      <c r="J3013">
        <v>-346.5763</v>
      </c>
      <c r="K3013">
        <v>1.120811</v>
      </c>
      <c r="L3013">
        <v>213.9325</v>
      </c>
      <c r="M3013">
        <v>0.99979870000000004</v>
      </c>
      <c r="N3013">
        <v>-1.497657E-2</v>
      </c>
      <c r="O3013">
        <v>1.335955E-2</v>
      </c>
      <c r="P3013">
        <v>0.9785391</v>
      </c>
      <c r="Q3013">
        <v>0.20597850000000001</v>
      </c>
      <c r="R3013">
        <v>5.8582219999999997E-3</v>
      </c>
      <c r="S3013">
        <v>3.1013489999999999</v>
      </c>
      <c r="T3013">
        <v>-0.1735274</v>
      </c>
      <c r="U3013">
        <v>0.10943600000000001</v>
      </c>
      <c r="V3013">
        <v>7.2333659999999998E-3</v>
      </c>
      <c r="W3013">
        <v>0.22060979999999999</v>
      </c>
      <c r="X3013">
        <v>0.97533539999999996</v>
      </c>
      <c r="Y3013">
        <v>-2.1876610000000001E-2</v>
      </c>
      <c r="Z3013">
        <v>2.287062E-4</v>
      </c>
      <c r="AA3013">
        <v>0.9997606</v>
      </c>
      <c r="AB3013">
        <v>50</v>
      </c>
      <c r="AC3013">
        <v>19.529800000000002</v>
      </c>
      <c r="AD3013">
        <v>-1.120808786964</v>
      </c>
      <c r="AE3013">
        <v>0.70009999999999195</v>
      </c>
      <c r="AF3013">
        <v>-0.43765931662393898</v>
      </c>
      <c r="AG3013">
        <v>-1.120808786964</v>
      </c>
      <c r="AH3013">
        <v>19.4733561542252</v>
      </c>
      <c r="AI3013">
        <v>93.293252745858794</v>
      </c>
      <c r="AJ3013">
        <v>91.287493059224602</v>
      </c>
      <c r="AK3013">
        <v>19.510493533574799</v>
      </c>
      <c r="AL3013">
        <v>77.255148962212402</v>
      </c>
      <c r="AM3013">
        <v>89.575085918696104</v>
      </c>
      <c r="AN3013">
        <v>1.0000000739664401</v>
      </c>
    </row>
    <row r="3014" spans="1:40" x14ac:dyDescent="0.25">
      <c r="A3014" t="str">
        <f>"20190303170557119"</f>
        <v>20190303170557119</v>
      </c>
      <c r="B3014" t="str">
        <f>"1551603957107645"</f>
        <v>1551603957107645</v>
      </c>
      <c r="C3014" t="s">
        <v>40</v>
      </c>
      <c r="D3014">
        <v>5.635332</v>
      </c>
      <c r="E3014">
        <v>0.49340459999999903</v>
      </c>
      <c r="F3014" t="s">
        <v>60</v>
      </c>
      <c r="G3014">
        <v>-326.2654</v>
      </c>
      <c r="H3014" s="1">
        <v>1.79737E-6</v>
      </c>
      <c r="I3014">
        <v>214.6378</v>
      </c>
      <c r="J3014">
        <v>-346.10770000000002</v>
      </c>
      <c r="K3014">
        <v>1.1207929999999999</v>
      </c>
      <c r="L3014">
        <v>213.93870000000001</v>
      </c>
      <c r="M3014">
        <v>0.9997994</v>
      </c>
      <c r="N3014">
        <v>-1.4973500000000001E-2</v>
      </c>
      <c r="O3014">
        <v>1.331444E-2</v>
      </c>
      <c r="P3014">
        <v>0.97859499999999999</v>
      </c>
      <c r="Q3014">
        <v>0.20573930000000001</v>
      </c>
      <c r="R3014">
        <v>4.8578570000000001E-3</v>
      </c>
      <c r="S3014">
        <v>3.1011660000000001</v>
      </c>
      <c r="T3014">
        <v>-0.17113129999999999</v>
      </c>
      <c r="U3014">
        <v>0.1076965</v>
      </c>
      <c r="V3014">
        <v>8.1976069999999904E-3</v>
      </c>
      <c r="W3014">
        <v>0.22036790000000001</v>
      </c>
      <c r="X3014">
        <v>0.97538239999999998</v>
      </c>
      <c r="Y3014">
        <v>-2.1365289999999999E-2</v>
      </c>
      <c r="Z3014">
        <v>2.143716E-4</v>
      </c>
      <c r="AA3014">
        <v>0.99977169999999904</v>
      </c>
      <c r="AB3014">
        <v>50</v>
      </c>
      <c r="AC3014">
        <v>19.842300000000002</v>
      </c>
      <c r="AD3014">
        <v>-1.12079120263</v>
      </c>
      <c r="AE3014">
        <v>0.69909999999998695</v>
      </c>
      <c r="AF3014">
        <v>-0.43343813429717198</v>
      </c>
      <c r="AG3014">
        <v>-1.12079120263</v>
      </c>
      <c r="AH3014">
        <v>19.7867974558817</v>
      </c>
      <c r="AI3014">
        <v>93.241186770857198</v>
      </c>
      <c r="AJ3014">
        <v>91.254887495982302</v>
      </c>
      <c r="AK3014">
        <v>19.8232538977899</v>
      </c>
      <c r="AL3014">
        <v>77.269357805196506</v>
      </c>
      <c r="AM3014">
        <v>89.518468628557699</v>
      </c>
      <c r="AN3014">
        <v>1.00000001917034</v>
      </c>
    </row>
    <row r="3015" spans="1:40" x14ac:dyDescent="0.25">
      <c r="A3015" t="str">
        <f>"20190303170557141"</f>
        <v>20190303170557141</v>
      </c>
      <c r="B3015" t="str">
        <f>"1551603957128141"</f>
        <v>1551603957128141</v>
      </c>
      <c r="C3015" t="s">
        <v>40</v>
      </c>
      <c r="D3015">
        <v>6.0705720000000003</v>
      </c>
      <c r="E3015">
        <v>0.49331009999999997</v>
      </c>
      <c r="F3015" t="s">
        <v>60</v>
      </c>
      <c r="G3015">
        <v>-325.80700000000002</v>
      </c>
      <c r="H3015" s="1">
        <v>1.5533950000000001E-6</v>
      </c>
      <c r="I3015">
        <v>214.6276</v>
      </c>
      <c r="J3015">
        <v>-345.62099999999998</v>
      </c>
      <c r="K3015">
        <v>1.120779</v>
      </c>
      <c r="L3015">
        <v>213.9451</v>
      </c>
      <c r="M3015">
        <v>0.99980009999999997</v>
      </c>
      <c r="N3015">
        <v>-1.4970310000000001E-2</v>
      </c>
      <c r="O3015">
        <v>1.3248340000000001E-2</v>
      </c>
      <c r="P3015">
        <v>0.9787264</v>
      </c>
      <c r="Q3015">
        <v>0.2051201</v>
      </c>
      <c r="R3015">
        <v>4.4862610000000001E-3</v>
      </c>
      <c r="S3015">
        <v>3.101105</v>
      </c>
      <c r="T3015">
        <v>-0.1712099</v>
      </c>
      <c r="U3015">
        <v>0.105239899999999</v>
      </c>
      <c r="V3015">
        <v>8.5155179999999997E-3</v>
      </c>
      <c r="W3015">
        <v>0.21974740000000001</v>
      </c>
      <c r="X3015">
        <v>0.97551969999999999</v>
      </c>
      <c r="Y3015">
        <v>-2.0642310000000001E-2</v>
      </c>
      <c r="Z3015">
        <v>1.915234E-4</v>
      </c>
      <c r="AA3015">
        <v>0.99978690000000003</v>
      </c>
      <c r="AB3015">
        <v>50</v>
      </c>
      <c r="AC3015">
        <v>19.813999999999901</v>
      </c>
      <c r="AD3015">
        <v>-1.120777446605</v>
      </c>
      <c r="AE3015">
        <v>0.68250000000000399</v>
      </c>
      <c r="AF3015">
        <v>-0.41857037570466998</v>
      </c>
      <c r="AG3015">
        <v>-1.120777446605</v>
      </c>
      <c r="AH3015">
        <v>19.758160565747399</v>
      </c>
      <c r="AI3015">
        <v>93.245884931856807</v>
      </c>
      <c r="AJ3015">
        <v>91.213611417016907</v>
      </c>
      <c r="AK3015">
        <v>19.794348996268901</v>
      </c>
      <c r="AL3015">
        <v>77.305803747915107</v>
      </c>
      <c r="AM3015">
        <v>89.499865712878702</v>
      </c>
      <c r="AN3015">
        <v>1.00000005947082</v>
      </c>
    </row>
    <row r="3016" spans="1:40" x14ac:dyDescent="0.25">
      <c r="A3016" t="str">
        <f>"20190303170557164"</f>
        <v>20190303170557164</v>
      </c>
      <c r="B3016" t="str">
        <f>"1551603957157421"</f>
        <v>1551603957157421</v>
      </c>
      <c r="C3016" t="s">
        <v>40</v>
      </c>
      <c r="D3016">
        <v>5.6923779999999997</v>
      </c>
      <c r="E3016">
        <v>0.49304120000000001</v>
      </c>
      <c r="F3016" t="s">
        <v>60</v>
      </c>
      <c r="G3016">
        <v>-325.45139999999998</v>
      </c>
      <c r="H3016" s="1">
        <v>1.3641870000000001E-6</v>
      </c>
      <c r="I3016">
        <v>214.62100000000001</v>
      </c>
      <c r="J3016">
        <v>-345.10879999999997</v>
      </c>
      <c r="K3016">
        <v>1.1207590000000001</v>
      </c>
      <c r="L3016">
        <v>213.95179999999999</v>
      </c>
      <c r="M3016">
        <v>0.99980150000000001</v>
      </c>
      <c r="N3016">
        <v>-1.4967019999999999E-2</v>
      </c>
      <c r="O3016">
        <v>1.3151980000000001E-2</v>
      </c>
      <c r="P3016">
        <v>0.97880860000000003</v>
      </c>
      <c r="Q3016">
        <v>0.20471529999999999</v>
      </c>
      <c r="R3016">
        <v>5.021841E-3</v>
      </c>
      <c r="S3016">
        <v>3.1008610000000001</v>
      </c>
      <c r="T3016">
        <v>-0.17230770000000001</v>
      </c>
      <c r="U3016">
        <v>0.1039124</v>
      </c>
      <c r="V3016">
        <v>7.8990980000000002E-3</v>
      </c>
      <c r="W3016">
        <v>0.21934039999999999</v>
      </c>
      <c r="X3016">
        <v>0.9756165</v>
      </c>
      <c r="Y3016">
        <v>-2.0314100000000002E-2</v>
      </c>
      <c r="Z3016">
        <v>1.8273599999999999E-4</v>
      </c>
      <c r="AA3016">
        <v>0.99979359999999995</v>
      </c>
      <c r="AB3016">
        <v>50</v>
      </c>
      <c r="AC3016">
        <v>19.657399999999999</v>
      </c>
      <c r="AD3016">
        <v>-1.120757635813</v>
      </c>
      <c r="AE3016">
        <v>0.66919999999998903</v>
      </c>
      <c r="AF3016">
        <v>-0.40925062297675602</v>
      </c>
      <c r="AG3016">
        <v>-1.120757635813</v>
      </c>
      <c r="AH3016">
        <v>19.600859788999902</v>
      </c>
      <c r="AI3016">
        <v>93.271840689087</v>
      </c>
      <c r="AJ3016">
        <v>91.196117274135702</v>
      </c>
      <c r="AK3016">
        <v>19.637140530603599</v>
      </c>
      <c r="AL3016">
        <v>77.329706564857901</v>
      </c>
      <c r="AM3016">
        <v>89.536113741188103</v>
      </c>
      <c r="AN3016">
        <v>1.0000000809467999</v>
      </c>
    </row>
    <row r="3017" spans="1:40" x14ac:dyDescent="0.25">
      <c r="A3017" t="str">
        <f>"20190303170557186"</f>
        <v>20190303170557186</v>
      </c>
      <c r="B3017" t="str">
        <f>"1551603957177917"</f>
        <v>1551603957177917</v>
      </c>
      <c r="C3017" t="s">
        <v>40</v>
      </c>
      <c r="D3017">
        <v>5.6930889999999996</v>
      </c>
      <c r="E3017">
        <v>0.49292000000000002</v>
      </c>
      <c r="F3017" t="s">
        <v>60</v>
      </c>
      <c r="G3017">
        <v>-325.05079999999998</v>
      </c>
      <c r="H3017" s="1">
        <v>1.1510019999999999E-6</v>
      </c>
      <c r="I3017">
        <v>214.64250000000001</v>
      </c>
      <c r="J3017">
        <v>-344.59800000000001</v>
      </c>
      <c r="K3017">
        <v>1.120743</v>
      </c>
      <c r="L3017">
        <v>213.95849999999999</v>
      </c>
      <c r="M3017">
        <v>0.9998032</v>
      </c>
      <c r="N3017">
        <v>-1.4963779999999999E-2</v>
      </c>
      <c r="O3017">
        <v>1.3024910000000001E-2</v>
      </c>
      <c r="P3017">
        <v>0.97842280000000004</v>
      </c>
      <c r="Q3017">
        <v>0.20653550000000001</v>
      </c>
      <c r="R3017">
        <v>5.6753250000000002E-3</v>
      </c>
      <c r="S3017">
        <v>3.1006469999999999</v>
      </c>
      <c r="T3017">
        <v>-0.17325119999999999</v>
      </c>
      <c r="U3017">
        <v>0.10676570000000001</v>
      </c>
      <c r="V3017">
        <v>7.1310269999999999E-3</v>
      </c>
      <c r="W3017">
        <v>0.22115109999999999</v>
      </c>
      <c r="X3017">
        <v>0.97521349999999996</v>
      </c>
      <c r="Y3017">
        <v>-2.1360069999999998E-2</v>
      </c>
      <c r="Z3017">
        <v>2.2396189999999999E-4</v>
      </c>
      <c r="AA3017">
        <v>0.99977179999999999</v>
      </c>
      <c r="AB3017">
        <v>50</v>
      </c>
      <c r="AC3017">
        <v>19.5472</v>
      </c>
      <c r="AD3017">
        <v>-1.1207418489979999</v>
      </c>
      <c r="AE3017">
        <v>0.68400000000002503</v>
      </c>
      <c r="AF3017">
        <v>-0.42790798466510999</v>
      </c>
      <c r="AG3017">
        <v>-1.1207418489979999</v>
      </c>
      <c r="AH3017">
        <v>19.490458490285398</v>
      </c>
      <c r="AI3017">
        <v>93.290211188887696</v>
      </c>
      <c r="AJ3017">
        <v>91.257711997315994</v>
      </c>
      <c r="AK3017">
        <v>19.5273433855447</v>
      </c>
      <c r="AL3017">
        <v>77.223348577665504</v>
      </c>
      <c r="AM3017">
        <v>89.581045105711596</v>
      </c>
      <c r="AN3017">
        <v>1.0000000155797599</v>
      </c>
    </row>
    <row r="3018" spans="1:40" x14ac:dyDescent="0.25">
      <c r="A3018" t="str">
        <f>"20190303170557208"</f>
        <v>20190303170557208</v>
      </c>
      <c r="B3018" t="str">
        <f>"1551603957197441"</f>
        <v>1551603957197441</v>
      </c>
      <c r="C3018" t="s">
        <v>40</v>
      </c>
      <c r="D3018">
        <v>5.7379490000000004</v>
      </c>
      <c r="E3018">
        <v>0.4928169</v>
      </c>
      <c r="F3018" t="s">
        <v>60</v>
      </c>
      <c r="G3018">
        <v>-323.87049999999999</v>
      </c>
      <c r="H3018" s="1">
        <v>5.2289829999999998E-7</v>
      </c>
      <c r="I3018">
        <v>214.69149999999999</v>
      </c>
      <c r="J3018">
        <v>-344.13659999999999</v>
      </c>
      <c r="K3018">
        <v>1.1207290000000001</v>
      </c>
      <c r="L3018">
        <v>213.96440000000001</v>
      </c>
      <c r="M3018">
        <v>0.99980500000000005</v>
      </c>
      <c r="N3018">
        <v>-1.4960859999999999E-2</v>
      </c>
      <c r="O3018">
        <v>1.2888459999999999E-2</v>
      </c>
      <c r="P3018">
        <v>0.9780586</v>
      </c>
      <c r="Q3018">
        <v>0.20824029999999999</v>
      </c>
      <c r="R3018">
        <v>6.1170790000000001E-3</v>
      </c>
      <c r="S3018">
        <v>3.1009220000000002</v>
      </c>
      <c r="T3018">
        <v>-0.1676676</v>
      </c>
      <c r="U3018">
        <v>0.109664899999999</v>
      </c>
      <c r="V3018">
        <v>6.5651499999999996E-3</v>
      </c>
      <c r="W3018">
        <v>0.22284770000000001</v>
      </c>
      <c r="X3018">
        <v>0.97483120000000001</v>
      </c>
      <c r="Y3018">
        <v>-2.2426430000000001E-2</v>
      </c>
      <c r="Z3018">
        <v>2.7023109999999999E-4</v>
      </c>
      <c r="AA3018">
        <v>0.99974850000000004</v>
      </c>
      <c r="AB3018">
        <v>50</v>
      </c>
      <c r="AC3018">
        <v>20.266099999999899</v>
      </c>
      <c r="AD3018">
        <v>-1.1207284771017001</v>
      </c>
      <c r="AE3018">
        <v>0.72709999999997799</v>
      </c>
      <c r="AF3018">
        <v>-0.464393171361209</v>
      </c>
      <c r="AG3018">
        <v>-1.1207284771017001</v>
      </c>
      <c r="AH3018">
        <v>20.212056300911001</v>
      </c>
      <c r="AI3018">
        <v>93.172880240080303</v>
      </c>
      <c r="AJ3018">
        <v>91.316198993837503</v>
      </c>
      <c r="AK3018">
        <v>20.248429895875599</v>
      </c>
      <c r="AL3018">
        <v>77.123653052797195</v>
      </c>
      <c r="AM3018">
        <v>89.614138632295294</v>
      </c>
      <c r="AN3018">
        <v>1.0000000335416199</v>
      </c>
    </row>
    <row r="3019" spans="1:40" x14ac:dyDescent="0.25">
      <c r="A3019" t="str">
        <f>"20190303170557243"</f>
        <v>20190303170557243</v>
      </c>
      <c r="B3019" t="str">
        <f>"1551603957237453"</f>
        <v>1551603957237453</v>
      </c>
      <c r="C3019" t="s">
        <v>40</v>
      </c>
      <c r="D3019">
        <v>5.7393939999999999</v>
      </c>
      <c r="E3019">
        <v>0.4467353</v>
      </c>
      <c r="F3019" t="s">
        <v>60</v>
      </c>
      <c r="G3019">
        <v>-322.85329999999999</v>
      </c>
      <c r="H3019" s="1">
        <v>-1.8410790000000001E-8</v>
      </c>
      <c r="I3019">
        <v>214.744</v>
      </c>
      <c r="J3019">
        <v>-343.35539999999997</v>
      </c>
      <c r="K3019">
        <v>1.1206940000000001</v>
      </c>
      <c r="L3019">
        <v>213.9742</v>
      </c>
      <c r="M3019">
        <v>0.99980869999999999</v>
      </c>
      <c r="N3019">
        <v>-1.4955970000000001E-2</v>
      </c>
      <c r="O3019">
        <v>1.261367E-2</v>
      </c>
      <c r="P3019">
        <v>0.97777990000000004</v>
      </c>
      <c r="Q3019">
        <v>0.20957729999999999</v>
      </c>
      <c r="R3019">
        <v>4.930004E-3</v>
      </c>
      <c r="S3019">
        <v>3.1013790000000001</v>
      </c>
      <c r="T3019">
        <v>-0.16331109999999999</v>
      </c>
      <c r="U3019">
        <v>0.1136017</v>
      </c>
      <c r="V3019">
        <v>7.5030469999999997E-3</v>
      </c>
      <c r="W3019">
        <v>0.22417409999999999</v>
      </c>
      <c r="X3019">
        <v>0.97452019999999995</v>
      </c>
      <c r="Y3019">
        <v>-2.3961670000000001E-2</v>
      </c>
      <c r="Z3019">
        <v>3.3469450000000003E-4</v>
      </c>
      <c r="AA3019">
        <v>0.99971279999999996</v>
      </c>
      <c r="AB3019">
        <v>50</v>
      </c>
      <c r="AC3019">
        <v>20.502099999999899</v>
      </c>
      <c r="AD3019">
        <v>-1.1206940184107801</v>
      </c>
      <c r="AE3019">
        <v>0.76980000000003201</v>
      </c>
      <c r="AF3019">
        <v>-0.50958264376010198</v>
      </c>
      <c r="AG3019">
        <v>-1.1206940184107801</v>
      </c>
      <c r="AH3019">
        <v>20.449164034314901</v>
      </c>
      <c r="AI3019">
        <v>93.135922800331699</v>
      </c>
      <c r="AJ3019">
        <v>91.427485907208407</v>
      </c>
      <c r="AK3019">
        <v>20.4861889880974</v>
      </c>
      <c r="AL3019">
        <v>77.045682588710307</v>
      </c>
      <c r="AM3019">
        <v>89.558875811408697</v>
      </c>
      <c r="AN3019">
        <v>0.99999997151656606</v>
      </c>
    </row>
    <row r="3020" spans="1:40" x14ac:dyDescent="0.25">
      <c r="A3020" t="str">
        <f>"20190303170557265"</f>
        <v>20190303170557265</v>
      </c>
      <c r="B3020" t="str">
        <f>"1551603957257951"</f>
        <v>1551603957257951</v>
      </c>
      <c r="C3020" t="s">
        <v>40</v>
      </c>
      <c r="D3020">
        <v>5.7388190000000003</v>
      </c>
      <c r="E3020">
        <v>0.44344670000000003</v>
      </c>
      <c r="F3020" t="s">
        <v>43</v>
      </c>
      <c r="G3020">
        <v>-259.14909999999998</v>
      </c>
      <c r="H3020">
        <v>-0.05</v>
      </c>
      <c r="I3020">
        <v>226.9607</v>
      </c>
      <c r="J3020">
        <v>-342.87549999999999</v>
      </c>
      <c r="K3020">
        <v>1.120671</v>
      </c>
      <c r="L3020">
        <v>213.98009999999999</v>
      </c>
      <c r="M3020">
        <v>0.99981109999999895</v>
      </c>
      <c r="N3020">
        <v>-1.495291E-2</v>
      </c>
      <c r="O3020">
        <v>1.2421659999999999E-2</v>
      </c>
      <c r="P3020">
        <v>0.97780149999999999</v>
      </c>
      <c r="Q3020">
        <v>0.20950630000000001</v>
      </c>
      <c r="R3020">
        <v>3.4101069999999999E-3</v>
      </c>
      <c r="S3020">
        <v>3.074951</v>
      </c>
      <c r="T3020">
        <v>-4.2750120000000003E-2</v>
      </c>
      <c r="U3020">
        <v>0.47422789999999998</v>
      </c>
      <c r="V3020">
        <v>8.8474219999999902E-3</v>
      </c>
      <c r="W3020">
        <v>0.22409879999999999</v>
      </c>
      <c r="X3020">
        <v>0.97452629999999996</v>
      </c>
      <c r="Y3020">
        <v>-0.14010349999999999</v>
      </c>
      <c r="Z3020">
        <v>2.0350149999999998E-3</v>
      </c>
      <c r="AA3020">
        <v>0.99013479999999998</v>
      </c>
      <c r="AB3020">
        <v>50</v>
      </c>
      <c r="AC3020">
        <v>83.726399999999998</v>
      </c>
      <c r="AD3020">
        <v>-1.170671</v>
      </c>
      <c r="AE3020">
        <v>12.980600000000001</v>
      </c>
      <c r="AF3020">
        <v>-11.9371822689381</v>
      </c>
      <c r="AG3020">
        <v>-1.170671</v>
      </c>
      <c r="AH3020">
        <v>83.865186796007293</v>
      </c>
      <c r="AI3020">
        <v>90.791758420257594</v>
      </c>
      <c r="AJ3020">
        <v>98.100936583150201</v>
      </c>
      <c r="AK3020">
        <v>84.718571443581894</v>
      </c>
      <c r="AL3020">
        <v>77.050110354083699</v>
      </c>
      <c r="AM3020">
        <v>89.479843680320798</v>
      </c>
      <c r="AN3020">
        <v>1.0000000292145801</v>
      </c>
    </row>
    <row r="3021" spans="1:40" x14ac:dyDescent="0.25">
      <c r="A3021" t="str">
        <f>"20190303170557291"</f>
        <v>20190303170557291</v>
      </c>
      <c r="B3021" t="str">
        <f>"1551603957277470"</f>
        <v>1551603957277470</v>
      </c>
      <c r="C3021" t="s">
        <v>40</v>
      </c>
      <c r="D3021">
        <v>5.7259739999999999</v>
      </c>
      <c r="E3021">
        <v>0.4414457</v>
      </c>
      <c r="F3021" t="s">
        <v>43</v>
      </c>
      <c r="G3021">
        <v>-239.2679</v>
      </c>
      <c r="H3021">
        <v>-0.05</v>
      </c>
      <c r="I3021">
        <v>230.68020000000001</v>
      </c>
      <c r="J3021">
        <v>-342.31979999999999</v>
      </c>
      <c r="K3021">
        <v>1.120649</v>
      </c>
      <c r="L3021">
        <v>213.98679999999999</v>
      </c>
      <c r="M3021">
        <v>0.99981410000000004</v>
      </c>
      <c r="N3021">
        <v>-1.494936E-2</v>
      </c>
      <c r="O3021">
        <v>1.21849E-2</v>
      </c>
      <c r="P3021">
        <v>0.97790509999999997</v>
      </c>
      <c r="Q3021">
        <v>0.20904349999999999</v>
      </c>
      <c r="R3021">
        <v>1.6694240000000001E-3</v>
      </c>
      <c r="S3021">
        <v>3.0737920000000001</v>
      </c>
      <c r="T3021">
        <v>-3.4731030000000003E-2</v>
      </c>
      <c r="U3021">
        <v>0.49545289999999997</v>
      </c>
      <c r="V3021">
        <v>1.0369440000000001E-2</v>
      </c>
      <c r="W3021">
        <v>0.22363269999999999</v>
      </c>
      <c r="X3021">
        <v>0.97461830000000005</v>
      </c>
      <c r="Y3021">
        <v>-0.147068</v>
      </c>
      <c r="Z3021">
        <v>1.976284E-3</v>
      </c>
      <c r="AA3021">
        <v>0.98912440000000001</v>
      </c>
      <c r="AB3021">
        <v>50</v>
      </c>
      <c r="AC3021">
        <v>103.0519</v>
      </c>
      <c r="AD3021">
        <v>-1.1706490000000001</v>
      </c>
      <c r="AE3021">
        <v>16.6934</v>
      </c>
      <c r="AF3021">
        <v>-15.434402310508601</v>
      </c>
      <c r="AG3021">
        <v>-1.1706490000000001</v>
      </c>
      <c r="AH3021">
        <v>103.234696692584</v>
      </c>
      <c r="AI3021">
        <v>90.642547269512903</v>
      </c>
      <c r="AJ3021">
        <v>98.503188584952397</v>
      </c>
      <c r="AK3021">
        <v>104.388666985328</v>
      </c>
      <c r="AL3021">
        <v>77.077510578802901</v>
      </c>
      <c r="AM3021">
        <v>89.390425224552402</v>
      </c>
      <c r="AN3021">
        <v>0.99999997024504605</v>
      </c>
    </row>
    <row r="3022" spans="1:40" x14ac:dyDescent="0.25">
      <c r="A3022" t="str">
        <f>"20190303170557308"</f>
        <v>20190303170557308</v>
      </c>
      <c r="B3022" t="str">
        <f>"1551603957297966"</f>
        <v>1551603957297966</v>
      </c>
      <c r="C3022" t="s">
        <v>40</v>
      </c>
      <c r="D3022">
        <v>5.7076289999999998</v>
      </c>
      <c r="E3022">
        <v>0.44031619999999999</v>
      </c>
      <c r="F3022" t="s">
        <v>43</v>
      </c>
      <c r="G3022">
        <v>-230.65860000000001</v>
      </c>
      <c r="H3022">
        <v>-0.05</v>
      </c>
      <c r="I3022">
        <v>232.37270000000001</v>
      </c>
      <c r="J3022">
        <v>-341.90390000000002</v>
      </c>
      <c r="K3022">
        <v>1.1206370000000001</v>
      </c>
      <c r="L3022">
        <v>213.99180000000001</v>
      </c>
      <c r="M3022">
        <v>0.99981640000000005</v>
      </c>
      <c r="N3022">
        <v>-1.49467E-2</v>
      </c>
      <c r="O3022">
        <v>1.20015E-2</v>
      </c>
      <c r="P3022">
        <v>0.97780350000000005</v>
      </c>
      <c r="Q3022">
        <v>0.20952470000000001</v>
      </c>
      <c r="R3022">
        <v>5.9463460000000001E-4</v>
      </c>
      <c r="S3022">
        <v>3.0738530000000002</v>
      </c>
      <c r="T3022">
        <v>-3.2226089999999999E-2</v>
      </c>
      <c r="U3022">
        <v>0.50613399999999997</v>
      </c>
      <c r="V3022">
        <v>1.1271369999999999E-2</v>
      </c>
      <c r="W3022">
        <v>0.22410859999999999</v>
      </c>
      <c r="X3022">
        <v>0.974499</v>
      </c>
      <c r="Y3022">
        <v>-0.15059539999999999</v>
      </c>
      <c r="Z3022">
        <v>1.9705299999999999E-3</v>
      </c>
      <c r="AA3022">
        <v>0.98859350000000001</v>
      </c>
      <c r="AB3022">
        <v>49</v>
      </c>
      <c r="AC3022">
        <v>111.2453</v>
      </c>
      <c r="AD3022">
        <v>-1.1706369999999999</v>
      </c>
      <c r="AE3022">
        <v>18.3809</v>
      </c>
      <c r="AF3022">
        <v>-17.042479425714099</v>
      </c>
      <c r="AG3022">
        <v>-1.1706369999999999</v>
      </c>
      <c r="AH3022">
        <v>111.445896349024</v>
      </c>
      <c r="AI3022">
        <v>90.594902325584201</v>
      </c>
      <c r="AJ3022">
        <v>98.694404170526198</v>
      </c>
      <c r="AK3022">
        <v>112.74752462470801</v>
      </c>
      <c r="AL3022">
        <v>77.049533878039398</v>
      </c>
      <c r="AM3022">
        <v>89.337328068865006</v>
      </c>
      <c r="AN3022">
        <v>1.00000000468831</v>
      </c>
    </row>
    <row r="3023" spans="1:40" x14ac:dyDescent="0.25">
      <c r="A3023" t="str">
        <f>"20190303170557331"</f>
        <v>20190303170557331</v>
      </c>
      <c r="B3023" t="str">
        <f>"1551603957317489"</f>
        <v>1551603957317489</v>
      </c>
      <c r="C3023" t="s">
        <v>40</v>
      </c>
      <c r="D3023">
        <v>5.7483050000000002</v>
      </c>
      <c r="E3023">
        <v>0.43946109999999999</v>
      </c>
      <c r="F3023" t="s">
        <v>83</v>
      </c>
      <c r="G3023">
        <v>-243.19460000000001</v>
      </c>
      <c r="H3023">
        <v>0.16195010000000001</v>
      </c>
      <c r="I3023">
        <v>230.42850000000001</v>
      </c>
      <c r="J3023">
        <v>-341.41660000000002</v>
      </c>
      <c r="K3023">
        <v>1.120625</v>
      </c>
      <c r="L3023">
        <v>213.9975</v>
      </c>
      <c r="M3023">
        <v>0.99981889999999995</v>
      </c>
      <c r="N3023">
        <v>-1.494358E-2</v>
      </c>
      <c r="O3023">
        <v>1.1781740000000001E-2</v>
      </c>
      <c r="P3023">
        <v>0.97769830000000002</v>
      </c>
      <c r="Q3023">
        <v>0.2100137</v>
      </c>
      <c r="R3023">
        <v>-6.2670930000000003E-4</v>
      </c>
      <c r="S3023">
        <v>3.0741879999999999</v>
      </c>
      <c r="T3023">
        <v>-2.985728E-2</v>
      </c>
      <c r="U3023">
        <v>0.51190190000000002</v>
      </c>
      <c r="V3023">
        <v>1.2284659999999999E-2</v>
      </c>
      <c r="W3023">
        <v>0.22459190000000001</v>
      </c>
      <c r="X3023">
        <v>0.97437549999999995</v>
      </c>
      <c r="Y3023">
        <v>-0.15260209999999999</v>
      </c>
      <c r="Z3023">
        <v>1.945413E-3</v>
      </c>
      <c r="AA3023">
        <v>0.98828579999999999</v>
      </c>
      <c r="AB3023">
        <v>49</v>
      </c>
      <c r="AC3023">
        <v>98.221999999999994</v>
      </c>
      <c r="AD3023">
        <v>-0.9586749</v>
      </c>
      <c r="AE3023">
        <v>16.431000000000001</v>
      </c>
      <c r="AF3023">
        <v>-15.2710888207574</v>
      </c>
      <c r="AG3023">
        <v>-0.9586749</v>
      </c>
      <c r="AH3023">
        <v>98.399669875341402</v>
      </c>
      <c r="AI3023">
        <v>90.551593140380206</v>
      </c>
      <c r="AJ3023">
        <v>98.821615953888895</v>
      </c>
      <c r="AK3023">
        <v>99.582228549633896</v>
      </c>
      <c r="AL3023">
        <v>77.021118743001296</v>
      </c>
      <c r="AM3023">
        <v>89.277668742302197</v>
      </c>
      <c r="AN3023">
        <v>1.0000000247085801</v>
      </c>
    </row>
    <row r="3024" spans="1:40" x14ac:dyDescent="0.25">
      <c r="A3024" t="str">
        <f>"20190303170557352"</f>
        <v>20190303170557352</v>
      </c>
      <c r="B3024" t="str">
        <f>"1551603957347742"</f>
        <v>1551603957347742</v>
      </c>
      <c r="C3024" t="s">
        <v>40</v>
      </c>
      <c r="D3024">
        <v>5.7389270000000003</v>
      </c>
      <c r="E3024">
        <v>0.43854650000000001</v>
      </c>
      <c r="F3024" t="s">
        <v>83</v>
      </c>
      <c r="G3024">
        <v>-243.19460000000001</v>
      </c>
      <c r="H3024">
        <v>0.23461290000000001</v>
      </c>
      <c r="I3024">
        <v>230.45859999999999</v>
      </c>
      <c r="J3024">
        <v>-340.93279999999999</v>
      </c>
      <c r="K3024">
        <v>1.120619</v>
      </c>
      <c r="L3024">
        <v>214.00299999999999</v>
      </c>
      <c r="M3024">
        <v>0.99982159999999998</v>
      </c>
      <c r="N3024">
        <v>-1.494061E-2</v>
      </c>
      <c r="O3024">
        <v>1.1560539999999999E-2</v>
      </c>
      <c r="P3024">
        <v>0.97761200000000004</v>
      </c>
      <c r="Q3024">
        <v>0.21041029999999999</v>
      </c>
      <c r="R3024">
        <v>-1.517495E-3</v>
      </c>
      <c r="S3024">
        <v>3.0746769999999999</v>
      </c>
      <c r="T3024">
        <v>-2.773523E-2</v>
      </c>
      <c r="U3024">
        <v>0.51528929999999995</v>
      </c>
      <c r="V3024">
        <v>1.2964989999999999E-2</v>
      </c>
      <c r="W3024">
        <v>0.22498309999999999</v>
      </c>
      <c r="X3024">
        <v>0.97427640000000004</v>
      </c>
      <c r="Y3024">
        <v>-0.1538561</v>
      </c>
      <c r="Z3024">
        <v>1.9146020000000001E-3</v>
      </c>
      <c r="AA3024">
        <v>0.98809139999999995</v>
      </c>
      <c r="AB3024">
        <v>49</v>
      </c>
      <c r="AC3024">
        <v>97.738199999999907</v>
      </c>
      <c r="AD3024">
        <v>-0.88600610000000002</v>
      </c>
      <c r="AE3024">
        <v>16.4556</v>
      </c>
      <c r="AF3024">
        <v>-15.3232431672164</v>
      </c>
      <c r="AG3024">
        <v>-0.88600610000000002</v>
      </c>
      <c r="AH3024">
        <v>97.914099617936998</v>
      </c>
      <c r="AI3024">
        <v>90.512210425256498</v>
      </c>
      <c r="AJ3024">
        <v>98.8944621712713</v>
      </c>
      <c r="AK3024">
        <v>99.109826414751495</v>
      </c>
      <c r="AL3024">
        <v>76.998115548376305</v>
      </c>
      <c r="AM3024">
        <v>89.2375927768487</v>
      </c>
      <c r="AN3024">
        <v>0.99999999492413505</v>
      </c>
    </row>
    <row r="3025" spans="1:40" x14ac:dyDescent="0.25">
      <c r="A3025" t="str">
        <f>"20190303170557377"</f>
        <v>20190303170557377</v>
      </c>
      <c r="B3025" t="str">
        <f>"1551603957368238"</f>
        <v>1551603957368238</v>
      </c>
      <c r="C3025" t="s">
        <v>40</v>
      </c>
      <c r="D3025">
        <v>5.7137979999999997</v>
      </c>
      <c r="E3025">
        <v>0.43807570000000001</v>
      </c>
      <c r="F3025" t="s">
        <v>83</v>
      </c>
      <c r="G3025">
        <v>-243.19460000000001</v>
      </c>
      <c r="H3025">
        <v>0.29151389999999999</v>
      </c>
      <c r="I3025">
        <v>230.53440000000001</v>
      </c>
      <c r="J3025">
        <v>-340.40199999999999</v>
      </c>
      <c r="K3025">
        <v>1.120611</v>
      </c>
      <c r="L3025">
        <v>214.00899999999999</v>
      </c>
      <c r="M3025">
        <v>0.99982459999999995</v>
      </c>
      <c r="N3025">
        <v>-1.493737E-2</v>
      </c>
      <c r="O3025">
        <v>1.1316629999999999E-2</v>
      </c>
      <c r="P3025">
        <v>0.97771540000000001</v>
      </c>
      <c r="Q3025">
        <v>0.20992810000000001</v>
      </c>
      <c r="R3025">
        <v>-1.7696729999999901E-3</v>
      </c>
      <c r="S3025">
        <v>3.0751339999999998</v>
      </c>
      <c r="T3025">
        <v>-2.6086209999999999E-2</v>
      </c>
      <c r="U3025">
        <v>0.52012630000000004</v>
      </c>
      <c r="V3025">
        <v>1.2985699999999999E-2</v>
      </c>
      <c r="W3025">
        <v>0.22449939999999999</v>
      </c>
      <c r="X3025">
        <v>0.97438769999999997</v>
      </c>
      <c r="Y3025">
        <v>-0.15558549999999999</v>
      </c>
      <c r="Z3025">
        <v>1.898191E-3</v>
      </c>
      <c r="AA3025">
        <v>0.98782060000000005</v>
      </c>
      <c r="AB3025">
        <v>49</v>
      </c>
      <c r="AC3025">
        <v>97.207399999999893</v>
      </c>
      <c r="AD3025">
        <v>-0.82909709999999903</v>
      </c>
      <c r="AE3025">
        <v>16.525399999999902</v>
      </c>
      <c r="AF3025">
        <v>-15.4230684060523</v>
      </c>
      <c r="AG3025">
        <v>-0.82909709999999903</v>
      </c>
      <c r="AH3025">
        <v>97.381321425879605</v>
      </c>
      <c r="AI3025">
        <v>90.481795213684904</v>
      </c>
      <c r="AJ3025">
        <v>98.999645468325795</v>
      </c>
      <c r="AK3025">
        <v>98.598581144504706</v>
      </c>
      <c r="AL3025">
        <v>77.0265571553104</v>
      </c>
      <c r="AM3025">
        <v>89.236462282994495</v>
      </c>
      <c r="AN3025">
        <v>0.99999999945806906</v>
      </c>
    </row>
    <row r="3026" spans="1:40" x14ac:dyDescent="0.25">
      <c r="A3026" t="str">
        <f>"20190303170557397"</f>
        <v>20190303170557397</v>
      </c>
      <c r="B3026" t="str">
        <f>"1551603957387757"</f>
        <v>1551603957387757</v>
      </c>
      <c r="C3026" t="s">
        <v>40</v>
      </c>
      <c r="D3026">
        <v>5.7248700000000001</v>
      </c>
      <c r="E3026">
        <v>0.43763459999999899</v>
      </c>
      <c r="F3026" t="s">
        <v>83</v>
      </c>
      <c r="G3026">
        <v>-243.19460000000001</v>
      </c>
      <c r="H3026">
        <v>0.26406669999999999</v>
      </c>
      <c r="I3026">
        <v>230.55510000000001</v>
      </c>
      <c r="J3026">
        <v>-339.9486</v>
      </c>
      <c r="K3026">
        <v>1.1206039999999999</v>
      </c>
      <c r="L3026">
        <v>214.01400000000001</v>
      </c>
      <c r="M3026">
        <v>0.99982689999999996</v>
      </c>
      <c r="N3026">
        <v>-1.493421E-2</v>
      </c>
      <c r="O3026">
        <v>1.110795E-2</v>
      </c>
      <c r="P3026">
        <v>0.97781969999999996</v>
      </c>
      <c r="Q3026">
        <v>0.20943529999999999</v>
      </c>
      <c r="R3026">
        <v>-2.3770570000000001E-3</v>
      </c>
      <c r="S3026">
        <v>3.0751650000000001</v>
      </c>
      <c r="T3026">
        <v>-2.7096990000000001E-2</v>
      </c>
      <c r="U3026">
        <v>0.5234375</v>
      </c>
      <c r="V3026">
        <v>1.3394430000000001E-2</v>
      </c>
      <c r="W3026">
        <v>0.2240045</v>
      </c>
      <c r="X3026">
        <v>0.97449609999999998</v>
      </c>
      <c r="Y3026">
        <v>-0.15682279999999901</v>
      </c>
      <c r="Z3026">
        <v>1.9330840000000001E-3</v>
      </c>
      <c r="AA3026">
        <v>0.98762490000000003</v>
      </c>
      <c r="AB3026">
        <v>49</v>
      </c>
      <c r="AC3026">
        <v>96.754000000000005</v>
      </c>
      <c r="AD3026">
        <v>-0.85653729999999995</v>
      </c>
      <c r="AE3026">
        <v>16.5411</v>
      </c>
      <c r="AF3026">
        <v>-15.464043420264099</v>
      </c>
      <c r="AG3026">
        <v>-0.85653729999999995</v>
      </c>
      <c r="AH3026">
        <v>96.924407254262206</v>
      </c>
      <c r="AI3026">
        <v>90.499995789935795</v>
      </c>
      <c r="AJ3026">
        <v>99.064993958340494</v>
      </c>
      <c r="AK3026">
        <v>98.154016813578096</v>
      </c>
      <c r="AL3026">
        <v>77.0556544015095</v>
      </c>
      <c r="AM3026">
        <v>89.212520210408499</v>
      </c>
      <c r="AN3026">
        <v>1.0000000378452401</v>
      </c>
    </row>
    <row r="3027" spans="1:40" x14ac:dyDescent="0.25">
      <c r="A3027" t="str">
        <f>"20190303170557419"</f>
        <v>20190303170557419</v>
      </c>
      <c r="B3027" t="str">
        <f>"1551603957408254"</f>
        <v>1551603957408254</v>
      </c>
      <c r="C3027" t="s">
        <v>40</v>
      </c>
      <c r="D3027">
        <v>5.73848</v>
      </c>
      <c r="E3027">
        <v>0.43726799999999999</v>
      </c>
      <c r="F3027" t="s">
        <v>83</v>
      </c>
      <c r="G3027">
        <v>-243.19460000000001</v>
      </c>
      <c r="H3027">
        <v>0.25288060000000001</v>
      </c>
      <c r="I3027">
        <v>230.55889999999999</v>
      </c>
      <c r="J3027">
        <v>-339.46190000000001</v>
      </c>
      <c r="K3027">
        <v>1.120598</v>
      </c>
      <c r="L3027">
        <v>214.01920000000001</v>
      </c>
      <c r="M3027">
        <v>0.99982939999999998</v>
      </c>
      <c r="N3027">
        <v>-1.493075E-2</v>
      </c>
      <c r="O3027">
        <v>1.088506E-2</v>
      </c>
      <c r="P3027">
        <v>0.97782239999999998</v>
      </c>
      <c r="Q3027">
        <v>0.2094095</v>
      </c>
      <c r="R3027">
        <v>-3.3724699999999998E-3</v>
      </c>
      <c r="S3027">
        <v>3.0752259999999998</v>
      </c>
      <c r="T3027">
        <v>-2.7579780000000002E-2</v>
      </c>
      <c r="U3027">
        <v>0.52586359999999999</v>
      </c>
      <c r="V3027">
        <v>1.4175719999999999E-2</v>
      </c>
      <c r="W3027">
        <v>0.22397429999999999</v>
      </c>
      <c r="X3027">
        <v>0.97449200000000002</v>
      </c>
      <c r="Y3027">
        <v>-0.1577963</v>
      </c>
      <c r="Z3027">
        <v>1.953612E-3</v>
      </c>
      <c r="AA3027">
        <v>0.98746970000000001</v>
      </c>
      <c r="AB3027">
        <v>49</v>
      </c>
      <c r="AC3027">
        <v>96.267300000000006</v>
      </c>
      <c r="AD3027">
        <v>-0.86771739999999997</v>
      </c>
      <c r="AE3027">
        <v>16.5396999999999</v>
      </c>
      <c r="AF3027">
        <v>-15.4895055046008</v>
      </c>
      <c r="AG3027">
        <v>-0.86771739999999997</v>
      </c>
      <c r="AH3027">
        <v>96.434040959958907</v>
      </c>
      <c r="AI3027">
        <v>90.509011819439493</v>
      </c>
      <c r="AJ3027">
        <v>99.125066545979095</v>
      </c>
      <c r="AK3027">
        <v>97.673957481666207</v>
      </c>
      <c r="AL3027">
        <v>77.0574299799774</v>
      </c>
      <c r="AM3027">
        <v>89.166589726082705</v>
      </c>
      <c r="AN3027">
        <v>1.0000000480810001</v>
      </c>
    </row>
    <row r="3028" spans="1:40" x14ac:dyDescent="0.25">
      <c r="A3028" t="str">
        <f>"20190303170557444"</f>
        <v>20190303170557444</v>
      </c>
      <c r="B3028" t="str">
        <f>"1551603957437533"</f>
        <v>1551603957437533</v>
      </c>
      <c r="C3028" t="s">
        <v>40</v>
      </c>
      <c r="D3028">
        <v>5.7293699999999896</v>
      </c>
      <c r="E3028">
        <v>0.43670589999999998</v>
      </c>
      <c r="F3028" t="s">
        <v>83</v>
      </c>
      <c r="G3028">
        <v>-243.19460000000001</v>
      </c>
      <c r="H3028">
        <v>0.2782097</v>
      </c>
      <c r="I3028">
        <v>230.4941</v>
      </c>
      <c r="J3028">
        <v>-338.93610000000001</v>
      </c>
      <c r="K3028">
        <v>1.1205909999999999</v>
      </c>
      <c r="L3028">
        <v>214.0248</v>
      </c>
      <c r="M3028">
        <v>0.99983200000000005</v>
      </c>
      <c r="N3028">
        <v>-1.4927080000000001E-2</v>
      </c>
      <c r="O3028">
        <v>1.0646879999999999E-2</v>
      </c>
      <c r="P3028">
        <v>0.97783580000000003</v>
      </c>
      <c r="Q3028">
        <v>0.20931</v>
      </c>
      <c r="R3028">
        <v>-5.1476320000000001E-3</v>
      </c>
      <c r="S3028">
        <v>3.0756230000000002</v>
      </c>
      <c r="T3028">
        <v>-2.6913400000000001E-2</v>
      </c>
      <c r="U3028">
        <v>0.52635189999999998</v>
      </c>
      <c r="V3028">
        <v>1.5720729999999999E-2</v>
      </c>
      <c r="W3028">
        <v>0.2238697</v>
      </c>
      <c r="X3028">
        <v>0.97449229999999998</v>
      </c>
      <c r="Y3028">
        <v>-0.15816329999999901</v>
      </c>
      <c r="Z3028">
        <v>1.9414650000000001E-3</v>
      </c>
      <c r="AA3028">
        <v>0.98741109999999999</v>
      </c>
      <c r="AB3028">
        <v>49</v>
      </c>
      <c r="AC3028">
        <v>95.741500000000002</v>
      </c>
      <c r="AD3028">
        <v>-0.842381299999999</v>
      </c>
      <c r="AE3028">
        <v>16.4693</v>
      </c>
      <c r="AF3028">
        <v>-15.447743080735</v>
      </c>
      <c r="AG3028">
        <v>-0.842381299999999</v>
      </c>
      <c r="AH3028">
        <v>95.9042274667257</v>
      </c>
      <c r="AI3028">
        <v>90.496844700117293</v>
      </c>
      <c r="AJ3028">
        <v>99.150304691631007</v>
      </c>
      <c r="AK3028">
        <v>97.144033365577599</v>
      </c>
      <c r="AL3028">
        <v>77.063578809469206</v>
      </c>
      <c r="AM3028">
        <v>89.075771708002605</v>
      </c>
      <c r="AN3028">
        <v>1.0000000133445499</v>
      </c>
    </row>
    <row r="3029" spans="1:40" x14ac:dyDescent="0.25">
      <c r="A3029" t="str">
        <f>"20190303170557466"</f>
        <v>20190303170557466</v>
      </c>
      <c r="B3029" t="str">
        <f>"1551603957458029"</f>
        <v>1551603957458029</v>
      </c>
      <c r="C3029" t="s">
        <v>40</v>
      </c>
      <c r="D3029">
        <v>5.7196730000000002</v>
      </c>
      <c r="E3029">
        <v>0.43633519999999998</v>
      </c>
      <c r="F3029" t="s">
        <v>83</v>
      </c>
      <c r="G3029">
        <v>-242.90129999999999</v>
      </c>
      <c r="H3029">
        <v>0.28391359999999999</v>
      </c>
      <c r="I3029">
        <v>230.41890000000001</v>
      </c>
      <c r="J3029">
        <v>-338.42919999999998</v>
      </c>
      <c r="K3029">
        <v>1.120593</v>
      </c>
      <c r="L3029">
        <v>214.03</v>
      </c>
      <c r="M3029">
        <v>0.99983440000000001</v>
      </c>
      <c r="N3029">
        <v>-1.492361E-2</v>
      </c>
      <c r="O3029">
        <v>1.0420209999999999E-2</v>
      </c>
      <c r="P3029">
        <v>0.97781669999999998</v>
      </c>
      <c r="Q3029">
        <v>0.20936560000000001</v>
      </c>
      <c r="R3029">
        <v>-6.3809210000000003E-3</v>
      </c>
      <c r="S3029">
        <v>3.076508</v>
      </c>
      <c r="T3029">
        <v>-2.680337E-2</v>
      </c>
      <c r="U3029">
        <v>0.52519229999999995</v>
      </c>
      <c r="V3029">
        <v>1.673324E-2</v>
      </c>
      <c r="W3029">
        <v>0.22392090000000001</v>
      </c>
      <c r="X3029">
        <v>0.97446370000000004</v>
      </c>
      <c r="Y3029">
        <v>-0.15797839999999999</v>
      </c>
      <c r="Z3029">
        <v>1.934945E-3</v>
      </c>
      <c r="AA3029">
        <v>0.98744069999999995</v>
      </c>
      <c r="AB3029">
        <v>49</v>
      </c>
      <c r="AC3029">
        <v>95.527900000000002</v>
      </c>
      <c r="AD3029">
        <v>-0.83667939999999996</v>
      </c>
      <c r="AE3029">
        <v>16.3889</v>
      </c>
      <c r="AF3029">
        <v>-15.3913315076791</v>
      </c>
      <c r="AG3029">
        <v>-0.83667939999999996</v>
      </c>
      <c r="AH3029">
        <v>95.686376917943903</v>
      </c>
      <c r="AI3029">
        <v>90.494622583527402</v>
      </c>
      <c r="AJ3029">
        <v>99.137860158485694</v>
      </c>
      <c r="AK3029">
        <v>96.919945551369807</v>
      </c>
      <c r="AL3029">
        <v>77.060569159849805</v>
      </c>
      <c r="AM3029">
        <v>89.016228299015197</v>
      </c>
      <c r="AN3029">
        <v>1.00000003669769</v>
      </c>
    </row>
    <row r="3030" spans="1:40" x14ac:dyDescent="0.25">
      <c r="A3030" t="str">
        <f>"20190303170557489"</f>
        <v>20190303170557489</v>
      </c>
      <c r="B3030" t="str">
        <f>"1551603957477549"</f>
        <v>1551603957477549</v>
      </c>
      <c r="C3030" t="s">
        <v>40</v>
      </c>
      <c r="D3030">
        <v>5.7547169999999896</v>
      </c>
      <c r="E3030">
        <v>0.43587579999999998</v>
      </c>
      <c r="F3030" t="s">
        <v>83</v>
      </c>
      <c r="G3030">
        <v>-242.26900000000001</v>
      </c>
      <c r="H3030">
        <v>0.29990149999999999</v>
      </c>
      <c r="I3030">
        <v>230.41890000000001</v>
      </c>
      <c r="J3030">
        <v>-337.94920000000002</v>
      </c>
      <c r="K3030">
        <v>1.120593</v>
      </c>
      <c r="L3030">
        <v>214.03489999999999</v>
      </c>
      <c r="M3030">
        <v>0.99983670000000002</v>
      </c>
      <c r="N3030">
        <v>-1.492051E-2</v>
      </c>
      <c r="O3030">
        <v>1.020804E-2</v>
      </c>
      <c r="P3030">
        <v>0.97775279999999998</v>
      </c>
      <c r="Q3030">
        <v>0.20963419999999999</v>
      </c>
      <c r="R3030">
        <v>-7.3092230000000001E-3</v>
      </c>
      <c r="S3030">
        <v>3.077118</v>
      </c>
      <c r="T3030">
        <v>-2.626216E-2</v>
      </c>
      <c r="U3030">
        <v>0.52444460000000004</v>
      </c>
      <c r="V3030">
        <v>1.7453710000000001E-2</v>
      </c>
      <c r="W3030">
        <v>0.22418479999999999</v>
      </c>
      <c r="X3030">
        <v>0.97439030000000004</v>
      </c>
      <c r="Y3030">
        <v>-0.1579227</v>
      </c>
      <c r="Z3030">
        <v>1.920562E-3</v>
      </c>
      <c r="AA3030">
        <v>0.98744960000000004</v>
      </c>
      <c r="AB3030">
        <v>49</v>
      </c>
      <c r="AC3030">
        <v>95.680199999999999</v>
      </c>
      <c r="AD3030">
        <v>-0.82069149999999902</v>
      </c>
      <c r="AE3030">
        <v>16.384</v>
      </c>
      <c r="AF3030">
        <v>-15.405229111579599</v>
      </c>
      <c r="AG3030">
        <v>-0.82069149999999902</v>
      </c>
      <c r="AH3030">
        <v>95.835630740323694</v>
      </c>
      <c r="AI3030">
        <v>90.484423861939007</v>
      </c>
      <c r="AJ3030">
        <v>99.131968104675096</v>
      </c>
      <c r="AK3030">
        <v>97.069370750582806</v>
      </c>
      <c r="AL3030">
        <v>77.045053316438</v>
      </c>
      <c r="AM3030">
        <v>88.973802401347996</v>
      </c>
      <c r="AN3030">
        <v>0.99999995663894603</v>
      </c>
    </row>
    <row r="3031" spans="1:40" x14ac:dyDescent="0.25">
      <c r="A3031" t="str">
        <f>"20190303170557509"</f>
        <v>20190303170557509</v>
      </c>
      <c r="B3031" t="str">
        <f>"1551603957498045"</f>
        <v>1551603957498045</v>
      </c>
      <c r="C3031" t="s">
        <v>40</v>
      </c>
      <c r="D3031">
        <v>5.7682769999999897</v>
      </c>
      <c r="E3031">
        <v>0.43547469999999999</v>
      </c>
      <c r="F3031" t="s">
        <v>83</v>
      </c>
      <c r="G3031">
        <v>-241.9085</v>
      </c>
      <c r="H3031">
        <v>0.35101890000000002</v>
      </c>
      <c r="I3031">
        <v>230.41890000000001</v>
      </c>
      <c r="J3031">
        <v>-337.48689999999999</v>
      </c>
      <c r="K3031">
        <v>1.120598</v>
      </c>
      <c r="L3031">
        <v>214.0394</v>
      </c>
      <c r="M3031">
        <v>0.99983880000000003</v>
      </c>
      <c r="N3031">
        <v>-1.49175E-2</v>
      </c>
      <c r="O3031">
        <v>1.000669E-2</v>
      </c>
      <c r="P3031">
        <v>0.97772539999999997</v>
      </c>
      <c r="Q3031">
        <v>0.20974090000000001</v>
      </c>
      <c r="R3031">
        <v>-7.8713350000000001E-3</v>
      </c>
      <c r="S3031">
        <v>3.077515</v>
      </c>
      <c r="T3031">
        <v>-2.4660230000000002E-2</v>
      </c>
      <c r="U3031">
        <v>0.52500919999999995</v>
      </c>
      <c r="V3031">
        <v>1.781831E-2</v>
      </c>
      <c r="W3031">
        <v>0.22428799999999999</v>
      </c>
      <c r="X3031">
        <v>0.97436</v>
      </c>
      <c r="Y3031">
        <v>-0.158277799999999</v>
      </c>
      <c r="Z3031">
        <v>1.887384E-3</v>
      </c>
      <c r="AA3031">
        <v>0.98739279999999996</v>
      </c>
      <c r="AB3031">
        <v>49</v>
      </c>
      <c r="AC3031">
        <v>95.578400000000002</v>
      </c>
      <c r="AD3031">
        <v>-0.76957909999999996</v>
      </c>
      <c r="AE3031">
        <v>16.3795</v>
      </c>
      <c r="AF3031">
        <v>-15.421178754947601</v>
      </c>
      <c r="AG3031">
        <v>-0.76957909999999996</v>
      </c>
      <c r="AH3031">
        <v>95.731506937527101</v>
      </c>
      <c r="AI3031">
        <v>90.454725110693701</v>
      </c>
      <c r="AJ3031">
        <v>99.151037739711896</v>
      </c>
      <c r="AK3031">
        <v>96.968687867336897</v>
      </c>
      <c r="AL3031">
        <v>77.038986512447806</v>
      </c>
      <c r="AM3031">
        <v>88.952337761495301</v>
      </c>
      <c r="AN3031">
        <v>1.00000000435762</v>
      </c>
    </row>
    <row r="3032" spans="1:40" x14ac:dyDescent="0.25">
      <c r="A3032" t="str">
        <f>"20190303170557533"</f>
        <v>20190303170557533</v>
      </c>
      <c r="B3032" t="str">
        <f>"1551603957527326"</f>
        <v>1551603957527326</v>
      </c>
      <c r="C3032" t="s">
        <v>40</v>
      </c>
      <c r="D3032">
        <v>6.0175599999999996</v>
      </c>
      <c r="E3032">
        <v>0.4351315</v>
      </c>
      <c r="F3032" t="s">
        <v>83</v>
      </c>
      <c r="G3032">
        <v>-241.83420000000001</v>
      </c>
      <c r="H3032">
        <v>0.39282889999999998</v>
      </c>
      <c r="I3032">
        <v>230.41890000000001</v>
      </c>
      <c r="J3032">
        <v>-336.98410000000001</v>
      </c>
      <c r="K3032">
        <v>1.120601</v>
      </c>
      <c r="L3032">
        <v>214.04429999999999</v>
      </c>
      <c r="M3032">
        <v>0.99984099999999998</v>
      </c>
      <c r="N3032">
        <v>-1.4914139999999999E-2</v>
      </c>
      <c r="O3032">
        <v>9.7920070000000001E-3</v>
      </c>
      <c r="P3032">
        <v>0.97769680000000003</v>
      </c>
      <c r="Q3032">
        <v>0.20985119999999999</v>
      </c>
      <c r="R3032">
        <v>-8.4823929999999995E-3</v>
      </c>
      <c r="S3032">
        <v>3.0776059999999998</v>
      </c>
      <c r="T3032">
        <v>-2.341592E-2</v>
      </c>
      <c r="U3032">
        <v>0.52700809999999998</v>
      </c>
      <c r="V3032">
        <v>1.8218189999999999E-2</v>
      </c>
      <c r="W3032">
        <v>0.22439439999999999</v>
      </c>
      <c r="X3032">
        <v>0.97432810000000003</v>
      </c>
      <c r="Y3032">
        <v>-0.1591089</v>
      </c>
      <c r="Z3032">
        <v>1.867163E-3</v>
      </c>
      <c r="AA3032">
        <v>0.98725929999999995</v>
      </c>
      <c r="AB3032">
        <v>49</v>
      </c>
      <c r="AC3032">
        <v>95.149900000000002</v>
      </c>
      <c r="AD3032">
        <v>-0.72777209999999903</v>
      </c>
      <c r="AE3032">
        <v>16.374600000000001</v>
      </c>
      <c r="AF3032">
        <v>-15.4411254543102</v>
      </c>
      <c r="AG3032">
        <v>-0.72777209999999903</v>
      </c>
      <c r="AH3032">
        <v>95.300280302275993</v>
      </c>
      <c r="AI3032">
        <v>90.431905297450598</v>
      </c>
      <c r="AJ3032">
        <v>99.203426067744303</v>
      </c>
      <c r="AK3032">
        <v>96.545851455242001</v>
      </c>
      <c r="AL3032">
        <v>77.032730701022203</v>
      </c>
      <c r="AM3032">
        <v>88.928796393716596</v>
      </c>
      <c r="AN3032">
        <v>0.99999999782392301</v>
      </c>
    </row>
    <row r="3033" spans="1:40" x14ac:dyDescent="0.25">
      <c r="A3033" t="str">
        <f>"20190303170557555"</f>
        <v>20190303170557555</v>
      </c>
      <c r="B3033" t="str">
        <f>"1551603957547822"</f>
        <v>1551603957547822</v>
      </c>
      <c r="C3033" t="s">
        <v>40</v>
      </c>
      <c r="D3033">
        <v>5.8271930000000003</v>
      </c>
      <c r="E3033">
        <v>0.47032489999999999</v>
      </c>
      <c r="F3033" t="s">
        <v>83</v>
      </c>
      <c r="G3033">
        <v>-241.72640000000001</v>
      </c>
      <c r="H3033">
        <v>0.40508840000000002</v>
      </c>
      <c r="I3033">
        <v>230.41890000000001</v>
      </c>
      <c r="J3033">
        <v>-336.48509999999999</v>
      </c>
      <c r="K3033">
        <v>1.1206</v>
      </c>
      <c r="L3033">
        <v>214.04900000000001</v>
      </c>
      <c r="M3033">
        <v>0.99984300000000004</v>
      </c>
      <c r="N3033">
        <v>-1.491079E-2</v>
      </c>
      <c r="O3033">
        <v>9.5834240000000001E-3</v>
      </c>
      <c r="P3033">
        <v>0.97772210000000004</v>
      </c>
      <c r="Q3033">
        <v>0.20967</v>
      </c>
      <c r="R3033">
        <v>-9.9285169999999996E-3</v>
      </c>
      <c r="S3033">
        <v>3.0779719999999999</v>
      </c>
      <c r="T3033">
        <v>-2.3119810000000001E-2</v>
      </c>
      <c r="U3033">
        <v>0.52909849999999903</v>
      </c>
      <c r="V3033">
        <v>1.9458679999999999E-2</v>
      </c>
      <c r="W3033">
        <v>0.2242094</v>
      </c>
      <c r="X3033">
        <v>0.97434670000000001</v>
      </c>
      <c r="Y3033">
        <v>-0.1599467</v>
      </c>
      <c r="Z3033">
        <v>1.8680459999999999E-3</v>
      </c>
      <c r="AA3033">
        <v>0.98712390000000005</v>
      </c>
      <c r="AB3033">
        <v>49</v>
      </c>
      <c r="AC3033">
        <v>94.758699999999905</v>
      </c>
      <c r="AD3033">
        <v>-0.71551160000000003</v>
      </c>
      <c r="AE3033">
        <v>16.369900000000001</v>
      </c>
      <c r="AF3033">
        <v>-15.4600784911394</v>
      </c>
      <c r="AG3033">
        <v>-0.71551160000000003</v>
      </c>
      <c r="AH3033">
        <v>94.905990306583206</v>
      </c>
      <c r="AI3033">
        <v>90.426334589914404</v>
      </c>
      <c r="AJ3033">
        <v>99.252150402198794</v>
      </c>
      <c r="AK3033">
        <v>96.159622398776094</v>
      </c>
      <c r="AL3033">
        <v>77.043607509498102</v>
      </c>
      <c r="AM3033">
        <v>88.855897955274401</v>
      </c>
      <c r="AN3033">
        <v>0.99999999353829605</v>
      </c>
    </row>
    <row r="3034" spans="1:40" x14ac:dyDescent="0.25">
      <c r="A3034" t="str">
        <f>"20190303170557577"</f>
        <v>20190303170557577</v>
      </c>
      <c r="B3034" t="str">
        <f>"1551603957567341"</f>
        <v>1551603957567341</v>
      </c>
      <c r="C3034" t="s">
        <v>40</v>
      </c>
      <c r="D3034">
        <v>5.6763430000000001</v>
      </c>
      <c r="E3034">
        <v>0.48397370000000001</v>
      </c>
      <c r="F3034" t="s">
        <v>64</v>
      </c>
      <c r="G3034">
        <v>-306.61579999999998</v>
      </c>
      <c r="H3034" s="1">
        <v>1.4797329999999899E-6</v>
      </c>
      <c r="I3034">
        <v>216.45699999999999</v>
      </c>
      <c r="J3034">
        <v>-336.0061</v>
      </c>
      <c r="K3034">
        <v>1.1206050000000001</v>
      </c>
      <c r="L3034">
        <v>214.05350000000001</v>
      </c>
      <c r="M3034">
        <v>0.99984499999999998</v>
      </c>
      <c r="N3034">
        <v>-1.49076E-2</v>
      </c>
      <c r="O3034">
        <v>9.3902489999999998E-3</v>
      </c>
      <c r="P3034">
        <v>0.97761569999999998</v>
      </c>
      <c r="Q3034">
        <v>0.21012990000000001</v>
      </c>
      <c r="R3034">
        <v>-1.0657109999999999E-2</v>
      </c>
      <c r="S3034">
        <v>3.0957949999999999</v>
      </c>
      <c r="T3034">
        <v>-0.11614380000000001</v>
      </c>
      <c r="U3034">
        <v>0.24957280000000001</v>
      </c>
      <c r="V3034">
        <v>1.999532E-2</v>
      </c>
      <c r="W3034">
        <v>0.2246648</v>
      </c>
      <c r="X3034">
        <v>0.97423090000000001</v>
      </c>
      <c r="Y3034">
        <v>-7.0924539999999994E-2</v>
      </c>
      <c r="Z3034">
        <v>1.64579999999999E-3</v>
      </c>
      <c r="AA3034">
        <v>0.99748029999999999</v>
      </c>
      <c r="AB3034">
        <v>49</v>
      </c>
      <c r="AC3034">
        <v>29.3903</v>
      </c>
      <c r="AD3034">
        <v>-1.1206035202669999</v>
      </c>
      <c r="AE3034">
        <v>2.4034999999999802</v>
      </c>
      <c r="AF3034">
        <v>-2.1243134127565799</v>
      </c>
      <c r="AG3034">
        <v>-1.1206035202669999</v>
      </c>
      <c r="AH3034">
        <v>29.369163492559501</v>
      </c>
      <c r="AI3034">
        <v>92.179417287455095</v>
      </c>
      <c r="AJ3034">
        <v>94.137080510522296</v>
      </c>
      <c r="AK3034">
        <v>29.467205907210499</v>
      </c>
      <c r="AL3034">
        <v>77.016831562094595</v>
      </c>
      <c r="AM3034">
        <v>88.824214443151604</v>
      </c>
      <c r="AN3034">
        <v>0.99999996584787498</v>
      </c>
    </row>
    <row r="3035" spans="1:40" x14ac:dyDescent="0.25">
      <c r="A3035" t="str">
        <f>"20190303170557599"</f>
        <v>20190303170557599</v>
      </c>
      <c r="B3035" t="str">
        <f>"1551603957587838"</f>
        <v>1551603957587838</v>
      </c>
      <c r="C3035" t="s">
        <v>40</v>
      </c>
      <c r="D3035">
        <v>5.6486580000000002</v>
      </c>
      <c r="E3035">
        <v>0.4886006</v>
      </c>
      <c r="F3035" t="s">
        <v>64</v>
      </c>
      <c r="G3035">
        <v>-305.43810000000002</v>
      </c>
      <c r="H3035" s="1">
        <v>1.6886279999999999E-6</v>
      </c>
      <c r="I3035">
        <v>215.4239</v>
      </c>
      <c r="J3035">
        <v>-335.53230000000002</v>
      </c>
      <c r="K3035">
        <v>1.1206149999999999</v>
      </c>
      <c r="L3035">
        <v>214.05779999999999</v>
      </c>
      <c r="M3035">
        <v>0.99984649999999997</v>
      </c>
      <c r="N3035">
        <v>-1.490447E-2</v>
      </c>
      <c r="O3035">
        <v>9.2092200000000006E-3</v>
      </c>
      <c r="P3035">
        <v>0.97741509999999998</v>
      </c>
      <c r="Q3035">
        <v>0.21102280000000001</v>
      </c>
      <c r="R3035">
        <v>-1.136064E-2</v>
      </c>
      <c r="S3035">
        <v>3.0945740000000002</v>
      </c>
      <c r="T3035">
        <v>-0.113445</v>
      </c>
      <c r="U3035">
        <v>0.13873289999999999</v>
      </c>
      <c r="V3035">
        <v>2.051675E-2</v>
      </c>
      <c r="W3035">
        <v>0.2255508</v>
      </c>
      <c r="X3035">
        <v>0.97401539999999998</v>
      </c>
      <c r="Y3035">
        <v>-3.5551760000000002E-2</v>
      </c>
      <c r="Z3035">
        <v>7.1619740000000004E-4</v>
      </c>
      <c r="AA3035">
        <v>0.99936760000000002</v>
      </c>
      <c r="AB3035">
        <v>49</v>
      </c>
      <c r="AC3035">
        <v>30.094200000000001</v>
      </c>
      <c r="AD3035">
        <v>-1.1206133113719901</v>
      </c>
      <c r="AE3035">
        <v>1.3661000000000101</v>
      </c>
      <c r="AF3035">
        <v>-1.0873625386377199</v>
      </c>
      <c r="AG3035">
        <v>-1.1206133113719901</v>
      </c>
      <c r="AH3035">
        <v>30.0639052775172</v>
      </c>
      <c r="AI3035">
        <v>92.133282591805596</v>
      </c>
      <c r="AJ3035">
        <v>92.071392205788996</v>
      </c>
      <c r="AK3035">
        <v>30.104427116615</v>
      </c>
      <c r="AL3035">
        <v>76.964731373707096</v>
      </c>
      <c r="AM3035">
        <v>88.793294877787403</v>
      </c>
      <c r="AN3035">
        <v>1.0000000499241799</v>
      </c>
    </row>
    <row r="3036" spans="1:40" x14ac:dyDescent="0.25">
      <c r="A3036" t="str">
        <f>"20190303170557621"</f>
        <v>20190303170557621</v>
      </c>
      <c r="B3036" t="str">
        <f>"1551603957607361"</f>
        <v>1551603957607361</v>
      </c>
      <c r="C3036" t="s">
        <v>40</v>
      </c>
      <c r="D3036">
        <v>5.6610399999999998</v>
      </c>
      <c r="E3036">
        <v>0.49119609999999903</v>
      </c>
      <c r="F3036" t="s">
        <v>64</v>
      </c>
      <c r="G3036">
        <v>-301.33449999999999</v>
      </c>
      <c r="H3036" s="1">
        <v>2.4165460000000001E-6</v>
      </c>
      <c r="I3036">
        <v>215.15889999999999</v>
      </c>
      <c r="J3036">
        <v>-335.04719999999998</v>
      </c>
      <c r="K3036">
        <v>1.120628</v>
      </c>
      <c r="L3036">
        <v>214.06209999999999</v>
      </c>
      <c r="M3036">
        <v>0.99984810000000002</v>
      </c>
      <c r="N3036">
        <v>-1.4901279999999999E-2</v>
      </c>
      <c r="O3036">
        <v>9.0359440000000006E-3</v>
      </c>
      <c r="P3036">
        <v>0.97732229999999998</v>
      </c>
      <c r="Q3036">
        <v>0.21142549999999999</v>
      </c>
      <c r="R3036">
        <v>-1.185101E-2</v>
      </c>
      <c r="S3036">
        <v>3.0923159999999998</v>
      </c>
      <c r="T3036">
        <v>-0.1013305</v>
      </c>
      <c r="U3036">
        <v>9.9563600000000002E-2</v>
      </c>
      <c r="V3036">
        <v>2.0831390000000002E-2</v>
      </c>
      <c r="W3036">
        <v>0.22594939999999999</v>
      </c>
      <c r="X3036">
        <v>0.97391629999999996</v>
      </c>
      <c r="Y3036">
        <v>-2.3130230000000002E-2</v>
      </c>
      <c r="Z3036">
        <v>3.8991010000000002E-4</v>
      </c>
      <c r="AA3036">
        <v>0.99973239999999997</v>
      </c>
      <c r="AB3036">
        <v>49</v>
      </c>
      <c r="AC3036">
        <v>33.712699999999899</v>
      </c>
      <c r="AD3036">
        <v>-1.120625583454</v>
      </c>
      <c r="AE3036">
        <v>1.0968</v>
      </c>
      <c r="AF3036">
        <v>-0.79122198620655604</v>
      </c>
      <c r="AG3036">
        <v>-1.120625583454</v>
      </c>
      <c r="AH3036">
        <v>33.684055992425698</v>
      </c>
      <c r="AI3036">
        <v>91.904929658485003</v>
      </c>
      <c r="AJ3036">
        <v>91.345602367785204</v>
      </c>
      <c r="AK3036">
        <v>33.711978020143199</v>
      </c>
      <c r="AL3036">
        <v>76.941287680717707</v>
      </c>
      <c r="AM3036">
        <v>88.7746701015692</v>
      </c>
      <c r="AN3036">
        <v>1.0000000187876901</v>
      </c>
    </row>
    <row r="3037" spans="1:40" x14ac:dyDescent="0.25">
      <c r="A3037" t="str">
        <f>"20190303170557644"</f>
        <v>20190303170557644</v>
      </c>
      <c r="B3037" t="str">
        <f>"1551603957637614"</f>
        <v>1551603957637614</v>
      </c>
      <c r="C3037" t="s">
        <v>40</v>
      </c>
      <c r="D3037">
        <v>5.6584529999999997</v>
      </c>
      <c r="E3037">
        <v>0.49353409999999898</v>
      </c>
      <c r="F3037" t="s">
        <v>64</v>
      </c>
      <c r="G3037">
        <v>-299.1035</v>
      </c>
      <c r="H3037" s="1">
        <v>2.5092110000000001E-6</v>
      </c>
      <c r="I3037">
        <v>214.96430000000001</v>
      </c>
      <c r="J3037">
        <v>-334.54180000000002</v>
      </c>
      <c r="K3037">
        <v>1.1206499999999999</v>
      </c>
      <c r="L3037">
        <v>214.06659999999999</v>
      </c>
      <c r="M3037">
        <v>0.99984969999999995</v>
      </c>
      <c r="N3037">
        <v>-1.489795E-2</v>
      </c>
      <c r="O3037">
        <v>8.8741400000000008E-3</v>
      </c>
      <c r="P3037">
        <v>0.97713919999999999</v>
      </c>
      <c r="Q3037">
        <v>0.21223690000000001</v>
      </c>
      <c r="R3037">
        <v>-1.243439E-2</v>
      </c>
      <c r="S3037">
        <v>3.0914000000000001</v>
      </c>
      <c r="T3037">
        <v>-9.6381190000000005E-2</v>
      </c>
      <c r="U3037">
        <v>7.7590939999999997E-2</v>
      </c>
      <c r="V3037">
        <v>2.1247200000000001E-2</v>
      </c>
      <c r="W3037">
        <v>0.22675519999999999</v>
      </c>
      <c r="X3037">
        <v>0.97372000000000003</v>
      </c>
      <c r="Y3037">
        <v>-1.6207289999999999E-2</v>
      </c>
      <c r="Z3037">
        <v>2.2897600000000001E-4</v>
      </c>
      <c r="AA3037">
        <v>0.9998686</v>
      </c>
      <c r="AB3037">
        <v>49</v>
      </c>
      <c r="AC3037">
        <v>35.438299999999998</v>
      </c>
      <c r="AD3037">
        <v>-1.1206474907889901</v>
      </c>
      <c r="AE3037">
        <v>0.89770000000001404</v>
      </c>
      <c r="AF3037">
        <v>-0.58256314319451197</v>
      </c>
      <c r="AG3037">
        <v>-1.1206474907889901</v>
      </c>
      <c r="AH3037">
        <v>35.409485322805203</v>
      </c>
      <c r="AI3037">
        <v>91.812459776197002</v>
      </c>
      <c r="AJ3037">
        <v>90.942555307769297</v>
      </c>
      <c r="AK3037">
        <v>35.432003632879301</v>
      </c>
      <c r="AL3037">
        <v>76.893888286398493</v>
      </c>
      <c r="AM3037">
        <v>88.749967415917297</v>
      </c>
      <c r="AN3037">
        <v>1.0000000013174399</v>
      </c>
    </row>
    <row r="3038" spans="1:40" x14ac:dyDescent="0.25">
      <c r="A3038" t="str">
        <f>"20190303170557666"</f>
        <v>20190303170557666</v>
      </c>
      <c r="B3038" t="str">
        <f>"1551603957658110"</f>
        <v>1551603957658110</v>
      </c>
      <c r="C3038" t="s">
        <v>40</v>
      </c>
      <c r="D3038">
        <v>5.664415</v>
      </c>
      <c r="E3038">
        <v>0.49438979999999999</v>
      </c>
      <c r="F3038" t="s">
        <v>64</v>
      </c>
      <c r="G3038">
        <v>-301.60809999999998</v>
      </c>
      <c r="H3038" s="1">
        <v>2.3680099999999999E-6</v>
      </c>
      <c r="I3038">
        <v>214.6866</v>
      </c>
      <c r="J3038">
        <v>-334.04849999999999</v>
      </c>
      <c r="K3038">
        <v>1.120673</v>
      </c>
      <c r="L3038">
        <v>214.07079999999999</v>
      </c>
      <c r="M3038">
        <v>0.99985089999999999</v>
      </c>
      <c r="N3038">
        <v>-1.489472E-2</v>
      </c>
      <c r="O3038">
        <v>8.7398830000000004E-3</v>
      </c>
      <c r="P3038">
        <v>0.97691570000000005</v>
      </c>
      <c r="Q3038">
        <v>0.21319370000000001</v>
      </c>
      <c r="R3038">
        <v>-1.3576909999999999E-2</v>
      </c>
      <c r="S3038">
        <v>3.09375</v>
      </c>
      <c r="T3038">
        <v>-0.10527209999999999</v>
      </c>
      <c r="U3038">
        <v>5.8242799999999997E-2</v>
      </c>
      <c r="V3038">
        <v>2.2246680000000001E-2</v>
      </c>
      <c r="W3038">
        <v>0.22770580000000001</v>
      </c>
      <c r="X3038">
        <v>0.9734758</v>
      </c>
      <c r="Y3038">
        <v>-1.0075809999999999E-2</v>
      </c>
      <c r="Z3038" s="1">
        <v>7.9324929999999999E-5</v>
      </c>
      <c r="AA3038">
        <v>0.99994919999999998</v>
      </c>
      <c r="AB3038">
        <v>49</v>
      </c>
      <c r="AC3038">
        <v>32.440399999999997</v>
      </c>
      <c r="AD3038">
        <v>-1.1206706319899999</v>
      </c>
      <c r="AE3038">
        <v>0.61580000000000701</v>
      </c>
      <c r="AF3038">
        <v>-0.33182387392955498</v>
      </c>
      <c r="AG3038">
        <v>-1.1206706319899999</v>
      </c>
      <c r="AH3038">
        <v>32.405884295677403</v>
      </c>
      <c r="AI3038">
        <v>91.980527869230102</v>
      </c>
      <c r="AJ3038">
        <v>90.586666387945002</v>
      </c>
      <c r="AK3038">
        <v>32.426954015657202</v>
      </c>
      <c r="AL3038">
        <v>76.837959728835003</v>
      </c>
      <c r="AM3038">
        <v>88.690856981643094</v>
      </c>
      <c r="AN3038">
        <v>0.99999998965515102</v>
      </c>
    </row>
    <row r="3039" spans="1:40" x14ac:dyDescent="0.25">
      <c r="A3039" t="str">
        <f>"20190303170557690"</f>
        <v>20190303170557690</v>
      </c>
      <c r="B3039" t="str">
        <f>"1551603957677630"</f>
        <v>1551603957677630</v>
      </c>
      <c r="C3039" t="s">
        <v>40</v>
      </c>
      <c r="D3039">
        <v>5.6387640000000001</v>
      </c>
      <c r="E3039">
        <v>0.49484470000000003</v>
      </c>
      <c r="F3039" t="s">
        <v>64</v>
      </c>
      <c r="G3039">
        <v>-301.17939999999999</v>
      </c>
      <c r="H3039" s="1">
        <v>2.4440569999999999E-6</v>
      </c>
      <c r="I3039">
        <v>214.60230000000001</v>
      </c>
      <c r="J3039">
        <v>-333.54230000000001</v>
      </c>
      <c r="K3039">
        <v>1.1207039999999999</v>
      </c>
      <c r="L3039">
        <v>214.0752</v>
      </c>
      <c r="M3039">
        <v>0.99985210000000002</v>
      </c>
      <c r="N3039">
        <v>-1.4891410000000001E-2</v>
      </c>
      <c r="O3039">
        <v>8.6235510000000001E-3</v>
      </c>
      <c r="P3039">
        <v>0.97675040000000002</v>
      </c>
      <c r="Q3039">
        <v>0.21388380000000001</v>
      </c>
      <c r="R3039">
        <v>-1.457991E-2</v>
      </c>
      <c r="S3039">
        <v>3.0946039999999999</v>
      </c>
      <c r="T3039">
        <v>-0.1055104</v>
      </c>
      <c r="U3039">
        <v>5.0033569999999999E-2</v>
      </c>
      <c r="V3039">
        <v>2.3123040000000001E-2</v>
      </c>
      <c r="W3039">
        <v>0.2283906</v>
      </c>
      <c r="X3039">
        <v>0.97329500000000002</v>
      </c>
      <c r="Y3039">
        <v>-7.5372059999999899E-3</v>
      </c>
      <c r="Z3039" s="1">
        <v>1.9085540000000002E-5</v>
      </c>
      <c r="AA3039">
        <v>0.99997159999999996</v>
      </c>
      <c r="AB3039">
        <v>49</v>
      </c>
      <c r="AC3039">
        <v>32.362900000000003</v>
      </c>
      <c r="AD3039">
        <v>-1.120701555943</v>
      </c>
      <c r="AE3039">
        <v>0.527100000000018</v>
      </c>
      <c r="AF3039">
        <v>-0.2476694542217</v>
      </c>
      <c r="AG3039">
        <v>-1.120701555943</v>
      </c>
      <c r="AH3039">
        <v>32.327486087153197</v>
      </c>
      <c r="AI3039">
        <v>91.985427575889204</v>
      </c>
      <c r="AJ3039">
        <v>90.438949591605194</v>
      </c>
      <c r="AK3039">
        <v>32.347854161460702</v>
      </c>
      <c r="AL3039">
        <v>76.797662517614</v>
      </c>
      <c r="AM3039">
        <v>88.639052467142903</v>
      </c>
      <c r="AN3039">
        <v>1.0000000490860901</v>
      </c>
    </row>
    <row r="3040" spans="1:40" x14ac:dyDescent="0.25">
      <c r="A3040" t="str">
        <f>"20190303170557711"</f>
        <v>20190303170557711</v>
      </c>
      <c r="B3040" t="str">
        <f>"1551603957698126"</f>
        <v>1551603957698126</v>
      </c>
      <c r="C3040" t="s">
        <v>40</v>
      </c>
      <c r="D3040">
        <v>5.6816899999999997</v>
      </c>
      <c r="E3040">
        <v>0.49511739999999999</v>
      </c>
      <c r="F3040" t="s">
        <v>64</v>
      </c>
      <c r="G3040">
        <v>-300.82409999999999</v>
      </c>
      <c r="H3040" s="1">
        <v>2.507075E-6</v>
      </c>
      <c r="I3040">
        <v>214.54990000000001</v>
      </c>
      <c r="J3040">
        <v>-333.08769999999998</v>
      </c>
      <c r="K3040">
        <v>1.1207320000000001</v>
      </c>
      <c r="L3040">
        <v>214.07900000000001</v>
      </c>
      <c r="M3040">
        <v>0.99985270000000004</v>
      </c>
      <c r="N3040">
        <v>-1.4888429999999999E-2</v>
      </c>
      <c r="O3040">
        <v>8.5384840000000007E-3</v>
      </c>
      <c r="P3040">
        <v>0.97668299999999997</v>
      </c>
      <c r="Q3040">
        <v>0.2141198</v>
      </c>
      <c r="R3040">
        <v>-1.559078E-2</v>
      </c>
      <c r="S3040">
        <v>3.0952760000000001</v>
      </c>
      <c r="T3040">
        <v>-0.10602300000000001</v>
      </c>
      <c r="U3040">
        <v>4.4906620000000001E-2</v>
      </c>
      <c r="V3040">
        <v>2.40392E-2</v>
      </c>
      <c r="W3040">
        <v>0.2286232</v>
      </c>
      <c r="X3040">
        <v>0.97321809999999997</v>
      </c>
      <c r="Y3040">
        <v>-5.9641080000000001E-3</v>
      </c>
      <c r="Z3040" s="1">
        <v>-1.8723640000000001E-5</v>
      </c>
      <c r="AA3040">
        <v>0.99998220000000004</v>
      </c>
      <c r="AB3040">
        <v>49</v>
      </c>
      <c r="AC3040">
        <v>32.263599999999997</v>
      </c>
      <c r="AD3040">
        <v>-1.120729492925</v>
      </c>
      <c r="AE3040">
        <v>0.47089999999999999</v>
      </c>
      <c r="AF3040">
        <v>-0.195134653168549</v>
      </c>
      <c r="AG3040">
        <v>-1.120729492925</v>
      </c>
      <c r="AH3040">
        <v>32.227566205060398</v>
      </c>
      <c r="AI3040">
        <v>91.991649869351406</v>
      </c>
      <c r="AJ3040">
        <v>90.346915909320401</v>
      </c>
      <c r="AK3040">
        <v>32.247637675196202</v>
      </c>
      <c r="AL3040">
        <v>76.783972142826102</v>
      </c>
      <c r="AM3040">
        <v>88.585039995304101</v>
      </c>
      <c r="AN3040">
        <v>0.99999996044124395</v>
      </c>
    </row>
    <row r="3041" spans="1:40" x14ac:dyDescent="0.25">
      <c r="A3041" t="str">
        <f>"20190303170557733"</f>
        <v>20190303170557733</v>
      </c>
      <c r="B3041" t="str">
        <f>"1551603957717646"</f>
        <v>1551603957717646</v>
      </c>
      <c r="C3041" t="s">
        <v>40</v>
      </c>
      <c r="D3041">
        <v>5.6389839999999998</v>
      </c>
      <c r="E3041">
        <v>0.49540840000000003</v>
      </c>
      <c r="F3041" t="s">
        <v>64</v>
      </c>
      <c r="G3041">
        <v>-299.8175</v>
      </c>
      <c r="H3041" s="1">
        <v>2.6358790000000001E-6</v>
      </c>
      <c r="I3041">
        <v>214.5179</v>
      </c>
      <c r="J3041">
        <v>-332.60210000000001</v>
      </c>
      <c r="K3041">
        <v>1.120757</v>
      </c>
      <c r="L3041">
        <v>214.0831</v>
      </c>
      <c r="M3041">
        <v>0.9998534</v>
      </c>
      <c r="N3041">
        <v>-1.4885270000000001E-2</v>
      </c>
      <c r="O3041">
        <v>8.4684200000000008E-3</v>
      </c>
      <c r="P3041">
        <v>0.97632269999999999</v>
      </c>
      <c r="Q3041">
        <v>0.2156006</v>
      </c>
      <c r="R3041">
        <v>-1.7618390000000001E-2</v>
      </c>
      <c r="S3041">
        <v>3.0951230000000001</v>
      </c>
      <c r="T3041">
        <v>-0.1042614</v>
      </c>
      <c r="U3041">
        <v>4.0832519999999997E-2</v>
      </c>
      <c r="V3041">
        <v>2.5983450000000002E-2</v>
      </c>
      <c r="W3041">
        <v>0.23009579999999999</v>
      </c>
      <c r="X3041">
        <v>0.97282109999999999</v>
      </c>
      <c r="Y3041">
        <v>-4.7199290000000003E-3</v>
      </c>
      <c r="Z3041" s="1">
        <v>-4.4508120000000003E-5</v>
      </c>
      <c r="AA3041">
        <v>0.99998889999999996</v>
      </c>
      <c r="AB3041">
        <v>49</v>
      </c>
      <c r="AC3041">
        <v>32.784599999999998</v>
      </c>
      <c r="AD3041">
        <v>-1.120754364121</v>
      </c>
      <c r="AE3041">
        <v>0.43479999999999502</v>
      </c>
      <c r="AF3041">
        <v>-0.15693652498458599</v>
      </c>
      <c r="AG3041">
        <v>-1.120754364121</v>
      </c>
      <c r="AH3041">
        <v>32.748841728672801</v>
      </c>
      <c r="AI3041">
        <v>91.960029835538194</v>
      </c>
      <c r="AJ3041">
        <v>90.274566403841305</v>
      </c>
      <c r="AK3041">
        <v>32.768389554374302</v>
      </c>
      <c r="AL3041">
        <v>76.697288784175797</v>
      </c>
      <c r="AM3041">
        <v>88.470028913615494</v>
      </c>
      <c r="AN3041">
        <v>1.0000000547283701</v>
      </c>
    </row>
    <row r="3042" spans="1:40" x14ac:dyDescent="0.25">
      <c r="A3042" t="str">
        <f>"20190303170557756"</f>
        <v>20190303170557756</v>
      </c>
      <c r="B3042" t="str">
        <f>"1551603957747902"</f>
        <v>1551603957747902</v>
      </c>
      <c r="C3042" t="s">
        <v>40</v>
      </c>
      <c r="D3042">
        <v>5.6599409999999999</v>
      </c>
      <c r="E3042">
        <v>0.4955136</v>
      </c>
      <c r="F3042" t="s">
        <v>64</v>
      </c>
      <c r="G3042">
        <v>-296.4282</v>
      </c>
      <c r="H3042" s="1">
        <v>2.0346570000000001E-6</v>
      </c>
      <c r="I3042">
        <v>214.46889999999999</v>
      </c>
      <c r="J3042">
        <v>-332.089</v>
      </c>
      <c r="K3042">
        <v>1.1207879999999999</v>
      </c>
      <c r="L3042">
        <v>214.0874</v>
      </c>
      <c r="M3042">
        <v>0.99985400000000002</v>
      </c>
      <c r="N3042">
        <v>-1.488194E-2</v>
      </c>
      <c r="O3042">
        <v>8.414342E-3</v>
      </c>
      <c r="P3042">
        <v>0.97595540000000003</v>
      </c>
      <c r="Q3042">
        <v>0.2169809</v>
      </c>
      <c r="R3042">
        <v>-2.074877E-2</v>
      </c>
      <c r="S3042">
        <v>3.0945429999999998</v>
      </c>
      <c r="T3042">
        <v>-9.5876459999999997E-2</v>
      </c>
      <c r="U3042">
        <v>3.3004760000000001E-2</v>
      </c>
      <c r="V3042">
        <v>2.9045319999999999E-2</v>
      </c>
      <c r="W3042">
        <v>0.2314678</v>
      </c>
      <c r="X3042">
        <v>0.97240890000000002</v>
      </c>
      <c r="Y3042">
        <v>-2.2491830000000001E-3</v>
      </c>
      <c r="Z3042" s="1">
        <v>-8.3832859999999999E-5</v>
      </c>
      <c r="AA3042">
        <v>0.99999749999999998</v>
      </c>
      <c r="AB3042">
        <v>49</v>
      </c>
      <c r="AC3042">
        <v>35.660799999999902</v>
      </c>
      <c r="AD3042">
        <v>-1.1207859653429999</v>
      </c>
      <c r="AE3042">
        <v>0.38149999999998802</v>
      </c>
      <c r="AF3042">
        <v>-8.1310826681762302E-2</v>
      </c>
      <c r="AG3042">
        <v>-1.1207859653429999</v>
      </c>
      <c r="AH3042">
        <v>35.627559307591497</v>
      </c>
      <c r="AI3042">
        <v>91.801834557734495</v>
      </c>
      <c r="AJ3042">
        <v>90.130762791488706</v>
      </c>
      <c r="AK3042">
        <v>35.645276753682197</v>
      </c>
      <c r="AL3042">
        <v>76.616497608235505</v>
      </c>
      <c r="AM3042">
        <v>88.289115207842897</v>
      </c>
      <c r="AN3042">
        <v>1.00000002092497</v>
      </c>
    </row>
    <row r="3043" spans="1:40" x14ac:dyDescent="0.25">
      <c r="A3043" t="str">
        <f>"20190303170557777"</f>
        <v>20190303170557777</v>
      </c>
      <c r="B3043" t="str">
        <f>"1551603957767425"</f>
        <v>1551603957767425</v>
      </c>
      <c r="C3043" t="s">
        <v>40</v>
      </c>
      <c r="D3043">
        <v>5.6440250000000001</v>
      </c>
      <c r="E3043">
        <v>0.49557269999999998</v>
      </c>
      <c r="F3043" t="s">
        <v>64</v>
      </c>
      <c r="G3043">
        <v>-292.26620000000003</v>
      </c>
      <c r="H3043" s="1">
        <v>1.2963979999999999E-6</v>
      </c>
      <c r="I3043">
        <v>214.38159999999999</v>
      </c>
      <c r="J3043">
        <v>-331.64319999999998</v>
      </c>
      <c r="K3043">
        <v>1.1208070000000001</v>
      </c>
      <c r="L3043">
        <v>214.09110000000001</v>
      </c>
      <c r="M3043">
        <v>0.99985409999999997</v>
      </c>
      <c r="N3043">
        <v>-1.487906E-2</v>
      </c>
      <c r="O3043">
        <v>8.3801339999999992E-3</v>
      </c>
      <c r="P3043">
        <v>0.97551069999999995</v>
      </c>
      <c r="Q3043">
        <v>0.2186274</v>
      </c>
      <c r="R3043">
        <v>-2.4098020000000001E-2</v>
      </c>
      <c r="S3043">
        <v>3.0937190000000001</v>
      </c>
      <c r="T3043">
        <v>-8.7070819999999993E-2</v>
      </c>
      <c r="U3043">
        <v>2.285767E-2</v>
      </c>
      <c r="V3043">
        <v>3.2347529999999999E-2</v>
      </c>
      <c r="W3043">
        <v>0.23310400000000001</v>
      </c>
      <c r="X3043">
        <v>0.97191360000000004</v>
      </c>
      <c r="Y3043">
        <v>9.915484E-4</v>
      </c>
      <c r="Z3043">
        <v>-1.324455E-4</v>
      </c>
      <c r="AA3043">
        <v>0.99999950000000004</v>
      </c>
      <c r="AB3043">
        <v>49</v>
      </c>
      <c r="AC3043">
        <v>39.376999999999903</v>
      </c>
      <c r="AD3043">
        <v>-1.1208057036019901</v>
      </c>
      <c r="AE3043">
        <v>0.29049999999998</v>
      </c>
      <c r="AF3043">
        <v>3.9499300479359997E-2</v>
      </c>
      <c r="AG3043">
        <v>-1.1208057036019901</v>
      </c>
      <c r="AH3043">
        <v>39.346176408372699</v>
      </c>
      <c r="AI3043">
        <v>91.631671713752695</v>
      </c>
      <c r="AJ3043">
        <v>89.942481261014194</v>
      </c>
      <c r="AK3043">
        <v>39.362156490451</v>
      </c>
      <c r="AL3043">
        <v>76.520112824678307</v>
      </c>
      <c r="AM3043">
        <v>88.0937677329851</v>
      </c>
      <c r="AN3043">
        <v>0.99999994168902795</v>
      </c>
    </row>
    <row r="3044" spans="1:40" x14ac:dyDescent="0.25">
      <c r="A3044" t="str">
        <f>"20190303170557799"</f>
        <v>20190303170557799</v>
      </c>
      <c r="B3044" t="str">
        <f>"1551603957787918"</f>
        <v>1551603957787918</v>
      </c>
      <c r="C3044" t="s">
        <v>40</v>
      </c>
      <c r="D3044">
        <v>5.748856</v>
      </c>
      <c r="E3044">
        <v>0.49555399999999999</v>
      </c>
      <c r="F3044" t="s">
        <v>64</v>
      </c>
      <c r="G3044">
        <v>-288.40899999999999</v>
      </c>
      <c r="H3044" s="1">
        <v>3.4040910000000001E-6</v>
      </c>
      <c r="I3044">
        <v>214.2621</v>
      </c>
      <c r="J3044">
        <v>-331.16250000000002</v>
      </c>
      <c r="K3044">
        <v>1.1208320000000001</v>
      </c>
      <c r="L3044">
        <v>214.0951</v>
      </c>
      <c r="M3044">
        <v>0.99985440000000003</v>
      </c>
      <c r="N3044">
        <v>-1.4875950000000001E-2</v>
      </c>
      <c r="O3044">
        <v>8.3524040000000008E-3</v>
      </c>
      <c r="P3044">
        <v>0.9751261</v>
      </c>
      <c r="Q3044">
        <v>0.22004099999999999</v>
      </c>
      <c r="R3044">
        <v>-2.6664779999999999E-2</v>
      </c>
      <c r="S3044">
        <v>3.0936279999999998</v>
      </c>
      <c r="T3044">
        <v>-8.0199119999999999E-2</v>
      </c>
      <c r="U3044">
        <v>1.223755E-2</v>
      </c>
      <c r="V3044">
        <v>3.4874509999999997E-2</v>
      </c>
      <c r="W3044">
        <v>0.2345093</v>
      </c>
      <c r="X3044">
        <v>0.97148809999999997</v>
      </c>
      <c r="Y3044">
        <v>4.3948720000000002E-3</v>
      </c>
      <c r="Z3044">
        <v>-1.818945E-4</v>
      </c>
      <c r="AA3044">
        <v>0.9999903</v>
      </c>
      <c r="AB3044">
        <v>49</v>
      </c>
      <c r="AC3044">
        <v>42.753500000000003</v>
      </c>
      <c r="AD3044">
        <v>-1.1208285959090001</v>
      </c>
      <c r="AE3044">
        <v>0.16700000000000101</v>
      </c>
      <c r="AF3044">
        <v>0.19000928280441901</v>
      </c>
      <c r="AG3044">
        <v>-1.1208285959090001</v>
      </c>
      <c r="AH3044">
        <v>42.724040329035802</v>
      </c>
      <c r="AI3044">
        <v>91.502746149809994</v>
      </c>
      <c r="AJ3044">
        <v>89.745186594861096</v>
      </c>
      <c r="AK3044">
        <v>42.739162161956799</v>
      </c>
      <c r="AL3044">
        <v>76.437300341545495</v>
      </c>
      <c r="AM3044">
        <v>87.944077157885104</v>
      </c>
      <c r="AN3044">
        <v>0.99999998583791905</v>
      </c>
    </row>
    <row r="3045" spans="1:40" x14ac:dyDescent="0.25">
      <c r="A3045" t="str">
        <f>"20190303170557823"</f>
        <v>20190303170557823</v>
      </c>
      <c r="B3045" t="str">
        <f>"1551603957818174"</f>
        <v>1551603957818174</v>
      </c>
      <c r="C3045" t="s">
        <v>40</v>
      </c>
      <c r="D3045">
        <v>5.6657549999999999</v>
      </c>
      <c r="E3045">
        <v>0.49544290000000002</v>
      </c>
      <c r="F3045" t="s">
        <v>64</v>
      </c>
      <c r="G3045">
        <v>-285.56709999999998</v>
      </c>
      <c r="H3045" s="1">
        <v>4.6759980000000002E-6</v>
      </c>
      <c r="I3045">
        <v>214.16460000000001</v>
      </c>
      <c r="J3045">
        <v>-330.65730000000002</v>
      </c>
      <c r="K3045">
        <v>1.1208579999999999</v>
      </c>
      <c r="L3045">
        <v>214.0993</v>
      </c>
      <c r="M3045">
        <v>0.99985469999999999</v>
      </c>
      <c r="N3045">
        <v>-1.4872969999999999E-2</v>
      </c>
      <c r="O3045">
        <v>8.3310729999999996E-3</v>
      </c>
      <c r="P3045">
        <v>0.97456220000000005</v>
      </c>
      <c r="Q3045">
        <v>0.222196</v>
      </c>
      <c r="R3045">
        <v>-2.928447E-2</v>
      </c>
      <c r="S3045">
        <v>3.0938110000000001</v>
      </c>
      <c r="T3045">
        <v>-7.6052069999999999E-2</v>
      </c>
      <c r="U3045">
        <v>4.7149660000000001E-3</v>
      </c>
      <c r="V3045">
        <v>3.7460269999999997E-2</v>
      </c>
      <c r="W3045">
        <v>0.236653</v>
      </c>
      <c r="X3045">
        <v>0.97087179999999995</v>
      </c>
      <c r="Y3045">
        <v>6.804348E-3</v>
      </c>
      <c r="Z3045">
        <v>-2.15088E-4</v>
      </c>
      <c r="AA3045">
        <v>0.9999768</v>
      </c>
      <c r="AB3045">
        <v>49</v>
      </c>
      <c r="AC3045">
        <v>45.090200000000003</v>
      </c>
      <c r="AD3045">
        <v>-1.120853324002</v>
      </c>
      <c r="AE3045">
        <v>6.5300000000007602E-2</v>
      </c>
      <c r="AF3045">
        <v>0.31020188298875401</v>
      </c>
      <c r="AG3045">
        <v>-1.120853324002</v>
      </c>
      <c r="AH3045">
        <v>45.061334618033101</v>
      </c>
      <c r="AI3045">
        <v>91.424844716040297</v>
      </c>
      <c r="AJ3045">
        <v>89.605582522210895</v>
      </c>
      <c r="AK3045">
        <v>45.076339857407199</v>
      </c>
      <c r="AL3045">
        <v>76.310918246912806</v>
      </c>
      <c r="AM3045">
        <v>87.790386721526602</v>
      </c>
      <c r="AN3045">
        <v>0.99999998313635596</v>
      </c>
    </row>
    <row r="3046" spans="1:40" x14ac:dyDescent="0.25">
      <c r="A3046" t="str">
        <f>"20190303170557845"</f>
        <v>20190303170557845</v>
      </c>
      <c r="B3046" t="str">
        <f>"1551603957837694"</f>
        <v>1551603957837694</v>
      </c>
      <c r="C3046" t="s">
        <v>40</v>
      </c>
      <c r="D3046">
        <v>5.664917</v>
      </c>
      <c r="E3046">
        <v>0.49534509999999998</v>
      </c>
      <c r="F3046" t="s">
        <v>64</v>
      </c>
      <c r="G3046">
        <v>-280.0951</v>
      </c>
      <c r="H3046" s="1">
        <v>7.1148699999999999E-6</v>
      </c>
      <c r="I3046">
        <v>214.0616</v>
      </c>
      <c r="J3046">
        <v>-330.17309999999998</v>
      </c>
      <c r="K3046">
        <v>1.1208769999999999</v>
      </c>
      <c r="L3046">
        <v>214.10329999999999</v>
      </c>
      <c r="M3046">
        <v>0.99985489999999999</v>
      </c>
      <c r="N3046">
        <v>-1.486992E-2</v>
      </c>
      <c r="O3046">
        <v>8.3150489999999997E-3</v>
      </c>
      <c r="P3046">
        <v>0.97430459999999997</v>
      </c>
      <c r="Q3046">
        <v>0.22302040000000001</v>
      </c>
      <c r="R3046">
        <v>-3.150625E-2</v>
      </c>
      <c r="S3046">
        <v>3.0939030000000001</v>
      </c>
      <c r="T3046">
        <v>-6.8584919999999994E-2</v>
      </c>
      <c r="U3046">
        <v>-2.3040769999999999E-3</v>
      </c>
      <c r="V3046">
        <v>3.9657409999999997E-2</v>
      </c>
      <c r="W3046">
        <v>0.23747070000000001</v>
      </c>
      <c r="X3046">
        <v>0.97058489999999997</v>
      </c>
      <c r="Y3046">
        <v>9.0567180000000001E-3</v>
      </c>
      <c r="Z3046">
        <v>-2.2838019999999999E-4</v>
      </c>
      <c r="AA3046">
        <v>0.99995889999999998</v>
      </c>
      <c r="AB3046">
        <v>49</v>
      </c>
      <c r="AC3046">
        <v>50.077999999999903</v>
      </c>
      <c r="AD3046">
        <v>-1.1208698851299901</v>
      </c>
      <c r="AE3046">
        <v>-4.1699999999991598E-2</v>
      </c>
      <c r="AF3046">
        <v>0.45791620533131699</v>
      </c>
      <c r="AG3046">
        <v>-1.1208698851299901</v>
      </c>
      <c r="AH3046">
        <v>50.050847385222397</v>
      </c>
      <c r="AI3046">
        <v>91.282849303476794</v>
      </c>
      <c r="AJ3046">
        <v>89.475814390752603</v>
      </c>
      <c r="AK3046">
        <v>50.0654907149558</v>
      </c>
      <c r="AL3046">
        <v>76.262693675827094</v>
      </c>
      <c r="AM3046">
        <v>87.660236607921703</v>
      </c>
      <c r="AN3046">
        <v>1.0000000458172</v>
      </c>
    </row>
    <row r="3047" spans="1:40" x14ac:dyDescent="0.25">
      <c r="A3047" t="str">
        <f>"20190303170557866"</f>
        <v>20190303170557866</v>
      </c>
      <c r="B3047" t="str">
        <f>"1551603957858190"</f>
        <v>1551603957858190</v>
      </c>
      <c r="C3047" t="s">
        <v>40</v>
      </c>
      <c r="D3047">
        <v>5.6610719999999999</v>
      </c>
      <c r="E3047">
        <v>0.49528050000000001</v>
      </c>
      <c r="F3047" t="s">
        <v>60</v>
      </c>
      <c r="G3047">
        <v>-277.18400000000003</v>
      </c>
      <c r="H3047" s="1">
        <v>2.3143910000000002E-6</v>
      </c>
      <c r="I3047">
        <v>213.97030000000001</v>
      </c>
      <c r="J3047">
        <v>-329.6968</v>
      </c>
      <c r="K3047">
        <v>1.1208910000000001</v>
      </c>
      <c r="L3047">
        <v>214.10720000000001</v>
      </c>
      <c r="M3047">
        <v>0.99985500000000005</v>
      </c>
      <c r="N3047">
        <v>-1.486665E-2</v>
      </c>
      <c r="O3047">
        <v>8.3016710000000001E-3</v>
      </c>
      <c r="P3047">
        <v>0.97400750000000003</v>
      </c>
      <c r="Q3047">
        <v>0.224047</v>
      </c>
      <c r="R3047">
        <v>-3.3353870000000001E-2</v>
      </c>
      <c r="S3047">
        <v>3.093842</v>
      </c>
      <c r="T3047">
        <v>-6.5443749999999995E-2</v>
      </c>
      <c r="U3047">
        <v>-7.766724E-3</v>
      </c>
      <c r="V3047">
        <v>4.1483680000000002E-2</v>
      </c>
      <c r="W3047">
        <v>0.23849049999999999</v>
      </c>
      <c r="X3047">
        <v>0.97025839999999997</v>
      </c>
      <c r="Y3047">
        <v>1.080857E-2</v>
      </c>
      <c r="Z3047">
        <v>-2.4682909999999998E-4</v>
      </c>
      <c r="AA3047">
        <v>0.99994150000000004</v>
      </c>
      <c r="AB3047">
        <v>48</v>
      </c>
      <c r="AC3047">
        <v>52.512799999999899</v>
      </c>
      <c r="AD3047">
        <v>-1.1208886856089999</v>
      </c>
      <c r="AE3047">
        <v>-0.136899999999997</v>
      </c>
      <c r="AF3047">
        <v>0.57262657005083195</v>
      </c>
      <c r="AG3047">
        <v>-1.1208886856089999</v>
      </c>
      <c r="AH3047">
        <v>52.4859403802092</v>
      </c>
      <c r="AI3047">
        <v>91.2233487606278</v>
      </c>
      <c r="AJ3047">
        <v>89.374922430667397</v>
      </c>
      <c r="AK3047">
        <v>52.501030753968401</v>
      </c>
      <c r="AL3047">
        <v>76.202534271470398</v>
      </c>
      <c r="AM3047">
        <v>87.551793347416293</v>
      </c>
      <c r="AN3047">
        <v>0.99999998853357597</v>
      </c>
    </row>
    <row r="3048" spans="1:40" x14ac:dyDescent="0.25">
      <c r="A3048" t="str">
        <f>"20190303170557889"</f>
        <v>20190303170557889</v>
      </c>
      <c r="B3048" t="str">
        <f>"1551603957877710"</f>
        <v>1551603957877710</v>
      </c>
      <c r="C3048" t="s">
        <v>40</v>
      </c>
      <c r="D3048">
        <v>5.6055210000000004</v>
      </c>
      <c r="E3048">
        <v>0.49509029999999998</v>
      </c>
      <c r="F3048" t="s">
        <v>60</v>
      </c>
      <c r="G3048">
        <v>-274.322</v>
      </c>
      <c r="H3048" s="1">
        <v>7.9551919999999897E-7</v>
      </c>
      <c r="I3048">
        <v>213.87620000000001</v>
      </c>
      <c r="J3048">
        <v>-329.20670000000001</v>
      </c>
      <c r="K3048">
        <v>1.1209100000000001</v>
      </c>
      <c r="L3048">
        <v>214.1113</v>
      </c>
      <c r="M3048">
        <v>0.9998553</v>
      </c>
      <c r="N3048">
        <v>-1.486317E-2</v>
      </c>
      <c r="O3048">
        <v>8.28910699999999E-3</v>
      </c>
      <c r="P3048">
        <v>0.97349129999999995</v>
      </c>
      <c r="Q3048">
        <v>0.2260674</v>
      </c>
      <c r="R3048">
        <v>-3.476394E-2</v>
      </c>
      <c r="S3048">
        <v>3.0939939999999999</v>
      </c>
      <c r="T3048">
        <v>-6.262827E-2</v>
      </c>
      <c r="U3048">
        <v>-1.2908940000000001E-2</v>
      </c>
      <c r="V3048">
        <v>4.287237E-2</v>
      </c>
      <c r="W3048">
        <v>0.24049970000000001</v>
      </c>
      <c r="X3048">
        <v>0.96970190000000001</v>
      </c>
      <c r="Y3048">
        <v>1.245748E-2</v>
      </c>
      <c r="Z3048">
        <v>-2.6323150000000001E-4</v>
      </c>
      <c r="AA3048">
        <v>0.99992239999999999</v>
      </c>
      <c r="AB3048">
        <v>48</v>
      </c>
      <c r="AC3048">
        <v>54.884700000000002</v>
      </c>
      <c r="AD3048">
        <v>-1.1209092044808</v>
      </c>
      <c r="AE3048">
        <v>-0.23509999999998801</v>
      </c>
      <c r="AF3048">
        <v>0.689799568036641</v>
      </c>
      <c r="AG3048">
        <v>-1.1209092044808</v>
      </c>
      <c r="AH3048">
        <v>54.857984277925603</v>
      </c>
      <c r="AI3048">
        <v>91.170465107889896</v>
      </c>
      <c r="AJ3048">
        <v>89.279584883210404</v>
      </c>
      <c r="AK3048">
        <v>54.873770600587299</v>
      </c>
      <c r="AL3048">
        <v>76.083964509071805</v>
      </c>
      <c r="AM3048">
        <v>87.468492918282706</v>
      </c>
      <c r="AN3048">
        <v>0.99999996033655703</v>
      </c>
    </row>
    <row r="3049" spans="1:40" x14ac:dyDescent="0.25">
      <c r="A3049" t="str">
        <f>"20190303170557912"</f>
        <v>20190303170557912</v>
      </c>
      <c r="B3049" t="str">
        <f>"1551603957907528"</f>
        <v>1551603957907528</v>
      </c>
      <c r="C3049" t="s">
        <v>40</v>
      </c>
      <c r="D3049">
        <v>5.6412630000000004</v>
      </c>
      <c r="E3049">
        <v>0.49488749999999998</v>
      </c>
      <c r="F3049" t="s">
        <v>60</v>
      </c>
      <c r="G3049">
        <v>-267.5059</v>
      </c>
      <c r="H3049" s="1">
        <v>2.492228E-6</v>
      </c>
      <c r="I3049">
        <v>213.82130000000001</v>
      </c>
      <c r="J3049">
        <v>-328.72680000000003</v>
      </c>
      <c r="K3049">
        <v>1.1209309999999999</v>
      </c>
      <c r="L3049">
        <v>214.11519999999999</v>
      </c>
      <c r="M3049">
        <v>0.99985550000000001</v>
      </c>
      <c r="N3049">
        <v>-1.4859829999999999E-2</v>
      </c>
      <c r="O3049">
        <v>8.2771700000000004E-3</v>
      </c>
      <c r="P3049">
        <v>0.97284660000000001</v>
      </c>
      <c r="Q3049">
        <v>0.22861799999999999</v>
      </c>
      <c r="R3049">
        <v>-3.6104379999999998E-2</v>
      </c>
      <c r="S3049">
        <v>3.0942690000000002</v>
      </c>
      <c r="T3049">
        <v>-5.6213020000000002E-2</v>
      </c>
      <c r="U3049">
        <v>-1.454163E-2</v>
      </c>
      <c r="V3049">
        <v>4.4191899999999999E-2</v>
      </c>
      <c r="W3049">
        <v>0.24303759999999999</v>
      </c>
      <c r="X3049">
        <v>0.96900969999999997</v>
      </c>
      <c r="Y3049">
        <v>1.297338E-2</v>
      </c>
      <c r="Z3049">
        <v>-2.4159760000000001E-4</v>
      </c>
      <c r="AA3049">
        <v>0.99991580000000002</v>
      </c>
      <c r="AB3049">
        <v>48</v>
      </c>
      <c r="AC3049">
        <v>61.2209</v>
      </c>
      <c r="AD3049">
        <v>-1.1209285077719999</v>
      </c>
      <c r="AE3049">
        <v>-0.29389999999997901</v>
      </c>
      <c r="AF3049">
        <v>0.80041327061610501</v>
      </c>
      <c r="AG3049">
        <v>-1.1209285077719999</v>
      </c>
      <c r="AH3049">
        <v>61.195854551210502</v>
      </c>
      <c r="AI3049">
        <v>91.0492834974375</v>
      </c>
      <c r="AJ3049">
        <v>89.250640624180306</v>
      </c>
      <c r="AK3049">
        <v>61.211353165701397</v>
      </c>
      <c r="AL3049">
        <v>75.934108388270801</v>
      </c>
      <c r="AM3049">
        <v>87.388822673435101</v>
      </c>
      <c r="AN3049">
        <v>0.99999999886672997</v>
      </c>
    </row>
    <row r="3050" spans="1:40" x14ac:dyDescent="0.25">
      <c r="A3050" t="str">
        <f>"20190303170557933"</f>
        <v>20190303170557933</v>
      </c>
      <c r="B3050" t="str">
        <f>"1551603957928023"</f>
        <v>1551603957928023</v>
      </c>
      <c r="C3050" t="s">
        <v>40</v>
      </c>
      <c r="D3050">
        <v>5.6377329999999999</v>
      </c>
      <c r="E3050">
        <v>0.49471609999999999</v>
      </c>
      <c r="F3050" t="s">
        <v>60</v>
      </c>
      <c r="G3050">
        <v>-257.64429999999999</v>
      </c>
      <c r="H3050" s="1">
        <v>2.5697050000000001E-6</v>
      </c>
      <c r="I3050">
        <v>213.73419999999999</v>
      </c>
      <c r="J3050">
        <v>-328.24720000000002</v>
      </c>
      <c r="K3050">
        <v>1.120957</v>
      </c>
      <c r="L3050">
        <v>214.11920000000001</v>
      </c>
      <c r="M3050">
        <v>0.99985550000000001</v>
      </c>
      <c r="N3050">
        <v>-1.4856619999999999E-2</v>
      </c>
      <c r="O3050">
        <v>8.2652109999999997E-3</v>
      </c>
      <c r="P3050">
        <v>0.97206440000000005</v>
      </c>
      <c r="Q3050">
        <v>0.23166999999999999</v>
      </c>
      <c r="R3050">
        <v>-3.7682159999999999E-2</v>
      </c>
      <c r="S3050">
        <v>3.0945740000000002</v>
      </c>
      <c r="T3050">
        <v>-4.8799629999999997E-2</v>
      </c>
      <c r="U3050">
        <v>-1.6586299999999998E-2</v>
      </c>
      <c r="V3050">
        <v>4.5748129999999998E-2</v>
      </c>
      <c r="W3050">
        <v>0.24607480000000001</v>
      </c>
      <c r="X3050">
        <v>0.96817059999999999</v>
      </c>
      <c r="Y3050">
        <v>1.3622260000000001E-2</v>
      </c>
      <c r="Z3050">
        <v>-2.1613820000000001E-4</v>
      </c>
      <c r="AA3050">
        <v>0.9999072</v>
      </c>
      <c r="AB3050">
        <v>48</v>
      </c>
      <c r="AC3050">
        <v>70.602900000000005</v>
      </c>
      <c r="AD3050">
        <v>-1.1209544302949901</v>
      </c>
      <c r="AE3050">
        <v>-0.38500000000001899</v>
      </c>
      <c r="AF3050">
        <v>0.96835501583812</v>
      </c>
      <c r="AG3050">
        <v>-1.1209544302949901</v>
      </c>
      <c r="AH3050">
        <v>70.579514550502495</v>
      </c>
      <c r="AI3050">
        <v>90.909818045124595</v>
      </c>
      <c r="AJ3050">
        <v>89.213947915724304</v>
      </c>
      <c r="AK3050">
        <v>70.595057365626502</v>
      </c>
      <c r="AL3050">
        <v>75.754640110564296</v>
      </c>
      <c r="AM3050">
        <v>87.294664228672403</v>
      </c>
      <c r="AN3050">
        <v>1.0000000046489399</v>
      </c>
    </row>
    <row r="3051" spans="1:40" x14ac:dyDescent="0.25">
      <c r="A3051" t="str">
        <f>"20190303170557967"</f>
        <v>20190303170557967</v>
      </c>
      <c r="B3051" t="str">
        <f>"1551603957957306"</f>
        <v>1551603957957306</v>
      </c>
      <c r="C3051" t="s">
        <v>40</v>
      </c>
      <c r="D3051">
        <v>5.5977779999999999</v>
      </c>
      <c r="E3051">
        <v>0.49436659999999999</v>
      </c>
      <c r="F3051" t="s">
        <v>60</v>
      </c>
      <c r="G3051">
        <v>-240.30770000000001</v>
      </c>
      <c r="H3051" s="1">
        <v>-1.3278870000000001E-6</v>
      </c>
      <c r="I3051">
        <v>213.58279999999999</v>
      </c>
      <c r="J3051">
        <v>-327.54349999999999</v>
      </c>
      <c r="K3051">
        <v>1.1209690000000001</v>
      </c>
      <c r="L3051">
        <v>214.1249</v>
      </c>
      <c r="M3051">
        <v>0.99985579999999996</v>
      </c>
      <c r="N3051">
        <v>-1.485208E-2</v>
      </c>
      <c r="O3051">
        <v>8.2480950000000004E-3</v>
      </c>
      <c r="P3051">
        <v>0.97159439999999997</v>
      </c>
      <c r="Q3051">
        <v>0.23340259999999999</v>
      </c>
      <c r="R3051">
        <v>-3.9088659999999997E-2</v>
      </c>
      <c r="S3051">
        <v>3.0948790000000002</v>
      </c>
      <c r="T3051">
        <v>-3.945017E-2</v>
      </c>
      <c r="U3051">
        <v>-1.8875119999999999E-2</v>
      </c>
      <c r="V3051">
        <v>4.7129709999999998E-2</v>
      </c>
      <c r="W3051">
        <v>0.2477965</v>
      </c>
      <c r="X3051">
        <v>0.96766509999999994</v>
      </c>
      <c r="Y3051">
        <v>1.434481E-2</v>
      </c>
      <c r="Z3051">
        <v>-1.8058709999999999E-4</v>
      </c>
      <c r="AA3051">
        <v>0.99989709999999998</v>
      </c>
      <c r="AB3051">
        <v>48</v>
      </c>
      <c r="AC3051">
        <v>87.235799999999898</v>
      </c>
      <c r="AD3051">
        <v>-1.120970327887</v>
      </c>
      <c r="AE3051">
        <v>-0.54210000000000402</v>
      </c>
      <c r="AF3051">
        <v>1.26148172079299</v>
      </c>
      <c r="AG3051">
        <v>-1.120970327887</v>
      </c>
      <c r="AH3051">
        <v>87.213959956307605</v>
      </c>
      <c r="AI3051">
        <v>90.736311204266002</v>
      </c>
      <c r="AJ3051">
        <v>89.171319147541794</v>
      </c>
      <c r="AK3051">
        <v>87.230285577133898</v>
      </c>
      <c r="AL3051">
        <v>75.652841815383795</v>
      </c>
      <c r="AM3051">
        <v>87.211637247810401</v>
      </c>
      <c r="AN3051">
        <v>1.0000000303674701</v>
      </c>
    </row>
    <row r="3052" spans="1:40" x14ac:dyDescent="0.25">
      <c r="A3052" t="str">
        <f>"20190303170557989"</f>
        <v>20190303170557989</v>
      </c>
      <c r="B3052" t="str">
        <f>"1551603957977799"</f>
        <v>1551603957977799</v>
      </c>
      <c r="C3052" t="s">
        <v>40</v>
      </c>
      <c r="D3052">
        <v>5.652622</v>
      </c>
      <c r="E3052">
        <v>0.49428549999999899</v>
      </c>
      <c r="F3052" t="s">
        <v>60</v>
      </c>
      <c r="G3052">
        <v>-234.87639999999999</v>
      </c>
      <c r="H3052" s="1">
        <v>1.1055480000000001E-6</v>
      </c>
      <c r="I3052">
        <v>213.5335</v>
      </c>
      <c r="J3052">
        <v>-327.06560000000002</v>
      </c>
      <c r="K3052">
        <v>1.1209800000000001</v>
      </c>
      <c r="L3052">
        <v>214.12880000000001</v>
      </c>
      <c r="M3052">
        <v>0.99985590000000002</v>
      </c>
      <c r="N3052">
        <v>-1.484896E-2</v>
      </c>
      <c r="O3052">
        <v>8.2367429999999995E-3</v>
      </c>
      <c r="P3052">
        <v>0.97123999999999999</v>
      </c>
      <c r="Q3052">
        <v>0.23477239999999999</v>
      </c>
      <c r="R3052">
        <v>-3.9691709999999998E-2</v>
      </c>
      <c r="S3052">
        <v>3.095917</v>
      </c>
      <c r="T3052">
        <v>-3.745043E-2</v>
      </c>
      <c r="U3052">
        <v>-1.9760130000000001E-2</v>
      </c>
      <c r="V3052">
        <v>4.771657E-2</v>
      </c>
      <c r="W3052">
        <v>0.24915809999999999</v>
      </c>
      <c r="X3052">
        <v>0.9672866</v>
      </c>
      <c r="Y3052">
        <v>1.4617369999999999E-2</v>
      </c>
      <c r="Z3052">
        <v>-1.742681E-4</v>
      </c>
      <c r="AA3052">
        <v>0.99989309999999998</v>
      </c>
      <c r="AB3052">
        <v>48</v>
      </c>
      <c r="AC3052">
        <v>92.1892</v>
      </c>
      <c r="AD3052">
        <v>-1.1209788944519901</v>
      </c>
      <c r="AE3052">
        <v>-0.59530000000000804</v>
      </c>
      <c r="AF3052">
        <v>1.35450195666095</v>
      </c>
      <c r="AG3052">
        <v>-1.1209788944519901</v>
      </c>
      <c r="AH3052">
        <v>92.167541320478406</v>
      </c>
      <c r="AI3052">
        <v>90.6967448454443</v>
      </c>
      <c r="AJ3052">
        <v>89.158037005232103</v>
      </c>
      <c r="AK3052">
        <v>92.184309631815793</v>
      </c>
      <c r="AL3052">
        <v>75.572301489135</v>
      </c>
      <c r="AM3052">
        <v>87.175869460809196</v>
      </c>
      <c r="AN3052">
        <v>0.99999999819386698</v>
      </c>
    </row>
    <row r="3053" spans="1:40" x14ac:dyDescent="0.25">
      <c r="A3053" t="str">
        <f>"20190303170558011"</f>
        <v>20190303170558011</v>
      </c>
      <c r="B3053" t="str">
        <f>"1551603957997319"</f>
        <v>1551603957997319</v>
      </c>
      <c r="C3053" t="s">
        <v>40</v>
      </c>
      <c r="D3053">
        <v>5.6771310000000001</v>
      </c>
      <c r="E3053">
        <v>0.49419580000000002</v>
      </c>
      <c r="F3053" t="s">
        <v>60</v>
      </c>
      <c r="G3053">
        <v>-225.12029999999999</v>
      </c>
      <c r="H3053" s="1">
        <v>1.238605E-6</v>
      </c>
      <c r="I3053">
        <v>213.45760000000001</v>
      </c>
      <c r="J3053">
        <v>-326.57100000000003</v>
      </c>
      <c r="K3053">
        <v>1.121</v>
      </c>
      <c r="L3053">
        <v>214.13290000000001</v>
      </c>
      <c r="M3053">
        <v>0.99985610000000003</v>
      </c>
      <c r="N3053">
        <v>-1.484566E-2</v>
      </c>
      <c r="O3053">
        <v>8.2256150000000004E-3</v>
      </c>
      <c r="P3053">
        <v>0.97070610000000002</v>
      </c>
      <c r="Q3053">
        <v>0.23695559999999999</v>
      </c>
      <c r="R3053">
        <v>-3.9773099999999999E-2</v>
      </c>
      <c r="S3053">
        <v>3.0961910000000001</v>
      </c>
      <c r="T3053">
        <v>-3.404534E-2</v>
      </c>
      <c r="U3053">
        <v>-2.0385739999999999E-2</v>
      </c>
      <c r="V3053">
        <v>4.778143E-2</v>
      </c>
      <c r="W3053">
        <v>0.25133030000000001</v>
      </c>
      <c r="X3053">
        <v>0.96672130000000001</v>
      </c>
      <c r="Y3053">
        <v>1.480795E-2</v>
      </c>
      <c r="Z3053">
        <v>-1.596642E-4</v>
      </c>
      <c r="AA3053">
        <v>0.99989030000000001</v>
      </c>
      <c r="AB3053">
        <v>48</v>
      </c>
      <c r="AC3053">
        <v>101.450699999999</v>
      </c>
      <c r="AD3053">
        <v>-1.1209987613950001</v>
      </c>
      <c r="AE3053">
        <v>-0.67529999999999202</v>
      </c>
      <c r="AF3053">
        <v>1.50967909055462</v>
      </c>
      <c r="AG3053">
        <v>-1.1209987613950001</v>
      </c>
      <c r="AH3053">
        <v>101.429328171748</v>
      </c>
      <c r="AI3053">
        <v>90.633138084726795</v>
      </c>
      <c r="AJ3053">
        <v>89.147269776348395</v>
      </c>
      <c r="AK3053">
        <v>101.446756392463</v>
      </c>
      <c r="AL3053">
        <v>75.443753970808203</v>
      </c>
      <c r="AM3053">
        <v>87.170385921455306</v>
      </c>
      <c r="AN3053">
        <v>1.0000000283123101</v>
      </c>
    </row>
    <row r="3054" spans="1:40" x14ac:dyDescent="0.25">
      <c r="A3054" t="str">
        <f>"20190303170558035"</f>
        <v>20190303170558035</v>
      </c>
      <c r="B3054" t="str">
        <f>"1551603958027574"</f>
        <v>1551603958027574</v>
      </c>
      <c r="C3054" t="s">
        <v>40</v>
      </c>
      <c r="D3054">
        <v>6.3519170000000003</v>
      </c>
      <c r="E3054">
        <v>0.49397839999999998</v>
      </c>
      <c r="F3054" t="s">
        <v>52</v>
      </c>
      <c r="G3054">
        <v>-202.2739</v>
      </c>
      <c r="H3054" s="1">
        <v>3.3376579999999999E-6</v>
      </c>
      <c r="I3054">
        <v>213.33170000000001</v>
      </c>
      <c r="J3054">
        <v>-326.07170000000002</v>
      </c>
      <c r="K3054">
        <v>1.1210070000000001</v>
      </c>
      <c r="L3054">
        <v>214.137</v>
      </c>
      <c r="M3054">
        <v>0.99985630000000003</v>
      </c>
      <c r="N3054">
        <v>-1.4842340000000001E-2</v>
      </c>
      <c r="O3054">
        <v>8.2145959999999994E-3</v>
      </c>
      <c r="P3054">
        <v>0.97009590000000001</v>
      </c>
      <c r="Q3054">
        <v>0.23940449999999999</v>
      </c>
      <c r="R3054">
        <v>-3.9993239999999999E-2</v>
      </c>
      <c r="S3054">
        <v>3.0964969999999998</v>
      </c>
      <c r="T3054">
        <v>-2.7926329999999999E-2</v>
      </c>
      <c r="U3054">
        <v>-1.9958500000000001E-2</v>
      </c>
      <c r="V3054">
        <v>4.7984819999999997E-2</v>
      </c>
      <c r="W3054">
        <v>0.25376680000000001</v>
      </c>
      <c r="X3054">
        <v>0.96607449999999995</v>
      </c>
      <c r="Y3054">
        <v>1.465877E-2</v>
      </c>
      <c r="Z3054">
        <v>-1.270489E-4</v>
      </c>
      <c r="AA3054">
        <v>0.99989249999999996</v>
      </c>
      <c r="AB3054">
        <v>48</v>
      </c>
      <c r="AC3054">
        <v>123.7978</v>
      </c>
      <c r="AD3054">
        <v>-1.1210036623420001</v>
      </c>
      <c r="AE3054">
        <v>-0.80529999999998803</v>
      </c>
      <c r="AF3054">
        <v>1.8221841634976399</v>
      </c>
      <c r="AG3054">
        <v>-1.1210036623420001</v>
      </c>
      <c r="AH3054">
        <v>123.776857483347</v>
      </c>
      <c r="AI3054">
        <v>90.518837412347594</v>
      </c>
      <c r="AJ3054">
        <v>89.156579647069805</v>
      </c>
      <c r="AK3054">
        <v>123.79534503683701</v>
      </c>
      <c r="AL3054">
        <v>75.299475987590199</v>
      </c>
      <c r="AM3054">
        <v>87.156461480471705</v>
      </c>
      <c r="AN3054">
        <v>1.00000003564146</v>
      </c>
    </row>
    <row r="3055" spans="1:40" x14ac:dyDescent="0.25">
      <c r="A3055" t="str">
        <f>"20190303170558056"</f>
        <v>20190303170558056</v>
      </c>
      <c r="B3055" t="str">
        <f>"1551603958048071"</f>
        <v>1551603958048071</v>
      </c>
      <c r="C3055" t="s">
        <v>40</v>
      </c>
      <c r="D3055">
        <v>5.5673599999999999</v>
      </c>
      <c r="E3055">
        <v>0.48919499999999999</v>
      </c>
      <c r="F3055" t="s">
        <v>52</v>
      </c>
      <c r="G3055">
        <v>-179.9556</v>
      </c>
      <c r="H3055">
        <v>5.2109820000000001E-2</v>
      </c>
      <c r="I3055">
        <v>213.2466</v>
      </c>
      <c r="J3055">
        <v>-325.61700000000002</v>
      </c>
      <c r="K3055">
        <v>1.1210150000000001</v>
      </c>
      <c r="L3055">
        <v>214.14070000000001</v>
      </c>
      <c r="M3055">
        <v>0.99985619999999997</v>
      </c>
      <c r="N3055">
        <v>-1.4839339999999999E-2</v>
      </c>
      <c r="O3055">
        <v>8.2052289999999996E-3</v>
      </c>
      <c r="P3055">
        <v>0.96976030000000002</v>
      </c>
      <c r="Q3055">
        <v>0.24078350000000001</v>
      </c>
      <c r="R3055">
        <v>-3.985561E-2</v>
      </c>
      <c r="S3055">
        <v>3.0973510000000002</v>
      </c>
      <c r="T3055">
        <v>-2.2658350000000001E-2</v>
      </c>
      <c r="U3055">
        <v>-1.8875119999999999E-2</v>
      </c>
      <c r="V3055">
        <v>4.7834479999999999E-2</v>
      </c>
      <c r="W3055">
        <v>0.25513819999999998</v>
      </c>
      <c r="X3055">
        <v>0.96572069999999999</v>
      </c>
      <c r="Y3055">
        <v>1.429823E-2</v>
      </c>
      <c r="Z3055" s="1">
        <v>-9.6651999999999996E-5</v>
      </c>
      <c r="AA3055">
        <v>0.99989779999999995</v>
      </c>
      <c r="AB3055">
        <v>48</v>
      </c>
      <c r="AC3055">
        <v>145.66139999999999</v>
      </c>
      <c r="AD3055">
        <v>-1.06890517999999</v>
      </c>
      <c r="AE3055">
        <v>-0.894100000000008</v>
      </c>
      <c r="AF3055">
        <v>2.0892741778239401</v>
      </c>
      <c r="AG3055">
        <v>-1.06890517999999</v>
      </c>
      <c r="AH3055">
        <v>145.64131579388399</v>
      </c>
      <c r="AI3055">
        <v>90.420460054555406</v>
      </c>
      <c r="AJ3055">
        <v>89.178128942519905</v>
      </c>
      <c r="AK3055">
        <v>145.66022274817399</v>
      </c>
      <c r="AL3055">
        <v>75.218226522258007</v>
      </c>
      <c r="AM3055">
        <v>87.164319143083802</v>
      </c>
      <c r="AN3055">
        <v>1.00000005449229</v>
      </c>
    </row>
    <row r="3056" spans="1:40" x14ac:dyDescent="0.25">
      <c r="A3056" t="str">
        <f>"20190303170558078"</f>
        <v>20190303170558078</v>
      </c>
      <c r="B3056" t="str">
        <f>"1551603958067591"</f>
        <v>1551603958067591</v>
      </c>
      <c r="C3056" t="s">
        <v>40</v>
      </c>
      <c r="D3056">
        <v>5.5610179999999998</v>
      </c>
      <c r="E3056">
        <v>0.48933680000000002</v>
      </c>
      <c r="F3056" t="s">
        <v>64</v>
      </c>
      <c r="G3056">
        <v>-281.12979999999999</v>
      </c>
      <c r="H3056" s="1">
        <v>6.6055200000000002E-6</v>
      </c>
      <c r="I3056">
        <v>214.48519999999999</v>
      </c>
      <c r="J3056">
        <v>-325.14179999999999</v>
      </c>
      <c r="K3056">
        <v>1.121019</v>
      </c>
      <c r="L3056">
        <v>214.1446</v>
      </c>
      <c r="M3056">
        <v>0.99985639999999998</v>
      </c>
      <c r="N3056">
        <v>-1.4836230000000001E-2</v>
      </c>
      <c r="O3056">
        <v>8.1953830000000005E-3</v>
      </c>
      <c r="P3056">
        <v>0.9697827</v>
      </c>
      <c r="Q3056">
        <v>0.2406375</v>
      </c>
      <c r="R3056">
        <v>-4.0190440000000001E-2</v>
      </c>
      <c r="S3056">
        <v>3.1139830000000002</v>
      </c>
      <c r="T3056">
        <v>-7.8467490000000001E-2</v>
      </c>
      <c r="U3056">
        <v>2.4108890000000001E-2</v>
      </c>
      <c r="V3056">
        <v>4.8158949999999999E-2</v>
      </c>
      <c r="W3056">
        <v>0.25498979999999999</v>
      </c>
      <c r="X3056">
        <v>0.96574369999999998</v>
      </c>
      <c r="Y3056">
        <v>4.5372380000000001E-4</v>
      </c>
      <c r="Z3056" s="1">
        <v>-9.3966460000000006E-5</v>
      </c>
      <c r="AA3056">
        <v>0.99999990000000005</v>
      </c>
      <c r="AB3056">
        <v>48</v>
      </c>
      <c r="AC3056">
        <v>44.012</v>
      </c>
      <c r="AD3056">
        <v>-1.1210123944799999</v>
      </c>
      <c r="AE3056">
        <v>0.34059999999999402</v>
      </c>
      <c r="AF3056">
        <v>2.0133262415957899E-2</v>
      </c>
      <c r="AG3056">
        <v>-1.1210123944799999</v>
      </c>
      <c r="AH3056">
        <v>43.984779787707602</v>
      </c>
      <c r="AI3056">
        <v>91.459945262212898</v>
      </c>
      <c r="AJ3056">
        <v>89.973773862475397</v>
      </c>
      <c r="AK3056">
        <v>43.999067343637599</v>
      </c>
      <c r="AL3056">
        <v>75.227019069620198</v>
      </c>
      <c r="AM3056">
        <v>87.145183795981893</v>
      </c>
      <c r="AN3056">
        <v>0.99999998832941595</v>
      </c>
    </row>
    <row r="3057" spans="1:40" x14ac:dyDescent="0.25">
      <c r="A3057" t="str">
        <f>"20190303170558102"</f>
        <v>20190303170558102</v>
      </c>
      <c r="B3057" t="str">
        <f>"1551603958087702"</f>
        <v>1551603958087702</v>
      </c>
      <c r="C3057" t="s">
        <v>40</v>
      </c>
      <c r="D3057">
        <v>5.5732150000000003</v>
      </c>
      <c r="E3057">
        <v>0.4899867</v>
      </c>
      <c r="F3057" t="s">
        <v>64</v>
      </c>
      <c r="G3057">
        <v>-281.7011</v>
      </c>
      <c r="H3057" s="1">
        <v>6.3552109999999998E-6</v>
      </c>
      <c r="I3057">
        <v>214.45959999999999</v>
      </c>
      <c r="J3057">
        <v>-324.63200000000001</v>
      </c>
      <c r="K3057">
        <v>1.121022</v>
      </c>
      <c r="L3057">
        <v>214.14879999999999</v>
      </c>
      <c r="M3057">
        <v>0.99985650000000004</v>
      </c>
      <c r="N3057">
        <v>-1.4832929999999999E-2</v>
      </c>
      <c r="O3057">
        <v>8.1845240000000003E-3</v>
      </c>
      <c r="P3057">
        <v>0.96965630000000003</v>
      </c>
      <c r="Q3057">
        <v>0.24121029999999999</v>
      </c>
      <c r="R3057">
        <v>-3.9808629999999998E-2</v>
      </c>
      <c r="S3057">
        <v>3.1143800000000001</v>
      </c>
      <c r="T3057">
        <v>-8.0368399999999895E-2</v>
      </c>
      <c r="U3057">
        <v>2.2583010000000001E-2</v>
      </c>
      <c r="V3057">
        <v>4.7764870000000001E-2</v>
      </c>
      <c r="W3057">
        <v>0.25555729999999999</v>
      </c>
      <c r="X3057">
        <v>0.96561319999999995</v>
      </c>
      <c r="Y3057">
        <v>9.3345630000000004E-4</v>
      </c>
      <c r="Z3057">
        <v>-1.087335E-4</v>
      </c>
      <c r="AA3057">
        <v>0.99999959999999999</v>
      </c>
      <c r="AB3057">
        <v>48</v>
      </c>
      <c r="AC3057">
        <v>42.930900000000001</v>
      </c>
      <c r="AD3057">
        <v>-1.1210156447890001</v>
      </c>
      <c r="AE3057">
        <v>0.31080000000000002</v>
      </c>
      <c r="AF3057">
        <v>4.0590374533144201E-2</v>
      </c>
      <c r="AG3057">
        <v>-1.1210156447890001</v>
      </c>
      <c r="AH3057">
        <v>42.902754454832198</v>
      </c>
      <c r="AI3057">
        <v>91.496752971373994</v>
      </c>
      <c r="AJ3057">
        <v>89.9457923742833</v>
      </c>
      <c r="AK3057">
        <v>42.917416784634</v>
      </c>
      <c r="AL3057">
        <v>75.1933887093723</v>
      </c>
      <c r="AM3057">
        <v>87.168124260715601</v>
      </c>
      <c r="AN3057">
        <v>0.99999993420182098</v>
      </c>
    </row>
    <row r="3058" spans="1:40" x14ac:dyDescent="0.25">
      <c r="A3058" t="str">
        <f>"20190303170558125"</f>
        <v>20190303170558125</v>
      </c>
      <c r="B3058" t="str">
        <f>"1551603958117959"</f>
        <v>1551603958117959</v>
      </c>
      <c r="C3058" t="s">
        <v>40</v>
      </c>
      <c r="D3058">
        <v>5.5962379999999996</v>
      </c>
      <c r="E3058">
        <v>0.49025160000000001</v>
      </c>
      <c r="F3058" t="s">
        <v>60</v>
      </c>
      <c r="G3058">
        <v>-275.87220000000002</v>
      </c>
      <c r="H3058" s="1">
        <v>1.5964019999999999E-6</v>
      </c>
      <c r="I3058">
        <v>214.42679999999999</v>
      </c>
      <c r="J3058">
        <v>-324.14929999999998</v>
      </c>
      <c r="K3058">
        <v>1.1210279999999999</v>
      </c>
      <c r="L3058">
        <v>214.15270000000001</v>
      </c>
      <c r="M3058">
        <v>0.99985679999999999</v>
      </c>
      <c r="N3058">
        <v>-1.4829790000000001E-2</v>
      </c>
      <c r="O3058">
        <v>8.1746679999999995E-3</v>
      </c>
      <c r="P3058">
        <v>0.96935640000000001</v>
      </c>
      <c r="Q3058">
        <v>0.24232090000000001</v>
      </c>
      <c r="R3058">
        <v>-4.0365819999999997E-2</v>
      </c>
      <c r="S3058">
        <v>3.1123959999999999</v>
      </c>
      <c r="T3058">
        <v>-7.1556090000000003E-2</v>
      </c>
      <c r="U3058">
        <v>1.774597E-2</v>
      </c>
      <c r="V3058">
        <v>4.8309600000000001E-2</v>
      </c>
      <c r="W3058">
        <v>0.25666080000000002</v>
      </c>
      <c r="X3058">
        <v>0.96529339999999997</v>
      </c>
      <c r="Y3058">
        <v>2.4726610000000001E-3</v>
      </c>
      <c r="Z3058">
        <v>-1.134416E-4</v>
      </c>
      <c r="AA3058">
        <v>0.99999700000000002</v>
      </c>
      <c r="AB3058">
        <v>48</v>
      </c>
      <c r="AC3058">
        <v>48.277099999999898</v>
      </c>
      <c r="AD3058">
        <v>-1.121026403598</v>
      </c>
      <c r="AE3058">
        <v>0.27409999999997497</v>
      </c>
      <c r="AF3058">
        <v>0.12053676442017</v>
      </c>
      <c r="AG3058">
        <v>-1.121026403598</v>
      </c>
      <c r="AH3058">
        <v>48.251711026895599</v>
      </c>
      <c r="AI3058">
        <v>91.330902620803499</v>
      </c>
      <c r="AJ3058">
        <v>89.856870702311696</v>
      </c>
      <c r="AK3058">
        <v>48.264882122845599</v>
      </c>
      <c r="AL3058">
        <v>75.127981816728806</v>
      </c>
      <c r="AM3058">
        <v>87.134934573672098</v>
      </c>
      <c r="AN3058">
        <v>0.99999996589617901</v>
      </c>
    </row>
    <row r="3059" spans="1:40" x14ac:dyDescent="0.25">
      <c r="A3059" t="str">
        <f>"20190303170558146"</f>
        <v>20190303170558146</v>
      </c>
      <c r="B3059" t="str">
        <f>"1551603958137478"</f>
        <v>1551603958137478</v>
      </c>
      <c r="C3059" t="s">
        <v>40</v>
      </c>
      <c r="D3059">
        <v>5.6768879999999999</v>
      </c>
      <c r="E3059">
        <v>0.4901201</v>
      </c>
      <c r="F3059" t="s">
        <v>60</v>
      </c>
      <c r="G3059">
        <v>-270.7278</v>
      </c>
      <c r="H3059" s="1">
        <v>-1.139383E-6</v>
      </c>
      <c r="I3059">
        <v>214.3853</v>
      </c>
      <c r="J3059">
        <v>-323.69470000000001</v>
      </c>
      <c r="K3059">
        <v>1.1210329999999999</v>
      </c>
      <c r="L3059">
        <v>214.15639999999999</v>
      </c>
      <c r="M3059">
        <v>0.99985679999999999</v>
      </c>
      <c r="N3059">
        <v>-1.4826840000000001E-2</v>
      </c>
      <c r="O3059">
        <v>8.1651099999999997E-3</v>
      </c>
      <c r="P3059">
        <v>0.96923409999999999</v>
      </c>
      <c r="Q3059">
        <v>0.24270120000000001</v>
      </c>
      <c r="R3059">
        <v>-4.1007589999999997E-2</v>
      </c>
      <c r="S3059">
        <v>3.111694</v>
      </c>
      <c r="T3059">
        <v>-6.5297720000000004E-2</v>
      </c>
      <c r="U3059">
        <v>1.3549800000000001E-2</v>
      </c>
      <c r="V3059">
        <v>4.8940730000000002E-2</v>
      </c>
      <c r="W3059">
        <v>0.25703589999999998</v>
      </c>
      <c r="X3059">
        <v>0.96516179999999996</v>
      </c>
      <c r="Y3059">
        <v>3.810052E-3</v>
      </c>
      <c r="Z3059">
        <v>-1.1847750000000001E-4</v>
      </c>
      <c r="AA3059">
        <v>0.99999269999999996</v>
      </c>
      <c r="AB3059">
        <v>48</v>
      </c>
      <c r="AC3059">
        <v>52.966900000000003</v>
      </c>
      <c r="AD3059">
        <v>-1.1210341393829999</v>
      </c>
      <c r="AE3059">
        <v>0.22890000000001001</v>
      </c>
      <c r="AF3059">
        <v>0.20354453914866399</v>
      </c>
      <c r="AG3059">
        <v>-1.1210341393829999</v>
      </c>
      <c r="AH3059">
        <v>52.943287706315601</v>
      </c>
      <c r="AI3059">
        <v>91.213004642270903</v>
      </c>
      <c r="AJ3059">
        <v>89.779723056823102</v>
      </c>
      <c r="AK3059">
        <v>52.955546084190203</v>
      </c>
      <c r="AL3059">
        <v>75.105744264852106</v>
      </c>
      <c r="AM3059">
        <v>87.097173083880406</v>
      </c>
      <c r="AN3059">
        <v>0.99999997456049095</v>
      </c>
    </row>
    <row r="3060" spans="1:40" x14ac:dyDescent="0.25">
      <c r="A3060" t="str">
        <f>"20190303170558167"</f>
        <v>20190303170558167</v>
      </c>
      <c r="B3060" t="str">
        <f>"1551603958157974"</f>
        <v>1551603958157974</v>
      </c>
      <c r="C3060" t="s">
        <v>40</v>
      </c>
      <c r="D3060">
        <v>5.5769529999999996</v>
      </c>
      <c r="E3060">
        <v>0.48977720000000002</v>
      </c>
      <c r="F3060" t="s">
        <v>60</v>
      </c>
      <c r="G3060">
        <v>-269.31909999999999</v>
      </c>
      <c r="H3060" s="1">
        <v>3.4327740000000001E-6</v>
      </c>
      <c r="I3060">
        <v>214.3785</v>
      </c>
      <c r="J3060">
        <v>-323.23079999999999</v>
      </c>
      <c r="K3060">
        <v>1.1210329999999999</v>
      </c>
      <c r="L3060">
        <v>214.1602</v>
      </c>
      <c r="M3060">
        <v>0.99985690000000005</v>
      </c>
      <c r="N3060">
        <v>-1.4823859999999999E-2</v>
      </c>
      <c r="O3060">
        <v>8.1557239999999996E-3</v>
      </c>
      <c r="P3060">
        <v>0.96890659999999895</v>
      </c>
      <c r="Q3060">
        <v>0.2438186</v>
      </c>
      <c r="R3060">
        <v>-4.210216E-2</v>
      </c>
      <c r="S3060">
        <v>3.1118769999999998</v>
      </c>
      <c r="T3060">
        <v>-6.4155699999999996E-2</v>
      </c>
      <c r="U3060">
        <v>1.2710569999999999E-2</v>
      </c>
      <c r="V3060">
        <v>5.0023320000000003E-2</v>
      </c>
      <c r="W3060">
        <v>0.25814540000000002</v>
      </c>
      <c r="X3060">
        <v>0.9648101</v>
      </c>
      <c r="Y3060">
        <v>4.0705639999999996E-3</v>
      </c>
      <c r="Z3060">
        <v>-1.193512E-4</v>
      </c>
      <c r="AA3060">
        <v>0.99999170000000004</v>
      </c>
      <c r="AB3060">
        <v>48</v>
      </c>
      <c r="AC3060">
        <v>53.911700000000003</v>
      </c>
      <c r="AD3060">
        <v>-1.121029567226</v>
      </c>
      <c r="AE3060">
        <v>0.21829999999999899</v>
      </c>
      <c r="AF3060">
        <v>0.22134880152220399</v>
      </c>
      <c r="AG3060">
        <v>-1.121029567226</v>
      </c>
      <c r="AH3060">
        <v>53.888387163428</v>
      </c>
      <c r="AI3060">
        <v>91.191730941243407</v>
      </c>
      <c r="AJ3060">
        <v>89.764656515611804</v>
      </c>
      <c r="AK3060">
        <v>53.9005006809588</v>
      </c>
      <c r="AL3060">
        <v>75.039954151694005</v>
      </c>
      <c r="AM3060">
        <v>87.031995197948106</v>
      </c>
      <c r="AN3060">
        <v>0.999999954573495</v>
      </c>
    </row>
    <row r="3061" spans="1:40" x14ac:dyDescent="0.25">
      <c r="A3061" t="str">
        <f>"20190303170558191"</f>
        <v>20190303170558191</v>
      </c>
      <c r="B3061" t="str">
        <f>"1551603958177494"</f>
        <v>1551603958177494</v>
      </c>
      <c r="C3061" t="s">
        <v>40</v>
      </c>
      <c r="D3061">
        <v>5.5826799999999999</v>
      </c>
      <c r="E3061">
        <v>0.4894966</v>
      </c>
      <c r="F3061" t="s">
        <v>60</v>
      </c>
      <c r="G3061">
        <v>-267.83760000000001</v>
      </c>
      <c r="H3061" s="1">
        <v>2.6442489999999999E-6</v>
      </c>
      <c r="I3061">
        <v>214.381</v>
      </c>
      <c r="J3061">
        <v>-322.74489999999997</v>
      </c>
      <c r="K3061">
        <v>1.1210370000000001</v>
      </c>
      <c r="L3061">
        <v>214.16419999999999</v>
      </c>
      <c r="M3061">
        <v>0.99985710000000005</v>
      </c>
      <c r="N3061">
        <v>-1.482077E-2</v>
      </c>
      <c r="O3061">
        <v>8.1460379999999995E-3</v>
      </c>
      <c r="P3061">
        <v>0.96884360000000003</v>
      </c>
      <c r="Q3061">
        <v>0.24389060000000001</v>
      </c>
      <c r="R3061">
        <v>-4.3125379999999998E-2</v>
      </c>
      <c r="S3061">
        <v>3.1127009999999999</v>
      </c>
      <c r="T3061">
        <v>-6.2993759999999996E-2</v>
      </c>
      <c r="U3061">
        <v>1.24054E-2</v>
      </c>
      <c r="V3061">
        <v>5.1036140000000001E-2</v>
      </c>
      <c r="W3061">
        <v>0.25821359999999999</v>
      </c>
      <c r="X3061">
        <v>0.96473880000000001</v>
      </c>
      <c r="Y3061">
        <v>4.1600259999999998E-3</v>
      </c>
      <c r="Z3061">
        <v>-1.17027E-4</v>
      </c>
      <c r="AA3061">
        <v>0.99999139999999997</v>
      </c>
      <c r="AB3061">
        <v>48</v>
      </c>
      <c r="AC3061">
        <v>54.9072999999999</v>
      </c>
      <c r="AD3061">
        <v>-1.1210343557510001</v>
      </c>
      <c r="AE3061">
        <v>0.21679999999997701</v>
      </c>
      <c r="AF3061">
        <v>0.23043717061059801</v>
      </c>
      <c r="AG3061">
        <v>-1.1210343557510001</v>
      </c>
      <c r="AH3061">
        <v>54.884365978576596</v>
      </c>
      <c r="AI3061">
        <v>91.1701153912216</v>
      </c>
      <c r="AJ3061">
        <v>89.759439696492507</v>
      </c>
      <c r="AK3061">
        <v>54.896297217450901</v>
      </c>
      <c r="AL3061">
        <v>75.0359094049482</v>
      </c>
      <c r="AM3061">
        <v>86.971789485226793</v>
      </c>
      <c r="AN3061">
        <v>0.99999995151824805</v>
      </c>
    </row>
    <row r="3062" spans="1:40" x14ac:dyDescent="0.25">
      <c r="A3062" t="str">
        <f>"20190303170558213"</f>
        <v>20190303170558213</v>
      </c>
      <c r="B3062" t="str">
        <f>"1551603958207750"</f>
        <v>1551603958207750</v>
      </c>
      <c r="C3062" t="s">
        <v>40</v>
      </c>
      <c r="D3062">
        <v>5.6235160000000004</v>
      </c>
      <c r="E3062">
        <v>0.4890524</v>
      </c>
      <c r="F3062" t="s">
        <v>60</v>
      </c>
      <c r="G3062">
        <v>-269.06549999999999</v>
      </c>
      <c r="H3062" s="1">
        <v>3.298391E-6</v>
      </c>
      <c r="I3062">
        <v>214.36519999999999</v>
      </c>
      <c r="J3062">
        <v>-322.25970000000001</v>
      </c>
      <c r="K3062">
        <v>1.121038</v>
      </c>
      <c r="L3062">
        <v>214.16810000000001</v>
      </c>
      <c r="M3062">
        <v>0.99985729999999995</v>
      </c>
      <c r="N3062">
        <v>-1.481763E-2</v>
      </c>
      <c r="O3062">
        <v>8.1363530000000007E-3</v>
      </c>
      <c r="P3062">
        <v>0.96889130000000001</v>
      </c>
      <c r="Q3062">
        <v>0.2435387</v>
      </c>
      <c r="R3062">
        <v>-4.4031899999999999E-2</v>
      </c>
      <c r="S3062">
        <v>3.1133730000000002</v>
      </c>
      <c r="T3062">
        <v>-6.5019250000000001E-2</v>
      </c>
      <c r="U3062">
        <v>1.165771E-2</v>
      </c>
      <c r="V3062">
        <v>5.193362E-2</v>
      </c>
      <c r="W3062">
        <v>0.2578588</v>
      </c>
      <c r="X3062">
        <v>0.96478580000000003</v>
      </c>
      <c r="Y3062">
        <v>4.3911499999999999E-3</v>
      </c>
      <c r="Z3062">
        <v>-1.2772010000000001E-4</v>
      </c>
      <c r="AA3062">
        <v>0.9999903</v>
      </c>
      <c r="AB3062">
        <v>48</v>
      </c>
      <c r="AC3062">
        <v>53.194200000000002</v>
      </c>
      <c r="AD3062">
        <v>-1.1210347016090001</v>
      </c>
      <c r="AE3062">
        <v>0.19709999999997699</v>
      </c>
      <c r="AF3062">
        <v>0.2356560929198</v>
      </c>
      <c r="AG3062">
        <v>-1.1210347016090001</v>
      </c>
      <c r="AH3062">
        <v>53.170428473681497</v>
      </c>
      <c r="AI3062">
        <v>91.207821970011494</v>
      </c>
      <c r="AJ3062">
        <v>89.7460616451595</v>
      </c>
      <c r="AK3062">
        <v>53.182767102429104</v>
      </c>
      <c r="AL3062">
        <v>75.056950488456295</v>
      </c>
      <c r="AM3062">
        <v>86.918789397211597</v>
      </c>
      <c r="AN3062">
        <v>0.99999995075269099</v>
      </c>
    </row>
    <row r="3063" spans="1:40" x14ac:dyDescent="0.25">
      <c r="A3063" t="str">
        <f>"20190303170558237"</f>
        <v>20190303170558237</v>
      </c>
      <c r="B3063" t="str">
        <f>"1551603958228247"</f>
        <v>1551603958228247</v>
      </c>
      <c r="C3063" t="s">
        <v>40</v>
      </c>
      <c r="D3063">
        <v>5.6153570000000004</v>
      </c>
      <c r="E3063">
        <v>0.48883759999999998</v>
      </c>
      <c r="F3063" t="s">
        <v>60</v>
      </c>
      <c r="G3063">
        <v>-271.15679999999998</v>
      </c>
      <c r="H3063" s="1">
        <v>-9.1080879999999998E-7</v>
      </c>
      <c r="I3063">
        <v>214.37819999999999</v>
      </c>
      <c r="J3063">
        <v>-321.75740000000002</v>
      </c>
      <c r="K3063">
        <v>1.1210370000000001</v>
      </c>
      <c r="L3063">
        <v>214.1721</v>
      </c>
      <c r="M3063">
        <v>0.9998572</v>
      </c>
      <c r="N3063">
        <v>-1.4814509999999999E-2</v>
      </c>
      <c r="O3063">
        <v>8.1266069999999992E-3</v>
      </c>
      <c r="P3063">
        <v>0.96888110000000005</v>
      </c>
      <c r="Q3063">
        <v>0.24333920000000001</v>
      </c>
      <c r="R3063">
        <v>-4.5338999999999997E-2</v>
      </c>
      <c r="S3063">
        <v>3.1141049999999999</v>
      </c>
      <c r="T3063">
        <v>-6.8313719999999994E-2</v>
      </c>
      <c r="U3063">
        <v>1.280212E-2</v>
      </c>
      <c r="V3063">
        <v>5.3230699999999999E-2</v>
      </c>
      <c r="W3063">
        <v>0.2576562</v>
      </c>
      <c r="X3063">
        <v>0.96476930000000005</v>
      </c>
      <c r="Y3063">
        <v>4.0147639999999997E-3</v>
      </c>
      <c r="Z3063">
        <v>-1.3162969999999999E-4</v>
      </c>
      <c r="AA3063">
        <v>0.99999199999999999</v>
      </c>
      <c r="AB3063">
        <v>48</v>
      </c>
      <c r="AC3063">
        <v>50.6006</v>
      </c>
      <c r="AD3063">
        <v>-1.1210379108088</v>
      </c>
      <c r="AE3063">
        <v>0.20609999999999201</v>
      </c>
      <c r="AF3063">
        <v>0.20506249429029</v>
      </c>
      <c r="AG3063">
        <v>-1.1210379108088</v>
      </c>
      <c r="AH3063">
        <v>50.575780213617897</v>
      </c>
      <c r="AI3063">
        <v>91.269771757051601</v>
      </c>
      <c r="AJ3063">
        <v>89.767692143814202</v>
      </c>
      <c r="AK3063">
        <v>50.588618491121302</v>
      </c>
      <c r="AL3063">
        <v>75.068965533306397</v>
      </c>
      <c r="AM3063">
        <v>86.841933888764302</v>
      </c>
      <c r="AN3063">
        <v>1.00000001352171</v>
      </c>
    </row>
    <row r="3064" spans="1:40" x14ac:dyDescent="0.25">
      <c r="A3064" t="str">
        <f>"20190303170558258"</f>
        <v>20190303170558258</v>
      </c>
      <c r="B3064" t="str">
        <f>"1551603958247767"</f>
        <v>1551603958247767</v>
      </c>
      <c r="C3064" t="s">
        <v>40</v>
      </c>
      <c r="D3064">
        <v>5.5687470000000001</v>
      </c>
      <c r="E3064">
        <v>0.48902289999999998</v>
      </c>
      <c r="F3064" t="s">
        <v>60</v>
      </c>
      <c r="G3064">
        <v>-271.48509999999999</v>
      </c>
      <c r="H3064" s="1">
        <v>-7.3542179999999997E-7</v>
      </c>
      <c r="I3064">
        <v>214.36349999999999</v>
      </c>
      <c r="J3064">
        <v>-321.30090000000001</v>
      </c>
      <c r="K3064">
        <v>1.1210359999999999</v>
      </c>
      <c r="L3064">
        <v>214.17580000000001</v>
      </c>
      <c r="M3064">
        <v>0.99985749999999995</v>
      </c>
      <c r="N3064">
        <v>-1.4811660000000001E-2</v>
      </c>
      <c r="O3064">
        <v>8.1173949999999995E-3</v>
      </c>
      <c r="P3064">
        <v>0.96892319999999998</v>
      </c>
      <c r="Q3064">
        <v>0.24297179999999999</v>
      </c>
      <c r="R3064">
        <v>-4.639836E-2</v>
      </c>
      <c r="S3064">
        <v>3.1143489999999998</v>
      </c>
      <c r="T3064">
        <v>-6.9447990000000001E-2</v>
      </c>
      <c r="U3064">
        <v>1.185608E-2</v>
      </c>
      <c r="V3064">
        <v>5.4281500000000003E-2</v>
      </c>
      <c r="W3064">
        <v>0.25728659999999998</v>
      </c>
      <c r="X3064">
        <v>0.96480940000000004</v>
      </c>
      <c r="Y3064">
        <v>4.3094479999999996E-3</v>
      </c>
      <c r="Z3064">
        <v>-1.4071900000000001E-4</v>
      </c>
      <c r="AA3064">
        <v>0.99999070000000001</v>
      </c>
      <c r="AB3064">
        <v>48</v>
      </c>
      <c r="AC3064">
        <v>49.815800000000003</v>
      </c>
      <c r="AD3064">
        <v>-1.1210367354218</v>
      </c>
      <c r="AE3064">
        <v>0.187699999999978</v>
      </c>
      <c r="AF3064">
        <v>0.21661531985799001</v>
      </c>
      <c r="AG3064">
        <v>-1.1210367354218</v>
      </c>
      <c r="AH3064">
        <v>49.790467962847401</v>
      </c>
      <c r="AI3064">
        <v>91.289789362160704</v>
      </c>
      <c r="AJ3064">
        <v>89.750734110126501</v>
      </c>
      <c r="AK3064">
        <v>49.803557558856198</v>
      </c>
      <c r="AL3064">
        <v>75.090881116491801</v>
      </c>
      <c r="AM3064">
        <v>86.779855624353701</v>
      </c>
      <c r="AN3064">
        <v>1.00000002705508</v>
      </c>
    </row>
    <row r="3065" spans="1:40" x14ac:dyDescent="0.25">
      <c r="A3065" t="str">
        <f>"20190303170558280"</f>
        <v>20190303170558280</v>
      </c>
      <c r="B3065" t="str">
        <f>"1551603958268264"</f>
        <v>1551603958268264</v>
      </c>
      <c r="C3065" t="s">
        <v>40</v>
      </c>
      <c r="D3065">
        <v>5.5661239999999896</v>
      </c>
      <c r="E3065">
        <v>0.48916720000000002</v>
      </c>
      <c r="F3065" t="s">
        <v>60</v>
      </c>
      <c r="G3065">
        <v>-272.40570000000002</v>
      </c>
      <c r="H3065" s="1">
        <v>-2.4245600000000001E-7</v>
      </c>
      <c r="I3065">
        <v>214.29249999999999</v>
      </c>
      <c r="J3065">
        <v>-320.81900000000002</v>
      </c>
      <c r="K3065">
        <v>1.1210340000000001</v>
      </c>
      <c r="L3065">
        <v>214.1797</v>
      </c>
      <c r="M3065">
        <v>0.99985760000000001</v>
      </c>
      <c r="N3065">
        <v>-1.48089E-2</v>
      </c>
      <c r="O3065">
        <v>8.1077049999999998E-3</v>
      </c>
      <c r="P3065">
        <v>0.96884939999999997</v>
      </c>
      <c r="Q3065">
        <v>0.24309159999999999</v>
      </c>
      <c r="R3065">
        <v>-4.7307189999999999E-2</v>
      </c>
      <c r="S3065">
        <v>3.114471</v>
      </c>
      <c r="T3065">
        <v>-7.1406479999999994E-2</v>
      </c>
      <c r="U3065">
        <v>7.4310299999999999E-3</v>
      </c>
      <c r="V3065">
        <v>5.5179949999999998E-2</v>
      </c>
      <c r="W3065">
        <v>0.25740220000000003</v>
      </c>
      <c r="X3065">
        <v>0.96472760000000002</v>
      </c>
      <c r="Y3065">
        <v>5.7199460000000001E-3</v>
      </c>
      <c r="Z3065">
        <v>-1.7372040000000001E-4</v>
      </c>
      <c r="AA3065">
        <v>0.99998359999999997</v>
      </c>
      <c r="AB3065">
        <v>48</v>
      </c>
      <c r="AC3065">
        <v>48.4132999999999</v>
      </c>
      <c r="AD3065">
        <v>-1.121034242456</v>
      </c>
      <c r="AE3065">
        <v>0.112799999999992</v>
      </c>
      <c r="AF3065">
        <v>0.27961753593613797</v>
      </c>
      <c r="AG3065">
        <v>-1.121034242456</v>
      </c>
      <c r="AH3065">
        <v>48.386679357374497</v>
      </c>
      <c r="AI3065">
        <v>91.327182835727399</v>
      </c>
      <c r="AJ3065">
        <v>89.668902132452104</v>
      </c>
      <c r="AK3065">
        <v>48.400471516014498</v>
      </c>
      <c r="AL3065">
        <v>75.084026929424596</v>
      </c>
      <c r="AM3065">
        <v>86.726394839567703</v>
      </c>
      <c r="AN3065">
        <v>1.0000000308243</v>
      </c>
    </row>
    <row r="3066" spans="1:40" x14ac:dyDescent="0.25">
      <c r="A3066" t="str">
        <f>"20190303170558304"</f>
        <v>20190303170558304</v>
      </c>
      <c r="B3066" t="str">
        <f>"1551603958297542"</f>
        <v>1551603958297542</v>
      </c>
      <c r="C3066" t="s">
        <v>40</v>
      </c>
      <c r="D3066">
        <v>5.5502580000000004</v>
      </c>
      <c r="E3066">
        <v>0.4891894</v>
      </c>
      <c r="F3066" t="s">
        <v>60</v>
      </c>
      <c r="G3066">
        <v>-270.31</v>
      </c>
      <c r="H3066" s="1">
        <v>-1.35511E-6</v>
      </c>
      <c r="I3066">
        <v>214.23390000000001</v>
      </c>
      <c r="J3066">
        <v>-320.33170000000001</v>
      </c>
      <c r="K3066">
        <v>1.1210279999999999</v>
      </c>
      <c r="L3066">
        <v>214.18369999999999</v>
      </c>
      <c r="M3066">
        <v>0.99985769999999996</v>
      </c>
      <c r="N3066">
        <v>-1.480591E-2</v>
      </c>
      <c r="O3066">
        <v>8.0981360000000006E-3</v>
      </c>
      <c r="P3066">
        <v>0.96879139999999997</v>
      </c>
      <c r="Q3066">
        <v>0.2431749</v>
      </c>
      <c r="R3066">
        <v>-4.805603E-2</v>
      </c>
      <c r="S3066">
        <v>3.113953</v>
      </c>
      <c r="T3066">
        <v>-6.911349E-2</v>
      </c>
      <c r="U3066">
        <v>3.3416750000000001E-3</v>
      </c>
      <c r="V3066">
        <v>5.5919089999999998E-2</v>
      </c>
      <c r="W3066">
        <v>0.25748149999999997</v>
      </c>
      <c r="X3066">
        <v>0.96466390000000002</v>
      </c>
      <c r="Y3066">
        <v>7.0228199999999999E-3</v>
      </c>
      <c r="Z3066">
        <v>-1.8973800000000001E-4</v>
      </c>
      <c r="AA3066">
        <v>0.99997530000000001</v>
      </c>
      <c r="AB3066">
        <v>48</v>
      </c>
      <c r="AC3066">
        <v>50.021700000000003</v>
      </c>
      <c r="AD3066">
        <v>-1.1210293551099999</v>
      </c>
      <c r="AE3066">
        <v>5.0200000000018001E-2</v>
      </c>
      <c r="AF3066">
        <v>0.35475036778896901</v>
      </c>
      <c r="AG3066">
        <v>-1.1210293551099999</v>
      </c>
      <c r="AH3066">
        <v>49.9953560017114</v>
      </c>
      <c r="AI3066">
        <v>91.284476771183407</v>
      </c>
      <c r="AJ3066">
        <v>89.593455085269497</v>
      </c>
      <c r="AK3066">
        <v>50.0091809208702</v>
      </c>
      <c r="AL3066">
        <v>75.079325235709803</v>
      </c>
      <c r="AM3066">
        <v>86.682423348271996</v>
      </c>
      <c r="AN3066">
        <v>1.0000000537159399</v>
      </c>
    </row>
    <row r="3067" spans="1:40" x14ac:dyDescent="0.25">
      <c r="A3067" t="str">
        <f>"20190303170558326"</f>
        <v>20190303170558326</v>
      </c>
      <c r="B3067" t="str">
        <f>"1551603958318038"</f>
        <v>1551603958318038</v>
      </c>
      <c r="C3067" t="s">
        <v>40</v>
      </c>
      <c r="D3067">
        <v>5.5416179999999997</v>
      </c>
      <c r="E3067">
        <v>0.489153</v>
      </c>
      <c r="F3067" t="s">
        <v>60</v>
      </c>
      <c r="G3067">
        <v>-268.77440000000001</v>
      </c>
      <c r="H3067" s="1">
        <v>3.1510200000000001E-6</v>
      </c>
      <c r="I3067">
        <v>214.1925</v>
      </c>
      <c r="J3067">
        <v>-319.85410000000002</v>
      </c>
      <c r="K3067">
        <v>1.1210260000000001</v>
      </c>
      <c r="L3067">
        <v>214.1875</v>
      </c>
      <c r="M3067">
        <v>0.99985769999999996</v>
      </c>
      <c r="N3067">
        <v>-1.480253E-2</v>
      </c>
      <c r="O3067">
        <v>8.0889229999999996E-3</v>
      </c>
      <c r="P3067">
        <v>0.96869559999999999</v>
      </c>
      <c r="Q3067">
        <v>0.2432539</v>
      </c>
      <c r="R3067">
        <v>-4.9564799999999999E-2</v>
      </c>
      <c r="S3067">
        <v>3.1136469999999998</v>
      </c>
      <c r="T3067">
        <v>-6.7700860000000002E-2</v>
      </c>
      <c r="U3067">
        <v>5.3405759999999999E-4</v>
      </c>
      <c r="V3067">
        <v>5.7417940000000001E-2</v>
      </c>
      <c r="W3067">
        <v>0.2575557</v>
      </c>
      <c r="X3067">
        <v>0.96455599999999997</v>
      </c>
      <c r="Y3067">
        <v>7.9149549999999996E-3</v>
      </c>
      <c r="Z3067">
        <v>-2.007516E-4</v>
      </c>
      <c r="AA3067">
        <v>0.99996859999999999</v>
      </c>
      <c r="AB3067">
        <v>48</v>
      </c>
      <c r="AC3067">
        <v>51.079700000000003</v>
      </c>
      <c r="AD3067">
        <v>-1.12102284897999</v>
      </c>
      <c r="AE3067">
        <v>4.9999999999954499E-3</v>
      </c>
      <c r="AF3067">
        <v>0.40802867787972302</v>
      </c>
      <c r="AG3067">
        <v>-1.12102284897999</v>
      </c>
      <c r="AH3067">
        <v>51.053479018838701</v>
      </c>
      <c r="AI3067">
        <v>91.257847833901806</v>
      </c>
      <c r="AJ3067">
        <v>89.542091472158106</v>
      </c>
      <c r="AK3067">
        <v>51.067415242568501</v>
      </c>
      <c r="AL3067">
        <v>75.074924952032902</v>
      </c>
      <c r="AM3067">
        <v>86.593325849290096</v>
      </c>
      <c r="AN3067">
        <v>1.0000000177861601</v>
      </c>
    </row>
    <row r="3068" spans="1:40" x14ac:dyDescent="0.25">
      <c r="A3068" t="str">
        <f>"20190303170558347"</f>
        <v>20190303170558347</v>
      </c>
      <c r="B3068" t="str">
        <f>"1551603958337558"</f>
        <v>1551603958337558</v>
      </c>
      <c r="C3068" t="s">
        <v>40</v>
      </c>
      <c r="D3068">
        <v>5.5697619999999999</v>
      </c>
      <c r="E3068">
        <v>0.48908299999999999</v>
      </c>
      <c r="F3068" t="s">
        <v>60</v>
      </c>
      <c r="G3068">
        <v>-266.81450000000001</v>
      </c>
      <c r="H3068" s="1">
        <v>2.1098609999999999E-6</v>
      </c>
      <c r="I3068">
        <v>214.15190000000001</v>
      </c>
      <c r="J3068">
        <v>-319.39519999999999</v>
      </c>
      <c r="K3068">
        <v>1.1210199999999999</v>
      </c>
      <c r="L3068">
        <v>214.19120000000001</v>
      </c>
      <c r="M3068">
        <v>0.99985800000000002</v>
      </c>
      <c r="N3068">
        <v>-1.479923E-2</v>
      </c>
      <c r="O3068">
        <v>8.0794149999999995E-3</v>
      </c>
      <c r="P3068">
        <v>0.96901369999999998</v>
      </c>
      <c r="Q3068">
        <v>0.2416092</v>
      </c>
      <c r="R3068">
        <v>-5.1361499999999997E-2</v>
      </c>
      <c r="S3068">
        <v>3.1133730000000002</v>
      </c>
      <c r="T3068">
        <v>-6.5803050000000002E-2</v>
      </c>
      <c r="U3068">
        <v>-2.0904539999999998E-3</v>
      </c>
      <c r="V3068">
        <v>5.920773E-2</v>
      </c>
      <c r="W3068">
        <v>0.25591269999999999</v>
      </c>
      <c r="X3068">
        <v>0.96488510000000005</v>
      </c>
      <c r="Y3068">
        <v>8.7482340000000006E-3</v>
      </c>
      <c r="Z3068">
        <v>-2.0835919999999999E-4</v>
      </c>
      <c r="AA3068">
        <v>0.99996169999999995</v>
      </c>
      <c r="AB3068">
        <v>48</v>
      </c>
      <c r="AC3068">
        <v>52.580699999999901</v>
      </c>
      <c r="AD3068">
        <v>-1.121017890139</v>
      </c>
      <c r="AE3068">
        <v>-3.9299999999997198E-2</v>
      </c>
      <c r="AF3068">
        <v>0.46395558936235698</v>
      </c>
      <c r="AG3068">
        <v>-1.121017890139</v>
      </c>
      <c r="AH3068">
        <v>52.554777637895498</v>
      </c>
      <c r="AI3068">
        <v>91.221912766103699</v>
      </c>
      <c r="AJ3068">
        <v>89.494203803890102</v>
      </c>
      <c r="AK3068">
        <v>52.5687795984228</v>
      </c>
      <c r="AL3068">
        <v>75.172327286343602</v>
      </c>
      <c r="AM3068">
        <v>86.488592439105204</v>
      </c>
      <c r="AN3068">
        <v>1.0000000607575199</v>
      </c>
    </row>
    <row r="3069" spans="1:40" x14ac:dyDescent="0.25">
      <c r="A3069" t="str">
        <f>"20190303170558368"</f>
        <v>20190303170558368</v>
      </c>
      <c r="B3069" t="str">
        <f>"1551603958358055"</f>
        <v>1551603958358055</v>
      </c>
      <c r="C3069" t="s">
        <v>40</v>
      </c>
      <c r="D3069">
        <v>5.6008009999999997</v>
      </c>
      <c r="E3069">
        <v>0.48907869999999998</v>
      </c>
      <c r="F3069" t="s">
        <v>60</v>
      </c>
      <c r="G3069">
        <v>-269.76519999999999</v>
      </c>
      <c r="H3069" s="1">
        <v>3.682042E-6</v>
      </c>
      <c r="I3069">
        <v>214.10650000000001</v>
      </c>
      <c r="J3069">
        <v>-318.95060000000001</v>
      </c>
      <c r="K3069">
        <v>1.1210150000000001</v>
      </c>
      <c r="L3069">
        <v>214.19479999999999</v>
      </c>
      <c r="M3069">
        <v>0.99985800000000002</v>
      </c>
      <c r="N3069">
        <v>-1.4796170000000001E-2</v>
      </c>
      <c r="O3069">
        <v>8.0708559999999995E-3</v>
      </c>
      <c r="P3069">
        <v>0.96926179999999995</v>
      </c>
      <c r="Q3069">
        <v>0.24023739999999999</v>
      </c>
      <c r="R3069">
        <v>-5.3081799999999998E-2</v>
      </c>
      <c r="S3069">
        <v>3.1131899999999999</v>
      </c>
      <c r="T3069">
        <v>-7.0319060000000003E-2</v>
      </c>
      <c r="U3069">
        <v>-5.3100589999999998E-3</v>
      </c>
      <c r="V3069">
        <v>6.0921679999999999E-2</v>
      </c>
      <c r="W3069">
        <v>0.25454110000000002</v>
      </c>
      <c r="X3069">
        <v>0.96514109999999997</v>
      </c>
      <c r="Y3069">
        <v>9.7729649999999998E-3</v>
      </c>
      <c r="Z3069">
        <v>-2.4553550000000002E-4</v>
      </c>
      <c r="AA3069">
        <v>0.99995219999999996</v>
      </c>
      <c r="AB3069">
        <v>48</v>
      </c>
      <c r="AC3069">
        <v>49.185400000000001</v>
      </c>
      <c r="AD3069">
        <v>-1.1210113179579999</v>
      </c>
      <c r="AE3069">
        <v>-8.8299999999975398E-2</v>
      </c>
      <c r="AF3069">
        <v>0.48505688356625698</v>
      </c>
      <c r="AG3069">
        <v>-1.1210113179579999</v>
      </c>
      <c r="AH3069">
        <v>49.157549919633396</v>
      </c>
      <c r="AI3069">
        <v>91.306309242241994</v>
      </c>
      <c r="AJ3069">
        <v>89.434658351239506</v>
      </c>
      <c r="AK3069">
        <v>49.172722729746603</v>
      </c>
      <c r="AL3069">
        <v>75.253604860384499</v>
      </c>
      <c r="AM3069">
        <v>86.388165127165294</v>
      </c>
      <c r="AN3069">
        <v>0.99999998279622104</v>
      </c>
    </row>
    <row r="3070" spans="1:40" x14ac:dyDescent="0.25">
      <c r="A3070" t="str">
        <f>"20190303170558392"</f>
        <v>20190303170558392</v>
      </c>
      <c r="B3070" t="str">
        <f>"1551603958377577"</f>
        <v>1551603958377577</v>
      </c>
      <c r="C3070" t="s">
        <v>40</v>
      </c>
      <c r="D3070">
        <v>5.6235900000000001</v>
      </c>
      <c r="E3070">
        <v>0.4889812</v>
      </c>
      <c r="F3070" t="s">
        <v>60</v>
      </c>
      <c r="G3070">
        <v>-271.69229999999999</v>
      </c>
      <c r="H3070" s="1">
        <v>-6.1087679999999996E-7</v>
      </c>
      <c r="I3070">
        <v>214.03649999999999</v>
      </c>
      <c r="J3070">
        <v>-318.45499999999998</v>
      </c>
      <c r="K3070">
        <v>1.121008</v>
      </c>
      <c r="L3070">
        <v>214.19880000000001</v>
      </c>
      <c r="M3070">
        <v>0.99985820000000003</v>
      </c>
      <c r="N3070">
        <v>-1.4793000000000001E-2</v>
      </c>
      <c r="O3070">
        <v>8.0611650000000003E-3</v>
      </c>
      <c r="P3070">
        <v>0.96966649999999999</v>
      </c>
      <c r="Q3070">
        <v>0.23811550000000001</v>
      </c>
      <c r="R3070">
        <v>-5.520895E-2</v>
      </c>
      <c r="S3070">
        <v>3.1128849999999999</v>
      </c>
      <c r="T3070">
        <v>-7.3840859999999994E-2</v>
      </c>
      <c r="U3070">
        <v>-1.042175E-2</v>
      </c>
      <c r="V3070">
        <v>6.3042459999999995E-2</v>
      </c>
      <c r="W3070">
        <v>0.25242209999999998</v>
      </c>
      <c r="X3070">
        <v>0.96556140000000001</v>
      </c>
      <c r="Y3070">
        <v>1.1404279999999999E-2</v>
      </c>
      <c r="Z3070">
        <v>-2.9155879999999998E-4</v>
      </c>
      <c r="AA3070">
        <v>0.99993489999999996</v>
      </c>
      <c r="AB3070">
        <v>48</v>
      </c>
      <c r="AC3070">
        <v>46.762700000000002</v>
      </c>
      <c r="AD3070">
        <v>-1.1210086108768</v>
      </c>
      <c r="AE3070">
        <v>-0.16230000000001599</v>
      </c>
      <c r="AF3070">
        <v>0.53898803752577795</v>
      </c>
      <c r="AG3070">
        <v>-1.1210086108768</v>
      </c>
      <c r="AH3070">
        <v>46.733016045138697</v>
      </c>
      <c r="AI3070">
        <v>91.374028124223898</v>
      </c>
      <c r="AJ3070">
        <v>89.339217255713393</v>
      </c>
      <c r="AK3070">
        <v>46.749566383929597</v>
      </c>
      <c r="AL3070">
        <v>75.379114638761493</v>
      </c>
      <c r="AM3070">
        <v>86.264403969037303</v>
      </c>
      <c r="AN3070">
        <v>1.0000000427506099</v>
      </c>
    </row>
    <row r="3071" spans="1:40" x14ac:dyDescent="0.25">
      <c r="A3071" t="str">
        <f>"20190303170558415"</f>
        <v>20190303170558415</v>
      </c>
      <c r="B3071" t="str">
        <f>"1551603958407831"</f>
        <v>1551603958407831</v>
      </c>
      <c r="C3071" t="s">
        <v>40</v>
      </c>
      <c r="D3071">
        <v>5.5804929999999997</v>
      </c>
      <c r="E3071">
        <v>0.48893799999999998</v>
      </c>
      <c r="F3071" t="s">
        <v>60</v>
      </c>
      <c r="G3071">
        <v>-275.27390000000003</v>
      </c>
      <c r="H3071" s="1">
        <v>1.297037E-6</v>
      </c>
      <c r="I3071">
        <v>213.99090000000001</v>
      </c>
      <c r="J3071">
        <v>-317.95589999999999</v>
      </c>
      <c r="K3071">
        <v>1.121003</v>
      </c>
      <c r="L3071">
        <v>214.20269999999999</v>
      </c>
      <c r="M3071">
        <v>0.99985829999999998</v>
      </c>
      <c r="N3071">
        <v>-1.4790019999999999E-2</v>
      </c>
      <c r="O3071">
        <v>8.051295E-3</v>
      </c>
      <c r="P3071">
        <v>0.97014840000000002</v>
      </c>
      <c r="Q3071">
        <v>0.2355167</v>
      </c>
      <c r="R3071">
        <v>-5.782967E-2</v>
      </c>
      <c r="S3071">
        <v>3.1128849999999999</v>
      </c>
      <c r="T3071">
        <v>-8.0812220000000004E-2</v>
      </c>
      <c r="U3071">
        <v>-1.498413E-2</v>
      </c>
      <c r="V3071">
        <v>6.5657010000000002E-2</v>
      </c>
      <c r="W3071">
        <v>0.24982770000000001</v>
      </c>
      <c r="X3071">
        <v>0.96606179999999997</v>
      </c>
      <c r="Y3071">
        <v>1.285815E-2</v>
      </c>
      <c r="Z3071">
        <v>-3.5189299999999999E-4</v>
      </c>
      <c r="AA3071">
        <v>0.99991730000000001</v>
      </c>
      <c r="AB3071">
        <v>47</v>
      </c>
      <c r="AC3071">
        <v>42.681999999999903</v>
      </c>
      <c r="AD3071">
        <v>-1.1210017029629999</v>
      </c>
      <c r="AE3071">
        <v>-0.211799999999982</v>
      </c>
      <c r="AF3071">
        <v>0.55509317222545596</v>
      </c>
      <c r="AG3071">
        <v>-1.1210017029629999</v>
      </c>
      <c r="AH3071">
        <v>42.649491945628199</v>
      </c>
      <c r="AI3071">
        <v>91.505491464803796</v>
      </c>
      <c r="AJ3071">
        <v>89.254324052138202</v>
      </c>
      <c r="AK3071">
        <v>42.667832572889203</v>
      </c>
      <c r="AL3071">
        <v>75.532684319574003</v>
      </c>
      <c r="AM3071">
        <v>86.111953206429405</v>
      </c>
      <c r="AN3071">
        <v>1.0000000620343299</v>
      </c>
    </row>
    <row r="3072" spans="1:40" x14ac:dyDescent="0.25">
      <c r="A3072" t="str">
        <f>"20190303170558437"</f>
        <v>20190303170558437</v>
      </c>
      <c r="B3072" t="str">
        <f>"1551603958427350"</f>
        <v>1551603958427350</v>
      </c>
      <c r="C3072" t="s">
        <v>40</v>
      </c>
      <c r="D3072">
        <v>5.5975830000000002</v>
      </c>
      <c r="E3072">
        <v>0.48890840000000002</v>
      </c>
      <c r="F3072" t="s">
        <v>60</v>
      </c>
      <c r="G3072">
        <v>-278.4128</v>
      </c>
      <c r="H3072" s="1">
        <v>2.9699620000000002E-6</v>
      </c>
      <c r="I3072">
        <v>213.93270000000001</v>
      </c>
      <c r="J3072">
        <v>-317.4982</v>
      </c>
      <c r="K3072">
        <v>1.1209910000000001</v>
      </c>
      <c r="L3072">
        <v>214.2064</v>
      </c>
      <c r="M3072">
        <v>0.99985829999999998</v>
      </c>
      <c r="N3072">
        <v>-1.478724E-2</v>
      </c>
      <c r="O3072">
        <v>8.0421999999999993E-3</v>
      </c>
      <c r="P3072">
        <v>0.97041339999999998</v>
      </c>
      <c r="Q3072">
        <v>0.2336741</v>
      </c>
      <c r="R3072">
        <v>-6.0777600000000001E-2</v>
      </c>
      <c r="S3072">
        <v>3.112457</v>
      </c>
      <c r="T3072">
        <v>-8.8234419999999994E-2</v>
      </c>
      <c r="U3072">
        <v>-2.1255489999999998E-2</v>
      </c>
      <c r="V3072">
        <v>6.8598259999999994E-2</v>
      </c>
      <c r="W3072">
        <v>0.24798590000000001</v>
      </c>
      <c r="X3072">
        <v>0.96633190000000002</v>
      </c>
      <c r="Y3072">
        <v>1.4861859999999999E-2</v>
      </c>
      <c r="Z3072">
        <v>-4.295592E-4</v>
      </c>
      <c r="AA3072">
        <v>0.99988949999999999</v>
      </c>
      <c r="AB3072">
        <v>47</v>
      </c>
      <c r="AC3072">
        <v>39.0853999999999</v>
      </c>
      <c r="AD3072">
        <v>-1.120988030038</v>
      </c>
      <c r="AE3072">
        <v>-0.27369999999999001</v>
      </c>
      <c r="AF3072">
        <v>0.58757483143932598</v>
      </c>
      <c r="AG3072">
        <v>-1.120988030038</v>
      </c>
      <c r="AH3072">
        <v>39.0498147210753</v>
      </c>
      <c r="AI3072">
        <v>91.644130346127497</v>
      </c>
      <c r="AJ3072">
        <v>89.137946802628406</v>
      </c>
      <c r="AK3072">
        <v>39.070319784925502</v>
      </c>
      <c r="AL3072">
        <v>75.641640433706499</v>
      </c>
      <c r="AM3072">
        <v>85.939481579388897</v>
      </c>
      <c r="AN3072">
        <v>1.0000000344157201</v>
      </c>
    </row>
    <row r="3073" spans="1:40" x14ac:dyDescent="0.25">
      <c r="A3073" t="str">
        <f>"20190303170558458"</f>
        <v>20190303170558458</v>
      </c>
      <c r="B3073" t="str">
        <f>"1551603958447847"</f>
        <v>1551603958447847</v>
      </c>
      <c r="C3073" t="s">
        <v>40</v>
      </c>
      <c r="D3073">
        <v>5.5567460000000004</v>
      </c>
      <c r="E3073">
        <v>0.48882429999999899</v>
      </c>
      <c r="F3073" t="s">
        <v>60</v>
      </c>
      <c r="G3073">
        <v>-279.95049999999998</v>
      </c>
      <c r="H3073" s="1">
        <v>3.791712E-6</v>
      </c>
      <c r="I3073">
        <v>213.85400000000001</v>
      </c>
      <c r="J3073">
        <v>-317.0471</v>
      </c>
      <c r="K3073">
        <v>1.1209819999999999</v>
      </c>
      <c r="L3073">
        <v>214.21</v>
      </c>
      <c r="M3073">
        <v>0.99985860000000004</v>
      </c>
      <c r="N3073">
        <v>-1.4784449999999999E-2</v>
      </c>
      <c r="O3073">
        <v>8.0333409999999994E-3</v>
      </c>
      <c r="P3073">
        <v>0.97065109999999999</v>
      </c>
      <c r="Q3073">
        <v>0.23199439999999999</v>
      </c>
      <c r="R3073">
        <v>-6.3366740000000005E-2</v>
      </c>
      <c r="S3073">
        <v>3.1120299999999999</v>
      </c>
      <c r="T3073">
        <v>-9.2909809999999995E-2</v>
      </c>
      <c r="U3073">
        <v>-2.920532E-2</v>
      </c>
      <c r="V3073">
        <v>7.1180259999999995E-2</v>
      </c>
      <c r="W3073">
        <v>0.24630679999999999</v>
      </c>
      <c r="X3073">
        <v>0.9665745</v>
      </c>
      <c r="Y3073">
        <v>1.740529E-2</v>
      </c>
      <c r="Z3073">
        <v>-5.0948949999999997E-4</v>
      </c>
      <c r="AA3073">
        <v>0.99984839999999997</v>
      </c>
      <c r="AB3073">
        <v>47</v>
      </c>
      <c r="AC3073">
        <v>37.096600000000002</v>
      </c>
      <c r="AD3073">
        <v>-1.120978208288</v>
      </c>
      <c r="AE3073">
        <v>-0.35599999999999399</v>
      </c>
      <c r="AF3073">
        <v>0.65343406644588797</v>
      </c>
      <c r="AG3073">
        <v>-1.120978208288</v>
      </c>
      <c r="AH3073">
        <v>37.058706735882097</v>
      </c>
      <c r="AI3073">
        <v>91.732326217483802</v>
      </c>
      <c r="AJ3073">
        <v>88.989842380701305</v>
      </c>
      <c r="AK3073">
        <v>37.081414659621103</v>
      </c>
      <c r="AL3073">
        <v>75.740924814871605</v>
      </c>
      <c r="AM3073">
        <v>85.788239840859603</v>
      </c>
      <c r="AN3073">
        <v>0.99999996659507795</v>
      </c>
    </row>
    <row r="3074" spans="1:40" x14ac:dyDescent="0.25">
      <c r="A3074" t="str">
        <f>"20190303170558481"</f>
        <v>20190303170558481</v>
      </c>
      <c r="B3074" t="str">
        <f>"1551603958467367"</f>
        <v>1551603958467367</v>
      </c>
      <c r="C3074" t="s">
        <v>40</v>
      </c>
      <c r="D3074">
        <v>5.6278560000000004</v>
      </c>
      <c r="E3074">
        <v>0.48865710000000001</v>
      </c>
      <c r="F3074" t="s">
        <v>64</v>
      </c>
      <c r="G3074">
        <v>-281.26710000000003</v>
      </c>
      <c r="H3074" s="1">
        <v>6.6275329999999999E-6</v>
      </c>
      <c r="I3074">
        <v>213.79</v>
      </c>
      <c r="J3074">
        <v>-316.57409999999999</v>
      </c>
      <c r="K3074">
        <v>1.1209709999999999</v>
      </c>
      <c r="L3074">
        <v>214.21379999999999</v>
      </c>
      <c r="M3074">
        <v>0.99985869999999999</v>
      </c>
      <c r="N3074">
        <v>-1.47815E-2</v>
      </c>
      <c r="O3074">
        <v>8.0236500000000002E-3</v>
      </c>
      <c r="P3074">
        <v>0.97101170000000003</v>
      </c>
      <c r="Q3074">
        <v>0.2296251</v>
      </c>
      <c r="R3074">
        <v>-6.6401879999999996E-2</v>
      </c>
      <c r="S3074">
        <v>3.1116329999999999</v>
      </c>
      <c r="T3074">
        <v>-9.7486379999999997E-2</v>
      </c>
      <c r="U3074">
        <v>-3.6529539999999999E-2</v>
      </c>
      <c r="V3074">
        <v>7.4208410000000002E-2</v>
      </c>
      <c r="W3074">
        <v>0.2439394</v>
      </c>
      <c r="X3074">
        <v>0.96694709999999995</v>
      </c>
      <c r="Y3074">
        <v>1.97471E-2</v>
      </c>
      <c r="Z3074">
        <v>-5.8798040000000002E-4</v>
      </c>
      <c r="AA3074">
        <v>0.9998049</v>
      </c>
      <c r="AB3074">
        <v>47</v>
      </c>
      <c r="AC3074">
        <v>35.306999999999903</v>
      </c>
      <c r="AD3074">
        <v>-1.120964372467</v>
      </c>
      <c r="AE3074">
        <v>-0.42380000000000001</v>
      </c>
      <c r="AF3074">
        <v>0.70639633040670102</v>
      </c>
      <c r="AG3074">
        <v>-1.120964372467</v>
      </c>
      <c r="AH3074">
        <v>35.266918374345103</v>
      </c>
      <c r="AI3074">
        <v>91.820177302844797</v>
      </c>
      <c r="AJ3074">
        <v>88.852519049225506</v>
      </c>
      <c r="AK3074">
        <v>35.291799168116597</v>
      </c>
      <c r="AL3074">
        <v>75.880835858467705</v>
      </c>
      <c r="AM3074">
        <v>85.611434592427003</v>
      </c>
      <c r="AN3074">
        <v>1.0000000065927399</v>
      </c>
    </row>
    <row r="3075" spans="1:40" x14ac:dyDescent="0.25">
      <c r="A3075" t="str">
        <f>"20190303170558504"</f>
        <v>20190303170558504</v>
      </c>
      <c r="B3075" t="str">
        <f>"1551603958487863"</f>
        <v>1551603958487863</v>
      </c>
      <c r="C3075" t="s">
        <v>40</v>
      </c>
      <c r="D3075">
        <v>5.5686589999999896</v>
      </c>
      <c r="E3075">
        <v>0.48857329999999999</v>
      </c>
      <c r="F3075" t="s">
        <v>64</v>
      </c>
      <c r="G3075">
        <v>-283.11509999999998</v>
      </c>
      <c r="H3075" s="1">
        <v>5.8147870000000001E-6</v>
      </c>
      <c r="I3075">
        <v>213.733</v>
      </c>
      <c r="J3075">
        <v>-316.07650000000001</v>
      </c>
      <c r="K3075">
        <v>1.1209659999999999</v>
      </c>
      <c r="L3075">
        <v>214.21780000000001</v>
      </c>
      <c r="M3075">
        <v>0.99985889999999999</v>
      </c>
      <c r="N3075">
        <v>-1.4778400000000001E-2</v>
      </c>
      <c r="O3075">
        <v>8.0136010000000004E-3</v>
      </c>
      <c r="P3075">
        <v>0.97126230000000002</v>
      </c>
      <c r="Q3075">
        <v>0.22771930000000001</v>
      </c>
      <c r="R3075">
        <v>-6.9237750000000001E-2</v>
      </c>
      <c r="S3075">
        <v>3.1111149999999999</v>
      </c>
      <c r="T3075">
        <v>-0.1042308</v>
      </c>
      <c r="U3075">
        <v>-4.4708249999999998E-2</v>
      </c>
      <c r="V3075">
        <v>7.7036380000000002E-2</v>
      </c>
      <c r="W3075">
        <v>0.2420342</v>
      </c>
      <c r="X3075">
        <v>0.96720459999999997</v>
      </c>
      <c r="Y3075">
        <v>2.2362710000000001E-2</v>
      </c>
      <c r="Z3075">
        <v>-6.8978880000000005E-4</v>
      </c>
      <c r="AA3075">
        <v>0.99974969999999996</v>
      </c>
      <c r="AB3075">
        <v>47</v>
      </c>
      <c r="AC3075">
        <v>32.961399999999998</v>
      </c>
      <c r="AD3075">
        <v>-1.120960185213</v>
      </c>
      <c r="AE3075">
        <v>-0.484800000000007</v>
      </c>
      <c r="AF3075">
        <v>0.748087705899389</v>
      </c>
      <c r="AG3075">
        <v>-1.120960185213</v>
      </c>
      <c r="AH3075">
        <v>32.918392039991403</v>
      </c>
      <c r="AI3075">
        <v>91.949819428784593</v>
      </c>
      <c r="AJ3075">
        <v>88.6981474746472</v>
      </c>
      <c r="AK3075">
        <v>32.945966694743099</v>
      </c>
      <c r="AL3075">
        <v>75.993367607973397</v>
      </c>
      <c r="AM3075">
        <v>85.446091609323503</v>
      </c>
      <c r="AN3075">
        <v>0.99999994803714998</v>
      </c>
    </row>
    <row r="3076" spans="1:40" x14ac:dyDescent="0.25">
      <c r="A3076" t="str">
        <f>"20190303170558527"</f>
        <v>20190303170558527</v>
      </c>
      <c r="B3076" t="str">
        <f>"1551603958518119"</f>
        <v>1551603958518119</v>
      </c>
      <c r="C3076" t="s">
        <v>40</v>
      </c>
      <c r="D3076">
        <v>5.747344</v>
      </c>
      <c r="E3076">
        <v>0.48828389999999999</v>
      </c>
      <c r="F3076" t="s">
        <v>64</v>
      </c>
      <c r="G3076">
        <v>-284.2242</v>
      </c>
      <c r="H3076" s="1">
        <v>5.3292520000000003E-6</v>
      </c>
      <c r="I3076">
        <v>213.68029999999999</v>
      </c>
      <c r="J3076">
        <v>-315.57569999999998</v>
      </c>
      <c r="K3076">
        <v>1.1209639999999901</v>
      </c>
      <c r="L3076">
        <v>214.2217</v>
      </c>
      <c r="M3076">
        <v>0.99985880000000005</v>
      </c>
      <c r="N3076">
        <v>-1.477525E-2</v>
      </c>
      <c r="O3076">
        <v>8.0040279999999998E-3</v>
      </c>
      <c r="P3076">
        <v>0.97150769999999997</v>
      </c>
      <c r="Q3076">
        <v>0.22595860000000001</v>
      </c>
      <c r="R3076">
        <v>-7.1524729999999995E-2</v>
      </c>
      <c r="S3076">
        <v>3.1106569999999998</v>
      </c>
      <c r="T3076">
        <v>-0.1094714</v>
      </c>
      <c r="U3076">
        <v>-5.2490229999999999E-2</v>
      </c>
      <c r="V3076">
        <v>7.9315990000000003E-2</v>
      </c>
      <c r="W3076">
        <v>0.24027390000000001</v>
      </c>
      <c r="X3076">
        <v>0.96745930000000002</v>
      </c>
      <c r="Y3076">
        <v>2.4851640000000001E-2</v>
      </c>
      <c r="Z3076">
        <v>-7.8416499999999997E-4</v>
      </c>
      <c r="AA3076">
        <v>0.99969079999999999</v>
      </c>
      <c r="AB3076">
        <v>47</v>
      </c>
      <c r="AC3076">
        <v>31.351499999999898</v>
      </c>
      <c r="AD3076">
        <v>-1.1209586707479999</v>
      </c>
      <c r="AE3076">
        <v>-0.54140000000000998</v>
      </c>
      <c r="AF3076">
        <v>0.79133700005586405</v>
      </c>
      <c r="AG3076">
        <v>-1.1209586707479999</v>
      </c>
      <c r="AH3076">
        <v>31.306152186334401</v>
      </c>
      <c r="AI3076">
        <v>92.050021705653506</v>
      </c>
      <c r="AJ3076">
        <v>88.552022073550106</v>
      </c>
      <c r="AK3076">
        <v>31.3362079279404</v>
      </c>
      <c r="AL3076">
        <v>76.097293779386206</v>
      </c>
      <c r="AM3076">
        <v>85.313156131583796</v>
      </c>
      <c r="AN3076">
        <v>1.00000003522368</v>
      </c>
    </row>
    <row r="3077" spans="1:40" x14ac:dyDescent="0.25">
      <c r="A3077" t="str">
        <f>"20190303170558549"</f>
        <v>20190303170558549</v>
      </c>
      <c r="B3077" t="str">
        <f>"1551603958537639"</f>
        <v>1551603958537639</v>
      </c>
      <c r="C3077" t="s">
        <v>40</v>
      </c>
      <c r="D3077">
        <v>5.5765399999999996</v>
      </c>
      <c r="E3077">
        <v>0.48804399999999998</v>
      </c>
      <c r="F3077" t="s">
        <v>64</v>
      </c>
      <c r="G3077">
        <v>-284.86009999999999</v>
      </c>
      <c r="H3077" s="1">
        <v>5.0494819999999996E-6</v>
      </c>
      <c r="I3077">
        <v>213.66159999999999</v>
      </c>
      <c r="J3077">
        <v>-315.12189999999998</v>
      </c>
      <c r="K3077">
        <v>1.120954</v>
      </c>
      <c r="L3077">
        <v>214.2253</v>
      </c>
      <c r="M3077">
        <v>0.99985900000000005</v>
      </c>
      <c r="N3077">
        <v>-1.4772449999999999E-2</v>
      </c>
      <c r="O3077">
        <v>7.9946340000000005E-3</v>
      </c>
      <c r="P3077">
        <v>0.97182930000000001</v>
      </c>
      <c r="Q3077">
        <v>0.22385720000000001</v>
      </c>
      <c r="R3077">
        <v>-7.3728639999999998E-2</v>
      </c>
      <c r="S3077">
        <v>3.1101990000000002</v>
      </c>
      <c r="T3077">
        <v>-0.1135058</v>
      </c>
      <c r="U3077">
        <v>-5.6716919999999997E-2</v>
      </c>
      <c r="V3077">
        <v>8.1513169999999996E-2</v>
      </c>
      <c r="W3077">
        <v>0.2381742</v>
      </c>
      <c r="X3077">
        <v>0.96779579999999998</v>
      </c>
      <c r="Y3077">
        <v>2.6199960000000001E-2</v>
      </c>
      <c r="Z3077">
        <v>-8.4508849999999998E-4</v>
      </c>
      <c r="AA3077">
        <v>0.9996564</v>
      </c>
      <c r="AB3077">
        <v>47</v>
      </c>
      <c r="AC3077">
        <v>30.261799999999901</v>
      </c>
      <c r="AD3077">
        <v>-1.1209489505179999</v>
      </c>
      <c r="AE3077">
        <v>-0.56370000000001097</v>
      </c>
      <c r="AF3077">
        <v>0.804536866672105</v>
      </c>
      <c r="AG3077">
        <v>-1.1209489505179999</v>
      </c>
      <c r="AH3077">
        <v>30.2148825121747</v>
      </c>
      <c r="AI3077">
        <v>92.123902935955698</v>
      </c>
      <c r="AJ3077">
        <v>88.474735843014599</v>
      </c>
      <c r="AK3077">
        <v>30.246370548282702</v>
      </c>
      <c r="AL3077">
        <v>76.2211952118233</v>
      </c>
      <c r="AM3077">
        <v>85.185592231775004</v>
      </c>
      <c r="AN3077">
        <v>1.0000000284633599</v>
      </c>
    </row>
    <row r="3078" spans="1:40" x14ac:dyDescent="0.25">
      <c r="A3078" t="str">
        <f>"20190303170558568"</f>
        <v>20190303170558568</v>
      </c>
      <c r="B3078" t="str">
        <f>"1551603958558135"</f>
        <v>1551603958558135</v>
      </c>
      <c r="C3078" t="s">
        <v>40</v>
      </c>
      <c r="D3078">
        <v>5.5930169999999997</v>
      </c>
      <c r="E3078">
        <v>0.48779149999999999</v>
      </c>
      <c r="F3078" t="s">
        <v>64</v>
      </c>
      <c r="G3078">
        <v>-286.08510000000001</v>
      </c>
      <c r="H3078" s="1">
        <v>4.5076669999999998E-6</v>
      </c>
      <c r="I3078">
        <v>213.64959999999999</v>
      </c>
      <c r="J3078">
        <v>-314.71359999999999</v>
      </c>
      <c r="K3078">
        <v>1.1209530000000001</v>
      </c>
      <c r="L3078">
        <v>214.2286</v>
      </c>
      <c r="M3078">
        <v>0.99985919999999895</v>
      </c>
      <c r="N3078">
        <v>-1.476995E-2</v>
      </c>
      <c r="O3078">
        <v>7.9866069999999997E-3</v>
      </c>
      <c r="P3078">
        <v>0.97180259999999996</v>
      </c>
      <c r="Q3078">
        <v>0.22323190000000001</v>
      </c>
      <c r="R3078">
        <v>-7.5946520000000003E-2</v>
      </c>
      <c r="S3078">
        <v>3.1099239999999999</v>
      </c>
      <c r="T3078">
        <v>-0.12005689999999999</v>
      </c>
      <c r="U3078">
        <v>-6.1660769999999997E-2</v>
      </c>
      <c r="V3078">
        <v>8.3722679999999994E-2</v>
      </c>
      <c r="W3078">
        <v>0.2375457</v>
      </c>
      <c r="X3078">
        <v>0.9677616</v>
      </c>
      <c r="Y3078">
        <v>2.77776E-2</v>
      </c>
      <c r="Z3078">
        <v>-9.3143990000000003E-4</v>
      </c>
      <c r="AA3078">
        <v>0.99961369999999905</v>
      </c>
      <c r="AB3078">
        <v>47</v>
      </c>
      <c r="AC3078">
        <v>28.628499999999899</v>
      </c>
      <c r="AD3078">
        <v>-1.120948492333</v>
      </c>
      <c r="AE3078">
        <v>-0.57900000000000695</v>
      </c>
      <c r="AF3078">
        <v>0.80641519096728398</v>
      </c>
      <c r="AG3078">
        <v>-1.120948492333</v>
      </c>
      <c r="AH3078">
        <v>28.579164819618999</v>
      </c>
      <c r="AI3078">
        <v>92.245244037462797</v>
      </c>
      <c r="AJ3078">
        <v>88.383720075760394</v>
      </c>
      <c r="AK3078">
        <v>28.612505880639599</v>
      </c>
      <c r="AL3078">
        <v>76.258268994839298</v>
      </c>
      <c r="AM3078">
        <v>85.055556628483899</v>
      </c>
      <c r="AN3078">
        <v>0.99999998058471595</v>
      </c>
    </row>
    <row r="3079" spans="1:40" x14ac:dyDescent="0.25">
      <c r="A3079" t="str">
        <f>"20190303170558593"</f>
        <v>20190303170558593</v>
      </c>
      <c r="B3079" t="str">
        <f>"1551603958587415"</f>
        <v>1551603958587415</v>
      </c>
      <c r="C3079" t="s">
        <v>40</v>
      </c>
      <c r="D3079">
        <v>5.9931780000000003</v>
      </c>
      <c r="E3079">
        <v>0.50988159999999905</v>
      </c>
      <c r="F3079" t="s">
        <v>64</v>
      </c>
      <c r="G3079">
        <v>-285.93509999999998</v>
      </c>
      <c r="H3079" s="1">
        <v>4.5776339999999997E-6</v>
      </c>
      <c r="I3079">
        <v>213.6208</v>
      </c>
      <c r="J3079">
        <v>-314.20979999999997</v>
      </c>
      <c r="K3079">
        <v>1.120959</v>
      </c>
      <c r="L3079">
        <v>214.23259999999999</v>
      </c>
      <c r="M3079">
        <v>0.99985919999999895</v>
      </c>
      <c r="N3079">
        <v>-1.476685E-2</v>
      </c>
      <c r="O3079">
        <v>7.9769139999999999E-3</v>
      </c>
      <c r="P3079">
        <v>0.97135329999999998</v>
      </c>
      <c r="Q3079">
        <v>0.22455710000000001</v>
      </c>
      <c r="R3079">
        <v>-7.7764410000000006E-2</v>
      </c>
      <c r="S3079">
        <v>3.109772</v>
      </c>
      <c r="T3079">
        <v>-0.1211281</v>
      </c>
      <c r="U3079">
        <v>-6.5673830000000002E-2</v>
      </c>
      <c r="V3079">
        <v>8.552775E-2</v>
      </c>
      <c r="W3079">
        <v>0.23886089999999999</v>
      </c>
      <c r="X3079">
        <v>0.96727989999999997</v>
      </c>
      <c r="Y3079">
        <v>2.9056450000000001E-2</v>
      </c>
      <c r="Z3079">
        <v>-9.730931E-4</v>
      </c>
      <c r="AA3079">
        <v>0.9995773</v>
      </c>
      <c r="AB3079">
        <v>47</v>
      </c>
      <c r="AC3079">
        <v>28.274699999999999</v>
      </c>
      <c r="AD3079">
        <v>-1.120954422366</v>
      </c>
      <c r="AE3079">
        <v>-0.61179999999998802</v>
      </c>
      <c r="AF3079">
        <v>0.83603654889732704</v>
      </c>
      <c r="AG3079">
        <v>-1.120954422366</v>
      </c>
      <c r="AH3079">
        <v>28.224578549159499</v>
      </c>
      <c r="AI3079">
        <v>92.273341580910994</v>
      </c>
      <c r="AJ3079">
        <v>88.3033453069839</v>
      </c>
      <c r="AK3079">
        <v>28.2591990368762</v>
      </c>
      <c r="AL3079">
        <v>76.180679992460597</v>
      </c>
      <c r="AM3079">
        <v>84.946997370321398</v>
      </c>
      <c r="AN3079">
        <v>0.99999996525643997</v>
      </c>
    </row>
    <row r="3080" spans="1:40" x14ac:dyDescent="0.25">
      <c r="A3080" t="str">
        <f>"20190303170558615"</f>
        <v>20190303170558615</v>
      </c>
      <c r="B3080" t="str">
        <f>"1551603958607911"</f>
        <v>1551603958607911</v>
      </c>
      <c r="C3080" t="s">
        <v>40</v>
      </c>
      <c r="D3080">
        <v>5.5957999999999997</v>
      </c>
      <c r="E3080">
        <v>0.52384410000000003</v>
      </c>
      <c r="F3080" t="s">
        <v>64</v>
      </c>
      <c r="G3080">
        <v>-280.67630000000003</v>
      </c>
      <c r="H3080" s="1">
        <v>7.1580919999999999E-6</v>
      </c>
      <c r="I3080">
        <v>211.5368</v>
      </c>
      <c r="J3080">
        <v>-313.72550000000001</v>
      </c>
      <c r="K3080">
        <v>1.1209629999999999</v>
      </c>
      <c r="L3080">
        <v>214.2364</v>
      </c>
      <c r="M3080">
        <v>0.99985930000000001</v>
      </c>
      <c r="N3080">
        <v>-1.476387E-2</v>
      </c>
      <c r="O3080">
        <v>7.9675189999999993E-3</v>
      </c>
      <c r="P3080">
        <v>0.97105940000000002</v>
      </c>
      <c r="Q3080">
        <v>0.22520290000000001</v>
      </c>
      <c r="R3080">
        <v>-7.9545690000000002E-2</v>
      </c>
      <c r="S3080">
        <v>3.0924680000000002</v>
      </c>
      <c r="T3080">
        <v>-0.10337449999999999</v>
      </c>
      <c r="U3080">
        <v>-0.24861150000000001</v>
      </c>
      <c r="V3080">
        <v>8.7297520000000003E-2</v>
      </c>
      <c r="W3080">
        <v>0.23949889999999999</v>
      </c>
      <c r="X3080">
        <v>0.96696400000000005</v>
      </c>
      <c r="Y3080">
        <v>8.8002319999999995E-2</v>
      </c>
      <c r="Z3080">
        <v>-2.2674869999999999E-3</v>
      </c>
      <c r="AA3080">
        <v>0.99611769999999999</v>
      </c>
      <c r="AB3080">
        <v>47</v>
      </c>
      <c r="AC3080">
        <v>33.0491999999999</v>
      </c>
      <c r="AD3080">
        <v>-1.1209558419079999</v>
      </c>
      <c r="AE3080">
        <v>-2.6996000000000002</v>
      </c>
      <c r="AF3080">
        <v>2.9594810454166902</v>
      </c>
      <c r="AG3080">
        <v>-1.1209558419079999</v>
      </c>
      <c r="AH3080">
        <v>32.988939814496298</v>
      </c>
      <c r="AI3080">
        <v>91.938368816722502</v>
      </c>
      <c r="AJ3080">
        <v>84.873643612397501</v>
      </c>
      <c r="AK3080">
        <v>33.1403865418336</v>
      </c>
      <c r="AL3080">
        <v>76.143032766918907</v>
      </c>
      <c r="AM3080">
        <v>84.841321332331404</v>
      </c>
      <c r="AN3080">
        <v>0.99999997869767998</v>
      </c>
    </row>
    <row r="3081" spans="1:40" x14ac:dyDescent="0.25">
      <c r="A3081" t="str">
        <f>"20190303170558637"</f>
        <v>20190303170558637</v>
      </c>
      <c r="B3081" t="str">
        <f>"1551603958627431"</f>
        <v>1551603958627431</v>
      </c>
      <c r="C3081" t="s">
        <v>40</v>
      </c>
      <c r="D3081">
        <v>5.6096830000000004</v>
      </c>
      <c r="E3081">
        <v>0.53098389999999995</v>
      </c>
      <c r="F3081" t="s">
        <v>60</v>
      </c>
      <c r="G3081">
        <v>-271.62270000000001</v>
      </c>
      <c r="H3081">
        <v>8.0001230000000007E-2</v>
      </c>
      <c r="I3081">
        <v>209.2079</v>
      </c>
      <c r="J3081">
        <v>-313.27569999999997</v>
      </c>
      <c r="K3081">
        <v>1.1209659999999999</v>
      </c>
      <c r="L3081">
        <v>214.24</v>
      </c>
      <c r="M3081">
        <v>0.99985930000000001</v>
      </c>
      <c r="N3081">
        <v>-1.4761069999999999E-2</v>
      </c>
      <c r="O3081">
        <v>7.9584819999999994E-3</v>
      </c>
      <c r="P3081">
        <v>0.97086269999999997</v>
      </c>
      <c r="Q3081">
        <v>0.2257508</v>
      </c>
      <c r="R3081">
        <v>-8.0387500000000001E-2</v>
      </c>
      <c r="S3081">
        <v>3.0769350000000002</v>
      </c>
      <c r="T3081">
        <v>-7.6074959999999997E-2</v>
      </c>
      <c r="U3081">
        <v>-0.36749270000000001</v>
      </c>
      <c r="V3081">
        <v>8.8128949999999998E-2</v>
      </c>
      <c r="W3081">
        <v>0.24004149999999999</v>
      </c>
      <c r="X3081">
        <v>0.966754</v>
      </c>
      <c r="Y3081">
        <v>0.12642970000000001</v>
      </c>
      <c r="Z3081">
        <v>-2.5728890000000001E-3</v>
      </c>
      <c r="AA3081">
        <v>0.99197219999999997</v>
      </c>
      <c r="AB3081">
        <v>47</v>
      </c>
      <c r="AC3081">
        <v>41.652999999999899</v>
      </c>
      <c r="AD3081">
        <v>-1.04096477</v>
      </c>
      <c r="AE3081">
        <v>-5.0321000000000096</v>
      </c>
      <c r="AF3081">
        <v>5.3601717676349203</v>
      </c>
      <c r="AG3081">
        <v>-1.04096477</v>
      </c>
      <c r="AH3081">
        <v>41.586028690383301</v>
      </c>
      <c r="AI3081">
        <v>91.422145616301606</v>
      </c>
      <c r="AJ3081">
        <v>82.655436793871402</v>
      </c>
      <c r="AK3081">
        <v>41.942971178354902</v>
      </c>
      <c r="AL3081">
        <v>76.111009766384896</v>
      </c>
      <c r="AM3081">
        <v>84.791333476635401</v>
      </c>
      <c r="AN3081">
        <v>0.99999996503317501</v>
      </c>
    </row>
    <row r="3082" spans="1:40" x14ac:dyDescent="0.25">
      <c r="A3082" t="str">
        <f>"20190303170558659"</f>
        <v>20190303170558659</v>
      </c>
      <c r="B3082" t="str">
        <f>"1551603958647927"</f>
        <v>1551603958647927</v>
      </c>
      <c r="C3082" t="s">
        <v>40</v>
      </c>
      <c r="D3082">
        <v>5.6190870000000004</v>
      </c>
      <c r="E3082">
        <v>0.53460640000000004</v>
      </c>
      <c r="F3082" t="s">
        <v>60</v>
      </c>
      <c r="G3082">
        <v>-258.72320000000002</v>
      </c>
      <c r="H3082">
        <v>8.0000719999999997E-2</v>
      </c>
      <c r="I3082">
        <v>206.63720000000001</v>
      </c>
      <c r="J3082">
        <v>-312.81819999999999</v>
      </c>
      <c r="K3082">
        <v>1.120959</v>
      </c>
      <c r="L3082">
        <v>214.24369999999999</v>
      </c>
      <c r="M3082">
        <v>0.99985959999999996</v>
      </c>
      <c r="N3082">
        <v>-1.4758240000000001E-2</v>
      </c>
      <c r="O3082">
        <v>7.9492669999999994E-3</v>
      </c>
      <c r="P3082">
        <v>0.97120819999999997</v>
      </c>
      <c r="Q3082">
        <v>0.2240596</v>
      </c>
      <c r="R3082">
        <v>-8.0948000000000006E-2</v>
      </c>
      <c r="S3082">
        <v>3.0682369999999999</v>
      </c>
      <c r="T3082">
        <v>-5.8547740000000001E-2</v>
      </c>
      <c r="U3082">
        <v>-0.4276123</v>
      </c>
      <c r="V3082">
        <v>8.8683120000000004E-2</v>
      </c>
      <c r="W3082">
        <v>0.23835249999999999</v>
      </c>
      <c r="X3082">
        <v>0.96712120000000001</v>
      </c>
      <c r="Y3082">
        <v>0.1458564</v>
      </c>
      <c r="Z3082">
        <v>-2.5007110000000001E-3</v>
      </c>
      <c r="AA3082">
        <v>0.98930260000000003</v>
      </c>
      <c r="AB3082">
        <v>47</v>
      </c>
      <c r="AC3082">
        <v>54.094999999999899</v>
      </c>
      <c r="AD3082">
        <v>-1.0409582799999999</v>
      </c>
      <c r="AE3082">
        <v>-7.6064999999999801</v>
      </c>
      <c r="AF3082">
        <v>8.0334049191275803</v>
      </c>
      <c r="AG3082">
        <v>-1.0409582799999999</v>
      </c>
      <c r="AH3082">
        <v>54.013204535781902</v>
      </c>
      <c r="AI3082">
        <v>91.092074628439207</v>
      </c>
      <c r="AJ3082">
        <v>81.540390251509393</v>
      </c>
      <c r="AK3082">
        <v>54.617263323601001</v>
      </c>
      <c r="AL3082">
        <v>76.210676219327098</v>
      </c>
      <c r="AM3082">
        <v>84.760741268158597</v>
      </c>
      <c r="AN3082">
        <v>1.0000000127593101</v>
      </c>
    </row>
    <row r="3083" spans="1:40" x14ac:dyDescent="0.25">
      <c r="A3083" t="str">
        <f>"20190303170558682"</f>
        <v>20190303170558682</v>
      </c>
      <c r="B3083" t="str">
        <f>"1551603958678183"</f>
        <v>1551603958678183</v>
      </c>
      <c r="C3083" t="s">
        <v>40</v>
      </c>
      <c r="D3083">
        <v>5.589016</v>
      </c>
      <c r="E3083">
        <v>0.53706309999999902</v>
      </c>
      <c r="F3083" t="s">
        <v>60</v>
      </c>
      <c r="G3083">
        <v>-256.07760000000002</v>
      </c>
      <c r="H3083">
        <v>8.0001530000000001E-2</v>
      </c>
      <c r="I3083">
        <v>205.74780000000001</v>
      </c>
      <c r="J3083">
        <v>-312.3449</v>
      </c>
      <c r="K3083">
        <v>1.1209389999999999</v>
      </c>
      <c r="L3083">
        <v>214.2474</v>
      </c>
      <c r="M3083">
        <v>0.99985979999999997</v>
      </c>
      <c r="N3083">
        <v>-1.4755320000000001E-2</v>
      </c>
      <c r="O3083">
        <v>7.9398699999999999E-3</v>
      </c>
      <c r="P3083">
        <v>0.97189099999999995</v>
      </c>
      <c r="Q3083">
        <v>0.2208321</v>
      </c>
      <c r="R3083">
        <v>-8.1615640000000003E-2</v>
      </c>
      <c r="S3083">
        <v>3.06366</v>
      </c>
      <c r="T3083">
        <v>-5.6205629999999999E-2</v>
      </c>
      <c r="U3083">
        <v>-0.45872499999999999</v>
      </c>
      <c r="V3083">
        <v>8.9347079999999995E-2</v>
      </c>
      <c r="W3083">
        <v>0.23513220000000001</v>
      </c>
      <c r="X3083">
        <v>0.96784809999999999</v>
      </c>
      <c r="Y3083">
        <v>0.1558821</v>
      </c>
      <c r="Z3083">
        <v>-2.606882E-3</v>
      </c>
      <c r="AA3083">
        <v>0.98777219999999999</v>
      </c>
      <c r="AB3083">
        <v>47</v>
      </c>
      <c r="AC3083">
        <v>56.267299999999899</v>
      </c>
      <c r="AD3083">
        <v>-1.04093746999999</v>
      </c>
      <c r="AE3083">
        <v>-8.4995999999999796</v>
      </c>
      <c r="AF3083">
        <v>8.9431431643764299</v>
      </c>
      <c r="AG3083">
        <v>-1.04093746999999</v>
      </c>
      <c r="AH3083">
        <v>56.1792348236742</v>
      </c>
      <c r="AI3083">
        <v>91.048307676584002</v>
      </c>
      <c r="AJ3083">
        <v>80.955009011946203</v>
      </c>
      <c r="AK3083">
        <v>56.896131554337799</v>
      </c>
      <c r="AL3083">
        <v>76.400584341402805</v>
      </c>
      <c r="AM3083">
        <v>84.725678159210005</v>
      </c>
      <c r="AN3083">
        <v>0.99999999842748799</v>
      </c>
    </row>
    <row r="3084" spans="1:40" x14ac:dyDescent="0.25">
      <c r="A3084" t="str">
        <f>"20190303170558706"</f>
        <v>20190303170558706</v>
      </c>
      <c r="B3084" t="str">
        <f>"1551603958697703"</f>
        <v>1551603958697703</v>
      </c>
      <c r="C3084" t="s">
        <v>40</v>
      </c>
      <c r="D3084">
        <v>5.6244779999999999</v>
      </c>
      <c r="E3084">
        <v>0.53804989999999997</v>
      </c>
      <c r="F3084" t="s">
        <v>60</v>
      </c>
      <c r="G3084">
        <v>-256.31459999999998</v>
      </c>
      <c r="H3084">
        <v>8.000148E-2</v>
      </c>
      <c r="I3084">
        <v>205.42670000000001</v>
      </c>
      <c r="J3084">
        <v>-311.83749999999998</v>
      </c>
      <c r="K3084">
        <v>1.1209359999999999</v>
      </c>
      <c r="L3084">
        <v>214.25139999999999</v>
      </c>
      <c r="M3084">
        <v>0.99985979999999997</v>
      </c>
      <c r="N3084">
        <v>-1.475219E-2</v>
      </c>
      <c r="O3084">
        <v>7.9296419999999902E-3</v>
      </c>
      <c r="P3084">
        <v>0.97234240000000005</v>
      </c>
      <c r="Q3084">
        <v>0.21871769999999999</v>
      </c>
      <c r="R3084">
        <v>-8.1933450000000005E-2</v>
      </c>
      <c r="S3084">
        <v>3.0592649999999999</v>
      </c>
      <c r="T3084">
        <v>-5.6835410000000003E-2</v>
      </c>
      <c r="U3084">
        <v>-0.48161320000000002</v>
      </c>
      <c r="V3084">
        <v>8.9658169999999995E-2</v>
      </c>
      <c r="W3084">
        <v>0.2330219</v>
      </c>
      <c r="X3084">
        <v>0.96832960000000001</v>
      </c>
      <c r="Y3084">
        <v>0.16329170000000001</v>
      </c>
      <c r="Z3084">
        <v>-2.7496669999999999E-3</v>
      </c>
      <c r="AA3084">
        <v>0.98657399999999995</v>
      </c>
      <c r="AB3084">
        <v>47</v>
      </c>
      <c r="AC3084">
        <v>55.5228999999999</v>
      </c>
      <c r="AD3084">
        <v>-1.04093452</v>
      </c>
      <c r="AE3084">
        <v>-8.8246999999999698</v>
      </c>
      <c r="AF3084">
        <v>9.2615720326239401</v>
      </c>
      <c r="AG3084">
        <v>-1.04093452</v>
      </c>
      <c r="AH3084">
        <v>55.432166316251198</v>
      </c>
      <c r="AI3084">
        <v>91.061098804951598</v>
      </c>
      <c r="AJ3084">
        <v>80.514671648908902</v>
      </c>
      <c r="AK3084">
        <v>56.2101887890705</v>
      </c>
      <c r="AL3084">
        <v>76.524950869233095</v>
      </c>
      <c r="AM3084">
        <v>84.710034846143898</v>
      </c>
      <c r="AN3084">
        <v>1.00000000378175</v>
      </c>
    </row>
    <row r="3085" spans="1:40" x14ac:dyDescent="0.25">
      <c r="A3085" t="str">
        <f>"20190303170558728"</f>
        <v>20190303170558728</v>
      </c>
      <c r="B3085" t="str">
        <f>"1551603958718199"</f>
        <v>1551603958718199</v>
      </c>
      <c r="C3085" t="s">
        <v>40</v>
      </c>
      <c r="D3085">
        <v>5.6380739999999996</v>
      </c>
      <c r="E3085">
        <v>0.53883130000000001</v>
      </c>
      <c r="F3085" t="s">
        <v>60</v>
      </c>
      <c r="G3085">
        <v>-258.58150000000001</v>
      </c>
      <c r="H3085">
        <v>8.0000799999999997E-2</v>
      </c>
      <c r="I3085">
        <v>205.69</v>
      </c>
      <c r="J3085">
        <v>-311.36540000000002</v>
      </c>
      <c r="K3085">
        <v>1.1209359999999999</v>
      </c>
      <c r="L3085">
        <v>214.2551</v>
      </c>
      <c r="M3085">
        <v>0.99985990000000002</v>
      </c>
      <c r="N3085">
        <v>-1.474923E-2</v>
      </c>
      <c r="O3085">
        <v>7.9206050000000007E-3</v>
      </c>
      <c r="P3085">
        <v>0.97237220000000002</v>
      </c>
      <c r="Q3085">
        <v>0.21850020000000001</v>
      </c>
      <c r="R3085">
        <v>-8.2159430000000006E-2</v>
      </c>
      <c r="S3085">
        <v>3.0573730000000001</v>
      </c>
      <c r="T3085">
        <v>-5.9759020000000003E-2</v>
      </c>
      <c r="U3085">
        <v>-0.49150090000000002</v>
      </c>
      <c r="V3085">
        <v>8.9875629999999998E-2</v>
      </c>
      <c r="W3085">
        <v>0.23280219999999999</v>
      </c>
      <c r="X3085">
        <v>0.96836230000000001</v>
      </c>
      <c r="Y3085">
        <v>0.166482399999999</v>
      </c>
      <c r="Z3085">
        <v>-2.8901090000000001E-3</v>
      </c>
      <c r="AA3085">
        <v>0.98604020000000003</v>
      </c>
      <c r="AB3085">
        <v>47</v>
      </c>
      <c r="AC3085">
        <v>52.783900000000003</v>
      </c>
      <c r="AD3085">
        <v>-1.0409351999999901</v>
      </c>
      <c r="AE3085">
        <v>-8.5650999999999993</v>
      </c>
      <c r="AF3085">
        <v>8.9795545436184092</v>
      </c>
      <c r="AG3085">
        <v>-1.0409351999999901</v>
      </c>
      <c r="AH3085">
        <v>52.6944283238184</v>
      </c>
      <c r="AI3085">
        <v>91.115606010035293</v>
      </c>
      <c r="AJ3085">
        <v>80.329233610669206</v>
      </c>
      <c r="AK3085">
        <v>53.464181675832798</v>
      </c>
      <c r="AL3085">
        <v>76.537894940376205</v>
      </c>
      <c r="AM3085">
        <v>84.697455479854199</v>
      </c>
      <c r="AN3085">
        <v>1.0000000186270099</v>
      </c>
    </row>
    <row r="3086" spans="1:40" x14ac:dyDescent="0.25">
      <c r="A3086" t="str">
        <f>"20190303170558748"</f>
        <v>20190303170558748</v>
      </c>
      <c r="B3086" t="str">
        <f>"1551603958737719"</f>
        <v>1551603958737719</v>
      </c>
      <c r="C3086" t="s">
        <v>40</v>
      </c>
      <c r="D3086">
        <v>5.6332199999999997</v>
      </c>
      <c r="E3086">
        <v>0.53933719999999996</v>
      </c>
      <c r="F3086" t="s">
        <v>60</v>
      </c>
      <c r="G3086">
        <v>-257.50529999999998</v>
      </c>
      <c r="H3086">
        <v>8.0001130000000004E-2</v>
      </c>
      <c r="I3086">
        <v>205.46369999999999</v>
      </c>
      <c r="J3086">
        <v>-310.94130000000001</v>
      </c>
      <c r="K3086">
        <v>1.120932</v>
      </c>
      <c r="L3086">
        <v>214.2585</v>
      </c>
      <c r="M3086">
        <v>0.99985999999999997</v>
      </c>
      <c r="N3086">
        <v>-1.4746560000000001E-2</v>
      </c>
      <c r="O3086">
        <v>7.9121019999999903E-3</v>
      </c>
      <c r="P3086">
        <v>0.97250939999999997</v>
      </c>
      <c r="Q3086">
        <v>0.21794430000000001</v>
      </c>
      <c r="R3086">
        <v>-8.201087E-2</v>
      </c>
      <c r="S3086">
        <v>3.0563660000000001</v>
      </c>
      <c r="T3086">
        <v>-5.9069400000000001E-2</v>
      </c>
      <c r="U3086">
        <v>-0.4988861</v>
      </c>
      <c r="V3086">
        <v>8.9719969999999996E-2</v>
      </c>
      <c r="W3086">
        <v>0.2322456</v>
      </c>
      <c r="X3086">
        <v>0.96851030000000005</v>
      </c>
      <c r="Y3086">
        <v>0.1688463</v>
      </c>
      <c r="Z3086">
        <v>-2.9101740000000002E-3</v>
      </c>
      <c r="AA3086">
        <v>0.98563809999999996</v>
      </c>
      <c r="AB3086">
        <v>47</v>
      </c>
      <c r="AC3086">
        <v>53.436</v>
      </c>
      <c r="AD3086">
        <v>-1.04093087</v>
      </c>
      <c r="AE3086">
        <v>-8.7948000000000093</v>
      </c>
      <c r="AF3086">
        <v>9.2139575019081992</v>
      </c>
      <c r="AG3086">
        <v>-1.04093087</v>
      </c>
      <c r="AH3086">
        <v>53.345025226556999</v>
      </c>
      <c r="AI3086">
        <v>91.101573721964598</v>
      </c>
      <c r="AJ3086">
        <v>80.200342418527995</v>
      </c>
      <c r="AK3086">
        <v>54.144919118464799</v>
      </c>
      <c r="AL3086">
        <v>76.570683523731802</v>
      </c>
      <c r="AM3086">
        <v>84.707391305265503</v>
      </c>
      <c r="AN3086">
        <v>0.999999946471124</v>
      </c>
    </row>
    <row r="3087" spans="1:40" x14ac:dyDescent="0.25">
      <c r="A3087" t="str">
        <f>"20190303170558770"</f>
        <v>20190303170558770</v>
      </c>
      <c r="B3087" t="str">
        <f>"1551603958758216"</f>
        <v>1551603958758216</v>
      </c>
      <c r="C3087" t="s">
        <v>40</v>
      </c>
      <c r="D3087">
        <v>5.6210469999999999</v>
      </c>
      <c r="E3087">
        <v>0.53982330000000001</v>
      </c>
      <c r="F3087" t="s">
        <v>60</v>
      </c>
      <c r="G3087">
        <v>-256.60250000000002</v>
      </c>
      <c r="H3087">
        <v>8.0001399999999903E-2</v>
      </c>
      <c r="I3087">
        <v>205.31720000000001</v>
      </c>
      <c r="J3087">
        <v>-310.46929999999998</v>
      </c>
      <c r="K3087">
        <v>1.120922</v>
      </c>
      <c r="L3087">
        <v>214.26220000000001</v>
      </c>
      <c r="M3087">
        <v>0.99986010000000003</v>
      </c>
      <c r="N3087">
        <v>-1.4743590000000001E-2</v>
      </c>
      <c r="O3087">
        <v>7.9027079999999996E-3</v>
      </c>
      <c r="P3087">
        <v>0.97304780000000002</v>
      </c>
      <c r="Q3087">
        <v>0.21572</v>
      </c>
      <c r="R3087">
        <v>-8.1505629999999996E-2</v>
      </c>
      <c r="S3087">
        <v>3.0555110000000001</v>
      </c>
      <c r="T3087">
        <v>-5.8532239999999999E-2</v>
      </c>
      <c r="U3087">
        <v>-0.50277709999999998</v>
      </c>
      <c r="V3087">
        <v>8.9209559999999993E-2</v>
      </c>
      <c r="W3087">
        <v>0.2300267</v>
      </c>
      <c r="X3087">
        <v>0.96908689999999997</v>
      </c>
      <c r="Y3087">
        <v>0.17010339999999999</v>
      </c>
      <c r="Z3087">
        <v>-2.9155209999999999E-3</v>
      </c>
      <c r="AA3087">
        <v>0.98542189999999996</v>
      </c>
      <c r="AB3087">
        <v>47</v>
      </c>
      <c r="AC3087">
        <v>53.866799999999898</v>
      </c>
      <c r="AD3087">
        <v>-1.0409206</v>
      </c>
      <c r="AE3087">
        <v>-8.9449999999999896</v>
      </c>
      <c r="AF3087">
        <v>9.3670565272630597</v>
      </c>
      <c r="AG3087">
        <v>-1.0409206</v>
      </c>
      <c r="AH3087">
        <v>53.774878600749403</v>
      </c>
      <c r="AI3087">
        <v>91.092489851969702</v>
      </c>
      <c r="AJ3087">
        <v>80.118780420777995</v>
      </c>
      <c r="AK3087">
        <v>54.594531156570802</v>
      </c>
      <c r="AL3087">
        <v>76.701356633088196</v>
      </c>
      <c r="AM3087">
        <v>84.740444694117897</v>
      </c>
      <c r="AN3087">
        <v>1.00000002402994</v>
      </c>
    </row>
    <row r="3088" spans="1:40" x14ac:dyDescent="0.25">
      <c r="A3088" t="str">
        <f>"20190303170558794"</f>
        <v>20190303170558794</v>
      </c>
      <c r="B3088" t="str">
        <f>"1551603958787495"</f>
        <v>1551603958787495</v>
      </c>
      <c r="C3088" t="s">
        <v>40</v>
      </c>
      <c r="D3088">
        <v>5.6248449999999997</v>
      </c>
      <c r="E3088">
        <v>0.5404236</v>
      </c>
      <c r="F3088" t="s">
        <v>60</v>
      </c>
      <c r="G3088">
        <v>-260.52600000000001</v>
      </c>
      <c r="H3088">
        <v>8.000169E-2</v>
      </c>
      <c r="I3088">
        <v>205.99170000000001</v>
      </c>
      <c r="J3088">
        <v>-309.99560000000002</v>
      </c>
      <c r="K3088">
        <v>1.1209129999999901</v>
      </c>
      <c r="L3088">
        <v>214.26599999999999</v>
      </c>
      <c r="M3088">
        <v>0.99986010000000003</v>
      </c>
      <c r="N3088">
        <v>-1.474055E-2</v>
      </c>
      <c r="O3088">
        <v>7.8933149999999997E-3</v>
      </c>
      <c r="P3088">
        <v>0.9736283</v>
      </c>
      <c r="Q3088">
        <v>0.2134268</v>
      </c>
      <c r="R3088">
        <v>-8.0601640000000002E-2</v>
      </c>
      <c r="S3088">
        <v>3.05484</v>
      </c>
      <c r="T3088">
        <v>-6.3669199999999995E-2</v>
      </c>
      <c r="U3088">
        <v>-0.50587459999999995</v>
      </c>
      <c r="V3088">
        <v>8.8301009999999999E-2</v>
      </c>
      <c r="W3088">
        <v>0.22773959999999999</v>
      </c>
      <c r="X3088">
        <v>0.96971010000000002</v>
      </c>
      <c r="Y3088">
        <v>0.1710933</v>
      </c>
      <c r="Z3088">
        <v>-3.0884139999999998E-3</v>
      </c>
      <c r="AA3088">
        <v>0.98524999999999996</v>
      </c>
      <c r="AB3088">
        <v>47</v>
      </c>
      <c r="AC3088">
        <v>49.4696</v>
      </c>
      <c r="AD3088">
        <v>-1.04091130999999</v>
      </c>
      <c r="AE3088">
        <v>-8.2742999999999807</v>
      </c>
      <c r="AF3088">
        <v>8.6608336204877592</v>
      </c>
      <c r="AG3088">
        <v>-1.04091130999999</v>
      </c>
      <c r="AH3088">
        <v>49.381471546488001</v>
      </c>
      <c r="AI3088">
        <v>91.1894086370732</v>
      </c>
      <c r="AJ3088">
        <v>80.052280193523004</v>
      </c>
      <c r="AK3088">
        <v>50.146019457716299</v>
      </c>
      <c r="AL3088">
        <v>76.835971496233995</v>
      </c>
      <c r="AM3088">
        <v>84.797042021220406</v>
      </c>
      <c r="AN3088">
        <v>1.0000000359085901</v>
      </c>
    </row>
    <row r="3089" spans="1:40" x14ac:dyDescent="0.25">
      <c r="A3089" t="str">
        <f>"20190303170558817"</f>
        <v>20190303170558817</v>
      </c>
      <c r="B3089" t="str">
        <f>"1551603958807991"</f>
        <v>1551603958807991</v>
      </c>
      <c r="C3089" t="s">
        <v>40</v>
      </c>
      <c r="D3089">
        <v>5.6642460000000003</v>
      </c>
      <c r="E3089">
        <v>0.54042590000000001</v>
      </c>
      <c r="F3089" t="s">
        <v>60</v>
      </c>
      <c r="G3089">
        <v>-262.81549999999999</v>
      </c>
      <c r="H3089">
        <v>8.0000989999999994E-2</v>
      </c>
      <c r="I3089">
        <v>206.39920000000001</v>
      </c>
      <c r="J3089">
        <v>-309.50959999999998</v>
      </c>
      <c r="K3089">
        <v>1.120906</v>
      </c>
      <c r="L3089">
        <v>214.2698</v>
      </c>
      <c r="M3089">
        <v>0.99986039999999998</v>
      </c>
      <c r="N3089">
        <v>-1.473736E-2</v>
      </c>
      <c r="O3089">
        <v>7.8836219999999999E-3</v>
      </c>
      <c r="P3089">
        <v>0.97373410000000005</v>
      </c>
      <c r="Q3089">
        <v>0.2135581</v>
      </c>
      <c r="R3089">
        <v>-7.8962820000000003E-2</v>
      </c>
      <c r="S3089">
        <v>3.0538639999999999</v>
      </c>
      <c r="T3089">
        <v>-6.7375899999999905E-2</v>
      </c>
      <c r="U3089">
        <v>-0.50920100000000001</v>
      </c>
      <c r="V3089">
        <v>8.6653469999999996E-2</v>
      </c>
      <c r="W3089">
        <v>0.22786919999999999</v>
      </c>
      <c r="X3089">
        <v>0.96982820000000003</v>
      </c>
      <c r="Y3089">
        <v>0.1721724</v>
      </c>
      <c r="Z3089">
        <v>-3.2211119999999999E-3</v>
      </c>
      <c r="AA3089">
        <v>0.98506159999999998</v>
      </c>
      <c r="AB3089">
        <v>47</v>
      </c>
      <c r="AC3089">
        <v>46.694099999999899</v>
      </c>
      <c r="AD3089">
        <v>-1.0409050099999999</v>
      </c>
      <c r="AE3089">
        <v>-7.8705999999999898</v>
      </c>
      <c r="AF3089">
        <v>8.2345349774682806</v>
      </c>
      <c r="AG3089">
        <v>-1.0409050099999999</v>
      </c>
      <c r="AH3089">
        <v>46.608071790378403</v>
      </c>
      <c r="AI3089">
        <v>91.259876841591307</v>
      </c>
      <c r="AJ3089">
        <v>79.980598133782095</v>
      </c>
      <c r="AK3089">
        <v>47.3413498492814</v>
      </c>
      <c r="AL3089">
        <v>76.828344525156794</v>
      </c>
      <c r="AM3089">
        <v>84.894220434867293</v>
      </c>
      <c r="AN3089">
        <v>0.99999996684345904</v>
      </c>
    </row>
    <row r="3090" spans="1:40" x14ac:dyDescent="0.25">
      <c r="A3090" t="str">
        <f>"20190303170558838"</f>
        <v>20190303170558838</v>
      </c>
      <c r="B3090" t="str">
        <f>"1551603958827511"</f>
        <v>1551603958827511</v>
      </c>
      <c r="C3090" t="s">
        <v>40</v>
      </c>
      <c r="D3090">
        <v>5.6895249999999997</v>
      </c>
      <c r="E3090">
        <v>0.54036200000000001</v>
      </c>
      <c r="F3090" t="s">
        <v>60</v>
      </c>
      <c r="G3090">
        <v>-260.53019999999998</v>
      </c>
      <c r="H3090">
        <v>8.0001669999999997E-2</v>
      </c>
      <c r="I3090">
        <v>206.18020000000001</v>
      </c>
      <c r="J3090">
        <v>-309.07049999999998</v>
      </c>
      <c r="K3090">
        <v>1.1209249999999999</v>
      </c>
      <c r="L3090">
        <v>214.27330000000001</v>
      </c>
      <c r="M3090">
        <v>0.99986050000000004</v>
      </c>
      <c r="N3090">
        <v>-1.473447E-2</v>
      </c>
      <c r="O3090">
        <v>7.8747049999999992E-3</v>
      </c>
      <c r="P3090">
        <v>0.97339100000000001</v>
      </c>
      <c r="Q3090">
        <v>0.2156605</v>
      </c>
      <c r="R3090">
        <v>-7.746596E-2</v>
      </c>
      <c r="S3090">
        <v>3.0542910000000001</v>
      </c>
      <c r="T3090">
        <v>-6.4909339999999996E-2</v>
      </c>
      <c r="U3090">
        <v>-0.5044556</v>
      </c>
      <c r="V3090">
        <v>8.5145399999999996E-2</v>
      </c>
      <c r="W3090">
        <v>0.229964</v>
      </c>
      <c r="X3090">
        <v>0.96946730000000003</v>
      </c>
      <c r="Y3090">
        <v>0.17065620000000001</v>
      </c>
      <c r="Z3090">
        <v>-3.1180090000000001E-3</v>
      </c>
      <c r="AA3090">
        <v>0.98532569999999997</v>
      </c>
      <c r="AB3090">
        <v>47</v>
      </c>
      <c r="AC3090">
        <v>48.540300000000002</v>
      </c>
      <c r="AD3090">
        <v>-1.04092333</v>
      </c>
      <c r="AE3090">
        <v>-8.0930999999999909</v>
      </c>
      <c r="AF3090">
        <v>8.4713407015576703</v>
      </c>
      <c r="AG3090">
        <v>-1.04092333</v>
      </c>
      <c r="AH3090">
        <v>48.453377479707001</v>
      </c>
      <c r="AI3090">
        <v>91.212311810877395</v>
      </c>
      <c r="AJ3090">
        <v>80.082934002620405</v>
      </c>
      <c r="AK3090">
        <v>49.199358978057703</v>
      </c>
      <c r="AL3090">
        <v>76.705047890641694</v>
      </c>
      <c r="AM3090">
        <v>84.980762833849695</v>
      </c>
      <c r="AN3090">
        <v>1.0000000131032201</v>
      </c>
    </row>
    <row r="3091" spans="1:40" x14ac:dyDescent="0.25">
      <c r="A3091" t="str">
        <f>"20190303170558860"</f>
        <v>20190303170558860</v>
      </c>
      <c r="B3091" t="str">
        <f>"1551603958848008"</f>
        <v>1551603958848008</v>
      </c>
      <c r="C3091" t="s">
        <v>40</v>
      </c>
      <c r="D3091">
        <v>5.7423320000000002</v>
      </c>
      <c r="E3091">
        <v>0.50576069999999995</v>
      </c>
      <c r="F3091" t="s">
        <v>60</v>
      </c>
      <c r="G3091">
        <v>-251.6859</v>
      </c>
      <c r="H3091">
        <v>8.0001390000000006E-2</v>
      </c>
      <c r="I3091">
        <v>204.8768</v>
      </c>
      <c r="J3091">
        <v>-308.60289999999998</v>
      </c>
      <c r="K3091">
        <v>1.120932</v>
      </c>
      <c r="L3091">
        <v>214.27699999999999</v>
      </c>
      <c r="M3091">
        <v>0.99986050000000004</v>
      </c>
      <c r="N3091">
        <v>-1.473141E-2</v>
      </c>
      <c r="O3091">
        <v>7.8654899999999993E-3</v>
      </c>
      <c r="P3091">
        <v>0.97330530000000004</v>
      </c>
      <c r="Q3091">
        <v>0.21690309999999999</v>
      </c>
      <c r="R3091">
        <v>-7.5031360000000005E-2</v>
      </c>
      <c r="S3091">
        <v>3.054535</v>
      </c>
      <c r="T3091">
        <v>-5.5407520000000002E-2</v>
      </c>
      <c r="U3091">
        <v>-0.50016779999999905</v>
      </c>
      <c r="V3091">
        <v>8.2701430000000006E-2</v>
      </c>
      <c r="W3091">
        <v>0.23120289999999999</v>
      </c>
      <c r="X3091">
        <v>0.96938420000000003</v>
      </c>
      <c r="Y3091">
        <v>0.16930209999999901</v>
      </c>
      <c r="Z3091">
        <v>-2.8074240000000002E-3</v>
      </c>
      <c r="AA3091">
        <v>0.9855602</v>
      </c>
      <c r="AB3091">
        <v>47</v>
      </c>
      <c r="AC3091">
        <v>56.916999999999902</v>
      </c>
      <c r="AD3091">
        <v>-1.04093061</v>
      </c>
      <c r="AE3091">
        <v>-9.4002000000000105</v>
      </c>
      <c r="AF3091">
        <v>9.8444326005043408</v>
      </c>
      <c r="AG3091">
        <v>-1.04093061</v>
      </c>
      <c r="AH3091">
        <v>56.822792791747297</v>
      </c>
      <c r="AI3091">
        <v>91.034077134448694</v>
      </c>
      <c r="AJ3091">
        <v>80.171185284154006</v>
      </c>
      <c r="AK3091">
        <v>57.6786457054477</v>
      </c>
      <c r="AL3091">
        <v>76.632098398553694</v>
      </c>
      <c r="AM3091">
        <v>85.123711739000697</v>
      </c>
      <c r="AN3091">
        <v>1.0000000173510399</v>
      </c>
    </row>
    <row r="3092" spans="1:40" x14ac:dyDescent="0.25">
      <c r="A3092" t="str">
        <f>"20190303170558883"</f>
        <v>20190303170558883</v>
      </c>
      <c r="B3092" t="str">
        <f>"1551603958878263"</f>
        <v>1551603958878263</v>
      </c>
      <c r="C3092" t="s">
        <v>40</v>
      </c>
      <c r="D3092">
        <v>5.6658559999999998</v>
      </c>
      <c r="E3092">
        <v>0.48311369999999998</v>
      </c>
      <c r="F3092" t="s">
        <v>64</v>
      </c>
      <c r="G3092">
        <v>-282.54300000000001</v>
      </c>
      <c r="H3092" s="1">
        <v>6.2144899999999997E-6</v>
      </c>
      <c r="I3092">
        <v>212.50819999999999</v>
      </c>
      <c r="J3092">
        <v>-308.13290000000001</v>
      </c>
      <c r="K3092">
        <v>1.120933</v>
      </c>
      <c r="L3092">
        <v>214.2807</v>
      </c>
      <c r="M3092">
        <v>0.99986079999999999</v>
      </c>
      <c r="N3092">
        <v>-1.4728349999999999E-2</v>
      </c>
      <c r="O3092">
        <v>7.8559779999999996E-3</v>
      </c>
      <c r="P3092">
        <v>0.97353469999999998</v>
      </c>
      <c r="Q3092">
        <v>0.21640970000000001</v>
      </c>
      <c r="R3092">
        <v>-7.3466409999999996E-2</v>
      </c>
      <c r="S3092">
        <v>3.095764</v>
      </c>
      <c r="T3092">
        <v>-0.13315949999999999</v>
      </c>
      <c r="U3092">
        <v>-0.21011350000000001</v>
      </c>
      <c r="V3092">
        <v>8.1128930000000002E-2</v>
      </c>
      <c r="W3092">
        <v>0.23071059999999999</v>
      </c>
      <c r="X3092">
        <v>0.96963429999999995</v>
      </c>
      <c r="Y3092">
        <v>7.5455739999999993E-2</v>
      </c>
      <c r="Z3092">
        <v>-2.3987280000000001E-3</v>
      </c>
      <c r="AA3092">
        <v>0.99714619999999998</v>
      </c>
      <c r="AB3092">
        <v>47</v>
      </c>
      <c r="AC3092">
        <v>25.5899</v>
      </c>
      <c r="AD3092">
        <v>-1.12092678551</v>
      </c>
      <c r="AE3092">
        <v>-1.7725</v>
      </c>
      <c r="AF3092">
        <v>1.9697393825176699</v>
      </c>
      <c r="AG3092">
        <v>-1.12092678551</v>
      </c>
      <c r="AH3092">
        <v>25.526439059676999</v>
      </c>
      <c r="AI3092">
        <v>92.506935919859103</v>
      </c>
      <c r="AJ3092">
        <v>85.587533756999605</v>
      </c>
      <c r="AK3092">
        <v>25.6268500046518</v>
      </c>
      <c r="AL3092">
        <v>76.661088389639502</v>
      </c>
      <c r="AM3092">
        <v>85.217224117907406</v>
      </c>
      <c r="AN3092">
        <v>0.99999997998589696</v>
      </c>
    </row>
    <row r="3093" spans="1:40" x14ac:dyDescent="0.25">
      <c r="A3093" t="str">
        <f>"20190303170558906"</f>
        <v>20190303170558906</v>
      </c>
      <c r="B3093" t="str">
        <f>"1551603958897783"</f>
        <v>1551603958897783</v>
      </c>
      <c r="C3093" t="s">
        <v>40</v>
      </c>
      <c r="D3093">
        <v>5.6314979999999997</v>
      </c>
      <c r="E3093">
        <v>0.47598420000000002</v>
      </c>
      <c r="F3093" t="s">
        <v>60</v>
      </c>
      <c r="G3093">
        <v>-260.89870000000002</v>
      </c>
      <c r="H3093" s="1">
        <v>-1.024352E-6</v>
      </c>
      <c r="I3093">
        <v>213.83459999999999</v>
      </c>
      <c r="J3093">
        <v>-307.64909999999998</v>
      </c>
      <c r="K3093">
        <v>1.1209290000000001</v>
      </c>
      <c r="L3093">
        <v>214.28450000000001</v>
      </c>
      <c r="M3093">
        <v>0.99986090000000005</v>
      </c>
      <c r="N3093">
        <v>-1.4725230000000001E-2</v>
      </c>
      <c r="O3093">
        <v>7.8461079999999992E-3</v>
      </c>
      <c r="P3093">
        <v>0.97384720000000002</v>
      </c>
      <c r="Q3093">
        <v>0.21560219999999999</v>
      </c>
      <c r="R3093">
        <v>-7.1677850000000001E-2</v>
      </c>
      <c r="S3093">
        <v>3.0956730000000001</v>
      </c>
      <c r="T3093">
        <v>-7.3464749999999995E-2</v>
      </c>
      <c r="U3093">
        <v>-2.9235839999999999E-2</v>
      </c>
      <c r="V3093">
        <v>7.9333130000000002E-2</v>
      </c>
      <c r="W3093">
        <v>0.2299051</v>
      </c>
      <c r="X3093">
        <v>0.96997420000000001</v>
      </c>
      <c r="Y3093">
        <v>1.7281790000000002E-2</v>
      </c>
      <c r="Z3093">
        <v>-4.0294160000000002E-4</v>
      </c>
      <c r="AA3093">
        <v>0.99985060000000003</v>
      </c>
      <c r="AB3093">
        <v>47</v>
      </c>
      <c r="AC3093">
        <v>46.7503999999999</v>
      </c>
      <c r="AD3093">
        <v>-1.120930024352</v>
      </c>
      <c r="AE3093">
        <v>-0.44990000000001301</v>
      </c>
      <c r="AF3093">
        <v>0.81626535030786296</v>
      </c>
      <c r="AG3093">
        <v>-1.120930024352</v>
      </c>
      <c r="AH3093">
        <v>46.718574656950203</v>
      </c>
      <c r="AI3093">
        <v>91.374238085373904</v>
      </c>
      <c r="AJ3093">
        <v>88.999031932291999</v>
      </c>
      <c r="AK3093">
        <v>46.7391483792617</v>
      </c>
      <c r="AL3093">
        <v>76.708515678957994</v>
      </c>
      <c r="AM3093">
        <v>85.324248293564295</v>
      </c>
      <c r="AN3093">
        <v>1.00000002459362</v>
      </c>
    </row>
    <row r="3094" spans="1:40" x14ac:dyDescent="0.25">
      <c r="A3094" t="str">
        <f>"20190303170558929"</f>
        <v>20190303170558929</v>
      </c>
      <c r="B3094" t="str">
        <f>"1551603958918279"</f>
        <v>1551603958918279</v>
      </c>
      <c r="C3094" t="s">
        <v>40</v>
      </c>
      <c r="D3094">
        <v>5.7951249999999996</v>
      </c>
      <c r="E3094">
        <v>0.47290159999999998</v>
      </c>
      <c r="F3094" t="s">
        <v>60</v>
      </c>
      <c r="G3094">
        <v>-252.5265</v>
      </c>
      <c r="H3094" s="1">
        <v>-2.0226170000000001E-7</v>
      </c>
      <c r="I3094">
        <v>214.84389999999999</v>
      </c>
      <c r="J3094">
        <v>-307.17270000000002</v>
      </c>
      <c r="K3094">
        <v>1.12093</v>
      </c>
      <c r="L3094">
        <v>214.28819999999999</v>
      </c>
      <c r="M3094">
        <v>0.99986109999999995</v>
      </c>
      <c r="N3094">
        <v>-1.472216E-2</v>
      </c>
      <c r="O3094">
        <v>7.8363559999999992E-3</v>
      </c>
      <c r="P3094">
        <v>0.97394230000000004</v>
      </c>
      <c r="Q3094">
        <v>0.21549769999999999</v>
      </c>
      <c r="R3094">
        <v>-7.0694060000000003E-2</v>
      </c>
      <c r="S3094">
        <v>3.096832</v>
      </c>
      <c r="T3094">
        <v>-6.297469E-2</v>
      </c>
      <c r="U3094">
        <v>3.143311E-2</v>
      </c>
      <c r="V3094">
        <v>7.8340569999999998E-2</v>
      </c>
      <c r="W3094">
        <v>0.2297988</v>
      </c>
      <c r="X3094">
        <v>0.97008000000000005</v>
      </c>
      <c r="Y3094">
        <v>-2.3117469999999998E-3</v>
      </c>
      <c r="Z3094" s="1">
        <v>-3.4371009999999999E-6</v>
      </c>
      <c r="AA3094">
        <v>0.99999729999999998</v>
      </c>
      <c r="AB3094">
        <v>47</v>
      </c>
      <c r="AC3094">
        <v>54.6462</v>
      </c>
      <c r="AD3094">
        <v>-1.12093020226169</v>
      </c>
      <c r="AE3094">
        <v>0.55570000000000097</v>
      </c>
      <c r="AF3094">
        <v>-0.12735593962463301</v>
      </c>
      <c r="AG3094">
        <v>-1.12093020226169</v>
      </c>
      <c r="AH3094">
        <v>54.625894714413398</v>
      </c>
      <c r="AI3094">
        <v>91.175548398663807</v>
      </c>
      <c r="AJ3094">
        <v>90.133580322183803</v>
      </c>
      <c r="AK3094">
        <v>54.637542746758598</v>
      </c>
      <c r="AL3094">
        <v>76.714773036946497</v>
      </c>
      <c r="AM3094">
        <v>85.382994852981696</v>
      </c>
      <c r="AN3094">
        <v>0.99999996989468198</v>
      </c>
    </row>
    <row r="3095" spans="1:40" x14ac:dyDescent="0.25">
      <c r="A3095" t="str">
        <f>"20190303170558951"</f>
        <v>20190303170558951</v>
      </c>
      <c r="B3095" t="str">
        <f>"1551603958937800"</f>
        <v>1551603958937800</v>
      </c>
      <c r="C3095" t="s">
        <v>40</v>
      </c>
      <c r="D3095">
        <v>5.6176300000000001</v>
      </c>
      <c r="E3095">
        <v>0.47095779999999898</v>
      </c>
      <c r="F3095" t="s">
        <v>60</v>
      </c>
      <c r="G3095">
        <v>-244.9143</v>
      </c>
      <c r="H3095" s="1">
        <v>1.04161E-6</v>
      </c>
      <c r="I3095">
        <v>215.45699999999999</v>
      </c>
      <c r="J3095">
        <v>-306.72269999999997</v>
      </c>
      <c r="K3095">
        <v>1.12093</v>
      </c>
      <c r="L3095">
        <v>214.29169999999999</v>
      </c>
      <c r="M3095">
        <v>0.999861</v>
      </c>
      <c r="N3095">
        <v>-1.471926E-2</v>
      </c>
      <c r="O3095">
        <v>7.8274950000000003E-3</v>
      </c>
      <c r="P3095">
        <v>0.97380889999999998</v>
      </c>
      <c r="Q3095">
        <v>0.21636069999999999</v>
      </c>
      <c r="R3095">
        <v>-6.9886779999999996E-2</v>
      </c>
      <c r="S3095">
        <v>3.096832</v>
      </c>
      <c r="T3095">
        <v>-5.5756809999999997E-2</v>
      </c>
      <c r="U3095">
        <v>5.8135989999999999E-2</v>
      </c>
      <c r="V3095">
        <v>7.7523750000000002E-2</v>
      </c>
      <c r="W3095">
        <v>0.23065730000000001</v>
      </c>
      <c r="X3095">
        <v>0.96994190000000002</v>
      </c>
      <c r="Y3095">
        <v>-1.0938700000000001E-2</v>
      </c>
      <c r="Z3095">
        <v>1.5329419999999999E-4</v>
      </c>
      <c r="AA3095">
        <v>0.99994019999999995</v>
      </c>
      <c r="AB3095">
        <v>47</v>
      </c>
      <c r="AC3095">
        <v>61.808399999999899</v>
      </c>
      <c r="AD3095">
        <v>-1.12092895839</v>
      </c>
      <c r="AE3095">
        <v>1.1653</v>
      </c>
      <c r="AF3095">
        <v>-0.68118295945399998</v>
      </c>
      <c r="AG3095">
        <v>-1.12092895839</v>
      </c>
      <c r="AH3095">
        <v>61.795311308751103</v>
      </c>
      <c r="AI3095">
        <v>91.039133132177398</v>
      </c>
      <c r="AJ3095">
        <v>90.631558076566506</v>
      </c>
      <c r="AK3095">
        <v>61.8092306350716</v>
      </c>
      <c r="AL3095">
        <v>76.664227252586898</v>
      </c>
      <c r="AM3095">
        <v>85.430281494239793</v>
      </c>
      <c r="AN3095">
        <v>1.0000000056164799</v>
      </c>
    </row>
    <row r="3096" spans="1:40" x14ac:dyDescent="0.25">
      <c r="A3096" t="str">
        <f>"20190303170558972"</f>
        <v>20190303170558972</v>
      </c>
      <c r="B3096" t="str">
        <f>"1551603958968056"</f>
        <v>1551603958968056</v>
      </c>
      <c r="C3096" t="s">
        <v>40</v>
      </c>
      <c r="D3096">
        <v>5.6021039999999998</v>
      </c>
      <c r="E3096">
        <v>0.4694448</v>
      </c>
      <c r="F3096" t="s">
        <v>60</v>
      </c>
      <c r="G3096">
        <v>-239.32839999999999</v>
      </c>
      <c r="H3096" s="1">
        <v>3.3696689999999999E-6</v>
      </c>
      <c r="I3096">
        <v>215.9358</v>
      </c>
      <c r="J3096">
        <v>-306.26330000000002</v>
      </c>
      <c r="K3096">
        <v>1.1209359999999999</v>
      </c>
      <c r="L3096">
        <v>214.2953</v>
      </c>
      <c r="M3096">
        <v>0.99986120000000001</v>
      </c>
      <c r="N3096">
        <v>-1.471631E-2</v>
      </c>
      <c r="O3096">
        <v>7.8184559999999997E-3</v>
      </c>
      <c r="P3096">
        <v>0.97384269999999995</v>
      </c>
      <c r="Q3096">
        <v>0.2165957</v>
      </c>
      <c r="R3096">
        <v>-6.867972E-2</v>
      </c>
      <c r="S3096">
        <v>3.097534</v>
      </c>
      <c r="T3096">
        <v>-5.1519389999999998E-2</v>
      </c>
      <c r="U3096">
        <v>7.5561519999999993E-2</v>
      </c>
      <c r="V3096">
        <v>7.6308379999999995E-2</v>
      </c>
      <c r="W3096">
        <v>0.23089019999999999</v>
      </c>
      <c r="X3096">
        <v>0.96998289999999998</v>
      </c>
      <c r="Y3096">
        <v>-1.6564809999999999E-2</v>
      </c>
      <c r="Z3096">
        <v>2.446967E-4</v>
      </c>
      <c r="AA3096">
        <v>0.99986280000000005</v>
      </c>
      <c r="AB3096">
        <v>47</v>
      </c>
      <c r="AC3096">
        <v>66.934899999999999</v>
      </c>
      <c r="AD3096">
        <v>-1.1209326303309901</v>
      </c>
      <c r="AE3096">
        <v>1.6405000000000001</v>
      </c>
      <c r="AF3096">
        <v>-1.1167526263807901</v>
      </c>
      <c r="AG3096">
        <v>-1.1209326303309901</v>
      </c>
      <c r="AH3096">
        <v>66.926922968432294</v>
      </c>
      <c r="AI3096">
        <v>90.959401165613997</v>
      </c>
      <c r="AJ3096">
        <v>90.955957214078495</v>
      </c>
      <c r="AK3096">
        <v>66.945624535235595</v>
      </c>
      <c r="AL3096">
        <v>76.650513344347203</v>
      </c>
      <c r="AM3096">
        <v>85.501815746995604</v>
      </c>
      <c r="AN3096">
        <v>1.00000003980333</v>
      </c>
    </row>
    <row r="3097" spans="1:40" x14ac:dyDescent="0.25">
      <c r="A3097" t="str">
        <f>"20190303170558995"</f>
        <v>20190303170558995</v>
      </c>
      <c r="B3097" t="str">
        <f>"1551603958987575"</f>
        <v>1551603958987575</v>
      </c>
      <c r="C3097" t="s">
        <v>40</v>
      </c>
      <c r="D3097">
        <v>5.589016</v>
      </c>
      <c r="E3097">
        <v>0.4689895</v>
      </c>
      <c r="F3097" t="s">
        <v>60</v>
      </c>
      <c r="G3097">
        <v>-233.3981</v>
      </c>
      <c r="H3097" s="1">
        <v>1.9278810000000001E-7</v>
      </c>
      <c r="I3097">
        <v>216.4171</v>
      </c>
      <c r="J3097">
        <v>-305.79129999999998</v>
      </c>
      <c r="K3097">
        <v>1.1209370000000001</v>
      </c>
      <c r="L3097">
        <v>214.29900000000001</v>
      </c>
      <c r="M3097">
        <v>0.99986140000000001</v>
      </c>
      <c r="N3097">
        <v>-1.47133E-2</v>
      </c>
      <c r="O3097">
        <v>7.8088849999999998E-3</v>
      </c>
      <c r="P3097">
        <v>0.9739816</v>
      </c>
      <c r="Q3097">
        <v>0.2164045</v>
      </c>
      <c r="R3097">
        <v>-6.7299810000000002E-2</v>
      </c>
      <c r="S3097">
        <v>3.097534</v>
      </c>
      <c r="T3097">
        <v>-4.7651529999999998E-2</v>
      </c>
      <c r="U3097">
        <v>9.0194700000000003E-2</v>
      </c>
      <c r="V3097">
        <v>7.4920210000000001E-2</v>
      </c>
      <c r="W3097">
        <v>0.2306986</v>
      </c>
      <c r="X3097">
        <v>0.97013660000000002</v>
      </c>
      <c r="Y3097">
        <v>-2.1293659999999999E-2</v>
      </c>
      <c r="Z3097">
        <v>3.1524050000000001E-4</v>
      </c>
      <c r="AA3097">
        <v>0.99977320000000003</v>
      </c>
      <c r="AB3097">
        <v>46</v>
      </c>
      <c r="AC3097">
        <v>72.393199999999894</v>
      </c>
      <c r="AD3097">
        <v>-1.1209368072118999</v>
      </c>
      <c r="AE3097">
        <v>2.1180999999999899</v>
      </c>
      <c r="AF3097">
        <v>-1.5522922607702201</v>
      </c>
      <c r="AG3097">
        <v>-1.1209368072118999</v>
      </c>
      <c r="AH3097">
        <v>72.390193027980601</v>
      </c>
      <c r="AI3097">
        <v>90.886930338526497</v>
      </c>
      <c r="AJ3097">
        <v>91.228428369436699</v>
      </c>
      <c r="AK3097">
        <v>72.415510474047593</v>
      </c>
      <c r="AL3097">
        <v>76.661794624345802</v>
      </c>
      <c r="AM3097">
        <v>85.584015040129401</v>
      </c>
      <c r="AN3097">
        <v>0.99999995228397998</v>
      </c>
    </row>
    <row r="3098" spans="1:40" x14ac:dyDescent="0.25">
      <c r="A3098" t="str">
        <f>"20190303170559016"</f>
        <v>20190303170559016</v>
      </c>
      <c r="B3098" t="str">
        <f>"1551603959008072"</f>
        <v>1551603959008072</v>
      </c>
      <c r="C3098" t="s">
        <v>40</v>
      </c>
      <c r="D3098">
        <v>5.5106609999999998</v>
      </c>
      <c r="E3098">
        <v>0.46860469999999999</v>
      </c>
      <c r="F3098" t="s">
        <v>60</v>
      </c>
      <c r="G3098">
        <v>-227.20330000000001</v>
      </c>
      <c r="H3098" s="1">
        <v>2.202059E-6</v>
      </c>
      <c r="I3098">
        <v>216.7758</v>
      </c>
      <c r="J3098">
        <v>-305.34230000000002</v>
      </c>
      <c r="K3098">
        <v>1.1209370000000001</v>
      </c>
      <c r="L3098">
        <v>214.30260000000001</v>
      </c>
      <c r="M3098">
        <v>0.99986140000000001</v>
      </c>
      <c r="N3098">
        <v>-1.471043E-2</v>
      </c>
      <c r="O3098">
        <v>7.8000269999999898E-3</v>
      </c>
      <c r="P3098">
        <v>0.97429509999999997</v>
      </c>
      <c r="Q3098">
        <v>0.2153167</v>
      </c>
      <c r="R3098">
        <v>-6.6239790000000007E-2</v>
      </c>
      <c r="S3098">
        <v>3.0967410000000002</v>
      </c>
      <c r="T3098">
        <v>-4.4170139999999997E-2</v>
      </c>
      <c r="U3098">
        <v>9.7595210000000002E-2</v>
      </c>
      <c r="V3098">
        <v>7.3853779999999994E-2</v>
      </c>
      <c r="W3098">
        <v>0.2296127</v>
      </c>
      <c r="X3098">
        <v>0.97047600000000001</v>
      </c>
      <c r="Y3098">
        <v>-2.3696979999999999E-2</v>
      </c>
      <c r="Z3098">
        <v>3.4682300000000001E-4</v>
      </c>
      <c r="AA3098">
        <v>0.99971909999999997</v>
      </c>
      <c r="AB3098">
        <v>46</v>
      </c>
      <c r="AC3098">
        <v>78.138999999999996</v>
      </c>
      <c r="AD3098">
        <v>-1.120934797941</v>
      </c>
      <c r="AE3098">
        <v>2.4731999999999901</v>
      </c>
      <c r="AF3098">
        <v>-1.86318945593577</v>
      </c>
      <c r="AG3098">
        <v>-1.120934797941</v>
      </c>
      <c r="AH3098">
        <v>78.139851224478505</v>
      </c>
      <c r="AI3098">
        <v>90.821631741808403</v>
      </c>
      <c r="AJ3098">
        <v>91.365918491300604</v>
      </c>
      <c r="AK3098">
        <v>78.1700986257122</v>
      </c>
      <c r="AL3098">
        <v>76.725729409107799</v>
      </c>
      <c r="AM3098">
        <v>85.648146354430494</v>
      </c>
      <c r="AN3098">
        <v>1.0000000196987799</v>
      </c>
    </row>
    <row r="3099" spans="1:40" x14ac:dyDescent="0.25">
      <c r="A3099" t="str">
        <f>"20190303170559038"</f>
        <v>20190303170559038</v>
      </c>
      <c r="B3099" t="str">
        <f>"1551603959027592"</f>
        <v>1551603959027592</v>
      </c>
      <c r="C3099" t="s">
        <v>40</v>
      </c>
      <c r="D3099">
        <v>5.7060230000000001</v>
      </c>
      <c r="E3099">
        <v>0.46841650000000001</v>
      </c>
      <c r="F3099" t="s">
        <v>60</v>
      </c>
      <c r="G3099">
        <v>-230.7484</v>
      </c>
      <c r="H3099" s="1">
        <v>-1.2340759999999999E-6</v>
      </c>
      <c r="I3099">
        <v>216.8021</v>
      </c>
      <c r="J3099">
        <v>-304.899</v>
      </c>
      <c r="K3099">
        <v>1.120932</v>
      </c>
      <c r="L3099">
        <v>214.30600000000001</v>
      </c>
      <c r="M3099">
        <v>0.99986160000000002</v>
      </c>
      <c r="N3099">
        <v>-1.470759E-2</v>
      </c>
      <c r="O3099">
        <v>7.79116599999999E-3</v>
      </c>
      <c r="P3099">
        <v>0.97451739999999998</v>
      </c>
      <c r="Q3099">
        <v>0.2147162</v>
      </c>
      <c r="R3099">
        <v>-6.4909129999999995E-2</v>
      </c>
      <c r="S3099">
        <v>3.0964969999999998</v>
      </c>
      <c r="T3099">
        <v>-4.6531679999999999E-2</v>
      </c>
      <c r="U3099">
        <v>0.1037598</v>
      </c>
      <c r="V3099">
        <v>7.2516369999999997E-2</v>
      </c>
      <c r="W3099">
        <v>0.22901260000000001</v>
      </c>
      <c r="X3099">
        <v>0.97071859999999999</v>
      </c>
      <c r="Y3099">
        <v>-2.5695579999999999E-2</v>
      </c>
      <c r="Z3099">
        <v>3.7957799999999999E-4</v>
      </c>
      <c r="AA3099">
        <v>0.99966969999999999</v>
      </c>
      <c r="AB3099">
        <v>46</v>
      </c>
      <c r="AC3099">
        <v>74.150599999999997</v>
      </c>
      <c r="AD3099">
        <v>-1.1209332340760001</v>
      </c>
      <c r="AE3099">
        <v>2.49610000000001</v>
      </c>
      <c r="AF3099">
        <v>-1.91780439628809</v>
      </c>
      <c r="AG3099">
        <v>-1.1209332340760001</v>
      </c>
      <c r="AH3099">
        <v>74.150872546533094</v>
      </c>
      <c r="AI3099">
        <v>90.865780598703793</v>
      </c>
      <c r="AJ3099">
        <v>91.481541659723803</v>
      </c>
      <c r="AK3099">
        <v>74.184138226644393</v>
      </c>
      <c r="AL3099">
        <v>76.761053607106703</v>
      </c>
      <c r="AM3099">
        <v>85.727723016888504</v>
      </c>
      <c r="AN3099">
        <v>0.99999999763134795</v>
      </c>
    </row>
    <row r="3100" spans="1:40" x14ac:dyDescent="0.25">
      <c r="A3100" t="str">
        <f>"20190303170559060"</f>
        <v>20190303170559060</v>
      </c>
      <c r="B3100" t="str">
        <f>"1551603959048087"</f>
        <v>1551603959048087</v>
      </c>
      <c r="C3100" t="s">
        <v>40</v>
      </c>
      <c r="D3100">
        <v>5.5897629999999996</v>
      </c>
      <c r="E3100">
        <v>0.46853689999999998</v>
      </c>
      <c r="F3100" t="s">
        <v>60</v>
      </c>
      <c r="G3100">
        <v>-232.08519999999999</v>
      </c>
      <c r="H3100" s="1">
        <v>-5.2585979999999999E-7</v>
      </c>
      <c r="I3100">
        <v>216.87430000000001</v>
      </c>
      <c r="J3100">
        <v>-304.43439999999998</v>
      </c>
      <c r="K3100">
        <v>1.1209340000000001</v>
      </c>
      <c r="L3100">
        <v>214.30959999999999</v>
      </c>
      <c r="M3100">
        <v>0.99986169999999996</v>
      </c>
      <c r="N3100">
        <v>-1.470463E-2</v>
      </c>
      <c r="O3100">
        <v>7.7819500000000002E-3</v>
      </c>
      <c r="P3100">
        <v>0.97436339999999999</v>
      </c>
      <c r="Q3100">
        <v>0.2156728</v>
      </c>
      <c r="R3100">
        <v>-6.4043970000000006E-2</v>
      </c>
      <c r="S3100">
        <v>3.0961910000000001</v>
      </c>
      <c r="T3100">
        <v>-4.7664280000000003E-2</v>
      </c>
      <c r="U3100">
        <v>0.1092072</v>
      </c>
      <c r="V3100">
        <v>7.1640919999999997E-2</v>
      </c>
      <c r="W3100">
        <v>0.22996449999999999</v>
      </c>
      <c r="X3100">
        <v>0.97055860000000005</v>
      </c>
      <c r="Y3100">
        <v>-2.746415E-2</v>
      </c>
      <c r="Z3100">
        <v>4.0799819999999998E-4</v>
      </c>
      <c r="AA3100">
        <v>0.99962269999999998</v>
      </c>
      <c r="AB3100">
        <v>46</v>
      </c>
      <c r="AC3100">
        <v>72.349199999999996</v>
      </c>
      <c r="AD3100">
        <v>-1.1209345258598</v>
      </c>
      <c r="AE3100">
        <v>2.56470000000001</v>
      </c>
      <c r="AF3100">
        <v>-2.00106390265762</v>
      </c>
      <c r="AG3100">
        <v>-1.1209345258598</v>
      </c>
      <c r="AH3100">
        <v>72.349623945026394</v>
      </c>
      <c r="AI3100">
        <v>90.887290499301898</v>
      </c>
      <c r="AJ3100">
        <v>91.584297025207505</v>
      </c>
      <c r="AK3100">
        <v>72.385971264745194</v>
      </c>
      <c r="AL3100">
        <v>76.705018876949296</v>
      </c>
      <c r="AM3100">
        <v>85.778419003696897</v>
      </c>
      <c r="AN3100">
        <v>1.00000004435632</v>
      </c>
    </row>
    <row r="3101" spans="1:40" x14ac:dyDescent="0.25">
      <c r="A3101" t="str">
        <f>"20190303170559085"</f>
        <v>20190303170559085</v>
      </c>
      <c r="B3101" t="str">
        <f>"1551603959077367"</f>
        <v>1551603959077367</v>
      </c>
      <c r="C3101" t="s">
        <v>40</v>
      </c>
      <c r="D3101">
        <v>5.580794</v>
      </c>
      <c r="E3101">
        <v>0.46849839999999998</v>
      </c>
      <c r="F3101" t="s">
        <v>60</v>
      </c>
      <c r="G3101">
        <v>-226.3972</v>
      </c>
      <c r="H3101" s="1">
        <v>1.7592710000000001E-6</v>
      </c>
      <c r="I3101">
        <v>217.09190000000001</v>
      </c>
      <c r="J3101">
        <v>-303.94729999999998</v>
      </c>
      <c r="K3101">
        <v>1.1209340000000001</v>
      </c>
      <c r="L3101">
        <v>214.3134</v>
      </c>
      <c r="M3101">
        <v>0.99986169999999996</v>
      </c>
      <c r="N3101">
        <v>-1.4701509999999999E-2</v>
      </c>
      <c r="O3101">
        <v>7.7721989999999996E-3</v>
      </c>
      <c r="P3101">
        <v>0.97430830000000002</v>
      </c>
      <c r="Q3101">
        <v>0.21602560000000001</v>
      </c>
      <c r="R3101">
        <v>-6.3689979999999993E-2</v>
      </c>
      <c r="S3101">
        <v>3.0960390000000002</v>
      </c>
      <c r="T3101">
        <v>-4.4471740000000003E-2</v>
      </c>
      <c r="U3101">
        <v>0.1103821</v>
      </c>
      <c r="V3101">
        <v>7.127725E-2</v>
      </c>
      <c r="W3101">
        <v>0.2303135</v>
      </c>
      <c r="X3101">
        <v>0.97050259999999999</v>
      </c>
      <c r="Y3101">
        <v>-2.7855049999999999E-2</v>
      </c>
      <c r="Z3101">
        <v>4.0747869999999999E-4</v>
      </c>
      <c r="AA3101">
        <v>0.9996119</v>
      </c>
      <c r="AB3101">
        <v>46</v>
      </c>
      <c r="AC3101">
        <v>77.550099999999901</v>
      </c>
      <c r="AD3101">
        <v>-1.1209322407289899</v>
      </c>
      <c r="AE3101">
        <v>2.7785000000000002</v>
      </c>
      <c r="AF3101">
        <v>-2.1751622251829001</v>
      </c>
      <c r="AG3101">
        <v>-1.1209322407289899</v>
      </c>
      <c r="AH3101">
        <v>77.553172402497793</v>
      </c>
      <c r="AI3101">
        <v>90.827754320382894</v>
      </c>
      <c r="AJ3101">
        <v>91.606574524035494</v>
      </c>
      <c r="AK3101">
        <v>77.591767407926199</v>
      </c>
      <c r="AL3101">
        <v>76.6844708486136</v>
      </c>
      <c r="AM3101">
        <v>85.799530584716393</v>
      </c>
      <c r="AN3101">
        <v>1.0000000256282799</v>
      </c>
    </row>
    <row r="3102" spans="1:40" x14ac:dyDescent="0.25">
      <c r="A3102" t="str">
        <f>"20190303170559106"</f>
        <v>20190303170559106</v>
      </c>
      <c r="B3102" t="str">
        <f>"1551603959097863"</f>
        <v>1551603959097863</v>
      </c>
      <c r="C3102" t="s">
        <v>40</v>
      </c>
      <c r="D3102">
        <v>5.5197399999999996</v>
      </c>
      <c r="E3102">
        <v>0.46843590000000002</v>
      </c>
      <c r="F3102" t="s">
        <v>60</v>
      </c>
      <c r="G3102">
        <v>-222.92599999999999</v>
      </c>
      <c r="H3102" s="1">
        <v>-9.386392E-8</v>
      </c>
      <c r="I3102">
        <v>217.2278</v>
      </c>
      <c r="J3102">
        <v>-303.49759999999998</v>
      </c>
      <c r="K3102">
        <v>1.1209340000000001</v>
      </c>
      <c r="L3102">
        <v>214.3169</v>
      </c>
      <c r="M3102">
        <v>0.99986200000000003</v>
      </c>
      <c r="N3102">
        <v>-1.4698620000000001E-2</v>
      </c>
      <c r="O3102">
        <v>7.7628059999999997E-3</v>
      </c>
      <c r="P3102">
        <v>0.9743811</v>
      </c>
      <c r="Q3102">
        <v>0.2157558</v>
      </c>
      <c r="R3102">
        <v>-6.3489840000000006E-2</v>
      </c>
      <c r="S3102">
        <v>3.0958559999999999</v>
      </c>
      <c r="T3102">
        <v>-4.2831300000000003E-2</v>
      </c>
      <c r="U3102">
        <v>0.1113586</v>
      </c>
      <c r="V3102">
        <v>7.1068619999999999E-2</v>
      </c>
      <c r="W3102">
        <v>0.23004250000000001</v>
      </c>
      <c r="X3102">
        <v>0.9705821</v>
      </c>
      <c r="Y3102">
        <v>-2.8181709999999999E-2</v>
      </c>
      <c r="Z3102">
        <v>4.0881270000000001E-4</v>
      </c>
      <c r="AA3102">
        <v>0.99960269999999996</v>
      </c>
      <c r="AB3102">
        <v>46</v>
      </c>
      <c r="AC3102">
        <v>80.571599999999904</v>
      </c>
      <c r="AD3102">
        <v>-1.1209340938639201</v>
      </c>
      <c r="AE3102">
        <v>2.9108999999999901</v>
      </c>
      <c r="AF3102">
        <v>-2.2848414419382799</v>
      </c>
      <c r="AG3102">
        <v>-1.1209340938639201</v>
      </c>
      <c r="AH3102">
        <v>80.576195659255802</v>
      </c>
      <c r="AI3102">
        <v>90.796697451098495</v>
      </c>
      <c r="AJ3102">
        <v>91.624260112224604</v>
      </c>
      <c r="AK3102">
        <v>80.616377371947493</v>
      </c>
      <c r="AL3102">
        <v>76.700425501659893</v>
      </c>
      <c r="AM3102">
        <v>85.8121234669877</v>
      </c>
      <c r="AN3102">
        <v>0.99999995669768105</v>
      </c>
    </row>
    <row r="3103" spans="1:40" x14ac:dyDescent="0.25">
      <c r="A3103" t="str">
        <f>"20190303170559130"</f>
        <v>20190303170559130</v>
      </c>
      <c r="B3103" t="str">
        <f>"1551603959117383"</f>
        <v>1551603959117383</v>
      </c>
      <c r="C3103" t="s">
        <v>40</v>
      </c>
      <c r="D3103">
        <v>5.2561109999999998</v>
      </c>
      <c r="E3103">
        <v>0.46843950000000001</v>
      </c>
      <c r="F3103" t="s">
        <v>60</v>
      </c>
      <c r="G3103">
        <v>-224.46340000000001</v>
      </c>
      <c r="H3103" s="1">
        <v>7.2678139999999899E-7</v>
      </c>
      <c r="I3103">
        <v>217.16990000000001</v>
      </c>
      <c r="J3103">
        <v>-303.0204</v>
      </c>
      <c r="K3103">
        <v>1.120932</v>
      </c>
      <c r="L3103">
        <v>214.32060000000001</v>
      </c>
      <c r="M3103">
        <v>0.99986200000000003</v>
      </c>
      <c r="N3103">
        <v>-1.469557E-2</v>
      </c>
      <c r="O3103">
        <v>7.753589E-3</v>
      </c>
      <c r="P3103">
        <v>0.97445029999999999</v>
      </c>
      <c r="Q3103">
        <v>0.21550520000000001</v>
      </c>
      <c r="R3103">
        <v>-6.3280370000000002E-2</v>
      </c>
      <c r="S3103">
        <v>3.0958860000000001</v>
      </c>
      <c r="T3103">
        <v>-4.3908599999999999E-2</v>
      </c>
      <c r="U3103">
        <v>0.1117554</v>
      </c>
      <c r="V3103">
        <v>7.0850430000000006E-2</v>
      </c>
      <c r="W3103">
        <v>0.22978950000000001</v>
      </c>
      <c r="X3103">
        <v>0.97065800000000002</v>
      </c>
      <c r="Y3103">
        <v>-2.831827E-2</v>
      </c>
      <c r="Z3103">
        <v>4.1291400000000001E-4</v>
      </c>
      <c r="AA3103">
        <v>0.99959889999999996</v>
      </c>
      <c r="AB3103">
        <v>46</v>
      </c>
      <c r="AC3103">
        <v>78.556999999999903</v>
      </c>
      <c r="AD3103">
        <v>-1.1209312732186001</v>
      </c>
      <c r="AE3103">
        <v>2.8492999999999902</v>
      </c>
      <c r="AF3103">
        <v>-2.2395944970251098</v>
      </c>
      <c r="AG3103">
        <v>-1.1209312732186001</v>
      </c>
      <c r="AH3103">
        <v>78.560758451054099</v>
      </c>
      <c r="AI3103">
        <v>90.817128018764507</v>
      </c>
      <c r="AJ3103">
        <v>91.632934438176505</v>
      </c>
      <c r="AK3103">
        <v>78.6006681831348</v>
      </c>
      <c r="AL3103">
        <v>76.715320613119104</v>
      </c>
      <c r="AM3103">
        <v>85.825260575572699</v>
      </c>
      <c r="AN3103">
        <v>0.99999997535271701</v>
      </c>
    </row>
    <row r="3104" spans="1:40" x14ac:dyDescent="0.25">
      <c r="A3104" t="str">
        <f>"20190303170559151"</f>
        <v>20190303170559151</v>
      </c>
      <c r="B3104" t="str">
        <f>"1551603959137881"</f>
        <v>1551603959137881</v>
      </c>
      <c r="C3104" t="s">
        <v>40</v>
      </c>
      <c r="D3104">
        <v>5.487984</v>
      </c>
      <c r="E3104">
        <v>0.46846779999999999</v>
      </c>
      <c r="F3104" t="s">
        <v>60</v>
      </c>
      <c r="G3104">
        <v>-224.3655</v>
      </c>
      <c r="H3104" s="1">
        <v>6.7573389999999999E-7</v>
      </c>
      <c r="I3104">
        <v>217.14619999999999</v>
      </c>
      <c r="J3104">
        <v>-302.57339999999999</v>
      </c>
      <c r="K3104">
        <v>1.120938</v>
      </c>
      <c r="L3104">
        <v>214.32409999999999</v>
      </c>
      <c r="M3104">
        <v>0.99986209999999998</v>
      </c>
      <c r="N3104">
        <v>-1.4692729999999999E-2</v>
      </c>
      <c r="O3104">
        <v>7.7444330000000002E-3</v>
      </c>
      <c r="P3104">
        <v>0.97458509999999998</v>
      </c>
      <c r="Q3104">
        <v>0.21499850000000001</v>
      </c>
      <c r="R3104">
        <v>-6.2925320000000007E-2</v>
      </c>
      <c r="S3104">
        <v>3.095612</v>
      </c>
      <c r="T3104">
        <v>-4.4116379999999997E-2</v>
      </c>
      <c r="U3104">
        <v>0.1112061</v>
      </c>
      <c r="V3104">
        <v>7.0487579999999994E-2</v>
      </c>
      <c r="W3104">
        <v>0.22928229999999999</v>
      </c>
      <c r="X3104">
        <v>0.97080440000000001</v>
      </c>
      <c r="Y3104">
        <v>-2.815347E-2</v>
      </c>
      <c r="Z3104">
        <v>4.1090050000000002E-4</v>
      </c>
      <c r="AA3104">
        <v>0.99960349999999998</v>
      </c>
      <c r="AB3104">
        <v>46</v>
      </c>
      <c r="AC3104">
        <v>78.207899999999995</v>
      </c>
      <c r="AD3104">
        <v>-1.1209373242661</v>
      </c>
      <c r="AE3104">
        <v>2.8220999999999998</v>
      </c>
      <c r="AF3104">
        <v>-2.2158195436260102</v>
      </c>
      <c r="AG3104">
        <v>-1.1209373242661</v>
      </c>
      <c r="AH3104">
        <v>78.211366096917303</v>
      </c>
      <c r="AI3104">
        <v>90.820786409499306</v>
      </c>
      <c r="AJ3104">
        <v>91.622822399102205</v>
      </c>
      <c r="AK3104">
        <v>78.250777270777803</v>
      </c>
      <c r="AL3104">
        <v>76.745178930445206</v>
      </c>
      <c r="AM3104">
        <v>85.847190029489497</v>
      </c>
      <c r="AN3104">
        <v>1.00000002754345</v>
      </c>
    </row>
    <row r="3105" spans="1:40" x14ac:dyDescent="0.25">
      <c r="A3105" t="str">
        <f>"20190303170559173"</f>
        <v>20190303170559173</v>
      </c>
      <c r="B3105" t="str">
        <f>"1551603959168136"</f>
        <v>1551603959168136</v>
      </c>
      <c r="C3105" t="s">
        <v>40</v>
      </c>
      <c r="D3105">
        <v>5.6362449999999997</v>
      </c>
      <c r="E3105">
        <v>0.46843659999999998</v>
      </c>
      <c r="F3105" t="s">
        <v>60</v>
      </c>
      <c r="G3105">
        <v>-225.7775</v>
      </c>
      <c r="H3105" s="1">
        <v>1.429676E-6</v>
      </c>
      <c r="I3105">
        <v>217.08760000000001</v>
      </c>
      <c r="J3105">
        <v>-302.10840000000002</v>
      </c>
      <c r="K3105">
        <v>1.120935</v>
      </c>
      <c r="L3105">
        <v>214.32769999999999</v>
      </c>
      <c r="M3105">
        <v>0.99986220000000003</v>
      </c>
      <c r="N3105">
        <v>-1.4689809999999999E-2</v>
      </c>
      <c r="O3105">
        <v>7.735217E-3</v>
      </c>
      <c r="P3105">
        <v>0.97457570000000004</v>
      </c>
      <c r="Q3105">
        <v>0.21509900000000001</v>
      </c>
      <c r="R3105">
        <v>-6.2725690000000001E-2</v>
      </c>
      <c r="S3105">
        <v>3.095367</v>
      </c>
      <c r="T3105">
        <v>-4.5180919999999999E-2</v>
      </c>
      <c r="U3105">
        <v>0.11138919999999999</v>
      </c>
      <c r="V3105">
        <v>7.0278999999999994E-2</v>
      </c>
      <c r="W3105">
        <v>0.22937979999999999</v>
      </c>
      <c r="X3105">
        <v>0.97079649999999995</v>
      </c>
      <c r="Y3105">
        <v>-2.8224340000000001E-2</v>
      </c>
      <c r="Z3105">
        <v>4.1405810000000001E-4</v>
      </c>
      <c r="AA3105">
        <v>0.99960150000000003</v>
      </c>
      <c r="AB3105">
        <v>46</v>
      </c>
      <c r="AC3105">
        <v>76.3309</v>
      </c>
      <c r="AD3105">
        <v>-1.120933570324</v>
      </c>
      <c r="AE3105">
        <v>2.7599000000000098</v>
      </c>
      <c r="AF3105">
        <v>-2.1688505232488602</v>
      </c>
      <c r="AG3105">
        <v>-1.120933570324</v>
      </c>
      <c r="AH3105">
        <v>76.333526433020197</v>
      </c>
      <c r="AI3105">
        <v>90.840970503272601</v>
      </c>
      <c r="AJ3105">
        <v>91.627496643797997</v>
      </c>
      <c r="AK3105">
        <v>76.372558307037593</v>
      </c>
      <c r="AL3105">
        <v>76.739439764839901</v>
      </c>
      <c r="AM3105">
        <v>85.859402241388494</v>
      </c>
      <c r="AN3105">
        <v>1.0000000374506399</v>
      </c>
    </row>
    <row r="3106" spans="1:40" x14ac:dyDescent="0.25">
      <c r="A3106" t="str">
        <f>"20190303170559196"</f>
        <v>20190303170559196</v>
      </c>
      <c r="B3106" t="str">
        <f>"1551603959187655"</f>
        <v>1551603959187655</v>
      </c>
      <c r="C3106" t="s">
        <v>40</v>
      </c>
      <c r="D3106">
        <v>5.5327320000000002</v>
      </c>
      <c r="E3106">
        <v>0.46842470000000003</v>
      </c>
      <c r="F3106" t="s">
        <v>60</v>
      </c>
      <c r="G3106">
        <v>-223.81469999999999</v>
      </c>
      <c r="H3106" s="1">
        <v>3.821712E-7</v>
      </c>
      <c r="I3106">
        <v>217.1568</v>
      </c>
      <c r="J3106">
        <v>-301.65159999999997</v>
      </c>
      <c r="K3106">
        <v>1.120941</v>
      </c>
      <c r="L3106">
        <v>214.3312</v>
      </c>
      <c r="M3106">
        <v>0.99986229999999998</v>
      </c>
      <c r="N3106">
        <v>-1.4686909999999999E-2</v>
      </c>
      <c r="O3106">
        <v>7.7258229999999997E-3</v>
      </c>
      <c r="P3106">
        <v>0.97451469999999996</v>
      </c>
      <c r="Q3106">
        <v>0.2155051</v>
      </c>
      <c r="R3106">
        <v>-6.2281040000000003E-2</v>
      </c>
      <c r="S3106">
        <v>3.0952760000000001</v>
      </c>
      <c r="T3106">
        <v>-4.4315220000000002E-2</v>
      </c>
      <c r="U3106">
        <v>0.1118469</v>
      </c>
      <c r="V3106">
        <v>6.9824490000000003E-2</v>
      </c>
      <c r="W3106">
        <v>0.22978209999999999</v>
      </c>
      <c r="X3106">
        <v>0.97073410000000004</v>
      </c>
      <c r="Y3106">
        <v>-2.8382569999999999E-2</v>
      </c>
      <c r="Z3106">
        <v>4.1450550000000002E-4</v>
      </c>
      <c r="AA3106">
        <v>0.99959710000000002</v>
      </c>
      <c r="AB3106">
        <v>46</v>
      </c>
      <c r="AC3106">
        <v>77.836899999999901</v>
      </c>
      <c r="AD3106">
        <v>-1.1209406178287999</v>
      </c>
      <c r="AE3106">
        <v>2.8256000000000001</v>
      </c>
      <c r="AF3106">
        <v>-2.2236361165540401</v>
      </c>
      <c r="AG3106">
        <v>-1.1209406178287999</v>
      </c>
      <c r="AH3106">
        <v>77.840286639902899</v>
      </c>
      <c r="AI3106">
        <v>90.8246956186576</v>
      </c>
      <c r="AJ3106">
        <v>91.636303393651303</v>
      </c>
      <c r="AK3106">
        <v>77.880108433603098</v>
      </c>
      <c r="AL3106">
        <v>76.715756361262507</v>
      </c>
      <c r="AM3106">
        <v>85.885824635136601</v>
      </c>
      <c r="AN3106">
        <v>0.99999998289349001</v>
      </c>
    </row>
    <row r="3107" spans="1:40" x14ac:dyDescent="0.25">
      <c r="A3107" t="str">
        <f>"20190303170559216"</f>
        <v>20190303170559216</v>
      </c>
      <c r="B3107" t="str">
        <f>"1551603959208152"</f>
        <v>1551603959208152</v>
      </c>
      <c r="C3107" t="s">
        <v>40</v>
      </c>
      <c r="D3107">
        <v>5.5318139999999998</v>
      </c>
      <c r="E3107">
        <v>0.46843889999999999</v>
      </c>
      <c r="F3107" t="s">
        <v>60</v>
      </c>
      <c r="G3107">
        <v>-220.80680000000001</v>
      </c>
      <c r="H3107" s="1">
        <v>-1.224168E-6</v>
      </c>
      <c r="I3107">
        <v>217.2869</v>
      </c>
      <c r="J3107">
        <v>-301.20830000000001</v>
      </c>
      <c r="K3107">
        <v>1.1209469999999999</v>
      </c>
      <c r="L3107">
        <v>214.3347</v>
      </c>
      <c r="M3107">
        <v>0.99986260000000005</v>
      </c>
      <c r="N3107">
        <v>-1.468408E-2</v>
      </c>
      <c r="O3107">
        <v>7.7169040000000001E-3</v>
      </c>
      <c r="P3107">
        <v>0.97440269999999995</v>
      </c>
      <c r="Q3107">
        <v>0.21617910000000001</v>
      </c>
      <c r="R3107">
        <v>-6.1695340000000001E-2</v>
      </c>
      <c r="S3107">
        <v>3.095154</v>
      </c>
      <c r="T3107">
        <v>-4.2915460000000002E-2</v>
      </c>
      <c r="U3107">
        <v>0.1131592</v>
      </c>
      <c r="V3107">
        <v>6.9229360000000004E-2</v>
      </c>
      <c r="W3107">
        <v>0.23045170000000001</v>
      </c>
      <c r="X3107">
        <v>0.97061799999999998</v>
      </c>
      <c r="Y3107">
        <v>-2.8816339999999999E-2</v>
      </c>
      <c r="Z3107">
        <v>4.1770890000000001E-4</v>
      </c>
      <c r="AA3107">
        <v>0.99958460000000005</v>
      </c>
      <c r="AB3107">
        <v>46</v>
      </c>
      <c r="AC3107">
        <v>80.401499999999999</v>
      </c>
      <c r="AD3107">
        <v>-1.120948224168</v>
      </c>
      <c r="AE3107">
        <v>2.9521999999999999</v>
      </c>
      <c r="AF3107">
        <v>-2.33114213125334</v>
      </c>
      <c r="AG3107">
        <v>-1.120948224168</v>
      </c>
      <c r="AH3107">
        <v>80.406281751804798</v>
      </c>
      <c r="AI3107">
        <v>90.798376330477893</v>
      </c>
      <c r="AJ3107">
        <v>91.660656349967297</v>
      </c>
      <c r="AK3107">
        <v>80.4478768750798</v>
      </c>
      <c r="AL3107">
        <v>76.676333282999593</v>
      </c>
      <c r="AM3107">
        <v>85.920285516840707</v>
      </c>
      <c r="AN3107">
        <v>0.99999999612144896</v>
      </c>
    </row>
    <row r="3108" spans="1:40" x14ac:dyDescent="0.25">
      <c r="A3108" t="str">
        <f>"20190303170559240"</f>
        <v>20190303170559240</v>
      </c>
      <c r="B3108" t="str">
        <f>"1551603959227672"</f>
        <v>1551603959227672</v>
      </c>
      <c r="C3108" t="s">
        <v>40</v>
      </c>
      <c r="D3108">
        <v>5.5784039999999999</v>
      </c>
      <c r="E3108">
        <v>0.4684876</v>
      </c>
      <c r="F3108" t="s">
        <v>60</v>
      </c>
      <c r="G3108">
        <v>-214.10140000000001</v>
      </c>
      <c r="H3108" s="1">
        <v>5.1711530000000001E-7</v>
      </c>
      <c r="I3108">
        <v>217.5599</v>
      </c>
      <c r="J3108">
        <v>-300.73950000000002</v>
      </c>
      <c r="K3108">
        <v>1.1209499999999999</v>
      </c>
      <c r="L3108">
        <v>214.3383</v>
      </c>
      <c r="M3108">
        <v>0.99986260000000005</v>
      </c>
      <c r="N3108">
        <v>-1.4681110000000001E-2</v>
      </c>
      <c r="O3108">
        <v>7.7075700000000004E-3</v>
      </c>
      <c r="P3108">
        <v>0.97437180000000001</v>
      </c>
      <c r="Q3108">
        <v>0.21630650000000001</v>
      </c>
      <c r="R3108">
        <v>-6.173551E-2</v>
      </c>
      <c r="S3108">
        <v>3.09491</v>
      </c>
      <c r="T3108">
        <v>-3.9827229999999998E-2</v>
      </c>
      <c r="U3108">
        <v>0.1145935</v>
      </c>
      <c r="V3108">
        <v>6.9260249999999995E-2</v>
      </c>
      <c r="W3108">
        <v>0.23057610000000001</v>
      </c>
      <c r="X3108">
        <v>0.97058619999999995</v>
      </c>
      <c r="Y3108">
        <v>-2.92917E-2</v>
      </c>
      <c r="Z3108">
        <v>4.1750629999999999E-4</v>
      </c>
      <c r="AA3108">
        <v>0.99957079999999998</v>
      </c>
      <c r="AB3108">
        <v>46</v>
      </c>
      <c r="AC3108">
        <v>86.638099999999994</v>
      </c>
      <c r="AD3108">
        <v>-1.1209494828847</v>
      </c>
      <c r="AE3108">
        <v>3.2215999999999898</v>
      </c>
      <c r="AF3108">
        <v>-2.5532363230869701</v>
      </c>
      <c r="AG3108">
        <v>-1.1209494828847</v>
      </c>
      <c r="AH3108">
        <v>86.645874898790495</v>
      </c>
      <c r="AI3108">
        <v>90.740880392603202</v>
      </c>
      <c r="AJ3108">
        <v>91.687874292010903</v>
      </c>
      <c r="AK3108">
        <v>86.690732955959902</v>
      </c>
      <c r="AL3108">
        <v>76.669007740232203</v>
      </c>
      <c r="AM3108">
        <v>85.918338033246599</v>
      </c>
      <c r="AN3108">
        <v>0.99999994587585395</v>
      </c>
    </row>
    <row r="3109" spans="1:40" x14ac:dyDescent="0.25">
      <c r="A3109" t="str">
        <f>"20190303170559263"</f>
        <v>20190303170559263</v>
      </c>
      <c r="B3109" t="str">
        <f>"1551603959257927"</f>
        <v>1551603959257927</v>
      </c>
      <c r="C3109" t="s">
        <v>40</v>
      </c>
      <c r="D3109">
        <v>5.5348309999999996</v>
      </c>
      <c r="E3109">
        <v>0.46850160000000002</v>
      </c>
      <c r="F3109" t="s">
        <v>60</v>
      </c>
      <c r="G3109">
        <v>-210.65049999999999</v>
      </c>
      <c r="H3109" s="1">
        <v>-1.3234809999999901E-6</v>
      </c>
      <c r="I3109">
        <v>217.65600000000001</v>
      </c>
      <c r="J3109">
        <v>-300.262</v>
      </c>
      <c r="K3109">
        <v>1.120951</v>
      </c>
      <c r="L3109">
        <v>214.34190000000001</v>
      </c>
      <c r="M3109">
        <v>0.99986260000000005</v>
      </c>
      <c r="N3109">
        <v>-1.4678109999999999E-2</v>
      </c>
      <c r="O3109">
        <v>7.6979969999999998E-3</v>
      </c>
      <c r="P3109">
        <v>0.97445369999999998</v>
      </c>
      <c r="Q3109">
        <v>0.21609200000000001</v>
      </c>
      <c r="R3109">
        <v>-6.1188989999999999E-2</v>
      </c>
      <c r="S3109">
        <v>3.0946660000000001</v>
      </c>
      <c r="T3109">
        <v>-3.8506029999999997E-2</v>
      </c>
      <c r="U3109">
        <v>0.113967899999999</v>
      </c>
      <c r="V3109">
        <v>6.8705139999999998E-2</v>
      </c>
      <c r="W3109">
        <v>0.2303598</v>
      </c>
      <c r="X3109">
        <v>0.97067709999999996</v>
      </c>
      <c r="Y3109">
        <v>-2.9102670000000001E-2</v>
      </c>
      <c r="Z3109">
        <v>4.1189969999999999E-4</v>
      </c>
      <c r="AA3109">
        <v>0.99957629999999997</v>
      </c>
      <c r="AB3109">
        <v>46</v>
      </c>
      <c r="AC3109">
        <v>89.611500000000007</v>
      </c>
      <c r="AD3109">
        <v>-1.1209523234809999</v>
      </c>
      <c r="AE3109">
        <v>3.3140999999999599</v>
      </c>
      <c r="AF3109">
        <v>-2.6236883925290799</v>
      </c>
      <c r="AG3109">
        <v>-1.1209523234809999</v>
      </c>
      <c r="AH3109">
        <v>89.620354668894905</v>
      </c>
      <c r="AI3109">
        <v>90.716299190525504</v>
      </c>
      <c r="AJ3109">
        <v>91.676888560278499</v>
      </c>
      <c r="AK3109">
        <v>89.665758491584299</v>
      </c>
      <c r="AL3109">
        <v>76.681744853323394</v>
      </c>
      <c r="AM3109">
        <v>85.951320580818006</v>
      </c>
      <c r="AN3109">
        <v>1.00000003309143</v>
      </c>
    </row>
    <row r="3110" spans="1:40" x14ac:dyDescent="0.25">
      <c r="A3110" t="str">
        <f>"20190303170559286"</f>
        <v>20190303170559286</v>
      </c>
      <c r="B3110" t="str">
        <f>"1551603959278425"</f>
        <v>1551603959278425</v>
      </c>
      <c r="C3110" t="s">
        <v>40</v>
      </c>
      <c r="D3110">
        <v>5.5337639999999997</v>
      </c>
      <c r="E3110">
        <v>0.46853089999999997</v>
      </c>
      <c r="F3110" t="s">
        <v>60</v>
      </c>
      <c r="G3110">
        <v>-211.54490000000001</v>
      </c>
      <c r="H3110" s="1">
        <v>-8.4671689999999998E-7</v>
      </c>
      <c r="I3110">
        <v>217.63730000000001</v>
      </c>
      <c r="J3110">
        <v>-299.79349999999999</v>
      </c>
      <c r="K3110">
        <v>1.1209530000000001</v>
      </c>
      <c r="L3110">
        <v>214.34559999999999</v>
      </c>
      <c r="M3110">
        <v>0.9998629</v>
      </c>
      <c r="N3110">
        <v>-1.4675199999999999E-2</v>
      </c>
      <c r="O3110">
        <v>7.688482E-3</v>
      </c>
      <c r="P3110">
        <v>0.97432700000000005</v>
      </c>
      <c r="Q3110">
        <v>0.2169923</v>
      </c>
      <c r="R3110">
        <v>-6.0014940000000003E-2</v>
      </c>
      <c r="S3110">
        <v>3.0945429999999998</v>
      </c>
      <c r="T3110">
        <v>-3.9099929999999998E-2</v>
      </c>
      <c r="U3110">
        <v>0.11494450000000001</v>
      </c>
      <c r="V3110">
        <v>6.752068E-2</v>
      </c>
      <c r="W3110">
        <v>0.23125580000000001</v>
      </c>
      <c r="X3110">
        <v>0.9705471</v>
      </c>
      <c r="Y3110">
        <v>-2.942848E-2</v>
      </c>
      <c r="Z3110">
        <v>4.1758319999999998E-4</v>
      </c>
      <c r="AA3110">
        <v>0.99956679999999998</v>
      </c>
      <c r="AB3110">
        <v>46</v>
      </c>
      <c r="AC3110">
        <v>88.248599999999897</v>
      </c>
      <c r="AD3110">
        <v>-1.12095384671689</v>
      </c>
      <c r="AE3110">
        <v>3.2917000000000201</v>
      </c>
      <c r="AF3110">
        <v>-2.6126109905531298</v>
      </c>
      <c r="AG3110">
        <v>-1.12095384671689</v>
      </c>
      <c r="AH3110">
        <v>88.257081794311304</v>
      </c>
      <c r="AI3110">
        <v>90.727356405983898</v>
      </c>
      <c r="AJ3110">
        <v>91.695590637430698</v>
      </c>
      <c r="AK3110">
        <v>88.302858167571202</v>
      </c>
      <c r="AL3110">
        <v>76.628982518173402</v>
      </c>
      <c r="AM3110">
        <v>86.020361396502295</v>
      </c>
      <c r="AN3110">
        <v>0.99999998028985504</v>
      </c>
    </row>
    <row r="3111" spans="1:40" x14ac:dyDescent="0.25">
      <c r="A3111" t="str">
        <f>"20190303170559307"</f>
        <v>20190303170559307</v>
      </c>
      <c r="B3111" t="str">
        <f>"1551603959297944"</f>
        <v>1551603959297944</v>
      </c>
      <c r="C3111" t="s">
        <v>40</v>
      </c>
      <c r="D3111">
        <v>5.5518619999999999</v>
      </c>
      <c r="E3111">
        <v>0.46860069999999998</v>
      </c>
      <c r="F3111" t="s">
        <v>52</v>
      </c>
      <c r="G3111">
        <v>-203.4761</v>
      </c>
      <c r="H3111" s="1">
        <v>3.4614290000000002E-6</v>
      </c>
      <c r="I3111">
        <v>218.01410000000001</v>
      </c>
      <c r="J3111">
        <v>-299.35950000000003</v>
      </c>
      <c r="K3111">
        <v>1.1209559999999901</v>
      </c>
      <c r="L3111">
        <v>214.34889999999999</v>
      </c>
      <c r="M3111">
        <v>0.99986299999999995</v>
      </c>
      <c r="N3111">
        <v>-1.467253E-2</v>
      </c>
      <c r="O3111">
        <v>7.67974E-3</v>
      </c>
      <c r="P3111">
        <v>0.97418930000000004</v>
      </c>
      <c r="Q3111">
        <v>0.21790300000000001</v>
      </c>
      <c r="R3111">
        <v>-5.8939560000000002E-2</v>
      </c>
      <c r="S3111">
        <v>3.0943299999999998</v>
      </c>
      <c r="T3111">
        <v>-3.6012049999999997E-2</v>
      </c>
      <c r="U3111">
        <v>0.1178589</v>
      </c>
      <c r="V3111">
        <v>6.6435729999999998E-2</v>
      </c>
      <c r="W3111">
        <v>0.2321617</v>
      </c>
      <c r="X3111">
        <v>0.97040570000000004</v>
      </c>
      <c r="Y3111">
        <v>-3.0380330000000001E-2</v>
      </c>
      <c r="Z3111">
        <v>4.230166E-4</v>
      </c>
      <c r="AA3111">
        <v>0.99953829999999999</v>
      </c>
      <c r="AB3111">
        <v>46</v>
      </c>
      <c r="AC3111">
        <v>95.883399999999995</v>
      </c>
      <c r="AD3111">
        <v>-1.12095253857099</v>
      </c>
      <c r="AE3111">
        <v>3.66520000000002</v>
      </c>
      <c r="AF3111">
        <v>-2.9282535028200298</v>
      </c>
      <c r="AG3111">
        <v>-1.12095253857099</v>
      </c>
      <c r="AH3111">
        <v>95.895635266675598</v>
      </c>
      <c r="AI3111">
        <v>90.669404879683896</v>
      </c>
      <c r="AJ3111">
        <v>91.749031107605006</v>
      </c>
      <c r="AK3111">
        <v>95.946881483296707</v>
      </c>
      <c r="AL3111">
        <v>76.575626345115893</v>
      </c>
      <c r="AM3111">
        <v>86.083538482493694</v>
      </c>
      <c r="AN3111">
        <v>0.99999999188000599</v>
      </c>
    </row>
    <row r="3112" spans="1:40" x14ac:dyDescent="0.25">
      <c r="A3112" t="str">
        <f>"20190303170559331"</f>
        <v>20190303170559331</v>
      </c>
      <c r="B3112" t="str">
        <f>"1551603959318439"</f>
        <v>1551603959318439</v>
      </c>
      <c r="C3112" t="s">
        <v>40</v>
      </c>
      <c r="D3112">
        <v>5.5605960000000003</v>
      </c>
      <c r="E3112">
        <v>0.4686573</v>
      </c>
      <c r="F3112" t="s">
        <v>52</v>
      </c>
      <c r="G3112">
        <v>-190.9246</v>
      </c>
      <c r="H3112" s="1">
        <v>3.455278E-6</v>
      </c>
      <c r="I3112">
        <v>218.56620000000001</v>
      </c>
      <c r="J3112">
        <v>-298.87560000000002</v>
      </c>
      <c r="K3112">
        <v>1.12096</v>
      </c>
      <c r="L3112">
        <v>214.3526</v>
      </c>
      <c r="M3112">
        <v>0.99986299999999995</v>
      </c>
      <c r="N3112">
        <v>-1.466951E-2</v>
      </c>
      <c r="O3112">
        <v>7.6700479999999996E-3</v>
      </c>
      <c r="P3112">
        <v>0.97416579999999997</v>
      </c>
      <c r="Q3112">
        <v>0.218301</v>
      </c>
      <c r="R3112">
        <v>-5.784131E-2</v>
      </c>
      <c r="S3112">
        <v>3.0939329999999998</v>
      </c>
      <c r="T3112">
        <v>-3.1983730000000002E-2</v>
      </c>
      <c r="U3112">
        <v>0.1203308</v>
      </c>
      <c r="V3112">
        <v>6.5328189999999994E-2</v>
      </c>
      <c r="W3112">
        <v>0.2325564</v>
      </c>
      <c r="X3112">
        <v>0.97038639999999998</v>
      </c>
      <c r="Y3112">
        <v>-3.1192950000000001E-2</v>
      </c>
      <c r="Z3112">
        <v>4.2330219999999998E-4</v>
      </c>
      <c r="AA3112">
        <v>0.99951330000000005</v>
      </c>
      <c r="AB3112">
        <v>46</v>
      </c>
      <c r="AC3112">
        <v>107.95099999999999</v>
      </c>
      <c r="AD3112">
        <v>-1.120956544722</v>
      </c>
      <c r="AE3112">
        <v>4.2136000000000102</v>
      </c>
      <c r="AF3112">
        <v>-3.3850331516367098</v>
      </c>
      <c r="AG3112">
        <v>-1.120956544722</v>
      </c>
      <c r="AH3112">
        <v>107.96852177908301</v>
      </c>
      <c r="AI3112">
        <v>90.594545813743807</v>
      </c>
      <c r="AJ3112">
        <v>91.795751208238201</v>
      </c>
      <c r="AK3112">
        <v>108.02738860202599</v>
      </c>
      <c r="AL3112">
        <v>76.552375548887497</v>
      </c>
      <c r="AM3112">
        <v>86.148554697340998</v>
      </c>
      <c r="AN3112">
        <v>1.00000000844729</v>
      </c>
    </row>
    <row r="3113" spans="1:40" x14ac:dyDescent="0.25">
      <c r="A3113" t="str">
        <f>"20190303170559359"</f>
        <v>20190303170559359</v>
      </c>
      <c r="B3113" t="str">
        <f>"1551603959347720"</f>
        <v>1551603959347720</v>
      </c>
      <c r="C3113" t="s">
        <v>40</v>
      </c>
      <c r="D3113">
        <v>5.5067440000000003</v>
      </c>
      <c r="E3113">
        <v>0.46873090000000001</v>
      </c>
      <c r="F3113" t="s">
        <v>52</v>
      </c>
      <c r="G3113">
        <v>-183.76910000000001</v>
      </c>
      <c r="H3113" s="1">
        <v>2.4974329999999999E-6</v>
      </c>
      <c r="I3113">
        <v>218.92750000000001</v>
      </c>
      <c r="J3113">
        <v>-298.30610000000001</v>
      </c>
      <c r="K3113">
        <v>1.1209610000000001</v>
      </c>
      <c r="L3113">
        <v>214.357</v>
      </c>
      <c r="M3113">
        <v>0.99986330000000001</v>
      </c>
      <c r="N3113">
        <v>-1.4665920000000001E-2</v>
      </c>
      <c r="O3113">
        <v>7.6582759999999899E-3</v>
      </c>
      <c r="P3113">
        <v>0.97432450000000004</v>
      </c>
      <c r="Q3113">
        <v>0.21792980000000001</v>
      </c>
      <c r="R3113">
        <v>-5.6559459999999999E-2</v>
      </c>
      <c r="S3113">
        <v>3.0935969999999999</v>
      </c>
      <c r="T3113">
        <v>-3.012681E-2</v>
      </c>
      <c r="U3113">
        <v>0.1229553</v>
      </c>
      <c r="V3113">
        <v>6.4035880000000003E-2</v>
      </c>
      <c r="W3113">
        <v>0.23218440000000001</v>
      </c>
      <c r="X3113">
        <v>0.97056160000000002</v>
      </c>
      <c r="Y3113">
        <v>-3.2055800000000002E-2</v>
      </c>
      <c r="Z3113">
        <v>4.289435E-4</v>
      </c>
      <c r="AA3113">
        <v>0.99948599999999999</v>
      </c>
      <c r="AB3113">
        <v>46</v>
      </c>
      <c r="AC3113">
        <v>114.53700000000001</v>
      </c>
      <c r="AD3113">
        <v>-1.1209585025669999</v>
      </c>
      <c r="AE3113">
        <v>4.5705000000000098</v>
      </c>
      <c r="AF3113">
        <v>-3.6927626502481399</v>
      </c>
      <c r="AG3113">
        <v>-1.1209585025669999</v>
      </c>
      <c r="AH3113">
        <v>114.557691176878</v>
      </c>
      <c r="AI3113">
        <v>90.560336032506797</v>
      </c>
      <c r="AJ3113">
        <v>91.846287878544004</v>
      </c>
      <c r="AK3113">
        <v>114.62267512029401</v>
      </c>
      <c r="AL3113">
        <v>76.5742893646337</v>
      </c>
      <c r="AM3113">
        <v>86.225200255614695</v>
      </c>
      <c r="AN3113">
        <v>1.00000000446264</v>
      </c>
    </row>
    <row r="3114" spans="1:40" x14ac:dyDescent="0.25">
      <c r="A3114" t="str">
        <f>"20190303170559376"</f>
        <v>20190303170559376</v>
      </c>
      <c r="B3114" t="str">
        <f>"1551603959358456"</f>
        <v>1551603959358456</v>
      </c>
      <c r="C3114" t="s">
        <v>40</v>
      </c>
      <c r="D3114">
        <v>5.4962790000000004</v>
      </c>
      <c r="E3114">
        <v>0.46874719999999997</v>
      </c>
      <c r="F3114" t="s">
        <v>52</v>
      </c>
      <c r="G3114">
        <v>-184.53620000000001</v>
      </c>
      <c r="H3114" s="1">
        <v>2.628635E-6</v>
      </c>
      <c r="I3114">
        <v>218.98320000000001</v>
      </c>
      <c r="J3114">
        <v>-297.9633</v>
      </c>
      <c r="K3114">
        <v>1.12096</v>
      </c>
      <c r="L3114">
        <v>214.3596</v>
      </c>
      <c r="M3114">
        <v>0.9998631</v>
      </c>
      <c r="N3114">
        <v>-1.466377E-2</v>
      </c>
      <c r="O3114">
        <v>7.6516169999999899E-3</v>
      </c>
      <c r="P3114">
        <v>0.97445689999999996</v>
      </c>
      <c r="Q3114">
        <v>0.2176022</v>
      </c>
      <c r="R3114">
        <v>-5.5525819999999997E-2</v>
      </c>
      <c r="S3114">
        <v>3.0931700000000002</v>
      </c>
      <c r="T3114">
        <v>-3.0476570000000001E-2</v>
      </c>
      <c r="U3114">
        <v>0.12577819999999901</v>
      </c>
      <c r="V3114">
        <v>6.2996700000000003E-2</v>
      </c>
      <c r="W3114">
        <v>0.23185739999999999</v>
      </c>
      <c r="X3114">
        <v>0.97070780000000001</v>
      </c>
      <c r="Y3114">
        <v>-3.2978420000000001E-2</v>
      </c>
      <c r="Z3114">
        <v>4.4113019999999999E-4</v>
      </c>
      <c r="AA3114">
        <v>0.99945600000000001</v>
      </c>
      <c r="AB3114">
        <v>46</v>
      </c>
      <c r="AC3114">
        <v>113.4271</v>
      </c>
      <c r="AD3114">
        <v>-1.1209573713650001</v>
      </c>
      <c r="AE3114">
        <v>4.6235999999999997</v>
      </c>
      <c r="AF3114">
        <v>-3.7551043381809301</v>
      </c>
      <c r="AG3114">
        <v>-1.1209573713650001</v>
      </c>
      <c r="AH3114">
        <v>113.448098967899</v>
      </c>
      <c r="AI3114">
        <v>90.565799571830098</v>
      </c>
      <c r="AJ3114">
        <v>91.895784158958705</v>
      </c>
      <c r="AK3114">
        <v>113.515763281798</v>
      </c>
      <c r="AL3114">
        <v>76.593551136003299</v>
      </c>
      <c r="AM3114">
        <v>86.286842974795306</v>
      </c>
      <c r="AN3114">
        <v>1.0000000355632399</v>
      </c>
    </row>
    <row r="3115" spans="1:40" x14ac:dyDescent="0.25">
      <c r="A3115" t="str">
        <f>"20190303170559397"</f>
        <v>20190303170559397</v>
      </c>
      <c r="B3115" t="str">
        <f>"1551603959387736"</f>
        <v>1551603959387736</v>
      </c>
      <c r="C3115" t="s">
        <v>40</v>
      </c>
      <c r="D3115">
        <v>5.4021109999999997</v>
      </c>
      <c r="E3115">
        <v>0.46867609999999899</v>
      </c>
      <c r="F3115" t="s">
        <v>52</v>
      </c>
      <c r="G3115">
        <v>-190.15170000000001</v>
      </c>
      <c r="H3115" s="1">
        <v>3.569389E-6</v>
      </c>
      <c r="I3115">
        <v>218.82929999999999</v>
      </c>
      <c r="J3115">
        <v>-297.5206</v>
      </c>
      <c r="K3115">
        <v>1.120967</v>
      </c>
      <c r="L3115">
        <v>214.363</v>
      </c>
      <c r="M3115">
        <v>0.99986339999999996</v>
      </c>
      <c r="N3115">
        <v>-1.4660970000000001E-2</v>
      </c>
      <c r="O3115">
        <v>7.642696E-3</v>
      </c>
      <c r="P3115">
        <v>0.97444399999999998</v>
      </c>
      <c r="Q3115">
        <v>0.21806139999999999</v>
      </c>
      <c r="R3115">
        <v>-5.392914E-2</v>
      </c>
      <c r="S3115">
        <v>3.0931090000000001</v>
      </c>
      <c r="T3115">
        <v>-3.216016E-2</v>
      </c>
      <c r="U3115">
        <v>0.12823490000000001</v>
      </c>
      <c r="V3115">
        <v>6.1391389999999997E-2</v>
      </c>
      <c r="W3115">
        <v>0.23231379999999999</v>
      </c>
      <c r="X3115">
        <v>0.97070149999999999</v>
      </c>
      <c r="Y3115">
        <v>-3.3780169999999998E-2</v>
      </c>
      <c r="Z3115">
        <v>4.5588269999999998E-4</v>
      </c>
      <c r="AA3115">
        <v>0.99942920000000002</v>
      </c>
      <c r="AB3115">
        <v>46</v>
      </c>
      <c r="AC3115">
        <v>107.3689</v>
      </c>
      <c r="AD3115">
        <v>-1.1209634306109999</v>
      </c>
      <c r="AE3115">
        <v>4.4662999999999897</v>
      </c>
      <c r="AF3115">
        <v>-3.6450969055062199</v>
      </c>
      <c r="AG3115">
        <v>-1.1209634306109999</v>
      </c>
      <c r="AH3115">
        <v>107.388216688558</v>
      </c>
      <c r="AI3115">
        <v>90.597711555573895</v>
      </c>
      <c r="AJ3115">
        <v>91.944054225603907</v>
      </c>
      <c r="AK3115">
        <v>107.45590897671499</v>
      </c>
      <c r="AL3115">
        <v>76.566666847389698</v>
      </c>
      <c r="AM3115">
        <v>86.381185164085196</v>
      </c>
      <c r="AN3115">
        <v>1.0000000032694101</v>
      </c>
    </row>
    <row r="3116" spans="1:40" x14ac:dyDescent="0.25">
      <c r="A3116" t="str">
        <f>"20190303170559430"</f>
        <v>20190303170559430</v>
      </c>
      <c r="B3116" t="str">
        <f>"1551603959417992"</f>
        <v>1551603959417992</v>
      </c>
      <c r="C3116" t="s">
        <v>40</v>
      </c>
      <c r="D3116">
        <v>5.6286300000000002</v>
      </c>
      <c r="E3116">
        <v>0.46874490000000002</v>
      </c>
      <c r="F3116" t="s">
        <v>52</v>
      </c>
      <c r="G3116">
        <v>-186.16030000000001</v>
      </c>
      <c r="H3116" s="1">
        <v>2.901153E-6</v>
      </c>
      <c r="I3116">
        <v>219.16120000000001</v>
      </c>
      <c r="J3116">
        <v>-296.85599999999999</v>
      </c>
      <c r="K3116">
        <v>1.1209709999999999</v>
      </c>
      <c r="L3116">
        <v>214.3681</v>
      </c>
      <c r="M3116">
        <v>0.99986359999999996</v>
      </c>
      <c r="N3116">
        <v>-1.465672E-2</v>
      </c>
      <c r="O3116">
        <v>7.6289610000000001E-3</v>
      </c>
      <c r="P3116">
        <v>0.97413720000000004</v>
      </c>
      <c r="Q3116">
        <v>0.21975539999999999</v>
      </c>
      <c r="R3116">
        <v>-5.2580389999999998E-2</v>
      </c>
      <c r="S3116">
        <v>3.0930179999999998</v>
      </c>
      <c r="T3116">
        <v>-3.113461E-2</v>
      </c>
      <c r="U3116">
        <v>0.13327030000000001</v>
      </c>
      <c r="V3116">
        <v>6.002706E-2</v>
      </c>
      <c r="W3116">
        <v>0.23399890000000001</v>
      </c>
      <c r="X3116">
        <v>0.97038199999999997</v>
      </c>
      <c r="Y3116">
        <v>-3.5419239999999998E-2</v>
      </c>
      <c r="Z3116">
        <v>4.7291869999999998E-4</v>
      </c>
      <c r="AA3116">
        <v>0.99937240000000005</v>
      </c>
      <c r="AB3116">
        <v>46</v>
      </c>
      <c r="AC3116">
        <v>110.6957</v>
      </c>
      <c r="AD3116">
        <v>-1.1209680988470001</v>
      </c>
      <c r="AE3116">
        <v>4.7931000000000097</v>
      </c>
      <c r="AF3116">
        <v>-3.9479725907221201</v>
      </c>
      <c r="AG3116">
        <v>-1.1209680988470001</v>
      </c>
      <c r="AH3116">
        <v>110.717715679848</v>
      </c>
      <c r="AI3116">
        <v>90.579706304101705</v>
      </c>
      <c r="AJ3116">
        <v>92.042187804048694</v>
      </c>
      <c r="AK3116">
        <v>110.793752632625</v>
      </c>
      <c r="AL3116">
        <v>76.467381005986397</v>
      </c>
      <c r="AM3116">
        <v>86.460239013870094</v>
      </c>
      <c r="AN3116">
        <v>0.99999997952872599</v>
      </c>
    </row>
    <row r="3117" spans="1:40" x14ac:dyDescent="0.25">
      <c r="A3117" t="str">
        <f>"20190303170559453"</f>
        <v>20190303170559453</v>
      </c>
      <c r="B3117" t="str">
        <f>"1551603959448248"</f>
        <v>1551603959448248</v>
      </c>
      <c r="C3117" t="s">
        <v>40</v>
      </c>
      <c r="D3117">
        <v>5.5849129999999896</v>
      </c>
      <c r="E3117">
        <v>0.46886290000000003</v>
      </c>
      <c r="F3117" t="s">
        <v>43</v>
      </c>
      <c r="G3117">
        <v>-158.25299999999999</v>
      </c>
      <c r="H3117">
        <v>-0.05</v>
      </c>
      <c r="I3117">
        <v>220.48259999999999</v>
      </c>
      <c r="J3117">
        <v>-296.39670000000001</v>
      </c>
      <c r="K3117">
        <v>1.1209739999999999</v>
      </c>
      <c r="L3117">
        <v>214.3716</v>
      </c>
      <c r="M3117">
        <v>0.99986359999999996</v>
      </c>
      <c r="N3117">
        <v>-1.465381E-2</v>
      </c>
      <c r="O3117">
        <v>7.6199229999999998E-3</v>
      </c>
      <c r="P3117">
        <v>0.97415649999999998</v>
      </c>
      <c r="Q3117">
        <v>0.2198357</v>
      </c>
      <c r="R3117">
        <v>-5.1876940000000003E-2</v>
      </c>
      <c r="S3117">
        <v>3.0928960000000001</v>
      </c>
      <c r="T3117">
        <v>-2.6129960000000001E-2</v>
      </c>
      <c r="U3117">
        <v>0.13644410000000001</v>
      </c>
      <c r="V3117">
        <v>5.9315069999999998E-2</v>
      </c>
      <c r="W3117">
        <v>0.23407720000000001</v>
      </c>
      <c r="X3117">
        <v>0.97040689999999996</v>
      </c>
      <c r="Y3117">
        <v>-3.6454439999999998E-2</v>
      </c>
      <c r="Z3117">
        <v>4.6844729999999998E-4</v>
      </c>
      <c r="AA3117">
        <v>0.99933519999999998</v>
      </c>
      <c r="AB3117">
        <v>46</v>
      </c>
      <c r="AC3117">
        <v>138.1437</v>
      </c>
      <c r="AD3117">
        <v>-1.170974</v>
      </c>
      <c r="AE3117">
        <v>6.11099999999999</v>
      </c>
      <c r="AF3117">
        <v>-5.0577024702224698</v>
      </c>
      <c r="AG3117">
        <v>-1.170974</v>
      </c>
      <c r="AH3117">
        <v>138.17635018754601</v>
      </c>
      <c r="AI3117">
        <v>90.485215925637306</v>
      </c>
      <c r="AJ3117">
        <v>92.096275458069897</v>
      </c>
      <c r="AK3117">
        <v>138.273841653212</v>
      </c>
      <c r="AL3117">
        <v>76.462766630880097</v>
      </c>
      <c r="AM3117">
        <v>86.502209315584395</v>
      </c>
      <c r="AN3117">
        <v>0.99999998232827703</v>
      </c>
    </row>
    <row r="3118" spans="1:40" x14ac:dyDescent="0.25">
      <c r="A3118" t="str">
        <f>"20190303170559475"</f>
        <v>20190303170559475</v>
      </c>
      <c r="B3118" t="str">
        <f>"1551603959467767"</f>
        <v>1551603959467767</v>
      </c>
      <c r="C3118" t="s">
        <v>40</v>
      </c>
      <c r="D3118">
        <v>5.589054</v>
      </c>
      <c r="E3118">
        <v>0.46890959999999998</v>
      </c>
      <c r="F3118" t="s">
        <v>43</v>
      </c>
      <c r="G3118">
        <v>-156.20249999999999</v>
      </c>
      <c r="H3118">
        <v>-0.05</v>
      </c>
      <c r="I3118">
        <v>220.6035</v>
      </c>
      <c r="J3118">
        <v>-295.9196</v>
      </c>
      <c r="K3118">
        <v>1.120967</v>
      </c>
      <c r="L3118">
        <v>214.37520000000001</v>
      </c>
      <c r="M3118">
        <v>0.99986370000000002</v>
      </c>
      <c r="N3118">
        <v>-1.465078E-2</v>
      </c>
      <c r="O3118">
        <v>7.6105280000000001E-3</v>
      </c>
      <c r="P3118">
        <v>0.97432439999999998</v>
      </c>
      <c r="Q3118">
        <v>0.21930050000000001</v>
      </c>
      <c r="R3118">
        <v>-5.0983609999999999E-2</v>
      </c>
      <c r="S3118">
        <v>3.0927730000000002</v>
      </c>
      <c r="T3118">
        <v>-2.583241E-2</v>
      </c>
      <c r="U3118">
        <v>0.13748170000000001</v>
      </c>
      <c r="V3118">
        <v>5.841383E-2</v>
      </c>
      <c r="W3118">
        <v>0.23354169999999999</v>
      </c>
      <c r="X3118">
        <v>0.97059059999999997</v>
      </c>
      <c r="Y3118">
        <v>-3.680021E-2</v>
      </c>
      <c r="Z3118">
        <v>4.712715E-4</v>
      </c>
      <c r="AA3118">
        <v>0.9993225</v>
      </c>
      <c r="AB3118">
        <v>46</v>
      </c>
      <c r="AC3118">
        <v>139.71709999999999</v>
      </c>
      <c r="AD3118">
        <v>-1.1709670000000001</v>
      </c>
      <c r="AE3118">
        <v>6.2282999999999902</v>
      </c>
      <c r="AF3118">
        <v>-5.1643225124022596</v>
      </c>
      <c r="AG3118">
        <v>-1.1709670000000001</v>
      </c>
      <c r="AH3118">
        <v>139.750661848855</v>
      </c>
      <c r="AI3118">
        <v>90.479741109111501</v>
      </c>
      <c r="AJ3118">
        <v>92.116335628436502</v>
      </c>
      <c r="AK3118">
        <v>139.850952366869</v>
      </c>
      <c r="AL3118">
        <v>76.494323532168295</v>
      </c>
      <c r="AM3118">
        <v>86.555876596658905</v>
      </c>
      <c r="AN3118">
        <v>1.00000000699125</v>
      </c>
    </row>
    <row r="3119" spans="1:40" x14ac:dyDescent="0.25">
      <c r="A3119" t="str">
        <f>"20190303170559498"</f>
        <v>20190303170559498</v>
      </c>
      <c r="B3119" t="str">
        <f>"1551603959488264"</f>
        <v>1551603959488264</v>
      </c>
      <c r="C3119" t="s">
        <v>40</v>
      </c>
      <c r="D3119">
        <v>5.524661</v>
      </c>
      <c r="E3119">
        <v>0.46891939999999999</v>
      </c>
      <c r="F3119" t="s">
        <v>52</v>
      </c>
      <c r="G3119">
        <v>-179.9324</v>
      </c>
      <c r="H3119">
        <v>7.5280540000000007E-2</v>
      </c>
      <c r="I3119">
        <v>219.5949</v>
      </c>
      <c r="J3119">
        <v>-295.4658</v>
      </c>
      <c r="K3119">
        <v>1.12097</v>
      </c>
      <c r="L3119">
        <v>214.37860000000001</v>
      </c>
      <c r="M3119">
        <v>0.99986390000000003</v>
      </c>
      <c r="N3119">
        <v>-1.464789E-2</v>
      </c>
      <c r="O3119">
        <v>7.6011919999999997E-3</v>
      </c>
      <c r="P3119">
        <v>0.97455890000000001</v>
      </c>
      <c r="Q3119">
        <v>0.21842610000000001</v>
      </c>
      <c r="R3119">
        <v>-5.025379E-2</v>
      </c>
      <c r="S3119">
        <v>3.0926209999999998</v>
      </c>
      <c r="T3119">
        <v>-2.7881619999999999E-2</v>
      </c>
      <c r="U3119">
        <v>0.13917539999999901</v>
      </c>
      <c r="V3119">
        <v>5.7676470000000001E-2</v>
      </c>
      <c r="W3119">
        <v>0.23266809999999999</v>
      </c>
      <c r="X3119">
        <v>0.97084440000000005</v>
      </c>
      <c r="Y3119">
        <v>-3.7357439999999999E-2</v>
      </c>
      <c r="Z3119">
        <v>4.8489019999999999E-4</v>
      </c>
      <c r="AA3119">
        <v>0.99930189999999997</v>
      </c>
      <c r="AB3119">
        <v>46</v>
      </c>
      <c r="AC3119">
        <v>115.5334</v>
      </c>
      <c r="AD3119">
        <v>-1.04568946</v>
      </c>
      <c r="AE3119">
        <v>5.2162999999999897</v>
      </c>
      <c r="AF3119">
        <v>-4.3375089507356899</v>
      </c>
      <c r="AG3119">
        <v>-1.04568946</v>
      </c>
      <c r="AH3119">
        <v>115.560268486246</v>
      </c>
      <c r="AI3119">
        <v>90.518082917131807</v>
      </c>
      <c r="AJ3119">
        <v>92.149565321995993</v>
      </c>
      <c r="AK3119">
        <v>115.64637090266901</v>
      </c>
      <c r="AL3119">
        <v>76.545794092024494</v>
      </c>
      <c r="AM3119">
        <v>86.600136157695999</v>
      </c>
      <c r="AN3119">
        <v>0.99999993448031299</v>
      </c>
    </row>
    <row r="3120" spans="1:40" x14ac:dyDescent="0.25">
      <c r="A3120" t="str">
        <f>"20190303170559519"</f>
        <v>20190303170559519</v>
      </c>
      <c r="B3120" t="str">
        <f>"1551603959507784"</f>
        <v>1551603959507784</v>
      </c>
      <c r="C3120" t="s">
        <v>40</v>
      </c>
      <c r="D3120">
        <v>5.558853</v>
      </c>
      <c r="E3120">
        <v>0.4690203</v>
      </c>
      <c r="F3120" t="s">
        <v>52</v>
      </c>
      <c r="G3120">
        <v>-182.1567</v>
      </c>
      <c r="H3120" s="1">
        <v>2.1562490000000001E-6</v>
      </c>
      <c r="I3120">
        <v>219.55860000000001</v>
      </c>
      <c r="J3120">
        <v>-295.03769999999997</v>
      </c>
      <c r="K3120">
        <v>1.1209720000000001</v>
      </c>
      <c r="L3120">
        <v>214.3819</v>
      </c>
      <c r="M3120">
        <v>0.99986399999999998</v>
      </c>
      <c r="N3120">
        <v>-1.4645160000000001E-2</v>
      </c>
      <c r="O3120">
        <v>7.5924529999999999E-3</v>
      </c>
      <c r="P3120">
        <v>0.97444430000000004</v>
      </c>
      <c r="Q3120">
        <v>0.2189883</v>
      </c>
      <c r="R3120">
        <v>-5.0025640000000003E-2</v>
      </c>
      <c r="S3120">
        <v>3.092438</v>
      </c>
      <c r="T3120">
        <v>-3.0593510000000001E-2</v>
      </c>
      <c r="U3120">
        <v>0.14137269999999999</v>
      </c>
      <c r="V3120">
        <v>5.7439110000000002E-2</v>
      </c>
      <c r="W3120">
        <v>0.23322599999999999</v>
      </c>
      <c r="X3120">
        <v>0.9707247</v>
      </c>
      <c r="Y3120">
        <v>-3.8076730000000003E-2</v>
      </c>
      <c r="Z3120">
        <v>5.0332129999999895E-4</v>
      </c>
      <c r="AA3120">
        <v>0.99927469999999996</v>
      </c>
      <c r="AB3120">
        <v>46</v>
      </c>
      <c r="AC3120">
        <v>112.88099999999901</v>
      </c>
      <c r="AD3120">
        <v>-1.1209698437509901</v>
      </c>
      <c r="AE3120">
        <v>5.1767000000000101</v>
      </c>
      <c r="AF3120">
        <v>-4.31899018349492</v>
      </c>
      <c r="AG3120">
        <v>-1.1209698437509901</v>
      </c>
      <c r="AH3120">
        <v>112.905942854344</v>
      </c>
      <c r="AI3120">
        <v>90.568418225146402</v>
      </c>
      <c r="AJ3120">
        <v>92.190666911713706</v>
      </c>
      <c r="AK3120">
        <v>112.99408029372201</v>
      </c>
      <c r="AL3120">
        <v>76.5129258364842</v>
      </c>
      <c r="AM3120">
        <v>86.613678691175707</v>
      </c>
      <c r="AN3120">
        <v>1.00000003081184</v>
      </c>
    </row>
    <row r="3121" spans="1:40" x14ac:dyDescent="0.25">
      <c r="A3121" t="str">
        <f>"20190303170559541"</f>
        <v>20190303170559541</v>
      </c>
      <c r="B3121" t="str">
        <f>"1551603959528280"</f>
        <v>1551603959528280</v>
      </c>
      <c r="C3121" t="s">
        <v>40</v>
      </c>
      <c r="D3121">
        <v>5.6050969999999998</v>
      </c>
      <c r="E3121">
        <v>0.46906900000000001</v>
      </c>
      <c r="F3121" t="s">
        <v>52</v>
      </c>
      <c r="G3121">
        <v>-179.95779999999999</v>
      </c>
      <c r="H3121">
        <v>4.7815660000000003E-2</v>
      </c>
      <c r="I3121">
        <v>219.62639999999999</v>
      </c>
      <c r="J3121">
        <v>-294.57040000000001</v>
      </c>
      <c r="K3121">
        <v>1.1209769999999999</v>
      </c>
      <c r="L3121">
        <v>214.3854</v>
      </c>
      <c r="M3121">
        <v>0.99986399999999998</v>
      </c>
      <c r="N3121">
        <v>-1.4642209999999999E-2</v>
      </c>
      <c r="O3121">
        <v>7.5830589999999996E-3</v>
      </c>
      <c r="P3121">
        <v>0.97429940000000004</v>
      </c>
      <c r="Q3121">
        <v>0.2196795</v>
      </c>
      <c r="R3121">
        <v>-4.9817409999999999E-2</v>
      </c>
      <c r="S3121">
        <v>3.0924070000000001</v>
      </c>
      <c r="T3121">
        <v>-2.8837680000000001E-2</v>
      </c>
      <c r="U3121">
        <v>0.14093020000000001</v>
      </c>
      <c r="V3121">
        <v>5.7220630000000001E-2</v>
      </c>
      <c r="W3121">
        <v>0.23391210000000001</v>
      </c>
      <c r="X3121">
        <v>0.97057249999999995</v>
      </c>
      <c r="Y3121">
        <v>-3.7944279999999997E-2</v>
      </c>
      <c r="Z3121">
        <v>4.9510949999999896E-4</v>
      </c>
      <c r="AA3121">
        <v>0.99927969999999999</v>
      </c>
      <c r="AB3121">
        <v>46</v>
      </c>
      <c r="AC3121">
        <v>114.6126</v>
      </c>
      <c r="AD3121">
        <v>-1.07316134</v>
      </c>
      <c r="AE3121">
        <v>5.2409999999999801</v>
      </c>
      <c r="AF3121">
        <v>-4.3712595120425304</v>
      </c>
      <c r="AG3121">
        <v>-1.07316134</v>
      </c>
      <c r="AH3121">
        <v>114.639021287517</v>
      </c>
      <c r="AI3121">
        <v>90.535953391614399</v>
      </c>
      <c r="AJ3121">
        <v>92.183666971582198</v>
      </c>
      <c r="AK3121">
        <v>114.72734977651599</v>
      </c>
      <c r="AL3121">
        <v>76.472496859714795</v>
      </c>
      <c r="AM3121">
        <v>86.626001582601006</v>
      </c>
      <c r="AN3121">
        <v>1.0000000243901199</v>
      </c>
    </row>
    <row r="3122" spans="1:40" x14ac:dyDescent="0.25">
      <c r="A3122" t="str">
        <f>"20190303170559566"</f>
        <v>20190303170559566</v>
      </c>
      <c r="B3122" t="str">
        <f>"1551603959558536"</f>
        <v>1551603959558536</v>
      </c>
      <c r="C3122" t="s">
        <v>40</v>
      </c>
      <c r="D3122">
        <v>5.5991280000000003</v>
      </c>
      <c r="E3122">
        <v>0.46924270000000001</v>
      </c>
      <c r="F3122" t="s">
        <v>52</v>
      </c>
      <c r="G3122">
        <v>-175.35419999999999</v>
      </c>
      <c r="H3122">
        <v>7.9999860000000006E-2</v>
      </c>
      <c r="I3122">
        <v>219.8184</v>
      </c>
      <c r="J3122">
        <v>-294.10219999999998</v>
      </c>
      <c r="K3122">
        <v>1.120978</v>
      </c>
      <c r="L3122">
        <v>214.38900000000001</v>
      </c>
      <c r="M3122">
        <v>0.99986430000000004</v>
      </c>
      <c r="N3122">
        <v>-1.463924E-2</v>
      </c>
      <c r="O3122">
        <v>7.5736619999999897E-3</v>
      </c>
      <c r="P3122">
        <v>0.97430079999999997</v>
      </c>
      <c r="Q3122">
        <v>0.2197095</v>
      </c>
      <c r="R3122">
        <v>-4.9657489999999999E-2</v>
      </c>
      <c r="S3122">
        <v>3.0924680000000002</v>
      </c>
      <c r="T3122">
        <v>-2.7002930000000001E-2</v>
      </c>
      <c r="U3122">
        <v>0.14093020000000001</v>
      </c>
      <c r="V3122">
        <v>5.705172E-2</v>
      </c>
      <c r="W3122">
        <v>0.23393949999999999</v>
      </c>
      <c r="X3122">
        <v>0.97057579999999999</v>
      </c>
      <c r="Y3122">
        <v>-3.795316E-2</v>
      </c>
      <c r="Z3122">
        <v>4.8832189999999998E-4</v>
      </c>
      <c r="AA3122">
        <v>0.99927940000000004</v>
      </c>
      <c r="AB3122">
        <v>46</v>
      </c>
      <c r="AC3122">
        <v>118.748</v>
      </c>
      <c r="AD3122">
        <v>-1.04097814</v>
      </c>
      <c r="AE3122">
        <v>5.4293999999999798</v>
      </c>
      <c r="AF3122">
        <v>-4.5294434259175</v>
      </c>
      <c r="AG3122">
        <v>-1.04097814</v>
      </c>
      <c r="AH3122">
        <v>118.776609687738</v>
      </c>
      <c r="AI3122">
        <v>90.501772280103197</v>
      </c>
      <c r="AJ3122">
        <v>92.1838668748738</v>
      </c>
      <c r="AK3122">
        <v>118.867499772435</v>
      </c>
      <c r="AL3122">
        <v>76.470881624988905</v>
      </c>
      <c r="AM3122">
        <v>86.635949817518394</v>
      </c>
      <c r="AN3122">
        <v>0.99999998598042406</v>
      </c>
    </row>
    <row r="3123" spans="1:40" x14ac:dyDescent="0.25">
      <c r="A3123" t="str">
        <f>"20190303170559586"</f>
        <v>20190303170559586</v>
      </c>
      <c r="B3123" t="str">
        <f>"1551603959578056"</f>
        <v>1551603959578056</v>
      </c>
      <c r="C3123" t="s">
        <v>40</v>
      </c>
      <c r="D3123">
        <v>5.6971540000000003</v>
      </c>
      <c r="E3123">
        <v>0.46926319999999999</v>
      </c>
      <c r="F3123" t="s">
        <v>43</v>
      </c>
      <c r="G3123">
        <v>-158.405</v>
      </c>
      <c r="H3123">
        <v>-0.05</v>
      </c>
      <c r="I3123">
        <v>220.52979999999999</v>
      </c>
      <c r="J3123">
        <v>-293.6585</v>
      </c>
      <c r="K3123">
        <v>1.120976</v>
      </c>
      <c r="L3123">
        <v>214.39230000000001</v>
      </c>
      <c r="M3123">
        <v>0.99986450000000004</v>
      </c>
      <c r="N3123">
        <v>-1.4636420000000001E-2</v>
      </c>
      <c r="O3123">
        <v>7.5645059999999899E-3</v>
      </c>
      <c r="P3123">
        <v>0.97444629999999999</v>
      </c>
      <c r="Q3123">
        <v>0.21895029999999999</v>
      </c>
      <c r="R3123">
        <v>-5.0154129999999998E-2</v>
      </c>
      <c r="S3123">
        <v>3.0923159999999998</v>
      </c>
      <c r="T3123">
        <v>-2.6684639999999999E-2</v>
      </c>
      <c r="U3123">
        <v>0.13993839999999999</v>
      </c>
      <c r="V3123">
        <v>5.7540349999999997E-2</v>
      </c>
      <c r="W3123">
        <v>0.2331791</v>
      </c>
      <c r="X3123">
        <v>0.97072990000000003</v>
      </c>
      <c r="Y3123">
        <v>-3.7644799999999999E-2</v>
      </c>
      <c r="Z3123">
        <v>4.834355E-4</v>
      </c>
      <c r="AA3123">
        <v>0.99929109999999999</v>
      </c>
      <c r="AB3123">
        <v>45</v>
      </c>
      <c r="AC3123">
        <v>135.2535</v>
      </c>
      <c r="AD3123">
        <v>-1.170976</v>
      </c>
      <c r="AE3123">
        <v>6.1374999999999797</v>
      </c>
      <c r="AF3123">
        <v>-5.11370657046362</v>
      </c>
      <c r="AG3123">
        <v>-1.170976</v>
      </c>
      <c r="AH3123">
        <v>135.28594203276199</v>
      </c>
      <c r="AI3123">
        <v>90.4955609669328</v>
      </c>
      <c r="AJ3123">
        <v>92.164706677856699</v>
      </c>
      <c r="AK3123">
        <v>135.38761867827199</v>
      </c>
      <c r="AL3123">
        <v>76.515688249246395</v>
      </c>
      <c r="AM3123">
        <v>86.607742144984599</v>
      </c>
      <c r="AN3123">
        <v>0.99999996165447003</v>
      </c>
    </row>
    <row r="3124" spans="1:40" x14ac:dyDescent="0.25">
      <c r="A3124" t="str">
        <f>"20190303170559608"</f>
        <v>20190303170559608</v>
      </c>
      <c r="B3124" t="str">
        <f>"1551603959597642"</f>
        <v>1551603959597642</v>
      </c>
      <c r="C3124" t="s">
        <v>40</v>
      </c>
      <c r="D3124">
        <v>5.5737220000000001</v>
      </c>
      <c r="E3124">
        <v>0.49941180000000002</v>
      </c>
      <c r="F3124" t="s">
        <v>52</v>
      </c>
      <c r="G3124">
        <v>-179.95769999999999</v>
      </c>
      <c r="H3124">
        <v>3.8260669999999997E-2</v>
      </c>
      <c r="I3124">
        <v>219.4786</v>
      </c>
      <c r="J3124">
        <v>-293.22129999999999</v>
      </c>
      <c r="K3124">
        <v>1.1209690000000001</v>
      </c>
      <c r="L3124">
        <v>214.3956</v>
      </c>
      <c r="M3124">
        <v>0.99986450000000004</v>
      </c>
      <c r="N3124">
        <v>-1.463366E-2</v>
      </c>
      <c r="O3124">
        <v>7.5557640000000004E-3</v>
      </c>
      <c r="P3124">
        <v>0.97461410000000004</v>
      </c>
      <c r="Q3124">
        <v>0.21811030000000001</v>
      </c>
      <c r="R3124">
        <v>-5.0552600000000003E-2</v>
      </c>
      <c r="S3124">
        <v>3.0924070000000001</v>
      </c>
      <c r="T3124">
        <v>-2.9447439999999998E-2</v>
      </c>
      <c r="U3124">
        <v>0.13833619999999999</v>
      </c>
      <c r="V3124">
        <v>5.79316E-2</v>
      </c>
      <c r="W3124">
        <v>0.23233889999999999</v>
      </c>
      <c r="X3124">
        <v>0.97090810000000005</v>
      </c>
      <c r="Y3124">
        <v>-3.713499E-2</v>
      </c>
      <c r="Z3124">
        <v>4.872101E-4</v>
      </c>
      <c r="AA3124">
        <v>0.99931009999999998</v>
      </c>
      <c r="AB3124">
        <v>45</v>
      </c>
      <c r="AC3124">
        <v>113.2636</v>
      </c>
      <c r="AD3124">
        <v>-1.08270833</v>
      </c>
      <c r="AE3124">
        <v>5.0829999999999904</v>
      </c>
      <c r="AF3124">
        <v>-4.2265848628856997</v>
      </c>
      <c r="AG3124">
        <v>-1.08270833</v>
      </c>
      <c r="AH3124">
        <v>113.288444955221</v>
      </c>
      <c r="AI3124">
        <v>90.547183829229994</v>
      </c>
      <c r="AJ3124">
        <v>92.136609885905202</v>
      </c>
      <c r="AK3124">
        <v>113.37243067564199</v>
      </c>
      <c r="AL3124">
        <v>76.5651880392968</v>
      </c>
      <c r="AM3124">
        <v>86.585355996585093</v>
      </c>
      <c r="AN3124">
        <v>0.99999998668868995</v>
      </c>
    </row>
    <row r="3125" spans="1:40" x14ac:dyDescent="0.25">
      <c r="A3125" t="str">
        <f>"20190303170559630"</f>
        <v>20190303170559630</v>
      </c>
      <c r="B3125" t="str">
        <f>"1551603959618138"</f>
        <v>1551603959618138</v>
      </c>
      <c r="C3125" t="s">
        <v>40</v>
      </c>
      <c r="D3125">
        <v>5.6065469999999999</v>
      </c>
      <c r="E3125">
        <v>0.50288350000000004</v>
      </c>
      <c r="F3125" t="s">
        <v>60</v>
      </c>
      <c r="G3125">
        <v>-265.37130000000002</v>
      </c>
      <c r="H3125" s="1">
        <v>1.369761E-6</v>
      </c>
      <c r="I3125">
        <v>213.51349999999999</v>
      </c>
      <c r="J3125">
        <v>-292.76409999999998</v>
      </c>
      <c r="K3125">
        <v>1.1209690000000001</v>
      </c>
      <c r="L3125">
        <v>214.3991</v>
      </c>
      <c r="M3125">
        <v>0.99986450000000004</v>
      </c>
      <c r="N3125">
        <v>-1.463073E-2</v>
      </c>
      <c r="O3125">
        <v>7.5470229999999999E-3</v>
      </c>
      <c r="P3125">
        <v>0.97470500000000004</v>
      </c>
      <c r="Q3125">
        <v>0.21774389999999999</v>
      </c>
      <c r="R3125">
        <v>-5.0378520000000003E-2</v>
      </c>
      <c r="S3125">
        <v>3.1009829999999998</v>
      </c>
      <c r="T3125">
        <v>-0.124815</v>
      </c>
      <c r="U3125">
        <v>-9.8220829999999995E-2</v>
      </c>
      <c r="V3125">
        <v>5.774961E-2</v>
      </c>
      <c r="W3125">
        <v>0.23197100000000001</v>
      </c>
      <c r="X3125">
        <v>0.97100690000000001</v>
      </c>
      <c r="Y3125">
        <v>3.915569E-2</v>
      </c>
      <c r="Z3125">
        <v>-1.2673889999999901E-3</v>
      </c>
      <c r="AA3125">
        <v>0.99923229999999996</v>
      </c>
      <c r="AB3125">
        <v>45</v>
      </c>
      <c r="AC3125">
        <v>27.392799999999902</v>
      </c>
      <c r="AD3125">
        <v>-1.1209676302389999</v>
      </c>
      <c r="AE3125">
        <v>-0.88560000000001005</v>
      </c>
      <c r="AF3125">
        <v>1.0905067265644499</v>
      </c>
      <c r="AG3125">
        <v>-1.1209676302389999</v>
      </c>
      <c r="AH3125">
        <v>27.339600025896001</v>
      </c>
      <c r="AI3125">
        <v>92.346040653161097</v>
      </c>
      <c r="AJ3125">
        <v>87.715828748598298</v>
      </c>
      <c r="AK3125">
        <v>27.384292996619401</v>
      </c>
      <c r="AL3125">
        <v>76.586859163134704</v>
      </c>
      <c r="AM3125">
        <v>86.596403249991894</v>
      </c>
      <c r="AN3125">
        <v>0.99999998107188004</v>
      </c>
    </row>
    <row r="3126" spans="1:40" x14ac:dyDescent="0.25">
      <c r="A3126" t="str">
        <f>"20190303170559654"</f>
        <v>20190303170559654</v>
      </c>
      <c r="B3126" t="str">
        <f>"1551603959648395"</f>
        <v>1551603959648395</v>
      </c>
      <c r="C3126" t="s">
        <v>40</v>
      </c>
      <c r="D3126">
        <v>5.5832199999999998</v>
      </c>
      <c r="E3126">
        <v>0.50568409999999997</v>
      </c>
      <c r="F3126" t="s">
        <v>60</v>
      </c>
      <c r="G3126">
        <v>-256.83890000000002</v>
      </c>
      <c r="H3126" s="1">
        <v>2.1769409999999999E-6</v>
      </c>
      <c r="I3126">
        <v>212.91419999999999</v>
      </c>
      <c r="J3126">
        <v>-292.30160000000001</v>
      </c>
      <c r="K3126">
        <v>1.1209709999999999</v>
      </c>
      <c r="L3126">
        <v>214.40260000000001</v>
      </c>
      <c r="M3126">
        <v>0.9998648</v>
      </c>
      <c r="N3126">
        <v>-1.462777E-2</v>
      </c>
      <c r="O3126">
        <v>7.5376879999999999E-3</v>
      </c>
      <c r="P3126">
        <v>0.97460279999999999</v>
      </c>
      <c r="Q3126">
        <v>0.21824279999999999</v>
      </c>
      <c r="R3126">
        <v>-5.0200259999999997E-2</v>
      </c>
      <c r="S3126">
        <v>3.0928040000000001</v>
      </c>
      <c r="T3126">
        <v>-9.6504210000000007E-2</v>
      </c>
      <c r="U3126">
        <v>-0.12783810000000001</v>
      </c>
      <c r="V3126">
        <v>5.7561399999999999E-2</v>
      </c>
      <c r="W3126">
        <v>0.2324659</v>
      </c>
      <c r="X3126">
        <v>0.97089979999999998</v>
      </c>
      <c r="Y3126">
        <v>4.879381E-2</v>
      </c>
      <c r="Z3126">
        <v>-1.2427600000000001E-3</v>
      </c>
      <c r="AA3126">
        <v>0.99880809999999998</v>
      </c>
      <c r="AB3126">
        <v>45</v>
      </c>
      <c r="AC3126">
        <v>35.462699999999899</v>
      </c>
      <c r="AD3126">
        <v>-1.120968823059</v>
      </c>
      <c r="AE3126">
        <v>-1.4884000000000099</v>
      </c>
      <c r="AF3126">
        <v>1.7539436012271099</v>
      </c>
      <c r="AG3126">
        <v>-1.120968823059</v>
      </c>
      <c r="AH3126">
        <v>35.4151481783069</v>
      </c>
      <c r="AI3126">
        <v>91.810716796883199</v>
      </c>
      <c r="AJ3126">
        <v>87.164729504536794</v>
      </c>
      <c r="AK3126">
        <v>35.476268261332002</v>
      </c>
      <c r="AL3126">
        <v>76.557707711965406</v>
      </c>
      <c r="AM3126">
        <v>86.607096502398505</v>
      </c>
      <c r="AN3126">
        <v>1.0000000655364001</v>
      </c>
    </row>
    <row r="3127" spans="1:40" x14ac:dyDescent="0.25">
      <c r="A3127" t="str">
        <f>"20190303170559675"</f>
        <v>20190303170559675</v>
      </c>
      <c r="B3127" t="str">
        <f>"1551603959667914"</f>
        <v>1551603959667914</v>
      </c>
      <c r="C3127" t="s">
        <v>40</v>
      </c>
      <c r="D3127">
        <v>5.5992369999999996</v>
      </c>
      <c r="E3127">
        <v>0.50632049999999995</v>
      </c>
      <c r="F3127" t="s">
        <v>60</v>
      </c>
      <c r="G3127">
        <v>-257.30450000000002</v>
      </c>
      <c r="H3127" s="1">
        <v>2.433751E-6</v>
      </c>
      <c r="I3127">
        <v>212.70779999999999</v>
      </c>
      <c r="J3127">
        <v>-291.85789999999997</v>
      </c>
      <c r="K3127">
        <v>1.1209709999999999</v>
      </c>
      <c r="L3127">
        <v>214.4059</v>
      </c>
      <c r="M3127">
        <v>0.99986470000000005</v>
      </c>
      <c r="N3127">
        <v>-1.4624939999999999E-2</v>
      </c>
      <c r="O3127">
        <v>7.5287690000000003E-3</v>
      </c>
      <c r="P3127">
        <v>0.97448829999999997</v>
      </c>
      <c r="Q3127">
        <v>0.21881709999999999</v>
      </c>
      <c r="R3127">
        <v>-4.9917839999999998E-2</v>
      </c>
      <c r="S3127">
        <v>3.092651</v>
      </c>
      <c r="T3127">
        <v>-9.9058869999999993E-2</v>
      </c>
      <c r="U3127">
        <v>-0.14976500000000001</v>
      </c>
      <c r="V3127">
        <v>5.7269599999999997E-2</v>
      </c>
      <c r="W3127">
        <v>0.23303589999999999</v>
      </c>
      <c r="X3127">
        <v>0.97078039999999999</v>
      </c>
      <c r="Y3127">
        <v>5.5846010000000001E-2</v>
      </c>
      <c r="Z3127">
        <v>-1.4333449999999999E-3</v>
      </c>
      <c r="AA3127">
        <v>0.99843839999999995</v>
      </c>
      <c r="AB3127">
        <v>45</v>
      </c>
      <c r="AC3127">
        <v>34.553399999999897</v>
      </c>
      <c r="AD3127">
        <v>-1.1209685662490001</v>
      </c>
      <c r="AE3127">
        <v>-1.6981000000000099</v>
      </c>
      <c r="AF3127">
        <v>1.9561704271003899</v>
      </c>
      <c r="AG3127">
        <v>-1.1209685662490001</v>
      </c>
      <c r="AH3127">
        <v>34.503408581654398</v>
      </c>
      <c r="AI3127">
        <v>91.857825682023204</v>
      </c>
      <c r="AJ3127">
        <v>86.755090069280996</v>
      </c>
      <c r="AK3127">
        <v>34.576992018088603</v>
      </c>
      <c r="AL3127">
        <v>76.5241268111469</v>
      </c>
      <c r="AM3127">
        <v>86.623842270883003</v>
      </c>
      <c r="AN3127">
        <v>1.00000006139856</v>
      </c>
    </row>
    <row r="3128" spans="1:40" x14ac:dyDescent="0.25">
      <c r="A3128" t="str">
        <f>"20190303170559698"</f>
        <v>20190303170559698</v>
      </c>
      <c r="B3128" t="str">
        <f>"1551603959688411"</f>
        <v>1551603959688411</v>
      </c>
      <c r="C3128" t="s">
        <v>40</v>
      </c>
      <c r="D3128">
        <v>5.5924559999999897</v>
      </c>
      <c r="E3128">
        <v>0.50702590000000003</v>
      </c>
      <c r="F3128" t="s">
        <v>60</v>
      </c>
      <c r="G3128">
        <v>-256.68380000000002</v>
      </c>
      <c r="H3128" s="1">
        <v>2.1058849999999998E-6</v>
      </c>
      <c r="I3128">
        <v>212.65129999999999</v>
      </c>
      <c r="J3128">
        <v>-291.41329999999999</v>
      </c>
      <c r="K3128">
        <v>1.1209709999999999</v>
      </c>
      <c r="L3128">
        <v>214.4093</v>
      </c>
      <c r="M3128">
        <v>0.99986489999999995</v>
      </c>
      <c r="N3128">
        <v>-1.4622110000000001E-2</v>
      </c>
      <c r="O3128">
        <v>7.519909E-3</v>
      </c>
      <c r="P3128">
        <v>0.97460519999999995</v>
      </c>
      <c r="Q3128">
        <v>0.21837390000000001</v>
      </c>
      <c r="R3128">
        <v>-4.9576160000000001E-2</v>
      </c>
      <c r="S3128">
        <v>3.0927120000000001</v>
      </c>
      <c r="T3128">
        <v>-9.8561999999999997E-2</v>
      </c>
      <c r="U3128">
        <v>-0.15428159999999999</v>
      </c>
      <c r="V3128">
        <v>5.69203E-2</v>
      </c>
      <c r="W3128">
        <v>0.23259160000000001</v>
      </c>
      <c r="X3128">
        <v>0.97090739999999998</v>
      </c>
      <c r="Y3128">
        <v>5.7290069999999998E-2</v>
      </c>
      <c r="Z3128">
        <v>-1.460959E-3</v>
      </c>
      <c r="AA3128">
        <v>0.99835649999999998</v>
      </c>
      <c r="AB3128">
        <v>45</v>
      </c>
      <c r="AC3128">
        <v>34.729499999999902</v>
      </c>
      <c r="AD3128">
        <v>-1.120968894115</v>
      </c>
      <c r="AE3128">
        <v>-1.758</v>
      </c>
      <c r="AF3128">
        <v>2.0170448484163201</v>
      </c>
      <c r="AG3128">
        <v>-1.120968894115</v>
      </c>
      <c r="AH3128">
        <v>34.679259416655597</v>
      </c>
      <c r="AI3128">
        <v>91.848256960871893</v>
      </c>
      <c r="AJ3128">
        <v>86.671263933533695</v>
      </c>
      <c r="AK3128">
        <v>34.755950208126897</v>
      </c>
      <c r="AL3128">
        <v>76.550301432201493</v>
      </c>
      <c r="AM3128">
        <v>86.644824936928899</v>
      </c>
      <c r="AN3128">
        <v>0.99999997615870395</v>
      </c>
    </row>
    <row r="3129" spans="1:40" x14ac:dyDescent="0.25">
      <c r="A3129" t="str">
        <f>"20190303170559719"</f>
        <v>20190303170559719</v>
      </c>
      <c r="B3129" t="str">
        <f>"1551603959707931"</f>
        <v>1551603959707931</v>
      </c>
      <c r="C3129" t="s">
        <v>40</v>
      </c>
      <c r="D3129">
        <v>5.608905</v>
      </c>
      <c r="E3129">
        <v>0.50731179999999998</v>
      </c>
      <c r="F3129" t="s">
        <v>60</v>
      </c>
      <c r="G3129">
        <v>-256.67790000000002</v>
      </c>
      <c r="H3129" s="1">
        <v>2.1036110000000002E-6</v>
      </c>
      <c r="I3129">
        <v>212.6318</v>
      </c>
      <c r="J3129">
        <v>-290.97160000000002</v>
      </c>
      <c r="K3129">
        <v>1.1209639999999901</v>
      </c>
      <c r="L3129">
        <v>214.4126</v>
      </c>
      <c r="M3129">
        <v>0.99986509999999995</v>
      </c>
      <c r="N3129">
        <v>-1.461934E-2</v>
      </c>
      <c r="O3129">
        <v>7.5110489999999997E-3</v>
      </c>
      <c r="P3129">
        <v>0.97485460000000002</v>
      </c>
      <c r="Q3129">
        <v>0.21742230000000001</v>
      </c>
      <c r="R3129">
        <v>-4.885159E-2</v>
      </c>
      <c r="S3129">
        <v>3.0924680000000002</v>
      </c>
      <c r="T3129">
        <v>-9.9799040000000006E-2</v>
      </c>
      <c r="U3129">
        <v>-0.1582489</v>
      </c>
      <c r="V3129">
        <v>5.6188729999999999E-2</v>
      </c>
      <c r="W3129">
        <v>0.23164119999999999</v>
      </c>
      <c r="X3129">
        <v>0.97117719999999996</v>
      </c>
      <c r="Y3129">
        <v>5.85607E-2</v>
      </c>
      <c r="Z3129">
        <v>-1.5050479999999999E-3</v>
      </c>
      <c r="AA3129">
        <v>0.99828269999999997</v>
      </c>
      <c r="AB3129">
        <v>45</v>
      </c>
      <c r="AC3129">
        <v>34.293700000000001</v>
      </c>
      <c r="AD3129">
        <v>-1.12096189638899</v>
      </c>
      <c r="AE3129">
        <v>-1.7807999999999899</v>
      </c>
      <c r="AF3129">
        <v>2.03618919122348</v>
      </c>
      <c r="AG3129">
        <v>-1.12096189638899</v>
      </c>
      <c r="AH3129">
        <v>34.242867022486301</v>
      </c>
      <c r="AI3129">
        <v>91.871640346977799</v>
      </c>
      <c r="AJ3129">
        <v>86.597018766172098</v>
      </c>
      <c r="AK3129">
        <v>34.321663186904203</v>
      </c>
      <c r="AL3129">
        <v>76.606284488641805</v>
      </c>
      <c r="AM3129">
        <v>86.688768895861998</v>
      </c>
      <c r="AN3129">
        <v>0.99999998635814602</v>
      </c>
    </row>
    <row r="3130" spans="1:40" x14ac:dyDescent="0.25">
      <c r="A3130" t="str">
        <f>"20190303170559743"</f>
        <v>20190303170559743</v>
      </c>
      <c r="B3130" t="str">
        <f>"1551603959738187"</f>
        <v>1551603959738187</v>
      </c>
      <c r="C3130" t="s">
        <v>40</v>
      </c>
      <c r="D3130">
        <v>5.5596899999999998</v>
      </c>
      <c r="E3130">
        <v>0.50778540000000005</v>
      </c>
      <c r="F3130" t="s">
        <v>60</v>
      </c>
      <c r="G3130">
        <v>-257.41120000000001</v>
      </c>
      <c r="H3130" s="1">
        <v>2.4911690000000002E-6</v>
      </c>
      <c r="I3130">
        <v>212.69220000000001</v>
      </c>
      <c r="J3130">
        <v>-290.4984</v>
      </c>
      <c r="K3130">
        <v>1.1209659999999999</v>
      </c>
      <c r="L3130">
        <v>214.4161</v>
      </c>
      <c r="M3130">
        <v>0.99986509999999995</v>
      </c>
      <c r="N3130">
        <v>-1.461631E-2</v>
      </c>
      <c r="O3130">
        <v>7.5012999999999998E-3</v>
      </c>
      <c r="P3130">
        <v>0.97483900000000001</v>
      </c>
      <c r="Q3130">
        <v>0.21762590000000001</v>
      </c>
      <c r="R3130">
        <v>-4.8252129999999997E-2</v>
      </c>
      <c r="S3130">
        <v>3.0924990000000001</v>
      </c>
      <c r="T3130">
        <v>-0.1032933</v>
      </c>
      <c r="U3130">
        <v>-0.15852359999999999</v>
      </c>
      <c r="V3130">
        <v>5.5579709999999997E-2</v>
      </c>
      <c r="W3130">
        <v>0.23184160000000001</v>
      </c>
      <c r="X3130">
        <v>0.97116440000000004</v>
      </c>
      <c r="Y3130">
        <v>5.8636029999999999E-2</v>
      </c>
      <c r="Z3130">
        <v>-1.5481150000000001E-3</v>
      </c>
      <c r="AA3130">
        <v>0.9982782</v>
      </c>
      <c r="AB3130">
        <v>45</v>
      </c>
      <c r="AC3130">
        <v>33.087200000000003</v>
      </c>
      <c r="AD3130">
        <v>-1.1209635088309999</v>
      </c>
      <c r="AE3130">
        <v>-1.72389999999998</v>
      </c>
      <c r="AF3130">
        <v>1.9698201801330999</v>
      </c>
      <c r="AG3130">
        <v>-1.1209635088309999</v>
      </c>
      <c r="AH3130">
        <v>33.035520786639701</v>
      </c>
      <c r="AI3130">
        <v>91.9399755771652</v>
      </c>
      <c r="AJ3130">
        <v>86.587645451079098</v>
      </c>
      <c r="AK3130">
        <v>33.113175389483501</v>
      </c>
      <c r="AL3130">
        <v>76.5944807593484</v>
      </c>
      <c r="AM3130">
        <v>86.724537116455295</v>
      </c>
      <c r="AN3130">
        <v>0.99999996174080097</v>
      </c>
    </row>
    <row r="3131" spans="1:40" x14ac:dyDescent="0.25">
      <c r="A3131" t="str">
        <f>"20190303170559767"</f>
        <v>20190303170559767</v>
      </c>
      <c r="B3131" t="str">
        <f>"1551603959757706"</f>
        <v>1551603959757706</v>
      </c>
      <c r="C3131" t="s">
        <v>40</v>
      </c>
      <c r="D3131">
        <v>5.5593309999999896</v>
      </c>
      <c r="E3131">
        <v>0.50810999999999995</v>
      </c>
      <c r="F3131" t="s">
        <v>60</v>
      </c>
      <c r="G3131">
        <v>-257.16789999999997</v>
      </c>
      <c r="H3131" s="1">
        <v>2.3619280000000001E-6</v>
      </c>
      <c r="I3131">
        <v>212.68709999999999</v>
      </c>
      <c r="J3131">
        <v>-290.02480000000003</v>
      </c>
      <c r="K3131">
        <v>1.120967</v>
      </c>
      <c r="L3131">
        <v>214.41970000000001</v>
      </c>
      <c r="M3131">
        <v>0.99986520000000001</v>
      </c>
      <c r="N3131">
        <v>-1.461314E-2</v>
      </c>
      <c r="O3131">
        <v>7.491429E-3</v>
      </c>
      <c r="P3131">
        <v>0.97466839999999999</v>
      </c>
      <c r="Q3131">
        <v>0.21831390000000001</v>
      </c>
      <c r="R3131">
        <v>-4.8585440000000001E-2</v>
      </c>
      <c r="S3131">
        <v>3.0927120000000001</v>
      </c>
      <c r="T3131">
        <v>-0.1040132</v>
      </c>
      <c r="U3131">
        <v>-0.16043089999999999</v>
      </c>
      <c r="V3131">
        <v>5.5902220000000002E-2</v>
      </c>
      <c r="W3131">
        <v>0.23252390000000001</v>
      </c>
      <c r="X3131">
        <v>0.97098280000000003</v>
      </c>
      <c r="Y3131">
        <v>5.9235610000000001E-2</v>
      </c>
      <c r="Z3131">
        <v>-1.570782E-3</v>
      </c>
      <c r="AA3131">
        <v>0.99824279999999999</v>
      </c>
      <c r="AB3131">
        <v>45</v>
      </c>
      <c r="AC3131">
        <v>32.856900000000003</v>
      </c>
      <c r="AD3131">
        <v>-1.120964638072</v>
      </c>
      <c r="AE3131">
        <v>-1.7326000000000099</v>
      </c>
      <c r="AF3131">
        <v>1.97642871389895</v>
      </c>
      <c r="AG3131">
        <v>-1.120964638072</v>
      </c>
      <c r="AH3131">
        <v>32.804919680265598</v>
      </c>
      <c r="AI3131">
        <v>91.953531657159502</v>
      </c>
      <c r="AJ3131">
        <v>86.552215096500404</v>
      </c>
      <c r="AK3131">
        <v>32.883515435695301</v>
      </c>
      <c r="AL3131">
        <v>76.554290169389603</v>
      </c>
      <c r="AM3131">
        <v>86.704957682231196</v>
      </c>
      <c r="AN3131">
        <v>1.0000000100839801</v>
      </c>
    </row>
    <row r="3132" spans="1:40" x14ac:dyDescent="0.25">
      <c r="A3132" t="str">
        <f>"20190303170559786"</f>
        <v>20190303170559786</v>
      </c>
      <c r="B3132" t="str">
        <f>"1551603959778203"</f>
        <v>1551603959778203</v>
      </c>
      <c r="C3132" t="s">
        <v>40</v>
      </c>
      <c r="D3132">
        <v>5.5809259999999998</v>
      </c>
      <c r="E3132">
        <v>0.50834690000000005</v>
      </c>
      <c r="F3132" t="s">
        <v>60</v>
      </c>
      <c r="G3132">
        <v>-256.19069999999999</v>
      </c>
      <c r="H3132" s="1">
        <v>1.84458E-6</v>
      </c>
      <c r="I3132">
        <v>212.62649999999999</v>
      </c>
      <c r="J3132">
        <v>-289.60599999999999</v>
      </c>
      <c r="K3132">
        <v>1.120967</v>
      </c>
      <c r="L3132">
        <v>214.4228</v>
      </c>
      <c r="M3132">
        <v>0.99986540000000002</v>
      </c>
      <c r="N3132">
        <v>-1.4610329999999999E-2</v>
      </c>
      <c r="O3132">
        <v>7.4832229999999998E-3</v>
      </c>
      <c r="P3132">
        <v>0.97472080000000005</v>
      </c>
      <c r="Q3132">
        <v>0.2180368</v>
      </c>
      <c r="R3132">
        <v>-4.8781310000000001E-2</v>
      </c>
      <c r="S3132">
        <v>3.092743</v>
      </c>
      <c r="T3132">
        <v>-0.1024665</v>
      </c>
      <c r="U3132">
        <v>-0.1639099</v>
      </c>
      <c r="V3132">
        <v>5.6090399999999999E-2</v>
      </c>
      <c r="W3132">
        <v>0.23224520000000001</v>
      </c>
      <c r="X3132">
        <v>0.97103859999999997</v>
      </c>
      <c r="Y3132">
        <v>6.0347119999999997E-2</v>
      </c>
      <c r="Z3132">
        <v>-1.5785230000000001E-3</v>
      </c>
      <c r="AA3132">
        <v>0.99817619999999896</v>
      </c>
      <c r="AB3132">
        <v>45</v>
      </c>
      <c r="AC3132">
        <v>33.415300000000002</v>
      </c>
      <c r="AD3132">
        <v>-1.12096515542</v>
      </c>
      <c r="AE3132">
        <v>-1.7963</v>
      </c>
      <c r="AF3132">
        <v>2.0440368330607099</v>
      </c>
      <c r="AG3132">
        <v>-1.12096515542</v>
      </c>
      <c r="AH3132">
        <v>33.363482719559599</v>
      </c>
      <c r="AI3132">
        <v>91.920733468206393</v>
      </c>
      <c r="AJ3132">
        <v>86.494116504500496</v>
      </c>
      <c r="AK3132">
        <v>33.444829624815299</v>
      </c>
      <c r="AL3132">
        <v>76.570707330122005</v>
      </c>
      <c r="AM3132">
        <v>86.694079921071193</v>
      </c>
      <c r="AN3132">
        <v>0.99999996429257898</v>
      </c>
    </row>
    <row r="3133" spans="1:40" x14ac:dyDescent="0.25">
      <c r="A3133" t="str">
        <f>"20190303170559809"</f>
        <v>20190303170559809</v>
      </c>
      <c r="B3133" t="str">
        <f>"1551603959797723"</f>
        <v>1551603959797723</v>
      </c>
      <c r="C3133" t="s">
        <v>40</v>
      </c>
      <c r="D3133">
        <v>5.6832649999999996</v>
      </c>
      <c r="E3133">
        <v>0.50859220000000005</v>
      </c>
      <c r="F3133" t="s">
        <v>60</v>
      </c>
      <c r="G3133">
        <v>-255.98599999999999</v>
      </c>
      <c r="H3133" s="1">
        <v>1.7361279999999999E-6</v>
      </c>
      <c r="I3133">
        <v>212.61590000000001</v>
      </c>
      <c r="J3133">
        <v>-289.16410000000002</v>
      </c>
      <c r="K3133">
        <v>1.1209690000000001</v>
      </c>
      <c r="L3133">
        <v>214.42609999999999</v>
      </c>
      <c r="M3133">
        <v>0.99986549999999996</v>
      </c>
      <c r="N3133">
        <v>-1.460735E-2</v>
      </c>
      <c r="O3133">
        <v>7.4741879999999997E-3</v>
      </c>
      <c r="P3133">
        <v>0.97478770000000003</v>
      </c>
      <c r="Q3133">
        <v>0.21762429999999999</v>
      </c>
      <c r="R3133">
        <v>-4.9282619999999999E-2</v>
      </c>
      <c r="S3133">
        <v>3.0925600000000002</v>
      </c>
      <c r="T3133">
        <v>-0.10311289999999999</v>
      </c>
      <c r="U3133">
        <v>-0.166214</v>
      </c>
      <c r="V3133">
        <v>5.6583210000000002E-2</v>
      </c>
      <c r="W3133">
        <v>0.23183100000000001</v>
      </c>
      <c r="X3133">
        <v>0.971109</v>
      </c>
      <c r="Y3133">
        <v>6.108164E-2</v>
      </c>
      <c r="Z3133">
        <v>-1.603812E-3</v>
      </c>
      <c r="AA3133">
        <v>0.99813149999999995</v>
      </c>
      <c r="AB3133">
        <v>45</v>
      </c>
      <c r="AC3133">
        <v>33.178100000000001</v>
      </c>
      <c r="AD3133">
        <v>-1.1209672638720001</v>
      </c>
      <c r="AE3133">
        <v>-1.81019999999998</v>
      </c>
      <c r="AF3133">
        <v>2.0558154264433202</v>
      </c>
      <c r="AG3133">
        <v>-1.1209672638720001</v>
      </c>
      <c r="AH3133">
        <v>33.125940217300901</v>
      </c>
      <c r="AI3133">
        <v>91.934405658144499</v>
      </c>
      <c r="AJ3133">
        <v>86.448744629968004</v>
      </c>
      <c r="AK3133">
        <v>33.208596175605997</v>
      </c>
      <c r="AL3133">
        <v>76.595105368688195</v>
      </c>
      <c r="AM3133">
        <v>86.665340610816898</v>
      </c>
      <c r="AN3133">
        <v>0.99999998104795096</v>
      </c>
    </row>
    <row r="3134" spans="1:40" x14ac:dyDescent="0.25">
      <c r="A3134" t="str">
        <f>"20190303170559831"</f>
        <v>20190303170559831</v>
      </c>
      <c r="B3134" t="str">
        <f>"1551603959818220"</f>
        <v>1551603959818220</v>
      </c>
      <c r="C3134" t="s">
        <v>40</v>
      </c>
      <c r="D3134">
        <v>5.5534720000000002</v>
      </c>
      <c r="E3134">
        <v>0.50877229999999996</v>
      </c>
      <c r="F3134" t="s">
        <v>60</v>
      </c>
      <c r="G3134">
        <v>-255.28980000000001</v>
      </c>
      <c r="H3134" s="1">
        <v>1.3685089999999999E-6</v>
      </c>
      <c r="I3134">
        <v>212.5496</v>
      </c>
      <c r="J3134">
        <v>-288.70190000000002</v>
      </c>
      <c r="K3134">
        <v>1.1209659999999999</v>
      </c>
      <c r="L3134">
        <v>214.42959999999999</v>
      </c>
      <c r="M3134">
        <v>0.99986549999999996</v>
      </c>
      <c r="N3134">
        <v>-1.4604239999999999E-2</v>
      </c>
      <c r="O3134">
        <v>7.4649719999999899E-3</v>
      </c>
      <c r="P3134">
        <v>0.97474970000000005</v>
      </c>
      <c r="Q3134">
        <v>0.21774879999999999</v>
      </c>
      <c r="R3134">
        <v>-4.9483640000000002E-2</v>
      </c>
      <c r="S3134">
        <v>3.0917970000000001</v>
      </c>
      <c r="T3134">
        <v>-0.1023138</v>
      </c>
      <c r="U3134">
        <v>-0.17127989999999901</v>
      </c>
      <c r="V3134">
        <v>5.6775119999999998E-2</v>
      </c>
      <c r="W3134">
        <v>0.2319515</v>
      </c>
      <c r="X3134">
        <v>0.97106899999999996</v>
      </c>
      <c r="Y3134">
        <v>6.2715499999999993E-2</v>
      </c>
      <c r="Z3134">
        <v>-1.6329889999999901E-3</v>
      </c>
      <c r="AA3134">
        <v>0.99803010000000003</v>
      </c>
      <c r="AB3134">
        <v>45</v>
      </c>
      <c r="AC3134">
        <v>33.412100000000002</v>
      </c>
      <c r="AD3134">
        <v>-1.120964631491</v>
      </c>
      <c r="AE3134">
        <v>-1.8799999999999899</v>
      </c>
      <c r="AF3134">
        <v>2.1270080348768099</v>
      </c>
      <c r="AG3134">
        <v>-1.120964631491</v>
      </c>
      <c r="AH3134">
        <v>33.359702684387102</v>
      </c>
      <c r="AI3134">
        <v>91.920651959510806</v>
      </c>
      <c r="AJ3134">
        <v>86.351770830383799</v>
      </c>
      <c r="AK3134">
        <v>33.446232793487901</v>
      </c>
      <c r="AL3134">
        <v>76.588007439210998</v>
      </c>
      <c r="AM3134">
        <v>86.653918780222995</v>
      </c>
      <c r="AN3134">
        <v>0.99999995768213101</v>
      </c>
    </row>
    <row r="3135" spans="1:40" x14ac:dyDescent="0.25">
      <c r="A3135" t="str">
        <f>"20190303170559855"</f>
        <v>20190303170559855</v>
      </c>
      <c r="B3135" t="str">
        <f>"1551603959847498"</f>
        <v>1551603959847498</v>
      </c>
      <c r="C3135" t="s">
        <v>40</v>
      </c>
      <c r="D3135">
        <v>5.5526169999999997</v>
      </c>
      <c r="E3135">
        <v>0.50925770000000004</v>
      </c>
      <c r="F3135" t="s">
        <v>60</v>
      </c>
      <c r="G3135">
        <v>-255.06190000000001</v>
      </c>
      <c r="H3135" s="1">
        <v>1.247581E-6</v>
      </c>
      <c r="I3135">
        <v>212.54130000000001</v>
      </c>
      <c r="J3135">
        <v>-288.24860000000001</v>
      </c>
      <c r="K3135">
        <v>1.120962</v>
      </c>
      <c r="L3135">
        <v>214.43299999999999</v>
      </c>
      <c r="M3135">
        <v>0.99986569999999997</v>
      </c>
      <c r="N3135">
        <v>-1.460125E-2</v>
      </c>
      <c r="O3135">
        <v>7.4559329999999997E-3</v>
      </c>
      <c r="P3135">
        <v>0.97455689999999995</v>
      </c>
      <c r="Q3135">
        <v>0.2184982</v>
      </c>
      <c r="R3135">
        <v>-4.997849E-2</v>
      </c>
      <c r="S3135">
        <v>3.0919189999999999</v>
      </c>
      <c r="T3135">
        <v>-0.1030301</v>
      </c>
      <c r="U3135">
        <v>-0.1735535</v>
      </c>
      <c r="V3135">
        <v>5.7259699999999997E-2</v>
      </c>
      <c r="W3135">
        <v>0.23269500000000001</v>
      </c>
      <c r="X3135">
        <v>0.97086269999999997</v>
      </c>
      <c r="Y3135">
        <v>6.3434710000000005E-2</v>
      </c>
      <c r="Z3135">
        <v>-1.6588929999999901E-3</v>
      </c>
      <c r="AA3135">
        <v>0.9979846</v>
      </c>
      <c r="AB3135">
        <v>45</v>
      </c>
      <c r="AC3135">
        <v>33.186700000000002</v>
      </c>
      <c r="AD3135">
        <v>-1.120960752419</v>
      </c>
      <c r="AE3135">
        <v>-1.89169999999998</v>
      </c>
      <c r="AF3135">
        <v>2.136681700689</v>
      </c>
      <c r="AG3135">
        <v>-1.120960752419</v>
      </c>
      <c r="AH3135">
        <v>33.133990878060203</v>
      </c>
      <c r="AI3135">
        <v>91.9336294136437</v>
      </c>
      <c r="AJ3135">
        <v>86.310327677584198</v>
      </c>
      <c r="AK3135">
        <v>33.2217295336335</v>
      </c>
      <c r="AL3135">
        <v>76.544210363828896</v>
      </c>
      <c r="AM3135">
        <v>86.624710031883794</v>
      </c>
      <c r="AN3135">
        <v>1.0000000092601899</v>
      </c>
    </row>
    <row r="3136" spans="1:40" x14ac:dyDescent="0.25">
      <c r="A3136" t="str">
        <f>"20190303170559876"</f>
        <v>20190303170559876</v>
      </c>
      <c r="B3136" t="str">
        <f>"1551603959867994"</f>
        <v>1551603959867994</v>
      </c>
      <c r="C3136" t="s">
        <v>40</v>
      </c>
      <c r="D3136">
        <v>5.5236989999999997</v>
      </c>
      <c r="E3136">
        <v>0.50946250000000004</v>
      </c>
      <c r="F3136" t="s">
        <v>60</v>
      </c>
      <c r="G3136">
        <v>-254.19049999999999</v>
      </c>
      <c r="H3136" s="1">
        <v>7.871947E-7</v>
      </c>
      <c r="I3136">
        <v>212.46530000000001</v>
      </c>
      <c r="J3136">
        <v>-287.81200000000001</v>
      </c>
      <c r="K3136">
        <v>1.1209610000000001</v>
      </c>
      <c r="L3136">
        <v>214.43620000000001</v>
      </c>
      <c r="M3136">
        <v>0.99986580000000003</v>
      </c>
      <c r="N3136">
        <v>-1.4598460000000001E-2</v>
      </c>
      <c r="O3136">
        <v>7.4471930000000004E-3</v>
      </c>
      <c r="P3136">
        <v>0.97464229999999996</v>
      </c>
      <c r="Q3136">
        <v>0.21809729999999999</v>
      </c>
      <c r="R3136">
        <v>-5.0065730000000003E-2</v>
      </c>
      <c r="S3136">
        <v>3.09198</v>
      </c>
      <c r="T3136">
        <v>-0.1017668</v>
      </c>
      <c r="U3136">
        <v>-0.1786346</v>
      </c>
      <c r="V3136">
        <v>5.7338979999999998E-2</v>
      </c>
      <c r="W3136">
        <v>0.23229250000000001</v>
      </c>
      <c r="X3136">
        <v>0.9709544</v>
      </c>
      <c r="Y3136">
        <v>6.505938E-2</v>
      </c>
      <c r="Z3136">
        <v>-1.6812039999999999E-3</v>
      </c>
      <c r="AA3136">
        <v>0.99787999999999999</v>
      </c>
      <c r="AB3136">
        <v>45</v>
      </c>
      <c r="AC3136">
        <v>33.621499999999997</v>
      </c>
      <c r="AD3136">
        <v>-1.1209602128053</v>
      </c>
      <c r="AE3136">
        <v>-1.9709000000000001</v>
      </c>
      <c r="AF3136">
        <v>2.2187998354096101</v>
      </c>
      <c r="AG3136">
        <v>-1.1209602128053</v>
      </c>
      <c r="AH3136">
        <v>33.5687012344832</v>
      </c>
      <c r="AI3136">
        <v>91.9084071161422</v>
      </c>
      <c r="AJ3136">
        <v>86.218405506891102</v>
      </c>
      <c r="AK3136">
        <v>33.660619826115799</v>
      </c>
      <c r="AL3136">
        <v>76.567921603414504</v>
      </c>
      <c r="AM3136">
        <v>86.620366010808794</v>
      </c>
      <c r="AN3136">
        <v>1.0000000055315199</v>
      </c>
    </row>
    <row r="3137" spans="1:40" x14ac:dyDescent="0.25">
      <c r="A3137" t="str">
        <f>"20190303170559898"</f>
        <v>20190303170559898</v>
      </c>
      <c r="B3137" t="str">
        <f>"1551603959887515"</f>
        <v>1551603959887515</v>
      </c>
      <c r="C3137" t="s">
        <v>40</v>
      </c>
      <c r="D3137">
        <v>5.5417690000000004</v>
      </c>
      <c r="E3137">
        <v>0.5096446</v>
      </c>
      <c r="F3137" t="s">
        <v>60</v>
      </c>
      <c r="G3137">
        <v>-254.2141</v>
      </c>
      <c r="H3137" s="1">
        <v>7.9888219999999905E-7</v>
      </c>
      <c r="I3137">
        <v>212.4855</v>
      </c>
      <c r="J3137">
        <v>-287.37599999999998</v>
      </c>
      <c r="K3137">
        <v>1.120959</v>
      </c>
      <c r="L3137">
        <v>214.43950000000001</v>
      </c>
      <c r="M3137">
        <v>0.99986589999999997</v>
      </c>
      <c r="N3137">
        <v>-1.45957E-2</v>
      </c>
      <c r="O3137">
        <v>7.43851199999999E-3</v>
      </c>
      <c r="P3137">
        <v>0.97494360000000002</v>
      </c>
      <c r="Q3137">
        <v>0.21683920000000001</v>
      </c>
      <c r="R3137">
        <v>-4.9659019999999998E-2</v>
      </c>
      <c r="S3137">
        <v>3.0919189999999999</v>
      </c>
      <c r="T3137">
        <v>-0.1031586</v>
      </c>
      <c r="U3137">
        <v>-0.1795197</v>
      </c>
      <c r="V3137">
        <v>5.692593E-2</v>
      </c>
      <c r="W3137">
        <v>0.2310363</v>
      </c>
      <c r="X3137">
        <v>0.97127839999999999</v>
      </c>
      <c r="Y3137">
        <v>6.5335050000000006E-2</v>
      </c>
      <c r="Z3137">
        <v>-1.70557E-3</v>
      </c>
      <c r="AA3137">
        <v>0.99786189999999997</v>
      </c>
      <c r="AB3137">
        <v>45</v>
      </c>
      <c r="AC3137">
        <v>33.161899999999903</v>
      </c>
      <c r="AD3137">
        <v>-1.1209582011178001</v>
      </c>
      <c r="AE3137">
        <v>-1.954</v>
      </c>
      <c r="AF3137">
        <v>2.1981444332848401</v>
      </c>
      <c r="AG3137">
        <v>-1.1209582011178001</v>
      </c>
      <c r="AH3137">
        <v>33.108746275317301</v>
      </c>
      <c r="AI3137">
        <v>91.934858161511201</v>
      </c>
      <c r="AJ3137">
        <v>86.2016127845678</v>
      </c>
      <c r="AK3137">
        <v>33.200564244626499</v>
      </c>
      <c r="AL3137">
        <v>76.641909705108603</v>
      </c>
      <c r="AM3137">
        <v>86.645772612472001</v>
      </c>
      <c r="AN3137">
        <v>1.0000000318653</v>
      </c>
    </row>
    <row r="3138" spans="1:40" x14ac:dyDescent="0.25">
      <c r="A3138" t="str">
        <f>"20190303170559920"</f>
        <v>20190303170559920</v>
      </c>
      <c r="B3138" t="str">
        <f>"1551603959908010"</f>
        <v>1551603959908010</v>
      </c>
      <c r="C3138" t="s">
        <v>40</v>
      </c>
      <c r="D3138">
        <v>5.5163630000000001</v>
      </c>
      <c r="E3138">
        <v>0.50987459999999996</v>
      </c>
      <c r="F3138" t="s">
        <v>60</v>
      </c>
      <c r="G3138">
        <v>-254.9385</v>
      </c>
      <c r="H3138" s="1">
        <v>1.1818639999999999E-6</v>
      </c>
      <c r="I3138">
        <v>212.54349999999999</v>
      </c>
      <c r="J3138">
        <v>-286.92230000000001</v>
      </c>
      <c r="K3138">
        <v>1.12096</v>
      </c>
      <c r="L3138">
        <v>214.44280000000001</v>
      </c>
      <c r="M3138">
        <v>0.99986609999999998</v>
      </c>
      <c r="N3138">
        <v>-1.45928E-2</v>
      </c>
      <c r="O3138">
        <v>7.4291119999999999E-3</v>
      </c>
      <c r="P3138">
        <v>0.97499040000000003</v>
      </c>
      <c r="Q3138">
        <v>0.21664990000000001</v>
      </c>
      <c r="R3138">
        <v>-4.956882E-2</v>
      </c>
      <c r="S3138">
        <v>3.0917050000000001</v>
      </c>
      <c r="T3138">
        <v>-0.10684159999999999</v>
      </c>
      <c r="U3138">
        <v>-0.1807098</v>
      </c>
      <c r="V3138">
        <v>5.6827059999999999E-2</v>
      </c>
      <c r="W3138">
        <v>0.2308452</v>
      </c>
      <c r="X3138">
        <v>0.97132960000000002</v>
      </c>
      <c r="Y3138">
        <v>6.5708810000000006E-2</v>
      </c>
      <c r="Z3138">
        <v>-1.762282E-3</v>
      </c>
      <c r="AA3138">
        <v>0.99783730000000004</v>
      </c>
      <c r="AB3138">
        <v>45</v>
      </c>
      <c r="AC3138">
        <v>31.983799999999999</v>
      </c>
      <c r="AD3138">
        <v>-1.120958818136</v>
      </c>
      <c r="AE3138">
        <v>-1.89930000000001</v>
      </c>
      <c r="AF3138">
        <v>2.1342716660785199</v>
      </c>
      <c r="AG3138">
        <v>-1.120958818136</v>
      </c>
      <c r="AH3138">
        <v>31.9297227777624</v>
      </c>
      <c r="AI3138">
        <v>92.006187697896394</v>
      </c>
      <c r="AJ3138">
        <v>86.175878968334501</v>
      </c>
      <c r="AK3138">
        <v>32.020600570278802</v>
      </c>
      <c r="AL3138">
        <v>76.653162787800298</v>
      </c>
      <c r="AM3138">
        <v>86.651761126872501</v>
      </c>
      <c r="AN3138">
        <v>1.00000000647372</v>
      </c>
    </row>
    <row r="3139" spans="1:40" x14ac:dyDescent="0.25">
      <c r="A3139" t="str">
        <f>"20190303170559945"</f>
        <v>20190303170559945</v>
      </c>
      <c r="B3139" t="str">
        <f>"1551603959938266"</f>
        <v>1551603959938266</v>
      </c>
      <c r="C3139" t="s">
        <v>40</v>
      </c>
      <c r="D3139">
        <v>5.4985039999999996</v>
      </c>
      <c r="E3139">
        <v>0.51006669999999998</v>
      </c>
      <c r="F3139" t="s">
        <v>60</v>
      </c>
      <c r="G3139">
        <v>-254.60239999999999</v>
      </c>
      <c r="H3139" s="1">
        <v>1.0037100000000001E-6</v>
      </c>
      <c r="I3139">
        <v>212.5274</v>
      </c>
      <c r="J3139">
        <v>-286.44979999999998</v>
      </c>
      <c r="K3139">
        <v>1.120959</v>
      </c>
      <c r="L3139">
        <v>214.44630000000001</v>
      </c>
      <c r="M3139">
        <v>0.99986609999999998</v>
      </c>
      <c r="N3139">
        <v>-1.458975E-2</v>
      </c>
      <c r="O3139">
        <v>7.4159949999999999E-3</v>
      </c>
      <c r="P3139">
        <v>0.97481499999999999</v>
      </c>
      <c r="Q3139">
        <v>0.2174304</v>
      </c>
      <c r="R3139">
        <v>-4.9601689999999997E-2</v>
      </c>
      <c r="S3139">
        <v>3.0914609999999998</v>
      </c>
      <c r="T3139">
        <v>-0.1072221</v>
      </c>
      <c r="U3139">
        <v>-0.18321229999999999</v>
      </c>
      <c r="V3139">
        <v>5.6846689999999998E-2</v>
      </c>
      <c r="W3139">
        <v>0.23161989999999999</v>
      </c>
      <c r="X3139">
        <v>0.97114400000000001</v>
      </c>
      <c r="Y3139">
        <v>6.6504179999999996E-2</v>
      </c>
      <c r="Z3139">
        <v>-1.7865699999999999E-3</v>
      </c>
      <c r="AA3139">
        <v>0.99778460000000002</v>
      </c>
      <c r="AB3139">
        <v>45</v>
      </c>
      <c r="AC3139">
        <v>31.8474</v>
      </c>
      <c r="AD3139">
        <v>-1.12095799629</v>
      </c>
      <c r="AE3139">
        <v>-1.9189000000000001</v>
      </c>
      <c r="AF3139">
        <v>2.1523955890325102</v>
      </c>
      <c r="AG3139">
        <v>-1.12095799629</v>
      </c>
      <c r="AH3139">
        <v>31.793046553410601</v>
      </c>
      <c r="AI3139">
        <v>92.014688008074899</v>
      </c>
      <c r="AJ3139">
        <v>86.126974193075199</v>
      </c>
      <c r="AK3139">
        <v>31.8855321854358</v>
      </c>
      <c r="AL3139">
        <v>76.607539145045195</v>
      </c>
      <c r="AM3139">
        <v>86.649968503150902</v>
      </c>
      <c r="AN3139">
        <v>0.99999999648798299</v>
      </c>
    </row>
    <row r="3140" spans="1:40" x14ac:dyDescent="0.25">
      <c r="A3140" t="str">
        <f>"20190303170559967"</f>
        <v>20190303170559967</v>
      </c>
      <c r="B3140" t="str">
        <f>"1551603959957786"</f>
        <v>1551603959957786</v>
      </c>
      <c r="C3140" t="s">
        <v>40</v>
      </c>
      <c r="D3140">
        <v>5.5178949999999896</v>
      </c>
      <c r="E3140">
        <v>0.51018520000000001</v>
      </c>
      <c r="F3140" t="s">
        <v>60</v>
      </c>
      <c r="G3140">
        <v>-253.40350000000001</v>
      </c>
      <c r="H3140" s="1">
        <v>3.6831590000000001E-7</v>
      </c>
      <c r="I3140">
        <v>212.46770000000001</v>
      </c>
      <c r="J3140">
        <v>-285.99439999999998</v>
      </c>
      <c r="K3140">
        <v>1.120965</v>
      </c>
      <c r="L3140">
        <v>214.44970000000001</v>
      </c>
      <c r="M3140">
        <v>0.99986640000000004</v>
      </c>
      <c r="N3140">
        <v>-1.458682E-2</v>
      </c>
      <c r="O3140">
        <v>7.3959780000000001E-3</v>
      </c>
      <c r="P3140">
        <v>0.97446060000000001</v>
      </c>
      <c r="Q3140">
        <v>0.21909139999999999</v>
      </c>
      <c r="R3140">
        <v>-4.925301E-2</v>
      </c>
      <c r="S3140">
        <v>3.0914920000000001</v>
      </c>
      <c r="T3140">
        <v>-0.1048661</v>
      </c>
      <c r="U3140">
        <v>-0.1851044</v>
      </c>
      <c r="V3140">
        <v>5.6478489999999999E-2</v>
      </c>
      <c r="W3140">
        <v>0.2332719</v>
      </c>
      <c r="X3140">
        <v>0.97077000000000002</v>
      </c>
      <c r="Y3140">
        <v>6.709387E-2</v>
      </c>
      <c r="Z3140">
        <v>-1.7694290000000001E-3</v>
      </c>
      <c r="AA3140">
        <v>0.99774510000000005</v>
      </c>
      <c r="AB3140">
        <v>45</v>
      </c>
      <c r="AC3140">
        <v>32.590899999999898</v>
      </c>
      <c r="AD3140">
        <v>-1.1209646316841</v>
      </c>
      <c r="AE3140">
        <v>-1.98199999999999</v>
      </c>
      <c r="AF3140">
        <v>2.2203958836973698</v>
      </c>
      <c r="AG3140">
        <v>-1.1209646316841</v>
      </c>
      <c r="AH3140">
        <v>32.536998044019903</v>
      </c>
      <c r="AI3140">
        <v>91.968598780190902</v>
      </c>
      <c r="AJ3140">
        <v>86.096063435556204</v>
      </c>
      <c r="AK3140">
        <v>32.631931620766501</v>
      </c>
      <c r="AL3140">
        <v>76.510220884893002</v>
      </c>
      <c r="AM3140">
        <v>86.670338539391807</v>
      </c>
      <c r="AN3140">
        <v>0.99999999603114498</v>
      </c>
    </row>
    <row r="3141" spans="1:40" x14ac:dyDescent="0.25">
      <c r="A3141" t="str">
        <f>"20190303170559988"</f>
        <v>20190303170559988</v>
      </c>
      <c r="B3141" t="str">
        <f>"1551603959978283"</f>
        <v>1551603959978283</v>
      </c>
      <c r="C3141" t="s">
        <v>40</v>
      </c>
      <c r="D3141">
        <v>5.6169219999999997</v>
      </c>
      <c r="E3141">
        <v>0.51004269999999996</v>
      </c>
      <c r="F3141" t="s">
        <v>60</v>
      </c>
      <c r="G3141">
        <v>-251.38329999999999</v>
      </c>
      <c r="H3141" s="1">
        <v>-7.0311560000000004E-7</v>
      </c>
      <c r="I3141">
        <v>212.38460000000001</v>
      </c>
      <c r="J3141">
        <v>-285.5763</v>
      </c>
      <c r="K3141">
        <v>1.1209639999999901</v>
      </c>
      <c r="L3141">
        <v>214.4528</v>
      </c>
      <c r="M3141">
        <v>0.99986640000000004</v>
      </c>
      <c r="N3141">
        <v>-1.4584150000000001E-2</v>
      </c>
      <c r="O3141">
        <v>7.3713429999999998E-3</v>
      </c>
      <c r="P3141">
        <v>0.97439509999999996</v>
      </c>
      <c r="Q3141">
        <v>0.21950710000000001</v>
      </c>
      <c r="R3141">
        <v>-4.8692270000000003E-2</v>
      </c>
      <c r="S3141">
        <v>3.0918269999999999</v>
      </c>
      <c r="T3141">
        <v>-0.1001365</v>
      </c>
      <c r="U3141">
        <v>-0.1844788</v>
      </c>
      <c r="V3141">
        <v>5.5896469999999997E-2</v>
      </c>
      <c r="W3141">
        <v>0.23368359999999999</v>
      </c>
      <c r="X3141">
        <v>0.97070469999999998</v>
      </c>
      <c r="Y3141">
        <v>6.6866190000000006E-2</v>
      </c>
      <c r="Z3141">
        <v>-1.7008889999999999E-3</v>
      </c>
      <c r="AA3141">
        <v>0.99776050000000005</v>
      </c>
      <c r="AB3141">
        <v>45</v>
      </c>
      <c r="AC3141">
        <v>34.192999999999998</v>
      </c>
      <c r="AD3141">
        <v>-1.12096470311559</v>
      </c>
      <c r="AE3141">
        <v>-2.0681999999999898</v>
      </c>
      <c r="AF3141">
        <v>2.3177370377020501</v>
      </c>
      <c r="AG3141">
        <v>-1.12096470311559</v>
      </c>
      <c r="AH3141">
        <v>34.140265120480301</v>
      </c>
      <c r="AI3141">
        <v>91.876263788639207</v>
      </c>
      <c r="AJ3141">
        <v>86.116225281919299</v>
      </c>
      <c r="AK3141">
        <v>34.237204461495601</v>
      </c>
      <c r="AL3141">
        <v>76.485962173902195</v>
      </c>
      <c r="AM3141">
        <v>86.704354028545794</v>
      </c>
      <c r="AN3141">
        <v>1.00000002743475</v>
      </c>
    </row>
    <row r="3142" spans="1:40" x14ac:dyDescent="0.25">
      <c r="A3142" t="str">
        <f>"20190303170600010"</f>
        <v>20190303170600010</v>
      </c>
      <c r="B3142" t="str">
        <f>"1551603959997805"</f>
        <v>1551603959997805</v>
      </c>
      <c r="C3142" t="s">
        <v>40</v>
      </c>
      <c r="D3142">
        <v>5.5774359999999996</v>
      </c>
      <c r="E3142">
        <v>0.46717750000000002</v>
      </c>
      <c r="F3142" t="s">
        <v>60</v>
      </c>
      <c r="G3142">
        <v>-250.21019999999999</v>
      </c>
      <c r="H3142" s="1">
        <v>-1.3269059999999999E-6</v>
      </c>
      <c r="I3142">
        <v>212.3733</v>
      </c>
      <c r="J3142">
        <v>-285.13220000000001</v>
      </c>
      <c r="K3142">
        <v>1.1209559999999901</v>
      </c>
      <c r="L3142">
        <v>214.45599999999999</v>
      </c>
      <c r="M3142">
        <v>0.9998667</v>
      </c>
      <c r="N3142">
        <v>-1.45814E-2</v>
      </c>
      <c r="O3142">
        <v>7.3364809999999997E-3</v>
      </c>
      <c r="P3142">
        <v>0.97453610000000002</v>
      </c>
      <c r="Q3142">
        <v>0.2190473</v>
      </c>
      <c r="R3142">
        <v>-4.7935779999999997E-2</v>
      </c>
      <c r="S3142">
        <v>3.0917970000000001</v>
      </c>
      <c r="T3142">
        <v>-9.7997669999999995E-2</v>
      </c>
      <c r="U3142">
        <v>-0.18179319999999999</v>
      </c>
      <c r="V3142">
        <v>5.511137E-2</v>
      </c>
      <c r="W3142">
        <v>0.23322229999999999</v>
      </c>
      <c r="X3142">
        <v>0.97086050000000002</v>
      </c>
      <c r="Y3142">
        <v>6.5970879999999996E-2</v>
      </c>
      <c r="Z3142">
        <v>-1.6513539999999901E-3</v>
      </c>
      <c r="AA3142">
        <v>0.99782020000000005</v>
      </c>
      <c r="AB3142">
        <v>45</v>
      </c>
      <c r="AC3142">
        <v>34.921999999999997</v>
      </c>
      <c r="AD3142">
        <v>-1.12095732690599</v>
      </c>
      <c r="AE3142">
        <v>-2.08269999999998</v>
      </c>
      <c r="AF3142">
        <v>2.3364769562251899</v>
      </c>
      <c r="AG3142">
        <v>-1.12095732690599</v>
      </c>
      <c r="AH3142">
        <v>34.869978104524399</v>
      </c>
      <c r="AI3142">
        <v>91.837123791302901</v>
      </c>
      <c r="AJ3142">
        <v>86.166603281491703</v>
      </c>
      <c r="AK3142">
        <v>34.966141378563997</v>
      </c>
      <c r="AL3142">
        <v>76.513143520973799</v>
      </c>
      <c r="AM3142">
        <v>86.751063830353104</v>
      </c>
      <c r="AN3142">
        <v>1.0000000073904001</v>
      </c>
    </row>
    <row r="3143" spans="1:40" x14ac:dyDescent="0.25">
      <c r="A3143" t="str">
        <f>"20190303170600033"</f>
        <v>20190303170600033</v>
      </c>
      <c r="B3143" t="str">
        <f>"1551603960028060"</f>
        <v>1551603960028060</v>
      </c>
      <c r="C3143" t="s">
        <v>40</v>
      </c>
      <c r="D3143">
        <v>5.628895</v>
      </c>
      <c r="E3143">
        <v>0.46051429999999999</v>
      </c>
      <c r="F3143" t="s">
        <v>52</v>
      </c>
      <c r="G3143">
        <v>-201.77950000000001</v>
      </c>
      <c r="H3143" s="1">
        <v>2.6453030000000002E-6</v>
      </c>
      <c r="I3143">
        <v>218.74379999999999</v>
      </c>
      <c r="J3143">
        <v>-284.66399999999999</v>
      </c>
      <c r="K3143">
        <v>1.1209469999999999</v>
      </c>
      <c r="L3143">
        <v>214.45939999999999</v>
      </c>
      <c r="M3143">
        <v>0.99986730000000001</v>
      </c>
      <c r="N3143">
        <v>-1.4578580000000001E-2</v>
      </c>
      <c r="O3143">
        <v>7.2857769999999898E-3</v>
      </c>
      <c r="P3143">
        <v>0.9746532</v>
      </c>
      <c r="Q3143">
        <v>0.21853600000000001</v>
      </c>
      <c r="R3143">
        <v>-4.7891379999999997E-2</v>
      </c>
      <c r="S3143">
        <v>3.0955810000000001</v>
      </c>
      <c r="T3143">
        <v>-4.1630390000000003E-2</v>
      </c>
      <c r="U3143">
        <v>0.15924070000000001</v>
      </c>
      <c r="V3143">
        <v>5.5024030000000002E-2</v>
      </c>
      <c r="W3143">
        <v>0.2327089</v>
      </c>
      <c r="X3143">
        <v>0.97098859999999998</v>
      </c>
      <c r="Y3143">
        <v>-4.4086790000000001E-2</v>
      </c>
      <c r="Z3143">
        <v>6.2610910000000005E-4</v>
      </c>
      <c r="AA3143">
        <v>0.99902749999999996</v>
      </c>
      <c r="AB3143">
        <v>45</v>
      </c>
      <c r="AC3143">
        <v>82.884499999999903</v>
      </c>
      <c r="AD3143">
        <v>-1.1209443546969999</v>
      </c>
      <c r="AE3143">
        <v>4.2843999999999998</v>
      </c>
      <c r="AF3143">
        <v>-3.67967293465902</v>
      </c>
      <c r="AG3143">
        <v>-1.1209443546969999</v>
      </c>
      <c r="AH3143">
        <v>82.898396158608094</v>
      </c>
      <c r="AI3143">
        <v>90.773938987691807</v>
      </c>
      <c r="AJ3143">
        <v>92.541562182088001</v>
      </c>
      <c r="AK3143">
        <v>82.987593017401807</v>
      </c>
      <c r="AL3143">
        <v>76.543390915942595</v>
      </c>
      <c r="AM3143">
        <v>86.756628743186397</v>
      </c>
      <c r="AN3143">
        <v>0.99999996867330498</v>
      </c>
    </row>
    <row r="3144" spans="1:40" x14ac:dyDescent="0.25">
      <c r="A3144" t="str">
        <f>"20190303170600056"</f>
        <v>20190303170600056</v>
      </c>
      <c r="B3144" t="str">
        <f>"1551603960047578"</f>
        <v>1551603960047578</v>
      </c>
      <c r="C3144" t="s">
        <v>40</v>
      </c>
      <c r="D3144">
        <v>5.6249229999999999</v>
      </c>
      <c r="E3144">
        <v>0.45892680000000002</v>
      </c>
      <c r="F3144" t="s">
        <v>52</v>
      </c>
      <c r="G3144">
        <v>-175.3364</v>
      </c>
      <c r="H3144">
        <v>7.9999979999999998E-2</v>
      </c>
      <c r="I3144">
        <v>221.94550000000001</v>
      </c>
      <c r="J3144">
        <v>-284.2199</v>
      </c>
      <c r="K3144">
        <v>1.120935</v>
      </c>
      <c r="L3144">
        <v>214.46260000000001</v>
      </c>
      <c r="M3144">
        <v>0.99986779999999997</v>
      </c>
      <c r="N3144">
        <v>-1.4575799999999899E-2</v>
      </c>
      <c r="O3144">
        <v>7.2205400000000001E-3</v>
      </c>
      <c r="P3144">
        <v>0.97462870000000001</v>
      </c>
      <c r="Q3144">
        <v>0.2185849</v>
      </c>
      <c r="R3144">
        <v>-4.8167349999999998E-2</v>
      </c>
      <c r="S3144">
        <v>3.0950319999999998</v>
      </c>
      <c r="T3144">
        <v>-2.9468890000000001E-2</v>
      </c>
      <c r="U3144">
        <v>0.21192929999999999</v>
      </c>
      <c r="V3144">
        <v>5.5243510000000003E-2</v>
      </c>
      <c r="W3144">
        <v>0.23275299999999999</v>
      </c>
      <c r="X3144">
        <v>0.97096559999999998</v>
      </c>
      <c r="Y3144">
        <v>-6.1100950000000001E-2</v>
      </c>
      <c r="Z3144">
        <v>7.7287630000000003E-4</v>
      </c>
      <c r="AA3144">
        <v>0.99813130000000005</v>
      </c>
      <c r="AB3144">
        <v>45</v>
      </c>
      <c r="AC3144">
        <v>108.8835</v>
      </c>
      <c r="AD3144">
        <v>-1.04093502</v>
      </c>
      <c r="AE3144">
        <v>7.4828999999999999</v>
      </c>
      <c r="AF3144">
        <v>-6.6958146887111898</v>
      </c>
      <c r="AG3144">
        <v>-1.04093502</v>
      </c>
      <c r="AH3144">
        <v>108.924788889135</v>
      </c>
      <c r="AI3144">
        <v>90.546496451249894</v>
      </c>
      <c r="AJ3144">
        <v>93.517654556437407</v>
      </c>
      <c r="AK3144">
        <v>109.135361430675</v>
      </c>
      <c r="AL3144">
        <v>76.540793266571598</v>
      </c>
      <c r="AM3144">
        <v>86.7436423917909</v>
      </c>
      <c r="AN3144">
        <v>1.00000000039474</v>
      </c>
    </row>
    <row r="3145" spans="1:40" x14ac:dyDescent="0.25">
      <c r="A3145" t="str">
        <f>"20190303170600076"</f>
        <v>20190303170600076</v>
      </c>
      <c r="B3145" t="str">
        <f>"1551603960068075"</f>
        <v>1551603960068075</v>
      </c>
      <c r="C3145" t="s">
        <v>40</v>
      </c>
      <c r="D3145">
        <v>5.5875839999999997</v>
      </c>
      <c r="E3145">
        <v>0.45793820000000002</v>
      </c>
      <c r="F3145" t="s">
        <v>52</v>
      </c>
      <c r="G3145">
        <v>-178.4897</v>
      </c>
      <c r="H3145">
        <v>8.0000660000000001E-2</v>
      </c>
      <c r="I3145">
        <v>222.0925</v>
      </c>
      <c r="J3145">
        <v>-283.80430000000001</v>
      </c>
      <c r="K3145">
        <v>1.12093</v>
      </c>
      <c r="L3145">
        <v>214.46549999999999</v>
      </c>
      <c r="M3145">
        <v>0.99986850000000005</v>
      </c>
      <c r="N3145">
        <v>-1.457323E-2</v>
      </c>
      <c r="O3145">
        <v>7.1406589999999997E-3</v>
      </c>
      <c r="P3145">
        <v>0.97443789999999997</v>
      </c>
      <c r="Q3145">
        <v>0.2193745</v>
      </c>
      <c r="R3145">
        <v>-4.8435989999999998E-2</v>
      </c>
      <c r="S3145">
        <v>3.0959780000000001</v>
      </c>
      <c r="T3145">
        <v>-3.0480500000000001E-2</v>
      </c>
      <c r="U3145">
        <v>0.22341920000000001</v>
      </c>
      <c r="V3145">
        <v>5.5441780000000003E-2</v>
      </c>
      <c r="W3145">
        <v>0.2335352</v>
      </c>
      <c r="X3145">
        <v>0.97076640000000003</v>
      </c>
      <c r="Y3145">
        <v>-6.4844739999999998E-2</v>
      </c>
      <c r="Z3145">
        <v>8.2568629999999995E-4</v>
      </c>
      <c r="AA3145">
        <v>0.99789499999999998</v>
      </c>
      <c r="AB3145">
        <v>45</v>
      </c>
      <c r="AC3145">
        <v>105.3146</v>
      </c>
      <c r="AD3145">
        <v>-1.0409293399999999</v>
      </c>
      <c r="AE3145">
        <v>7.6269999999999998</v>
      </c>
      <c r="AF3145">
        <v>-6.8740420944701199</v>
      </c>
      <c r="AG3145">
        <v>-1.0409293399999999</v>
      </c>
      <c r="AH3145">
        <v>105.35614313140999</v>
      </c>
      <c r="AI3145">
        <v>90.564868701517099</v>
      </c>
      <c r="AJ3145">
        <v>93.733015770547595</v>
      </c>
      <c r="AK3145">
        <v>105.585287252219</v>
      </c>
      <c r="AL3145">
        <v>76.494705651490804</v>
      </c>
      <c r="AM3145">
        <v>86.731311409665096</v>
      </c>
      <c r="AN3145">
        <v>0.99999994198878195</v>
      </c>
    </row>
    <row r="3146" spans="1:40" x14ac:dyDescent="0.25">
      <c r="A3146" t="str">
        <f>"20190303170600099"</f>
        <v>20190303170600099</v>
      </c>
      <c r="B3146" t="str">
        <f>"1551603960087594"</f>
        <v>1551603960087594</v>
      </c>
      <c r="C3146" t="s">
        <v>40</v>
      </c>
      <c r="D3146">
        <v>5.6200320000000001</v>
      </c>
      <c r="E3146">
        <v>0.45737299999999997</v>
      </c>
      <c r="F3146" t="s">
        <v>54</v>
      </c>
      <c r="G3146">
        <v>-168.35059999999999</v>
      </c>
      <c r="H3146">
        <v>0.1348763</v>
      </c>
      <c r="I3146">
        <v>223.04560000000001</v>
      </c>
      <c r="J3146">
        <v>-283.35219999999998</v>
      </c>
      <c r="K3146">
        <v>1.1209169999999999</v>
      </c>
      <c r="L3146">
        <v>214.46870000000001</v>
      </c>
      <c r="M3146">
        <v>0.99986920000000001</v>
      </c>
      <c r="N3146">
        <v>-1.457045E-2</v>
      </c>
      <c r="O3146">
        <v>7.0310059999999898E-3</v>
      </c>
      <c r="P3146">
        <v>0.97427770000000002</v>
      </c>
      <c r="Q3146">
        <v>0.21999489999999999</v>
      </c>
      <c r="R3146">
        <v>-4.8840910000000001E-2</v>
      </c>
      <c r="S3146">
        <v>3.096069</v>
      </c>
      <c r="T3146">
        <v>-2.6440979999999999E-2</v>
      </c>
      <c r="U3146">
        <v>0.23008729999999999</v>
      </c>
      <c r="V3146">
        <v>5.575041E-2</v>
      </c>
      <c r="W3146">
        <v>0.23414769999999999</v>
      </c>
      <c r="X3146">
        <v>0.9706013</v>
      </c>
      <c r="Y3146">
        <v>-6.7090830000000004E-2</v>
      </c>
      <c r="Z3146">
        <v>8.1793909999999998E-4</v>
      </c>
      <c r="AA3146">
        <v>0.99774649999999998</v>
      </c>
      <c r="AB3146">
        <v>45</v>
      </c>
      <c r="AC3146">
        <v>115.0016</v>
      </c>
      <c r="AD3146">
        <v>-0.98604069999999899</v>
      </c>
      <c r="AE3146">
        <v>8.5768999999999895</v>
      </c>
      <c r="AF3146">
        <v>-7.7674573567019296</v>
      </c>
      <c r="AG3146">
        <v>-0.98604069999999899</v>
      </c>
      <c r="AH3146">
        <v>115.050656161033</v>
      </c>
      <c r="AI3146">
        <v>90.489925753003007</v>
      </c>
      <c r="AJ3146">
        <v>93.862369899068497</v>
      </c>
      <c r="AK3146">
        <v>115.316777413933</v>
      </c>
      <c r="AL3146">
        <v>76.458613004447599</v>
      </c>
      <c r="AM3146">
        <v>86.712597384253399</v>
      </c>
      <c r="AN3146">
        <v>1.0000000685960699</v>
      </c>
    </row>
    <row r="3147" spans="1:40" x14ac:dyDescent="0.25">
      <c r="A3147" t="str">
        <f>"20190303170600122"</f>
        <v>20190303170600122</v>
      </c>
      <c r="B3147" t="str">
        <f>"1551603960117850"</f>
        <v>1551603960117850</v>
      </c>
      <c r="C3147" t="s">
        <v>40</v>
      </c>
      <c r="D3147">
        <v>5.6266100000000003</v>
      </c>
      <c r="E3147">
        <v>0.4568893</v>
      </c>
      <c r="F3147" t="s">
        <v>54</v>
      </c>
      <c r="G3147">
        <v>-168.35059999999999</v>
      </c>
      <c r="H3147">
        <v>0.27342889999999997</v>
      </c>
      <c r="I3147">
        <v>223.1354</v>
      </c>
      <c r="J3147">
        <v>-282.90410000000003</v>
      </c>
      <c r="K3147">
        <v>1.1208959999999999</v>
      </c>
      <c r="L3147">
        <v>214.4717</v>
      </c>
      <c r="M3147">
        <v>0.99987020000000004</v>
      </c>
      <c r="N3147">
        <v>-1.456767E-2</v>
      </c>
      <c r="O3147">
        <v>6.8966829999999998E-3</v>
      </c>
      <c r="P3147">
        <v>0.9743231</v>
      </c>
      <c r="Q3147">
        <v>0.21975729999999999</v>
      </c>
      <c r="R3147">
        <v>-4.9006460000000002E-2</v>
      </c>
      <c r="S3147">
        <v>3.0960390000000002</v>
      </c>
      <c r="T3147">
        <v>-2.2814270000000001E-2</v>
      </c>
      <c r="U3147">
        <v>0.2333221</v>
      </c>
      <c r="V3147">
        <v>5.5798439999999998E-2</v>
      </c>
      <c r="W3147">
        <v>0.2339048</v>
      </c>
      <c r="X3147">
        <v>0.97065710000000005</v>
      </c>
      <c r="Y3147">
        <v>-6.8263379999999999E-2</v>
      </c>
      <c r="Z3147">
        <v>7.9871759999999999E-4</v>
      </c>
      <c r="AA3147">
        <v>0.99766699999999997</v>
      </c>
      <c r="AB3147">
        <v>45</v>
      </c>
      <c r="AC3147">
        <v>114.5535</v>
      </c>
      <c r="AD3147">
        <v>-0.84746709999999903</v>
      </c>
      <c r="AE3147">
        <v>8.6637000000000004</v>
      </c>
      <c r="AF3147">
        <v>-7.8729425327321598</v>
      </c>
      <c r="AG3147">
        <v>-0.84746709999999903</v>
      </c>
      <c r="AH3147">
        <v>114.604295521975</v>
      </c>
      <c r="AI3147">
        <v>90.422682575403101</v>
      </c>
      <c r="AJ3147">
        <v>93.929859561233499</v>
      </c>
      <c r="AK3147">
        <v>114.877525986145</v>
      </c>
      <c r="AL3147">
        <v>76.472927593177104</v>
      </c>
      <c r="AM3147">
        <v>86.709960175513899</v>
      </c>
      <c r="AN3147">
        <v>1.00000006357493</v>
      </c>
    </row>
    <row r="3148" spans="1:40" x14ac:dyDescent="0.25">
      <c r="A3148" t="str">
        <f>"20190303170600147"</f>
        <v>20190303170600147</v>
      </c>
      <c r="B3148" t="str">
        <f>"1551603960138346"</f>
        <v>1551603960138346</v>
      </c>
      <c r="C3148" t="s">
        <v>40</v>
      </c>
      <c r="D3148">
        <v>5.6260159999999999</v>
      </c>
      <c r="E3148">
        <v>0.45648040000000001</v>
      </c>
      <c r="F3148" t="s">
        <v>54</v>
      </c>
      <c r="G3148">
        <v>-168.35059999999999</v>
      </c>
      <c r="H3148">
        <v>0.29150769999999998</v>
      </c>
      <c r="I3148">
        <v>223.22839999999999</v>
      </c>
      <c r="J3148">
        <v>-282.4289</v>
      </c>
      <c r="K3148">
        <v>1.1208640000000001</v>
      </c>
      <c r="L3148">
        <v>214.47489999999999</v>
      </c>
      <c r="M3148">
        <v>0.99987139999999997</v>
      </c>
      <c r="N3148">
        <v>-1.456475E-2</v>
      </c>
      <c r="O3148">
        <v>6.7223539999999998E-3</v>
      </c>
      <c r="P3148">
        <v>0.97436310000000004</v>
      </c>
      <c r="Q3148">
        <v>0.21950320000000001</v>
      </c>
      <c r="R3148">
        <v>-4.9348169999999997E-2</v>
      </c>
      <c r="S3148">
        <v>3.0959780000000001</v>
      </c>
      <c r="T3148">
        <v>-2.2413849999999999E-2</v>
      </c>
      <c r="U3148">
        <v>0.23666380000000001</v>
      </c>
      <c r="V3148">
        <v>5.5986029999999999E-2</v>
      </c>
      <c r="W3148">
        <v>0.23364470000000001</v>
      </c>
      <c r="X3148">
        <v>0.97070889999999999</v>
      </c>
      <c r="Y3148">
        <v>-6.950945E-2</v>
      </c>
      <c r="Z3148">
        <v>8.0740819999999998E-4</v>
      </c>
      <c r="AA3148">
        <v>0.99758089999999999</v>
      </c>
      <c r="AB3148">
        <v>45</v>
      </c>
      <c r="AC3148">
        <v>114.0783</v>
      </c>
      <c r="AD3148">
        <v>-0.82935629999999905</v>
      </c>
      <c r="AE3148">
        <v>8.7535000000000007</v>
      </c>
      <c r="AF3148">
        <v>-7.9859265389408396</v>
      </c>
      <c r="AG3148">
        <v>-0.82935629999999905</v>
      </c>
      <c r="AH3148">
        <v>114.12857536624</v>
      </c>
      <c r="AI3148">
        <v>90.415337523062405</v>
      </c>
      <c r="AJ3148">
        <v>94.002637359225503</v>
      </c>
      <c r="AK3148">
        <v>114.410640106964</v>
      </c>
      <c r="AL3148">
        <v>76.488254401507305</v>
      </c>
      <c r="AM3148">
        <v>86.699099504638994</v>
      </c>
      <c r="AN3148">
        <v>1.00000002496623</v>
      </c>
    </row>
    <row r="3149" spans="1:40" x14ac:dyDescent="0.25">
      <c r="A3149" t="str">
        <f>"20190303170600168"</f>
        <v>20190303170600168</v>
      </c>
      <c r="B3149" t="str">
        <f>"1551603960157867"</f>
        <v>1551603960157867</v>
      </c>
      <c r="C3149" t="s">
        <v>40</v>
      </c>
      <c r="D3149">
        <v>5.6370120000000004</v>
      </c>
      <c r="E3149">
        <v>0.45612730000000001</v>
      </c>
      <c r="F3149" t="s">
        <v>54</v>
      </c>
      <c r="G3149">
        <v>-168.35059999999999</v>
      </c>
      <c r="H3149">
        <v>0.29086489999999998</v>
      </c>
      <c r="I3149">
        <v>223.28039999999999</v>
      </c>
      <c r="J3149">
        <v>-281.98230000000001</v>
      </c>
      <c r="K3149">
        <v>1.120833</v>
      </c>
      <c r="L3149">
        <v>214.4777</v>
      </c>
      <c r="M3149">
        <v>0.99987269999999995</v>
      </c>
      <c r="N3149">
        <v>-1.456201E-2</v>
      </c>
      <c r="O3149">
        <v>6.5306899999999996E-3</v>
      </c>
      <c r="P3149">
        <v>0.97453000000000001</v>
      </c>
      <c r="Q3149">
        <v>0.2187818</v>
      </c>
      <c r="R3149">
        <v>-4.9255050000000002E-2</v>
      </c>
      <c r="S3149">
        <v>3.0960999999999999</v>
      </c>
      <c r="T3149">
        <v>-2.252471E-2</v>
      </c>
      <c r="U3149">
        <v>0.23898320000000001</v>
      </c>
      <c r="V3149">
        <v>5.57222E-2</v>
      </c>
      <c r="W3149">
        <v>0.2329204</v>
      </c>
      <c r="X3149">
        <v>0.97089809999999999</v>
      </c>
      <c r="Y3149">
        <v>-7.0440439999999993E-2</v>
      </c>
      <c r="Z3149">
        <v>8.1707049999999999E-4</v>
      </c>
      <c r="AA3149">
        <v>0.99751570000000001</v>
      </c>
      <c r="AB3149">
        <v>44</v>
      </c>
      <c r="AC3149">
        <v>113.6317</v>
      </c>
      <c r="AD3149">
        <v>-0.82996809999999899</v>
      </c>
      <c r="AE3149">
        <v>8.8026999999999802</v>
      </c>
      <c r="AF3149">
        <v>-8.0599127634586605</v>
      </c>
      <c r="AG3149">
        <v>-0.82996809999999899</v>
      </c>
      <c r="AH3149">
        <v>113.680741526052</v>
      </c>
      <c r="AI3149">
        <v>90.4172541337594</v>
      </c>
      <c r="AJ3149">
        <v>94.055458487051297</v>
      </c>
      <c r="AK3149">
        <v>113.96912755090599</v>
      </c>
      <c r="AL3149">
        <v>76.530930867371893</v>
      </c>
      <c r="AM3149">
        <v>86.715259421517004</v>
      </c>
      <c r="AN3149">
        <v>0.99999999844630405</v>
      </c>
    </row>
    <row r="3150" spans="1:40" x14ac:dyDescent="0.25">
      <c r="A3150" t="str">
        <f>"20190303170600190"</f>
        <v>20190303170600190</v>
      </c>
      <c r="B3150" t="str">
        <f>"1551603960178363"</f>
        <v>1551603960178363</v>
      </c>
      <c r="C3150" t="s">
        <v>40</v>
      </c>
      <c r="D3150">
        <v>5.6414080000000002</v>
      </c>
      <c r="E3150">
        <v>0.45575789999999999</v>
      </c>
      <c r="F3150" t="s">
        <v>54</v>
      </c>
      <c r="G3150">
        <v>-168.35059999999999</v>
      </c>
      <c r="H3150">
        <v>0.23008819999999999</v>
      </c>
      <c r="I3150">
        <v>223.3569</v>
      </c>
      <c r="J3150">
        <v>-281.56299999999999</v>
      </c>
      <c r="K3150">
        <v>1.120811</v>
      </c>
      <c r="L3150">
        <v>214.4802</v>
      </c>
      <c r="M3150">
        <v>0.99987409999999999</v>
      </c>
      <c r="N3150">
        <v>-1.455945E-2</v>
      </c>
      <c r="O3150">
        <v>6.3299510000000003E-3</v>
      </c>
      <c r="P3150">
        <v>0.97457000000000005</v>
      </c>
      <c r="Q3150">
        <v>0.21856300000000001</v>
      </c>
      <c r="R3150">
        <v>-4.9434869999999999E-2</v>
      </c>
      <c r="S3150">
        <v>3.096069</v>
      </c>
      <c r="T3150">
        <v>-2.4268149999999999E-2</v>
      </c>
      <c r="U3150">
        <v>0.24192810000000001</v>
      </c>
      <c r="V3150">
        <v>5.5720140000000001E-2</v>
      </c>
      <c r="W3150">
        <v>0.2326964</v>
      </c>
      <c r="X3150">
        <v>0.97095189999999998</v>
      </c>
      <c r="Y3150">
        <v>-7.1583869999999994E-2</v>
      </c>
      <c r="Z3150">
        <v>8.4456929999999998E-4</v>
      </c>
      <c r="AA3150">
        <v>0.99743419999999905</v>
      </c>
      <c r="AB3150">
        <v>44</v>
      </c>
      <c r="AC3150">
        <v>113.2124</v>
      </c>
      <c r="AD3150">
        <v>-0.89072280000000004</v>
      </c>
      <c r="AE3150">
        <v>8.8766999999999996</v>
      </c>
      <c r="AF3150">
        <v>-8.1593153228964201</v>
      </c>
      <c r="AG3150">
        <v>-0.89072280000000004</v>
      </c>
      <c r="AH3150">
        <v>113.259358387378</v>
      </c>
      <c r="AI3150">
        <v>90.449425943286997</v>
      </c>
      <c r="AJ3150">
        <v>94.120525644756697</v>
      </c>
      <c r="AK3150">
        <v>113.556373999725</v>
      </c>
      <c r="AL3150">
        <v>76.5441273521852</v>
      </c>
      <c r="AM3150">
        <v>86.715562190357701</v>
      </c>
      <c r="AN3150">
        <v>0.99999997034409405</v>
      </c>
    </row>
    <row r="3151" spans="1:40" x14ac:dyDescent="0.25">
      <c r="A3151" t="str">
        <f>"20190303170600212"</f>
        <v>20190303170600212</v>
      </c>
      <c r="B3151" t="str">
        <f>"1551603960197883"</f>
        <v>1551603960197883</v>
      </c>
      <c r="C3151" t="s">
        <v>40</v>
      </c>
      <c r="D3151">
        <v>5.6426879999999997</v>
      </c>
      <c r="E3151">
        <v>0.45534409999999997</v>
      </c>
      <c r="F3151" t="s">
        <v>54</v>
      </c>
      <c r="G3151">
        <v>-168.35059999999999</v>
      </c>
      <c r="H3151">
        <v>0.25681779999999998</v>
      </c>
      <c r="I3151">
        <v>223.4084</v>
      </c>
      <c r="J3151">
        <v>-281.12400000000002</v>
      </c>
      <c r="K3151">
        <v>1.1207849999999999</v>
      </c>
      <c r="L3151">
        <v>214.4829</v>
      </c>
      <c r="M3151">
        <v>0.99987559999999998</v>
      </c>
      <c r="N3151">
        <v>-1.4556690000000001E-2</v>
      </c>
      <c r="O3151">
        <v>6.0971369999999999E-3</v>
      </c>
      <c r="P3151">
        <v>0.97445139999999997</v>
      </c>
      <c r="Q3151">
        <v>0.2190763</v>
      </c>
      <c r="R3151">
        <v>-4.9503859999999997E-2</v>
      </c>
      <c r="S3151">
        <v>3.0959780000000001</v>
      </c>
      <c r="T3151">
        <v>-2.3625730000000001E-2</v>
      </c>
      <c r="U3151">
        <v>0.24415590000000001</v>
      </c>
      <c r="V3151">
        <v>5.5575560000000003E-2</v>
      </c>
      <c r="W3151">
        <v>0.23320189999999999</v>
      </c>
      <c r="X3151">
        <v>0.97083900000000001</v>
      </c>
      <c r="Y3151">
        <v>-7.253184E-2</v>
      </c>
      <c r="Z3151">
        <v>8.4727229999999895E-4</v>
      </c>
      <c r="AA3151">
        <v>0.99736570000000002</v>
      </c>
      <c r="AB3151">
        <v>44</v>
      </c>
      <c r="AC3151">
        <v>112.7734</v>
      </c>
      <c r="AD3151">
        <v>-0.86396720000000005</v>
      </c>
      <c r="AE3151">
        <v>8.9254999999999995</v>
      </c>
      <c r="AF3151">
        <v>-8.2371859782793493</v>
      </c>
      <c r="AG3151">
        <v>-0.86396720000000005</v>
      </c>
      <c r="AH3151">
        <v>112.81914871566001</v>
      </c>
      <c r="AI3151">
        <v>90.437596793770695</v>
      </c>
      <c r="AJ3151">
        <v>94.175887120013201</v>
      </c>
      <c r="AK3151">
        <v>113.12275628311799</v>
      </c>
      <c r="AL3151">
        <v>76.514346310187804</v>
      </c>
      <c r="AM3151">
        <v>86.723685777564299</v>
      </c>
      <c r="AN3151">
        <v>1.0000000664769499</v>
      </c>
    </row>
    <row r="3152" spans="1:40" x14ac:dyDescent="0.25">
      <c r="A3152" t="str">
        <f>"20190303170600235"</f>
        <v>20190303170600235</v>
      </c>
      <c r="B3152" t="str">
        <f>"1551603960228139"</f>
        <v>1551603960228139</v>
      </c>
      <c r="C3152" t="s">
        <v>40</v>
      </c>
      <c r="D3152">
        <v>5.6600380000000001</v>
      </c>
      <c r="E3152">
        <v>0.45497490000000002</v>
      </c>
      <c r="F3152" t="s">
        <v>54</v>
      </c>
      <c r="G3152">
        <v>-168.35059999999999</v>
      </c>
      <c r="H3152">
        <v>0.34161000000000002</v>
      </c>
      <c r="I3152">
        <v>223.48699999999999</v>
      </c>
      <c r="J3152">
        <v>-280.661</v>
      </c>
      <c r="K3152">
        <v>1.120765</v>
      </c>
      <c r="L3152">
        <v>214.4854</v>
      </c>
      <c r="M3152">
        <v>0.99987720000000002</v>
      </c>
      <c r="N3152">
        <v>-1.4553699999999999E-2</v>
      </c>
      <c r="O3152">
        <v>5.8281189999999997E-3</v>
      </c>
      <c r="P3152">
        <v>0.97428130000000002</v>
      </c>
      <c r="Q3152">
        <v>0.21976619999999999</v>
      </c>
      <c r="R3152">
        <v>-4.9789279999999998E-2</v>
      </c>
      <c r="S3152">
        <v>3.0960079999999999</v>
      </c>
      <c r="T3152">
        <v>-2.1389370000000001E-2</v>
      </c>
      <c r="U3152">
        <v>0.24719240000000001</v>
      </c>
      <c r="V3152">
        <v>5.5613099999999999E-2</v>
      </c>
      <c r="W3152">
        <v>0.23388300000000001</v>
      </c>
      <c r="X3152">
        <v>0.97067289999999995</v>
      </c>
      <c r="Y3152">
        <v>-7.3772119999999997E-2</v>
      </c>
      <c r="Z3152">
        <v>8.3665539999999998E-4</v>
      </c>
      <c r="AA3152">
        <v>0.99727480000000002</v>
      </c>
      <c r="AB3152">
        <v>44</v>
      </c>
      <c r="AC3152">
        <v>112.3104</v>
      </c>
      <c r="AD3152">
        <v>-0.77915500000000004</v>
      </c>
      <c r="AE3152">
        <v>9.0015999999999892</v>
      </c>
      <c r="AF3152">
        <v>-8.3464203008371793</v>
      </c>
      <c r="AG3152">
        <v>-0.77915500000000004</v>
      </c>
      <c r="AH3152">
        <v>112.355587048191</v>
      </c>
      <c r="AI3152">
        <v>90.396232315305198</v>
      </c>
      <c r="AJ3152">
        <v>94.248457198486605</v>
      </c>
      <c r="AK3152">
        <v>112.667864785376</v>
      </c>
      <c r="AL3152">
        <v>76.474211077890004</v>
      </c>
      <c r="AM3152">
        <v>86.7209177379506</v>
      </c>
      <c r="AN3152">
        <v>0.99999997668750895</v>
      </c>
    </row>
    <row r="3153" spans="1:40" x14ac:dyDescent="0.25">
      <c r="A3153" t="str">
        <f>"20190303170600257"</f>
        <v>20190303170600257</v>
      </c>
      <c r="B3153" t="str">
        <f>"1551603960247659"</f>
        <v>1551603960247659</v>
      </c>
      <c r="C3153" t="s">
        <v>40</v>
      </c>
      <c r="D3153">
        <v>5.6727699999999999</v>
      </c>
      <c r="E3153">
        <v>0.45475779999999899</v>
      </c>
      <c r="F3153" t="s">
        <v>54</v>
      </c>
      <c r="G3153">
        <v>-168.35059999999999</v>
      </c>
      <c r="H3153">
        <v>0.44741439999999999</v>
      </c>
      <c r="I3153">
        <v>223.5154</v>
      </c>
      <c r="J3153">
        <v>-280.22050000000002</v>
      </c>
      <c r="K3153">
        <v>1.1207400000000001</v>
      </c>
      <c r="L3153">
        <v>214.48779999999999</v>
      </c>
      <c r="M3153">
        <v>0.99987879999999996</v>
      </c>
      <c r="N3153">
        <v>-1.4551110000000001E-2</v>
      </c>
      <c r="O3153">
        <v>5.5510189999999999E-3</v>
      </c>
      <c r="P3153">
        <v>0.9742731</v>
      </c>
      <c r="Q3153">
        <v>0.2197064</v>
      </c>
      <c r="R3153">
        <v>-5.0207590000000003E-2</v>
      </c>
      <c r="S3153">
        <v>3.0960999999999999</v>
      </c>
      <c r="T3153">
        <v>-1.856089E-2</v>
      </c>
      <c r="U3153">
        <v>0.24893190000000001</v>
      </c>
      <c r="V3153">
        <v>5.5775430000000001E-2</v>
      </c>
      <c r="W3153">
        <v>0.23381759999999999</v>
      </c>
      <c r="X3153">
        <v>0.97067930000000002</v>
      </c>
      <c r="Y3153">
        <v>-7.4603760000000005E-2</v>
      </c>
      <c r="Z3153">
        <v>8.143944E-4</v>
      </c>
      <c r="AA3153">
        <v>0.99721289999999996</v>
      </c>
      <c r="AB3153">
        <v>44</v>
      </c>
      <c r="AC3153">
        <v>111.8699</v>
      </c>
      <c r="AD3153">
        <v>-0.67332559999999997</v>
      </c>
      <c r="AE3153">
        <v>9.0275999999999996</v>
      </c>
      <c r="AF3153">
        <v>-8.4061006876242796</v>
      </c>
      <c r="AG3153">
        <v>-0.67332559999999997</v>
      </c>
      <c r="AH3153">
        <v>111.91426572704</v>
      </c>
      <c r="AI3153">
        <v>90.343744247350401</v>
      </c>
      <c r="AJ3153">
        <v>94.295532655446905</v>
      </c>
      <c r="AK3153">
        <v>112.23154088471099</v>
      </c>
      <c r="AL3153">
        <v>76.478064523597297</v>
      </c>
      <c r="AM3153">
        <v>86.7113889831747</v>
      </c>
      <c r="AN3153">
        <v>0.99999993605496496</v>
      </c>
    </row>
    <row r="3154" spans="1:40" x14ac:dyDescent="0.25">
      <c r="A3154" t="str">
        <f>"20190303170600278"</f>
        <v>20190303170600278</v>
      </c>
      <c r="B3154" t="str">
        <f>"1551603960268155"</f>
        <v>1551603960268155</v>
      </c>
      <c r="C3154" t="s">
        <v>40</v>
      </c>
      <c r="D3154">
        <v>5.6447399999999996</v>
      </c>
      <c r="E3154">
        <v>0.45444420000000002</v>
      </c>
      <c r="F3154" t="s">
        <v>54</v>
      </c>
      <c r="G3154">
        <v>-168.35059999999999</v>
      </c>
      <c r="H3154">
        <v>0.44381809999999999</v>
      </c>
      <c r="I3154">
        <v>223.49459999999999</v>
      </c>
      <c r="J3154">
        <v>-279.80180000000001</v>
      </c>
      <c r="K3154">
        <v>1.1207119999999999</v>
      </c>
      <c r="L3154">
        <v>214.48990000000001</v>
      </c>
      <c r="M3154">
        <v>0.9998804</v>
      </c>
      <c r="N3154">
        <v>-1.454894E-2</v>
      </c>
      <c r="O3154">
        <v>5.2716919999999997E-3</v>
      </c>
      <c r="P3154">
        <v>0.97454819999999998</v>
      </c>
      <c r="Q3154">
        <v>0.2184316</v>
      </c>
      <c r="R3154">
        <v>-5.043475E-2</v>
      </c>
      <c r="S3154">
        <v>3.0962519999999998</v>
      </c>
      <c r="T3154">
        <v>-1.8733739999999999E-2</v>
      </c>
      <c r="U3154">
        <v>0.2492828</v>
      </c>
      <c r="V3154">
        <v>5.5743439999999998E-2</v>
      </c>
      <c r="W3154">
        <v>0.232542</v>
      </c>
      <c r="X3154">
        <v>0.97098759999999995</v>
      </c>
      <c r="Y3154">
        <v>-7.4990630000000003E-2</v>
      </c>
      <c r="Z3154">
        <v>8.1767979999999895E-4</v>
      </c>
      <c r="AA3154">
        <v>0.99718390000000001</v>
      </c>
      <c r="AB3154">
        <v>44</v>
      </c>
      <c r="AC3154">
        <v>111.4512</v>
      </c>
      <c r="AD3154">
        <v>-0.67689390000000005</v>
      </c>
      <c r="AE3154">
        <v>9.0046999999999802</v>
      </c>
      <c r="AF3154">
        <v>-8.4166678877118297</v>
      </c>
      <c r="AG3154">
        <v>-0.67689390000000005</v>
      </c>
      <c r="AH3154">
        <v>111.493040073656</v>
      </c>
      <c r="AI3154">
        <v>90.346861581253506</v>
      </c>
      <c r="AJ3154">
        <v>94.317099986749199</v>
      </c>
      <c r="AK3154">
        <v>111.81232699729399</v>
      </c>
      <c r="AL3154">
        <v>76.553223969980607</v>
      </c>
      <c r="AM3154">
        <v>86.714312318225097</v>
      </c>
      <c r="AN3154">
        <v>1.0000000161103899</v>
      </c>
    </row>
    <row r="3155" spans="1:40" x14ac:dyDescent="0.25">
      <c r="A3155" t="str">
        <f>"20190303170600301"</f>
        <v>20190303170600301</v>
      </c>
      <c r="B3155" t="str">
        <f>"1551603960287675"</f>
        <v>1551603960287675</v>
      </c>
      <c r="C3155" t="s">
        <v>40</v>
      </c>
      <c r="D3155">
        <v>5.6725000000000003</v>
      </c>
      <c r="E3155">
        <v>0.45425739999999998</v>
      </c>
      <c r="F3155" t="s">
        <v>54</v>
      </c>
      <c r="G3155">
        <v>-168.35059999999999</v>
      </c>
      <c r="H3155">
        <v>0.29787639999999999</v>
      </c>
      <c r="I3155">
        <v>223.54409999999999</v>
      </c>
      <c r="J3155">
        <v>-279.34960000000001</v>
      </c>
      <c r="K3155">
        <v>1.120687</v>
      </c>
      <c r="L3155">
        <v>214.49199999999999</v>
      </c>
      <c r="M3155">
        <v>0.99988189999999999</v>
      </c>
      <c r="N3155">
        <v>-1.454652E-2</v>
      </c>
      <c r="O3155">
        <v>4.9577500000000004E-3</v>
      </c>
      <c r="P3155">
        <v>0.97473810000000005</v>
      </c>
      <c r="Q3155">
        <v>0.2175368</v>
      </c>
      <c r="R3155">
        <v>-5.0630019999999998E-2</v>
      </c>
      <c r="S3155">
        <v>3.0964969999999998</v>
      </c>
      <c r="T3155">
        <v>-2.2859569999999999E-2</v>
      </c>
      <c r="U3155">
        <v>0.25155640000000001</v>
      </c>
      <c r="V3155">
        <v>5.5645E-2</v>
      </c>
      <c r="W3155">
        <v>0.2316454</v>
      </c>
      <c r="X3155">
        <v>0.9712075</v>
      </c>
      <c r="Y3155">
        <v>-7.6023270000000004E-2</v>
      </c>
      <c r="Z3155">
        <v>8.6952009999999996E-4</v>
      </c>
      <c r="AA3155">
        <v>0.99710569999999998</v>
      </c>
      <c r="AB3155">
        <v>44</v>
      </c>
      <c r="AC3155">
        <v>110.999</v>
      </c>
      <c r="AD3155">
        <v>-0.82281059999999995</v>
      </c>
      <c r="AE3155">
        <v>9.0520999999999603</v>
      </c>
      <c r="AF3155">
        <v>-8.5011611569532004</v>
      </c>
      <c r="AG3155">
        <v>-0.82281059999999995</v>
      </c>
      <c r="AH3155">
        <v>111.036457304283</v>
      </c>
      <c r="AI3155">
        <v>90.423330802318404</v>
      </c>
      <c r="AJ3155">
        <v>94.378132098671202</v>
      </c>
      <c r="AK3155">
        <v>111.364453974263</v>
      </c>
      <c r="AL3155">
        <v>76.606037068324397</v>
      </c>
      <c r="AM3155">
        <v>86.720843002823798</v>
      </c>
      <c r="AN3155">
        <v>0.99999998271120405</v>
      </c>
    </row>
    <row r="3156" spans="1:40" x14ac:dyDescent="0.25">
      <c r="A3156" t="str">
        <f>"20190303170600323"</f>
        <v>20190303170600323</v>
      </c>
      <c r="B3156" t="str">
        <f>"1551603960317931"</f>
        <v>1551603960317931</v>
      </c>
      <c r="C3156" t="s">
        <v>40</v>
      </c>
      <c r="D3156">
        <v>5.6925970000000001</v>
      </c>
      <c r="E3156">
        <v>0.45398119999999997</v>
      </c>
      <c r="F3156" t="s">
        <v>54</v>
      </c>
      <c r="G3156">
        <v>-168.35059999999999</v>
      </c>
      <c r="H3156">
        <v>0.17615220000000001</v>
      </c>
      <c r="I3156">
        <v>223.54490000000001</v>
      </c>
      <c r="J3156">
        <v>-278.91660000000002</v>
      </c>
      <c r="K3156">
        <v>1.1206700000000001</v>
      </c>
      <c r="L3156">
        <v>214.4939</v>
      </c>
      <c r="M3156">
        <v>0.99988350000000004</v>
      </c>
      <c r="N3156">
        <v>-1.4544120000000001E-2</v>
      </c>
      <c r="O3156">
        <v>4.6475199999999996E-3</v>
      </c>
      <c r="P3156">
        <v>0.97473010000000004</v>
      </c>
      <c r="Q3156">
        <v>0.21759609999999999</v>
      </c>
      <c r="R3156">
        <v>-5.0531649999999997E-2</v>
      </c>
      <c r="S3156">
        <v>3.0967410000000002</v>
      </c>
      <c r="T3156">
        <v>-2.634978E-2</v>
      </c>
      <c r="U3156">
        <v>0.2525635</v>
      </c>
      <c r="V3156">
        <v>5.5254060000000001E-2</v>
      </c>
      <c r="W3156">
        <v>0.2317002</v>
      </c>
      <c r="X3156">
        <v>0.97121679999999999</v>
      </c>
      <c r="Y3156">
        <v>-7.6647019999999996E-2</v>
      </c>
      <c r="Z3156">
        <v>9.119191E-4</v>
      </c>
      <c r="AA3156">
        <v>0.99705790000000005</v>
      </c>
      <c r="AB3156">
        <v>44</v>
      </c>
      <c r="AC3156">
        <v>110.566</v>
      </c>
      <c r="AD3156">
        <v>-0.94451779999999996</v>
      </c>
      <c r="AE3156">
        <v>9.0510000000000108</v>
      </c>
      <c r="AF3156">
        <v>-8.5363714148572996</v>
      </c>
      <c r="AG3156">
        <v>-0.94451779999999996</v>
      </c>
      <c r="AH3156">
        <v>110.59885752713301</v>
      </c>
      <c r="AI3156">
        <v>90.487845027125303</v>
      </c>
      <c r="AJ3156">
        <v>94.413520146534196</v>
      </c>
      <c r="AK3156">
        <v>110.931821571242</v>
      </c>
      <c r="AL3156">
        <v>76.602810137371506</v>
      </c>
      <c r="AM3156">
        <v>86.743862442213</v>
      </c>
      <c r="AN3156">
        <v>1.0000000332143799</v>
      </c>
    </row>
    <row r="3157" spans="1:40" x14ac:dyDescent="0.25">
      <c r="A3157" t="str">
        <f>"20190303170600346"</f>
        <v>20190303170600346</v>
      </c>
      <c r="B3157" t="str">
        <f>"1551603960338427"</f>
        <v>1551603960338427</v>
      </c>
      <c r="C3157" t="s">
        <v>40</v>
      </c>
      <c r="D3157">
        <v>5.6828310000000002</v>
      </c>
      <c r="E3157">
        <v>0.4538412</v>
      </c>
      <c r="F3157" t="s">
        <v>54</v>
      </c>
      <c r="G3157">
        <v>-168.35059999999999</v>
      </c>
      <c r="H3157">
        <v>0.18792529999999999</v>
      </c>
      <c r="I3157">
        <v>223.59299999999999</v>
      </c>
      <c r="J3157">
        <v>-278.45760000000001</v>
      </c>
      <c r="K3157">
        <v>1.120654</v>
      </c>
      <c r="L3157">
        <v>214.4958</v>
      </c>
      <c r="M3157">
        <v>0.99988500000000002</v>
      </c>
      <c r="N3157">
        <v>-1.4541510000000001E-2</v>
      </c>
      <c r="O3157">
        <v>4.3110020000000004E-3</v>
      </c>
      <c r="P3157">
        <v>0.97448769999999996</v>
      </c>
      <c r="Q3157">
        <v>0.21855069999999999</v>
      </c>
      <c r="R3157">
        <v>-5.1081469999999997E-2</v>
      </c>
      <c r="S3157">
        <v>3.0968019999999998</v>
      </c>
      <c r="T3157">
        <v>-2.612329E-2</v>
      </c>
      <c r="U3157">
        <v>0.25485229999999998</v>
      </c>
      <c r="V3157">
        <v>5.5483739999999997E-2</v>
      </c>
      <c r="W3157">
        <v>0.2326472</v>
      </c>
      <c r="X3157">
        <v>0.97097719999999998</v>
      </c>
      <c r="Y3157">
        <v>-7.7712920000000005E-2</v>
      </c>
      <c r="Z3157">
        <v>9.195475E-4</v>
      </c>
      <c r="AA3157">
        <v>0.99697539999999996</v>
      </c>
      <c r="AB3157">
        <v>44</v>
      </c>
      <c r="AC3157">
        <v>110.107</v>
      </c>
      <c r="AD3157">
        <v>-0.93272869999999997</v>
      </c>
      <c r="AE3157">
        <v>9.0971999999999795</v>
      </c>
      <c r="AF3157">
        <v>-8.6217792669499094</v>
      </c>
      <c r="AG3157">
        <v>-0.93272869999999997</v>
      </c>
      <c r="AH3157">
        <v>110.13734897598501</v>
      </c>
      <c r="AI3157">
        <v>90.483733761605507</v>
      </c>
      <c r="AJ3157">
        <v>94.476103600917895</v>
      </c>
      <c r="AK3157">
        <v>110.478236318353</v>
      </c>
      <c r="AL3157">
        <v>76.547025491960198</v>
      </c>
      <c r="AM3157">
        <v>86.729551567771793</v>
      </c>
      <c r="AN3157">
        <v>0.99999994399603198</v>
      </c>
    </row>
    <row r="3158" spans="1:40" x14ac:dyDescent="0.25">
      <c r="A3158" t="str">
        <f>"20190303170600368"</f>
        <v>20190303170600368</v>
      </c>
      <c r="B3158" t="str">
        <f>"1551603960357949"</f>
        <v>1551603960357949</v>
      </c>
      <c r="C3158" t="s">
        <v>40</v>
      </c>
      <c r="D3158">
        <v>5.7176799999999997</v>
      </c>
      <c r="E3158">
        <v>0.45373010000000003</v>
      </c>
      <c r="F3158" t="s">
        <v>54</v>
      </c>
      <c r="G3158">
        <v>-168.35059999999999</v>
      </c>
      <c r="H3158">
        <v>0.28987790000000002</v>
      </c>
      <c r="I3158">
        <v>223.54519999999999</v>
      </c>
      <c r="J3158">
        <v>-278.03230000000002</v>
      </c>
      <c r="K3158">
        <v>1.1206480000000001</v>
      </c>
      <c r="L3158">
        <v>214.4973</v>
      </c>
      <c r="M3158">
        <v>0.99988630000000001</v>
      </c>
      <c r="N3158">
        <v>-1.453889E-2</v>
      </c>
      <c r="O3158">
        <v>3.9955920000000001E-3</v>
      </c>
      <c r="P3158">
        <v>0.97437660000000004</v>
      </c>
      <c r="Q3158">
        <v>0.21898719999999999</v>
      </c>
      <c r="R3158">
        <v>-5.1334699999999997E-2</v>
      </c>
      <c r="S3158">
        <v>3.0971679999999999</v>
      </c>
      <c r="T3158">
        <v>-2.336705E-2</v>
      </c>
      <c r="U3158">
        <v>0.25454710000000003</v>
      </c>
      <c r="V3158">
        <v>5.5435329999999998E-2</v>
      </c>
      <c r="W3158">
        <v>0.23307810000000001</v>
      </c>
      <c r="X3158">
        <v>0.97087670000000004</v>
      </c>
      <c r="Y3158">
        <v>-7.7921260000000006E-2</v>
      </c>
      <c r="Z3158">
        <v>8.8880350000000003E-4</v>
      </c>
      <c r="AA3158">
        <v>0.99695909999999999</v>
      </c>
      <c r="AB3158">
        <v>44</v>
      </c>
      <c r="AC3158">
        <v>109.68170000000001</v>
      </c>
      <c r="AD3158">
        <v>-0.83077009999999896</v>
      </c>
      <c r="AE3158">
        <v>9.0478999999999896</v>
      </c>
      <c r="AF3158">
        <v>-8.6090475306535392</v>
      </c>
      <c r="AG3158">
        <v>-0.83077009999999896</v>
      </c>
      <c r="AH3158">
        <v>109.710728144398</v>
      </c>
      <c r="AI3158">
        <v>90.432526912337295</v>
      </c>
      <c r="AJ3158">
        <v>94.486829897670802</v>
      </c>
      <c r="AK3158">
        <v>110.051123339646</v>
      </c>
      <c r="AL3158">
        <v>76.521639915905894</v>
      </c>
      <c r="AM3158">
        <v>86.732061362194798</v>
      </c>
      <c r="AN3158">
        <v>1.0000000215573499</v>
      </c>
    </row>
    <row r="3159" spans="1:40" x14ac:dyDescent="0.25">
      <c r="A3159" t="str">
        <f>"20190303170600390"</f>
        <v>20190303170600390</v>
      </c>
      <c r="B3159" t="str">
        <f>"1551603960378443"</f>
        <v>1551603960378443</v>
      </c>
      <c r="C3159" t="s">
        <v>40</v>
      </c>
      <c r="D3159">
        <v>5.688409</v>
      </c>
      <c r="E3159">
        <v>0.4536113</v>
      </c>
      <c r="F3159" t="s">
        <v>54</v>
      </c>
      <c r="G3159">
        <v>-168.35059999999999</v>
      </c>
      <c r="H3159">
        <v>0.35826970000000002</v>
      </c>
      <c r="I3159">
        <v>223.5241</v>
      </c>
      <c r="J3159">
        <v>-277.60930000000002</v>
      </c>
      <c r="K3159">
        <v>1.1206419999999999</v>
      </c>
      <c r="L3159">
        <v>214.49879999999999</v>
      </c>
      <c r="M3159">
        <v>0.99988779999999999</v>
      </c>
      <c r="N3159">
        <v>-1.4536240000000001E-2</v>
      </c>
      <c r="O3159">
        <v>3.6791480000000001E-3</v>
      </c>
      <c r="P3159">
        <v>0.97440740000000003</v>
      </c>
      <c r="Q3159">
        <v>0.21874879999999999</v>
      </c>
      <c r="R3159">
        <v>-5.1763969999999999E-2</v>
      </c>
      <c r="S3159">
        <v>3.0971980000000001</v>
      </c>
      <c r="T3159">
        <v>-2.1526460000000001E-2</v>
      </c>
      <c r="U3159">
        <v>0.25489810000000002</v>
      </c>
      <c r="V3159">
        <v>5.5561109999999997E-2</v>
      </c>
      <c r="W3159">
        <v>0.23283690000000001</v>
      </c>
      <c r="X3159">
        <v>0.9709274</v>
      </c>
      <c r="Y3159">
        <v>-7.8348829999999994E-2</v>
      </c>
      <c r="Z3159">
        <v>8.7014160000000004E-4</v>
      </c>
      <c r="AA3159">
        <v>0.99692570000000003</v>
      </c>
      <c r="AB3159">
        <v>44</v>
      </c>
      <c r="AC3159">
        <v>109.2587</v>
      </c>
      <c r="AD3159">
        <v>-0.762372299999999</v>
      </c>
      <c r="AE3159">
        <v>9.0253000000000103</v>
      </c>
      <c r="AF3159">
        <v>-8.6228006080868997</v>
      </c>
      <c r="AG3159">
        <v>-0.762372299999999</v>
      </c>
      <c r="AH3159">
        <v>109.285884434902</v>
      </c>
      <c r="AI3159">
        <v>90.398447426705005</v>
      </c>
      <c r="AJ3159">
        <v>94.511366446541302</v>
      </c>
      <c r="AK3159">
        <v>109.628182683877</v>
      </c>
      <c r="AL3159">
        <v>76.535850857253394</v>
      </c>
      <c r="AM3159">
        <v>86.724833356984405</v>
      </c>
      <c r="AN3159">
        <v>1.0000000375083999</v>
      </c>
    </row>
    <row r="3160" spans="1:40" x14ac:dyDescent="0.25">
      <c r="A3160" t="str">
        <f>"20190303170600413"</f>
        <v>20190303170600413</v>
      </c>
      <c r="B3160" t="str">
        <f>"1551603960407723"</f>
        <v>1551603960407723</v>
      </c>
      <c r="C3160" t="s">
        <v>40</v>
      </c>
      <c r="D3160">
        <v>5.7067500000000004</v>
      </c>
      <c r="E3160">
        <v>0.45340200000000003</v>
      </c>
      <c r="F3160" t="s">
        <v>54</v>
      </c>
      <c r="G3160">
        <v>-168.35059999999999</v>
      </c>
      <c r="H3160">
        <v>0.32115749999999998</v>
      </c>
      <c r="I3160">
        <v>223.46770000000001</v>
      </c>
      <c r="J3160">
        <v>-277.15039999999999</v>
      </c>
      <c r="K3160">
        <v>1.1206320000000001</v>
      </c>
      <c r="L3160">
        <v>214.50020000000001</v>
      </c>
      <c r="M3160">
        <v>0.99988889999999997</v>
      </c>
      <c r="N3160">
        <v>-1.453343E-2</v>
      </c>
      <c r="O3160">
        <v>3.3354270000000002E-3</v>
      </c>
      <c r="P3160">
        <v>0.97435799999999995</v>
      </c>
      <c r="Q3160">
        <v>0.21879770000000001</v>
      </c>
      <c r="R3160">
        <v>-5.2483179999999997E-2</v>
      </c>
      <c r="S3160">
        <v>3.0973510000000002</v>
      </c>
      <c r="T3160">
        <v>-2.2662760000000001E-2</v>
      </c>
      <c r="U3160">
        <v>0.25425720000000002</v>
      </c>
      <c r="V3160">
        <v>5.5949470000000001E-2</v>
      </c>
      <c r="W3160">
        <v>0.232881</v>
      </c>
      <c r="X3160">
        <v>0.97089449999999999</v>
      </c>
      <c r="Y3160">
        <v>-7.8482189999999993E-2</v>
      </c>
      <c r="Z3160">
        <v>8.8198839999999905E-4</v>
      </c>
      <c r="AA3160">
        <v>0.99691510000000005</v>
      </c>
      <c r="AB3160">
        <v>44</v>
      </c>
      <c r="AC3160">
        <v>108.7998</v>
      </c>
      <c r="AD3160">
        <v>-0.79947449999999998</v>
      </c>
      <c r="AE3160">
        <v>8.9674999999999994</v>
      </c>
      <c r="AF3160">
        <v>-8.6040565733103502</v>
      </c>
      <c r="AG3160">
        <v>-0.79947449999999998</v>
      </c>
      <c r="AH3160">
        <v>108.82327200856</v>
      </c>
      <c r="AI3160">
        <v>90.419608715301493</v>
      </c>
      <c r="AJ3160">
        <v>94.520657440603401</v>
      </c>
      <c r="AK3160">
        <v>109.16580728250899</v>
      </c>
      <c r="AL3160">
        <v>76.533252406323101</v>
      </c>
      <c r="AM3160">
        <v>86.701879506718498</v>
      </c>
      <c r="AN3160">
        <v>1.00000001674226</v>
      </c>
    </row>
    <row r="3161" spans="1:40" x14ac:dyDescent="0.25">
      <c r="A3161" t="str">
        <f>"20190303170600435"</f>
        <v>20190303170600435</v>
      </c>
      <c r="B3161" t="str">
        <f>"1551603960428219"</f>
        <v>1551603960428219</v>
      </c>
      <c r="C3161" t="s">
        <v>40</v>
      </c>
      <c r="D3161">
        <v>5.7426309999999896</v>
      </c>
      <c r="E3161">
        <v>0.453293</v>
      </c>
      <c r="F3161" t="s">
        <v>54</v>
      </c>
      <c r="G3161">
        <v>-168.35059999999999</v>
      </c>
      <c r="H3161">
        <v>0.35474679999999997</v>
      </c>
      <c r="I3161">
        <v>223.4383</v>
      </c>
      <c r="J3161">
        <v>-276.70209999999997</v>
      </c>
      <c r="K3161">
        <v>1.1206240000000001</v>
      </c>
      <c r="L3161">
        <v>214.50139999999999</v>
      </c>
      <c r="M3161">
        <v>0.9998899</v>
      </c>
      <c r="N3161">
        <v>-1.4530710000000001E-2</v>
      </c>
      <c r="O3161">
        <v>2.9990640000000001E-3</v>
      </c>
      <c r="P3161">
        <v>0.97448330000000005</v>
      </c>
      <c r="Q3161">
        <v>0.21793940000000001</v>
      </c>
      <c r="R3161">
        <v>-5.3710559999999997E-2</v>
      </c>
      <c r="S3161">
        <v>3.0975649999999999</v>
      </c>
      <c r="T3161">
        <v>-2.1803380000000001E-2</v>
      </c>
      <c r="U3161">
        <v>0.2544708</v>
      </c>
      <c r="V3161">
        <v>5.6852020000000003E-2</v>
      </c>
      <c r="W3161">
        <v>0.23202020000000001</v>
      </c>
      <c r="X3161">
        <v>0.97104809999999997</v>
      </c>
      <c r="Y3161">
        <v>-7.8880519999999996E-2</v>
      </c>
      <c r="Z3161">
        <v>8.7369179999999996E-4</v>
      </c>
      <c r="AA3161">
        <v>0.99688370000000004</v>
      </c>
      <c r="AB3161">
        <v>44</v>
      </c>
      <c r="AC3161">
        <v>108.3515</v>
      </c>
      <c r="AD3161">
        <v>-0.76587720000000004</v>
      </c>
      <c r="AE3161">
        <v>8.9368999999999996</v>
      </c>
      <c r="AF3161">
        <v>-8.6114450517520194</v>
      </c>
      <c r="AG3161">
        <v>-0.76587720000000004</v>
      </c>
      <c r="AH3161">
        <v>108.372439759977</v>
      </c>
      <c r="AI3161">
        <v>90.403635122920505</v>
      </c>
      <c r="AJ3161">
        <v>94.543266810410103</v>
      </c>
      <c r="AK3161">
        <v>108.716738606779</v>
      </c>
      <c r="AL3161">
        <v>76.583960977912696</v>
      </c>
      <c r="AM3161">
        <v>86.649324992699405</v>
      </c>
      <c r="AN3161">
        <v>0.99999996894986398</v>
      </c>
    </row>
    <row r="3162" spans="1:40" x14ac:dyDescent="0.25">
      <c r="A3162" t="str">
        <f>"20190303170600456"</f>
        <v>20190303170600456</v>
      </c>
      <c r="B3162" t="str">
        <f>"1551603960447739"</f>
        <v>1551603960447739</v>
      </c>
      <c r="C3162" t="s">
        <v>40</v>
      </c>
      <c r="D3162">
        <v>5.726585</v>
      </c>
      <c r="E3162">
        <v>0.46413870000000002</v>
      </c>
      <c r="F3162" t="s">
        <v>54</v>
      </c>
      <c r="G3162">
        <v>-168.35059999999999</v>
      </c>
      <c r="H3162">
        <v>0.27813529999999997</v>
      </c>
      <c r="I3162">
        <v>223.31649999999999</v>
      </c>
      <c r="J3162">
        <v>-276.28879999999998</v>
      </c>
      <c r="K3162">
        <v>1.1206210000000001</v>
      </c>
      <c r="L3162">
        <v>214.50229999999999</v>
      </c>
      <c r="M3162">
        <v>0.99989090000000003</v>
      </c>
      <c r="N3162">
        <v>-1.452817E-2</v>
      </c>
      <c r="O3162">
        <v>2.6888939999999998E-3</v>
      </c>
      <c r="P3162">
        <v>0.97444810000000004</v>
      </c>
      <c r="Q3162">
        <v>0.21776909999999999</v>
      </c>
      <c r="R3162">
        <v>-5.5025730000000002E-2</v>
      </c>
      <c r="S3162">
        <v>3.097839</v>
      </c>
      <c r="T3162">
        <v>-2.4085639999999998E-2</v>
      </c>
      <c r="U3162">
        <v>0.25202940000000001</v>
      </c>
      <c r="V3162">
        <v>5.786732E-2</v>
      </c>
      <c r="W3162">
        <v>0.23184579999999999</v>
      </c>
      <c r="X3162">
        <v>0.97102980000000005</v>
      </c>
      <c r="Y3162">
        <v>-7.8401269999999995E-2</v>
      </c>
      <c r="Z3162">
        <v>8.9291749999999997E-4</v>
      </c>
      <c r="AA3162">
        <v>0.99692150000000002</v>
      </c>
      <c r="AB3162">
        <v>44</v>
      </c>
      <c r="AC3162">
        <v>107.93819999999999</v>
      </c>
      <c r="AD3162">
        <v>-0.842485699999999</v>
      </c>
      <c r="AE3162">
        <v>8.8141999999999996</v>
      </c>
      <c r="AF3162">
        <v>-8.5233873095688892</v>
      </c>
      <c r="AG3162">
        <v>-0.842485699999999</v>
      </c>
      <c r="AH3162">
        <v>107.954979385835</v>
      </c>
      <c r="AI3162">
        <v>90.445742784606395</v>
      </c>
      <c r="AJ3162">
        <v>94.514318525221</v>
      </c>
      <c r="AK3162">
        <v>108.29420800569</v>
      </c>
      <c r="AL3162">
        <v>76.594233722872204</v>
      </c>
      <c r="AM3162">
        <v>86.589562359624793</v>
      </c>
      <c r="AN3162">
        <v>0.99999998709483096</v>
      </c>
    </row>
    <row r="3163" spans="1:40" x14ac:dyDescent="0.25">
      <c r="A3163" t="str">
        <f>"20190303170600478"</f>
        <v>20190303170600478</v>
      </c>
      <c r="B3163" t="str">
        <f>"1551603960468235"</f>
        <v>1551603960468235</v>
      </c>
      <c r="C3163" t="s">
        <v>40</v>
      </c>
      <c r="D3163">
        <v>5.8613080000000002</v>
      </c>
      <c r="E3163">
        <v>0.49665809999999999</v>
      </c>
      <c r="F3163" t="s">
        <v>60</v>
      </c>
      <c r="G3163">
        <v>-234.48920000000001</v>
      </c>
      <c r="H3163" s="1">
        <v>7.6022019999999899E-7</v>
      </c>
      <c r="I3163">
        <v>216.7191</v>
      </c>
      <c r="J3163">
        <v>-275.84989999999999</v>
      </c>
      <c r="K3163">
        <v>1.1206160000000001</v>
      </c>
      <c r="L3163">
        <v>214.5033</v>
      </c>
      <c r="M3163">
        <v>0.99989189999999994</v>
      </c>
      <c r="N3163">
        <v>-1.4525420000000001E-2</v>
      </c>
      <c r="O3163">
        <v>2.3595479999999999E-3</v>
      </c>
      <c r="P3163">
        <v>0.97443409999999997</v>
      </c>
      <c r="Q3163">
        <v>0.2174701</v>
      </c>
      <c r="R3163">
        <v>-5.6439209999999997E-2</v>
      </c>
      <c r="S3163">
        <v>3.1065369999999999</v>
      </c>
      <c r="T3163">
        <v>-8.3284259999999999E-2</v>
      </c>
      <c r="U3163">
        <v>0.16474910000000001</v>
      </c>
      <c r="V3163">
        <v>5.8961529999999998E-2</v>
      </c>
      <c r="W3163">
        <v>0.23154240000000001</v>
      </c>
      <c r="X3163">
        <v>0.97103640000000002</v>
      </c>
      <c r="Y3163">
        <v>-5.0574210000000001E-2</v>
      </c>
      <c r="Z3163">
        <v>1.0160659999999999E-3</v>
      </c>
      <c r="AA3163">
        <v>0.99871980000000005</v>
      </c>
      <c r="AB3163">
        <v>44</v>
      </c>
      <c r="AC3163">
        <v>41.360699999999902</v>
      </c>
      <c r="AD3163">
        <v>-1.1206152397797999</v>
      </c>
      <c r="AE3163">
        <v>2.2158000000000002</v>
      </c>
      <c r="AF3163">
        <v>-2.1166416784806601</v>
      </c>
      <c r="AG3163">
        <v>-1.1206152397797999</v>
      </c>
      <c r="AH3163">
        <v>41.335557332487497</v>
      </c>
      <c r="AI3163">
        <v>91.550888731565806</v>
      </c>
      <c r="AJ3163">
        <v>92.931345593007507</v>
      </c>
      <c r="AK3163">
        <v>41.404881964547002</v>
      </c>
      <c r="AL3163">
        <v>76.612103938903402</v>
      </c>
      <c r="AM3163">
        <v>86.525254685203905</v>
      </c>
      <c r="AN3163">
        <v>1.0000000175713299</v>
      </c>
    </row>
    <row r="3164" spans="1:40" x14ac:dyDescent="0.25">
      <c r="A3164" t="str">
        <f>"20190303170600501"</f>
        <v>20190303170600501</v>
      </c>
      <c r="B3164" t="str">
        <f>"1551603960487755"</f>
        <v>1551603960487755</v>
      </c>
      <c r="C3164" t="s">
        <v>40</v>
      </c>
      <c r="D3164">
        <v>5.6612010000000001</v>
      </c>
      <c r="E3164">
        <v>0.50248760000000003</v>
      </c>
      <c r="F3164" t="s">
        <v>60</v>
      </c>
      <c r="G3164">
        <v>-249.57560000000001</v>
      </c>
      <c r="H3164" s="1">
        <v>3.5993279999999999E-6</v>
      </c>
      <c r="I3164">
        <v>213.69059999999999</v>
      </c>
      <c r="J3164">
        <v>-275.40969999999999</v>
      </c>
      <c r="K3164">
        <v>1.120611</v>
      </c>
      <c r="L3164">
        <v>214.50399999999999</v>
      </c>
      <c r="M3164">
        <v>0.99989260000000002</v>
      </c>
      <c r="N3164">
        <v>-1.452269E-2</v>
      </c>
      <c r="O3164">
        <v>2.029327E-3</v>
      </c>
      <c r="P3164">
        <v>0.97453429999999996</v>
      </c>
      <c r="Q3164">
        <v>0.21668519999999999</v>
      </c>
      <c r="R3164">
        <v>-5.7712659999999999E-2</v>
      </c>
      <c r="S3164">
        <v>3.102722</v>
      </c>
      <c r="T3164">
        <v>-0.13233259999999999</v>
      </c>
      <c r="U3164">
        <v>-9.5962519999999996E-2</v>
      </c>
      <c r="V3164">
        <v>5.9914090000000003E-2</v>
      </c>
      <c r="W3164">
        <v>0.23075560000000001</v>
      </c>
      <c r="X3164">
        <v>0.97116539999999996</v>
      </c>
      <c r="Y3164">
        <v>3.2901340000000001E-2</v>
      </c>
      <c r="Z3164">
        <v>-9.9730140000000005E-4</v>
      </c>
      <c r="AA3164">
        <v>0.99945810000000002</v>
      </c>
      <c r="AB3164">
        <v>44</v>
      </c>
      <c r="AC3164">
        <v>25.8340999999999</v>
      </c>
      <c r="AD3164">
        <v>-1.1206074006719999</v>
      </c>
      <c r="AE3164">
        <v>-0.81340000000002899</v>
      </c>
      <c r="AF3164">
        <v>0.86420523263403204</v>
      </c>
      <c r="AG3164">
        <v>-1.1206074006719999</v>
      </c>
      <c r="AH3164">
        <v>25.783929752303699</v>
      </c>
      <c r="AI3164">
        <v>92.487197578694705</v>
      </c>
      <c r="AJ3164">
        <v>88.080324312715703</v>
      </c>
      <c r="AK3164">
        <v>25.822735043025201</v>
      </c>
      <c r="AL3164">
        <v>76.658439390408404</v>
      </c>
      <c r="AM3164">
        <v>86.469726710507402</v>
      </c>
      <c r="AN3164">
        <v>1.0000000396345201</v>
      </c>
    </row>
    <row r="3165" spans="1:40" x14ac:dyDescent="0.25">
      <c r="A3165" t="str">
        <f>"20190303170600524"</f>
        <v>20190303170600524</v>
      </c>
      <c r="B3165" t="str">
        <f>"1551603960518011"</f>
        <v>1551603960518011</v>
      </c>
      <c r="C3165" t="s">
        <v>40</v>
      </c>
      <c r="D3165">
        <v>5.6212730000000004</v>
      </c>
      <c r="E3165">
        <v>0.50491560000000002</v>
      </c>
      <c r="F3165" t="s">
        <v>60</v>
      </c>
      <c r="G3165">
        <v>-247.70439999999999</v>
      </c>
      <c r="H3165" s="1">
        <v>2.6252470000000001E-6</v>
      </c>
      <c r="I3165">
        <v>213.19450000000001</v>
      </c>
      <c r="J3165">
        <v>-274.96100000000001</v>
      </c>
      <c r="K3165">
        <v>1.120606</v>
      </c>
      <c r="L3165">
        <v>214.50460000000001</v>
      </c>
      <c r="M3165">
        <v>0.99989320000000004</v>
      </c>
      <c r="N3165">
        <v>-1.4519880000000001E-2</v>
      </c>
      <c r="O3165">
        <v>1.6921480000000001E-3</v>
      </c>
      <c r="P3165">
        <v>0.97458699999999998</v>
      </c>
      <c r="Q3165">
        <v>0.21615409999999999</v>
      </c>
      <c r="R3165">
        <v>-5.8801819999999998E-2</v>
      </c>
      <c r="S3165">
        <v>3.0975950000000001</v>
      </c>
      <c r="T3165">
        <v>-0.1252896</v>
      </c>
      <c r="U3165">
        <v>-0.14640810000000001</v>
      </c>
      <c r="V3165">
        <v>6.067525E-2</v>
      </c>
      <c r="W3165">
        <v>0.2302216</v>
      </c>
      <c r="X3165">
        <v>0.97124489999999997</v>
      </c>
      <c r="Y3165">
        <v>4.8847979999999999E-2</v>
      </c>
      <c r="Z3165">
        <v>-1.3858049999999999E-3</v>
      </c>
      <c r="AA3165">
        <v>0.99880530000000001</v>
      </c>
      <c r="AB3165">
        <v>44</v>
      </c>
      <c r="AC3165">
        <v>27.256599999999999</v>
      </c>
      <c r="AD3165">
        <v>-1.120603374753</v>
      </c>
      <c r="AE3165">
        <v>-1.3101</v>
      </c>
      <c r="AF3165">
        <v>1.3539419098585801</v>
      </c>
      <c r="AG3165">
        <v>-1.120603374753</v>
      </c>
      <c r="AH3165">
        <v>27.208459747648199</v>
      </c>
      <c r="AI3165">
        <v>92.355530776728997</v>
      </c>
      <c r="AJ3165">
        <v>87.151208802578495</v>
      </c>
      <c r="AK3165">
        <v>27.265164449497998</v>
      </c>
      <c r="AL3165">
        <v>76.689882247728605</v>
      </c>
      <c r="AM3165">
        <v>86.425284903713901</v>
      </c>
      <c r="AN3165">
        <v>1.0000000634225601</v>
      </c>
    </row>
    <row r="3166" spans="1:40" x14ac:dyDescent="0.25">
      <c r="A3166" t="str">
        <f>"20190303170600558"</f>
        <v>20190303170600558</v>
      </c>
      <c r="B3166" t="str">
        <f>"1551603960548267"</f>
        <v>1551603960548267</v>
      </c>
      <c r="C3166" t="s">
        <v>40</v>
      </c>
      <c r="D3166">
        <v>5.6608559999999999</v>
      </c>
      <c r="E3166">
        <v>0.50557269999999999</v>
      </c>
      <c r="F3166" t="s">
        <v>60</v>
      </c>
      <c r="G3166">
        <v>-247.16800000000001</v>
      </c>
      <c r="H3166" s="1">
        <v>2.3492899999999998E-6</v>
      </c>
      <c r="I3166">
        <v>212.97829999999999</v>
      </c>
      <c r="J3166">
        <v>-274.30059999999997</v>
      </c>
      <c r="K3166">
        <v>1.120598</v>
      </c>
      <c r="L3166">
        <v>214.5052</v>
      </c>
      <c r="M3166">
        <v>0.99989399999999995</v>
      </c>
      <c r="N3166">
        <v>-1.4515729999999999E-2</v>
      </c>
      <c r="O3166">
        <v>1.1953700000000001E-3</v>
      </c>
      <c r="P3166">
        <v>0.97461620000000004</v>
      </c>
      <c r="Q3166">
        <v>0.21588979999999999</v>
      </c>
      <c r="R3166">
        <v>-5.928903E-2</v>
      </c>
      <c r="S3166">
        <v>3.0956419999999998</v>
      </c>
      <c r="T3166">
        <v>-0.1248152</v>
      </c>
      <c r="U3166">
        <v>-0.16999819999999999</v>
      </c>
      <c r="V3166">
        <v>6.067906E-2</v>
      </c>
      <c r="W3166">
        <v>0.2299543</v>
      </c>
      <c r="X3166">
        <v>0.9713079</v>
      </c>
      <c r="Y3166">
        <v>5.596425E-2</v>
      </c>
      <c r="Z3166">
        <v>-1.564462E-3</v>
      </c>
      <c r="AA3166">
        <v>0.99843159999999997</v>
      </c>
      <c r="AB3166">
        <v>44</v>
      </c>
      <c r="AC3166">
        <v>27.132599999999901</v>
      </c>
      <c r="AD3166">
        <v>-1.1205956507099999</v>
      </c>
      <c r="AE3166">
        <v>-1.5269000000000099</v>
      </c>
      <c r="AF3166">
        <v>1.5566888827438301</v>
      </c>
      <c r="AG3166">
        <v>-1.1205956507099999</v>
      </c>
      <c r="AH3166">
        <v>27.0847013642876</v>
      </c>
      <c r="AI3166">
        <v>92.365290963167993</v>
      </c>
      <c r="AJ3166">
        <v>86.710553116008001</v>
      </c>
      <c r="AK3166">
        <v>27.1525332682365</v>
      </c>
      <c r="AL3166">
        <v>76.705618550085902</v>
      </c>
      <c r="AM3166">
        <v>86.425292290452902</v>
      </c>
      <c r="AN3166">
        <v>0.99999998250669098</v>
      </c>
    </row>
    <row r="3167" spans="1:40" x14ac:dyDescent="0.25">
      <c r="A3167" t="str">
        <f>"20190303170600581"</f>
        <v>20190303170600581</v>
      </c>
      <c r="B3167" t="str">
        <f>"1551603960567786"</f>
        <v>1551603960567786</v>
      </c>
      <c r="C3167" t="s">
        <v>40</v>
      </c>
      <c r="D3167">
        <v>5.6481250000000003</v>
      </c>
      <c r="E3167">
        <v>0.50550079999999997</v>
      </c>
      <c r="F3167" t="s">
        <v>60</v>
      </c>
      <c r="G3167">
        <v>-244.82550000000001</v>
      </c>
      <c r="H3167" s="1">
        <v>1.109785E-6</v>
      </c>
      <c r="I3167">
        <v>212.8168</v>
      </c>
      <c r="J3167">
        <v>-273.8553</v>
      </c>
      <c r="K3167">
        <v>1.1206</v>
      </c>
      <c r="L3167">
        <v>214.50550000000001</v>
      </c>
      <c r="M3167">
        <v>0.99989439999999996</v>
      </c>
      <c r="N3167">
        <v>-1.451293E-2</v>
      </c>
      <c r="O3167">
        <v>8.5994160000000001E-4</v>
      </c>
      <c r="P3167">
        <v>0.97452030000000001</v>
      </c>
      <c r="Q3167">
        <v>0.2161728</v>
      </c>
      <c r="R3167">
        <v>-5.9830370000000001E-2</v>
      </c>
      <c r="S3167">
        <v>3.093445</v>
      </c>
      <c r="T3167">
        <v>-0.11760809999999999</v>
      </c>
      <c r="U3167">
        <v>-0.17720030000000001</v>
      </c>
      <c r="V3167">
        <v>6.0894190000000001E-2</v>
      </c>
      <c r="W3167">
        <v>0.2302332</v>
      </c>
      <c r="X3167">
        <v>0.97122839999999999</v>
      </c>
      <c r="Y3167">
        <v>5.798938E-2</v>
      </c>
      <c r="Z3167">
        <v>-1.542596E-3</v>
      </c>
      <c r="AA3167">
        <v>0.99831599999999998</v>
      </c>
      <c r="AB3167">
        <v>44</v>
      </c>
      <c r="AC3167">
        <v>29.029799999999899</v>
      </c>
      <c r="AD3167">
        <v>-1.1205988902149999</v>
      </c>
      <c r="AE3167">
        <v>-1.6887000000000101</v>
      </c>
      <c r="AF3167">
        <v>1.71112480556654</v>
      </c>
      <c r="AG3167">
        <v>-1.1205988902149999</v>
      </c>
      <c r="AH3167">
        <v>28.985291915006002</v>
      </c>
      <c r="AI3167">
        <v>92.210162496527502</v>
      </c>
      <c r="AJ3167">
        <v>86.621508039821194</v>
      </c>
      <c r="AK3167">
        <v>29.0573714807635</v>
      </c>
      <c r="AL3167">
        <v>76.689198638647198</v>
      </c>
      <c r="AM3167">
        <v>86.412358774135598</v>
      </c>
      <c r="AN3167">
        <v>1.00000001686227</v>
      </c>
    </row>
    <row r="3168" spans="1:40" x14ac:dyDescent="0.25">
      <c r="A3168" t="str">
        <f>"20190303170600602"</f>
        <v>20190303170600602</v>
      </c>
      <c r="B3168" t="str">
        <f>"1551603960598043"</f>
        <v>1551603960598043</v>
      </c>
      <c r="C3168" t="s">
        <v>40</v>
      </c>
      <c r="D3168">
        <v>5.7509730000000001</v>
      </c>
      <c r="E3168">
        <v>0.50574750000000002</v>
      </c>
      <c r="F3168" t="s">
        <v>60</v>
      </c>
      <c r="G3168">
        <v>-242.4828</v>
      </c>
      <c r="H3168" s="1">
        <v>-1.3169159999999999E-7</v>
      </c>
      <c r="I3168">
        <v>212.69759999999999</v>
      </c>
      <c r="J3168">
        <v>-273.4323</v>
      </c>
      <c r="K3168">
        <v>1.120608</v>
      </c>
      <c r="L3168">
        <v>214.50559999999999</v>
      </c>
      <c r="M3168">
        <v>0.99989470000000003</v>
      </c>
      <c r="N3168">
        <v>-1.4510260000000001E-2</v>
      </c>
      <c r="O3168">
        <v>5.4127190000000005E-4</v>
      </c>
      <c r="P3168">
        <v>0.97454870000000005</v>
      </c>
      <c r="Q3168">
        <v>0.21609100000000001</v>
      </c>
      <c r="R3168">
        <v>-5.9665639999999999E-2</v>
      </c>
      <c r="S3168">
        <v>3.0920100000000001</v>
      </c>
      <c r="T3168">
        <v>-0.1104443</v>
      </c>
      <c r="U3168">
        <v>-0.1781769</v>
      </c>
      <c r="V3168">
        <v>6.0418729999999997E-2</v>
      </c>
      <c r="W3168">
        <v>0.23014970000000001</v>
      </c>
      <c r="X3168">
        <v>0.97127790000000003</v>
      </c>
      <c r="Y3168">
        <v>5.8017890000000003E-2</v>
      </c>
      <c r="Z3168">
        <v>-1.4679420000000001E-3</v>
      </c>
      <c r="AA3168">
        <v>0.99831440000000005</v>
      </c>
      <c r="AB3168">
        <v>44</v>
      </c>
      <c r="AC3168">
        <v>30.9495</v>
      </c>
      <c r="AD3168">
        <v>-1.1206081316915999</v>
      </c>
      <c r="AE3168">
        <v>-1.8079999999999901</v>
      </c>
      <c r="AF3168">
        <v>1.82237259981359</v>
      </c>
      <c r="AG3168">
        <v>-1.1206081316915999</v>
      </c>
      <c r="AH3168">
        <v>30.9081342160387</v>
      </c>
      <c r="AI3168">
        <v>92.072814822109294</v>
      </c>
      <c r="AJ3168">
        <v>86.625693588701495</v>
      </c>
      <c r="AK3168">
        <v>30.9820845843856</v>
      </c>
      <c r="AL3168">
        <v>76.694115080683204</v>
      </c>
      <c r="AM3168">
        <v>86.440479607686697</v>
      </c>
      <c r="AN3168">
        <v>1.0000000331866501</v>
      </c>
    </row>
    <row r="3169" spans="1:40" x14ac:dyDescent="0.25">
      <c r="A3169" t="str">
        <f>"20190303170600625"</f>
        <v>20190303170600625</v>
      </c>
      <c r="B3169" t="str">
        <f>"1551603960617585"</f>
        <v>1551603960617585</v>
      </c>
      <c r="C3169" t="s">
        <v>40</v>
      </c>
      <c r="D3169">
        <v>5.6370480000000001</v>
      </c>
      <c r="E3169">
        <v>0.50579229999999997</v>
      </c>
      <c r="F3169" t="s">
        <v>60</v>
      </c>
      <c r="G3169">
        <v>-242.33750000000001</v>
      </c>
      <c r="H3169" s="1">
        <v>-2.091282E-7</v>
      </c>
      <c r="I3169">
        <v>212.70050000000001</v>
      </c>
      <c r="J3169">
        <v>-272.99220000000003</v>
      </c>
      <c r="K3169">
        <v>1.120614</v>
      </c>
      <c r="L3169">
        <v>214.50550000000001</v>
      </c>
      <c r="M3169">
        <v>0.99989470000000003</v>
      </c>
      <c r="N3169">
        <v>-1.450749E-2</v>
      </c>
      <c r="O3169">
        <v>2.139919E-4</v>
      </c>
      <c r="P3169">
        <v>0.97462470000000001</v>
      </c>
      <c r="Q3169">
        <v>0.2158342</v>
      </c>
      <c r="R3169">
        <v>-5.9350010000000002E-2</v>
      </c>
      <c r="S3169">
        <v>3.092041</v>
      </c>
      <c r="T3169">
        <v>-0.1114327</v>
      </c>
      <c r="U3169">
        <v>-0.17948910000000001</v>
      </c>
      <c r="V3169">
        <v>5.9783040000000003E-2</v>
      </c>
      <c r="W3169">
        <v>0.2298926</v>
      </c>
      <c r="X3169">
        <v>0.97137810000000002</v>
      </c>
      <c r="Y3169">
        <v>5.8112009999999999E-2</v>
      </c>
      <c r="Z3169">
        <v>-1.4726159999999999E-3</v>
      </c>
      <c r="AA3169">
        <v>0.998309</v>
      </c>
      <c r="AB3169">
        <v>44</v>
      </c>
      <c r="AC3169">
        <v>30.654699999999998</v>
      </c>
      <c r="AD3169">
        <v>-1.1206142091281901</v>
      </c>
      <c r="AE3169">
        <v>-1.8049999999999999</v>
      </c>
      <c r="AF3169">
        <v>1.8091512124993101</v>
      </c>
      <c r="AG3169">
        <v>-1.1206142091281901</v>
      </c>
      <c r="AH3169">
        <v>30.613544138600599</v>
      </c>
      <c r="AI3169">
        <v>92.092738268027901</v>
      </c>
      <c r="AJ3169">
        <v>86.617957369166206</v>
      </c>
      <c r="AK3169">
        <v>30.687422326442402</v>
      </c>
      <c r="AL3169">
        <v>76.709251475370806</v>
      </c>
      <c r="AM3169">
        <v>86.478198393605496</v>
      </c>
      <c r="AN3169">
        <v>1.0000000162830001</v>
      </c>
    </row>
    <row r="3170" spans="1:40" x14ac:dyDescent="0.25">
      <c r="A3170" t="str">
        <f>"20190303170600646"</f>
        <v>20190303170600646</v>
      </c>
      <c r="B3170" t="str">
        <f>"1551603960638081"</f>
        <v>1551603960638081</v>
      </c>
      <c r="C3170" t="s">
        <v>40</v>
      </c>
      <c r="D3170">
        <v>5.616174</v>
      </c>
      <c r="E3170">
        <v>0.50591699999999995</v>
      </c>
      <c r="F3170" t="s">
        <v>60</v>
      </c>
      <c r="G3170">
        <v>-242.34690000000001</v>
      </c>
      <c r="H3170" s="1">
        <v>-2.052275E-7</v>
      </c>
      <c r="I3170">
        <v>212.72479999999999</v>
      </c>
      <c r="J3170">
        <v>-272.5718</v>
      </c>
      <c r="K3170">
        <v>1.1206179999999999</v>
      </c>
      <c r="L3170">
        <v>214.50530000000001</v>
      </c>
      <c r="M3170">
        <v>0.99989470000000003</v>
      </c>
      <c r="N3170">
        <v>-1.450481E-2</v>
      </c>
      <c r="O3170" s="1">
        <v>-8.9741409999999995E-5</v>
      </c>
      <c r="P3170">
        <v>0.97459439999999997</v>
      </c>
      <c r="Q3170">
        <v>0.21604209999999999</v>
      </c>
      <c r="R3170">
        <v>-5.9088889999999998E-2</v>
      </c>
      <c r="S3170">
        <v>3.0921630000000002</v>
      </c>
      <c r="T3170">
        <v>-0.1130718</v>
      </c>
      <c r="U3170">
        <v>-0.1796722</v>
      </c>
      <c r="V3170">
        <v>5.9223289999999998E-2</v>
      </c>
      <c r="W3170">
        <v>0.23009859999999999</v>
      </c>
      <c r="X3170">
        <v>0.97136359999999999</v>
      </c>
      <c r="Y3170">
        <v>5.786438E-2</v>
      </c>
      <c r="Z3170">
        <v>-1.474976E-3</v>
      </c>
      <c r="AA3170">
        <v>0.99832339999999997</v>
      </c>
      <c r="AB3170">
        <v>44</v>
      </c>
      <c r="AC3170">
        <v>30.224899999999899</v>
      </c>
      <c r="AD3170">
        <v>-1.1206182052275</v>
      </c>
      <c r="AE3170">
        <v>-1.78050000000001</v>
      </c>
      <c r="AF3170">
        <v>1.7753552662271099</v>
      </c>
      <c r="AG3170">
        <v>-1.1206182052275</v>
      </c>
      <c r="AH3170">
        <v>30.1837117500991</v>
      </c>
      <c r="AI3170">
        <v>92.122555139073199</v>
      </c>
      <c r="AJ3170">
        <v>86.633836690678095</v>
      </c>
      <c r="AK3170">
        <v>30.256637726229201</v>
      </c>
      <c r="AL3170">
        <v>76.697123240039502</v>
      </c>
      <c r="AM3170">
        <v>86.511039317022906</v>
      </c>
      <c r="AN3170">
        <v>1.0000000036026699</v>
      </c>
    </row>
    <row r="3171" spans="1:40" x14ac:dyDescent="0.25">
      <c r="A3171" t="str">
        <f>"20190303170600669"</f>
        <v>20190303170600669</v>
      </c>
      <c r="B3171" t="str">
        <f>"1551603960657602"</f>
        <v>1551603960657602</v>
      </c>
      <c r="C3171" t="s">
        <v>40</v>
      </c>
      <c r="D3171">
        <v>5.650881</v>
      </c>
      <c r="E3171">
        <v>0.50599399999999894</v>
      </c>
      <c r="F3171" t="s">
        <v>60</v>
      </c>
      <c r="G3171">
        <v>-241.6268</v>
      </c>
      <c r="H3171" s="1">
        <v>-5.8752330000000002E-7</v>
      </c>
      <c r="I3171">
        <v>212.70509999999999</v>
      </c>
      <c r="J3171">
        <v>-272.13780000000003</v>
      </c>
      <c r="K3171">
        <v>1.120625</v>
      </c>
      <c r="L3171">
        <v>214.505</v>
      </c>
      <c r="M3171">
        <v>0.99989490000000003</v>
      </c>
      <c r="N3171">
        <v>-1.4502019999999999E-2</v>
      </c>
      <c r="O3171">
        <v>-3.925725E-4</v>
      </c>
      <c r="P3171">
        <v>0.97453239999999997</v>
      </c>
      <c r="Q3171">
        <v>0.2161333</v>
      </c>
      <c r="R3171">
        <v>-5.9776219999999998E-2</v>
      </c>
      <c r="S3171">
        <v>3.092133</v>
      </c>
      <c r="T3171">
        <v>-0.1119763</v>
      </c>
      <c r="U3171">
        <v>-0.17988589999999999</v>
      </c>
      <c r="V3171">
        <v>5.9610740000000002E-2</v>
      </c>
      <c r="W3171">
        <v>0.2301877</v>
      </c>
      <c r="X3171">
        <v>0.97131880000000004</v>
      </c>
      <c r="Y3171">
        <v>5.7632500000000003E-2</v>
      </c>
      <c r="Z3171">
        <v>-1.452257E-3</v>
      </c>
      <c r="AA3171">
        <v>0.99833680000000002</v>
      </c>
      <c r="AB3171">
        <v>44</v>
      </c>
      <c r="AC3171">
        <v>30.510999999999999</v>
      </c>
      <c r="AD3171">
        <v>-1.1206255875233</v>
      </c>
      <c r="AE3171">
        <v>-1.7999000000000001</v>
      </c>
      <c r="AF3171">
        <v>1.78552053044654</v>
      </c>
      <c r="AG3171">
        <v>-1.1206255875233</v>
      </c>
      <c r="AH3171">
        <v>30.470742188672901</v>
      </c>
      <c r="AI3171">
        <v>92.102619909401994</v>
      </c>
      <c r="AJ3171">
        <v>86.6464243655997</v>
      </c>
      <c r="AK3171">
        <v>30.543575671499699</v>
      </c>
      <c r="AL3171">
        <v>76.691877516346096</v>
      </c>
      <c r="AM3171">
        <v>86.488109245074298</v>
      </c>
      <c r="AN3171">
        <v>1.00000001439403</v>
      </c>
    </row>
    <row r="3172" spans="1:40" x14ac:dyDescent="0.25">
      <c r="A3172" t="str">
        <f>"20190303170600691"</f>
        <v>20190303170600691</v>
      </c>
      <c r="B3172" t="str">
        <f>"1551603960678098"</f>
        <v>1551603960678098</v>
      </c>
      <c r="C3172" t="s">
        <v>40</v>
      </c>
      <c r="D3172">
        <v>5.6145889999999996</v>
      </c>
      <c r="E3172">
        <v>0.50590409999999997</v>
      </c>
      <c r="F3172" t="s">
        <v>60</v>
      </c>
      <c r="G3172">
        <v>-240.99700000000001</v>
      </c>
      <c r="H3172" s="1">
        <v>-9.2139929999999998E-7</v>
      </c>
      <c r="I3172">
        <v>212.67500000000001</v>
      </c>
      <c r="J3172">
        <v>-271.69830000000002</v>
      </c>
      <c r="K3172">
        <v>1.120641</v>
      </c>
      <c r="L3172">
        <v>214.50460000000001</v>
      </c>
      <c r="M3172">
        <v>0.99989470000000003</v>
      </c>
      <c r="N3172">
        <v>-1.449919E-2</v>
      </c>
      <c r="O3172">
        <v>-6.7896549999999997E-4</v>
      </c>
      <c r="P3172">
        <v>0.97438400000000003</v>
      </c>
      <c r="Q3172">
        <v>0.21674860000000001</v>
      </c>
      <c r="R3172">
        <v>-5.9967890000000003E-2</v>
      </c>
      <c r="S3172">
        <v>3.0919189999999999</v>
      </c>
      <c r="T3172">
        <v>-0.1112648</v>
      </c>
      <c r="U3172">
        <v>-0.18170169999999999</v>
      </c>
      <c r="V3172">
        <v>5.9515980000000003E-2</v>
      </c>
      <c r="W3172">
        <v>0.23080020000000001</v>
      </c>
      <c r="X3172">
        <v>0.97117920000000002</v>
      </c>
      <c r="Y3172">
        <v>5.7935210000000001E-2</v>
      </c>
      <c r="Z3172">
        <v>-1.447196E-3</v>
      </c>
      <c r="AA3172">
        <v>0.99831930000000002</v>
      </c>
      <c r="AB3172">
        <v>44</v>
      </c>
      <c r="AC3172">
        <v>30.7013</v>
      </c>
      <c r="AD3172">
        <v>-1.1206419213993</v>
      </c>
      <c r="AE3172">
        <v>-1.8295999999999899</v>
      </c>
      <c r="AF3172">
        <v>1.8063540749584299</v>
      </c>
      <c r="AG3172">
        <v>-1.1206419213993</v>
      </c>
      <c r="AH3172">
        <v>30.661827395650899</v>
      </c>
      <c r="AI3172">
        <v>92.089519997823203</v>
      </c>
      <c r="AJ3172">
        <v>86.628479472037299</v>
      </c>
      <c r="AK3172">
        <v>30.735426019510498</v>
      </c>
      <c r="AL3172">
        <v>76.655812042126598</v>
      </c>
      <c r="AM3172">
        <v>86.493175220009903</v>
      </c>
      <c r="AN3172">
        <v>0.99999996135401903</v>
      </c>
    </row>
    <row r="3173" spans="1:40" x14ac:dyDescent="0.25">
      <c r="A3173" t="str">
        <f>"20190303170600714"</f>
        <v>20190303170600714</v>
      </c>
      <c r="B3173" t="str">
        <f>"1551603960708354"</f>
        <v>1551603960708354</v>
      </c>
      <c r="C3173" t="s">
        <v>40</v>
      </c>
      <c r="D3173">
        <v>5.5975890000000001</v>
      </c>
      <c r="E3173">
        <v>0.50583509999999998</v>
      </c>
      <c r="F3173" t="s">
        <v>60</v>
      </c>
      <c r="G3173">
        <v>-240.07990000000001</v>
      </c>
      <c r="H3173" s="1">
        <v>-1.4084079999999999E-6</v>
      </c>
      <c r="I3173">
        <v>212.65190000000001</v>
      </c>
      <c r="J3173">
        <v>-271.24959999999999</v>
      </c>
      <c r="K3173">
        <v>1.1206640000000001</v>
      </c>
      <c r="L3173">
        <v>214.50409999999999</v>
      </c>
      <c r="M3173">
        <v>0.99989459999999997</v>
      </c>
      <c r="N3173">
        <v>-1.449629E-2</v>
      </c>
      <c r="O3173">
        <v>-9.3933570000000004E-4</v>
      </c>
      <c r="P3173">
        <v>0.97444319999999895</v>
      </c>
      <c r="Q3173">
        <v>0.2164943</v>
      </c>
      <c r="R3173">
        <v>-5.9923249999999997E-2</v>
      </c>
      <c r="S3173">
        <v>3.0920719999999999</v>
      </c>
      <c r="T3173">
        <v>-0.10959149999999999</v>
      </c>
      <c r="U3173">
        <v>-0.18118290000000001</v>
      </c>
      <c r="V3173">
        <v>5.9204659999999999E-2</v>
      </c>
      <c r="W3173">
        <v>0.2305478</v>
      </c>
      <c r="X3173">
        <v>0.97125819999999996</v>
      </c>
      <c r="Y3173">
        <v>5.7507210000000003E-2</v>
      </c>
      <c r="Z3173">
        <v>-1.4156479999999901E-3</v>
      </c>
      <c r="AA3173">
        <v>0.99834409999999896</v>
      </c>
      <c r="AB3173">
        <v>44</v>
      </c>
      <c r="AC3173">
        <v>31.169699999999899</v>
      </c>
      <c r="AD3173">
        <v>-1.1206654084080001</v>
      </c>
      <c r="AE3173">
        <v>-1.8521999999999801</v>
      </c>
      <c r="AF3173">
        <v>1.82057218443139</v>
      </c>
      <c r="AG3173">
        <v>-1.1206654084080001</v>
      </c>
      <c r="AH3173">
        <v>31.131325426708401</v>
      </c>
      <c r="AI3173">
        <v>92.058129844474294</v>
      </c>
      <c r="AJ3173">
        <v>86.653132132789693</v>
      </c>
      <c r="AK3173">
        <v>31.204643834851701</v>
      </c>
      <c r="AL3173">
        <v>76.670674644061293</v>
      </c>
      <c r="AM3173">
        <v>86.511756571882003</v>
      </c>
      <c r="AN3173">
        <v>0.99999998545889701</v>
      </c>
    </row>
    <row r="3174" spans="1:40" x14ac:dyDescent="0.25">
      <c r="A3174" t="str">
        <f>"20190303170600735"</f>
        <v>20190303170600735</v>
      </c>
      <c r="B3174" t="str">
        <f>"1551603960727874"</f>
        <v>1551603960727874</v>
      </c>
      <c r="C3174" t="s">
        <v>40</v>
      </c>
      <c r="D3174">
        <v>5.6950669999999999</v>
      </c>
      <c r="E3174">
        <v>0.50574490000000005</v>
      </c>
      <c r="F3174" t="s">
        <v>60</v>
      </c>
      <c r="G3174">
        <v>-238.4341</v>
      </c>
      <c r="H3174" s="1">
        <v>3.0404280000000001E-6</v>
      </c>
      <c r="I3174">
        <v>212.57990000000001</v>
      </c>
      <c r="J3174">
        <v>-270.83069999999998</v>
      </c>
      <c r="K3174">
        <v>1.1206860000000001</v>
      </c>
      <c r="L3174">
        <v>214.5035</v>
      </c>
      <c r="M3174">
        <v>0.99989430000000001</v>
      </c>
      <c r="N3174">
        <v>-1.449377E-2</v>
      </c>
      <c r="O3174">
        <v>-1.14572E-3</v>
      </c>
      <c r="P3174">
        <v>0.97456620000000005</v>
      </c>
      <c r="Q3174">
        <v>0.2159093</v>
      </c>
      <c r="R3174">
        <v>-6.0032849999999999E-2</v>
      </c>
      <c r="S3174">
        <v>3.0910030000000002</v>
      </c>
      <c r="T3174">
        <v>-0.1055589</v>
      </c>
      <c r="U3174">
        <v>-0.18124390000000001</v>
      </c>
      <c r="V3174">
        <v>5.9096259999999998E-2</v>
      </c>
      <c r="W3174">
        <v>0.2299668</v>
      </c>
      <c r="X3174">
        <v>0.97140249999999995</v>
      </c>
      <c r="Y3174">
        <v>5.7344199999999998E-2</v>
      </c>
      <c r="Z3174">
        <v>-1.3716640000000001E-3</v>
      </c>
      <c r="AA3174">
        <v>0.9983535</v>
      </c>
      <c r="AB3174">
        <v>44</v>
      </c>
      <c r="AC3174">
        <v>32.3965999999999</v>
      </c>
      <c r="AD3174">
        <v>-1.120682959572</v>
      </c>
      <c r="AE3174">
        <v>-1.92359999999999</v>
      </c>
      <c r="AF3174">
        <v>1.8842305646772699</v>
      </c>
      <c r="AG3174">
        <v>-1.120682959572</v>
      </c>
      <c r="AH3174">
        <v>32.360195130077201</v>
      </c>
      <c r="AI3174">
        <v>91.980096519948702</v>
      </c>
      <c r="AJ3174">
        <v>86.667612784075004</v>
      </c>
      <c r="AK3174">
        <v>32.434371952812803</v>
      </c>
      <c r="AL3174">
        <v>76.704882285172204</v>
      </c>
      <c r="AM3174">
        <v>86.518643552070699</v>
      </c>
      <c r="AN3174">
        <v>0.99999995702723699</v>
      </c>
    </row>
    <row r="3175" spans="1:40" x14ac:dyDescent="0.25">
      <c r="A3175" t="str">
        <f>"20190303170600759"</f>
        <v>20190303170600759</v>
      </c>
      <c r="B3175" t="str">
        <f>"1551603960748369"</f>
        <v>1551603960748369</v>
      </c>
      <c r="C3175" t="s">
        <v>40</v>
      </c>
      <c r="D3175">
        <v>5.656949</v>
      </c>
      <c r="E3175">
        <v>0.50569160000000002</v>
      </c>
      <c r="F3175" t="s">
        <v>60</v>
      </c>
      <c r="G3175">
        <v>-239.20169999999999</v>
      </c>
      <c r="H3175" s="1">
        <v>3.4458219999999999E-6</v>
      </c>
      <c r="I3175">
        <v>212.65010000000001</v>
      </c>
      <c r="J3175">
        <v>-270.38850000000002</v>
      </c>
      <c r="K3175">
        <v>1.1207229999999999</v>
      </c>
      <c r="L3175">
        <v>214.50280000000001</v>
      </c>
      <c r="M3175">
        <v>0.99989419999999996</v>
      </c>
      <c r="N3175">
        <v>-1.449114E-2</v>
      </c>
      <c r="O3175">
        <v>-1.3216739999999999E-3</v>
      </c>
      <c r="P3175">
        <v>0.97470109999999999</v>
      </c>
      <c r="Q3175">
        <v>0.21520600000000001</v>
      </c>
      <c r="R3175">
        <v>-6.0366259999999998E-2</v>
      </c>
      <c r="S3175">
        <v>3.0914000000000001</v>
      </c>
      <c r="T3175">
        <v>-0.1095347</v>
      </c>
      <c r="U3175">
        <v>-0.18115229999999999</v>
      </c>
      <c r="V3175">
        <v>5.9236940000000002E-2</v>
      </c>
      <c r="W3175">
        <v>0.2292679</v>
      </c>
      <c r="X3175">
        <v>0.97155919999999896</v>
      </c>
      <c r="Y3175">
        <v>5.7128760000000001E-2</v>
      </c>
      <c r="Z3175">
        <v>-1.3977600000000001E-3</v>
      </c>
      <c r="AA3175">
        <v>0.99836579999999997</v>
      </c>
      <c r="AB3175">
        <v>44</v>
      </c>
      <c r="AC3175">
        <v>31.186800000000002</v>
      </c>
      <c r="AD3175">
        <v>-1.120719554178</v>
      </c>
      <c r="AE3175">
        <v>-1.85269999999999</v>
      </c>
      <c r="AF3175">
        <v>1.8091472025740301</v>
      </c>
      <c r="AG3175">
        <v>-1.120719554178</v>
      </c>
      <c r="AH3175">
        <v>31.149137930613001</v>
      </c>
      <c r="AI3175">
        <v>92.057100998984694</v>
      </c>
      <c r="AJ3175">
        <v>86.675985712275406</v>
      </c>
      <c r="AK3175">
        <v>31.221752348964198</v>
      </c>
      <c r="AL3175">
        <v>76.746026630394695</v>
      </c>
      <c r="AM3175">
        <v>86.510937999475203</v>
      </c>
      <c r="AN3175">
        <v>1.0000000320678</v>
      </c>
    </row>
    <row r="3176" spans="1:40" x14ac:dyDescent="0.25">
      <c r="A3176" t="str">
        <f>"20190303170600781"</f>
        <v>20190303170600781</v>
      </c>
      <c r="B3176" t="str">
        <f>"1551603960767889"</f>
        <v>1551603960767889</v>
      </c>
      <c r="C3176" t="s">
        <v>40</v>
      </c>
      <c r="D3176">
        <v>5.5654750000000002</v>
      </c>
      <c r="E3176">
        <v>0.50568849999999999</v>
      </c>
      <c r="F3176" t="s">
        <v>60</v>
      </c>
      <c r="G3176">
        <v>-239.0376</v>
      </c>
      <c r="H3176" s="1">
        <v>3.3580759999999998E-6</v>
      </c>
      <c r="I3176">
        <v>212.66050000000001</v>
      </c>
      <c r="J3176">
        <v>-269.95179999999999</v>
      </c>
      <c r="K3176">
        <v>1.1207689999999999</v>
      </c>
      <c r="L3176">
        <v>214.50210000000001</v>
      </c>
      <c r="M3176">
        <v>0.99989399999999995</v>
      </c>
      <c r="N3176">
        <v>-1.4488350000000001E-2</v>
      </c>
      <c r="O3176">
        <v>-1.449767E-3</v>
      </c>
      <c r="P3176">
        <v>0.97465329999999994</v>
      </c>
      <c r="Q3176">
        <v>0.2153389</v>
      </c>
      <c r="R3176">
        <v>-6.066585E-2</v>
      </c>
      <c r="S3176">
        <v>3.090973</v>
      </c>
      <c r="T3176">
        <v>-0.1104951</v>
      </c>
      <c r="U3176">
        <v>-0.18164060000000001</v>
      </c>
      <c r="V3176">
        <v>5.9389119999999997E-2</v>
      </c>
      <c r="W3176">
        <v>0.22940289999999999</v>
      </c>
      <c r="X3176">
        <v>0.97151799999999999</v>
      </c>
      <c r="Y3176">
        <v>5.7165319999999999E-2</v>
      </c>
      <c r="Z3176">
        <v>-1.404457E-3</v>
      </c>
      <c r="AA3176">
        <v>0.99836369999999997</v>
      </c>
      <c r="AB3176">
        <v>43</v>
      </c>
      <c r="AC3176">
        <v>30.914199999999902</v>
      </c>
      <c r="AD3176">
        <v>-1.120765641924</v>
      </c>
      <c r="AE3176">
        <v>-1.8415999999999999</v>
      </c>
      <c r="AF3176">
        <v>1.7944247971212199</v>
      </c>
      <c r="AG3176">
        <v>-1.120765641924</v>
      </c>
      <c r="AH3176">
        <v>30.8763985502843</v>
      </c>
      <c r="AI3176">
        <v>92.075337014845203</v>
      </c>
      <c r="AJ3176">
        <v>86.673917439004398</v>
      </c>
      <c r="AK3176">
        <v>30.948797446954799</v>
      </c>
      <c r="AL3176">
        <v>76.738079348150805</v>
      </c>
      <c r="AM3176">
        <v>86.501848834927401</v>
      </c>
      <c r="AN3176">
        <v>0.999999991213392</v>
      </c>
    </row>
    <row r="3177" spans="1:40" x14ac:dyDescent="0.25">
      <c r="A3177" t="str">
        <f>"20190303170600804"</f>
        <v>20190303170600804</v>
      </c>
      <c r="B3177" t="str">
        <f>"1551603960798146"</f>
        <v>1551603960798146</v>
      </c>
      <c r="C3177" t="s">
        <v>40</v>
      </c>
      <c r="D3177">
        <v>5.5647739999999999</v>
      </c>
      <c r="E3177">
        <v>0.50570859999999995</v>
      </c>
      <c r="F3177" t="s">
        <v>60</v>
      </c>
      <c r="G3177">
        <v>-237.8434</v>
      </c>
      <c r="H3177" s="1">
        <v>2.7252109999999999E-6</v>
      </c>
      <c r="I3177">
        <v>212.60069999999999</v>
      </c>
      <c r="J3177">
        <v>-269.50369999999998</v>
      </c>
      <c r="K3177">
        <v>1.120817</v>
      </c>
      <c r="L3177">
        <v>214.50139999999999</v>
      </c>
      <c r="M3177">
        <v>0.9998939</v>
      </c>
      <c r="N3177">
        <v>-1.448558E-2</v>
      </c>
      <c r="O3177">
        <v>-1.5379160000000001E-3</v>
      </c>
      <c r="P3177">
        <v>0.97480860000000003</v>
      </c>
      <c r="Q3177">
        <v>0.21450269999999999</v>
      </c>
      <c r="R3177">
        <v>-6.1128229999999999E-2</v>
      </c>
      <c r="S3177">
        <v>3.0904539999999998</v>
      </c>
      <c r="T3177">
        <v>-0.10787480000000001</v>
      </c>
      <c r="U3177">
        <v>-0.18301390000000001</v>
      </c>
      <c r="V3177">
        <v>5.9742040000000003E-2</v>
      </c>
      <c r="W3177">
        <v>0.22857250000000001</v>
      </c>
      <c r="X3177">
        <v>0.97169209999999995</v>
      </c>
      <c r="Y3177">
        <v>5.7530949999999997E-2</v>
      </c>
      <c r="Z3177">
        <v>-1.3887859999999999E-3</v>
      </c>
      <c r="AA3177">
        <v>0.99834279999999997</v>
      </c>
      <c r="AB3177">
        <v>43</v>
      </c>
      <c r="AC3177">
        <v>31.6602999999999</v>
      </c>
      <c r="AD3177">
        <v>-1.120814274789</v>
      </c>
      <c r="AE3177">
        <v>-1.9007000000000001</v>
      </c>
      <c r="AF3177">
        <v>1.8496919615318901</v>
      </c>
      <c r="AG3177">
        <v>-1.120814274789</v>
      </c>
      <c r="AH3177">
        <v>31.623695945462799</v>
      </c>
      <c r="AI3177">
        <v>92.026380063565696</v>
      </c>
      <c r="AJ3177">
        <v>86.652543942073606</v>
      </c>
      <c r="AK3177">
        <v>31.697566629667399</v>
      </c>
      <c r="AL3177">
        <v>76.786956826356004</v>
      </c>
      <c r="AM3177">
        <v>86.481742045117102</v>
      </c>
      <c r="AN3177">
        <v>1.00000001815101</v>
      </c>
    </row>
    <row r="3178" spans="1:40" x14ac:dyDescent="0.25">
      <c r="A3178" t="str">
        <f>"20190303170600826"</f>
        <v>20190303170600826</v>
      </c>
      <c r="B3178" t="str">
        <f>"1551603960817666"</f>
        <v>1551603960817666</v>
      </c>
      <c r="C3178" t="s">
        <v>40</v>
      </c>
      <c r="D3178">
        <v>5.5853089999999996</v>
      </c>
      <c r="E3178">
        <v>0.50572150000000005</v>
      </c>
      <c r="F3178" t="s">
        <v>60</v>
      </c>
      <c r="G3178">
        <v>-237.7381</v>
      </c>
      <c r="H3178" s="1">
        <v>2.6689329999999998E-6</v>
      </c>
      <c r="I3178">
        <v>212.60589999999999</v>
      </c>
      <c r="J3178">
        <v>-269.08089999999999</v>
      </c>
      <c r="K3178">
        <v>1.1208530000000001</v>
      </c>
      <c r="L3178">
        <v>214.50069999999999</v>
      </c>
      <c r="M3178">
        <v>0.99989399999999995</v>
      </c>
      <c r="N3178">
        <v>-1.448292E-2</v>
      </c>
      <c r="O3178">
        <v>-1.58888E-3</v>
      </c>
      <c r="P3178">
        <v>0.97492380000000001</v>
      </c>
      <c r="Q3178">
        <v>0.21401210000000001</v>
      </c>
      <c r="R3178">
        <v>-6.1014859999999997E-2</v>
      </c>
      <c r="S3178">
        <v>3.089966</v>
      </c>
      <c r="T3178">
        <v>-0.1090261</v>
      </c>
      <c r="U3178">
        <v>-0.1843872</v>
      </c>
      <c r="V3178">
        <v>5.955912E-2</v>
      </c>
      <c r="W3178">
        <v>0.22808600000000001</v>
      </c>
      <c r="X3178">
        <v>0.97181759999999995</v>
      </c>
      <c r="Y3178">
        <v>5.7930250000000003E-2</v>
      </c>
      <c r="Z3178">
        <v>-1.4078509999999999E-3</v>
      </c>
      <c r="AA3178">
        <v>0.99831959999999997</v>
      </c>
      <c r="AB3178">
        <v>43</v>
      </c>
      <c r="AC3178">
        <v>31.342799999999901</v>
      </c>
      <c r="AD3178">
        <v>-1.1208503310669999</v>
      </c>
      <c r="AE3178">
        <v>-1.8948</v>
      </c>
      <c r="AF3178">
        <v>1.84264455770901</v>
      </c>
      <c r="AG3178">
        <v>-1.1208503310669999</v>
      </c>
      <c r="AH3178">
        <v>31.305881606610999</v>
      </c>
      <c r="AI3178">
        <v>92.046955971998898</v>
      </c>
      <c r="AJ3178">
        <v>86.631492745098996</v>
      </c>
      <c r="AK3178">
        <v>31.380087119029099</v>
      </c>
      <c r="AL3178">
        <v>76.815587019243793</v>
      </c>
      <c r="AM3178">
        <v>86.492939247789494</v>
      </c>
      <c r="AN3178">
        <v>0.99999997992046696</v>
      </c>
    </row>
    <row r="3179" spans="1:40" x14ac:dyDescent="0.25">
      <c r="A3179" t="str">
        <f>"20190303170600847"</f>
        <v>20190303170600847</v>
      </c>
      <c r="B3179" t="str">
        <f>"1551603960838161"</f>
        <v>1551603960838161</v>
      </c>
      <c r="C3179" t="s">
        <v>40</v>
      </c>
      <c r="D3179">
        <v>5.5764279999999999</v>
      </c>
      <c r="E3179">
        <v>0.50584899999999999</v>
      </c>
      <c r="F3179" t="s">
        <v>60</v>
      </c>
      <c r="G3179">
        <v>-237.17769999999999</v>
      </c>
      <c r="H3179" s="1">
        <v>2.3712790000000001E-6</v>
      </c>
      <c r="I3179">
        <v>212.59280000000001</v>
      </c>
      <c r="J3179">
        <v>-268.66340000000002</v>
      </c>
      <c r="K3179">
        <v>1.1208819999999999</v>
      </c>
      <c r="L3179">
        <v>214.5</v>
      </c>
      <c r="M3179">
        <v>0.9998939</v>
      </c>
      <c r="N3179">
        <v>-1.448032E-2</v>
      </c>
      <c r="O3179">
        <v>-1.617662E-3</v>
      </c>
      <c r="P3179">
        <v>0.97502670000000002</v>
      </c>
      <c r="Q3179">
        <v>0.2135985</v>
      </c>
      <c r="R3179">
        <v>-6.0818209999999998E-2</v>
      </c>
      <c r="S3179">
        <v>3.0893860000000002</v>
      </c>
      <c r="T3179">
        <v>-0.1085391</v>
      </c>
      <c r="U3179">
        <v>-0.18475340000000001</v>
      </c>
      <c r="V3179">
        <v>5.9318080000000002E-2</v>
      </c>
      <c r="W3179">
        <v>0.22767599999999999</v>
      </c>
      <c r="X3179">
        <v>0.97192849999999997</v>
      </c>
      <c r="Y3179">
        <v>5.8030859999999997E-2</v>
      </c>
      <c r="Z3179">
        <v>-1.4055420000000001E-3</v>
      </c>
      <c r="AA3179">
        <v>0.99831380000000003</v>
      </c>
      <c r="AB3179">
        <v>43</v>
      </c>
      <c r="AC3179">
        <v>31.485700000000001</v>
      </c>
      <c r="AD3179">
        <v>-1.1208796287210001</v>
      </c>
      <c r="AE3179">
        <v>-1.90719999999998</v>
      </c>
      <c r="AF3179">
        <v>1.8539180008103999</v>
      </c>
      <c r="AG3179">
        <v>-1.1208796287210001</v>
      </c>
      <c r="AH3179">
        <v>31.449033583830701</v>
      </c>
      <c r="AI3179">
        <v>92.037688757676705</v>
      </c>
      <c r="AJ3179">
        <v>86.626322737661894</v>
      </c>
      <c r="AK3179">
        <v>31.5235641457739</v>
      </c>
      <c r="AL3179">
        <v>76.839713370810202</v>
      </c>
      <c r="AM3179">
        <v>86.507494925875093</v>
      </c>
      <c r="AN3179">
        <v>1.0000000023515601</v>
      </c>
    </row>
    <row r="3180" spans="1:40" x14ac:dyDescent="0.25">
      <c r="A3180" t="str">
        <f>"20190303170600869"</f>
        <v>20190303170600869</v>
      </c>
      <c r="B3180" t="str">
        <f>"1551603960857683"</f>
        <v>1551603960857683</v>
      </c>
      <c r="C3180" t="s">
        <v>40</v>
      </c>
      <c r="D3180">
        <v>5.6914199999999999</v>
      </c>
      <c r="E3180">
        <v>0.50603379999999998</v>
      </c>
      <c r="F3180" t="s">
        <v>60</v>
      </c>
      <c r="G3180">
        <v>-237.3912</v>
      </c>
      <c r="H3180" s="1">
        <v>2.4834499999999999E-6</v>
      </c>
      <c r="I3180">
        <v>212.62530000000001</v>
      </c>
      <c r="J3180">
        <v>-268.23880000000003</v>
      </c>
      <c r="K3180">
        <v>1.120895</v>
      </c>
      <c r="L3180">
        <v>214.49930000000001</v>
      </c>
      <c r="M3180">
        <v>0.99989399999999995</v>
      </c>
      <c r="N3180">
        <v>-1.447771E-2</v>
      </c>
      <c r="O3180">
        <v>-1.6317549999999999E-3</v>
      </c>
      <c r="P3180">
        <v>0.97517929999999997</v>
      </c>
      <c r="Q3180">
        <v>0.21302380000000001</v>
      </c>
      <c r="R3180">
        <v>-6.0388419999999998E-2</v>
      </c>
      <c r="S3180">
        <v>3.0895389999999998</v>
      </c>
      <c r="T3180">
        <v>-0.11073719999999999</v>
      </c>
      <c r="U3180">
        <v>-0.18521119999999999</v>
      </c>
      <c r="V3180">
        <v>5.8860750000000003E-2</v>
      </c>
      <c r="W3180">
        <v>0.2271049</v>
      </c>
      <c r="X3180">
        <v>0.97208989999999995</v>
      </c>
      <c r="Y3180">
        <v>5.81594E-2</v>
      </c>
      <c r="Z3180">
        <v>-1.4278069999999999E-3</v>
      </c>
      <c r="AA3180">
        <v>0.99830629999999998</v>
      </c>
      <c r="AB3180">
        <v>43</v>
      </c>
      <c r="AC3180">
        <v>30.8476</v>
      </c>
      <c r="AD3180">
        <v>-1.1208925165500001</v>
      </c>
      <c r="AE3180">
        <v>-1.8739999999999899</v>
      </c>
      <c r="AF3180">
        <v>1.8212606720295501</v>
      </c>
      <c r="AG3180">
        <v>-1.1208925165500001</v>
      </c>
      <c r="AH3180">
        <v>30.810086999135599</v>
      </c>
      <c r="AI3180">
        <v>92.079914092976907</v>
      </c>
      <c r="AJ3180">
        <v>86.617041017753294</v>
      </c>
      <c r="AK3180">
        <v>30.884216864985301</v>
      </c>
      <c r="AL3180">
        <v>76.873315186314002</v>
      </c>
      <c r="AM3180">
        <v>86.534929540294996</v>
      </c>
      <c r="AN3180">
        <v>0.99999999858829103</v>
      </c>
    </row>
    <row r="3181" spans="1:40" x14ac:dyDescent="0.25">
      <c r="A3181" t="str">
        <f>"20190303170600892"</f>
        <v>20190303170600892</v>
      </c>
      <c r="B3181" t="str">
        <f>"1551603960878179"</f>
        <v>1551603960878179</v>
      </c>
      <c r="C3181" t="s">
        <v>40</v>
      </c>
      <c r="D3181">
        <v>5.5618259999999999</v>
      </c>
      <c r="E3181">
        <v>0.50616779999999995</v>
      </c>
      <c r="F3181" t="s">
        <v>60</v>
      </c>
      <c r="G3181">
        <v>-237.55600000000001</v>
      </c>
      <c r="H3181" s="1">
        <v>2.5698759999999999E-6</v>
      </c>
      <c r="I3181">
        <v>212.655</v>
      </c>
      <c r="J3181">
        <v>-267.79829999999998</v>
      </c>
      <c r="K3181">
        <v>1.1209070000000001</v>
      </c>
      <c r="L3181">
        <v>214.49850000000001</v>
      </c>
      <c r="M3181">
        <v>0.9998939</v>
      </c>
      <c r="N3181">
        <v>-1.4475099999999999E-2</v>
      </c>
      <c r="O3181">
        <v>-1.6370979999999901E-3</v>
      </c>
      <c r="P3181">
        <v>0.97537859999999998</v>
      </c>
      <c r="Q3181">
        <v>0.2121749</v>
      </c>
      <c r="R3181">
        <v>-6.0152169999999998E-2</v>
      </c>
      <c r="S3181">
        <v>3.0895079999999999</v>
      </c>
      <c r="T3181">
        <v>-0.1128646</v>
      </c>
      <c r="U3181">
        <v>-0.18569949999999999</v>
      </c>
      <c r="V3181">
        <v>5.8607960000000001E-2</v>
      </c>
      <c r="W3181">
        <v>0.22625919999999999</v>
      </c>
      <c r="X3181">
        <v>0.97230240000000001</v>
      </c>
      <c r="Y3181">
        <v>5.8310019999999997E-2</v>
      </c>
      <c r="Z3181">
        <v>-1.450326E-3</v>
      </c>
      <c r="AA3181">
        <v>0.99829749999999995</v>
      </c>
      <c r="AB3181">
        <v>43</v>
      </c>
      <c r="AC3181">
        <v>30.2423</v>
      </c>
      <c r="AD3181">
        <v>-1.1209044301240001</v>
      </c>
      <c r="AE3181">
        <v>-1.8434999999999999</v>
      </c>
      <c r="AF3181">
        <v>1.79153072996097</v>
      </c>
      <c r="AG3181">
        <v>-1.1209044301240001</v>
      </c>
      <c r="AH3181">
        <v>30.203938736190199</v>
      </c>
      <c r="AI3181">
        <v>92.121614379138293</v>
      </c>
      <c r="AJ3181">
        <v>86.605508106217698</v>
      </c>
      <c r="AK3181">
        <v>30.277779381543098</v>
      </c>
      <c r="AL3181">
        <v>76.923065804872195</v>
      </c>
      <c r="AM3181">
        <v>86.550527232769198</v>
      </c>
      <c r="AN3181">
        <v>1.0000000378028799</v>
      </c>
    </row>
    <row r="3182" spans="1:40" x14ac:dyDescent="0.25">
      <c r="A3182" t="str">
        <f>"20190303170600915"</f>
        <v>20190303170600915</v>
      </c>
      <c r="B3182" t="str">
        <f>"1551603960907562"</f>
        <v>1551603960907562</v>
      </c>
      <c r="C3182" t="s">
        <v>40</v>
      </c>
      <c r="D3182">
        <v>5.551469</v>
      </c>
      <c r="E3182">
        <v>0.5064244</v>
      </c>
      <c r="F3182" t="s">
        <v>60</v>
      </c>
      <c r="G3182">
        <v>-237.9281</v>
      </c>
      <c r="H3182" s="1">
        <v>2.7658569999999999E-6</v>
      </c>
      <c r="I3182">
        <v>212.70150000000001</v>
      </c>
      <c r="J3182">
        <v>-267.34980000000002</v>
      </c>
      <c r="K3182">
        <v>1.120916</v>
      </c>
      <c r="L3182">
        <v>214.49780000000001</v>
      </c>
      <c r="M3182">
        <v>0.99989410000000001</v>
      </c>
      <c r="N3182">
        <v>-1.447237E-2</v>
      </c>
      <c r="O3182">
        <v>-1.6383280000000001E-3</v>
      </c>
      <c r="P3182">
        <v>0.97566280000000005</v>
      </c>
      <c r="Q3182">
        <v>0.210956</v>
      </c>
      <c r="R3182">
        <v>-5.9836359999999998E-2</v>
      </c>
      <c r="S3182">
        <v>3.0894780000000002</v>
      </c>
      <c r="T3182">
        <v>-0.1159351</v>
      </c>
      <c r="U3182">
        <v>-0.18586730000000001</v>
      </c>
      <c r="V3182">
        <v>5.8280720000000001E-2</v>
      </c>
      <c r="W3182">
        <v>0.22504399999999999</v>
      </c>
      <c r="X3182">
        <v>0.97260400000000002</v>
      </c>
      <c r="Y3182">
        <v>5.8360870000000002E-2</v>
      </c>
      <c r="Z3182">
        <v>-1.478849E-3</v>
      </c>
      <c r="AA3182">
        <v>0.99829449999999997</v>
      </c>
      <c r="AB3182">
        <v>43</v>
      </c>
      <c r="AC3182">
        <v>29.421700000000001</v>
      </c>
      <c r="AD3182">
        <v>-1.1209132341429999</v>
      </c>
      <c r="AE3182">
        <v>-1.7963</v>
      </c>
      <c r="AF3182">
        <v>1.74556592361064</v>
      </c>
      <c r="AG3182">
        <v>-1.1209132341429999</v>
      </c>
      <c r="AH3182">
        <v>29.382114823628701</v>
      </c>
      <c r="AI3182">
        <v>92.180904767650404</v>
      </c>
      <c r="AJ3182">
        <v>86.600103657808205</v>
      </c>
      <c r="AK3182">
        <v>29.455256209733601</v>
      </c>
      <c r="AL3182">
        <v>76.994534367504102</v>
      </c>
      <c r="AM3182">
        <v>86.570802557867395</v>
      </c>
      <c r="AN3182">
        <v>0.99999999253785898</v>
      </c>
    </row>
    <row r="3183" spans="1:40" x14ac:dyDescent="0.25">
      <c r="A3183" t="str">
        <f>"20190303170600936"</f>
        <v>20190303170600936</v>
      </c>
      <c r="B3183" t="str">
        <f>"1551603960928058"</f>
        <v>1551603960928058</v>
      </c>
      <c r="C3183" t="s">
        <v>40</v>
      </c>
      <c r="D3183">
        <v>5.6302490000000001</v>
      </c>
      <c r="E3183">
        <v>0.50658539999999996</v>
      </c>
      <c r="F3183" t="s">
        <v>60</v>
      </c>
      <c r="G3183">
        <v>-238.62180000000001</v>
      </c>
      <c r="H3183" s="1">
        <v>3.132726E-6</v>
      </c>
      <c r="I3183">
        <v>212.75409999999999</v>
      </c>
      <c r="J3183">
        <v>-266.94310000000002</v>
      </c>
      <c r="K3183">
        <v>1.1209290000000001</v>
      </c>
      <c r="L3183">
        <v>214.49709999999999</v>
      </c>
      <c r="M3183">
        <v>0.99989410000000001</v>
      </c>
      <c r="N3183">
        <v>-1.4469859999999999E-2</v>
      </c>
      <c r="O3183">
        <v>-1.6384380000000001E-3</v>
      </c>
      <c r="P3183">
        <v>0.97577579999999997</v>
      </c>
      <c r="Q3183">
        <v>0.21058840000000001</v>
      </c>
      <c r="R3183">
        <v>-5.9279449999999997E-2</v>
      </c>
      <c r="S3183">
        <v>3.0893860000000002</v>
      </c>
      <c r="T3183">
        <v>-0.1205422</v>
      </c>
      <c r="U3183">
        <v>-0.1875153</v>
      </c>
      <c r="V3183">
        <v>5.7716759999999999E-2</v>
      </c>
      <c r="W3183">
        <v>0.2246783</v>
      </c>
      <c r="X3183">
        <v>0.97272219999999998</v>
      </c>
      <c r="Y3183">
        <v>5.8888660000000002E-2</v>
      </c>
      <c r="Z3183">
        <v>-1.5338999999999999E-3</v>
      </c>
      <c r="AA3183">
        <v>0.99826340000000002</v>
      </c>
      <c r="AB3183">
        <v>43</v>
      </c>
      <c r="AC3183">
        <v>28.321300000000001</v>
      </c>
      <c r="AD3183">
        <v>-1.1209258672739999</v>
      </c>
      <c r="AE3183">
        <v>-1.7429999999999899</v>
      </c>
      <c r="AF3183">
        <v>1.69394657727772</v>
      </c>
      <c r="AG3183">
        <v>-1.1209258672739999</v>
      </c>
      <c r="AH3183">
        <v>28.279984942521398</v>
      </c>
      <c r="AI3183">
        <v>92.2657718216375</v>
      </c>
      <c r="AJ3183">
        <v>86.572128199069198</v>
      </c>
      <c r="AK3183">
        <v>28.352838978765998</v>
      </c>
      <c r="AL3183">
        <v>77.016038499178606</v>
      </c>
      <c r="AM3183">
        <v>86.604319240884394</v>
      </c>
      <c r="AN3183">
        <v>1.00000002062431</v>
      </c>
    </row>
    <row r="3184" spans="1:40" x14ac:dyDescent="0.25">
      <c r="A3184" t="str">
        <f>"20190303170600959"</f>
        <v>20190303170600959</v>
      </c>
      <c r="B3184" t="str">
        <f>"1551603960947578"</f>
        <v>1551603960947578</v>
      </c>
      <c r="C3184" t="s">
        <v>40</v>
      </c>
      <c r="D3184">
        <v>5.6227769999999904</v>
      </c>
      <c r="E3184">
        <v>0.5066427</v>
      </c>
      <c r="F3184" t="s">
        <v>60</v>
      </c>
      <c r="G3184">
        <v>-238.54939999999999</v>
      </c>
      <c r="H3184" s="1">
        <v>3.0932700000000001E-6</v>
      </c>
      <c r="I3184">
        <v>212.77449999999999</v>
      </c>
      <c r="J3184">
        <v>-266.51159999999999</v>
      </c>
      <c r="K3184">
        <v>1.1209420000000001</v>
      </c>
      <c r="L3184">
        <v>214.49639999999999</v>
      </c>
      <c r="M3184">
        <v>0.99989399999999995</v>
      </c>
      <c r="N3184">
        <v>-1.446717E-2</v>
      </c>
      <c r="O3184">
        <v>-1.638809E-3</v>
      </c>
      <c r="P3184">
        <v>0.975715</v>
      </c>
      <c r="Q3184">
        <v>0.21099129999999999</v>
      </c>
      <c r="R3184">
        <v>-5.8848280000000003E-2</v>
      </c>
      <c r="S3184">
        <v>3.0893860000000002</v>
      </c>
      <c r="T3184">
        <v>-0.1219624</v>
      </c>
      <c r="U3184">
        <v>-0.1874237</v>
      </c>
      <c r="V3184">
        <v>5.7278780000000001E-2</v>
      </c>
      <c r="W3184">
        <v>0.2250788</v>
      </c>
      <c r="X3184">
        <v>0.97265550000000001</v>
      </c>
      <c r="Y3184">
        <v>5.8857619999999999E-2</v>
      </c>
      <c r="Z3184">
        <v>-1.545732E-3</v>
      </c>
      <c r="AA3184">
        <v>0.99826519999999996</v>
      </c>
      <c r="AB3184">
        <v>43</v>
      </c>
      <c r="AC3184">
        <v>27.962199999999999</v>
      </c>
      <c r="AD3184">
        <v>-1.12093890673</v>
      </c>
      <c r="AE3184">
        <v>-1.7219</v>
      </c>
      <c r="AF3184">
        <v>1.6733891753513801</v>
      </c>
      <c r="AG3184">
        <v>-1.12093890673</v>
      </c>
      <c r="AH3184">
        <v>27.920285653850001</v>
      </c>
      <c r="AI3184">
        <v>92.294952753456599</v>
      </c>
      <c r="AJ3184">
        <v>86.570107397718004</v>
      </c>
      <c r="AK3184">
        <v>27.992839912330901</v>
      </c>
      <c r="AL3184">
        <v>76.992488379944902</v>
      </c>
      <c r="AM3184">
        <v>86.629796973166606</v>
      </c>
      <c r="AN3184">
        <v>1.0000000232639801</v>
      </c>
    </row>
    <row r="3185" spans="1:40" x14ac:dyDescent="0.25">
      <c r="A3185" t="str">
        <f>"20190303170600981"</f>
        <v>20190303170600981</v>
      </c>
      <c r="B3185" t="str">
        <f>"1551603960968075"</f>
        <v>1551603960968075</v>
      </c>
      <c r="C3185" t="s">
        <v>40</v>
      </c>
      <c r="D3185">
        <v>5.5960900000000002</v>
      </c>
      <c r="E3185">
        <v>0.48542980000000002</v>
      </c>
      <c r="F3185" t="s">
        <v>60</v>
      </c>
      <c r="G3185">
        <v>-237.80619999999999</v>
      </c>
      <c r="H3185" s="1">
        <v>2.6984810000000002E-6</v>
      </c>
      <c r="I3185">
        <v>212.75909999999999</v>
      </c>
      <c r="J3185">
        <v>-266.07</v>
      </c>
      <c r="K3185">
        <v>1.120957</v>
      </c>
      <c r="L3185">
        <v>214.4956</v>
      </c>
      <c r="M3185">
        <v>0.99989399999999995</v>
      </c>
      <c r="N3185">
        <v>-1.446443E-2</v>
      </c>
      <c r="O3185">
        <v>-1.6404060000000001E-3</v>
      </c>
      <c r="P3185">
        <v>0.97573580000000004</v>
      </c>
      <c r="Q3185">
        <v>0.2110696</v>
      </c>
      <c r="R3185">
        <v>-5.8217560000000002E-2</v>
      </c>
      <c r="S3185">
        <v>3.0894780000000002</v>
      </c>
      <c r="T3185">
        <v>-0.1206435</v>
      </c>
      <c r="U3185">
        <v>-0.18698119999999999</v>
      </c>
      <c r="V3185">
        <v>5.6641329999999997E-2</v>
      </c>
      <c r="W3185">
        <v>0.22515589999999999</v>
      </c>
      <c r="X3185">
        <v>0.97267499999999996</v>
      </c>
      <c r="Y3185">
        <v>5.8713080000000001E-2</v>
      </c>
      <c r="Z3185">
        <v>-1.5298690000000001E-3</v>
      </c>
      <c r="AA3185">
        <v>0.99827370000000004</v>
      </c>
      <c r="AB3185">
        <v>43</v>
      </c>
      <c r="AC3185">
        <v>28.2638</v>
      </c>
      <c r="AD3185">
        <v>-1.120954301519</v>
      </c>
      <c r="AE3185">
        <v>-1.7364999999999999</v>
      </c>
      <c r="AF3185">
        <v>1.68748435776919</v>
      </c>
      <c r="AG3185">
        <v>-1.120954301519</v>
      </c>
      <c r="AH3185">
        <v>28.222385387104399</v>
      </c>
      <c r="AI3185">
        <v>92.270463207269003</v>
      </c>
      <c r="AJ3185">
        <v>86.578221313211699</v>
      </c>
      <c r="AK3185">
        <v>28.295002720304801</v>
      </c>
      <c r="AL3185">
        <v>76.9879546879977</v>
      </c>
      <c r="AM3185">
        <v>86.667285281142597</v>
      </c>
      <c r="AN3185">
        <v>1.00000003759698</v>
      </c>
    </row>
    <row r="3186" spans="1:40" x14ac:dyDescent="0.25">
      <c r="A3186" t="str">
        <f>"20190303170601026"</f>
        <v>20190303170601026</v>
      </c>
      <c r="B3186" t="str">
        <f>"1551603961017623"</f>
        <v>1551603961017623</v>
      </c>
      <c r="C3186" t="s">
        <v>40</v>
      </c>
      <c r="D3186">
        <v>5.60907</v>
      </c>
      <c r="E3186">
        <v>0.47824220000000001</v>
      </c>
      <c r="F3186" t="s">
        <v>60</v>
      </c>
      <c r="G3186">
        <v>-235.10659999999999</v>
      </c>
      <c r="H3186" s="1">
        <v>1.1931939999999999E-6</v>
      </c>
      <c r="I3186">
        <v>214.33080000000001</v>
      </c>
      <c r="J3186">
        <v>-265.21010000000001</v>
      </c>
      <c r="K3186">
        <v>1.120962</v>
      </c>
      <c r="L3186">
        <v>214.49420000000001</v>
      </c>
      <c r="M3186">
        <v>0.99989410000000001</v>
      </c>
      <c r="N3186">
        <v>-1.445917E-2</v>
      </c>
      <c r="O3186">
        <v>-1.644192E-3</v>
      </c>
      <c r="P3186">
        <v>0.97627560000000002</v>
      </c>
      <c r="Q3186">
        <v>0.20890210000000001</v>
      </c>
      <c r="R3186">
        <v>-5.6973320000000001E-2</v>
      </c>
      <c r="S3186">
        <v>3.0978699999999999</v>
      </c>
      <c r="T3186">
        <v>-0.112151</v>
      </c>
      <c r="U3186">
        <v>-1.6494749999999999E-2</v>
      </c>
      <c r="V3186">
        <v>5.5385209999999997E-2</v>
      </c>
      <c r="W3186">
        <v>0.22299359999999999</v>
      </c>
      <c r="X3186">
        <v>0.97324529999999998</v>
      </c>
      <c r="Y3186">
        <v>3.6771400000000002E-3</v>
      </c>
      <c r="Z3186" s="1">
        <v>-5.7402779999999997E-5</v>
      </c>
      <c r="AA3186">
        <v>0.99999329999999997</v>
      </c>
      <c r="AB3186">
        <v>43</v>
      </c>
      <c r="AC3186">
        <v>30.1035</v>
      </c>
      <c r="AD3186">
        <v>-1.120960806806</v>
      </c>
      <c r="AE3186">
        <v>-0.16339999999999499</v>
      </c>
      <c r="AF3186">
        <v>0.113740962963222</v>
      </c>
      <c r="AG3186">
        <v>-1.120960806806</v>
      </c>
      <c r="AH3186">
        <v>30.062045600724201</v>
      </c>
      <c r="AI3186">
        <v>92.135454213312102</v>
      </c>
      <c r="AJ3186">
        <v>89.783220139919294</v>
      </c>
      <c r="AK3186">
        <v>30.083152691117199</v>
      </c>
      <c r="AL3186">
        <v>77.115077908554198</v>
      </c>
      <c r="AM3186">
        <v>86.742938486928196</v>
      </c>
      <c r="AN3186">
        <v>1.0000000405498899</v>
      </c>
    </row>
    <row r="3187" spans="1:40" x14ac:dyDescent="0.25">
      <c r="A3187" t="str">
        <f>"20190303170601048"</f>
        <v>20190303170601048</v>
      </c>
      <c r="B3187" t="str">
        <f>"1551603961038119"</f>
        <v>1551603961038119</v>
      </c>
      <c r="C3187" t="s">
        <v>40</v>
      </c>
      <c r="D3187">
        <v>5.55091</v>
      </c>
      <c r="E3187">
        <v>0.47724830000000001</v>
      </c>
      <c r="F3187" t="s">
        <v>60</v>
      </c>
      <c r="G3187">
        <v>-233.25210000000001</v>
      </c>
      <c r="H3187" s="1">
        <v>1.7948380000000001E-7</v>
      </c>
      <c r="I3187">
        <v>214.94460000000001</v>
      </c>
      <c r="J3187">
        <v>-264.78840000000002</v>
      </c>
      <c r="K3187">
        <v>1.12097</v>
      </c>
      <c r="L3187">
        <v>214.49350000000001</v>
      </c>
      <c r="M3187">
        <v>0.99989410000000001</v>
      </c>
      <c r="N3187">
        <v>-1.445663E-2</v>
      </c>
      <c r="O3187">
        <v>-1.6451759999999999E-3</v>
      </c>
      <c r="P3187">
        <v>0.97623020000000005</v>
      </c>
      <c r="Q3187">
        <v>0.20922850000000001</v>
      </c>
      <c r="R3187">
        <v>-5.6552819999999997E-2</v>
      </c>
      <c r="S3187">
        <v>3.0986940000000001</v>
      </c>
      <c r="T3187">
        <v>-0.1086903</v>
      </c>
      <c r="U3187">
        <v>4.3670649999999998E-2</v>
      </c>
      <c r="V3187">
        <v>5.4961599999999999E-2</v>
      </c>
      <c r="W3187">
        <v>0.22331709999999999</v>
      </c>
      <c r="X3187">
        <v>0.97319509999999998</v>
      </c>
      <c r="Y3187">
        <v>-1.5723009999999999E-2</v>
      </c>
      <c r="Z3187">
        <v>4.2327130000000001E-4</v>
      </c>
      <c r="AA3187">
        <v>0.99987630000000005</v>
      </c>
      <c r="AB3187">
        <v>43</v>
      </c>
      <c r="AC3187">
        <v>31.536300000000001</v>
      </c>
      <c r="AD3187">
        <v>-1.1209698205162</v>
      </c>
      <c r="AE3187">
        <v>0.451099999999996</v>
      </c>
      <c r="AF3187">
        <v>-0.50235299782660403</v>
      </c>
      <c r="AG3187">
        <v>-1.1209698205162</v>
      </c>
      <c r="AH3187">
        <v>31.495729196990499</v>
      </c>
      <c r="AI3187">
        <v>92.038104365471</v>
      </c>
      <c r="AJ3187">
        <v>90.913783136561605</v>
      </c>
      <c r="AK3187">
        <v>31.519674641770902</v>
      </c>
      <c r="AL3187">
        <v>77.096062744957194</v>
      </c>
      <c r="AM3187">
        <v>86.767630506619497</v>
      </c>
      <c r="AN3187">
        <v>1.0000000036454899</v>
      </c>
    </row>
    <row r="3188" spans="1:40" x14ac:dyDescent="0.25">
      <c r="A3188" t="str">
        <f>"20190303170601071"</f>
        <v>20190303170601071</v>
      </c>
      <c r="B3188" t="str">
        <f>"1551603961057639"</f>
        <v>1551603961057639</v>
      </c>
      <c r="C3188" t="s">
        <v>40</v>
      </c>
      <c r="D3188">
        <v>5.4714330000000002</v>
      </c>
      <c r="E3188">
        <v>0.47677059999999999</v>
      </c>
      <c r="F3188" t="s">
        <v>60</v>
      </c>
      <c r="G3188">
        <v>-232.0692</v>
      </c>
      <c r="H3188" s="1">
        <v>-4.5451460000000002E-7</v>
      </c>
      <c r="I3188">
        <v>215.0472</v>
      </c>
      <c r="J3188">
        <v>-264.35890000000001</v>
      </c>
      <c r="K3188">
        <v>1.1209769999999999</v>
      </c>
      <c r="L3188">
        <v>214.49279999999999</v>
      </c>
      <c r="M3188">
        <v>0.99989430000000001</v>
      </c>
      <c r="N3188">
        <v>-1.4454079999999999E-2</v>
      </c>
      <c r="O3188">
        <v>-1.6458229999999901E-3</v>
      </c>
      <c r="P3188">
        <v>0.97611910000000002</v>
      </c>
      <c r="Q3188">
        <v>0.2098884</v>
      </c>
      <c r="R3188">
        <v>-5.602153E-2</v>
      </c>
      <c r="S3188">
        <v>3.0989070000000001</v>
      </c>
      <c r="T3188">
        <v>-0.1061695</v>
      </c>
      <c r="U3188">
        <v>5.2444459999999998E-2</v>
      </c>
      <c r="V3188">
        <v>5.4428520000000001E-2</v>
      </c>
      <c r="W3188">
        <v>0.22397339999999999</v>
      </c>
      <c r="X3188">
        <v>0.97307429999999995</v>
      </c>
      <c r="Y3188">
        <v>-1.8551049999999999E-2</v>
      </c>
      <c r="Z3188">
        <v>4.8438959999999999E-4</v>
      </c>
      <c r="AA3188">
        <v>0.99982780000000004</v>
      </c>
      <c r="AB3188">
        <v>43</v>
      </c>
      <c r="AC3188">
        <v>32.289700000000003</v>
      </c>
      <c r="AD3188">
        <v>-1.1209774545146001</v>
      </c>
      <c r="AE3188">
        <v>0.55440000000001499</v>
      </c>
      <c r="AF3188">
        <v>-0.60681679452604598</v>
      </c>
      <c r="AG3188">
        <v>-1.1209774545146001</v>
      </c>
      <c r="AH3188">
        <v>32.249887018309103</v>
      </c>
      <c r="AI3188">
        <v>91.990396941367706</v>
      </c>
      <c r="AJ3188">
        <v>91.077955372749599</v>
      </c>
      <c r="AK3188">
        <v>32.275068238027799</v>
      </c>
      <c r="AL3188">
        <v>77.057483185667493</v>
      </c>
      <c r="AM3188">
        <v>86.798519614471303</v>
      </c>
      <c r="AN3188">
        <v>1.00000007050871</v>
      </c>
    </row>
    <row r="3189" spans="1:40" x14ac:dyDescent="0.25">
      <c r="A3189" t="str">
        <f>"20190303170601093"</f>
        <v>20190303170601093</v>
      </c>
      <c r="B3189" t="str">
        <f>"1551603961087895"</f>
        <v>1551603961087895</v>
      </c>
      <c r="C3189" t="s">
        <v>40</v>
      </c>
      <c r="D3189">
        <v>5.5045500000000001</v>
      </c>
      <c r="E3189">
        <v>0.4759389</v>
      </c>
      <c r="F3189" t="s">
        <v>60</v>
      </c>
      <c r="G3189">
        <v>-230.33349999999999</v>
      </c>
      <c r="H3189" s="1">
        <v>-1.381391E-6</v>
      </c>
      <c r="I3189">
        <v>215.1216</v>
      </c>
      <c r="J3189">
        <v>-263.92110000000002</v>
      </c>
      <c r="K3189">
        <v>1.120984</v>
      </c>
      <c r="L3189">
        <v>214.49209999999999</v>
      </c>
      <c r="M3189">
        <v>0.99989419999999996</v>
      </c>
      <c r="N3189">
        <v>-1.4451479999999999E-2</v>
      </c>
      <c r="O3189">
        <v>-1.6460050000000001E-3</v>
      </c>
      <c r="P3189">
        <v>0.97594990000000004</v>
      </c>
      <c r="Q3189">
        <v>0.21088699999999999</v>
      </c>
      <c r="R3189">
        <v>-5.5214550000000001E-2</v>
      </c>
      <c r="S3189">
        <v>3.098633</v>
      </c>
      <c r="T3189">
        <v>-0.1020856</v>
      </c>
      <c r="U3189">
        <v>5.7266240000000003E-2</v>
      </c>
      <c r="V3189">
        <v>5.3620519999999998E-2</v>
      </c>
      <c r="W3189">
        <v>0.22496730000000001</v>
      </c>
      <c r="X3189">
        <v>0.97288980000000003</v>
      </c>
      <c r="Y3189">
        <v>-2.010787E-2</v>
      </c>
      <c r="Z3189">
        <v>5.0690990000000003E-4</v>
      </c>
      <c r="AA3189">
        <v>0.99979770000000001</v>
      </c>
      <c r="AB3189">
        <v>43</v>
      </c>
      <c r="AC3189">
        <v>33.587600000000002</v>
      </c>
      <c r="AD3189">
        <v>-1.120985381391</v>
      </c>
      <c r="AE3189">
        <v>0.62950000000000705</v>
      </c>
      <c r="AF3189">
        <v>-0.68402861501836199</v>
      </c>
      <c r="AG3189">
        <v>-1.120985381391</v>
      </c>
      <c r="AH3189">
        <v>33.549161299231599</v>
      </c>
      <c r="AI3189">
        <v>91.913326941989496</v>
      </c>
      <c r="AJ3189">
        <v>91.168032874155898</v>
      </c>
      <c r="AK3189">
        <v>33.574852602108599</v>
      </c>
      <c r="AL3189">
        <v>76.999044767277198</v>
      </c>
      <c r="AM3189">
        <v>86.845352491020506</v>
      </c>
      <c r="AN3189">
        <v>1.0000000045891999</v>
      </c>
    </row>
    <row r="3190" spans="1:40" x14ac:dyDescent="0.25">
      <c r="A3190" t="str">
        <f>"20190303170601116"</f>
        <v>20190303170601116</v>
      </c>
      <c r="B3190" t="str">
        <f>"1551603961108392"</f>
        <v>1551603961108392</v>
      </c>
      <c r="C3190" t="s">
        <v>40</v>
      </c>
      <c r="D3190">
        <v>5.5513149999999998</v>
      </c>
      <c r="E3190">
        <v>0.47562650000000001</v>
      </c>
      <c r="F3190" t="s">
        <v>60</v>
      </c>
      <c r="G3190">
        <v>-229.47720000000001</v>
      </c>
      <c r="H3190" s="1">
        <v>3.479925E-6</v>
      </c>
      <c r="I3190">
        <v>215.22450000000001</v>
      </c>
      <c r="J3190">
        <v>-263.49459999999999</v>
      </c>
      <c r="K3190">
        <v>1.1209910000000001</v>
      </c>
      <c r="L3190">
        <v>214.4914</v>
      </c>
      <c r="M3190">
        <v>0.99989439999999996</v>
      </c>
      <c r="N3190">
        <v>-1.444896E-2</v>
      </c>
      <c r="O3190">
        <v>-1.6461939999999999E-3</v>
      </c>
      <c r="P3190">
        <v>0.97578480000000001</v>
      </c>
      <c r="Q3190">
        <v>0.21182329999999999</v>
      </c>
      <c r="R3190">
        <v>-5.4545940000000001E-2</v>
      </c>
      <c r="S3190">
        <v>3.0994259999999998</v>
      </c>
      <c r="T3190">
        <v>-0.1008713</v>
      </c>
      <c r="U3190">
        <v>6.5902710000000003E-2</v>
      </c>
      <c r="V3190">
        <v>5.295101E-2</v>
      </c>
      <c r="W3190">
        <v>0.22589870000000001</v>
      </c>
      <c r="X3190">
        <v>0.97271059999999998</v>
      </c>
      <c r="Y3190">
        <v>-2.288627E-2</v>
      </c>
      <c r="Z3190">
        <v>5.6748479999999999E-4</v>
      </c>
      <c r="AA3190">
        <v>0.99973789999999996</v>
      </c>
      <c r="AB3190">
        <v>43</v>
      </c>
      <c r="AC3190">
        <v>34.017399999999903</v>
      </c>
      <c r="AD3190">
        <v>-1.1209875200749999</v>
      </c>
      <c r="AE3190">
        <v>0.73310000000000697</v>
      </c>
      <c r="AF3190">
        <v>-0.78824850408536895</v>
      </c>
      <c r="AG3190">
        <v>-1.1209875200749999</v>
      </c>
      <c r="AH3190">
        <v>33.979265185829597</v>
      </c>
      <c r="AI3190">
        <v>91.889014121223795</v>
      </c>
      <c r="AJ3190">
        <v>91.328904948568294</v>
      </c>
      <c r="AK3190">
        <v>34.0068877037181</v>
      </c>
      <c r="AL3190">
        <v>76.944269051283698</v>
      </c>
      <c r="AM3190">
        <v>86.884090789739503</v>
      </c>
      <c r="AN3190">
        <v>0.99999997173703403</v>
      </c>
    </row>
    <row r="3191" spans="1:40" x14ac:dyDescent="0.25">
      <c r="A3191" t="str">
        <f>"20190303170601137"</f>
        <v>20190303170601137</v>
      </c>
      <c r="B3191" t="str">
        <f>"1551603961127911"</f>
        <v>1551603961127911</v>
      </c>
      <c r="C3191" t="s">
        <v>40</v>
      </c>
      <c r="D3191">
        <v>5.6508180000000001</v>
      </c>
      <c r="E3191">
        <v>0.475692</v>
      </c>
      <c r="F3191" t="s">
        <v>60</v>
      </c>
      <c r="G3191">
        <v>-228.15110000000001</v>
      </c>
      <c r="H3191" s="1">
        <v>2.771544E-6</v>
      </c>
      <c r="I3191">
        <v>215.28559999999999</v>
      </c>
      <c r="J3191">
        <v>-263.0779</v>
      </c>
      <c r="K3191">
        <v>1.1209880000000001</v>
      </c>
      <c r="L3191">
        <v>214.4907</v>
      </c>
      <c r="M3191">
        <v>0.99989439999999996</v>
      </c>
      <c r="N3191">
        <v>-1.4446489999999999E-2</v>
      </c>
      <c r="O3191">
        <v>-1.6461529999999901E-3</v>
      </c>
      <c r="P3191">
        <v>0.97596919999999998</v>
      </c>
      <c r="Q3191">
        <v>0.21106649999999999</v>
      </c>
      <c r="R3191">
        <v>-5.4177339999999997E-2</v>
      </c>
      <c r="S3191">
        <v>3.0996700000000001</v>
      </c>
      <c r="T3191">
        <v>-9.8312140000000006E-2</v>
      </c>
      <c r="U3191">
        <v>6.9656369999999995E-2</v>
      </c>
      <c r="V3191">
        <v>5.2581429999999998E-2</v>
      </c>
      <c r="W3191">
        <v>0.22514239999999999</v>
      </c>
      <c r="X3191">
        <v>0.97290600000000005</v>
      </c>
      <c r="Y3191">
        <v>-2.4094520000000001E-2</v>
      </c>
      <c r="Z3191">
        <v>5.8450899999999998E-4</v>
      </c>
      <c r="AA3191">
        <v>0.99970950000000003</v>
      </c>
      <c r="AB3191">
        <v>43</v>
      </c>
      <c r="AC3191">
        <v>34.926799999999901</v>
      </c>
      <c r="AD3191">
        <v>-1.12098522845599</v>
      </c>
      <c r="AE3191">
        <v>0.79489999999998395</v>
      </c>
      <c r="AF3191">
        <v>-0.851523068077227</v>
      </c>
      <c r="AG3191">
        <v>-1.12098522845599</v>
      </c>
      <c r="AH3191">
        <v>34.889522681434897</v>
      </c>
      <c r="AI3191">
        <v>91.839708009751504</v>
      </c>
      <c r="AJ3191">
        <v>91.398098638766001</v>
      </c>
      <c r="AK3191">
        <v>34.917910767344701</v>
      </c>
      <c r="AL3191">
        <v>76.988748012886802</v>
      </c>
      <c r="AM3191">
        <v>86.906416603694794</v>
      </c>
      <c r="AN3191">
        <v>0.99999999594730204</v>
      </c>
    </row>
    <row r="3192" spans="1:40" x14ac:dyDescent="0.25">
      <c r="A3192" t="str">
        <f>"20190303170601160"</f>
        <v>20190303170601160</v>
      </c>
      <c r="B3192" t="str">
        <f>"1551603961148406"</f>
        <v>1551603961148406</v>
      </c>
      <c r="C3192" t="s">
        <v>40</v>
      </c>
      <c r="D3192">
        <v>5.6596789999999997</v>
      </c>
      <c r="E3192">
        <v>0.47543849999999999</v>
      </c>
      <c r="F3192" t="s">
        <v>60</v>
      </c>
      <c r="G3192">
        <v>-228.3914</v>
      </c>
      <c r="H3192" s="1">
        <v>2.8995789999999998E-6</v>
      </c>
      <c r="I3192">
        <v>215.28219999999999</v>
      </c>
      <c r="J3192">
        <v>-262.64789999999999</v>
      </c>
      <c r="K3192">
        <v>1.120987</v>
      </c>
      <c r="L3192">
        <v>214.49</v>
      </c>
      <c r="M3192">
        <v>0.99989439999999996</v>
      </c>
      <c r="N3192">
        <v>-1.4443920000000001E-2</v>
      </c>
      <c r="O3192">
        <v>-1.646474E-3</v>
      </c>
      <c r="P3192">
        <v>0.97621610000000003</v>
      </c>
      <c r="Q3192">
        <v>0.21013799999999999</v>
      </c>
      <c r="R3192">
        <v>-5.3332900000000003E-2</v>
      </c>
      <c r="S3192">
        <v>3.0994259999999998</v>
      </c>
      <c r="T3192">
        <v>-0.10016609999999999</v>
      </c>
      <c r="U3192">
        <v>7.0724490000000001E-2</v>
      </c>
      <c r="V3192">
        <v>5.1735639999999999E-2</v>
      </c>
      <c r="W3192">
        <v>0.224215</v>
      </c>
      <c r="X3192">
        <v>0.97316550000000002</v>
      </c>
      <c r="Y3192">
        <v>-2.4440099999999999E-2</v>
      </c>
      <c r="Z3192">
        <v>6.0078629999999996E-4</v>
      </c>
      <c r="AA3192">
        <v>0.99970110000000001</v>
      </c>
      <c r="AB3192">
        <v>43</v>
      </c>
      <c r="AC3192">
        <v>34.256499999999903</v>
      </c>
      <c r="AD3192">
        <v>-1.1209841004209999</v>
      </c>
      <c r="AE3192">
        <v>0.79219999999997903</v>
      </c>
      <c r="AF3192">
        <v>-0.84770000131107204</v>
      </c>
      <c r="AG3192">
        <v>-1.1209841004209999</v>
      </c>
      <c r="AH3192">
        <v>34.218527086143801</v>
      </c>
      <c r="AI3192">
        <v>91.875738777470602</v>
      </c>
      <c r="AJ3192">
        <v>91.419105505235294</v>
      </c>
      <c r="AK3192">
        <v>34.247376492087298</v>
      </c>
      <c r="AL3192">
        <v>77.043278573919395</v>
      </c>
      <c r="AM3192">
        <v>86.9568937443577</v>
      </c>
      <c r="AN3192">
        <v>1.0000000165307199</v>
      </c>
    </row>
    <row r="3193" spans="1:40" x14ac:dyDescent="0.25">
      <c r="A3193" t="str">
        <f>"20190303170601184"</f>
        <v>20190303170601184</v>
      </c>
      <c r="B3193" t="str">
        <f>"1551603961177687"</f>
        <v>1551603961177687</v>
      </c>
      <c r="C3193" t="s">
        <v>40</v>
      </c>
      <c r="D3193">
        <v>5.7544360000000001</v>
      </c>
      <c r="E3193">
        <v>0.47556779999999998</v>
      </c>
      <c r="F3193" t="s">
        <v>60</v>
      </c>
      <c r="G3193">
        <v>-229.20359999999999</v>
      </c>
      <c r="H3193" s="1">
        <v>3.331301E-6</v>
      </c>
      <c r="I3193">
        <v>215.29329999999999</v>
      </c>
      <c r="J3193">
        <v>-262.20710000000003</v>
      </c>
      <c r="K3193">
        <v>1.120986</v>
      </c>
      <c r="L3193">
        <v>214.48929999999999</v>
      </c>
      <c r="M3193">
        <v>0.99989459999999997</v>
      </c>
      <c r="N3193">
        <v>-1.4441280000000001E-2</v>
      </c>
      <c r="O3193">
        <v>-1.646441E-3</v>
      </c>
      <c r="P3193">
        <v>0.97638789999999998</v>
      </c>
      <c r="Q3193">
        <v>0.20954500000000001</v>
      </c>
      <c r="R3193">
        <v>-5.2518130000000003E-2</v>
      </c>
      <c r="S3193">
        <v>3.099548</v>
      </c>
      <c r="T3193">
        <v>-0.1038902</v>
      </c>
      <c r="U3193">
        <v>7.4447630000000001E-2</v>
      </c>
      <c r="V3193">
        <v>5.092E-2</v>
      </c>
      <c r="W3193">
        <v>0.2236225</v>
      </c>
      <c r="X3193">
        <v>0.97334480000000001</v>
      </c>
      <c r="Y3193">
        <v>-2.5637159999999999E-2</v>
      </c>
      <c r="Z3193">
        <v>6.4608720000000001E-4</v>
      </c>
      <c r="AA3193">
        <v>0.99967110000000003</v>
      </c>
      <c r="AB3193">
        <v>43</v>
      </c>
      <c r="AC3193">
        <v>33.003500000000003</v>
      </c>
      <c r="AD3193">
        <v>-1.1209826686990001</v>
      </c>
      <c r="AE3193">
        <v>0.80400000000000205</v>
      </c>
      <c r="AF3193">
        <v>-0.85735437105802603</v>
      </c>
      <c r="AG3193">
        <v>-1.1209826686990001</v>
      </c>
      <c r="AH3193">
        <v>32.964124548790501</v>
      </c>
      <c r="AI3193">
        <v>91.946999913293595</v>
      </c>
      <c r="AJ3193">
        <v>91.489853462064602</v>
      </c>
      <c r="AK3193">
        <v>32.994320207109403</v>
      </c>
      <c r="AL3193">
        <v>77.078110365613696</v>
      </c>
      <c r="AM3193">
        <v>87.005332628381296</v>
      </c>
      <c r="AN3193">
        <v>0.99999998429664405</v>
      </c>
    </row>
    <row r="3194" spans="1:40" x14ac:dyDescent="0.25">
      <c r="A3194" t="str">
        <f>"20190303170601206"</f>
        <v>20190303170601206</v>
      </c>
      <c r="B3194" t="str">
        <f>"1551603961198183"</f>
        <v>1551603961198183</v>
      </c>
      <c r="C3194" t="s">
        <v>40</v>
      </c>
      <c r="D3194">
        <v>5.6158440000000001</v>
      </c>
      <c r="E3194">
        <v>0.47565489999999999</v>
      </c>
      <c r="F3194" t="s">
        <v>60</v>
      </c>
      <c r="G3194">
        <v>-229.49379999999999</v>
      </c>
      <c r="H3194" s="1">
        <v>3.4857879999999998E-6</v>
      </c>
      <c r="I3194">
        <v>215.2919</v>
      </c>
      <c r="J3194">
        <v>-261.7647</v>
      </c>
      <c r="K3194">
        <v>1.120989</v>
      </c>
      <c r="L3194">
        <v>214.48859999999999</v>
      </c>
      <c r="M3194">
        <v>0.99989450000000002</v>
      </c>
      <c r="N3194">
        <v>-1.4438629999999999E-2</v>
      </c>
      <c r="O3194">
        <v>-1.6464120000000001E-3</v>
      </c>
      <c r="P3194">
        <v>0.97640850000000001</v>
      </c>
      <c r="Q3194">
        <v>0.2095013</v>
      </c>
      <c r="R3194">
        <v>-5.2306980000000003E-2</v>
      </c>
      <c r="S3194">
        <v>3.0993650000000001</v>
      </c>
      <c r="T3194">
        <v>-0.1062053</v>
      </c>
      <c r="U3194">
        <v>7.6034550000000006E-2</v>
      </c>
      <c r="V3194">
        <v>5.070873E-2</v>
      </c>
      <c r="W3194">
        <v>0.22357650000000001</v>
      </c>
      <c r="X3194">
        <v>0.97336639999999996</v>
      </c>
      <c r="Y3194">
        <v>-2.614884E-2</v>
      </c>
      <c r="Z3194">
        <v>6.6934049999999999E-4</v>
      </c>
      <c r="AA3194">
        <v>0.99965780000000004</v>
      </c>
      <c r="AB3194">
        <v>43</v>
      </c>
      <c r="AC3194">
        <v>32.270899999999997</v>
      </c>
      <c r="AD3194">
        <v>-1.120985514212</v>
      </c>
      <c r="AE3194">
        <v>0.80330000000000701</v>
      </c>
      <c r="AF3194">
        <v>-0.85540411598052501</v>
      </c>
      <c r="AG3194">
        <v>-1.120985514212</v>
      </c>
      <c r="AH3194">
        <v>32.2306668122256</v>
      </c>
      <c r="AI3194">
        <v>91.991248870265693</v>
      </c>
      <c r="AJ3194">
        <v>91.520277051073805</v>
      </c>
      <c r="AK3194">
        <v>32.261497297636602</v>
      </c>
      <c r="AL3194">
        <v>77.0808144796367</v>
      </c>
      <c r="AM3194">
        <v>87.017801259054494</v>
      </c>
      <c r="AN3194">
        <v>0.99999998764971099</v>
      </c>
    </row>
    <row r="3195" spans="1:40" x14ac:dyDescent="0.25">
      <c r="A3195" t="str">
        <f>"20190303170601227"</f>
        <v>20190303170601227</v>
      </c>
      <c r="B3195" t="str">
        <f>"1551603961218209"</f>
        <v>1551603961218209</v>
      </c>
      <c r="C3195" t="s">
        <v>40</v>
      </c>
      <c r="D3195">
        <v>5.5449279999999996</v>
      </c>
      <c r="E3195">
        <v>0.47556399999999999</v>
      </c>
      <c r="F3195" t="s">
        <v>60</v>
      </c>
      <c r="G3195">
        <v>-229.11240000000001</v>
      </c>
      <c r="H3195" s="1">
        <v>3.2830740000000001E-6</v>
      </c>
      <c r="I3195">
        <v>215.28630000000001</v>
      </c>
      <c r="J3195">
        <v>-261.35579999999999</v>
      </c>
      <c r="K3195">
        <v>1.120989</v>
      </c>
      <c r="L3195">
        <v>214.4879</v>
      </c>
      <c r="M3195">
        <v>0.99989459999999997</v>
      </c>
      <c r="N3195">
        <v>-1.443617E-2</v>
      </c>
      <c r="O3195">
        <v>-1.64626799999999E-3</v>
      </c>
      <c r="P3195">
        <v>0.9763037</v>
      </c>
      <c r="Q3195">
        <v>0.2099724</v>
      </c>
      <c r="R3195">
        <v>-5.237501E-2</v>
      </c>
      <c r="S3195">
        <v>3.099335</v>
      </c>
      <c r="T3195">
        <v>-0.1064031</v>
      </c>
      <c r="U3195">
        <v>7.5714110000000001E-2</v>
      </c>
      <c r="V3195">
        <v>5.0776799999999997E-2</v>
      </c>
      <c r="W3195">
        <v>0.22404399999999999</v>
      </c>
      <c r="X3195">
        <v>0.97325530000000005</v>
      </c>
      <c r="Y3195">
        <v>-2.6045660000000002E-2</v>
      </c>
      <c r="Z3195">
        <v>6.6773799999999997E-4</v>
      </c>
      <c r="AA3195">
        <v>0.99966060000000001</v>
      </c>
      <c r="AB3195">
        <v>43</v>
      </c>
      <c r="AC3195">
        <v>32.243399999999902</v>
      </c>
      <c r="AD3195">
        <v>-1.120985716926</v>
      </c>
      <c r="AE3195">
        <v>0.79840000000001499</v>
      </c>
      <c r="AF3195">
        <v>-0.85045839978137605</v>
      </c>
      <c r="AG3195">
        <v>-1.120985716926</v>
      </c>
      <c r="AH3195">
        <v>32.203141696878198</v>
      </c>
      <c r="AI3195">
        <v>91.992956742204896</v>
      </c>
      <c r="AJ3195">
        <v>91.512782630711399</v>
      </c>
      <c r="AK3195">
        <v>32.233867649050801</v>
      </c>
      <c r="AL3195">
        <v>77.053330883205106</v>
      </c>
      <c r="AM3195">
        <v>87.013465012524705</v>
      </c>
      <c r="AN3195">
        <v>0.99999993816616295</v>
      </c>
    </row>
    <row r="3196" spans="1:40" x14ac:dyDescent="0.25">
      <c r="A3196" t="str">
        <f>"20190303170601251"</f>
        <v>20190303170601251</v>
      </c>
      <c r="B3196" t="str">
        <f>"1551603961237729"</f>
        <v>1551603961237729</v>
      </c>
      <c r="C3196" t="s">
        <v>40</v>
      </c>
      <c r="D3196">
        <v>5.5629419999999996</v>
      </c>
      <c r="E3196">
        <v>0.4756127</v>
      </c>
      <c r="F3196" t="s">
        <v>60</v>
      </c>
      <c r="G3196">
        <v>-228.52010000000001</v>
      </c>
      <c r="H3196" s="1">
        <v>2.9673949999999998E-6</v>
      </c>
      <c r="I3196">
        <v>215.2978</v>
      </c>
      <c r="J3196">
        <v>-260.92520000000002</v>
      </c>
      <c r="K3196">
        <v>1.1209929999999999</v>
      </c>
      <c r="L3196">
        <v>214.4872</v>
      </c>
      <c r="M3196">
        <v>0.99989450000000002</v>
      </c>
      <c r="N3196">
        <v>-1.4433669999999999E-2</v>
      </c>
      <c r="O3196">
        <v>-1.646006E-3</v>
      </c>
      <c r="P3196">
        <v>0.97628550000000003</v>
      </c>
      <c r="Q3196">
        <v>0.21008460000000001</v>
      </c>
      <c r="R3196">
        <v>-5.2263520000000001E-2</v>
      </c>
      <c r="S3196">
        <v>3.09964</v>
      </c>
      <c r="T3196">
        <v>-0.1058192</v>
      </c>
      <c r="U3196">
        <v>7.6446529999999999E-2</v>
      </c>
      <c r="V3196">
        <v>5.0665429999999997E-2</v>
      </c>
      <c r="W3196">
        <v>0.2241532</v>
      </c>
      <c r="X3196">
        <v>0.97323599999999999</v>
      </c>
      <c r="Y3196">
        <v>-2.627908E-2</v>
      </c>
      <c r="Z3196">
        <v>6.705611E-4</v>
      </c>
      <c r="AA3196">
        <v>0.99965440000000005</v>
      </c>
      <c r="AB3196">
        <v>43</v>
      </c>
      <c r="AC3196">
        <v>32.405099999999997</v>
      </c>
      <c r="AD3196">
        <v>-1.120990032605</v>
      </c>
      <c r="AE3196">
        <v>0.81059999999999299</v>
      </c>
      <c r="AF3196">
        <v>-0.86291146613422598</v>
      </c>
      <c r="AG3196">
        <v>-1.120990032605</v>
      </c>
      <c r="AH3196">
        <v>32.365015466764198</v>
      </c>
      <c r="AI3196">
        <v>91.982991290083106</v>
      </c>
      <c r="AJ3196">
        <v>91.527250156314295</v>
      </c>
      <c r="AK3196">
        <v>32.395917351040801</v>
      </c>
      <c r="AL3196">
        <v>77.046911416380098</v>
      </c>
      <c r="AM3196">
        <v>87.019944644177599</v>
      </c>
      <c r="AN3196">
        <v>0.99999997728166201</v>
      </c>
    </row>
    <row r="3197" spans="1:40" x14ac:dyDescent="0.25">
      <c r="A3197" t="str">
        <f>"20190303170601273"</f>
        <v>20190303170601273</v>
      </c>
      <c r="B3197" t="str">
        <f>"1551603961267986"</f>
        <v>1551603961267986</v>
      </c>
      <c r="C3197" t="s">
        <v>40</v>
      </c>
      <c r="D3197">
        <v>5.5878249999999996</v>
      </c>
      <c r="E3197">
        <v>0.47577550000000002</v>
      </c>
      <c r="F3197" t="s">
        <v>60</v>
      </c>
      <c r="G3197">
        <v>-228.59129999999999</v>
      </c>
      <c r="H3197" s="1">
        <v>3.0063159999999999E-6</v>
      </c>
      <c r="I3197">
        <v>215.27420000000001</v>
      </c>
      <c r="J3197">
        <v>-260.49340000000001</v>
      </c>
      <c r="K3197">
        <v>1.120997</v>
      </c>
      <c r="L3197">
        <v>214.48650000000001</v>
      </c>
      <c r="M3197">
        <v>0.99989459999999997</v>
      </c>
      <c r="N3197">
        <v>-1.4431289999999999E-2</v>
      </c>
      <c r="O3197">
        <v>-1.645985E-3</v>
      </c>
      <c r="P3197">
        <v>0.97639350000000003</v>
      </c>
      <c r="Q3197">
        <v>0.20959230000000001</v>
      </c>
      <c r="R3197">
        <v>-5.2222959999999999E-2</v>
      </c>
      <c r="S3197">
        <v>3.1000369999999999</v>
      </c>
      <c r="T3197">
        <v>-0.1074756</v>
      </c>
      <c r="U3197">
        <v>7.5454709999999994E-2</v>
      </c>
      <c r="V3197">
        <v>5.0624549999999997E-2</v>
      </c>
      <c r="W3197">
        <v>0.2236601</v>
      </c>
      <c r="X3197">
        <v>0.97335159999999998</v>
      </c>
      <c r="Y3197">
        <v>-2.595596E-2</v>
      </c>
      <c r="Z3197">
        <v>6.7043229999999999E-4</v>
      </c>
      <c r="AA3197">
        <v>0.99966290000000002</v>
      </c>
      <c r="AB3197">
        <v>43</v>
      </c>
      <c r="AC3197">
        <v>31.902100000000001</v>
      </c>
      <c r="AD3197">
        <v>-1.1209939936839901</v>
      </c>
      <c r="AE3197">
        <v>0.78770000000000095</v>
      </c>
      <c r="AF3197">
        <v>-0.839179255808022</v>
      </c>
      <c r="AG3197">
        <v>-1.1209939936839901</v>
      </c>
      <c r="AH3197">
        <v>31.861444146105999</v>
      </c>
      <c r="AI3197">
        <v>92.014331276347093</v>
      </c>
      <c r="AJ3197">
        <v>91.508729981369896</v>
      </c>
      <c r="AK3197">
        <v>31.892200808860601</v>
      </c>
      <c r="AL3197">
        <v>77.075900415748194</v>
      </c>
      <c r="AM3197">
        <v>87.022697812721802</v>
      </c>
      <c r="AN3197">
        <v>1.00000001130863</v>
      </c>
    </row>
    <row r="3198" spans="1:40" x14ac:dyDescent="0.25">
      <c r="A3198" t="str">
        <f>"20190303170601296"</f>
        <v>20190303170601296</v>
      </c>
      <c r="B3198" t="str">
        <f>"1551603961287507"</f>
        <v>1551603961287507</v>
      </c>
      <c r="C3198" t="s">
        <v>40</v>
      </c>
      <c r="D3198">
        <v>5.6226649999999996</v>
      </c>
      <c r="E3198">
        <v>0.47585189999999999</v>
      </c>
      <c r="F3198" t="s">
        <v>60</v>
      </c>
      <c r="G3198">
        <v>-228.20050000000001</v>
      </c>
      <c r="H3198" s="1">
        <v>2.7991060000000002E-6</v>
      </c>
      <c r="I3198">
        <v>215.25659999999999</v>
      </c>
      <c r="J3198">
        <v>-260.0659</v>
      </c>
      <c r="K3198">
        <v>1.1209990000000001</v>
      </c>
      <c r="L3198">
        <v>214.48580000000001</v>
      </c>
      <c r="M3198">
        <v>0.99989459999999997</v>
      </c>
      <c r="N3198">
        <v>-1.442864E-2</v>
      </c>
      <c r="O3198">
        <v>-1.6457240000000001E-3</v>
      </c>
      <c r="P3198">
        <v>0.97638769999999997</v>
      </c>
      <c r="Q3198">
        <v>0.20964459999999999</v>
      </c>
      <c r="R3198">
        <v>-5.212075E-2</v>
      </c>
      <c r="S3198">
        <v>3.0995789999999999</v>
      </c>
      <c r="T3198">
        <v>-0.1075965</v>
      </c>
      <c r="U3198">
        <v>7.3913569999999998E-2</v>
      </c>
      <c r="V3198">
        <v>5.052251E-2</v>
      </c>
      <c r="W3198">
        <v>0.22370989999999999</v>
      </c>
      <c r="X3198">
        <v>0.97334549999999997</v>
      </c>
      <c r="Y3198">
        <v>-2.54629E-2</v>
      </c>
      <c r="Z3198">
        <v>6.5893020000000002E-4</v>
      </c>
      <c r="AA3198">
        <v>0.9996756</v>
      </c>
      <c r="AB3198">
        <v>43</v>
      </c>
      <c r="AC3198">
        <v>31.865399999999902</v>
      </c>
      <c r="AD3198">
        <v>-1.120996200894</v>
      </c>
      <c r="AE3198">
        <v>0.77079999999997995</v>
      </c>
      <c r="AF3198">
        <v>-0.82222909595584703</v>
      </c>
      <c r="AG3198">
        <v>-1.120996200894</v>
      </c>
      <c r="AH3198">
        <v>31.824725910090599</v>
      </c>
      <c r="AI3198">
        <v>92.016683771508397</v>
      </c>
      <c r="AJ3198">
        <v>91.479974381109898</v>
      </c>
      <c r="AK3198">
        <v>31.855076085626401</v>
      </c>
      <c r="AL3198">
        <v>77.072973453863199</v>
      </c>
      <c r="AM3198">
        <v>87.028669578536807</v>
      </c>
      <c r="AN3198">
        <v>1.00000005287247</v>
      </c>
    </row>
    <row r="3199" spans="1:40" x14ac:dyDescent="0.25">
      <c r="A3199" t="str">
        <f>"20190303170601317"</f>
        <v>20190303170601317</v>
      </c>
      <c r="B3199" t="str">
        <f>"1551603961308001"</f>
        <v>1551603961308001</v>
      </c>
      <c r="C3199" t="s">
        <v>40</v>
      </c>
      <c r="D3199">
        <v>5.6394659999999996</v>
      </c>
      <c r="E3199">
        <v>0.47584920000000003</v>
      </c>
      <c r="F3199" t="s">
        <v>60</v>
      </c>
      <c r="G3199">
        <v>-227.4528</v>
      </c>
      <c r="H3199" s="1">
        <v>2.4007959999999998E-6</v>
      </c>
      <c r="I3199">
        <v>215.2664</v>
      </c>
      <c r="J3199">
        <v>-259.64359999999999</v>
      </c>
      <c r="K3199">
        <v>1.121003</v>
      </c>
      <c r="L3199">
        <v>214.48509999999999</v>
      </c>
      <c r="M3199">
        <v>0.99989470000000003</v>
      </c>
      <c r="N3199">
        <v>-1.4425830000000001E-2</v>
      </c>
      <c r="O3199">
        <v>-1.6405339999999999E-3</v>
      </c>
      <c r="P3199">
        <v>0.9763889</v>
      </c>
      <c r="Q3199">
        <v>0.20963770000000001</v>
      </c>
      <c r="R3199">
        <v>-5.2129050000000003E-2</v>
      </c>
      <c r="S3199">
        <v>3.099396</v>
      </c>
      <c r="T3199">
        <v>-0.106534199999999</v>
      </c>
      <c r="U3199">
        <v>7.4188229999999994E-2</v>
      </c>
      <c r="V3199">
        <v>5.0534410000000002E-2</v>
      </c>
      <c r="W3199">
        <v>0.2237005</v>
      </c>
      <c r="X3199">
        <v>0.97334699999999996</v>
      </c>
      <c r="Y3199">
        <v>-2.5547960000000002E-2</v>
      </c>
      <c r="Z3199">
        <v>6.5597599999999995E-4</v>
      </c>
      <c r="AA3199">
        <v>0.99967340000000005</v>
      </c>
      <c r="AB3199">
        <v>43</v>
      </c>
      <c r="AC3199">
        <v>32.190800000000003</v>
      </c>
      <c r="AD3199">
        <v>-1.121000599204</v>
      </c>
      <c r="AE3199">
        <v>0.78130000000001498</v>
      </c>
      <c r="AF3199">
        <v>-0.83310484140391206</v>
      </c>
      <c r="AG3199">
        <v>-1.121000599204</v>
      </c>
      <c r="AH3199">
        <v>32.150509290493702</v>
      </c>
      <c r="AI3199">
        <v>91.996269072635101</v>
      </c>
      <c r="AJ3199">
        <v>91.484353215144793</v>
      </c>
      <c r="AK3199">
        <v>32.180832084616902</v>
      </c>
      <c r="AL3199">
        <v>77.073525492377399</v>
      </c>
      <c r="AM3199">
        <v>87.027975542088797</v>
      </c>
      <c r="AN3199">
        <v>1.0000000113516401</v>
      </c>
    </row>
    <row r="3200" spans="1:40" x14ac:dyDescent="0.25">
      <c r="A3200" t="str">
        <f>"20190303170601338"</f>
        <v>20190303170601338</v>
      </c>
      <c r="B3200" t="str">
        <f>"1551603961327521"</f>
        <v>1551603961327521</v>
      </c>
      <c r="C3200" t="s">
        <v>40</v>
      </c>
      <c r="D3200">
        <v>5.6289939999999996</v>
      </c>
      <c r="E3200">
        <v>0.47597230000000001</v>
      </c>
      <c r="F3200" t="s">
        <v>60</v>
      </c>
      <c r="G3200">
        <v>-227.52289999999999</v>
      </c>
      <c r="H3200" s="1">
        <v>2.4384330000000001E-6</v>
      </c>
      <c r="I3200">
        <v>215.2593</v>
      </c>
      <c r="J3200">
        <v>-259.255</v>
      </c>
      <c r="K3200">
        <v>1.1210089999999999</v>
      </c>
      <c r="L3200">
        <v>214.4845</v>
      </c>
      <c r="M3200">
        <v>0.99989470000000003</v>
      </c>
      <c r="N3200">
        <v>-1.442324E-2</v>
      </c>
      <c r="O3200">
        <v>-1.62154799999999E-3</v>
      </c>
      <c r="P3200">
        <v>0.97641940000000005</v>
      </c>
      <c r="Q3200">
        <v>0.2095909</v>
      </c>
      <c r="R3200">
        <v>-5.174016E-2</v>
      </c>
      <c r="S3200">
        <v>3.0997620000000001</v>
      </c>
      <c r="T3200">
        <v>-0.1081806</v>
      </c>
      <c r="U3200">
        <v>7.4707029999999994E-2</v>
      </c>
      <c r="V3200">
        <v>5.0160129999999997E-2</v>
      </c>
      <c r="W3200">
        <v>0.2236532</v>
      </c>
      <c r="X3200">
        <v>0.97337720000000005</v>
      </c>
      <c r="Y3200">
        <v>-2.5692670000000001E-2</v>
      </c>
      <c r="Z3200">
        <v>6.6671799999999995E-4</v>
      </c>
      <c r="AA3200">
        <v>0.99966969999999999</v>
      </c>
      <c r="AB3200">
        <v>43</v>
      </c>
      <c r="AC3200">
        <v>31.732099999999999</v>
      </c>
      <c r="AD3200">
        <v>-1.121006561567</v>
      </c>
      <c r="AE3200">
        <v>0.77479999999999805</v>
      </c>
      <c r="AF3200">
        <v>-0.82523017224412898</v>
      </c>
      <c r="AG3200">
        <v>-1.121006561567</v>
      </c>
      <c r="AH3200">
        <v>31.6912742492791</v>
      </c>
      <c r="AI3200">
        <v>92.025176980180007</v>
      </c>
      <c r="AJ3200">
        <v>91.491625839354199</v>
      </c>
      <c r="AK3200">
        <v>31.721830402599402</v>
      </c>
      <c r="AL3200">
        <v>77.076305659446305</v>
      </c>
      <c r="AM3200">
        <v>87.050039997939507</v>
      </c>
      <c r="AN3200">
        <v>0.99999998299584802</v>
      </c>
    </row>
    <row r="3201" spans="1:40" x14ac:dyDescent="0.25">
      <c r="A3201" t="str">
        <f>"20190303170601364"</f>
        <v>20190303170601364</v>
      </c>
      <c r="B3201" t="str">
        <f>"1551603961357778"</f>
        <v>1551603961357778</v>
      </c>
      <c r="C3201" t="s">
        <v>40</v>
      </c>
      <c r="D3201">
        <v>5.7063629999999996</v>
      </c>
      <c r="E3201">
        <v>0.47608479999999997</v>
      </c>
      <c r="F3201" t="s">
        <v>60</v>
      </c>
      <c r="G3201">
        <v>-227.0857</v>
      </c>
      <c r="H3201" s="1">
        <v>2.205725E-6</v>
      </c>
      <c r="I3201">
        <v>215.26070000000001</v>
      </c>
      <c r="J3201">
        <v>-258.77010000000001</v>
      </c>
      <c r="K3201">
        <v>1.1210290000000001</v>
      </c>
      <c r="L3201">
        <v>214.4838</v>
      </c>
      <c r="M3201">
        <v>0.99989490000000003</v>
      </c>
      <c r="N3201">
        <v>-1.442004E-2</v>
      </c>
      <c r="O3201">
        <v>-1.569452E-3</v>
      </c>
      <c r="P3201">
        <v>0.97626880000000005</v>
      </c>
      <c r="Q3201">
        <v>0.21029419999999999</v>
      </c>
      <c r="R3201">
        <v>-5.1725479999999997E-2</v>
      </c>
      <c r="S3201">
        <v>3.0995789999999999</v>
      </c>
      <c r="T3201">
        <v>-0.1080115</v>
      </c>
      <c r="U3201">
        <v>7.4783329999999995E-2</v>
      </c>
      <c r="V3201">
        <v>5.0185960000000002E-2</v>
      </c>
      <c r="W3201">
        <v>0.224353</v>
      </c>
      <c r="X3201">
        <v>0.97321480000000005</v>
      </c>
      <c r="Y3201">
        <v>-2.5666689999999999E-2</v>
      </c>
      <c r="Z3201">
        <v>6.6421939999999999E-4</v>
      </c>
      <c r="AA3201">
        <v>0.99967030000000001</v>
      </c>
      <c r="AB3201">
        <v>43</v>
      </c>
      <c r="AC3201">
        <v>31.6844</v>
      </c>
      <c r="AD3201">
        <v>-1.1210267942749901</v>
      </c>
      <c r="AE3201">
        <v>0.77690000000001103</v>
      </c>
      <c r="AF3201">
        <v>-0.82559847592924396</v>
      </c>
      <c r="AG3201">
        <v>-1.1210267942749901</v>
      </c>
      <c r="AH3201">
        <v>31.643553384053</v>
      </c>
      <c r="AI3201">
        <v>92.028262439928298</v>
      </c>
      <c r="AJ3201">
        <v>91.494540725105097</v>
      </c>
      <c r="AK3201">
        <v>31.674165887775999</v>
      </c>
      <c r="AL3201">
        <v>77.035164481707199</v>
      </c>
      <c r="AM3201">
        <v>87.048031958098093</v>
      </c>
      <c r="AN3201">
        <v>0.99999997306457999</v>
      </c>
    </row>
    <row r="3202" spans="1:40" x14ac:dyDescent="0.25">
      <c r="A3202" t="str">
        <f>"20190303170601386"</f>
        <v>20190303170601386</v>
      </c>
      <c r="B3202" t="str">
        <f>"1551603961378273"</f>
        <v>1551603961378273</v>
      </c>
      <c r="C3202" t="s">
        <v>40</v>
      </c>
      <c r="D3202">
        <v>5.683522</v>
      </c>
      <c r="E3202">
        <v>0.47609609999999902</v>
      </c>
      <c r="F3202" t="s">
        <v>60</v>
      </c>
      <c r="G3202">
        <v>-225.58</v>
      </c>
      <c r="H3202" s="1">
        <v>1.40374E-6</v>
      </c>
      <c r="I3202">
        <v>215.2766</v>
      </c>
      <c r="J3202">
        <v>-258.35070000000002</v>
      </c>
      <c r="K3202">
        <v>1.1210629999999999</v>
      </c>
      <c r="L3202">
        <v>214.48320000000001</v>
      </c>
      <c r="M3202">
        <v>0.99989510000000004</v>
      </c>
      <c r="N3202">
        <v>-1.441749E-2</v>
      </c>
      <c r="O3202">
        <v>-1.4892480000000001E-3</v>
      </c>
      <c r="P3202">
        <v>0.9762731</v>
      </c>
      <c r="Q3202">
        <v>0.21040790000000001</v>
      </c>
      <c r="R3202">
        <v>-5.118114E-2</v>
      </c>
      <c r="S3202">
        <v>3.0993650000000001</v>
      </c>
      <c r="T3202">
        <v>-0.1046839</v>
      </c>
      <c r="U3202">
        <v>7.403564E-2</v>
      </c>
      <c r="V3202">
        <v>4.9706229999999997E-2</v>
      </c>
      <c r="W3202">
        <v>0.22446730000000001</v>
      </c>
      <c r="X3202">
        <v>0.97321310000000005</v>
      </c>
      <c r="Y3202">
        <v>-2.5348599999999999E-2</v>
      </c>
      <c r="Z3202">
        <v>6.3955819999999999E-4</v>
      </c>
      <c r="AA3202">
        <v>0.99967850000000003</v>
      </c>
      <c r="AB3202">
        <v>42</v>
      </c>
      <c r="AC3202">
        <v>32.770699999999998</v>
      </c>
      <c r="AD3202">
        <v>-1.1210615962599999</v>
      </c>
      <c r="AE3202">
        <v>0.793399999999991</v>
      </c>
      <c r="AF3202">
        <v>-0.84122399956475202</v>
      </c>
      <c r="AG3202">
        <v>-1.1210615962599999</v>
      </c>
      <c r="AH3202">
        <v>32.731199930694501</v>
      </c>
      <c r="AI3202">
        <v>91.960998079314805</v>
      </c>
      <c r="AJ3202">
        <v>91.472233732146506</v>
      </c>
      <c r="AK3202">
        <v>32.761194816782101</v>
      </c>
      <c r="AL3202">
        <v>77.028444632553402</v>
      </c>
      <c r="AM3202">
        <v>87.076195666308806</v>
      </c>
      <c r="AN3202">
        <v>1.00000000804085</v>
      </c>
    </row>
    <row r="3203" spans="1:40" x14ac:dyDescent="0.25">
      <c r="A3203" t="str">
        <f>"20190303170601407"</f>
        <v>20190303170601407</v>
      </c>
      <c r="B3203" t="str">
        <f>"1551603961397794"</f>
        <v>1551603961397794</v>
      </c>
      <c r="C3203" t="s">
        <v>40</v>
      </c>
      <c r="D3203">
        <v>5.7019710000000003</v>
      </c>
      <c r="E3203">
        <v>0.4760779</v>
      </c>
      <c r="F3203" t="s">
        <v>60</v>
      </c>
      <c r="G3203">
        <v>-224.9513</v>
      </c>
      <c r="H3203" s="1">
        <v>1.0682039999999999E-6</v>
      </c>
      <c r="I3203">
        <v>215.29929999999999</v>
      </c>
      <c r="J3203">
        <v>-257.94690000000003</v>
      </c>
      <c r="K3203">
        <v>1.1210929999999999</v>
      </c>
      <c r="L3203">
        <v>214.48269999999999</v>
      </c>
      <c r="M3203">
        <v>0.99989530000000004</v>
      </c>
      <c r="N3203">
        <v>-1.441504E-2</v>
      </c>
      <c r="O3203">
        <v>-1.3863809999999999E-3</v>
      </c>
      <c r="P3203">
        <v>0.97628130000000002</v>
      </c>
      <c r="Q3203">
        <v>0.21047479999999999</v>
      </c>
      <c r="R3203">
        <v>-5.0750860000000002E-2</v>
      </c>
      <c r="S3203">
        <v>3.0992739999999999</v>
      </c>
      <c r="T3203">
        <v>-0.1040282</v>
      </c>
      <c r="U3203">
        <v>7.5729370000000004E-2</v>
      </c>
      <c r="V3203">
        <v>4.9362049999999998E-2</v>
      </c>
      <c r="W3203">
        <v>0.2245347</v>
      </c>
      <c r="X3203">
        <v>0.97321500000000005</v>
      </c>
      <c r="Y3203">
        <v>-2.579234E-2</v>
      </c>
      <c r="Z3203">
        <v>6.4522419999999997E-4</v>
      </c>
      <c r="AA3203">
        <v>0.99966710000000003</v>
      </c>
      <c r="AB3203">
        <v>42</v>
      </c>
      <c r="AC3203">
        <v>32.995600000000003</v>
      </c>
      <c r="AD3203">
        <v>-1.121091931796</v>
      </c>
      <c r="AE3203">
        <v>0.816599999999994</v>
      </c>
      <c r="AF3203">
        <v>-0.86135466259388505</v>
      </c>
      <c r="AG3203">
        <v>-1.121091931796</v>
      </c>
      <c r="AH3203">
        <v>32.956413220090901</v>
      </c>
      <c r="AI3203">
        <v>91.9476383431291</v>
      </c>
      <c r="AJ3203">
        <v>91.497151818705404</v>
      </c>
      <c r="AK3203">
        <v>32.986723864422999</v>
      </c>
      <c r="AL3203">
        <v>77.024480839488405</v>
      </c>
      <c r="AM3203">
        <v>87.096411808692096</v>
      </c>
      <c r="AN3203">
        <v>0.99999993985464397</v>
      </c>
    </row>
    <row r="3204" spans="1:40" x14ac:dyDescent="0.25">
      <c r="A3204" t="str">
        <f>"20190303170601429"</f>
        <v>20190303170601429</v>
      </c>
      <c r="B3204" t="str">
        <f>"1551603961418290"</f>
        <v>1551603961418290</v>
      </c>
      <c r="C3204" t="s">
        <v>40</v>
      </c>
      <c r="D3204">
        <v>5.6665869999999998</v>
      </c>
      <c r="E3204">
        <v>0.47609820000000003</v>
      </c>
      <c r="F3204" t="s">
        <v>60</v>
      </c>
      <c r="G3204">
        <v>-224.37729999999999</v>
      </c>
      <c r="H3204" s="1">
        <v>7.6205119999999998E-7</v>
      </c>
      <c r="I3204">
        <v>215.31540000000001</v>
      </c>
      <c r="J3204">
        <v>-257.5367</v>
      </c>
      <c r="K3204">
        <v>1.12112099999999</v>
      </c>
      <c r="L3204">
        <v>214.48220000000001</v>
      </c>
      <c r="M3204">
        <v>0.99989539999999999</v>
      </c>
      <c r="N3204">
        <v>-1.441249E-2</v>
      </c>
      <c r="O3204">
        <v>-1.2553900000000001E-3</v>
      </c>
      <c r="P3204">
        <v>0.976271</v>
      </c>
      <c r="Q3204">
        <v>0.2107291</v>
      </c>
      <c r="R3204">
        <v>-4.9882540000000003E-2</v>
      </c>
      <c r="S3204">
        <v>3.099167</v>
      </c>
      <c r="T3204">
        <v>-0.10349999999999999</v>
      </c>
      <c r="U3204">
        <v>7.6873780000000003E-2</v>
      </c>
      <c r="V3204">
        <v>4.8607780000000003E-2</v>
      </c>
      <c r="W3204">
        <v>0.2247893</v>
      </c>
      <c r="X3204">
        <v>0.97319420000000001</v>
      </c>
      <c r="Y3204">
        <v>-2.6031149999999999E-2</v>
      </c>
      <c r="Z3204">
        <v>6.4600010000000002E-4</v>
      </c>
      <c r="AA3204">
        <v>0.99966089999999996</v>
      </c>
      <c r="AB3204">
        <v>42</v>
      </c>
      <c r="AC3204">
        <v>33.159399999999998</v>
      </c>
      <c r="AD3204">
        <v>-1.1211202379487999</v>
      </c>
      <c r="AE3204">
        <v>0.83320000000000505</v>
      </c>
      <c r="AF3204">
        <v>-0.87383338001919897</v>
      </c>
      <c r="AG3204">
        <v>-1.1211202379487999</v>
      </c>
      <c r="AH3204">
        <v>33.120491025459799</v>
      </c>
      <c r="AI3204">
        <v>91.938033511425303</v>
      </c>
      <c r="AJ3204">
        <v>91.511310701598902</v>
      </c>
      <c r="AK3204">
        <v>33.150979188125604</v>
      </c>
      <c r="AL3204">
        <v>77.009510757834803</v>
      </c>
      <c r="AM3204">
        <v>87.140644481594293</v>
      </c>
      <c r="AN3204">
        <v>0.99999994829232697</v>
      </c>
    </row>
    <row r="3205" spans="1:40" x14ac:dyDescent="0.25">
      <c r="A3205" t="str">
        <f>"20190303170601451"</f>
        <v>20190303170601451</v>
      </c>
      <c r="B3205" t="str">
        <f>"1551603961437810"</f>
        <v>1551603961437810</v>
      </c>
      <c r="C3205" t="s">
        <v>40</v>
      </c>
      <c r="D3205">
        <v>5.6447059999999896</v>
      </c>
      <c r="E3205">
        <v>0.47614010000000001</v>
      </c>
      <c r="F3205" t="s">
        <v>60</v>
      </c>
      <c r="G3205">
        <v>-223.6926</v>
      </c>
      <c r="H3205" s="1">
        <v>3.9672880000000002E-7</v>
      </c>
      <c r="I3205">
        <v>215.33709999999999</v>
      </c>
      <c r="J3205">
        <v>-257.12279999999998</v>
      </c>
      <c r="K3205">
        <v>1.1211420000000001</v>
      </c>
      <c r="L3205">
        <v>214.48179999999999</v>
      </c>
      <c r="M3205">
        <v>0.99989550000000005</v>
      </c>
      <c r="N3205">
        <v>-1.44099E-2</v>
      </c>
      <c r="O3205">
        <v>-1.1001349999999999E-3</v>
      </c>
      <c r="P3205">
        <v>0.97652030000000001</v>
      </c>
      <c r="Q3205">
        <v>0.20974490000000001</v>
      </c>
      <c r="R3205">
        <v>-4.9143779999999998E-2</v>
      </c>
      <c r="S3205">
        <v>3.099075</v>
      </c>
      <c r="T3205">
        <v>-0.10266019999999899</v>
      </c>
      <c r="U3205">
        <v>7.8277589999999994E-2</v>
      </c>
      <c r="V3205">
        <v>4.8007969999999997E-2</v>
      </c>
      <c r="W3205">
        <v>0.2238088</v>
      </c>
      <c r="X3205">
        <v>0.97344989999999998</v>
      </c>
      <c r="Y3205">
        <v>-2.6329290000000002E-2</v>
      </c>
      <c r="Z3205">
        <v>6.4629849999999997E-4</v>
      </c>
      <c r="AA3205">
        <v>0.99965309999999996</v>
      </c>
      <c r="AB3205">
        <v>42</v>
      </c>
      <c r="AC3205">
        <v>33.4301999999999</v>
      </c>
      <c r="AD3205">
        <v>-1.1211416032711901</v>
      </c>
      <c r="AE3205">
        <v>0.85529999999999895</v>
      </c>
      <c r="AF3205">
        <v>-0.89107948077744203</v>
      </c>
      <c r="AG3205">
        <v>-1.1211416032711901</v>
      </c>
      <c r="AH3205">
        <v>33.391707092444598</v>
      </c>
      <c r="AI3205">
        <v>91.9223253756291</v>
      </c>
      <c r="AJ3205">
        <v>91.528612457793699</v>
      </c>
      <c r="AK3205">
        <v>33.422403918378798</v>
      </c>
      <c r="AL3205">
        <v>77.067157815463503</v>
      </c>
      <c r="AM3205">
        <v>87.176611487880294</v>
      </c>
      <c r="AN3205">
        <v>0.99999992597548204</v>
      </c>
    </row>
    <row r="3206" spans="1:40" x14ac:dyDescent="0.25">
      <c r="A3206" t="str">
        <f>"20190303170601473"</f>
        <v>20190303170601473</v>
      </c>
      <c r="B3206" t="str">
        <f>"1551603961468066"</f>
        <v>1551603961468066</v>
      </c>
      <c r="C3206" t="s">
        <v>40</v>
      </c>
      <c r="D3206">
        <v>5.6226919999999998</v>
      </c>
      <c r="E3206">
        <v>0.47633809999999899</v>
      </c>
      <c r="F3206" t="s">
        <v>60</v>
      </c>
      <c r="G3206">
        <v>-224.34450000000001</v>
      </c>
      <c r="H3206" s="1">
        <v>7.4423789999999995E-7</v>
      </c>
      <c r="I3206">
        <v>215.3235</v>
      </c>
      <c r="J3206">
        <v>-256.68849999999998</v>
      </c>
      <c r="K3206">
        <v>1.1211629999999999</v>
      </c>
      <c r="L3206">
        <v>214.48150000000001</v>
      </c>
      <c r="M3206">
        <v>0.9998958</v>
      </c>
      <c r="N3206">
        <v>-1.440718E-2</v>
      </c>
      <c r="O3206">
        <v>-9.1882539999999999E-4</v>
      </c>
      <c r="P3206">
        <v>0.97670999999999997</v>
      </c>
      <c r="Q3206">
        <v>0.20903150000000001</v>
      </c>
      <c r="R3206">
        <v>-4.8410099999999998E-2</v>
      </c>
      <c r="S3206">
        <v>3.0989070000000001</v>
      </c>
      <c r="T3206">
        <v>-0.1059943</v>
      </c>
      <c r="U3206">
        <v>7.9574580000000006E-2</v>
      </c>
      <c r="V3206">
        <v>4.7440549999999998E-2</v>
      </c>
      <c r="W3206">
        <v>0.2230973</v>
      </c>
      <c r="X3206">
        <v>0.97364110000000004</v>
      </c>
      <c r="Y3206">
        <v>-2.6566159999999998E-2</v>
      </c>
      <c r="Z3206">
        <v>6.6379579999999996E-4</v>
      </c>
      <c r="AA3206">
        <v>0.99964679999999995</v>
      </c>
      <c r="AB3206">
        <v>42</v>
      </c>
      <c r="AC3206">
        <v>32.343999999999902</v>
      </c>
      <c r="AD3206">
        <v>-1.1211622557620999</v>
      </c>
      <c r="AE3206">
        <v>0.84199999999998398</v>
      </c>
      <c r="AF3206">
        <v>-0.87067574736195896</v>
      </c>
      <c r="AG3206">
        <v>-1.1211622557620999</v>
      </c>
      <c r="AH3206">
        <v>32.304422839143399</v>
      </c>
      <c r="AI3206">
        <v>91.986997301635498</v>
      </c>
      <c r="AJ3206">
        <v>91.543874401353705</v>
      </c>
      <c r="AK3206">
        <v>32.335596732253997</v>
      </c>
      <c r="AL3206">
        <v>77.108982274200301</v>
      </c>
      <c r="AM3206">
        <v>87.210475923101399</v>
      </c>
      <c r="AN3206">
        <v>1.0000000013304</v>
      </c>
    </row>
    <row r="3207" spans="1:40" x14ac:dyDescent="0.25">
      <c r="A3207" t="str">
        <f>"20190303170601496"</f>
        <v>20190303170601496</v>
      </c>
      <c r="B3207" t="str">
        <f>"1551603961487585"</f>
        <v>1551603961487585</v>
      </c>
      <c r="C3207" t="s">
        <v>40</v>
      </c>
      <c r="D3207">
        <v>5.6134700000000004</v>
      </c>
      <c r="E3207">
        <v>0.5015252</v>
      </c>
      <c r="F3207" t="s">
        <v>60</v>
      </c>
      <c r="G3207">
        <v>-224.62020000000001</v>
      </c>
      <c r="H3207" s="1">
        <v>8.9132449999999998E-7</v>
      </c>
      <c r="I3207">
        <v>215.3143</v>
      </c>
      <c r="J3207">
        <v>-256.26440000000002</v>
      </c>
      <c r="K3207">
        <v>1.1211789999999999</v>
      </c>
      <c r="L3207">
        <v>214.4813</v>
      </c>
      <c r="M3207">
        <v>0.99989600000000001</v>
      </c>
      <c r="N3207">
        <v>-1.440454E-2</v>
      </c>
      <c r="O3207">
        <v>-7.2948679999999995E-4</v>
      </c>
      <c r="P3207">
        <v>0.97707279999999996</v>
      </c>
      <c r="Q3207">
        <v>0.2073043</v>
      </c>
      <c r="R3207">
        <v>-4.851747E-2</v>
      </c>
      <c r="S3207">
        <v>3.0987089999999999</v>
      </c>
      <c r="T3207">
        <v>-0.1083359</v>
      </c>
      <c r="U3207">
        <v>8.0474850000000001E-2</v>
      </c>
      <c r="V3207">
        <v>4.7724999999999997E-2</v>
      </c>
      <c r="W3207">
        <v>0.22137480000000001</v>
      </c>
      <c r="X3207">
        <v>0.97402029999999995</v>
      </c>
      <c r="Y3207">
        <v>-2.666785E-2</v>
      </c>
      <c r="Z3207">
        <v>6.7313609999999999E-4</v>
      </c>
      <c r="AA3207">
        <v>0.99964410000000004</v>
      </c>
      <c r="AB3207">
        <v>42</v>
      </c>
      <c r="AC3207">
        <v>31.644200000000001</v>
      </c>
      <c r="AD3207">
        <v>-1.1211781086754999</v>
      </c>
      <c r="AE3207">
        <v>0.83299999999999796</v>
      </c>
      <c r="AF3207">
        <v>-0.85501361078148497</v>
      </c>
      <c r="AG3207">
        <v>-1.1211781086754999</v>
      </c>
      <c r="AH3207">
        <v>31.603937674266302</v>
      </c>
      <c r="AI3207">
        <v>92.031024718764002</v>
      </c>
      <c r="AJ3207">
        <v>91.549703240906496</v>
      </c>
      <c r="AK3207">
        <v>31.635375217387601</v>
      </c>
      <c r="AL3207">
        <v>77.210205700196099</v>
      </c>
      <c r="AM3207">
        <v>87.194867558074193</v>
      </c>
      <c r="AN3207">
        <v>1.0000000112560601</v>
      </c>
    </row>
    <row r="3208" spans="1:40" x14ac:dyDescent="0.25">
      <c r="A3208" t="str">
        <f>"20190303170601517"</f>
        <v>20190303170601517</v>
      </c>
      <c r="B3208" t="str">
        <f>"1551603961508081"</f>
        <v>1551603961508081</v>
      </c>
      <c r="C3208" t="s">
        <v>40</v>
      </c>
      <c r="D3208">
        <v>5.6007850000000001</v>
      </c>
      <c r="E3208">
        <v>0.50309870000000001</v>
      </c>
      <c r="F3208" t="s">
        <v>60</v>
      </c>
      <c r="G3208">
        <v>-225.54910000000001</v>
      </c>
      <c r="H3208" s="1">
        <v>1.474889E-6</v>
      </c>
      <c r="I3208">
        <v>213.2724</v>
      </c>
      <c r="J3208">
        <v>-255.85679999999999</v>
      </c>
      <c r="K3208">
        <v>1.121191</v>
      </c>
      <c r="L3208">
        <v>214.4812</v>
      </c>
      <c r="M3208">
        <v>0.99989620000000001</v>
      </c>
      <c r="N3208">
        <v>-1.440202E-2</v>
      </c>
      <c r="O3208">
        <v>-5.4068910000000005E-4</v>
      </c>
      <c r="P3208">
        <v>0.97707109999999997</v>
      </c>
      <c r="Q3208">
        <v>0.20737230000000001</v>
      </c>
      <c r="R3208">
        <v>-4.8260089999999999E-2</v>
      </c>
      <c r="S3208">
        <v>3.0882420000000002</v>
      </c>
      <c r="T3208">
        <v>-0.1127278</v>
      </c>
      <c r="U3208">
        <v>-0.12155150000000001</v>
      </c>
      <c r="V3208">
        <v>4.7645750000000001E-2</v>
      </c>
      <c r="W3208">
        <v>0.22144130000000001</v>
      </c>
      <c r="X3208">
        <v>0.97400900000000001</v>
      </c>
      <c r="Y3208">
        <v>3.8752849999999998E-2</v>
      </c>
      <c r="Z3208">
        <v>-9.7414669999999997E-4</v>
      </c>
      <c r="AA3208">
        <v>0.99924829999999998</v>
      </c>
      <c r="AB3208">
        <v>42</v>
      </c>
      <c r="AC3208">
        <v>30.307699999999901</v>
      </c>
      <c r="AD3208">
        <v>-1.121189525111</v>
      </c>
      <c r="AE3208">
        <v>-1.2087999999999901</v>
      </c>
      <c r="AF3208">
        <v>1.1907840543003201</v>
      </c>
      <c r="AG3208">
        <v>-1.121189525111</v>
      </c>
      <c r="AH3208">
        <v>30.2669939301298</v>
      </c>
      <c r="AI3208">
        <v>92.119816661885395</v>
      </c>
      <c r="AJ3208">
        <v>87.746993577140103</v>
      </c>
      <c r="AK3208">
        <v>30.311152307058599</v>
      </c>
      <c r="AL3208">
        <v>77.2062977565826</v>
      </c>
      <c r="AM3208">
        <v>87.199485775909807</v>
      </c>
      <c r="AN3208">
        <v>0.99999994945987403</v>
      </c>
    </row>
    <row r="3209" spans="1:40" x14ac:dyDescent="0.25">
      <c r="A3209" t="str">
        <f>"20190303170601540"</f>
        <v>20190303170601540</v>
      </c>
      <c r="B3209" t="str">
        <f>"1551603961527602"</f>
        <v>1551603961527602</v>
      </c>
      <c r="C3209" t="s">
        <v>40</v>
      </c>
      <c r="D3209">
        <v>5.6148300000000004</v>
      </c>
      <c r="E3209">
        <v>0.50395109999999999</v>
      </c>
      <c r="F3209" t="s">
        <v>60</v>
      </c>
      <c r="G3209">
        <v>-228.43889999999999</v>
      </c>
      <c r="H3209" s="1">
        <v>3.0114839999999999E-6</v>
      </c>
      <c r="I3209">
        <v>213.30109999999999</v>
      </c>
      <c r="J3209">
        <v>-255.43180000000001</v>
      </c>
      <c r="K3209">
        <v>1.1211899999999999</v>
      </c>
      <c r="L3209">
        <v>214.4811</v>
      </c>
      <c r="M3209">
        <v>0.99989629999999996</v>
      </c>
      <c r="N3209">
        <v>-1.439942E-2</v>
      </c>
      <c r="O3209">
        <v>-3.4083220000000002E-4</v>
      </c>
      <c r="P3209">
        <v>0.97727310000000001</v>
      </c>
      <c r="Q3209">
        <v>0.2064734</v>
      </c>
      <c r="R3209">
        <v>-4.8019600000000003E-2</v>
      </c>
      <c r="S3209">
        <v>3.090668</v>
      </c>
      <c r="T3209">
        <v>-0.12638530000000001</v>
      </c>
      <c r="U3209">
        <v>-0.13302610000000001</v>
      </c>
      <c r="V3209">
        <v>4.7595459999999999E-2</v>
      </c>
      <c r="W3209">
        <v>0.2205442</v>
      </c>
      <c r="X3209">
        <v>0.97421500000000005</v>
      </c>
      <c r="Y3209">
        <v>4.2612879999999999E-2</v>
      </c>
      <c r="Z3209">
        <v>-1.1686190000000001E-3</v>
      </c>
      <c r="AA3209">
        <v>0.99909099999999995</v>
      </c>
      <c r="AB3209">
        <v>42</v>
      </c>
      <c r="AC3209">
        <v>26.992899999999999</v>
      </c>
      <c r="AD3209">
        <v>-1.121186988516</v>
      </c>
      <c r="AE3209">
        <v>-1.18</v>
      </c>
      <c r="AF3209">
        <v>1.1687863028637899</v>
      </c>
      <c r="AG3209">
        <v>-1.121186988516</v>
      </c>
      <c r="AH3209">
        <v>26.9468986615937</v>
      </c>
      <c r="AI3209">
        <v>92.380311572136804</v>
      </c>
      <c r="AJ3209">
        <v>87.516427537656895</v>
      </c>
      <c r="AK3209">
        <v>26.995526836184901</v>
      </c>
      <c r="AL3209">
        <v>77.259001120223104</v>
      </c>
      <c r="AM3209">
        <v>87.203027626817203</v>
      </c>
      <c r="AN3209">
        <v>0.99999996909562505</v>
      </c>
    </row>
    <row r="3210" spans="1:40" x14ac:dyDescent="0.25">
      <c r="A3210" t="str">
        <f>"20190303170601565"</f>
        <v>20190303170601565</v>
      </c>
      <c r="B3210" t="str">
        <f>"1551603961557858"</f>
        <v>1551603961557858</v>
      </c>
      <c r="C3210" t="s">
        <v>40</v>
      </c>
      <c r="D3210">
        <v>5.5929699999999896</v>
      </c>
      <c r="E3210">
        <v>0.50394039999999996</v>
      </c>
      <c r="F3210" t="s">
        <v>60</v>
      </c>
      <c r="G3210">
        <v>-229.62790000000001</v>
      </c>
      <c r="H3210" s="1">
        <v>3.6431680000000001E-6</v>
      </c>
      <c r="I3210">
        <v>213.32499999999999</v>
      </c>
      <c r="J3210">
        <v>-254.96100000000001</v>
      </c>
      <c r="K3210">
        <v>1.1211930000000001</v>
      </c>
      <c r="L3210">
        <v>214.4811</v>
      </c>
      <c r="M3210">
        <v>0.99989640000000002</v>
      </c>
      <c r="N3210">
        <v>-1.4396539999999999E-2</v>
      </c>
      <c r="O3210">
        <v>-1.19529E-4</v>
      </c>
      <c r="P3210">
        <v>0.97762260000000001</v>
      </c>
      <c r="Q3210">
        <v>0.2049734</v>
      </c>
      <c r="R3210">
        <v>-4.733238E-2</v>
      </c>
      <c r="S3210">
        <v>3.0913089999999999</v>
      </c>
      <c r="T3210">
        <v>-0.1343184</v>
      </c>
      <c r="U3210">
        <v>-0.13850399999999999</v>
      </c>
      <c r="V3210">
        <v>4.7119899999999999E-2</v>
      </c>
      <c r="W3210">
        <v>0.2190472</v>
      </c>
      <c r="X3210">
        <v>0.97457579999999999</v>
      </c>
      <c r="Y3210">
        <v>4.4584140000000001E-2</v>
      </c>
      <c r="Z3210">
        <v>-1.285495E-3</v>
      </c>
      <c r="AA3210">
        <v>0.99900480000000003</v>
      </c>
      <c r="AB3210">
        <v>42</v>
      </c>
      <c r="AC3210">
        <v>25.333099999999899</v>
      </c>
      <c r="AD3210">
        <v>-1.1211893568319999</v>
      </c>
      <c r="AE3210">
        <v>-1.1560999999999999</v>
      </c>
      <c r="AF3210">
        <v>1.1508221382768</v>
      </c>
      <c r="AG3210">
        <v>-1.1211893568319999</v>
      </c>
      <c r="AH3210">
        <v>25.283816017972999</v>
      </c>
      <c r="AI3210">
        <v>92.536446685090795</v>
      </c>
      <c r="AJ3210">
        <v>87.393915006959702</v>
      </c>
      <c r="AK3210">
        <v>25.3348141812512</v>
      </c>
      <c r="AL3210">
        <v>77.346923042786003</v>
      </c>
      <c r="AM3210">
        <v>87.231953995108199</v>
      </c>
      <c r="AN3210">
        <v>0.99999997537474405</v>
      </c>
    </row>
    <row r="3211" spans="1:40" x14ac:dyDescent="0.25">
      <c r="A3211" t="str">
        <f>"20190303170601596"</f>
        <v>20190303170601596</v>
      </c>
      <c r="B3211" t="str">
        <f>"1551603961588113"</f>
        <v>1551603961588113</v>
      </c>
      <c r="C3211" t="s">
        <v>40</v>
      </c>
      <c r="D3211">
        <v>5.619955</v>
      </c>
      <c r="E3211">
        <v>0.50399799999999995</v>
      </c>
      <c r="F3211" t="s">
        <v>60</v>
      </c>
      <c r="G3211">
        <v>-230.7911</v>
      </c>
      <c r="H3211" s="1">
        <v>-1.0630240000000001E-6</v>
      </c>
      <c r="I3211">
        <v>213.4085</v>
      </c>
      <c r="J3211">
        <v>-254.36680000000001</v>
      </c>
      <c r="K3211">
        <v>1.121205</v>
      </c>
      <c r="L3211">
        <v>214.4813</v>
      </c>
      <c r="M3211">
        <v>0.99989640000000002</v>
      </c>
      <c r="N3211">
        <v>-1.439293E-2</v>
      </c>
      <c r="O3211">
        <v>1.5934820000000001E-4</v>
      </c>
      <c r="P3211">
        <v>0.97794219999999998</v>
      </c>
      <c r="Q3211">
        <v>0.2034889</v>
      </c>
      <c r="R3211">
        <v>-4.7133510000000003E-2</v>
      </c>
      <c r="S3211">
        <v>3.0921020000000001</v>
      </c>
      <c r="T3211">
        <v>-0.14343639999999999</v>
      </c>
      <c r="U3211">
        <v>-0.13722229999999999</v>
      </c>
      <c r="V3211">
        <v>4.7189439999999999E-2</v>
      </c>
      <c r="W3211">
        <v>0.2175647</v>
      </c>
      <c r="X3211">
        <v>0.97490449999999995</v>
      </c>
      <c r="Y3211">
        <v>4.4431279999999997E-2</v>
      </c>
      <c r="Z3211">
        <v>-1.3547190000000001E-3</v>
      </c>
      <c r="AA3211">
        <v>0.99901150000000005</v>
      </c>
      <c r="AB3211">
        <v>42</v>
      </c>
      <c r="AC3211">
        <v>23.575700000000001</v>
      </c>
      <c r="AD3211">
        <v>-1.1212060630239999</v>
      </c>
      <c r="AE3211">
        <v>-1.0728</v>
      </c>
      <c r="AF3211">
        <v>1.0741327375926599</v>
      </c>
      <c r="AG3211">
        <v>-1.1212060630239999</v>
      </c>
      <c r="AH3211">
        <v>23.522437153741201</v>
      </c>
      <c r="AI3211">
        <v>92.726123507550795</v>
      </c>
      <c r="AJ3211">
        <v>87.385451664239</v>
      </c>
      <c r="AK3211">
        <v>23.5736275067168</v>
      </c>
      <c r="AL3211">
        <v>77.433963909584094</v>
      </c>
      <c r="AM3211">
        <v>87.228808449597594</v>
      </c>
      <c r="AN3211">
        <v>1.00000001302692</v>
      </c>
    </row>
    <row r="3212" spans="1:40" x14ac:dyDescent="0.25">
      <c r="A3212" t="str">
        <f>"20190303170601618"</f>
        <v>20190303170601618</v>
      </c>
      <c r="B3212" t="str">
        <f>"1551603961607633"</f>
        <v>1551603961607633</v>
      </c>
      <c r="C3212" t="s">
        <v>40</v>
      </c>
      <c r="D3212">
        <v>5.6468420000000004</v>
      </c>
      <c r="E3212">
        <v>0.50413469999999905</v>
      </c>
      <c r="F3212" t="s">
        <v>60</v>
      </c>
      <c r="G3212">
        <v>-229.9288</v>
      </c>
      <c r="H3212" s="1">
        <v>3.800237E-6</v>
      </c>
      <c r="I3212">
        <v>213.39429999999999</v>
      </c>
      <c r="J3212">
        <v>-253.9624</v>
      </c>
      <c r="K3212">
        <v>1.12121</v>
      </c>
      <c r="L3212">
        <v>214.48159999999999</v>
      </c>
      <c r="M3212">
        <v>0.99989649999999997</v>
      </c>
      <c r="N3212">
        <v>-1.4390460000000001E-2</v>
      </c>
      <c r="O3212">
        <v>3.4820659999999998E-4</v>
      </c>
      <c r="P3212">
        <v>0.97814889999999999</v>
      </c>
      <c r="Q3212">
        <v>0.20266210000000001</v>
      </c>
      <c r="R3212">
        <v>-4.6399160000000002E-2</v>
      </c>
      <c r="S3212">
        <v>3.090576</v>
      </c>
      <c r="T3212">
        <v>-0.141794</v>
      </c>
      <c r="U3212">
        <v>-0.13746639999999999</v>
      </c>
      <c r="V3212">
        <v>4.6637810000000002E-2</v>
      </c>
      <c r="W3212">
        <v>0.21673890000000001</v>
      </c>
      <c r="X3212">
        <v>0.97511490000000001</v>
      </c>
      <c r="Y3212">
        <v>4.4721299999999999E-2</v>
      </c>
      <c r="Z3212">
        <v>-1.35798E-3</v>
      </c>
      <c r="AA3212">
        <v>0.99899859999999896</v>
      </c>
      <c r="AB3212">
        <v>42</v>
      </c>
      <c r="AC3212">
        <v>24.0336</v>
      </c>
      <c r="AD3212">
        <v>-1.1212061997630001</v>
      </c>
      <c r="AE3212">
        <v>-1.0872999999999899</v>
      </c>
      <c r="AF3212">
        <v>1.09329490056375</v>
      </c>
      <c r="AG3212">
        <v>-1.1212061997630001</v>
      </c>
      <c r="AH3212">
        <v>23.981134609977701</v>
      </c>
      <c r="AI3212">
        <v>92.674065565029693</v>
      </c>
      <c r="AJ3212">
        <v>87.389704857323395</v>
      </c>
      <c r="AK3212">
        <v>24.032212013542502</v>
      </c>
      <c r="AL3212">
        <v>77.482434624989097</v>
      </c>
      <c r="AM3212">
        <v>87.261743267750703</v>
      </c>
      <c r="AN3212">
        <v>0.99999995214840598</v>
      </c>
    </row>
    <row r="3213" spans="1:40" x14ac:dyDescent="0.25">
      <c r="A3213" t="str">
        <f>"20190303170601640"</f>
        <v>20190303170601640</v>
      </c>
      <c r="B3213" t="str">
        <f>"1551603961628130"</f>
        <v>1551603961628130</v>
      </c>
      <c r="C3213" t="s">
        <v>40</v>
      </c>
      <c r="D3213">
        <v>5.6096979999999999</v>
      </c>
      <c r="E3213">
        <v>0.50405069999999996</v>
      </c>
      <c r="F3213" t="s">
        <v>60</v>
      </c>
      <c r="G3213">
        <v>-229.16220000000001</v>
      </c>
      <c r="H3213" s="1">
        <v>3.3928349999999998E-6</v>
      </c>
      <c r="I3213">
        <v>213.3817</v>
      </c>
      <c r="J3213">
        <v>-253.55</v>
      </c>
      <c r="K3213">
        <v>1.1212139999999999</v>
      </c>
      <c r="L3213">
        <v>214.4819</v>
      </c>
      <c r="M3213">
        <v>0.99989649999999997</v>
      </c>
      <c r="N3213">
        <v>-1.438795E-2</v>
      </c>
      <c r="O3213">
        <v>5.4109630000000002E-4</v>
      </c>
      <c r="P3213">
        <v>0.97814299999999998</v>
      </c>
      <c r="Q3213">
        <v>0.20276530000000001</v>
      </c>
      <c r="R3213">
        <v>-4.6072969999999998E-2</v>
      </c>
      <c r="S3213">
        <v>3.0894469999999998</v>
      </c>
      <c r="T3213">
        <v>-0.13967249999999901</v>
      </c>
      <c r="U3213">
        <v>-0.13700870000000001</v>
      </c>
      <c r="V3213">
        <v>4.6498230000000002E-2</v>
      </c>
      <c r="W3213">
        <v>0.21683949999999999</v>
      </c>
      <c r="X3213">
        <v>0.9750993</v>
      </c>
      <c r="Y3213">
        <v>4.4783910000000003E-2</v>
      </c>
      <c r="Z3213">
        <v>-1.3505419999999999E-3</v>
      </c>
      <c r="AA3213">
        <v>0.99899579999999999</v>
      </c>
      <c r="AB3213">
        <v>42</v>
      </c>
      <c r="AC3213">
        <v>24.387799999999999</v>
      </c>
      <c r="AD3213">
        <v>-1.1212106071650001</v>
      </c>
      <c r="AE3213">
        <v>-1.1002000000000001</v>
      </c>
      <c r="AF3213">
        <v>1.1110537632853299</v>
      </c>
      <c r="AG3213">
        <v>-1.1212106071650001</v>
      </c>
      <c r="AH3213">
        <v>24.335868480081601</v>
      </c>
      <c r="AI3213">
        <v>92.635144701512104</v>
      </c>
      <c r="AJ3213">
        <v>87.385977116697305</v>
      </c>
      <c r="AK3213">
        <v>24.387005727853499</v>
      </c>
      <c r="AL3213">
        <v>77.476531493190194</v>
      </c>
      <c r="AM3213">
        <v>87.269882433327794</v>
      </c>
      <c r="AN3213">
        <v>1.0000000495069301</v>
      </c>
    </row>
    <row r="3214" spans="1:40" x14ac:dyDescent="0.25">
      <c r="A3214" t="str">
        <f>"20190303170601665"</f>
        <v>20190303170601665</v>
      </c>
      <c r="B3214" t="str">
        <f>"1551603961658386"</f>
        <v>1551603961658386</v>
      </c>
      <c r="C3214" t="s">
        <v>40</v>
      </c>
      <c r="D3214">
        <v>5.7009730000000003</v>
      </c>
      <c r="E3214">
        <v>0.50437959999999904</v>
      </c>
      <c r="F3214" t="s">
        <v>60</v>
      </c>
      <c r="G3214">
        <v>-228.42259999999999</v>
      </c>
      <c r="H3214" s="1">
        <v>2.9995970000000002E-6</v>
      </c>
      <c r="I3214">
        <v>213.37370000000001</v>
      </c>
      <c r="J3214">
        <v>-253.1062</v>
      </c>
      <c r="K3214">
        <v>1.121219</v>
      </c>
      <c r="L3214">
        <v>214.48230000000001</v>
      </c>
      <c r="M3214">
        <v>0.99989629999999996</v>
      </c>
      <c r="N3214">
        <v>-1.438529E-2</v>
      </c>
      <c r="O3214">
        <v>7.4893360000000001E-4</v>
      </c>
      <c r="P3214">
        <v>0.97824319999999998</v>
      </c>
      <c r="Q3214">
        <v>0.20244500000000001</v>
      </c>
      <c r="R3214">
        <v>-4.5348699999999999E-2</v>
      </c>
      <c r="S3214">
        <v>3.089188</v>
      </c>
      <c r="T3214">
        <v>-0.13784279999999999</v>
      </c>
      <c r="U3214">
        <v>-0.1362457</v>
      </c>
      <c r="V3214">
        <v>4.5976089999999997E-2</v>
      </c>
      <c r="W3214">
        <v>0.2165183</v>
      </c>
      <c r="X3214">
        <v>0.97519529999999999</v>
      </c>
      <c r="Y3214">
        <v>4.4750360000000003E-2</v>
      </c>
      <c r="Z3214">
        <v>-1.342301E-3</v>
      </c>
      <c r="AA3214">
        <v>0.99899729999999998</v>
      </c>
      <c r="AB3214">
        <v>42</v>
      </c>
      <c r="AC3214">
        <v>24.683599999999998</v>
      </c>
      <c r="AD3214">
        <v>-1.1212160004030001</v>
      </c>
      <c r="AE3214">
        <v>-1.10859999999999</v>
      </c>
      <c r="AF3214">
        <v>1.1247719126929301</v>
      </c>
      <c r="AG3214">
        <v>-1.1212160004030001</v>
      </c>
      <c r="AH3214">
        <v>24.632041834972998</v>
      </c>
      <c r="AI3214">
        <v>92.603515392268207</v>
      </c>
      <c r="AJ3214">
        <v>87.385521323442504</v>
      </c>
      <c r="AK3214">
        <v>24.6831870335863</v>
      </c>
      <c r="AL3214">
        <v>77.495381153946795</v>
      </c>
      <c r="AM3214">
        <v>87.3007593363686</v>
      </c>
      <c r="AN3214">
        <v>0.99999992411433103</v>
      </c>
    </row>
    <row r="3215" spans="1:40" x14ac:dyDescent="0.25">
      <c r="A3215" t="str">
        <f>"20190303170601686"</f>
        <v>20190303170601686</v>
      </c>
      <c r="B3215" t="str">
        <f>"1551603961677906"</f>
        <v>1551603961677906</v>
      </c>
      <c r="C3215" t="s">
        <v>40</v>
      </c>
      <c r="D3215">
        <v>5.6426590000000001</v>
      </c>
      <c r="E3215">
        <v>0.50470519999999996</v>
      </c>
      <c r="F3215" t="s">
        <v>60</v>
      </c>
      <c r="G3215">
        <v>-227.23089999999999</v>
      </c>
      <c r="H3215" s="1">
        <v>2.3671810000000001E-6</v>
      </c>
      <c r="I3215">
        <v>213.33439999999999</v>
      </c>
      <c r="J3215">
        <v>-252.691</v>
      </c>
      <c r="K3215">
        <v>1.1212230000000001</v>
      </c>
      <c r="L3215">
        <v>214.4828</v>
      </c>
      <c r="M3215">
        <v>0.99989620000000001</v>
      </c>
      <c r="N3215">
        <v>-1.438277E-2</v>
      </c>
      <c r="O3215">
        <v>9.4328480000000002E-4</v>
      </c>
      <c r="P3215">
        <v>0.97841920000000004</v>
      </c>
      <c r="Q3215">
        <v>0.2017072</v>
      </c>
      <c r="R3215">
        <v>-4.4834260000000001E-2</v>
      </c>
      <c r="S3215">
        <v>3.0880740000000002</v>
      </c>
      <c r="T3215">
        <v>-0.13381089999999901</v>
      </c>
      <c r="U3215">
        <v>-0.13699339999999999</v>
      </c>
      <c r="V3215">
        <v>4.5651329999999997E-2</v>
      </c>
      <c r="W3215">
        <v>0.2157809</v>
      </c>
      <c r="X3215">
        <v>0.97537410000000002</v>
      </c>
      <c r="Y3215">
        <v>4.5204130000000002E-2</v>
      </c>
      <c r="Z3215">
        <v>-1.33118E-3</v>
      </c>
      <c r="AA3215">
        <v>0.99897689999999995</v>
      </c>
      <c r="AB3215">
        <v>42</v>
      </c>
      <c r="AC3215">
        <v>25.460099999999901</v>
      </c>
      <c r="AD3215">
        <v>-1.12122063281899</v>
      </c>
      <c r="AE3215">
        <v>-1.1484000000000001</v>
      </c>
      <c r="AF3215">
        <v>1.1701533375424999</v>
      </c>
      <c r="AG3215">
        <v>-1.12122063281899</v>
      </c>
      <c r="AH3215">
        <v>25.4098261476788</v>
      </c>
      <c r="AI3215">
        <v>92.523893166594704</v>
      </c>
      <c r="AJ3215">
        <v>87.363322632458704</v>
      </c>
      <c r="AK3215">
        <v>25.4614543849342</v>
      </c>
      <c r="AL3215">
        <v>77.538655465860401</v>
      </c>
      <c r="AM3215">
        <v>87.320288588034302</v>
      </c>
      <c r="AN3215">
        <v>1.0000000378431899</v>
      </c>
    </row>
    <row r="3216" spans="1:40" x14ac:dyDescent="0.25">
      <c r="A3216" t="str">
        <f>"20190303170601707"</f>
        <v>20190303170601707</v>
      </c>
      <c r="B3216" t="str">
        <f>"1551603961698402"</f>
        <v>1551603961698402</v>
      </c>
      <c r="C3216" t="s">
        <v>40</v>
      </c>
      <c r="D3216">
        <v>5.642944</v>
      </c>
      <c r="E3216">
        <v>0.50500540000000005</v>
      </c>
      <c r="F3216" t="s">
        <v>60</v>
      </c>
      <c r="G3216">
        <v>-227.637</v>
      </c>
      <c r="H3216" s="1">
        <v>2.5820649999999999E-6</v>
      </c>
      <c r="I3216">
        <v>213.36179999999999</v>
      </c>
      <c r="J3216">
        <v>-252.28829999999999</v>
      </c>
      <c r="K3216">
        <v>1.1212150000000001</v>
      </c>
      <c r="L3216">
        <v>214.48339999999999</v>
      </c>
      <c r="M3216">
        <v>0.99989600000000001</v>
      </c>
      <c r="N3216">
        <v>-1.438034E-2</v>
      </c>
      <c r="O3216">
        <v>1.1325549999999999E-3</v>
      </c>
      <c r="P3216">
        <v>0.9785817</v>
      </c>
      <c r="Q3216">
        <v>0.2010557</v>
      </c>
      <c r="R3216">
        <v>-4.4209150000000003E-2</v>
      </c>
      <c r="S3216">
        <v>3.088333</v>
      </c>
      <c r="T3216">
        <v>-0.1382092</v>
      </c>
      <c r="U3216">
        <v>-0.13818359999999999</v>
      </c>
      <c r="V3216">
        <v>4.5211399999999999E-2</v>
      </c>
      <c r="W3216">
        <v>0.21512899999999999</v>
      </c>
      <c r="X3216">
        <v>0.97553860000000003</v>
      </c>
      <c r="Y3216">
        <v>4.5769560000000001E-2</v>
      </c>
      <c r="Z3216">
        <v>-1.3869679999999999E-3</v>
      </c>
      <c r="AA3216">
        <v>0.99895109999999998</v>
      </c>
      <c r="AB3216">
        <v>42</v>
      </c>
      <c r="AC3216">
        <v>24.6512999999999</v>
      </c>
      <c r="AD3216">
        <v>-1.121212417935</v>
      </c>
      <c r="AE3216">
        <v>-1.1215999999999999</v>
      </c>
      <c r="AF3216">
        <v>1.14715291428871</v>
      </c>
      <c r="AG3216">
        <v>-1.121212417935</v>
      </c>
      <c r="AH3216">
        <v>24.599230641371001</v>
      </c>
      <c r="AI3216">
        <v>92.606858558622406</v>
      </c>
      <c r="AJ3216">
        <v>87.330020685061498</v>
      </c>
      <c r="AK3216">
        <v>24.651475112906699</v>
      </c>
      <c r="AL3216">
        <v>77.576905182243095</v>
      </c>
      <c r="AM3216">
        <v>87.346522048048101</v>
      </c>
      <c r="AN3216">
        <v>1.0000000587104501</v>
      </c>
    </row>
    <row r="3217" spans="1:40" x14ac:dyDescent="0.25">
      <c r="A3217" t="str">
        <f>"20190303170601729"</f>
        <v>20190303170601729</v>
      </c>
      <c r="B3217" t="str">
        <f>"1551603961717922"</f>
        <v>1551603961717922</v>
      </c>
      <c r="C3217" t="s">
        <v>40</v>
      </c>
      <c r="D3217">
        <v>5.7106250000000003</v>
      </c>
      <c r="E3217">
        <v>0.50521059999999995</v>
      </c>
      <c r="F3217" t="s">
        <v>60</v>
      </c>
      <c r="G3217">
        <v>-227.9135</v>
      </c>
      <c r="H3217" s="1">
        <v>2.7280540000000002E-6</v>
      </c>
      <c r="I3217">
        <v>213.3879</v>
      </c>
      <c r="J3217">
        <v>-251.87629999999999</v>
      </c>
      <c r="K3217">
        <v>1.1212169999999999</v>
      </c>
      <c r="L3217">
        <v>214.48400000000001</v>
      </c>
      <c r="M3217">
        <v>0.99989589999999995</v>
      </c>
      <c r="N3217">
        <v>-1.4377859999999999E-2</v>
      </c>
      <c r="O3217">
        <v>1.325995E-3</v>
      </c>
      <c r="P3217">
        <v>0.97873500000000002</v>
      </c>
      <c r="Q3217">
        <v>0.20042670000000001</v>
      </c>
      <c r="R3217">
        <v>-4.3671840000000003E-2</v>
      </c>
      <c r="S3217">
        <v>3.0885769999999999</v>
      </c>
      <c r="T3217">
        <v>-0.1420708</v>
      </c>
      <c r="U3217">
        <v>-0.13880919999999999</v>
      </c>
      <c r="V3217">
        <v>4.4863439999999997E-2</v>
      </c>
      <c r="W3217">
        <v>0.21449979999999999</v>
      </c>
      <c r="X3217">
        <v>0.97569320000000004</v>
      </c>
      <c r="Y3217">
        <v>4.615756E-2</v>
      </c>
      <c r="Z3217">
        <v>-1.4346199999999999E-3</v>
      </c>
      <c r="AA3217">
        <v>0.99893310000000002</v>
      </c>
      <c r="AB3217">
        <v>42</v>
      </c>
      <c r="AC3217">
        <v>23.962799999999898</v>
      </c>
      <c r="AD3217">
        <v>-1.1212142719460001</v>
      </c>
      <c r="AE3217">
        <v>-1.0961000000000001</v>
      </c>
      <c r="AF3217">
        <v>1.12541815370151</v>
      </c>
      <c r="AG3217">
        <v>-1.1212142719460001</v>
      </c>
      <c r="AH3217">
        <v>23.909090855887701</v>
      </c>
      <c r="AI3217">
        <v>92.681947333887706</v>
      </c>
      <c r="AJ3217">
        <v>87.305035521220105</v>
      </c>
      <c r="AK3217">
        <v>23.961809468806599</v>
      </c>
      <c r="AL3217">
        <v>77.613817377150994</v>
      </c>
      <c r="AM3217">
        <v>87.367331757743699</v>
      </c>
      <c r="AN3217">
        <v>1.0000000564874501</v>
      </c>
    </row>
    <row r="3218" spans="1:40" x14ac:dyDescent="0.25">
      <c r="A3218" t="str">
        <f>"20190303170601755"</f>
        <v>20190303170601755</v>
      </c>
      <c r="B3218" t="str">
        <f>"1551603961748178"</f>
        <v>1551603961748178</v>
      </c>
      <c r="C3218" t="s">
        <v>40</v>
      </c>
      <c r="D3218">
        <v>5.6480259999999998</v>
      </c>
      <c r="E3218">
        <v>0.50526309999999997</v>
      </c>
      <c r="F3218" t="s">
        <v>60</v>
      </c>
      <c r="G3218">
        <v>-228.15440000000001</v>
      </c>
      <c r="H3218" s="1">
        <v>2.855031E-6</v>
      </c>
      <c r="I3218">
        <v>213.416</v>
      </c>
      <c r="J3218">
        <v>-251.41669999999999</v>
      </c>
      <c r="K3218">
        <v>1.1212219999999999</v>
      </c>
      <c r="L3218">
        <v>214.48480000000001</v>
      </c>
      <c r="M3218">
        <v>0.9998956</v>
      </c>
      <c r="N3218">
        <v>-1.43751E-2</v>
      </c>
      <c r="O3218">
        <v>1.5419639999999901E-3</v>
      </c>
      <c r="P3218">
        <v>0.97881569999999996</v>
      </c>
      <c r="Q3218">
        <v>0.20011309999999999</v>
      </c>
      <c r="R3218">
        <v>-4.3300169999999999E-2</v>
      </c>
      <c r="S3218">
        <v>3.0888520000000002</v>
      </c>
      <c r="T3218">
        <v>-0.14599389999999901</v>
      </c>
      <c r="U3218">
        <v>-0.13906859999999999</v>
      </c>
      <c r="V3218">
        <v>4.4702980000000003E-2</v>
      </c>
      <c r="W3218">
        <v>0.2141845</v>
      </c>
      <c r="X3218">
        <v>0.97576980000000002</v>
      </c>
      <c r="Y3218">
        <v>4.6449329999999997E-2</v>
      </c>
      <c r="Z3218">
        <v>-1.4814850000000001E-3</v>
      </c>
      <c r="AA3218">
        <v>0.99891949999999996</v>
      </c>
      <c r="AB3218">
        <v>42</v>
      </c>
      <c r="AC3218">
        <v>23.2622999999999</v>
      </c>
      <c r="AD3218">
        <v>-1.1212191449690001</v>
      </c>
      <c r="AE3218">
        <v>-1.06880000000001</v>
      </c>
      <c r="AF3218">
        <v>1.10211708018195</v>
      </c>
      <c r="AG3218">
        <v>-1.1212191449690001</v>
      </c>
      <c r="AH3218">
        <v>23.206824944751901</v>
      </c>
      <c r="AI3218">
        <v>92.762939588706701</v>
      </c>
      <c r="AJ3218">
        <v>87.281004712652802</v>
      </c>
      <c r="AK3218">
        <v>23.2600197430233</v>
      </c>
      <c r="AL3218">
        <v>77.632312250596897</v>
      </c>
      <c r="AM3218">
        <v>87.376940309700899</v>
      </c>
      <c r="AN3218">
        <v>1.0000000295265801</v>
      </c>
    </row>
    <row r="3219" spans="1:40" x14ac:dyDescent="0.25">
      <c r="A3219" t="str">
        <f>"20190303170601775"</f>
        <v>20190303170601775</v>
      </c>
      <c r="B3219" t="str">
        <f>"1551603961767698"</f>
        <v>1551603961767698</v>
      </c>
      <c r="C3219" t="s">
        <v>40</v>
      </c>
      <c r="D3219">
        <v>5.601394</v>
      </c>
      <c r="E3219">
        <v>0.50528320000000004</v>
      </c>
      <c r="F3219" t="s">
        <v>60</v>
      </c>
      <c r="G3219">
        <v>-227.18799999999999</v>
      </c>
      <c r="H3219" s="1">
        <v>2.3418510000000001E-6</v>
      </c>
      <c r="I3219">
        <v>213.392</v>
      </c>
      <c r="J3219">
        <v>-251.02160000000001</v>
      </c>
      <c r="K3219">
        <v>1.121221</v>
      </c>
      <c r="L3219">
        <v>214.48560000000001</v>
      </c>
      <c r="M3219">
        <v>0.99989530000000004</v>
      </c>
      <c r="N3219">
        <v>-1.4372889999999999E-2</v>
      </c>
      <c r="O3219">
        <v>1.7277620000000001E-3</v>
      </c>
      <c r="P3219">
        <v>0.97881810000000002</v>
      </c>
      <c r="Q3219">
        <v>0.2003105</v>
      </c>
      <c r="R3219">
        <v>-4.2318010000000003E-2</v>
      </c>
      <c r="S3219">
        <v>3.0879819999999998</v>
      </c>
      <c r="T3219">
        <v>-0.14290139999999901</v>
      </c>
      <c r="U3219">
        <v>-0.13928219999999999</v>
      </c>
      <c r="V3219">
        <v>4.3902469999999999E-2</v>
      </c>
      <c r="W3219">
        <v>0.21437870000000001</v>
      </c>
      <c r="X3219">
        <v>0.97576339999999995</v>
      </c>
      <c r="Y3219">
        <v>4.6718599999999999E-2</v>
      </c>
      <c r="Z3219">
        <v>-1.471088E-3</v>
      </c>
      <c r="AA3219">
        <v>0.99890699999999999</v>
      </c>
      <c r="AB3219">
        <v>42</v>
      </c>
      <c r="AC3219">
        <v>23.833600000000001</v>
      </c>
      <c r="AD3219">
        <v>-1.121218658149</v>
      </c>
      <c r="AE3219">
        <v>-1.0935999999999999</v>
      </c>
      <c r="AF3219">
        <v>1.1322808185219999</v>
      </c>
      <c r="AG3219">
        <v>-1.121218658149</v>
      </c>
      <c r="AH3219">
        <v>23.779159614943701</v>
      </c>
      <c r="AI3219">
        <v>92.696521250829093</v>
      </c>
      <c r="AJ3219">
        <v>87.273833526486101</v>
      </c>
      <c r="AK3219">
        <v>23.8324909131283</v>
      </c>
      <c r="AL3219">
        <v>77.620919599626703</v>
      </c>
      <c r="AM3219">
        <v>87.4238315154562</v>
      </c>
      <c r="AN3219">
        <v>0.99999993333267301</v>
      </c>
    </row>
    <row r="3220" spans="1:40" x14ac:dyDescent="0.25">
      <c r="A3220" t="str">
        <f>"20190303170601797"</f>
        <v>20190303170601797</v>
      </c>
      <c r="B3220" t="str">
        <f>"1551603961788193"</f>
        <v>1551603961788193</v>
      </c>
      <c r="C3220" t="s">
        <v>40</v>
      </c>
      <c r="D3220">
        <v>5.6424620000000001</v>
      </c>
      <c r="E3220">
        <v>0.50541849999999999</v>
      </c>
      <c r="F3220" t="s">
        <v>60</v>
      </c>
      <c r="G3220">
        <v>-226.54079999999999</v>
      </c>
      <c r="H3220" s="1">
        <v>1.997173E-6</v>
      </c>
      <c r="I3220">
        <v>213.39750000000001</v>
      </c>
      <c r="J3220">
        <v>-250.6018</v>
      </c>
      <c r="K3220">
        <v>1.121213</v>
      </c>
      <c r="L3220">
        <v>214.48650000000001</v>
      </c>
      <c r="M3220">
        <v>0.99989499999999998</v>
      </c>
      <c r="N3220">
        <v>-1.437047E-2</v>
      </c>
      <c r="O3220">
        <v>1.925361E-3</v>
      </c>
      <c r="P3220">
        <v>0.97880849999999997</v>
      </c>
      <c r="Q3220">
        <v>0.20041390000000001</v>
      </c>
      <c r="R3220">
        <v>-4.2052230000000003E-2</v>
      </c>
      <c r="S3220">
        <v>3.0879059999999998</v>
      </c>
      <c r="T3220">
        <v>-0.14142560000000001</v>
      </c>
      <c r="U3220">
        <v>-0.13725279999999901</v>
      </c>
      <c r="V3220">
        <v>4.3829840000000002E-2</v>
      </c>
      <c r="W3220">
        <v>0.2144798</v>
      </c>
      <c r="X3220">
        <v>0.97574450000000001</v>
      </c>
      <c r="Y3220">
        <v>4.6263659999999998E-2</v>
      </c>
      <c r="Z3220">
        <v>-1.4516290000000001E-3</v>
      </c>
      <c r="AA3220">
        <v>0.99892820000000004</v>
      </c>
      <c r="AB3220">
        <v>42</v>
      </c>
      <c r="AC3220">
        <v>24.061</v>
      </c>
      <c r="AD3220">
        <v>-1.1212110028269999</v>
      </c>
      <c r="AE3220">
        <v>-1.08899999999999</v>
      </c>
      <c r="AF3220">
        <v>1.13287393477236</v>
      </c>
      <c r="AG3220">
        <v>-1.1212110028269999</v>
      </c>
      <c r="AH3220">
        <v>24.006835679999099</v>
      </c>
      <c r="AI3220">
        <v>92.6710208287559</v>
      </c>
      <c r="AJ3220">
        <v>87.298237082670497</v>
      </c>
      <c r="AK3220">
        <v>24.0596898739661</v>
      </c>
      <c r="AL3220">
        <v>77.614989690737303</v>
      </c>
      <c r="AM3220">
        <v>87.428037918739193</v>
      </c>
      <c r="AN3220">
        <v>0.99999998438135695</v>
      </c>
    </row>
    <row r="3221" spans="1:40" x14ac:dyDescent="0.25">
      <c r="A3221" t="str">
        <f>"20190303170601826"</f>
        <v>20190303170601826</v>
      </c>
      <c r="B3221" t="str">
        <f>"1551603961819426"</f>
        <v>1551603961819426</v>
      </c>
      <c r="C3221" t="s">
        <v>40</v>
      </c>
      <c r="D3221">
        <v>5.6543320000000001</v>
      </c>
      <c r="E3221">
        <v>0.50654509999999997</v>
      </c>
      <c r="F3221" t="s">
        <v>60</v>
      </c>
      <c r="G3221">
        <v>-225.90260000000001</v>
      </c>
      <c r="H3221" s="1">
        <v>1.6575790000000001E-6</v>
      </c>
      <c r="I3221">
        <v>213.39760000000001</v>
      </c>
      <c r="J3221">
        <v>-250.09</v>
      </c>
      <c r="K3221">
        <v>1.1212139999999999</v>
      </c>
      <c r="L3221">
        <v>214.48769999999999</v>
      </c>
      <c r="M3221">
        <v>0.99989450000000002</v>
      </c>
      <c r="N3221">
        <v>-1.436717E-2</v>
      </c>
      <c r="O3221">
        <v>2.166177E-3</v>
      </c>
      <c r="P3221">
        <v>0.97900430000000005</v>
      </c>
      <c r="Q3221">
        <v>0.19936380000000001</v>
      </c>
      <c r="R3221">
        <v>-4.2483960000000001E-2</v>
      </c>
      <c r="S3221">
        <v>3.0877840000000001</v>
      </c>
      <c r="T3221">
        <v>-0.14016909999999999</v>
      </c>
      <c r="U3221">
        <v>-0.13612369999999999</v>
      </c>
      <c r="V3221">
        <v>4.4498219999999998E-2</v>
      </c>
      <c r="W3221">
        <v>0.21342990000000001</v>
      </c>
      <c r="X3221">
        <v>0.97594449999999999</v>
      </c>
      <c r="Y3221">
        <v>4.614248E-2</v>
      </c>
      <c r="Z3221">
        <v>-1.4452759999999999E-3</v>
      </c>
      <c r="AA3221">
        <v>0.99893390000000004</v>
      </c>
      <c r="AB3221">
        <v>42</v>
      </c>
      <c r="AC3221">
        <v>24.1874</v>
      </c>
      <c r="AD3221">
        <v>-1.1212123424210001</v>
      </c>
      <c r="AE3221">
        <v>-1.0900999999999701</v>
      </c>
      <c r="AF3221">
        <v>1.1400522505549699</v>
      </c>
      <c r="AG3221">
        <v>-1.1212123424210001</v>
      </c>
      <c r="AH3221">
        <v>24.133229121234098</v>
      </c>
      <c r="AI3221">
        <v>92.657048821576794</v>
      </c>
      <c r="AJ3221">
        <v>87.295361625765395</v>
      </c>
      <c r="AK3221">
        <v>24.186144464729701</v>
      </c>
      <c r="AL3221">
        <v>77.676571229153197</v>
      </c>
      <c r="AM3221">
        <v>87.389405200537695</v>
      </c>
      <c r="AN3221">
        <v>1.0000000404387099</v>
      </c>
    </row>
    <row r="3222" spans="1:40" x14ac:dyDescent="0.25">
      <c r="A3222" t="str">
        <f>"20190303170601842"</f>
        <v>20190303170601842</v>
      </c>
      <c r="B3222" t="str">
        <f>"1551603961828209"</f>
        <v>1551603961828209</v>
      </c>
      <c r="C3222" t="s">
        <v>40</v>
      </c>
      <c r="D3222">
        <v>5.6590680000000004</v>
      </c>
      <c r="E3222">
        <v>0.50652249999999999</v>
      </c>
      <c r="F3222" t="s">
        <v>60</v>
      </c>
      <c r="G3222">
        <v>-217.1557</v>
      </c>
      <c r="H3222" s="1">
        <v>2.3458839999999998E-6</v>
      </c>
      <c r="I3222">
        <v>212.90629999999999</v>
      </c>
      <c r="J3222">
        <v>-249.75810000000001</v>
      </c>
      <c r="K3222">
        <v>1.1212169999999999</v>
      </c>
      <c r="L3222">
        <v>214.48859999999999</v>
      </c>
      <c r="M3222">
        <v>0.99989419999999996</v>
      </c>
      <c r="N3222">
        <v>-1.436495E-2</v>
      </c>
      <c r="O3222">
        <v>2.3224679999999998E-3</v>
      </c>
      <c r="P3222">
        <v>0.9789987</v>
      </c>
      <c r="Q3222">
        <v>0.1993955</v>
      </c>
      <c r="R3222">
        <v>-4.2466030000000002E-2</v>
      </c>
      <c r="S3222">
        <v>3.079269</v>
      </c>
      <c r="T3222">
        <v>-0.10483049999999999</v>
      </c>
      <c r="U3222">
        <v>-0.14785770000000001</v>
      </c>
      <c r="V3222">
        <v>4.4633220000000001E-2</v>
      </c>
      <c r="W3222">
        <v>0.21345919999999999</v>
      </c>
      <c r="X3222">
        <v>0.97593189999999996</v>
      </c>
      <c r="Y3222">
        <v>5.0240010000000002E-2</v>
      </c>
      <c r="Z3222">
        <v>-1.261327E-3</v>
      </c>
      <c r="AA3222">
        <v>0.99873639999999997</v>
      </c>
      <c r="AB3222">
        <v>42</v>
      </c>
      <c r="AC3222">
        <v>32.602400000000003</v>
      </c>
      <c r="AD3222">
        <v>-1.121214654116</v>
      </c>
      <c r="AE3222">
        <v>-1.5823</v>
      </c>
      <c r="AF3222">
        <v>1.6560675245798799</v>
      </c>
      <c r="AG3222">
        <v>-1.121214654116</v>
      </c>
      <c r="AH3222">
        <v>32.560218023918402</v>
      </c>
      <c r="AI3222">
        <v>91.969663105448205</v>
      </c>
      <c r="AJ3222">
        <v>87.088349157444298</v>
      </c>
      <c r="AK3222">
        <v>32.6215799695795</v>
      </c>
      <c r="AL3222">
        <v>77.6748525314093</v>
      </c>
      <c r="AM3222">
        <v>87.381462348853205</v>
      </c>
      <c r="AN3222">
        <v>1.0000000139148999</v>
      </c>
    </row>
    <row r="3223" spans="1:40" x14ac:dyDescent="0.25">
      <c r="A3223" t="str">
        <f>"20190303170601870"</f>
        <v>20190303170601870</v>
      </c>
      <c r="B3223" t="str">
        <f>"1551603961858466"</f>
        <v>1551603961858466</v>
      </c>
      <c r="C3223" t="s">
        <v>40</v>
      </c>
      <c r="D3223">
        <v>5.7026870000000001</v>
      </c>
      <c r="E3223">
        <v>0.50775539999999997</v>
      </c>
      <c r="F3223" t="s">
        <v>60</v>
      </c>
      <c r="G3223">
        <v>-219.05889999999999</v>
      </c>
      <c r="H3223" s="1">
        <v>3.3539339999999999E-6</v>
      </c>
      <c r="I3223">
        <v>213.01400000000001</v>
      </c>
      <c r="J3223">
        <v>-249.26400000000001</v>
      </c>
      <c r="K3223">
        <v>1.1212169999999999</v>
      </c>
      <c r="L3223">
        <v>214.48990000000001</v>
      </c>
      <c r="M3223">
        <v>0.9998937</v>
      </c>
      <c r="N3223">
        <v>-1.436172E-2</v>
      </c>
      <c r="O3223">
        <v>2.555173E-3</v>
      </c>
      <c r="P3223">
        <v>0.97909210000000002</v>
      </c>
      <c r="Q3223">
        <v>0.19892670000000001</v>
      </c>
      <c r="R3223">
        <v>-4.2507360000000001E-2</v>
      </c>
      <c r="S3223">
        <v>3.0808260000000001</v>
      </c>
      <c r="T3223">
        <v>-0.1125197</v>
      </c>
      <c r="U3223">
        <v>-0.14797969999999999</v>
      </c>
      <c r="V3223">
        <v>4.490301E-2</v>
      </c>
      <c r="W3223">
        <v>0.2129887</v>
      </c>
      <c r="X3223">
        <v>0.97602230000000001</v>
      </c>
      <c r="Y3223">
        <v>5.0482079999999999E-2</v>
      </c>
      <c r="Z3223">
        <v>-1.340499E-3</v>
      </c>
      <c r="AA3223">
        <v>0.99872399999999995</v>
      </c>
      <c r="AB3223">
        <v>42</v>
      </c>
      <c r="AC3223">
        <v>30.205100000000002</v>
      </c>
      <c r="AD3223">
        <v>-1.1212136460659901</v>
      </c>
      <c r="AE3223">
        <v>-1.47589999999999</v>
      </c>
      <c r="AF3223">
        <v>1.55095043294686</v>
      </c>
      <c r="AG3223">
        <v>-1.1212136460659901</v>
      </c>
      <c r="AH3223">
        <v>30.159771785784201</v>
      </c>
      <c r="AI3223">
        <v>92.126229059310901</v>
      </c>
      <c r="AJ3223">
        <v>87.056187733791006</v>
      </c>
      <c r="AK3223">
        <v>30.220430199720301</v>
      </c>
      <c r="AL3223">
        <v>77.702444529337996</v>
      </c>
      <c r="AM3223">
        <v>87.365900215734598</v>
      </c>
      <c r="AN3223">
        <v>0.99999999836602005</v>
      </c>
    </row>
    <row r="3224" spans="1:40" x14ac:dyDescent="0.25">
      <c r="A3224" t="str">
        <f>"20190303170601886"</f>
        <v>20190303170601886</v>
      </c>
      <c r="B3224" t="str">
        <f>"1551603961877986"</f>
        <v>1551603961877986</v>
      </c>
      <c r="C3224" t="s">
        <v>40</v>
      </c>
      <c r="D3224">
        <v>5.6580459999999997</v>
      </c>
      <c r="E3224">
        <v>0.50870039999999905</v>
      </c>
      <c r="F3224" t="s">
        <v>60</v>
      </c>
      <c r="G3224">
        <v>-216.79390000000001</v>
      </c>
      <c r="H3224" s="1">
        <v>2.1570050000000002E-6</v>
      </c>
      <c r="I3224">
        <v>212.8229</v>
      </c>
      <c r="J3224">
        <v>-248.94829999999999</v>
      </c>
      <c r="K3224">
        <v>1.1212230000000001</v>
      </c>
      <c r="L3224">
        <v>214.49090000000001</v>
      </c>
      <c r="M3224">
        <v>0.99989329999999998</v>
      </c>
      <c r="N3224">
        <v>-1.435965E-2</v>
      </c>
      <c r="O3224">
        <v>2.7038320000000002E-3</v>
      </c>
      <c r="P3224">
        <v>0.97918419999999895</v>
      </c>
      <c r="Q3224">
        <v>0.19832929999999999</v>
      </c>
      <c r="R3224">
        <v>-4.3176989999999998E-2</v>
      </c>
      <c r="S3224">
        <v>3.0787810000000002</v>
      </c>
      <c r="T3224">
        <v>-0.1063125</v>
      </c>
      <c r="U3224">
        <v>-0.15806579999999901</v>
      </c>
      <c r="V3224">
        <v>4.571865E-2</v>
      </c>
      <c r="W3224">
        <v>0.21239050000000001</v>
      </c>
      <c r="X3224">
        <v>0.97611479999999995</v>
      </c>
      <c r="Y3224">
        <v>5.3927240000000001E-2</v>
      </c>
      <c r="Z3224">
        <v>-1.372292E-3</v>
      </c>
      <c r="AA3224">
        <v>0.99854390000000004</v>
      </c>
      <c r="AB3224">
        <v>42</v>
      </c>
      <c r="AC3224">
        <v>32.154399999999903</v>
      </c>
      <c r="AD3224">
        <v>-1.1212208429949999</v>
      </c>
      <c r="AE3224">
        <v>-1.6679999999999999</v>
      </c>
      <c r="AF3224">
        <v>1.7528174081030801</v>
      </c>
      <c r="AG3224">
        <v>-1.1212208429949999</v>
      </c>
      <c r="AH3224">
        <v>32.110832878332403</v>
      </c>
      <c r="AI3224">
        <v>91.9968262375683</v>
      </c>
      <c r="AJ3224">
        <v>86.875525803414902</v>
      </c>
      <c r="AK3224">
        <v>32.178177281895699</v>
      </c>
      <c r="AL3224">
        <v>77.737521590045105</v>
      </c>
      <c r="AM3224">
        <v>87.318376160425899</v>
      </c>
      <c r="AN3224">
        <v>1.0000000111135501</v>
      </c>
    </row>
    <row r="3225" spans="1:40" x14ac:dyDescent="0.25">
      <c r="A3225" t="str">
        <f>"20190303170601908"</f>
        <v>20190303170601908</v>
      </c>
      <c r="B3225" t="str">
        <f>"1551603961898482"</f>
        <v>1551603961898482</v>
      </c>
      <c r="C3225" t="s">
        <v>40</v>
      </c>
      <c r="D3225">
        <v>5.6981830000000002</v>
      </c>
      <c r="E3225">
        <v>0.50926300000000002</v>
      </c>
      <c r="F3225" t="s">
        <v>60</v>
      </c>
      <c r="G3225">
        <v>-219.78049999999999</v>
      </c>
      <c r="H3225" s="1">
        <v>3.7428699999999998E-6</v>
      </c>
      <c r="I3225">
        <v>212.90199999999999</v>
      </c>
      <c r="J3225">
        <v>-248.54089999999999</v>
      </c>
      <c r="K3225">
        <v>1.121221</v>
      </c>
      <c r="L3225">
        <v>214.49209999999999</v>
      </c>
      <c r="M3225">
        <v>0.99989280000000003</v>
      </c>
      <c r="N3225">
        <v>-1.435703E-2</v>
      </c>
      <c r="O3225">
        <v>2.8959430000000002E-3</v>
      </c>
      <c r="P3225">
        <v>0.97898419999999997</v>
      </c>
      <c r="Q3225">
        <v>0.1993182</v>
      </c>
      <c r="R3225">
        <v>-4.3153110000000001E-2</v>
      </c>
      <c r="S3225">
        <v>3.080368</v>
      </c>
      <c r="T3225">
        <v>-0.1184105</v>
      </c>
      <c r="U3225">
        <v>-0.1678009</v>
      </c>
      <c r="V3225">
        <v>4.5882020000000003E-2</v>
      </c>
      <c r="W3225">
        <v>0.21337439999999999</v>
      </c>
      <c r="X3225">
        <v>0.97589250000000005</v>
      </c>
      <c r="Y3225">
        <v>5.7226619999999999E-2</v>
      </c>
      <c r="Z3225">
        <v>-1.579684E-3</v>
      </c>
      <c r="AA3225">
        <v>0.99836000000000003</v>
      </c>
      <c r="AB3225">
        <v>42</v>
      </c>
      <c r="AC3225">
        <v>28.760400000000001</v>
      </c>
      <c r="AD3225">
        <v>-1.1212172571300001</v>
      </c>
      <c r="AE3225">
        <v>-1.5900999999999701</v>
      </c>
      <c r="AF3225">
        <v>1.67085873853663</v>
      </c>
      <c r="AG3225">
        <v>-1.1212172571300001</v>
      </c>
      <c r="AH3225">
        <v>28.712169959337199</v>
      </c>
      <c r="AI3225">
        <v>92.232504813974401</v>
      </c>
      <c r="AJ3225">
        <v>86.669520026003497</v>
      </c>
      <c r="AK3225">
        <v>28.7825919756316</v>
      </c>
      <c r="AL3225">
        <v>77.679825403627603</v>
      </c>
      <c r="AM3225">
        <v>87.3081956393507</v>
      </c>
      <c r="AN3225">
        <v>0.99999998294544501</v>
      </c>
    </row>
    <row r="3226" spans="1:40" x14ac:dyDescent="0.25">
      <c r="A3226" t="str">
        <f>"20190303170601930"</f>
        <v>20190303170601930</v>
      </c>
      <c r="B3226" t="str">
        <f>"1551603961918002"</f>
        <v>1551603961918002</v>
      </c>
      <c r="C3226" t="s">
        <v>40</v>
      </c>
      <c r="D3226">
        <v>5.6680330000000003</v>
      </c>
      <c r="E3226">
        <v>0.50961639999999997</v>
      </c>
      <c r="F3226" t="s">
        <v>60</v>
      </c>
      <c r="G3226">
        <v>-220.57</v>
      </c>
      <c r="H3226" s="1">
        <v>-1.1597559999999999E-6</v>
      </c>
      <c r="I3226">
        <v>212.9306</v>
      </c>
      <c r="J3226">
        <v>-248.12700000000001</v>
      </c>
      <c r="K3226">
        <v>1.121224</v>
      </c>
      <c r="L3226">
        <v>214.49350000000001</v>
      </c>
      <c r="M3226">
        <v>0.99989229999999996</v>
      </c>
      <c r="N3226">
        <v>-1.4354540000000001E-2</v>
      </c>
      <c r="O3226">
        <v>3.0912119999999999E-3</v>
      </c>
      <c r="P3226">
        <v>0.97881289999999999</v>
      </c>
      <c r="Q3226">
        <v>0.20022789999999999</v>
      </c>
      <c r="R3226">
        <v>-4.282511E-2</v>
      </c>
      <c r="S3226">
        <v>3.081985</v>
      </c>
      <c r="T3226">
        <v>-0.1235424</v>
      </c>
      <c r="U3226">
        <v>-0.17205809999999999</v>
      </c>
      <c r="V3226">
        <v>4.5744420000000001E-2</v>
      </c>
      <c r="W3226">
        <v>0.21427850000000001</v>
      </c>
      <c r="X3226">
        <v>0.97570089999999998</v>
      </c>
      <c r="Y3226">
        <v>5.8761729999999998E-2</v>
      </c>
      <c r="Z3226">
        <v>-1.6781229999999999E-3</v>
      </c>
      <c r="AA3226">
        <v>0.99827060000000001</v>
      </c>
      <c r="AB3226">
        <v>42</v>
      </c>
      <c r="AC3226">
        <v>27.556999999999999</v>
      </c>
      <c r="AD3226">
        <v>-1.1212251597559999</v>
      </c>
      <c r="AE3226">
        <v>-1.5629000000000099</v>
      </c>
      <c r="AF3226">
        <v>1.6453706972223201</v>
      </c>
      <c r="AG3226">
        <v>-1.1212251597559999</v>
      </c>
      <c r="AH3226">
        <v>27.506646083924402</v>
      </c>
      <c r="AI3226">
        <v>92.330036568200796</v>
      </c>
      <c r="AJ3226">
        <v>86.576805544732906</v>
      </c>
      <c r="AK3226">
        <v>27.578614348375499</v>
      </c>
      <c r="AL3226">
        <v>77.626798525290994</v>
      </c>
      <c r="AM3226">
        <v>87.315730289553997</v>
      </c>
      <c r="AN3226">
        <v>1.00000003689209</v>
      </c>
    </row>
    <row r="3227" spans="1:40" x14ac:dyDescent="0.25">
      <c r="A3227" t="str">
        <f>"20190303170601954"</f>
        <v>20190303170601954</v>
      </c>
      <c r="B3227" t="str">
        <f>"1551603961948258"</f>
        <v>1551603961948258</v>
      </c>
      <c r="C3227" t="s">
        <v>40</v>
      </c>
      <c r="D3227">
        <v>5.6531039999999999</v>
      </c>
      <c r="E3227">
        <v>0.510200599999999</v>
      </c>
      <c r="F3227" t="s">
        <v>60</v>
      </c>
      <c r="G3227">
        <v>-220.5943</v>
      </c>
      <c r="H3227" s="1">
        <v>-1.1472209999999999E-6</v>
      </c>
      <c r="I3227">
        <v>212.9391</v>
      </c>
      <c r="J3227">
        <v>-247.6994</v>
      </c>
      <c r="K3227">
        <v>1.1212219999999999</v>
      </c>
      <c r="L3227">
        <v>214.495</v>
      </c>
      <c r="M3227">
        <v>0.99989170000000005</v>
      </c>
      <c r="N3227">
        <v>-1.435195E-2</v>
      </c>
      <c r="O3227">
        <v>3.2926800000000001E-3</v>
      </c>
      <c r="P3227">
        <v>0.97880370000000005</v>
      </c>
      <c r="Q3227">
        <v>0.20028480000000001</v>
      </c>
      <c r="R3227">
        <v>-4.2775979999999998E-2</v>
      </c>
      <c r="S3227">
        <v>3.0829770000000001</v>
      </c>
      <c r="T3227">
        <v>-0.1255493</v>
      </c>
      <c r="U3227">
        <v>-0.17405699999999999</v>
      </c>
      <c r="V3227">
        <v>4.5892429999999998E-2</v>
      </c>
      <c r="W3227">
        <v>0.21433260000000001</v>
      </c>
      <c r="X3227">
        <v>0.97568200000000005</v>
      </c>
      <c r="Y3227">
        <v>5.9587370000000001E-2</v>
      </c>
      <c r="Z3227">
        <v>-1.726755E-3</v>
      </c>
      <c r="AA3227">
        <v>0.99822160000000004</v>
      </c>
      <c r="AB3227">
        <v>42</v>
      </c>
      <c r="AC3227">
        <v>27.1051</v>
      </c>
      <c r="AD3227">
        <v>-1.1212231472209999</v>
      </c>
      <c r="AE3227">
        <v>-1.5559000000000001</v>
      </c>
      <c r="AF3227">
        <v>1.6423481316238899</v>
      </c>
      <c r="AG3227">
        <v>-1.1212231472209999</v>
      </c>
      <c r="AH3227">
        <v>27.0536891816223</v>
      </c>
      <c r="AI3227">
        <v>92.368873362206799</v>
      </c>
      <c r="AJ3227">
        <v>86.526008914793593</v>
      </c>
      <c r="AK3227">
        <v>27.126675931030402</v>
      </c>
      <c r="AL3227">
        <v>77.623624276495306</v>
      </c>
      <c r="AM3227">
        <v>87.307005780530702</v>
      </c>
      <c r="AN3227">
        <v>0.999999971839032</v>
      </c>
    </row>
    <row r="3228" spans="1:40" x14ac:dyDescent="0.25">
      <c r="A3228" t="str">
        <f>"20190303170601975"</f>
        <v>20190303170601975</v>
      </c>
      <c r="B3228" t="str">
        <f>"1551603961967778"</f>
        <v>1551603961967778</v>
      </c>
      <c r="C3228" t="s">
        <v>40</v>
      </c>
      <c r="D3228">
        <v>5.7467040000000003</v>
      </c>
      <c r="E3228">
        <v>0.51065819999999995</v>
      </c>
      <c r="F3228" t="s">
        <v>60</v>
      </c>
      <c r="G3228">
        <v>-221.31800000000001</v>
      </c>
      <c r="H3228" s="1">
        <v>-7.6364059999999998E-7</v>
      </c>
      <c r="I3228">
        <v>212.97389999999999</v>
      </c>
      <c r="J3228">
        <v>-247.28819999999999</v>
      </c>
      <c r="K3228">
        <v>1.121229</v>
      </c>
      <c r="L3228">
        <v>214.4966</v>
      </c>
      <c r="M3228">
        <v>0.99989099999999997</v>
      </c>
      <c r="N3228">
        <v>-1.43494E-2</v>
      </c>
      <c r="O3228">
        <v>3.4866979999999999E-3</v>
      </c>
      <c r="P3228">
        <v>0.97886629999999997</v>
      </c>
      <c r="Q3228">
        <v>0.20001769999999999</v>
      </c>
      <c r="R3228">
        <v>-4.2589719999999998E-2</v>
      </c>
      <c r="S3228">
        <v>3.084015</v>
      </c>
      <c r="T3228">
        <v>-0.1310722</v>
      </c>
      <c r="U3228">
        <v>-0.17782590000000001</v>
      </c>
      <c r="V3228">
        <v>4.5896520000000003E-2</v>
      </c>
      <c r="W3228">
        <v>0.2140639</v>
      </c>
      <c r="X3228">
        <v>0.97574079999999996</v>
      </c>
      <c r="Y3228">
        <v>6.0971009999999999E-2</v>
      </c>
      <c r="Z3228">
        <v>-1.8301120000000001E-3</v>
      </c>
      <c r="AA3228">
        <v>0.99813779999999996</v>
      </c>
      <c r="AB3228">
        <v>42</v>
      </c>
      <c r="AC3228">
        <v>25.970199999999998</v>
      </c>
      <c r="AD3228">
        <v>-1.1212297636405999</v>
      </c>
      <c r="AE3228">
        <v>-1.5227000000000099</v>
      </c>
      <c r="AF3228">
        <v>1.61025911739006</v>
      </c>
      <c r="AG3228">
        <v>-1.1212297636405999</v>
      </c>
      <c r="AH3228">
        <v>25.916590150767501</v>
      </c>
      <c r="AI3228">
        <v>92.472481362443304</v>
      </c>
      <c r="AJ3228">
        <v>86.444647904304901</v>
      </c>
      <c r="AK3228">
        <v>25.990762506145799</v>
      </c>
      <c r="AL3228">
        <v>77.639385523030001</v>
      </c>
      <c r="AM3228">
        <v>87.306928190796597</v>
      </c>
      <c r="AN3228">
        <v>0.99999997630797899</v>
      </c>
    </row>
    <row r="3229" spans="1:40" x14ac:dyDescent="0.25">
      <c r="A3229" t="str">
        <f>"20190303170601999"</f>
        <v>20190303170601999</v>
      </c>
      <c r="B3229" t="str">
        <f>"1551603961988274"</f>
        <v>1551603961988274</v>
      </c>
      <c r="C3229" t="s">
        <v>40</v>
      </c>
      <c r="D3229">
        <v>5.648587</v>
      </c>
      <c r="E3229">
        <v>0.54210950000000002</v>
      </c>
      <c r="F3229" t="s">
        <v>60</v>
      </c>
      <c r="G3229">
        <v>-221.19370000000001</v>
      </c>
      <c r="H3229" s="1">
        <v>-8.2975229999999995E-7</v>
      </c>
      <c r="I3229">
        <v>212.97319999999999</v>
      </c>
      <c r="J3229">
        <v>-246.85910000000001</v>
      </c>
      <c r="K3229">
        <v>1.1212329999999999</v>
      </c>
      <c r="L3229">
        <v>214.4982</v>
      </c>
      <c r="M3229">
        <v>0.99989030000000001</v>
      </c>
      <c r="N3229">
        <v>-1.434676E-2</v>
      </c>
      <c r="O3229">
        <v>3.689178E-3</v>
      </c>
      <c r="P3229">
        <v>0.97878980000000004</v>
      </c>
      <c r="Q3229">
        <v>0.2003537</v>
      </c>
      <c r="R3229">
        <v>-4.2765709999999998E-2</v>
      </c>
      <c r="S3229">
        <v>3.0840000000000001</v>
      </c>
      <c r="T3229">
        <v>-0.132513299999999</v>
      </c>
      <c r="U3229">
        <v>-0.18003849999999999</v>
      </c>
      <c r="V3229">
        <v>4.6270310000000002E-2</v>
      </c>
      <c r="W3229">
        <v>0.214396</v>
      </c>
      <c r="X3229">
        <v>0.97565029999999997</v>
      </c>
      <c r="Y3229">
        <v>6.1884410000000001E-2</v>
      </c>
      <c r="Z3229">
        <v>-1.877821E-3</v>
      </c>
      <c r="AA3229">
        <v>0.99808160000000001</v>
      </c>
      <c r="AB3229">
        <v>42</v>
      </c>
      <c r="AC3229">
        <v>25.665400000000002</v>
      </c>
      <c r="AD3229">
        <v>-1.1212338297522999</v>
      </c>
      <c r="AE3229">
        <v>-1.5249999999999999</v>
      </c>
      <c r="AF3229">
        <v>1.61660911933374</v>
      </c>
      <c r="AG3229">
        <v>-1.1212338297522999</v>
      </c>
      <c r="AH3229">
        <v>25.6108918433879</v>
      </c>
      <c r="AI3229">
        <v>92.501811077357999</v>
      </c>
      <c r="AJ3229">
        <v>86.388171253926501</v>
      </c>
      <c r="AK3229">
        <v>25.686346010271802</v>
      </c>
      <c r="AL3229">
        <v>77.619906218252694</v>
      </c>
      <c r="AM3229">
        <v>87.284776525282496</v>
      </c>
      <c r="AN3229">
        <v>1.00000004714679</v>
      </c>
    </row>
    <row r="3230" spans="1:40" x14ac:dyDescent="0.25">
      <c r="A3230" t="str">
        <f>"20190303170602021"</f>
        <v>20190303170602021</v>
      </c>
      <c r="B3230" t="str">
        <f>"1551603962007794"</f>
        <v>1551603962007794</v>
      </c>
      <c r="C3230" t="s">
        <v>40</v>
      </c>
      <c r="D3230">
        <v>5.5710129999999998</v>
      </c>
      <c r="E3230">
        <v>0.54404710000000001</v>
      </c>
      <c r="F3230" t="s">
        <v>60</v>
      </c>
      <c r="G3230">
        <v>-210.84710000000001</v>
      </c>
      <c r="H3230">
        <v>8.0001439999999993E-2</v>
      </c>
      <c r="I3230">
        <v>209.39570000000001</v>
      </c>
      <c r="J3230">
        <v>-246.45249999999999</v>
      </c>
      <c r="K3230">
        <v>1.121238</v>
      </c>
      <c r="L3230">
        <v>214.4999</v>
      </c>
      <c r="M3230">
        <v>0.99988960000000005</v>
      </c>
      <c r="N3230">
        <v>-1.434421E-2</v>
      </c>
      <c r="O3230">
        <v>3.8809890000000001E-3</v>
      </c>
      <c r="P3230">
        <v>0.97864229999999997</v>
      </c>
      <c r="Q3230">
        <v>0.20118469999999999</v>
      </c>
      <c r="R3230">
        <v>-4.2240779999999999E-2</v>
      </c>
      <c r="S3230">
        <v>3.0641630000000002</v>
      </c>
      <c r="T3230">
        <v>-8.8595510000000002E-2</v>
      </c>
      <c r="U3230">
        <v>-0.4341583</v>
      </c>
      <c r="V3230">
        <v>4.5932180000000003E-2</v>
      </c>
      <c r="W3230">
        <v>0.2152221</v>
      </c>
      <c r="X3230">
        <v>0.97548429999999997</v>
      </c>
      <c r="Y3230">
        <v>0.14404059999999999</v>
      </c>
      <c r="Z3230">
        <v>-3.1664129999999999E-3</v>
      </c>
      <c r="AA3230">
        <v>0.98956670000000002</v>
      </c>
      <c r="AB3230">
        <v>41</v>
      </c>
      <c r="AC3230">
        <v>35.605399999999896</v>
      </c>
      <c r="AD3230">
        <v>-1.04123656</v>
      </c>
      <c r="AE3230">
        <v>-5.1041999999999899</v>
      </c>
      <c r="AF3230">
        <v>5.2379706304544396</v>
      </c>
      <c r="AG3230">
        <v>-1.04123656</v>
      </c>
      <c r="AH3230">
        <v>35.555525672180401</v>
      </c>
      <c r="AI3230">
        <v>91.659515134593093</v>
      </c>
      <c r="AJ3230">
        <v>81.619576366447703</v>
      </c>
      <c r="AK3230">
        <v>35.954358786167496</v>
      </c>
      <c r="AL3230">
        <v>77.571441856993005</v>
      </c>
      <c r="AM3230">
        <v>87.304131214373996</v>
      </c>
      <c r="AN3230">
        <v>0.99999996851722495</v>
      </c>
    </row>
    <row r="3231" spans="1:40" x14ac:dyDescent="0.25">
      <c r="A3231" t="str">
        <f>"20190303170602042"</f>
        <v>20190303170602042</v>
      </c>
      <c r="B3231" t="str">
        <f>"1551603962038050"</f>
        <v>1551603962038050</v>
      </c>
      <c r="C3231" t="s">
        <v>40</v>
      </c>
      <c r="D3231">
        <v>5.5668749999999996</v>
      </c>
      <c r="E3231">
        <v>0.5451648</v>
      </c>
      <c r="F3231" t="s">
        <v>52</v>
      </c>
      <c r="G3231">
        <v>-209.62110000000001</v>
      </c>
      <c r="H3231">
        <v>8.0000399999999902E-2</v>
      </c>
      <c r="I3231">
        <v>209.1139</v>
      </c>
      <c r="J3231">
        <v>-246.04689999999999</v>
      </c>
      <c r="K3231">
        <v>1.1212439999999999</v>
      </c>
      <c r="L3231">
        <v>214.5017</v>
      </c>
      <c r="M3231">
        <v>0.99988889999999997</v>
      </c>
      <c r="N3231">
        <v>-1.4341670000000001E-2</v>
      </c>
      <c r="O3231">
        <v>4.0726199999999999E-3</v>
      </c>
      <c r="P3231">
        <v>0.97847859999999998</v>
      </c>
      <c r="Q3231">
        <v>0.20205239999999999</v>
      </c>
      <c r="R3231">
        <v>-4.1888040000000001E-2</v>
      </c>
      <c r="S3231">
        <v>3.0639500000000002</v>
      </c>
      <c r="T3231">
        <v>-8.6619260000000003E-2</v>
      </c>
      <c r="U3231">
        <v>-0.44805909999999899</v>
      </c>
      <c r="V3231">
        <v>4.5766099999999997E-2</v>
      </c>
      <c r="W3231">
        <v>0.2160849</v>
      </c>
      <c r="X3231">
        <v>0.97530139999999999</v>
      </c>
      <c r="Y3231">
        <v>0.1486372</v>
      </c>
      <c r="Z3231">
        <v>-3.2177780000000001E-3</v>
      </c>
      <c r="AA3231">
        <v>0.9888865</v>
      </c>
      <c r="AB3231">
        <v>41</v>
      </c>
      <c r="AC3231">
        <v>36.425799999999903</v>
      </c>
      <c r="AD3231">
        <v>-1.0412436</v>
      </c>
      <c r="AE3231">
        <v>-5.3877999999999897</v>
      </c>
      <c r="AF3231">
        <v>5.5316957094387904</v>
      </c>
      <c r="AG3231">
        <v>-1.0412436</v>
      </c>
      <c r="AH3231">
        <v>36.374467125413801</v>
      </c>
      <c r="AI3231">
        <v>91.621054503051894</v>
      </c>
      <c r="AJ3231">
        <v>81.352922468009098</v>
      </c>
      <c r="AK3231">
        <v>36.807413714008398</v>
      </c>
      <c r="AL3231">
        <v>77.520816479570698</v>
      </c>
      <c r="AM3231">
        <v>87.313361543925794</v>
      </c>
      <c r="AN3231">
        <v>1.00000002037959</v>
      </c>
    </row>
    <row r="3232" spans="1:40" x14ac:dyDescent="0.25">
      <c r="A3232" t="str">
        <f>"20190303170602066"</f>
        <v>20190303170602066</v>
      </c>
      <c r="B3232" t="str">
        <f>"1551603962058547"</f>
        <v>1551603962058547</v>
      </c>
      <c r="C3232" t="s">
        <v>40</v>
      </c>
      <c r="D3232">
        <v>5.5502539999999998</v>
      </c>
      <c r="E3232">
        <v>0.54591149999999999</v>
      </c>
      <c r="F3232" t="s">
        <v>52</v>
      </c>
      <c r="G3232">
        <v>-207.4332</v>
      </c>
      <c r="H3232">
        <v>8.0000859999999993E-2</v>
      </c>
      <c r="I3232">
        <v>208.7517</v>
      </c>
      <c r="J3232">
        <v>-245.6259</v>
      </c>
      <c r="K3232">
        <v>1.121246</v>
      </c>
      <c r="L3232">
        <v>214.5035</v>
      </c>
      <c r="M3232">
        <v>0.99988809999999995</v>
      </c>
      <c r="N3232">
        <v>-1.433911E-2</v>
      </c>
      <c r="O3232">
        <v>4.2718169999999998E-3</v>
      </c>
      <c r="P3232">
        <v>0.97815540000000001</v>
      </c>
      <c r="Q3232">
        <v>0.20367540000000001</v>
      </c>
      <c r="R3232">
        <v>-4.1578669999999998E-2</v>
      </c>
      <c r="S3232">
        <v>3.0635379999999999</v>
      </c>
      <c r="T3232">
        <v>-8.2610130000000004E-2</v>
      </c>
      <c r="U3232">
        <v>-0.45619199999999999</v>
      </c>
      <c r="V3232">
        <v>4.5649710000000003E-2</v>
      </c>
      <c r="W3232">
        <v>0.21770059999999999</v>
      </c>
      <c r="X3232">
        <v>0.97494749999999997</v>
      </c>
      <c r="Y3232">
        <v>0.15142710000000001</v>
      </c>
      <c r="Z3232">
        <v>-3.1757130000000001E-3</v>
      </c>
      <c r="AA3232">
        <v>0.98846330000000004</v>
      </c>
      <c r="AB3232">
        <v>41</v>
      </c>
      <c r="AC3232">
        <v>38.192700000000002</v>
      </c>
      <c r="AD3232">
        <v>-1.04124514</v>
      </c>
      <c r="AE3232">
        <v>-5.7518000000000002</v>
      </c>
      <c r="AF3232">
        <v>5.9106207580732901</v>
      </c>
      <c r="AG3232">
        <v>-1.04124514</v>
      </c>
      <c r="AH3232">
        <v>38.140058698586898</v>
      </c>
      <c r="AI3232">
        <v>91.545380849274594</v>
      </c>
      <c r="AJ3232">
        <v>81.190863618208695</v>
      </c>
      <c r="AK3232">
        <v>38.609373301298099</v>
      </c>
      <c r="AL3232">
        <v>77.425986506280793</v>
      </c>
      <c r="AM3232">
        <v>87.319212754341294</v>
      </c>
      <c r="AN3232">
        <v>1.0000000375098399</v>
      </c>
    </row>
    <row r="3233" spans="1:40" x14ac:dyDescent="0.25">
      <c r="A3233" t="str">
        <f>"20190303170602086"</f>
        <v>20190303170602086</v>
      </c>
      <c r="B3233" t="str">
        <f>"1551603962078066"</f>
        <v>1551603962078066</v>
      </c>
      <c r="C3233" t="s">
        <v>40</v>
      </c>
      <c r="D3233">
        <v>5.5822289999999999</v>
      </c>
      <c r="E3233">
        <v>0.5462494</v>
      </c>
      <c r="F3233" t="s">
        <v>52</v>
      </c>
      <c r="G3233">
        <v>-205.09909999999999</v>
      </c>
      <c r="H3233">
        <v>8.0001359999999994E-2</v>
      </c>
      <c r="I3233">
        <v>208.40889999999999</v>
      </c>
      <c r="J3233">
        <v>-245.23099999999999</v>
      </c>
      <c r="K3233">
        <v>1.1212530000000001</v>
      </c>
      <c r="L3233">
        <v>214.50540000000001</v>
      </c>
      <c r="M3233">
        <v>0.99988739999999998</v>
      </c>
      <c r="N3233">
        <v>-1.4336730000000001E-2</v>
      </c>
      <c r="O3233">
        <v>4.4561660000000001E-3</v>
      </c>
      <c r="P3233">
        <v>0.97812379999999999</v>
      </c>
      <c r="Q3233">
        <v>0.20389009999999999</v>
      </c>
      <c r="R3233">
        <v>-4.1264130000000003E-2</v>
      </c>
      <c r="S3233">
        <v>3.0637970000000001</v>
      </c>
      <c r="T3233">
        <v>-7.8717469999999998E-2</v>
      </c>
      <c r="U3233">
        <v>-0.46075440000000001</v>
      </c>
      <c r="V3233">
        <v>4.551587E-2</v>
      </c>
      <c r="W3233">
        <v>0.21791189999999999</v>
      </c>
      <c r="X3233">
        <v>0.97490650000000001</v>
      </c>
      <c r="Y3233">
        <v>0.15304219999999999</v>
      </c>
      <c r="Z3233">
        <v>-3.108581E-3</v>
      </c>
      <c r="AA3233">
        <v>0.9882147</v>
      </c>
      <c r="AB3233">
        <v>41</v>
      </c>
      <c r="AC3233">
        <v>40.131900000000002</v>
      </c>
      <c r="AD3233">
        <v>-1.04125164</v>
      </c>
      <c r="AE3233">
        <v>-6.0965000000000096</v>
      </c>
      <c r="AF3233">
        <v>6.2711658229274203</v>
      </c>
      <c r="AG3233">
        <v>-1.04125164</v>
      </c>
      <c r="AH3233">
        <v>40.077960495250203</v>
      </c>
      <c r="AI3233">
        <v>91.470363588496497</v>
      </c>
      <c r="AJ3233">
        <v>81.106803078594197</v>
      </c>
      <c r="AK3233">
        <v>40.578992634308896</v>
      </c>
      <c r="AL3233">
        <v>77.413581459885606</v>
      </c>
      <c r="AM3233">
        <v>87.326948868008699</v>
      </c>
      <c r="AN3233">
        <v>0.99999998716285798</v>
      </c>
    </row>
    <row r="3234" spans="1:40" x14ac:dyDescent="0.25">
      <c r="A3234" t="str">
        <f>"20190303170602109"</f>
        <v>20190303170602109</v>
      </c>
      <c r="B3234" t="str">
        <f>"1551603962098562"</f>
        <v>1551603962098562</v>
      </c>
      <c r="C3234" t="s">
        <v>40</v>
      </c>
      <c r="D3234">
        <v>5.5812780000000002</v>
      </c>
      <c r="E3234">
        <v>0.54667399999999999</v>
      </c>
      <c r="F3234" t="s">
        <v>52</v>
      </c>
      <c r="G3234">
        <v>-203.75129999999999</v>
      </c>
      <c r="H3234">
        <v>8.0001409999999995E-2</v>
      </c>
      <c r="I3234">
        <v>208.23929999999999</v>
      </c>
      <c r="J3234">
        <v>-244.8194</v>
      </c>
      <c r="K3234">
        <v>1.1212500000000001</v>
      </c>
      <c r="L3234">
        <v>214.50739999999999</v>
      </c>
      <c r="M3234">
        <v>0.99988659999999996</v>
      </c>
      <c r="N3234">
        <v>-1.433425E-2</v>
      </c>
      <c r="O3234">
        <v>4.6464039999999998E-3</v>
      </c>
      <c r="P3234">
        <v>0.97818369999999999</v>
      </c>
      <c r="Q3234">
        <v>0.20357939999999999</v>
      </c>
      <c r="R3234">
        <v>-4.1383900000000001E-2</v>
      </c>
      <c r="S3234">
        <v>3.0636139999999998</v>
      </c>
      <c r="T3234">
        <v>-7.6904890000000004E-2</v>
      </c>
      <c r="U3234">
        <v>-0.46279910000000002</v>
      </c>
      <c r="V3234">
        <v>4.5822920000000003E-2</v>
      </c>
      <c r="W3234">
        <v>0.2175996</v>
      </c>
      <c r="X3234">
        <v>0.97496190000000005</v>
      </c>
      <c r="Y3234">
        <v>0.153886299999999</v>
      </c>
      <c r="Z3234">
        <v>-3.0795060000000001E-3</v>
      </c>
      <c r="AA3234">
        <v>0.98808379999999996</v>
      </c>
      <c r="AB3234">
        <v>41</v>
      </c>
      <c r="AC3234">
        <v>41.068100000000001</v>
      </c>
      <c r="AD3234">
        <v>-1.0412485899999999</v>
      </c>
      <c r="AE3234">
        <v>-6.2680999999999996</v>
      </c>
      <c r="AF3234">
        <v>6.4548159661740101</v>
      </c>
      <c r="AG3234">
        <v>-1.0412485899999999</v>
      </c>
      <c r="AH3234">
        <v>41.012765212615001</v>
      </c>
      <c r="AI3234">
        <v>91.436659108818404</v>
      </c>
      <c r="AJ3234">
        <v>81.055841106422406</v>
      </c>
      <c r="AK3234">
        <v>41.530660459092502</v>
      </c>
      <c r="AL3234">
        <v>77.431915244376498</v>
      </c>
      <c r="AM3234">
        <v>87.309095576040903</v>
      </c>
      <c r="AN3234">
        <v>1.0000000161845399</v>
      </c>
    </row>
    <row r="3235" spans="1:40" x14ac:dyDescent="0.25">
      <c r="A3235" t="str">
        <f>"20190303170602131"</f>
        <v>20190303170602131</v>
      </c>
      <c r="B3235" t="str">
        <f>"1551603962118083"</f>
        <v>1551603962118083</v>
      </c>
      <c r="C3235" t="s">
        <v>40</v>
      </c>
      <c r="D3235">
        <v>5.6140919999999896</v>
      </c>
      <c r="E3235">
        <v>0.54711330000000002</v>
      </c>
      <c r="F3235" t="s">
        <v>52</v>
      </c>
      <c r="G3235">
        <v>-204.62029999999999</v>
      </c>
      <c r="H3235">
        <v>8.0001409999999995E-2</v>
      </c>
      <c r="I3235">
        <v>208.3904</v>
      </c>
      <c r="J3235">
        <v>-244.40270000000001</v>
      </c>
      <c r="K3235">
        <v>1.1212530000000001</v>
      </c>
      <c r="L3235">
        <v>214.5095</v>
      </c>
      <c r="M3235">
        <v>0.99988569999999999</v>
      </c>
      <c r="N3235">
        <v>-1.4331740000000001E-2</v>
      </c>
      <c r="O3235">
        <v>4.8367509999999898E-3</v>
      </c>
      <c r="P3235">
        <v>0.97813459999999997</v>
      </c>
      <c r="Q3235">
        <v>0.2037851</v>
      </c>
      <c r="R3235">
        <v>-4.1528639999999999E-2</v>
      </c>
      <c r="S3235">
        <v>3.0637210000000001</v>
      </c>
      <c r="T3235">
        <v>-7.935739E-2</v>
      </c>
      <c r="U3235">
        <v>-0.4662018</v>
      </c>
      <c r="V3235">
        <v>4.615466E-2</v>
      </c>
      <c r="W3235">
        <v>0.2178021</v>
      </c>
      <c r="X3235">
        <v>0.97490100000000002</v>
      </c>
      <c r="Y3235">
        <v>0.15513729999999901</v>
      </c>
      <c r="Z3235">
        <v>-3.1714180000000001E-3</v>
      </c>
      <c r="AA3235">
        <v>0.98788790000000004</v>
      </c>
      <c r="AB3235">
        <v>41</v>
      </c>
      <c r="AC3235">
        <v>39.782400000000003</v>
      </c>
      <c r="AD3235">
        <v>-1.0412515899999999</v>
      </c>
      <c r="AE3235">
        <v>-6.1191000000000004</v>
      </c>
      <c r="AF3235">
        <v>6.3072447313132702</v>
      </c>
      <c r="AG3235">
        <v>-1.0412515899999999</v>
      </c>
      <c r="AH3235">
        <v>39.725749376472997</v>
      </c>
      <c r="AI3235">
        <v>91.482870671665594</v>
      </c>
      <c r="AJ3235">
        <v>80.978468527719599</v>
      </c>
      <c r="AK3235">
        <v>40.2368078318434</v>
      </c>
      <c r="AL3235">
        <v>77.420027317111803</v>
      </c>
      <c r="AM3235">
        <v>87.289474368951602</v>
      </c>
      <c r="AN3235">
        <v>0.99999998360256204</v>
      </c>
    </row>
    <row r="3236" spans="1:40" x14ac:dyDescent="0.25">
      <c r="A3236" t="str">
        <f>"20190303170602155"</f>
        <v>20190303170602155</v>
      </c>
      <c r="B3236" t="str">
        <f>"1551603962148338"</f>
        <v>1551603962148338</v>
      </c>
      <c r="C3236" t="s">
        <v>40</v>
      </c>
      <c r="D3236">
        <v>5.6423449999999997</v>
      </c>
      <c r="E3236">
        <v>0.5476183</v>
      </c>
      <c r="F3236" t="s">
        <v>52</v>
      </c>
      <c r="G3236">
        <v>-204.99539999999999</v>
      </c>
      <c r="H3236">
        <v>8.0001379999999997E-2</v>
      </c>
      <c r="I3236">
        <v>208.4622</v>
      </c>
      <c r="J3236">
        <v>-243.97489999999999</v>
      </c>
      <c r="K3236">
        <v>1.1212569999999999</v>
      </c>
      <c r="L3236">
        <v>214.51169999999999</v>
      </c>
      <c r="M3236">
        <v>0.99988469999999996</v>
      </c>
      <c r="N3236">
        <v>-1.432917E-2</v>
      </c>
      <c r="O3236">
        <v>5.0297780000000004E-3</v>
      </c>
      <c r="P3236">
        <v>0.97808280000000003</v>
      </c>
      <c r="Q3236">
        <v>0.20396349999999999</v>
      </c>
      <c r="R3236">
        <v>-4.1869860000000002E-2</v>
      </c>
      <c r="S3236">
        <v>3.063965</v>
      </c>
      <c r="T3236">
        <v>-8.0958600000000006E-2</v>
      </c>
      <c r="U3236">
        <v>-0.4701843</v>
      </c>
      <c r="V3236">
        <v>4.6685610000000002E-2</v>
      </c>
      <c r="W3236">
        <v>0.21797659999999999</v>
      </c>
      <c r="X3236">
        <v>0.97483679999999995</v>
      </c>
      <c r="Y3236">
        <v>0.1565675</v>
      </c>
      <c r="Z3236">
        <v>-3.2451849999999998E-3</v>
      </c>
      <c r="AA3236">
        <v>0.98766200000000004</v>
      </c>
      <c r="AB3236">
        <v>41</v>
      </c>
      <c r="AC3236">
        <v>38.979500000000002</v>
      </c>
      <c r="AD3236">
        <v>-1.04125562</v>
      </c>
      <c r="AE3236">
        <v>-6.0494999999999903</v>
      </c>
      <c r="AF3236">
        <v>6.2411530093659797</v>
      </c>
      <c r="AG3236">
        <v>-1.04125562</v>
      </c>
      <c r="AH3236">
        <v>38.921455746211002</v>
      </c>
      <c r="AI3236">
        <v>91.513132708913901</v>
      </c>
      <c r="AJ3236">
        <v>80.890031134617701</v>
      </c>
      <c r="AK3236">
        <v>39.432422212650899</v>
      </c>
      <c r="AL3236">
        <v>77.409784117564399</v>
      </c>
      <c r="AM3236">
        <v>87.258160280962102</v>
      </c>
      <c r="AN3236">
        <v>1.0000000654814301</v>
      </c>
    </row>
    <row r="3237" spans="1:40" x14ac:dyDescent="0.25">
      <c r="A3237" t="str">
        <f>"20190303170602176"</f>
        <v>20190303170602176</v>
      </c>
      <c r="B3237" t="str">
        <f>"1551603962167858"</f>
        <v>1551603962167858</v>
      </c>
      <c r="C3237" t="s">
        <v>40</v>
      </c>
      <c r="D3237">
        <v>5.5879279999999998</v>
      </c>
      <c r="E3237">
        <v>0.54793329999999996</v>
      </c>
      <c r="F3237" t="s">
        <v>52</v>
      </c>
      <c r="G3237">
        <v>-205.6087</v>
      </c>
      <c r="H3237">
        <v>8.0001249999999996E-2</v>
      </c>
      <c r="I3237">
        <v>208.56200000000001</v>
      </c>
      <c r="J3237">
        <v>-243.57570000000001</v>
      </c>
      <c r="K3237">
        <v>1.121256</v>
      </c>
      <c r="L3237">
        <v>214.51390000000001</v>
      </c>
      <c r="M3237">
        <v>0.99988379999999999</v>
      </c>
      <c r="N3237">
        <v>-1.4326780000000001E-2</v>
      </c>
      <c r="O3237">
        <v>5.2083229999999999E-3</v>
      </c>
      <c r="P3237">
        <v>0.97788889999999995</v>
      </c>
      <c r="Q3237">
        <v>0.20483609999999999</v>
      </c>
      <c r="R3237">
        <v>-4.2139950000000002E-2</v>
      </c>
      <c r="S3237">
        <v>3.0642239999999998</v>
      </c>
      <c r="T3237">
        <v>-8.3162669999999994E-2</v>
      </c>
      <c r="U3237">
        <v>-0.47518919999999998</v>
      </c>
      <c r="V3237">
        <v>4.713001E-2</v>
      </c>
      <c r="W3237">
        <v>0.21884390000000001</v>
      </c>
      <c r="X3237">
        <v>0.97462099999999996</v>
      </c>
      <c r="Y3237">
        <v>0.158302</v>
      </c>
      <c r="Z3237">
        <v>-3.3424259999999999E-3</v>
      </c>
      <c r="AA3237">
        <v>0.98738510000000002</v>
      </c>
      <c r="AB3237">
        <v>41</v>
      </c>
      <c r="AC3237">
        <v>37.966999999999999</v>
      </c>
      <c r="AD3237">
        <v>-1.04125475</v>
      </c>
      <c r="AE3237">
        <v>-5.9518999999999904</v>
      </c>
      <c r="AF3237">
        <v>6.1450728302445796</v>
      </c>
      <c r="AG3237">
        <v>-1.04125475</v>
      </c>
      <c r="AH3237">
        <v>37.907654174966197</v>
      </c>
      <c r="AI3237">
        <v>91.553151112697293</v>
      </c>
      <c r="AJ3237">
        <v>80.792087326589794</v>
      </c>
      <c r="AK3237">
        <v>38.416615891984101</v>
      </c>
      <c r="AL3237">
        <v>77.3588611369033</v>
      </c>
      <c r="AM3237">
        <v>87.231489211238895</v>
      </c>
      <c r="AN3237">
        <v>0.99999999202540502</v>
      </c>
    </row>
    <row r="3238" spans="1:40" x14ac:dyDescent="0.25">
      <c r="A3238" t="str">
        <f>"20190303170602200"</f>
        <v>20190303170602200</v>
      </c>
      <c r="B3238" t="str">
        <f>"1551603962188355"</f>
        <v>1551603962188355</v>
      </c>
      <c r="C3238" t="s">
        <v>40</v>
      </c>
      <c r="D3238">
        <v>5.6213519999999999</v>
      </c>
      <c r="E3238">
        <v>0.54824269999999997</v>
      </c>
      <c r="F3238" t="s">
        <v>52</v>
      </c>
      <c r="G3238">
        <v>-204.2192</v>
      </c>
      <c r="H3238">
        <v>8.0001420000000004E-2</v>
      </c>
      <c r="I3238">
        <v>208.36590000000001</v>
      </c>
      <c r="J3238">
        <v>-243.16120000000001</v>
      </c>
      <c r="K3238">
        <v>1.121256</v>
      </c>
      <c r="L3238">
        <v>214.5163</v>
      </c>
      <c r="M3238">
        <v>0.99988290000000002</v>
      </c>
      <c r="N3238">
        <v>-1.43243E-2</v>
      </c>
      <c r="O3238">
        <v>5.3924150000000002E-3</v>
      </c>
      <c r="P3238">
        <v>0.97783180000000003</v>
      </c>
      <c r="Q3238">
        <v>0.20506060000000001</v>
      </c>
      <c r="R3238">
        <v>-4.2369669999999998E-2</v>
      </c>
      <c r="S3238">
        <v>3.0641940000000001</v>
      </c>
      <c r="T3238">
        <v>-8.1069470000000005E-2</v>
      </c>
      <c r="U3238">
        <v>-0.47866819999999999</v>
      </c>
      <c r="V3238">
        <v>4.7540640000000002E-2</v>
      </c>
      <c r="W3238">
        <v>0.21906500000000001</v>
      </c>
      <c r="X3238">
        <v>0.97455139999999996</v>
      </c>
      <c r="Y3238">
        <v>0.15958259999999999</v>
      </c>
      <c r="Z3238">
        <v>-3.3131940000000002E-3</v>
      </c>
      <c r="AA3238">
        <v>0.98717900000000003</v>
      </c>
      <c r="AB3238">
        <v>41</v>
      </c>
      <c r="AC3238">
        <v>38.942</v>
      </c>
      <c r="AD3238">
        <v>-1.0412545799999999</v>
      </c>
      <c r="AE3238">
        <v>-6.1503999999999897</v>
      </c>
      <c r="AF3238">
        <v>6.3558899545867904</v>
      </c>
      <c r="AG3238">
        <v>-1.0412545799999999</v>
      </c>
      <c r="AH3238">
        <v>38.881143136739503</v>
      </c>
      <c r="AI3238">
        <v>91.513954879604498</v>
      </c>
      <c r="AJ3238">
        <v>80.715990092080503</v>
      </c>
      <c r="AK3238">
        <v>39.410973596637</v>
      </c>
      <c r="AL3238">
        <v>77.345878223118802</v>
      </c>
      <c r="AM3238">
        <v>87.207206880453995</v>
      </c>
      <c r="AN3238">
        <v>1.00000000895928</v>
      </c>
    </row>
    <row r="3239" spans="1:40" x14ac:dyDescent="0.25">
      <c r="A3239" t="str">
        <f>"20190303170602221"</f>
        <v>20190303170602221</v>
      </c>
      <c r="B3239" t="str">
        <f>"1551603962207875"</f>
        <v>1551603962207875</v>
      </c>
      <c r="C3239" t="s">
        <v>40</v>
      </c>
      <c r="D3239">
        <v>5.6256250000000003</v>
      </c>
      <c r="E3239">
        <v>0.54850069999999995</v>
      </c>
      <c r="F3239" t="s">
        <v>52</v>
      </c>
      <c r="G3239">
        <v>-204.41370000000001</v>
      </c>
      <c r="H3239">
        <v>8.0001409999999995E-2</v>
      </c>
      <c r="I3239">
        <v>208.4342</v>
      </c>
      <c r="J3239">
        <v>-242.7518</v>
      </c>
      <c r="K3239">
        <v>1.1212530000000001</v>
      </c>
      <c r="L3239">
        <v>214.51859999999999</v>
      </c>
      <c r="M3239">
        <v>0.99988200000000005</v>
      </c>
      <c r="N3239">
        <v>-1.4321850000000001E-2</v>
      </c>
      <c r="O3239">
        <v>5.5729380000000004E-3</v>
      </c>
      <c r="P3239">
        <v>0.97802199999999995</v>
      </c>
      <c r="Q3239">
        <v>0.20416319999999999</v>
      </c>
      <c r="R3239">
        <v>-4.2317359999999998E-2</v>
      </c>
      <c r="S3239">
        <v>3.0644529999999999</v>
      </c>
      <c r="T3239">
        <v>-8.2350489999999998E-2</v>
      </c>
      <c r="U3239">
        <v>-0.4810181</v>
      </c>
      <c r="V3239">
        <v>4.7666979999999998E-2</v>
      </c>
      <c r="W3239">
        <v>0.2181678</v>
      </c>
      <c r="X3239">
        <v>0.97474649999999996</v>
      </c>
      <c r="Y3239">
        <v>0.16048419999999999</v>
      </c>
      <c r="Z3239">
        <v>-3.3689319999999998E-3</v>
      </c>
      <c r="AA3239">
        <v>0.98703269999999999</v>
      </c>
      <c r="AB3239">
        <v>41</v>
      </c>
      <c r="AC3239">
        <v>38.338099999999997</v>
      </c>
      <c r="AD3239">
        <v>-1.0412515899999999</v>
      </c>
      <c r="AE3239">
        <v>-6.08439999999998</v>
      </c>
      <c r="AF3239">
        <v>6.2934549348742204</v>
      </c>
      <c r="AG3239">
        <v>-1.0412515899999999</v>
      </c>
      <c r="AH3239">
        <v>38.276052412787003</v>
      </c>
      <c r="AI3239">
        <v>91.537638694305102</v>
      </c>
      <c r="AJ3239">
        <v>80.662813641258595</v>
      </c>
      <c r="AK3239">
        <v>38.803968459390703</v>
      </c>
      <c r="AL3239">
        <v>77.398558610911394</v>
      </c>
      <c r="AM3239">
        <v>87.200356367608194</v>
      </c>
      <c r="AN3239">
        <v>1.0000000346007001</v>
      </c>
    </row>
    <row r="3240" spans="1:40" x14ac:dyDescent="0.25">
      <c r="A3240" t="str">
        <f>"20190303170602244"</f>
        <v>20190303170602244</v>
      </c>
      <c r="B3240" t="str">
        <f>"1551603962238130"</f>
        <v>1551603962238130</v>
      </c>
      <c r="C3240" t="s">
        <v>40</v>
      </c>
      <c r="D3240">
        <v>5.6548870000000004</v>
      </c>
      <c r="E3240">
        <v>0.54888219999999899</v>
      </c>
      <c r="F3240" t="s">
        <v>52</v>
      </c>
      <c r="G3240">
        <v>-205.7963</v>
      </c>
      <c r="H3240">
        <v>8.0001210000000003E-2</v>
      </c>
      <c r="I3240">
        <v>208.69980000000001</v>
      </c>
      <c r="J3240">
        <v>-242.3278</v>
      </c>
      <c r="K3240">
        <v>1.1212549999999999</v>
      </c>
      <c r="L3240">
        <v>214.52119999999999</v>
      </c>
      <c r="M3240">
        <v>0.99988100000000002</v>
      </c>
      <c r="N3240">
        <v>-1.431929E-2</v>
      </c>
      <c r="O3240">
        <v>5.7593690000000003E-3</v>
      </c>
      <c r="P3240">
        <v>0.97806660000000001</v>
      </c>
      <c r="Q3240">
        <v>0.20401079999999999</v>
      </c>
      <c r="R3240">
        <v>-4.2016449999999997E-2</v>
      </c>
      <c r="S3240">
        <v>3.0645600000000002</v>
      </c>
      <c r="T3240">
        <v>-8.6346510000000001E-2</v>
      </c>
      <c r="U3240">
        <v>-0.48252869999999998</v>
      </c>
      <c r="V3240">
        <v>4.7549420000000002E-2</v>
      </c>
      <c r="W3240">
        <v>0.21801329999999999</v>
      </c>
      <c r="X3240">
        <v>0.97478679999999995</v>
      </c>
      <c r="Y3240">
        <v>0.1611302</v>
      </c>
      <c r="Z3240">
        <v>-3.4960630000000002E-3</v>
      </c>
      <c r="AA3240">
        <v>0.986927</v>
      </c>
      <c r="AB3240">
        <v>41</v>
      </c>
      <c r="AC3240">
        <v>36.531500000000001</v>
      </c>
      <c r="AD3240">
        <v>-1.0412537899999901</v>
      </c>
      <c r="AE3240">
        <v>-5.8213999999999801</v>
      </c>
      <c r="AF3240">
        <v>6.0269482394549403</v>
      </c>
      <c r="AG3240">
        <v>-1.0412537899999901</v>
      </c>
      <c r="AH3240">
        <v>36.468469128065102</v>
      </c>
      <c r="AI3240">
        <v>91.613598905705203</v>
      </c>
      <c r="AJ3240">
        <v>80.615854920276902</v>
      </c>
      <c r="AK3240">
        <v>36.977798137272799</v>
      </c>
      <c r="AL3240">
        <v>77.407629038129599</v>
      </c>
      <c r="AM3240">
        <v>87.2073653971932</v>
      </c>
      <c r="AN3240">
        <v>1.0000000258867301</v>
      </c>
    </row>
    <row r="3241" spans="1:40" x14ac:dyDescent="0.25">
      <c r="A3241" t="str">
        <f>"20190303170602267"</f>
        <v>20190303170602267</v>
      </c>
      <c r="B3241" t="str">
        <f>"1551603962257650"</f>
        <v>1551603962257650</v>
      </c>
      <c r="C3241" t="s">
        <v>40</v>
      </c>
      <c r="D3241">
        <v>5.6532210000000003</v>
      </c>
      <c r="E3241">
        <v>0.54909750000000002</v>
      </c>
      <c r="F3241" t="s">
        <v>52</v>
      </c>
      <c r="G3241">
        <v>-206.0642</v>
      </c>
      <c r="H3241">
        <v>8.0001160000000002E-2</v>
      </c>
      <c r="I3241">
        <v>208.7834</v>
      </c>
      <c r="J3241">
        <v>-241.92359999999999</v>
      </c>
      <c r="K3241">
        <v>1.1212569999999999</v>
      </c>
      <c r="L3241">
        <v>214.52359999999999</v>
      </c>
      <c r="M3241">
        <v>0.99987999999999999</v>
      </c>
      <c r="N3241">
        <v>-1.4316829999999999E-2</v>
      </c>
      <c r="O3241">
        <v>5.9365090000000004E-3</v>
      </c>
      <c r="P3241">
        <v>0.9779854</v>
      </c>
      <c r="Q3241">
        <v>0.2043847</v>
      </c>
      <c r="R3241">
        <v>-4.209069E-2</v>
      </c>
      <c r="S3241">
        <v>3.0647890000000002</v>
      </c>
      <c r="T3241">
        <v>-8.8000770000000006E-2</v>
      </c>
      <c r="U3241">
        <v>-0.48492429999999997</v>
      </c>
      <c r="V3241">
        <v>4.779655E-2</v>
      </c>
      <c r="W3241">
        <v>0.21838369999999999</v>
      </c>
      <c r="X3241">
        <v>0.97469170000000005</v>
      </c>
      <c r="Y3241">
        <v>0.16204270000000001</v>
      </c>
      <c r="Z3241">
        <v>-3.5640450000000001E-3</v>
      </c>
      <c r="AA3241">
        <v>0.98677729999999997</v>
      </c>
      <c r="AB3241">
        <v>41</v>
      </c>
      <c r="AC3241">
        <v>35.859399999999901</v>
      </c>
      <c r="AD3241">
        <v>-1.04125584</v>
      </c>
      <c r="AE3241">
        <v>-5.7401999999999802</v>
      </c>
      <c r="AF3241">
        <v>5.9481103803210598</v>
      </c>
      <c r="AG3241">
        <v>-1.04125584</v>
      </c>
      <c r="AH3241">
        <v>35.795260732373599</v>
      </c>
      <c r="AI3241">
        <v>91.643692914903497</v>
      </c>
      <c r="AJ3241">
        <v>80.565349275473196</v>
      </c>
      <c r="AK3241">
        <v>36.3010319649377</v>
      </c>
      <c r="AL3241">
        <v>77.385881465543406</v>
      </c>
      <c r="AM3241">
        <v>87.192600859369307</v>
      </c>
      <c r="AN3241">
        <v>0.99999993033323797</v>
      </c>
    </row>
    <row r="3242" spans="1:40" x14ac:dyDescent="0.25">
      <c r="A3242" t="str">
        <f>"20190303170602288"</f>
        <v>20190303170602288</v>
      </c>
      <c r="B3242" t="str">
        <f>"1551603962278146"</f>
        <v>1551603962278146</v>
      </c>
      <c r="C3242" t="s">
        <v>40</v>
      </c>
      <c r="D3242">
        <v>5.6868550000000004</v>
      </c>
      <c r="E3242">
        <v>0.54932809999999999</v>
      </c>
      <c r="F3242" t="s">
        <v>52</v>
      </c>
      <c r="G3242">
        <v>-205.7834</v>
      </c>
      <c r="H3242">
        <v>8.0001219999999998E-2</v>
      </c>
      <c r="I3242">
        <v>208.78710000000001</v>
      </c>
      <c r="J3242">
        <v>-241.52260000000001</v>
      </c>
      <c r="K3242">
        <v>1.121254</v>
      </c>
      <c r="L3242">
        <v>214.52619999999999</v>
      </c>
      <c r="M3242">
        <v>0.99987890000000001</v>
      </c>
      <c r="N3242">
        <v>-1.431441E-2</v>
      </c>
      <c r="O3242">
        <v>6.1122769999999898E-3</v>
      </c>
      <c r="P3242">
        <v>0.97789309999999996</v>
      </c>
      <c r="Q3242">
        <v>0.20485590000000001</v>
      </c>
      <c r="R3242">
        <v>-4.1950750000000002E-2</v>
      </c>
      <c r="S3242">
        <v>3.0650330000000001</v>
      </c>
      <c r="T3242">
        <v>-8.8308449999999997E-2</v>
      </c>
      <c r="U3242">
        <v>-0.48651119999999998</v>
      </c>
      <c r="V3242">
        <v>4.7828019999999999E-2</v>
      </c>
      <c r="W3242">
        <v>0.21885089999999999</v>
      </c>
      <c r="X3242">
        <v>0.97458540000000005</v>
      </c>
      <c r="Y3242">
        <v>0.1627014</v>
      </c>
      <c r="Z3242">
        <v>-3.588993E-3</v>
      </c>
      <c r="AA3242">
        <v>0.98666880000000001</v>
      </c>
      <c r="AB3242">
        <v>41</v>
      </c>
      <c r="AC3242">
        <v>35.739199999999997</v>
      </c>
      <c r="AD3242">
        <v>-1.04125278</v>
      </c>
      <c r="AE3242">
        <v>-5.7390999999999703</v>
      </c>
      <c r="AF3242">
        <v>5.9525373391556498</v>
      </c>
      <c r="AG3242">
        <v>-1.04125278</v>
      </c>
      <c r="AH3242">
        <v>35.673929676100798</v>
      </c>
      <c r="AI3242">
        <v>91.649091301610795</v>
      </c>
      <c r="AJ3242">
        <v>80.526923090934304</v>
      </c>
      <c r="AK3242">
        <v>36.182124960555903</v>
      </c>
      <c r="AL3242">
        <v>77.358449805557299</v>
      </c>
      <c r="AM3242">
        <v>87.190449464588795</v>
      </c>
      <c r="AN3242">
        <v>0.99999996891054399</v>
      </c>
    </row>
    <row r="3243" spans="1:40" x14ac:dyDescent="0.25">
      <c r="A3243" t="str">
        <f>"20190303170602311"</f>
        <v>20190303170602311</v>
      </c>
      <c r="B3243" t="str">
        <f>"1551603962297666"</f>
        <v>1551603962297666</v>
      </c>
      <c r="C3243" t="s">
        <v>40</v>
      </c>
      <c r="D3243">
        <v>5.7636620000000001</v>
      </c>
      <c r="E3243">
        <v>0.54948850000000005</v>
      </c>
      <c r="F3243" t="s">
        <v>52</v>
      </c>
      <c r="G3243">
        <v>-205.00579999999999</v>
      </c>
      <c r="H3243">
        <v>8.0001390000000006E-2</v>
      </c>
      <c r="I3243">
        <v>208.7166</v>
      </c>
      <c r="J3243">
        <v>-241.1164</v>
      </c>
      <c r="K3243">
        <v>1.1212470000000001</v>
      </c>
      <c r="L3243">
        <v>214.52879999999999</v>
      </c>
      <c r="M3243">
        <v>0.99987789999999999</v>
      </c>
      <c r="N3243">
        <v>-1.431207E-2</v>
      </c>
      <c r="O3243">
        <v>6.2906069999999897E-3</v>
      </c>
      <c r="P3243">
        <v>0.977854</v>
      </c>
      <c r="Q3243">
        <v>0.2050613</v>
      </c>
      <c r="R3243">
        <v>-4.1851329999999999E-2</v>
      </c>
      <c r="S3243">
        <v>3.0652010000000001</v>
      </c>
      <c r="T3243">
        <v>-8.7402220000000003E-2</v>
      </c>
      <c r="U3243">
        <v>-0.48765560000000002</v>
      </c>
      <c r="V3243">
        <v>4.790341E-2</v>
      </c>
      <c r="W3243">
        <v>0.21905279999999999</v>
      </c>
      <c r="X3243">
        <v>0.97453639999999997</v>
      </c>
      <c r="Y3243">
        <v>0.16322970000000001</v>
      </c>
      <c r="Z3243">
        <v>-3.5767619999999998E-3</v>
      </c>
      <c r="AA3243">
        <v>0.98658159999999895</v>
      </c>
      <c r="AB3243">
        <v>41</v>
      </c>
      <c r="AC3243">
        <v>36.110599999999998</v>
      </c>
      <c r="AD3243">
        <v>-1.0412456099999901</v>
      </c>
      <c r="AE3243">
        <v>-5.81219999999999</v>
      </c>
      <c r="AF3243">
        <v>6.0343752205684797</v>
      </c>
      <c r="AG3243">
        <v>-1.0412456099999901</v>
      </c>
      <c r="AH3243">
        <v>36.044107219901001</v>
      </c>
      <c r="AI3243">
        <v>91.632005216792393</v>
      </c>
      <c r="AJ3243">
        <v>80.495886464160293</v>
      </c>
      <c r="AK3243">
        <v>36.560573600569697</v>
      </c>
      <c r="AL3243">
        <v>77.346594907833904</v>
      </c>
      <c r="AM3243">
        <v>87.185886699404506</v>
      </c>
      <c r="AN3243">
        <v>1.00000003040121</v>
      </c>
    </row>
    <row r="3244" spans="1:40" x14ac:dyDescent="0.25">
      <c r="A3244" t="str">
        <f>"20190303170602333"</f>
        <v>20190303170602333</v>
      </c>
      <c r="B3244" t="str">
        <f>"1551603962327922"</f>
        <v>1551603962327922</v>
      </c>
      <c r="C3244" t="s">
        <v>40</v>
      </c>
      <c r="D3244">
        <v>5.7099909999999996</v>
      </c>
      <c r="E3244">
        <v>0.52404629999999996</v>
      </c>
      <c r="F3244" t="s">
        <v>52</v>
      </c>
      <c r="G3244">
        <v>-204.26689999999999</v>
      </c>
      <c r="H3244">
        <v>8.0001409999999995E-2</v>
      </c>
      <c r="I3244">
        <v>208.654</v>
      </c>
      <c r="J3244">
        <v>-240.6917</v>
      </c>
      <c r="K3244">
        <v>1.1212549999999999</v>
      </c>
      <c r="L3244">
        <v>214.5317</v>
      </c>
      <c r="M3244">
        <v>0.99987669999999995</v>
      </c>
      <c r="N3244">
        <v>-1.430973E-2</v>
      </c>
      <c r="O3244">
        <v>6.477165E-3</v>
      </c>
      <c r="P3244">
        <v>0.97792699999999999</v>
      </c>
      <c r="Q3244">
        <v>0.20470530000000001</v>
      </c>
      <c r="R3244">
        <v>-4.1890110000000001E-2</v>
      </c>
      <c r="S3244">
        <v>3.0652010000000001</v>
      </c>
      <c r="T3244">
        <v>-8.6612460000000002E-2</v>
      </c>
      <c r="U3244">
        <v>-0.488678</v>
      </c>
      <c r="V3244">
        <v>4.8125319999999999E-2</v>
      </c>
      <c r="W3244">
        <v>0.218696</v>
      </c>
      <c r="X3244">
        <v>0.97460559999999996</v>
      </c>
      <c r="Y3244">
        <v>0.16373579999999999</v>
      </c>
      <c r="Z3244">
        <v>-3.5673900000000001E-3</v>
      </c>
      <c r="AA3244">
        <v>0.98649779999999998</v>
      </c>
      <c r="AB3244">
        <v>41</v>
      </c>
      <c r="AC3244">
        <v>36.424799999999998</v>
      </c>
      <c r="AD3244">
        <v>-1.04125359</v>
      </c>
      <c r="AE3244">
        <v>-5.8776999999999697</v>
      </c>
      <c r="AF3244">
        <v>6.1086650548209702</v>
      </c>
      <c r="AG3244">
        <v>-1.04125359</v>
      </c>
      <c r="AH3244">
        <v>36.357004734792298</v>
      </c>
      <c r="AI3244">
        <v>91.617820726182401</v>
      </c>
      <c r="AJ3244">
        <v>80.462309374818005</v>
      </c>
      <c r="AK3244">
        <v>36.881320354298502</v>
      </c>
      <c r="AL3244">
        <v>77.367546052960805</v>
      </c>
      <c r="AM3244">
        <v>87.173071978977205</v>
      </c>
      <c r="AN3244">
        <v>1.00000003119623</v>
      </c>
    </row>
    <row r="3245" spans="1:40" x14ac:dyDescent="0.25">
      <c r="A3245" t="str">
        <f>"20190303170602356"</f>
        <v>20190303170602356</v>
      </c>
      <c r="B3245" t="str">
        <f>"1551603962348418"</f>
        <v>1551603962348418</v>
      </c>
      <c r="C3245" t="s">
        <v>40</v>
      </c>
      <c r="D3245">
        <v>5.697451</v>
      </c>
      <c r="E3245">
        <v>0.52308909999999997</v>
      </c>
      <c r="F3245" t="s">
        <v>60</v>
      </c>
      <c r="G3245">
        <v>-216.72470000000001</v>
      </c>
      <c r="H3245" s="1">
        <v>2.141494E-6</v>
      </c>
      <c r="I3245">
        <v>212.3347</v>
      </c>
      <c r="J3245">
        <v>-240.28980000000001</v>
      </c>
      <c r="K3245">
        <v>1.121251</v>
      </c>
      <c r="L3245">
        <v>214.53440000000001</v>
      </c>
      <c r="M3245">
        <v>0.99987550000000003</v>
      </c>
      <c r="N3245">
        <v>-1.4307220000000001E-2</v>
      </c>
      <c r="O3245">
        <v>6.65389E-3</v>
      </c>
      <c r="P3245">
        <v>0.97798879999999999</v>
      </c>
      <c r="Q3245">
        <v>0.20441090000000001</v>
      </c>
      <c r="R3245">
        <v>-4.188066E-2</v>
      </c>
      <c r="S3245">
        <v>3.0857999999999999</v>
      </c>
      <c r="T3245">
        <v>-0.1443634</v>
      </c>
      <c r="U3245">
        <v>-0.28286739999999999</v>
      </c>
      <c r="V3245">
        <v>4.828971E-2</v>
      </c>
      <c r="W3245">
        <v>0.2183996</v>
      </c>
      <c r="X3245">
        <v>0.97466390000000003</v>
      </c>
      <c r="Y3245">
        <v>9.7767259999999995E-2</v>
      </c>
      <c r="Z3245">
        <v>-3.1978190000000002E-3</v>
      </c>
      <c r="AA3245">
        <v>0.99520419999999998</v>
      </c>
      <c r="AB3245">
        <v>41</v>
      </c>
      <c r="AC3245">
        <v>23.565100000000001</v>
      </c>
      <c r="AD3245">
        <v>-1.1212488585060001</v>
      </c>
      <c r="AE3245">
        <v>-2.1997</v>
      </c>
      <c r="AF3245">
        <v>2.3511899502945899</v>
      </c>
      <c r="AG3245">
        <v>-1.1212488585060001</v>
      </c>
      <c r="AH3245">
        <v>23.497203356427299</v>
      </c>
      <c r="AI3245">
        <v>92.718435567794401</v>
      </c>
      <c r="AJ3245">
        <v>84.285858844076003</v>
      </c>
      <c r="AK3245">
        <v>23.641147577018501</v>
      </c>
      <c r="AL3245">
        <v>77.384948817181794</v>
      </c>
      <c r="AM3245">
        <v>87.163600688469401</v>
      </c>
      <c r="AN3245">
        <v>0.99999999966762698</v>
      </c>
    </row>
    <row r="3246" spans="1:40" x14ac:dyDescent="0.25">
      <c r="A3246" t="str">
        <f>"20190303170602377"</f>
        <v>20190303170602377</v>
      </c>
      <c r="B3246" t="str">
        <f>"1551603962367939"</f>
        <v>1551603962367939</v>
      </c>
      <c r="C3246" t="s">
        <v>40</v>
      </c>
      <c r="D3246">
        <v>5.6377040000000003</v>
      </c>
      <c r="E3246">
        <v>0.52280509999999902</v>
      </c>
      <c r="F3246" t="s">
        <v>60</v>
      </c>
      <c r="G3246">
        <v>-216.8022</v>
      </c>
      <c r="H3246" s="1">
        <v>2.177973E-6</v>
      </c>
      <c r="I3246">
        <v>212.4435</v>
      </c>
      <c r="J3246">
        <v>-239.8981</v>
      </c>
      <c r="K3246">
        <v>1.121254</v>
      </c>
      <c r="L3246">
        <v>214.53720000000001</v>
      </c>
      <c r="M3246">
        <v>0.99987429999999999</v>
      </c>
      <c r="N3246">
        <v>-1.430464E-2</v>
      </c>
      <c r="O3246">
        <v>6.8264440000000001E-3</v>
      </c>
      <c r="P3246">
        <v>0.97803019999999996</v>
      </c>
      <c r="Q3246">
        <v>0.20420489999999999</v>
      </c>
      <c r="R3246">
        <v>-4.1918579999999997E-2</v>
      </c>
      <c r="S3246">
        <v>3.0865480000000001</v>
      </c>
      <c r="T3246">
        <v>-0.14734529999999901</v>
      </c>
      <c r="U3246">
        <v>-0.27478029999999998</v>
      </c>
      <c r="V3246">
        <v>4.8497140000000001E-2</v>
      </c>
      <c r="W3246">
        <v>0.21819160000000001</v>
      </c>
      <c r="X3246">
        <v>0.97470020000000002</v>
      </c>
      <c r="Y3246">
        <v>9.5328560000000007E-2</v>
      </c>
      <c r="Z3246">
        <v>-3.180979E-3</v>
      </c>
      <c r="AA3246">
        <v>0.99544080000000001</v>
      </c>
      <c r="AB3246">
        <v>41</v>
      </c>
      <c r="AC3246">
        <v>23.0959</v>
      </c>
      <c r="AD3246">
        <v>-1.121251822027</v>
      </c>
      <c r="AE3246">
        <v>-2.0937000000000099</v>
      </c>
      <c r="AF3246">
        <v>2.2460796394498801</v>
      </c>
      <c r="AG3246">
        <v>-1.121251822027</v>
      </c>
      <c r="AH3246">
        <v>23.027237802873898</v>
      </c>
      <c r="AI3246">
        <v>92.774521590774199</v>
      </c>
      <c r="AJ3246">
        <v>84.428985621815201</v>
      </c>
      <c r="AK3246">
        <v>23.1636732886918</v>
      </c>
      <c r="AL3246">
        <v>77.397161036733294</v>
      </c>
      <c r="AM3246">
        <v>87.151542780549093</v>
      </c>
      <c r="AN3246">
        <v>1.00000001338938</v>
      </c>
    </row>
    <row r="3247" spans="1:40" x14ac:dyDescent="0.25">
      <c r="A3247" t="str">
        <f>"20190303170602400"</f>
        <v>20190303170602400</v>
      </c>
      <c r="B3247" t="str">
        <f>"1551603962388434"</f>
        <v>1551603962388434</v>
      </c>
      <c r="C3247" t="s">
        <v>40</v>
      </c>
      <c r="D3247">
        <v>5.7131999999999996</v>
      </c>
      <c r="E3247">
        <v>0.52279109999999995</v>
      </c>
      <c r="F3247" t="s">
        <v>60</v>
      </c>
      <c r="G3247">
        <v>-216.99250000000001</v>
      </c>
      <c r="H3247" s="1">
        <v>2.2761600000000001E-6</v>
      </c>
      <c r="I3247">
        <v>212.5137</v>
      </c>
      <c r="J3247">
        <v>-239.48859999999999</v>
      </c>
      <c r="K3247">
        <v>1.1212569999999999</v>
      </c>
      <c r="L3247">
        <v>214.5402</v>
      </c>
      <c r="M3247">
        <v>0.99987320000000002</v>
      </c>
      <c r="N3247">
        <v>-1.4301940000000001E-2</v>
      </c>
      <c r="O3247">
        <v>7.0065719999999904E-3</v>
      </c>
      <c r="P3247">
        <v>0.97802460000000002</v>
      </c>
      <c r="Q3247">
        <v>0.2042004</v>
      </c>
      <c r="R3247">
        <v>-4.2073640000000002E-2</v>
      </c>
      <c r="S3247">
        <v>3.0872649999999999</v>
      </c>
      <c r="T3247">
        <v>-0.1511246</v>
      </c>
      <c r="U3247">
        <v>-0.27273560000000002</v>
      </c>
      <c r="V3247">
        <v>4.8828389999999999E-2</v>
      </c>
      <c r="W3247">
        <v>0.21818460000000001</v>
      </c>
      <c r="X3247">
        <v>0.97468520000000003</v>
      </c>
      <c r="Y3247">
        <v>9.4827339999999996E-2</v>
      </c>
      <c r="Z3247">
        <v>-3.2372009999999999E-3</v>
      </c>
      <c r="AA3247">
        <v>0.9954885</v>
      </c>
      <c r="AB3247">
        <v>41</v>
      </c>
      <c r="AC3247">
        <v>22.496099999999899</v>
      </c>
      <c r="AD3247">
        <v>-1.1212547238399999</v>
      </c>
      <c r="AE3247">
        <v>-2.0264999999999902</v>
      </c>
      <c r="AF3247">
        <v>2.1787180118888698</v>
      </c>
      <c r="AG3247">
        <v>-1.1212547238399999</v>
      </c>
      <c r="AH3247">
        <v>22.426084026648699</v>
      </c>
      <c r="AI3247">
        <v>92.848888583917599</v>
      </c>
      <c r="AJ3247">
        <v>84.451067663142496</v>
      </c>
      <c r="AK3247">
        <v>22.559549399342401</v>
      </c>
      <c r="AL3247">
        <v>77.397571648043694</v>
      </c>
      <c r="AM3247">
        <v>87.132075272524503</v>
      </c>
      <c r="AN3247">
        <v>0.99999998522309597</v>
      </c>
    </row>
    <row r="3248" spans="1:40" x14ac:dyDescent="0.25">
      <c r="A3248" t="str">
        <f>"20190303170602422"</f>
        <v>20190303170602422</v>
      </c>
      <c r="B3248" t="str">
        <f>"1551603962407954"</f>
        <v>1551603962407954</v>
      </c>
      <c r="C3248" t="s">
        <v>40</v>
      </c>
      <c r="D3248">
        <v>5.7299040000000003</v>
      </c>
      <c r="E3248">
        <v>0.52279319999999996</v>
      </c>
      <c r="F3248" t="s">
        <v>60</v>
      </c>
      <c r="G3248">
        <v>-217.05760000000001</v>
      </c>
      <c r="H3248" s="1">
        <v>2.3088860000000001E-6</v>
      </c>
      <c r="I3248">
        <v>212.55770000000001</v>
      </c>
      <c r="J3248">
        <v>-239.0718</v>
      </c>
      <c r="K3248">
        <v>1.1212549999999999</v>
      </c>
      <c r="L3248">
        <v>214.54320000000001</v>
      </c>
      <c r="M3248">
        <v>0.99987190000000004</v>
      </c>
      <c r="N3248">
        <v>-1.4299299999999999E-2</v>
      </c>
      <c r="O3248">
        <v>7.1899769999999898E-3</v>
      </c>
      <c r="P3248">
        <v>0.97797069999999997</v>
      </c>
      <c r="Q3248">
        <v>0.2043807</v>
      </c>
      <c r="R3248">
        <v>-4.2452860000000002E-2</v>
      </c>
      <c r="S3248">
        <v>3.0878909999999999</v>
      </c>
      <c r="T3248">
        <v>-0.15435360000000001</v>
      </c>
      <c r="U3248">
        <v>-0.27290340000000002</v>
      </c>
      <c r="V3248">
        <v>4.9386689999999997E-2</v>
      </c>
      <c r="W3248">
        <v>0.21836140000000001</v>
      </c>
      <c r="X3248">
        <v>0.97461750000000003</v>
      </c>
      <c r="Y3248">
        <v>9.5039739999999998E-2</v>
      </c>
      <c r="Z3248">
        <v>-3.306617E-3</v>
      </c>
      <c r="AA3248">
        <v>0.99546800000000002</v>
      </c>
      <c r="AB3248">
        <v>41</v>
      </c>
      <c r="AC3248">
        <v>22.014199999999899</v>
      </c>
      <c r="AD3248">
        <v>-1.1212526911139999</v>
      </c>
      <c r="AE3248">
        <v>-1.9855</v>
      </c>
      <c r="AF3248">
        <v>2.1382441996251198</v>
      </c>
      <c r="AG3248">
        <v>-1.1212526911139999</v>
      </c>
      <c r="AH3248">
        <v>21.9428890666142</v>
      </c>
      <c r="AI3248">
        <v>92.911428099603299</v>
      </c>
      <c r="AJ3248">
        <v>84.4343344182371</v>
      </c>
      <c r="AK3248">
        <v>22.075318263714699</v>
      </c>
      <c r="AL3248">
        <v>77.387191765860706</v>
      </c>
      <c r="AM3248">
        <v>87.099138185720193</v>
      </c>
      <c r="AN3248">
        <v>1.0000000087326799</v>
      </c>
    </row>
    <row r="3249" spans="1:40" x14ac:dyDescent="0.25">
      <c r="A3249" t="str">
        <f>"20190303170602446"</f>
        <v>20190303170602446</v>
      </c>
      <c r="B3249" t="str">
        <f>"1551603962438211"</f>
        <v>1551603962438211</v>
      </c>
      <c r="C3249" t="s">
        <v>40</v>
      </c>
      <c r="D3249">
        <v>5.7283470000000003</v>
      </c>
      <c r="E3249">
        <v>0.52307499999999996</v>
      </c>
      <c r="F3249" t="s">
        <v>60</v>
      </c>
      <c r="G3249">
        <v>-216.58789999999999</v>
      </c>
      <c r="H3249" s="1">
        <v>2.0594979999999999E-6</v>
      </c>
      <c r="I3249">
        <v>212.54509999999999</v>
      </c>
      <c r="J3249">
        <v>-238.64070000000001</v>
      </c>
      <c r="K3249">
        <v>1.1212470000000001</v>
      </c>
      <c r="L3249">
        <v>214.54650000000001</v>
      </c>
      <c r="M3249">
        <v>0.99987060000000005</v>
      </c>
      <c r="N3249">
        <v>-1.429656E-2</v>
      </c>
      <c r="O3249">
        <v>7.3798199999999996E-3</v>
      </c>
      <c r="P3249">
        <v>0.97790460000000001</v>
      </c>
      <c r="Q3249">
        <v>0.20467450000000001</v>
      </c>
      <c r="R3249">
        <v>-4.2559390000000002E-2</v>
      </c>
      <c r="S3249">
        <v>3.08786</v>
      </c>
      <c r="T3249">
        <v>-0.1539886</v>
      </c>
      <c r="U3249">
        <v>-0.27441409999999899</v>
      </c>
      <c r="V3249">
        <v>4.9678399999999998E-2</v>
      </c>
      <c r="W3249">
        <v>0.21865180000000001</v>
      </c>
      <c r="X3249">
        <v>0.9745376</v>
      </c>
      <c r="Y3249">
        <v>9.5712249999999999E-2</v>
      </c>
      <c r="Z3249">
        <v>-3.3283290000000001E-3</v>
      </c>
      <c r="AA3249">
        <v>0.9954035</v>
      </c>
      <c r="AB3249">
        <v>41</v>
      </c>
      <c r="AC3249">
        <v>22.052800000000001</v>
      </c>
      <c r="AD3249">
        <v>-1.121244940502</v>
      </c>
      <c r="AE3249">
        <v>-2.0014000000000101</v>
      </c>
      <c r="AF3249">
        <v>2.1585733174907</v>
      </c>
      <c r="AG3249">
        <v>-1.121244940502</v>
      </c>
      <c r="AH3249">
        <v>21.981069305208901</v>
      </c>
      <c r="AI3249">
        <v>92.906147274845495</v>
      </c>
      <c r="AJ3249">
        <v>84.391452826679597</v>
      </c>
      <c r="AK3249">
        <v>22.115244443233799</v>
      </c>
      <c r="AL3249">
        <v>77.3701414946364</v>
      </c>
      <c r="AM3249">
        <v>87.081794505654699</v>
      </c>
      <c r="AN3249">
        <v>1.00000004344177</v>
      </c>
    </row>
    <row r="3250" spans="1:40" x14ac:dyDescent="0.25">
      <c r="A3250" t="str">
        <f>"20190303170602467"</f>
        <v>20190303170602467</v>
      </c>
      <c r="B3250" t="str">
        <f>"1551603962457731"</f>
        <v>1551603962457731</v>
      </c>
      <c r="C3250" t="s">
        <v>40</v>
      </c>
      <c r="D3250">
        <v>5.7184059999999999</v>
      </c>
      <c r="E3250">
        <v>0.52332489999999998</v>
      </c>
      <c r="F3250" t="s">
        <v>60</v>
      </c>
      <c r="G3250">
        <v>-216.2544</v>
      </c>
      <c r="H3250" s="1">
        <v>1.882033E-6</v>
      </c>
      <c r="I3250">
        <v>212.5445</v>
      </c>
      <c r="J3250">
        <v>-238.25899999999999</v>
      </c>
      <c r="K3250">
        <v>1.1212500000000001</v>
      </c>
      <c r="L3250">
        <v>214.54949999999999</v>
      </c>
      <c r="M3250">
        <v>0.99986929999999996</v>
      </c>
      <c r="N3250">
        <v>-1.4294289999999999E-2</v>
      </c>
      <c r="O3250">
        <v>7.5476110000000001E-3</v>
      </c>
      <c r="P3250">
        <v>0.97805799999999998</v>
      </c>
      <c r="Q3250">
        <v>0.20374970000000001</v>
      </c>
      <c r="R3250">
        <v>-4.3460489999999997E-2</v>
      </c>
      <c r="S3250">
        <v>3.0881500000000002</v>
      </c>
      <c r="T3250">
        <v>-0.15467349999999999</v>
      </c>
      <c r="U3250">
        <v>-0.27616879999999999</v>
      </c>
      <c r="V3250">
        <v>5.0745279999999997E-2</v>
      </c>
      <c r="W3250">
        <v>0.21772720000000001</v>
      </c>
      <c r="X3250">
        <v>0.97468960000000004</v>
      </c>
      <c r="Y3250">
        <v>9.6429710000000002E-2</v>
      </c>
      <c r="Z3250">
        <v>-3.369192E-3</v>
      </c>
      <c r="AA3250">
        <v>0.9953341</v>
      </c>
      <c r="AB3250">
        <v>41</v>
      </c>
      <c r="AC3250">
        <v>22.0046</v>
      </c>
      <c r="AD3250">
        <v>-1.121248117967</v>
      </c>
      <c r="AE3250">
        <v>-2.0049999999999901</v>
      </c>
      <c r="AF3250">
        <v>2.16546583386019</v>
      </c>
      <c r="AG3250">
        <v>-1.121248117967</v>
      </c>
      <c r="AH3250">
        <v>21.932361660319302</v>
      </c>
      <c r="AI3250">
        <v>92.912447474074199</v>
      </c>
      <c r="AJ3250">
        <v>84.361244353443595</v>
      </c>
      <c r="AK3250">
        <v>22.0675084143794</v>
      </c>
      <c r="AL3250">
        <v>77.424424715826902</v>
      </c>
      <c r="AM3250">
        <v>87.019699743480402</v>
      </c>
      <c r="AN3250">
        <v>1.0000000167051299</v>
      </c>
    </row>
    <row r="3251" spans="1:40" x14ac:dyDescent="0.25">
      <c r="A3251" t="str">
        <f>"20190303170602489"</f>
        <v>20190303170602489</v>
      </c>
      <c r="B3251" t="str">
        <f>"1551603962478227"</f>
        <v>1551603962478227</v>
      </c>
      <c r="C3251" t="s">
        <v>40</v>
      </c>
      <c r="D3251">
        <v>5.7638410000000002</v>
      </c>
      <c r="E3251">
        <v>0.52350160000000001</v>
      </c>
      <c r="F3251" t="s">
        <v>60</v>
      </c>
      <c r="G3251">
        <v>-216.4032</v>
      </c>
      <c r="H3251" s="1">
        <v>1.9601070000000001E-6</v>
      </c>
      <c r="I3251">
        <v>212.57050000000001</v>
      </c>
      <c r="J3251">
        <v>-237.85239999999999</v>
      </c>
      <c r="K3251">
        <v>1.121248</v>
      </c>
      <c r="L3251">
        <v>214.55269999999999</v>
      </c>
      <c r="M3251">
        <v>0.99986799999999998</v>
      </c>
      <c r="N3251">
        <v>-1.429182E-2</v>
      </c>
      <c r="O3251">
        <v>7.7264269999999897E-3</v>
      </c>
      <c r="P3251">
        <v>0.97818079999999996</v>
      </c>
      <c r="Q3251">
        <v>0.20303860000000001</v>
      </c>
      <c r="R3251">
        <v>-4.4021320000000003E-2</v>
      </c>
      <c r="S3251">
        <v>3.0878909999999999</v>
      </c>
      <c r="T3251">
        <v>-0.15841529999999901</v>
      </c>
      <c r="U3251">
        <v>-0.27960210000000002</v>
      </c>
      <c r="V3251">
        <v>5.1482319999999998E-2</v>
      </c>
      <c r="W3251">
        <v>0.2170155</v>
      </c>
      <c r="X3251">
        <v>0.97480960000000005</v>
      </c>
      <c r="Y3251">
        <v>9.7703520000000002E-2</v>
      </c>
      <c r="Z3251">
        <v>-3.4848750000000001E-3</v>
      </c>
      <c r="AA3251">
        <v>0.99520949999999997</v>
      </c>
      <c r="AB3251">
        <v>41</v>
      </c>
      <c r="AC3251">
        <v>21.449199999999902</v>
      </c>
      <c r="AD3251">
        <v>-1.121246039893</v>
      </c>
      <c r="AE3251">
        <v>-1.98219999999997</v>
      </c>
      <c r="AF3251">
        <v>2.1420795013947602</v>
      </c>
      <c r="AG3251">
        <v>-1.121246039893</v>
      </c>
      <c r="AH3251">
        <v>21.375326658519299</v>
      </c>
      <c r="AI3251">
        <v>92.987769226335701</v>
      </c>
      <c r="AJ3251">
        <v>84.2773401603868</v>
      </c>
      <c r="AK3251">
        <v>21.5116314358227</v>
      </c>
      <c r="AL3251">
        <v>77.466200268524304</v>
      </c>
      <c r="AM3251">
        <v>86.976864197518594</v>
      </c>
      <c r="AN3251">
        <v>0.99999995638249495</v>
      </c>
    </row>
    <row r="3252" spans="1:40" x14ac:dyDescent="0.25">
      <c r="A3252" t="str">
        <f>"20190303170602512"</f>
        <v>20190303170602512</v>
      </c>
      <c r="B3252" t="str">
        <f>"1551603962497747"</f>
        <v>1551603962497747</v>
      </c>
      <c r="C3252" t="s">
        <v>40</v>
      </c>
      <c r="D3252">
        <v>5.8083030000000004</v>
      </c>
      <c r="E3252">
        <v>0.52355280000000004</v>
      </c>
      <c r="F3252" t="s">
        <v>60</v>
      </c>
      <c r="G3252">
        <v>-216.2825</v>
      </c>
      <c r="H3252" s="1">
        <v>1.895705E-6</v>
      </c>
      <c r="I3252">
        <v>212.5746</v>
      </c>
      <c r="J3252">
        <v>-237.459</v>
      </c>
      <c r="K3252">
        <v>1.1212470000000001</v>
      </c>
      <c r="L3252">
        <v>214.55590000000001</v>
      </c>
      <c r="M3252">
        <v>0.9998667</v>
      </c>
      <c r="N3252">
        <v>-1.4289369999999999E-2</v>
      </c>
      <c r="O3252">
        <v>7.8997579999999998E-3</v>
      </c>
      <c r="P3252">
        <v>0.97824080000000002</v>
      </c>
      <c r="Q3252">
        <v>0.20263419999999999</v>
      </c>
      <c r="R3252">
        <v>-4.4543590000000001E-2</v>
      </c>
      <c r="S3252">
        <v>3.0874790000000001</v>
      </c>
      <c r="T3252">
        <v>-0.16049349999999901</v>
      </c>
      <c r="U3252">
        <v>-0.28314210000000001</v>
      </c>
      <c r="V3252">
        <v>5.2175079999999999E-2</v>
      </c>
      <c r="W3252">
        <v>0.21660960000000001</v>
      </c>
      <c r="X3252">
        <v>0.97486309999999998</v>
      </c>
      <c r="Y3252">
        <v>9.9013169999999998E-2</v>
      </c>
      <c r="Z3252">
        <v>-3.5728420000000001E-3</v>
      </c>
      <c r="AA3252">
        <v>0.99507970000000001</v>
      </c>
      <c r="AB3252">
        <v>41</v>
      </c>
      <c r="AC3252">
        <v>21.176500000000001</v>
      </c>
      <c r="AD3252">
        <v>-1.12124510429499</v>
      </c>
      <c r="AE3252">
        <v>-1.9813000000000001</v>
      </c>
      <c r="AF3252">
        <v>2.14258995102348</v>
      </c>
      <c r="AG3252">
        <v>-1.12124510429499</v>
      </c>
      <c r="AH3252">
        <v>21.1015419348129</v>
      </c>
      <c r="AI3252">
        <v>93.026060811201106</v>
      </c>
      <c r="AJ3252">
        <v>84.202221277300396</v>
      </c>
      <c r="AK3252">
        <v>21.2396552304598</v>
      </c>
      <c r="AL3252">
        <v>77.490023990375306</v>
      </c>
      <c r="AM3252">
        <v>86.936428868889195</v>
      </c>
      <c r="AN3252">
        <v>1.00000001076338</v>
      </c>
    </row>
    <row r="3253" spans="1:40" x14ac:dyDescent="0.25">
      <c r="A3253" t="str">
        <f>"20190303170602534"</f>
        <v>20190303170602534</v>
      </c>
      <c r="B3253" t="str">
        <f>"1551603962528002"</f>
        <v>1551603962528002</v>
      </c>
      <c r="C3253" t="s">
        <v>40</v>
      </c>
      <c r="D3253">
        <v>5.7591739999999998</v>
      </c>
      <c r="E3253">
        <v>0.5235476</v>
      </c>
      <c r="F3253" t="s">
        <v>60</v>
      </c>
      <c r="G3253">
        <v>-215.98920000000001</v>
      </c>
      <c r="H3253" s="1">
        <v>1.739752E-6</v>
      </c>
      <c r="I3253">
        <v>212.57169999999999</v>
      </c>
      <c r="J3253">
        <v>-237.03190000000001</v>
      </c>
      <c r="K3253">
        <v>1.121246</v>
      </c>
      <c r="L3253">
        <v>214.55940000000001</v>
      </c>
      <c r="M3253">
        <v>0.99986520000000001</v>
      </c>
      <c r="N3253">
        <v>-1.4286689999999999E-2</v>
      </c>
      <c r="O3253">
        <v>8.0879929999999999E-3</v>
      </c>
      <c r="P3253">
        <v>0.97827900000000001</v>
      </c>
      <c r="Q3253">
        <v>0.20230529999999999</v>
      </c>
      <c r="R3253">
        <v>-4.519749E-2</v>
      </c>
      <c r="S3253">
        <v>3.0871279999999999</v>
      </c>
      <c r="T3253">
        <v>-0.16122320000000001</v>
      </c>
      <c r="U3253">
        <v>-0.28530879999999997</v>
      </c>
      <c r="V3253">
        <v>5.3013610000000003E-2</v>
      </c>
      <c r="W3253">
        <v>0.216279</v>
      </c>
      <c r="X3253">
        <v>0.97489119999999996</v>
      </c>
      <c r="Y3253">
        <v>9.9900160000000002E-2</v>
      </c>
      <c r="Z3253">
        <v>-3.6230899999999998E-3</v>
      </c>
      <c r="AA3253">
        <v>0.99499090000000001</v>
      </c>
      <c r="AB3253">
        <v>41</v>
      </c>
      <c r="AC3253">
        <v>21.0427</v>
      </c>
      <c r="AD3253">
        <v>-1.1212442602479999</v>
      </c>
      <c r="AE3253">
        <v>-1.98770000000001</v>
      </c>
      <c r="AF3253">
        <v>2.15179020497721</v>
      </c>
      <c r="AG3253">
        <v>-1.1212442602479999</v>
      </c>
      <c r="AH3253">
        <v>20.966930390356001</v>
      </c>
      <c r="AI3253">
        <v>93.045115000958702</v>
      </c>
      <c r="AJ3253">
        <v>84.140374115531401</v>
      </c>
      <c r="AK3253">
        <v>21.106860490641601</v>
      </c>
      <c r="AL3253">
        <v>77.509425129901501</v>
      </c>
      <c r="AM3253">
        <v>86.887378391911199</v>
      </c>
      <c r="AN3253">
        <v>0.99999995026183397</v>
      </c>
    </row>
    <row r="3254" spans="1:40" x14ac:dyDescent="0.25">
      <c r="A3254" t="str">
        <f>"20190303170602556"</f>
        <v>20190303170602556</v>
      </c>
      <c r="B3254" t="str">
        <f>"1551603962548499"</f>
        <v>1551603962548499</v>
      </c>
      <c r="C3254" t="s">
        <v>40</v>
      </c>
      <c r="D3254">
        <v>5.787439</v>
      </c>
      <c r="E3254">
        <v>0.52338899999999999</v>
      </c>
      <c r="F3254" t="s">
        <v>60</v>
      </c>
      <c r="G3254">
        <v>-215.66069999999999</v>
      </c>
      <c r="H3254" s="1">
        <v>1.5648550000000001E-6</v>
      </c>
      <c r="I3254">
        <v>212.5728</v>
      </c>
      <c r="J3254">
        <v>-236.63720000000001</v>
      </c>
      <c r="K3254">
        <v>1.1212470000000001</v>
      </c>
      <c r="L3254">
        <v>214.56280000000001</v>
      </c>
      <c r="M3254">
        <v>0.99986399999999998</v>
      </c>
      <c r="N3254">
        <v>-1.428424E-2</v>
      </c>
      <c r="O3254">
        <v>8.2617439999999997E-3</v>
      </c>
      <c r="P3254">
        <v>0.97824149999999999</v>
      </c>
      <c r="Q3254">
        <v>0.20244219999999999</v>
      </c>
      <c r="R3254">
        <v>-4.5400469999999998E-2</v>
      </c>
      <c r="S3254">
        <v>3.0868229999999999</v>
      </c>
      <c r="T3254">
        <v>-0.1619506</v>
      </c>
      <c r="U3254">
        <v>-0.28694150000000002</v>
      </c>
      <c r="V3254">
        <v>5.3386259999999998E-2</v>
      </c>
      <c r="W3254">
        <v>0.21641270000000001</v>
      </c>
      <c r="X3254">
        <v>0.97484119999999996</v>
      </c>
      <c r="Y3254">
        <v>0.100601</v>
      </c>
      <c r="Z3254">
        <v>-3.6668270000000001E-3</v>
      </c>
      <c r="AA3254">
        <v>0.99492009999999997</v>
      </c>
      <c r="AB3254">
        <v>41</v>
      </c>
      <c r="AC3254">
        <v>20.976500000000001</v>
      </c>
      <c r="AD3254">
        <v>-1.1212454351450001</v>
      </c>
      <c r="AE3254">
        <v>-1.99</v>
      </c>
      <c r="AF3254">
        <v>2.1571438574272501</v>
      </c>
      <c r="AG3254">
        <v>-1.1212454351450001</v>
      </c>
      <c r="AH3254">
        <v>20.900158843581799</v>
      </c>
      <c r="AI3254">
        <v>93.054646945930202</v>
      </c>
      <c r="AJ3254">
        <v>84.107262532225704</v>
      </c>
      <c r="AK3254">
        <v>21.0410812610574</v>
      </c>
      <c r="AL3254">
        <v>77.501578948879697</v>
      </c>
      <c r="AM3254">
        <v>86.865381786326694</v>
      </c>
      <c r="AN3254">
        <v>0.99999995734775704</v>
      </c>
    </row>
    <row r="3255" spans="1:40" x14ac:dyDescent="0.25">
      <c r="A3255" t="str">
        <f>"20190303170602578"</f>
        <v>20190303170602578</v>
      </c>
      <c r="B3255" t="str">
        <f>"1551603962568019"</f>
        <v>1551603962568019</v>
      </c>
      <c r="C3255" t="s">
        <v>40</v>
      </c>
      <c r="D3255">
        <v>5.8246840000000004</v>
      </c>
      <c r="E3255">
        <v>0.52333549999999995</v>
      </c>
      <c r="F3255" t="s">
        <v>60</v>
      </c>
      <c r="G3255">
        <v>-214.78450000000001</v>
      </c>
      <c r="H3255" s="1">
        <v>1.1002150000000001E-6</v>
      </c>
      <c r="I3255">
        <v>212.5367</v>
      </c>
      <c r="J3255">
        <v>-236.24010000000001</v>
      </c>
      <c r="K3255">
        <v>1.121251</v>
      </c>
      <c r="L3255">
        <v>214.56620000000001</v>
      </c>
      <c r="M3255">
        <v>0.99986240000000004</v>
      </c>
      <c r="N3255">
        <v>-1.4281800000000001E-2</v>
      </c>
      <c r="O3255">
        <v>8.4371610000000003E-3</v>
      </c>
      <c r="P3255">
        <v>0.9782518</v>
      </c>
      <c r="Q3255">
        <v>0.2024331</v>
      </c>
      <c r="R3255">
        <v>-4.5215199999999997E-2</v>
      </c>
      <c r="S3255">
        <v>3.0862120000000002</v>
      </c>
      <c r="T3255">
        <v>-0.1583513</v>
      </c>
      <c r="U3255">
        <v>-0.28614810000000002</v>
      </c>
      <c r="V3255">
        <v>5.3372929999999999E-2</v>
      </c>
      <c r="W3255">
        <v>0.21640100000000001</v>
      </c>
      <c r="X3255">
        <v>0.97484459999999995</v>
      </c>
      <c r="Y3255">
        <v>0.1005472</v>
      </c>
      <c r="Z3255">
        <v>-3.6040270000000001E-3</v>
      </c>
      <c r="AA3255">
        <v>0.99492570000000002</v>
      </c>
      <c r="AB3255">
        <v>41</v>
      </c>
      <c r="AC3255">
        <v>21.4556</v>
      </c>
      <c r="AD3255">
        <v>-1.121249899785</v>
      </c>
      <c r="AE3255">
        <v>-2.0295000000000099</v>
      </c>
      <c r="AF3255">
        <v>2.2045034331482398</v>
      </c>
      <c r="AG3255">
        <v>-1.121249899785</v>
      </c>
      <c r="AH3255">
        <v>21.379840405792098</v>
      </c>
      <c r="AI3255">
        <v>92.986280315146004</v>
      </c>
      <c r="AJ3255">
        <v>84.112961626369795</v>
      </c>
      <c r="AK3255">
        <v>21.522421157984802</v>
      </c>
      <c r="AL3255">
        <v>77.502266481575603</v>
      </c>
      <c r="AM3255">
        <v>86.866173816205304</v>
      </c>
      <c r="AN3255">
        <v>1.00000002830347</v>
      </c>
    </row>
    <row r="3256" spans="1:40" x14ac:dyDescent="0.25">
      <c r="A3256" t="str">
        <f>"20190303170602601"</f>
        <v>20190303170602601</v>
      </c>
      <c r="B3256" t="str">
        <f>"1551603962588514"</f>
        <v>1551603962588514</v>
      </c>
      <c r="C3256" t="s">
        <v>40</v>
      </c>
      <c r="D3256">
        <v>5.821307</v>
      </c>
      <c r="E3256">
        <v>0.5233257</v>
      </c>
      <c r="F3256" t="s">
        <v>60</v>
      </c>
      <c r="G3256">
        <v>-214.11949999999999</v>
      </c>
      <c r="H3256" s="1">
        <v>7.4713920000000001E-7</v>
      </c>
      <c r="I3256">
        <v>212.5171</v>
      </c>
      <c r="J3256">
        <v>-235.8289</v>
      </c>
      <c r="K3256">
        <v>1.1212500000000001</v>
      </c>
      <c r="L3256">
        <v>214.56989999999999</v>
      </c>
      <c r="M3256">
        <v>0.99986090000000005</v>
      </c>
      <c r="N3256">
        <v>-1.427932E-2</v>
      </c>
      <c r="O3256">
        <v>8.6183049999999997E-3</v>
      </c>
      <c r="P3256">
        <v>0.9782478</v>
      </c>
      <c r="Q3256">
        <v>0.20253070000000001</v>
      </c>
      <c r="R3256">
        <v>-4.4859669999999997E-2</v>
      </c>
      <c r="S3256">
        <v>3.0858460000000001</v>
      </c>
      <c r="T3256">
        <v>-0.156415</v>
      </c>
      <c r="U3256">
        <v>-0.28585820000000001</v>
      </c>
      <c r="V3256">
        <v>5.3194720000000001E-2</v>
      </c>
      <c r="W3256">
        <v>0.21649640000000001</v>
      </c>
      <c r="X3256">
        <v>0.97483310000000001</v>
      </c>
      <c r="Y3256">
        <v>0.10064919999999999</v>
      </c>
      <c r="Z3256">
        <v>-3.577467E-3</v>
      </c>
      <c r="AA3256">
        <v>0.99491549999999995</v>
      </c>
      <c r="AB3256">
        <v>41</v>
      </c>
      <c r="AC3256">
        <v>21.709399999999999</v>
      </c>
      <c r="AD3256">
        <v>-1.1212492528608</v>
      </c>
      <c r="AE3256">
        <v>-2.05279999999998</v>
      </c>
      <c r="AF3256">
        <v>2.2339347854701002</v>
      </c>
      <c r="AG3256">
        <v>-1.1212492528608</v>
      </c>
      <c r="AH3256">
        <v>21.633703068261099</v>
      </c>
      <c r="AI3256">
        <v>92.951252895468897</v>
      </c>
      <c r="AJ3256">
        <v>84.104431115398995</v>
      </c>
      <c r="AK3256">
        <v>21.7776209205337</v>
      </c>
      <c r="AL3256">
        <v>77.4966670144305</v>
      </c>
      <c r="AM3256">
        <v>86.876580006315507</v>
      </c>
      <c r="AN3256">
        <v>0.99999997115222305</v>
      </c>
    </row>
    <row r="3257" spans="1:40" x14ac:dyDescent="0.25">
      <c r="A3257" t="str">
        <f>"20190303170602624"</f>
        <v>20190303170602624</v>
      </c>
      <c r="B3257" t="str">
        <f>"1551603962617794"</f>
        <v>1551603962617794</v>
      </c>
      <c r="C3257" t="s">
        <v>40</v>
      </c>
      <c r="D3257">
        <v>5.79725</v>
      </c>
      <c r="E3257">
        <v>0.52330449999999995</v>
      </c>
      <c r="F3257" t="s">
        <v>60</v>
      </c>
      <c r="G3257">
        <v>-213.3432</v>
      </c>
      <c r="H3257" s="1">
        <v>3.3510840000000001E-7</v>
      </c>
      <c r="I3257">
        <v>212.49279999999999</v>
      </c>
      <c r="J3257">
        <v>-235.4127</v>
      </c>
      <c r="K3257">
        <v>1.121251</v>
      </c>
      <c r="L3257">
        <v>214.5736</v>
      </c>
      <c r="M3257">
        <v>0.99985950000000001</v>
      </c>
      <c r="N3257">
        <v>-1.4276850000000001E-2</v>
      </c>
      <c r="O3257">
        <v>8.80159199999999E-3</v>
      </c>
      <c r="P3257">
        <v>0.97825410000000002</v>
      </c>
      <c r="Q3257">
        <v>0.2024968</v>
      </c>
      <c r="R3257">
        <v>-4.4881770000000001E-2</v>
      </c>
      <c r="S3257">
        <v>3.0855260000000002</v>
      </c>
      <c r="T3257">
        <v>-0.15385989999999999</v>
      </c>
      <c r="U3257">
        <v>-0.28501890000000002</v>
      </c>
      <c r="V3257">
        <v>5.3396020000000002E-2</v>
      </c>
      <c r="W3257">
        <v>0.21646009999999999</v>
      </c>
      <c r="X3257">
        <v>0.97483019999999998</v>
      </c>
      <c r="Y3257">
        <v>0.10057770000000001</v>
      </c>
      <c r="Z3257">
        <v>-3.5332800000000002E-3</v>
      </c>
      <c r="AA3257">
        <v>0.99492290000000005</v>
      </c>
      <c r="AB3257">
        <v>41</v>
      </c>
      <c r="AC3257">
        <v>22.069500000000001</v>
      </c>
      <c r="AD3257">
        <v>-1.1212506648916001</v>
      </c>
      <c r="AE3257">
        <v>-2.0808000000000102</v>
      </c>
      <c r="AF3257">
        <v>2.2691803045104302</v>
      </c>
      <c r="AG3257">
        <v>-1.1212506648916001</v>
      </c>
      <c r="AH3257">
        <v>21.994058065492101</v>
      </c>
      <c r="AI3257">
        <v>92.903012479492503</v>
      </c>
      <c r="AJ3257">
        <v>84.109497073904706</v>
      </c>
      <c r="AK3257">
        <v>22.139217973906302</v>
      </c>
      <c r="AL3257">
        <v>77.498797916017594</v>
      </c>
      <c r="AM3257">
        <v>86.864774556063395</v>
      </c>
      <c r="AN3257">
        <v>1.0000000143379399</v>
      </c>
    </row>
    <row r="3258" spans="1:40" x14ac:dyDescent="0.25">
      <c r="A3258" t="str">
        <f>"20190303170602647"</f>
        <v>20190303170602647</v>
      </c>
      <c r="B3258" t="str">
        <f>"1551603962638290"</f>
        <v>1551603962638290</v>
      </c>
      <c r="C3258" t="s">
        <v>40</v>
      </c>
      <c r="D3258">
        <v>5.8093620000000001</v>
      </c>
      <c r="E3258">
        <v>0.52336470000000002</v>
      </c>
      <c r="F3258" t="s">
        <v>60</v>
      </c>
      <c r="G3258">
        <v>-212.5231</v>
      </c>
      <c r="H3258" s="1">
        <v>-9.9956349999999998E-8</v>
      </c>
      <c r="I3258">
        <v>212.46209999999999</v>
      </c>
      <c r="J3258">
        <v>-234.99680000000001</v>
      </c>
      <c r="K3258">
        <v>1.1212549999999999</v>
      </c>
      <c r="L3258">
        <v>214.57749999999999</v>
      </c>
      <c r="M3258">
        <v>0.99985769999999996</v>
      </c>
      <c r="N3258">
        <v>-1.427434E-2</v>
      </c>
      <c r="O3258">
        <v>8.9851779999999999E-3</v>
      </c>
      <c r="P3258">
        <v>0.97821069999999999</v>
      </c>
      <c r="Q3258">
        <v>0.2027766</v>
      </c>
      <c r="R3258">
        <v>-4.4560200000000001E-2</v>
      </c>
      <c r="S3258">
        <v>3.0849000000000002</v>
      </c>
      <c r="T3258">
        <v>-0.15111469999999999</v>
      </c>
      <c r="U3258">
        <v>-0.28457640000000001</v>
      </c>
      <c r="V3258">
        <v>5.3253929999999998E-2</v>
      </c>
      <c r="W3258">
        <v>0.2167367</v>
      </c>
      <c r="X3258">
        <v>0.97477650000000005</v>
      </c>
      <c r="Y3258">
        <v>0.10064240000000001</v>
      </c>
      <c r="Z3258">
        <v>-3.489785E-3</v>
      </c>
      <c r="AA3258">
        <v>0.99491660000000004</v>
      </c>
      <c r="AB3258">
        <v>40</v>
      </c>
      <c r="AC3258">
        <v>22.473700000000001</v>
      </c>
      <c r="AD3258">
        <v>-1.12125509995635</v>
      </c>
      <c r="AE3258">
        <v>-2.11539999999999</v>
      </c>
      <c r="AF3258">
        <v>2.31156196200924</v>
      </c>
      <c r="AG3258">
        <v>-1.12125509995635</v>
      </c>
      <c r="AH3258">
        <v>22.398518690713601</v>
      </c>
      <c r="AI3258">
        <v>92.850681465431705</v>
      </c>
      <c r="AJ3258">
        <v>84.107845618610597</v>
      </c>
      <c r="AK3258">
        <v>22.545380263850799</v>
      </c>
      <c r="AL3258">
        <v>77.4825643735727</v>
      </c>
      <c r="AM3258">
        <v>86.872929082686099</v>
      </c>
      <c r="AN3258">
        <v>1.0000000015697901</v>
      </c>
    </row>
    <row r="3259" spans="1:40" x14ac:dyDescent="0.25">
      <c r="A3259" t="str">
        <f>"20190303170602667"</f>
        <v>20190303170602667</v>
      </c>
      <c r="B3259" t="str">
        <f>"1551603962657811"</f>
        <v>1551603962657811</v>
      </c>
      <c r="C3259" t="s">
        <v>40</v>
      </c>
      <c r="D3259">
        <v>5.8246099999999998</v>
      </c>
      <c r="E3259">
        <v>0.52342869999999997</v>
      </c>
      <c r="F3259" t="s">
        <v>60</v>
      </c>
      <c r="G3259">
        <v>-211.70099999999999</v>
      </c>
      <c r="H3259" s="1">
        <v>-5.362764E-7</v>
      </c>
      <c r="I3259">
        <v>212.43549999999999</v>
      </c>
      <c r="J3259">
        <v>-234.62520000000001</v>
      </c>
      <c r="K3259">
        <v>1.121259</v>
      </c>
      <c r="L3259">
        <v>214.58099999999999</v>
      </c>
      <c r="M3259">
        <v>0.99985639999999998</v>
      </c>
      <c r="N3259">
        <v>-1.4272150000000001E-2</v>
      </c>
      <c r="O3259">
        <v>9.1489729999999995E-3</v>
      </c>
      <c r="P3259">
        <v>0.97809979999999996</v>
      </c>
      <c r="Q3259">
        <v>0.20335719999999999</v>
      </c>
      <c r="R3259">
        <v>-4.4343929999999997E-2</v>
      </c>
      <c r="S3259">
        <v>3.0847020000000001</v>
      </c>
      <c r="T3259">
        <v>-0.14847060000000001</v>
      </c>
      <c r="U3259">
        <v>-0.2836304</v>
      </c>
      <c r="V3259">
        <v>5.3196680000000003E-2</v>
      </c>
      <c r="W3259">
        <v>0.21731339999999999</v>
      </c>
      <c r="X3259">
        <v>0.97465119999999905</v>
      </c>
      <c r="Y3259">
        <v>0.1005137</v>
      </c>
      <c r="Z3259">
        <v>-3.4407750000000001E-3</v>
      </c>
      <c r="AA3259">
        <v>0.99492970000000003</v>
      </c>
      <c r="AB3259">
        <v>40</v>
      </c>
      <c r="AC3259">
        <v>22.924199999999999</v>
      </c>
      <c r="AD3259">
        <v>-1.1212595362764</v>
      </c>
      <c r="AE3259">
        <v>-2.14549999999999</v>
      </c>
      <c r="AF3259">
        <v>2.3495921867236</v>
      </c>
      <c r="AG3259">
        <v>-1.1212595362764</v>
      </c>
      <c r="AH3259">
        <v>22.8494201925464</v>
      </c>
      <c r="AI3259">
        <v>92.794634185197197</v>
      </c>
      <c r="AJ3259">
        <v>84.128944586672205</v>
      </c>
      <c r="AK3259">
        <v>22.997256565232998</v>
      </c>
      <c r="AL3259">
        <v>77.448714874638696</v>
      </c>
      <c r="AM3259">
        <v>86.875883356030897</v>
      </c>
      <c r="AN3259">
        <v>0.99999998112201005</v>
      </c>
    </row>
    <row r="3260" spans="1:40" x14ac:dyDescent="0.25">
      <c r="A3260" t="str">
        <f>"20190303170602690"</f>
        <v>20190303170602690</v>
      </c>
      <c r="B3260" t="str">
        <f>"1551603962678307"</f>
        <v>1551603962678307</v>
      </c>
      <c r="C3260" t="s">
        <v>40</v>
      </c>
      <c r="D3260">
        <v>5.8558979999999998</v>
      </c>
      <c r="E3260">
        <v>0.52356199999999997</v>
      </c>
      <c r="F3260" t="s">
        <v>60</v>
      </c>
      <c r="G3260">
        <v>-210.79920000000001</v>
      </c>
      <c r="H3260" s="1">
        <v>-1.0140500000000001E-6</v>
      </c>
      <c r="I3260">
        <v>212.38749999999999</v>
      </c>
      <c r="J3260">
        <v>-234.22</v>
      </c>
      <c r="K3260">
        <v>1.1212629999999999</v>
      </c>
      <c r="L3260">
        <v>214.5848</v>
      </c>
      <c r="M3260">
        <v>0.99985480000000004</v>
      </c>
      <c r="N3260">
        <v>-1.4269769999999999E-2</v>
      </c>
      <c r="O3260">
        <v>9.3275500000000004E-3</v>
      </c>
      <c r="P3260">
        <v>0.97794780000000003</v>
      </c>
      <c r="Q3260">
        <v>0.20406759999999999</v>
      </c>
      <c r="R3260">
        <v>-4.4440500000000001E-2</v>
      </c>
      <c r="S3260">
        <v>3.0844879999999999</v>
      </c>
      <c r="T3260">
        <v>-0.14515749999999999</v>
      </c>
      <c r="U3260">
        <v>-0.283966099999999</v>
      </c>
      <c r="V3260">
        <v>5.3466229999999997E-2</v>
      </c>
      <c r="W3260">
        <v>0.2180185</v>
      </c>
      <c r="X3260">
        <v>0.97447899999999998</v>
      </c>
      <c r="Y3260">
        <v>0.1008107</v>
      </c>
      <c r="Z3260">
        <v>-3.3922069999999999E-3</v>
      </c>
      <c r="AA3260">
        <v>0.9948998</v>
      </c>
      <c r="AB3260">
        <v>40</v>
      </c>
      <c r="AC3260">
        <v>23.4207999999999</v>
      </c>
      <c r="AD3260">
        <v>-1.1212640140500001</v>
      </c>
      <c r="AE3260">
        <v>-2.19730000000001</v>
      </c>
      <c r="AF3260">
        <v>2.4102093217146701</v>
      </c>
      <c r="AG3260">
        <v>-1.1212640140500001</v>
      </c>
      <c r="AH3260">
        <v>23.346240989811001</v>
      </c>
      <c r="AI3260">
        <v>92.735151391957501</v>
      </c>
      <c r="AJ3260">
        <v>84.105803549538805</v>
      </c>
      <c r="AK3260">
        <v>23.4970915289109</v>
      </c>
      <c r="AL3260">
        <v>77.407323588676206</v>
      </c>
      <c r="AM3260">
        <v>86.859531167152497</v>
      </c>
      <c r="AN3260">
        <v>1.00000001276683</v>
      </c>
    </row>
    <row r="3261" spans="1:40" x14ac:dyDescent="0.25">
      <c r="A3261" t="str">
        <f>"20190303170602713"</f>
        <v>20190303170602713</v>
      </c>
      <c r="B3261" t="str">
        <f>"1551603962697826"</f>
        <v>1551603962697826</v>
      </c>
      <c r="C3261" t="s">
        <v>40</v>
      </c>
      <c r="D3261">
        <v>5.857278</v>
      </c>
      <c r="E3261">
        <v>0.52366020000000002</v>
      </c>
      <c r="F3261" t="s">
        <v>52</v>
      </c>
      <c r="G3261">
        <v>-209.88319999999999</v>
      </c>
      <c r="H3261" s="1">
        <v>6.7992750000000002E-6</v>
      </c>
      <c r="I3261">
        <v>212.33430000000001</v>
      </c>
      <c r="J3261">
        <v>-233.80760000000001</v>
      </c>
      <c r="K3261">
        <v>1.1212660000000001</v>
      </c>
      <c r="L3261">
        <v>214.58879999999999</v>
      </c>
      <c r="M3261">
        <v>0.99985310000000005</v>
      </c>
      <c r="N3261">
        <v>-1.426734E-2</v>
      </c>
      <c r="O3261">
        <v>9.5097640000000004E-3</v>
      </c>
      <c r="P3261">
        <v>0.97792860000000004</v>
      </c>
      <c r="Q3261">
        <v>0.20407890000000001</v>
      </c>
      <c r="R3261">
        <v>-4.4809799999999997E-2</v>
      </c>
      <c r="S3261">
        <v>3.08432</v>
      </c>
      <c r="T3261">
        <v>-0.14210200000000001</v>
      </c>
      <c r="U3261">
        <v>-0.28521729999999901</v>
      </c>
      <c r="V3261">
        <v>5.4013529999999997E-2</v>
      </c>
      <c r="W3261">
        <v>0.21802730000000001</v>
      </c>
      <c r="X3261">
        <v>0.97444679999999995</v>
      </c>
      <c r="Y3261">
        <v>0.1014019</v>
      </c>
      <c r="Z3261">
        <v>-3.3568399999999998E-3</v>
      </c>
      <c r="AA3261">
        <v>0.9948399</v>
      </c>
      <c r="AB3261">
        <v>40</v>
      </c>
      <c r="AC3261">
        <v>23.924399999999999</v>
      </c>
      <c r="AD3261">
        <v>-1.121259200725</v>
      </c>
      <c r="AE3261">
        <v>-2.2544999999999802</v>
      </c>
      <c r="AF3261">
        <v>2.4765447321849798</v>
      </c>
      <c r="AG3261">
        <v>-1.121259200725</v>
      </c>
      <c r="AH3261">
        <v>23.849950841851999</v>
      </c>
      <c r="AI3261">
        <v>92.677294016752001</v>
      </c>
      <c r="AJ3261">
        <v>84.071734477972896</v>
      </c>
      <c r="AK3261">
        <v>24.004388164760201</v>
      </c>
      <c r="AL3261">
        <v>77.406806352542901</v>
      </c>
      <c r="AM3261">
        <v>86.827344888502907</v>
      </c>
      <c r="AN3261">
        <v>0.99999996549929404</v>
      </c>
    </row>
    <row r="3262" spans="1:40" x14ac:dyDescent="0.25">
      <c r="A3262" t="str">
        <f>"20190303170602735"</f>
        <v>20190303170602735</v>
      </c>
      <c r="B3262" t="str">
        <f>"1551603962727660"</f>
        <v>1551603962727660</v>
      </c>
      <c r="C3262" t="s">
        <v>40</v>
      </c>
      <c r="D3262">
        <v>5.8933559999999998</v>
      </c>
      <c r="E3262">
        <v>0.5237849</v>
      </c>
      <c r="F3262" t="s">
        <v>52</v>
      </c>
      <c r="G3262">
        <v>-209.24690000000001</v>
      </c>
      <c r="H3262" s="1">
        <v>6.5197469999999998E-6</v>
      </c>
      <c r="I3262">
        <v>212.30410000000001</v>
      </c>
      <c r="J3262">
        <v>-233.40020000000001</v>
      </c>
      <c r="K3262">
        <v>1.1212690000000001</v>
      </c>
      <c r="L3262">
        <v>214.59289999999999</v>
      </c>
      <c r="M3262">
        <v>0.9998513</v>
      </c>
      <c r="N3262">
        <v>-1.426499E-2</v>
      </c>
      <c r="O3262">
        <v>9.6899489999999998E-3</v>
      </c>
      <c r="P3262">
        <v>0.97787449999999998</v>
      </c>
      <c r="Q3262">
        <v>0.20432030000000001</v>
      </c>
      <c r="R3262">
        <v>-4.4887009999999998E-2</v>
      </c>
      <c r="S3262">
        <v>3.0839539999999999</v>
      </c>
      <c r="T3262">
        <v>-0.14079050000000001</v>
      </c>
      <c r="U3262">
        <v>-0.28688049999999998</v>
      </c>
      <c r="V3262">
        <v>5.426665E-2</v>
      </c>
      <c r="W3262">
        <v>0.2182655</v>
      </c>
      <c r="X3262">
        <v>0.97437940000000001</v>
      </c>
      <c r="Y3262">
        <v>0.1021252</v>
      </c>
      <c r="Z3262">
        <v>-3.358785E-3</v>
      </c>
      <c r="AA3262">
        <v>0.99476589999999998</v>
      </c>
      <c r="AB3262">
        <v>40</v>
      </c>
      <c r="AC3262">
        <v>24.153300000000002</v>
      </c>
      <c r="AD3262">
        <v>-1.121262480253</v>
      </c>
      <c r="AE3262">
        <v>-2.2887999999999802</v>
      </c>
      <c r="AF3262">
        <v>2.5173837242877299</v>
      </c>
      <c r="AG3262">
        <v>-1.121262480253</v>
      </c>
      <c r="AH3262">
        <v>24.0785560084541</v>
      </c>
      <c r="AI3262">
        <v>92.651725769721494</v>
      </c>
      <c r="AJ3262">
        <v>84.031479164563805</v>
      </c>
      <c r="AK3262">
        <v>24.235744465916301</v>
      </c>
      <c r="AL3262">
        <v>77.392821575807901</v>
      </c>
      <c r="AM3262">
        <v>86.812287641815502</v>
      </c>
      <c r="AN3262">
        <v>0.999999956468415</v>
      </c>
    </row>
    <row r="3263" spans="1:40" x14ac:dyDescent="0.25">
      <c r="A3263" t="str">
        <f>"20190303170602756"</f>
        <v>20190303170602756</v>
      </c>
      <c r="B3263" t="str">
        <f>"1551603962748157"</f>
        <v>1551603962748157</v>
      </c>
      <c r="C3263" t="s">
        <v>40</v>
      </c>
      <c r="D3263">
        <v>5.788316</v>
      </c>
      <c r="E3263">
        <v>0.52478649999999905</v>
      </c>
      <c r="F3263" t="s">
        <v>52</v>
      </c>
      <c r="G3263">
        <v>-208.4752</v>
      </c>
      <c r="H3263" s="1">
        <v>6.1809439999999999E-6</v>
      </c>
      <c r="I3263">
        <v>212.26519999999999</v>
      </c>
      <c r="J3263">
        <v>-233.01920000000001</v>
      </c>
      <c r="K3263">
        <v>1.121273</v>
      </c>
      <c r="L3263">
        <v>214.5968</v>
      </c>
      <c r="M3263">
        <v>0.99984969999999995</v>
      </c>
      <c r="N3263">
        <v>-1.4262769999999999E-2</v>
      </c>
      <c r="O3263">
        <v>9.8583939999999995E-3</v>
      </c>
      <c r="P3263">
        <v>0.97769280000000003</v>
      </c>
      <c r="Q3263">
        <v>0.20518400000000001</v>
      </c>
      <c r="R3263">
        <v>-4.4906580000000001E-2</v>
      </c>
      <c r="S3263">
        <v>3.0836489999999999</v>
      </c>
      <c r="T3263">
        <v>-0.13871929999999999</v>
      </c>
      <c r="U3263">
        <v>-0.28797909999999999</v>
      </c>
      <c r="V3263">
        <v>5.4448759999999999E-2</v>
      </c>
      <c r="W3263">
        <v>0.2191245</v>
      </c>
      <c r="X3263">
        <v>0.9741765</v>
      </c>
      <c r="Y3263">
        <v>0.1026562</v>
      </c>
      <c r="Z3263">
        <v>-3.3391369999999998E-3</v>
      </c>
      <c r="AA3263">
        <v>0.99471129999999996</v>
      </c>
      <c r="AB3263">
        <v>40</v>
      </c>
      <c r="AC3263">
        <v>24.544</v>
      </c>
      <c r="AD3263">
        <v>-1.121266819056</v>
      </c>
      <c r="AE3263">
        <v>-2.3315999999999999</v>
      </c>
      <c r="AF3263">
        <v>2.5681638243067599</v>
      </c>
      <c r="AG3263">
        <v>-1.121266819056</v>
      </c>
      <c r="AH3263">
        <v>24.469207800300701</v>
      </c>
      <c r="AI3263">
        <v>92.609350287560005</v>
      </c>
      <c r="AJ3263">
        <v>84.008461612004595</v>
      </c>
      <c r="AK3263">
        <v>24.6291460485802</v>
      </c>
      <c r="AL3263">
        <v>77.342384549380299</v>
      </c>
      <c r="AM3263">
        <v>86.800947601044896</v>
      </c>
      <c r="AN3263">
        <v>1.00000003355901</v>
      </c>
    </row>
    <row r="3264" spans="1:40" x14ac:dyDescent="0.25">
      <c r="A3264" t="str">
        <f>"20190303170602780"</f>
        <v>20190303170602780</v>
      </c>
      <c r="B3264" t="str">
        <f>"1551603962767676"</f>
        <v>1551603962767676</v>
      </c>
      <c r="C3264" t="s">
        <v>40</v>
      </c>
      <c r="D3264">
        <v>5.7784559999999896</v>
      </c>
      <c r="E3264">
        <v>0.52560069999999903</v>
      </c>
      <c r="F3264" t="s">
        <v>52</v>
      </c>
      <c r="G3264">
        <v>-207.34800000000001</v>
      </c>
      <c r="H3264" s="1">
        <v>5.6930579999999999E-6</v>
      </c>
      <c r="I3264">
        <v>212.12799999999999</v>
      </c>
      <c r="J3264">
        <v>-232.6121</v>
      </c>
      <c r="K3264">
        <v>1.121273</v>
      </c>
      <c r="L3264">
        <v>214.6009</v>
      </c>
      <c r="M3264">
        <v>0.99984810000000002</v>
      </c>
      <c r="N3264">
        <v>-1.4260399999999901E-2</v>
      </c>
      <c r="O3264">
        <v>1.003822E-2</v>
      </c>
      <c r="P3264">
        <v>0.97758599999999996</v>
      </c>
      <c r="Q3264">
        <v>0.2056095</v>
      </c>
      <c r="R3264">
        <v>-4.5284739999999997E-2</v>
      </c>
      <c r="S3264">
        <v>3.0830839999999999</v>
      </c>
      <c r="T3264">
        <v>-0.13466320000000001</v>
      </c>
      <c r="U3264">
        <v>-0.29649350000000002</v>
      </c>
      <c r="V3264">
        <v>5.5001649999999999E-2</v>
      </c>
      <c r="W3264">
        <v>0.21954599999999999</v>
      </c>
      <c r="X3264">
        <v>0.97405050000000004</v>
      </c>
      <c r="Y3264">
        <v>0.10557759999999999</v>
      </c>
      <c r="Z3264">
        <v>-3.3488680000000001E-3</v>
      </c>
      <c r="AA3264">
        <v>0.99440539999999999</v>
      </c>
      <c r="AB3264">
        <v>40</v>
      </c>
      <c r="AC3264">
        <v>25.264099999999999</v>
      </c>
      <c r="AD3264">
        <v>-1.1212673069420001</v>
      </c>
      <c r="AE3264">
        <v>-2.4729000000000099</v>
      </c>
      <c r="AF3264">
        <v>2.7210987063544598</v>
      </c>
      <c r="AG3264">
        <v>-1.1212673069420001</v>
      </c>
      <c r="AH3264">
        <v>25.188855949448801</v>
      </c>
      <c r="AI3264">
        <v>92.534081634725595</v>
      </c>
      <c r="AJ3264">
        <v>83.834368576215894</v>
      </c>
      <c r="AK3264">
        <v>25.360206674737999</v>
      </c>
      <c r="AL3264">
        <v>77.317631228557204</v>
      </c>
      <c r="AM3264">
        <v>86.768114778975104</v>
      </c>
      <c r="AN3264">
        <v>1.0000000020844799</v>
      </c>
    </row>
    <row r="3265" spans="1:40" x14ac:dyDescent="0.25">
      <c r="A3265" t="str">
        <f>"20190303170602802"</f>
        <v>20190303170602802</v>
      </c>
      <c r="B3265" t="str">
        <f>"1551603962788173"</f>
        <v>1551603962788173</v>
      </c>
      <c r="C3265" t="s">
        <v>40</v>
      </c>
      <c r="D3265">
        <v>5.7795120000000004</v>
      </c>
      <c r="E3265">
        <v>0.52639820000000004</v>
      </c>
      <c r="F3265" t="s">
        <v>52</v>
      </c>
      <c r="G3265">
        <v>-206.5591</v>
      </c>
      <c r="H3265" s="1">
        <v>5.351534E-6</v>
      </c>
      <c r="I3265">
        <v>212.0326</v>
      </c>
      <c r="J3265">
        <v>-232.19970000000001</v>
      </c>
      <c r="K3265">
        <v>1.121278</v>
      </c>
      <c r="L3265">
        <v>214.6052</v>
      </c>
      <c r="M3265">
        <v>0.99984629999999997</v>
      </c>
      <c r="N3265">
        <v>-1.425794E-2</v>
      </c>
      <c r="O3265">
        <v>1.0220379999999999E-2</v>
      </c>
      <c r="P3265">
        <v>0.9774967</v>
      </c>
      <c r="Q3265">
        <v>0.20594029999999999</v>
      </c>
      <c r="R3265">
        <v>-4.5710760000000003E-2</v>
      </c>
      <c r="S3265">
        <v>3.082611</v>
      </c>
      <c r="T3265">
        <v>-0.13266900000000001</v>
      </c>
      <c r="U3265">
        <v>-0.3038788</v>
      </c>
      <c r="V3265">
        <v>5.5604510000000003E-2</v>
      </c>
      <c r="W3265">
        <v>0.21987300000000001</v>
      </c>
      <c r="X3265">
        <v>0.97394250000000004</v>
      </c>
      <c r="Y3265">
        <v>0.10813339999999901</v>
      </c>
      <c r="Z3265">
        <v>-3.3868079999999998E-3</v>
      </c>
      <c r="AA3265">
        <v>0.99413059999999998</v>
      </c>
      <c r="AB3265">
        <v>40</v>
      </c>
      <c r="AC3265">
        <v>25.640599999999999</v>
      </c>
      <c r="AD3265">
        <v>-1.1212726484660001</v>
      </c>
      <c r="AE3265">
        <v>-2.5725999999999898</v>
      </c>
      <c r="AF3265">
        <v>2.82919240708729</v>
      </c>
      <c r="AG3265">
        <v>-1.1212726484660001</v>
      </c>
      <c r="AH3265">
        <v>25.564563907229001</v>
      </c>
      <c r="AI3265">
        <v>92.496187577699402</v>
      </c>
      <c r="AJ3265">
        <v>83.684858920411898</v>
      </c>
      <c r="AK3265">
        <v>25.745067678981101</v>
      </c>
      <c r="AL3265">
        <v>77.298426156051704</v>
      </c>
      <c r="AM3265">
        <v>86.732405665425802</v>
      </c>
      <c r="AN3265">
        <v>0.99999999548379503</v>
      </c>
    </row>
    <row r="3266" spans="1:40" x14ac:dyDescent="0.25">
      <c r="A3266" t="str">
        <f>"20190303170602826"</f>
        <v>20190303170602826</v>
      </c>
      <c r="B3266" t="str">
        <f>"1551603962818430"</f>
        <v>1551603962818430</v>
      </c>
      <c r="C3266" t="s">
        <v>40</v>
      </c>
      <c r="D3266">
        <v>5.8048019999999996</v>
      </c>
      <c r="E3266">
        <v>0.52754160000000005</v>
      </c>
      <c r="F3266" t="s">
        <v>52</v>
      </c>
      <c r="G3266">
        <v>-205.8749</v>
      </c>
      <c r="H3266" s="1">
        <v>5.0550930000000001E-6</v>
      </c>
      <c r="I3266">
        <v>211.9529</v>
      </c>
      <c r="J3266">
        <v>-231.78299999999999</v>
      </c>
      <c r="K3266">
        <v>1.1212799999999901</v>
      </c>
      <c r="L3266">
        <v>214.6096</v>
      </c>
      <c r="M3266">
        <v>0.99984439999999997</v>
      </c>
      <c r="N3266">
        <v>-1.4255479999999999E-2</v>
      </c>
      <c r="O3266">
        <v>1.0404500000000001E-2</v>
      </c>
      <c r="P3266">
        <v>0.9775298</v>
      </c>
      <c r="Q3266">
        <v>0.20566019999999999</v>
      </c>
      <c r="R3266">
        <v>-4.6256310000000002E-2</v>
      </c>
      <c r="S3266">
        <v>3.08223</v>
      </c>
      <c r="T3266">
        <v>-0.1312835</v>
      </c>
      <c r="U3266">
        <v>-0.31054690000000001</v>
      </c>
      <c r="V3266">
        <v>5.6330690000000003E-2</v>
      </c>
      <c r="W3266">
        <v>0.21959110000000001</v>
      </c>
      <c r="X3266">
        <v>0.97396439999999995</v>
      </c>
      <c r="Y3266">
        <v>0.11045729999999999</v>
      </c>
      <c r="Z3266">
        <v>-3.429217E-3</v>
      </c>
      <c r="AA3266">
        <v>0.99387499999999995</v>
      </c>
      <c r="AB3266">
        <v>40</v>
      </c>
      <c r="AC3266">
        <v>25.908099999999902</v>
      </c>
      <c r="AD3266">
        <v>-1.1212749449070001</v>
      </c>
      <c r="AE3266">
        <v>-2.6566999999999998</v>
      </c>
      <c r="AF3266">
        <v>2.9207305540083399</v>
      </c>
      <c r="AG3266">
        <v>-1.1212749449070001</v>
      </c>
      <c r="AH3266">
        <v>25.8311728838151</v>
      </c>
      <c r="AI3266">
        <v>92.469806449833399</v>
      </c>
      <c r="AJ3266">
        <v>83.548965249463194</v>
      </c>
      <c r="AK3266">
        <v>26.019942679120899</v>
      </c>
      <c r="AL3266">
        <v>77.314982850964498</v>
      </c>
      <c r="AM3266">
        <v>86.689900308437601</v>
      </c>
      <c r="AN3266">
        <v>1.00000002515122</v>
      </c>
    </row>
    <row r="3267" spans="1:40" x14ac:dyDescent="0.25">
      <c r="A3267" t="str">
        <f>"20190303170602850"</f>
        <v>20190303170602850</v>
      </c>
      <c r="B3267" t="str">
        <f>"1551603962837950"</f>
        <v>1551603962837950</v>
      </c>
      <c r="C3267" t="s">
        <v>40</v>
      </c>
      <c r="D3267">
        <v>5.7890189999999997</v>
      </c>
      <c r="E3267">
        <v>0.5282732</v>
      </c>
      <c r="F3267" t="s">
        <v>52</v>
      </c>
      <c r="G3267">
        <v>-205.4984</v>
      </c>
      <c r="H3267" s="1">
        <v>4.8954620000000002E-6</v>
      </c>
      <c r="I3267">
        <v>211.86920000000001</v>
      </c>
      <c r="J3267">
        <v>-231.34639999999999</v>
      </c>
      <c r="K3267">
        <v>1.121283</v>
      </c>
      <c r="L3267">
        <v>214.61439999999999</v>
      </c>
      <c r="M3267">
        <v>0.99984229999999996</v>
      </c>
      <c r="N3267">
        <v>-1.425297E-2</v>
      </c>
      <c r="O3267">
        <v>1.0596670000000001E-2</v>
      </c>
      <c r="P3267">
        <v>0.97749299999999995</v>
      </c>
      <c r="Q3267">
        <v>0.20561940000000001</v>
      </c>
      <c r="R3267">
        <v>-4.7204839999999998E-2</v>
      </c>
      <c r="S3267">
        <v>3.0814360000000001</v>
      </c>
      <c r="T3267">
        <v>-0.13145090000000001</v>
      </c>
      <c r="U3267">
        <v>-0.3212738</v>
      </c>
      <c r="V3267">
        <v>5.7466799999999998E-2</v>
      </c>
      <c r="W3267">
        <v>0.21954789999999999</v>
      </c>
      <c r="X3267">
        <v>0.97390779999999999</v>
      </c>
      <c r="Y3267">
        <v>0.1140922</v>
      </c>
      <c r="Z3267">
        <v>-3.5417640000000002E-3</v>
      </c>
      <c r="AA3267">
        <v>0.99346389999999996</v>
      </c>
      <c r="AB3267">
        <v>40</v>
      </c>
      <c r="AC3267">
        <v>25.8479999999999</v>
      </c>
      <c r="AD3267">
        <v>-1.121278104538</v>
      </c>
      <c r="AE3267">
        <v>-2.7451999999999801</v>
      </c>
      <c r="AF3267">
        <v>3.0133690781728499</v>
      </c>
      <c r="AG3267">
        <v>-1.121278104538</v>
      </c>
      <c r="AH3267">
        <v>25.7695034075881</v>
      </c>
      <c r="AI3267">
        <v>92.474632012878899</v>
      </c>
      <c r="AJ3267">
        <v>83.330380754091294</v>
      </c>
      <c r="AK3267">
        <v>25.969308109048601</v>
      </c>
      <c r="AL3267">
        <v>77.317520367655703</v>
      </c>
      <c r="AM3267">
        <v>86.623097467679997</v>
      </c>
      <c r="AN3267">
        <v>1.00000005819874</v>
      </c>
    </row>
    <row r="3268" spans="1:40" x14ac:dyDescent="0.25">
      <c r="A3268" t="str">
        <f>"20190303170602871"</f>
        <v>20190303170602871</v>
      </c>
      <c r="B3268" t="str">
        <f>"1551603962858445"</f>
        <v>1551603962858445</v>
      </c>
      <c r="C3268" t="s">
        <v>40</v>
      </c>
      <c r="D3268">
        <v>5.8081430000000003</v>
      </c>
      <c r="E3268">
        <v>0.52893950000000001</v>
      </c>
      <c r="F3268" t="s">
        <v>52</v>
      </c>
      <c r="G3268">
        <v>-205.06270000000001</v>
      </c>
      <c r="H3268" s="1">
        <v>4.7084160000000001E-6</v>
      </c>
      <c r="I3268">
        <v>211.7987</v>
      </c>
      <c r="J3268">
        <v>-230.97020000000001</v>
      </c>
      <c r="K3268">
        <v>1.121281</v>
      </c>
      <c r="L3268">
        <v>214.61850000000001</v>
      </c>
      <c r="M3268">
        <v>0.99984050000000002</v>
      </c>
      <c r="N3268">
        <v>-1.425092E-2</v>
      </c>
      <c r="O3268">
        <v>1.076033E-2</v>
      </c>
      <c r="P3268">
        <v>0.9773309</v>
      </c>
      <c r="Q3268">
        <v>0.2062541</v>
      </c>
      <c r="R3268">
        <v>-4.7784109999999998E-2</v>
      </c>
      <c r="S3268">
        <v>3.080765</v>
      </c>
      <c r="T3268">
        <v>-0.1314274</v>
      </c>
      <c r="U3268">
        <v>-0.3300323</v>
      </c>
      <c r="V3268">
        <v>5.8204819999999997E-2</v>
      </c>
      <c r="W3268">
        <v>0.22017809999999999</v>
      </c>
      <c r="X3268">
        <v>0.97372159999999996</v>
      </c>
      <c r="Y3268">
        <v>0.1170662</v>
      </c>
      <c r="Z3268">
        <v>-3.6306250000000002E-3</v>
      </c>
      <c r="AA3268">
        <v>0.99311749999999999</v>
      </c>
      <c r="AB3268">
        <v>40</v>
      </c>
      <c r="AC3268">
        <v>25.907499999999999</v>
      </c>
      <c r="AD3268">
        <v>-1.121276291584</v>
      </c>
      <c r="AE3268">
        <v>-2.8198000000000101</v>
      </c>
      <c r="AF3268">
        <v>3.0927129791109702</v>
      </c>
      <c r="AG3268">
        <v>-1.121276291584</v>
      </c>
      <c r="AH3268">
        <v>25.827841545583301</v>
      </c>
      <c r="AI3268">
        <v>92.468237460458695</v>
      </c>
      <c r="AJ3268">
        <v>83.171721692514296</v>
      </c>
      <c r="AK3268">
        <v>26.036503855106702</v>
      </c>
      <c r="AL3268">
        <v>77.280505807970798</v>
      </c>
      <c r="AM3268">
        <v>86.579179271811398</v>
      </c>
      <c r="AN3268">
        <v>0.99999997554870002</v>
      </c>
    </row>
    <row r="3269" spans="1:40" x14ac:dyDescent="0.25">
      <c r="A3269" t="str">
        <f>"20190303170602891"</f>
        <v>20190303170602891</v>
      </c>
      <c r="B3269" t="str">
        <f>"1551603962877964"</f>
        <v>1551603962877964</v>
      </c>
      <c r="C3269" t="s">
        <v>40</v>
      </c>
      <c r="D3269">
        <v>5.8207839999999997</v>
      </c>
      <c r="E3269">
        <v>0.52955529999999995</v>
      </c>
      <c r="F3269" t="s">
        <v>52</v>
      </c>
      <c r="G3269">
        <v>-204.27590000000001</v>
      </c>
      <c r="H3269" s="1">
        <v>4.368257E-6</v>
      </c>
      <c r="I3269">
        <v>211.6985</v>
      </c>
      <c r="J3269">
        <v>-230.608</v>
      </c>
      <c r="K3269">
        <v>1.121281</v>
      </c>
      <c r="L3269">
        <v>214.6225</v>
      </c>
      <c r="M3269">
        <v>0.99983900000000003</v>
      </c>
      <c r="N3269">
        <v>-1.4249039999999999E-2</v>
      </c>
      <c r="O3269">
        <v>1.0909139999999999E-2</v>
      </c>
      <c r="P3269">
        <v>0.97722600000000004</v>
      </c>
      <c r="Q3269">
        <v>0.2066895</v>
      </c>
      <c r="R3269">
        <v>-4.805297E-2</v>
      </c>
      <c r="S3269">
        <v>3.0804290000000001</v>
      </c>
      <c r="T3269">
        <v>-0.12939139999999999</v>
      </c>
      <c r="U3269">
        <v>-0.33695979999999998</v>
      </c>
      <c r="V3269">
        <v>5.8620199999999997E-2</v>
      </c>
      <c r="W3269">
        <v>0.22060930000000001</v>
      </c>
      <c r="X3269">
        <v>0.97359910000000005</v>
      </c>
      <c r="Y3269">
        <v>0.11943380000000001</v>
      </c>
      <c r="Z3269">
        <v>-3.6556050000000001E-3</v>
      </c>
      <c r="AA3269">
        <v>0.99283549999999998</v>
      </c>
      <c r="AB3269">
        <v>40</v>
      </c>
      <c r="AC3269">
        <v>26.332100000000001</v>
      </c>
      <c r="AD3269">
        <v>-1.1212766317430001</v>
      </c>
      <c r="AE3269">
        <v>-2.9239999999999999</v>
      </c>
      <c r="AF3269">
        <v>3.2053743801435499</v>
      </c>
      <c r="AG3269">
        <v>-1.1212766317430001</v>
      </c>
      <c r="AH3269">
        <v>26.251610591721501</v>
      </c>
      <c r="AI3269">
        <v>92.427760810814902</v>
      </c>
      <c r="AJ3269">
        <v>83.038529718082899</v>
      </c>
      <c r="AK3269">
        <v>26.470337074944101</v>
      </c>
      <c r="AL3269">
        <v>77.255177366226803</v>
      </c>
      <c r="AM3269">
        <v>86.554392668344803</v>
      </c>
      <c r="AN3269">
        <v>0.99999999930767003</v>
      </c>
    </row>
    <row r="3270" spans="1:40" x14ac:dyDescent="0.25">
      <c r="A3270" t="str">
        <f>"20190303170602915"</f>
        <v>20190303170602915</v>
      </c>
      <c r="B3270" t="str">
        <f>"1551603962908220"</f>
        <v>1551603962908220</v>
      </c>
      <c r="C3270" t="s">
        <v>40</v>
      </c>
      <c r="D3270">
        <v>5.8249149999999998</v>
      </c>
      <c r="E3270">
        <v>0.53040900000000002</v>
      </c>
      <c r="F3270" t="s">
        <v>52</v>
      </c>
      <c r="G3270">
        <v>-203.57409999999999</v>
      </c>
      <c r="H3270" s="1">
        <v>4.0646349999999999E-6</v>
      </c>
      <c r="I3270">
        <v>211.61170000000001</v>
      </c>
      <c r="J3270">
        <v>-230.18940000000001</v>
      </c>
      <c r="K3270">
        <v>1.121267</v>
      </c>
      <c r="L3270">
        <v>214.62729999999999</v>
      </c>
      <c r="M3270">
        <v>0.99983750000000005</v>
      </c>
      <c r="N3270">
        <v>-1.424653E-2</v>
      </c>
      <c r="O3270">
        <v>1.105678E-2</v>
      </c>
      <c r="P3270">
        <v>0.97712350000000003</v>
      </c>
      <c r="Q3270">
        <v>0.20704700000000001</v>
      </c>
      <c r="R3270">
        <v>-4.8595319999999997E-2</v>
      </c>
      <c r="S3270">
        <v>3.080063</v>
      </c>
      <c r="T3270">
        <v>-0.127751</v>
      </c>
      <c r="U3270">
        <v>-0.34303280000000003</v>
      </c>
      <c r="V3270">
        <v>5.9313209999999998E-2</v>
      </c>
      <c r="W3270">
        <v>0.22096089999999999</v>
      </c>
      <c r="X3270">
        <v>0.97347740000000005</v>
      </c>
      <c r="Y3270">
        <v>0.1215277</v>
      </c>
      <c r="Z3270">
        <v>-3.6804089999999999E-3</v>
      </c>
      <c r="AA3270">
        <v>0.99258120000000005</v>
      </c>
      <c r="AB3270">
        <v>40</v>
      </c>
      <c r="AC3270">
        <v>26.615300000000001</v>
      </c>
      <c r="AD3270">
        <v>-1.1212629353650001</v>
      </c>
      <c r="AE3270">
        <v>-3.0155999999999699</v>
      </c>
      <c r="AF3270">
        <v>3.3039354362319502</v>
      </c>
      <c r="AG3270">
        <v>-1.1212629353650001</v>
      </c>
      <c r="AH3270">
        <v>26.533830871730299</v>
      </c>
      <c r="AI3270">
        <v>92.401235773521194</v>
      </c>
      <c r="AJ3270">
        <v>82.902185710447995</v>
      </c>
      <c r="AK3270">
        <v>26.7622383343883</v>
      </c>
      <c r="AL3270">
        <v>77.234522626231495</v>
      </c>
      <c r="AM3270">
        <v>86.513323701610304</v>
      </c>
      <c r="AN3270">
        <v>1.0000000122600301</v>
      </c>
    </row>
    <row r="3271" spans="1:40" x14ac:dyDescent="0.25">
      <c r="A3271" t="str">
        <f>"20190303170602947"</f>
        <v>20190303170602947</v>
      </c>
      <c r="B3271" t="str">
        <f>"1551603962938088"</f>
        <v>1551603962938088</v>
      </c>
      <c r="C3271" t="s">
        <v>40</v>
      </c>
      <c r="D3271">
        <v>5.8111309999999996</v>
      </c>
      <c r="E3271">
        <v>0.53127780000000002</v>
      </c>
      <c r="F3271" t="s">
        <v>52</v>
      </c>
      <c r="G3271">
        <v>-202.9255</v>
      </c>
      <c r="H3271" s="1">
        <v>3.7852199999999999E-6</v>
      </c>
      <c r="I3271">
        <v>211.5179</v>
      </c>
      <c r="J3271">
        <v>-229.6086</v>
      </c>
      <c r="K3271">
        <v>1.1212279999999999</v>
      </c>
      <c r="L3271">
        <v>214.63390000000001</v>
      </c>
      <c r="M3271">
        <v>0.99983599999999995</v>
      </c>
      <c r="N3271">
        <v>-1.424281E-2</v>
      </c>
      <c r="O3271">
        <v>1.120269E-2</v>
      </c>
      <c r="P3271">
        <v>0.9774311</v>
      </c>
      <c r="Q3271">
        <v>0.20535580000000001</v>
      </c>
      <c r="R3271">
        <v>-4.9576929999999998E-2</v>
      </c>
      <c r="S3271">
        <v>3.0796049999999999</v>
      </c>
      <c r="T3271">
        <v>-0.12665309999999999</v>
      </c>
      <c r="U3271">
        <v>-0.35122680000000001</v>
      </c>
      <c r="V3271">
        <v>6.0461059999999997E-2</v>
      </c>
      <c r="W3271">
        <v>0.21926499999999999</v>
      </c>
      <c r="X3271">
        <v>0.97379020000000005</v>
      </c>
      <c r="Y3271">
        <v>0.12429519999999999</v>
      </c>
      <c r="Z3271">
        <v>-3.7352710000000001E-3</v>
      </c>
      <c r="AA3271">
        <v>0.99223830000000002</v>
      </c>
      <c r="AB3271">
        <v>40</v>
      </c>
      <c r="AC3271">
        <v>26.6831</v>
      </c>
      <c r="AD3271">
        <v>-1.12122421477999</v>
      </c>
      <c r="AE3271">
        <v>-3.1160000000000099</v>
      </c>
      <c r="AF3271">
        <v>3.4088192756369402</v>
      </c>
      <c r="AG3271">
        <v>-1.12122421477999</v>
      </c>
      <c r="AH3271">
        <v>26.6001785634597</v>
      </c>
      <c r="AI3271">
        <v>92.3940904799762</v>
      </c>
      <c r="AJ3271">
        <v>82.697334477370006</v>
      </c>
      <c r="AK3271">
        <v>26.841138057126201</v>
      </c>
      <c r="AL3271">
        <v>77.3341336291152</v>
      </c>
      <c r="AM3271">
        <v>86.447158311855404</v>
      </c>
      <c r="AN3271">
        <v>1.00000001680868</v>
      </c>
    </row>
    <row r="3272" spans="1:40" x14ac:dyDescent="0.25">
      <c r="A3272" t="str">
        <f>"20190303170602969"</f>
        <v>20190303170602969</v>
      </c>
      <c r="B3272" t="str">
        <f>"1551603962957608"</f>
        <v>1551603962957608</v>
      </c>
      <c r="C3272" t="s">
        <v>40</v>
      </c>
      <c r="D3272">
        <v>5.8368840000000004</v>
      </c>
      <c r="E3272">
        <v>0.53180019999999995</v>
      </c>
      <c r="F3272" t="s">
        <v>52</v>
      </c>
      <c r="G3272">
        <v>-203.49940000000001</v>
      </c>
      <c r="H3272" s="1">
        <v>4.035508E-6</v>
      </c>
      <c r="I3272">
        <v>211.56569999999999</v>
      </c>
      <c r="J3272">
        <v>-229.21080000000001</v>
      </c>
      <c r="K3272">
        <v>1.1211930000000001</v>
      </c>
      <c r="L3272">
        <v>214.63839999999999</v>
      </c>
      <c r="M3272">
        <v>0.99983529999999998</v>
      </c>
      <c r="N3272">
        <v>-1.4240289999999999E-2</v>
      </c>
      <c r="O3272">
        <v>1.1259699999999999E-2</v>
      </c>
      <c r="P3272">
        <v>0.97744120000000001</v>
      </c>
      <c r="Q3272">
        <v>0.20513970000000001</v>
      </c>
      <c r="R3272">
        <v>-5.0266850000000002E-2</v>
      </c>
      <c r="S3272">
        <v>3.0787200000000001</v>
      </c>
      <c r="T3272">
        <v>-0.13221159999999901</v>
      </c>
      <c r="U3272">
        <v>-0.36178589999999999</v>
      </c>
      <c r="V3272">
        <v>6.1223029999999998E-2</v>
      </c>
      <c r="W3272">
        <v>0.21904209999999999</v>
      </c>
      <c r="X3272">
        <v>0.97379269999999996</v>
      </c>
      <c r="Y3272">
        <v>0.12772549999999999</v>
      </c>
      <c r="Z3272">
        <v>-3.9669930000000003E-3</v>
      </c>
      <c r="AA3272">
        <v>0.99180159999999995</v>
      </c>
      <c r="AB3272">
        <v>40</v>
      </c>
      <c r="AC3272">
        <v>25.711400000000001</v>
      </c>
      <c r="AD3272">
        <v>-1.1211889644919999</v>
      </c>
      <c r="AE3272">
        <v>-3.07269999999999</v>
      </c>
      <c r="AF3272">
        <v>3.3557459110541199</v>
      </c>
      <c r="AG3272">
        <v>-1.1211889644919999</v>
      </c>
      <c r="AH3272">
        <v>25.627123672455699</v>
      </c>
      <c r="AI3272">
        <v>92.483920008731801</v>
      </c>
      <c r="AJ3272">
        <v>82.539844802238505</v>
      </c>
      <c r="AK3272">
        <v>25.8702060880271</v>
      </c>
      <c r="AL3272">
        <v>77.347222349285204</v>
      </c>
      <c r="AM3272">
        <v>86.402509136944801</v>
      </c>
      <c r="AN3272">
        <v>0.99999996177403905</v>
      </c>
    </row>
    <row r="3273" spans="1:40" x14ac:dyDescent="0.25">
      <c r="A3273" t="str">
        <f>"20190303170602992"</f>
        <v>20190303170602992</v>
      </c>
      <c r="B3273" t="str">
        <f>"1551603962978104"</f>
        <v>1551603962978104</v>
      </c>
      <c r="C3273" t="s">
        <v>40</v>
      </c>
      <c r="D3273">
        <v>5.8543450000000004</v>
      </c>
      <c r="E3273">
        <v>0.53229380000000004</v>
      </c>
      <c r="F3273" t="s">
        <v>52</v>
      </c>
      <c r="G3273">
        <v>-203.26589999999999</v>
      </c>
      <c r="H3273" s="1">
        <v>3.9351769999999996E-6</v>
      </c>
      <c r="I3273">
        <v>211.52879999999999</v>
      </c>
      <c r="J3273">
        <v>-228.8098</v>
      </c>
      <c r="K3273">
        <v>1.121157</v>
      </c>
      <c r="L3273">
        <v>214.6429</v>
      </c>
      <c r="M3273">
        <v>0.99983520000000004</v>
      </c>
      <c r="N3273">
        <v>-1.423776E-2</v>
      </c>
      <c r="O3273">
        <v>1.127505E-2</v>
      </c>
      <c r="P3273">
        <v>0.97722240000000005</v>
      </c>
      <c r="Q3273">
        <v>0.20592559999999999</v>
      </c>
      <c r="R3273">
        <v>-5.129707E-2</v>
      </c>
      <c r="S3273">
        <v>3.078217</v>
      </c>
      <c r="T3273">
        <v>-0.13302229999999901</v>
      </c>
      <c r="U3273">
        <v>-0.368927</v>
      </c>
      <c r="V3273">
        <v>6.2283730000000002E-2</v>
      </c>
      <c r="W3273">
        <v>0.21981719999999999</v>
      </c>
      <c r="X3273">
        <v>0.97355080000000005</v>
      </c>
      <c r="Y3273">
        <v>0.13002349999999999</v>
      </c>
      <c r="Z3273">
        <v>-4.0531129999999997E-3</v>
      </c>
      <c r="AA3273">
        <v>0.99150260000000001</v>
      </c>
      <c r="AB3273">
        <v>40</v>
      </c>
      <c r="AC3273">
        <v>25.543900000000001</v>
      </c>
      <c r="AD3273">
        <v>-1.1211530648229999</v>
      </c>
      <c r="AE3273">
        <v>-3.1141000000000001</v>
      </c>
      <c r="AF3273">
        <v>3.3954944977622001</v>
      </c>
      <c r="AG3273">
        <v>-1.1211530648229999</v>
      </c>
      <c r="AH3273">
        <v>25.458834120933801</v>
      </c>
      <c r="AI3273">
        <v>92.4994516286052</v>
      </c>
      <c r="AJ3273">
        <v>82.403182394377893</v>
      </c>
      <c r="AK3273">
        <v>25.708726181519001</v>
      </c>
      <c r="AL3273">
        <v>77.301703657222205</v>
      </c>
      <c r="AM3273">
        <v>86.339443058276899</v>
      </c>
      <c r="AN3273">
        <v>1.00000001230959</v>
      </c>
    </row>
    <row r="3274" spans="1:40" x14ac:dyDescent="0.25">
      <c r="A3274" t="str">
        <f>"20190303170603015"</f>
        <v>20190303170603015</v>
      </c>
      <c r="B3274" t="str">
        <f>"1551603963008361"</f>
        <v>1551603963008361</v>
      </c>
      <c r="C3274" t="s">
        <v>40</v>
      </c>
      <c r="D3274">
        <v>5.8550719999999998</v>
      </c>
      <c r="E3274">
        <v>0.53298440000000002</v>
      </c>
      <c r="F3274" t="s">
        <v>52</v>
      </c>
      <c r="G3274">
        <v>-202.50239999999999</v>
      </c>
      <c r="H3274" s="1">
        <v>3.605337E-6</v>
      </c>
      <c r="I3274">
        <v>211.4289</v>
      </c>
      <c r="J3274">
        <v>-228.398</v>
      </c>
      <c r="K3274">
        <v>1.1211059999999999</v>
      </c>
      <c r="L3274">
        <v>214.64750000000001</v>
      </c>
      <c r="M3274">
        <v>0.99983569999999999</v>
      </c>
      <c r="N3274">
        <v>-1.4235289999999999E-2</v>
      </c>
      <c r="O3274">
        <v>1.121455E-2</v>
      </c>
      <c r="P3274">
        <v>0.97702829999999996</v>
      </c>
      <c r="Q3274">
        <v>0.2065302</v>
      </c>
      <c r="R3274">
        <v>-5.2544720000000003E-2</v>
      </c>
      <c r="S3274">
        <v>3.07782</v>
      </c>
      <c r="T3274">
        <v>-0.1311687</v>
      </c>
      <c r="U3274">
        <v>-0.37602229999999998</v>
      </c>
      <c r="V3274">
        <v>6.3496910000000004E-2</v>
      </c>
      <c r="W3274">
        <v>0.2204093</v>
      </c>
      <c r="X3274">
        <v>0.9733385</v>
      </c>
      <c r="Y3274">
        <v>0.1322325</v>
      </c>
      <c r="Z3274">
        <v>-4.0683259999999997E-3</v>
      </c>
      <c r="AA3274">
        <v>0.99121040000000005</v>
      </c>
      <c r="AB3274">
        <v>40</v>
      </c>
      <c r="AC3274">
        <v>25.895600000000002</v>
      </c>
      <c r="AD3274">
        <v>-1.1211023946630001</v>
      </c>
      <c r="AE3274">
        <v>-3.2185999999999999</v>
      </c>
      <c r="AF3274">
        <v>3.5023698942498398</v>
      </c>
      <c r="AG3274">
        <v>-1.1211023946630001</v>
      </c>
      <c r="AH3274">
        <v>25.810232310645301</v>
      </c>
      <c r="AI3274">
        <v>92.464596989704106</v>
      </c>
      <c r="AJ3274">
        <v>82.272338107986698</v>
      </c>
      <c r="AK3274">
        <v>26.070894832838899</v>
      </c>
      <c r="AL3274">
        <v>77.266925411817695</v>
      </c>
      <c r="AM3274">
        <v>86.267529617542493</v>
      </c>
      <c r="AN3274">
        <v>0.99999997634414295</v>
      </c>
    </row>
    <row r="3275" spans="1:40" x14ac:dyDescent="0.25">
      <c r="A3275" t="str">
        <f>"20190303170603037"</f>
        <v>20190303170603037</v>
      </c>
      <c r="B3275" t="str">
        <f>"1551603963027881"</f>
        <v>1551603963027881</v>
      </c>
      <c r="C3275" t="s">
        <v>40</v>
      </c>
      <c r="D3275">
        <v>5.8509960000000003</v>
      </c>
      <c r="E3275">
        <v>0.53344829999999999</v>
      </c>
      <c r="F3275" t="s">
        <v>52</v>
      </c>
      <c r="G3275">
        <v>-201.9503</v>
      </c>
      <c r="H3275" s="1">
        <v>3.3679599999999999E-6</v>
      </c>
      <c r="I3275">
        <v>211.34379999999999</v>
      </c>
      <c r="J3275">
        <v>-227.99600000000001</v>
      </c>
      <c r="K3275">
        <v>1.121046</v>
      </c>
      <c r="L3275">
        <v>214.65190000000001</v>
      </c>
      <c r="M3275">
        <v>0.99983759999999999</v>
      </c>
      <c r="N3275">
        <v>-1.423309E-2</v>
      </c>
      <c r="O3275">
        <v>1.105622E-2</v>
      </c>
      <c r="P3275">
        <v>0.97691950000000005</v>
      </c>
      <c r="Q3275">
        <v>0.2067505</v>
      </c>
      <c r="R3275">
        <v>-5.3690189999999999E-2</v>
      </c>
      <c r="S3275">
        <v>3.0774539999999999</v>
      </c>
      <c r="T3275">
        <v>-0.1304517</v>
      </c>
      <c r="U3275">
        <v>-0.3844147</v>
      </c>
      <c r="V3275">
        <v>6.4524429999999994E-2</v>
      </c>
      <c r="W3275">
        <v>0.22061439999999999</v>
      </c>
      <c r="X3275">
        <v>0.97322450000000005</v>
      </c>
      <c r="Y3275">
        <v>0.13475039999999999</v>
      </c>
      <c r="Z3275">
        <v>-4.1169969999999998E-3</v>
      </c>
      <c r="AA3275">
        <v>0.99087099999999995</v>
      </c>
      <c r="AB3275">
        <v>40</v>
      </c>
      <c r="AC3275">
        <v>26.045699999999901</v>
      </c>
      <c r="AD3275">
        <v>-1.12104263204</v>
      </c>
      <c r="AE3275">
        <v>-3.30810000000002</v>
      </c>
      <c r="AF3275">
        <v>3.58934999793229</v>
      </c>
      <c r="AG3275">
        <v>-1.12104263204</v>
      </c>
      <c r="AH3275">
        <v>25.960199623827599</v>
      </c>
      <c r="AI3275">
        <v>92.449402000613105</v>
      </c>
      <c r="AJ3275">
        <v>82.127990111676993</v>
      </c>
      <c r="AK3275">
        <v>26.231129112172901</v>
      </c>
      <c r="AL3275">
        <v>77.254878063668997</v>
      </c>
      <c r="AM3275">
        <v>86.206861938566007</v>
      </c>
      <c r="AN3275">
        <v>1.00000002147721</v>
      </c>
    </row>
    <row r="3276" spans="1:40" x14ac:dyDescent="0.25">
      <c r="A3276" t="str">
        <f>"20190303170603060"</f>
        <v>20190303170603060</v>
      </c>
      <c r="B3276" t="str">
        <f>"1551603963048376"</f>
        <v>1551603963048376</v>
      </c>
      <c r="C3276" t="s">
        <v>40</v>
      </c>
      <c r="D3276">
        <v>5.8578099999999997</v>
      </c>
      <c r="E3276">
        <v>0.533883199999999</v>
      </c>
      <c r="F3276" t="s">
        <v>52</v>
      </c>
      <c r="G3276">
        <v>-201.52189999999999</v>
      </c>
      <c r="H3276" s="1">
        <v>3.183275E-6</v>
      </c>
      <c r="I3276">
        <v>211.2833</v>
      </c>
      <c r="J3276">
        <v>-227.58959999999999</v>
      </c>
      <c r="K3276">
        <v>1.1209559999999901</v>
      </c>
      <c r="L3276">
        <v>214.65620000000001</v>
      </c>
      <c r="M3276">
        <v>0.99984070000000003</v>
      </c>
      <c r="N3276">
        <v>-1.4231000000000001E-2</v>
      </c>
      <c r="O3276">
        <v>1.078166E-2</v>
      </c>
      <c r="P3276">
        <v>0.97703810000000002</v>
      </c>
      <c r="Q3276">
        <v>0.20581720000000001</v>
      </c>
      <c r="R3276">
        <v>-5.5100690000000001E-2</v>
      </c>
      <c r="S3276">
        <v>3.0769350000000002</v>
      </c>
      <c r="T3276">
        <v>-0.13029269999999901</v>
      </c>
      <c r="U3276">
        <v>-0.39151000000000002</v>
      </c>
      <c r="V3276">
        <v>6.5718090000000007E-2</v>
      </c>
      <c r="W3276">
        <v>0.21966559999999999</v>
      </c>
      <c r="X3276">
        <v>0.97335919999999998</v>
      </c>
      <c r="Y3276">
        <v>0.136745799999999</v>
      </c>
      <c r="Z3276">
        <v>-4.161723E-3</v>
      </c>
      <c r="AA3276">
        <v>0.99059739999999996</v>
      </c>
      <c r="AB3276">
        <v>40</v>
      </c>
      <c r="AC3276">
        <v>26.067699999999999</v>
      </c>
      <c r="AD3276">
        <v>-1.12095281672499</v>
      </c>
      <c r="AE3276">
        <v>-3.3729000000000098</v>
      </c>
      <c r="AF3276">
        <v>3.6471523921984099</v>
      </c>
      <c r="AG3276">
        <v>-1.12095281672499</v>
      </c>
      <c r="AH3276">
        <v>25.982561187244201</v>
      </c>
      <c r="AI3276">
        <v>92.446397443540206</v>
      </c>
      <c r="AJ3276">
        <v>82.009641395124603</v>
      </c>
      <c r="AK3276">
        <v>26.261221251840698</v>
      </c>
      <c r="AL3276">
        <v>77.310607001724193</v>
      </c>
      <c r="AM3276">
        <v>86.137434882363195</v>
      </c>
      <c r="AN3276">
        <v>0.99999998770062304</v>
      </c>
    </row>
    <row r="3277" spans="1:40" x14ac:dyDescent="0.25">
      <c r="A3277" t="str">
        <f>"20190303170603081"</f>
        <v>20190303170603081</v>
      </c>
      <c r="B3277" t="str">
        <f>"1551603963067896"</f>
        <v>1551603963067896</v>
      </c>
      <c r="C3277" t="s">
        <v>40</v>
      </c>
      <c r="D3277">
        <v>5.8706420000000001</v>
      </c>
      <c r="E3277">
        <v>0.53431110000000004</v>
      </c>
      <c r="F3277" t="s">
        <v>52</v>
      </c>
      <c r="G3277">
        <v>-201.72479999999999</v>
      </c>
      <c r="H3277" s="1">
        <v>3.2729160000000001E-6</v>
      </c>
      <c r="I3277">
        <v>211.2869</v>
      </c>
      <c r="J3277">
        <v>-227.21950000000001</v>
      </c>
      <c r="K3277">
        <v>1.120849</v>
      </c>
      <c r="L3277">
        <v>214.65989999999999</v>
      </c>
      <c r="M3277">
        <v>0.99984459999999997</v>
      </c>
      <c r="N3277">
        <v>-1.422928E-2</v>
      </c>
      <c r="O3277">
        <v>1.041513E-2</v>
      </c>
      <c r="P3277">
        <v>0.97699060000000004</v>
      </c>
      <c r="Q3277">
        <v>0.20539099999999999</v>
      </c>
      <c r="R3277">
        <v>-5.7483260000000001E-2</v>
      </c>
      <c r="S3277">
        <v>3.0759889999999999</v>
      </c>
      <c r="T3277">
        <v>-0.13330980000000001</v>
      </c>
      <c r="U3277">
        <v>-0.40069579999999999</v>
      </c>
      <c r="V3277">
        <v>6.7796499999999996E-2</v>
      </c>
      <c r="W3277">
        <v>0.2192199</v>
      </c>
      <c r="X3277">
        <v>0.97331710000000005</v>
      </c>
      <c r="Y3277">
        <v>0.13932039999999901</v>
      </c>
      <c r="Z3277">
        <v>-4.3027730000000002E-3</v>
      </c>
      <c r="AA3277">
        <v>0.99023799999999995</v>
      </c>
      <c r="AB3277">
        <v>40</v>
      </c>
      <c r="AC3277">
        <v>25.494700000000002</v>
      </c>
      <c r="AD3277">
        <v>-1.120845727084</v>
      </c>
      <c r="AE3277">
        <v>-3.37299999999999</v>
      </c>
      <c r="AF3277">
        <v>3.6314762409221699</v>
      </c>
      <c r="AG3277">
        <v>-1.120845727084</v>
      </c>
      <c r="AH3277">
        <v>25.409915157163301</v>
      </c>
      <c r="AI3277">
        <v>92.5003391703098</v>
      </c>
      <c r="AJ3277">
        <v>81.866608748573597</v>
      </c>
      <c r="AK3277">
        <v>25.6925612410779</v>
      </c>
      <c r="AL3277">
        <v>77.336781290832107</v>
      </c>
      <c r="AM3277">
        <v>86.015492483083705</v>
      </c>
      <c r="AN3277">
        <v>0.999999953560333</v>
      </c>
    </row>
    <row r="3278" spans="1:40" x14ac:dyDescent="0.25">
      <c r="A3278" t="str">
        <f>"20190303170603104"</f>
        <v>20190303170603104</v>
      </c>
      <c r="B3278" t="str">
        <f>"1551603963098153"</f>
        <v>1551603963098153</v>
      </c>
      <c r="C3278" t="s">
        <v>40</v>
      </c>
      <c r="D3278">
        <v>5.8693669999999996</v>
      </c>
      <c r="E3278">
        <v>0.53494849999999905</v>
      </c>
      <c r="F3278" t="s">
        <v>52</v>
      </c>
      <c r="G3278">
        <v>-201.76669999999999</v>
      </c>
      <c r="H3278" s="1">
        <v>3.2938460000000001E-6</v>
      </c>
      <c r="I3278">
        <v>211.26</v>
      </c>
      <c r="J3278">
        <v>-226.80619999999999</v>
      </c>
      <c r="K3278">
        <v>1.120717</v>
      </c>
      <c r="L3278">
        <v>214.66370000000001</v>
      </c>
      <c r="M3278">
        <v>0.99985020000000002</v>
      </c>
      <c r="N3278">
        <v>-1.422764E-2</v>
      </c>
      <c r="O3278">
        <v>9.8660169999999995E-3</v>
      </c>
      <c r="P3278">
        <v>0.97689559999999998</v>
      </c>
      <c r="Q3278">
        <v>0.20525019999999999</v>
      </c>
      <c r="R3278">
        <v>-5.9560420000000003E-2</v>
      </c>
      <c r="S3278">
        <v>3.0749659999999999</v>
      </c>
      <c r="T3278">
        <v>-0.1354098</v>
      </c>
      <c r="U3278">
        <v>-0.41073609999999999</v>
      </c>
      <c r="V3278">
        <v>6.9404859999999999E-2</v>
      </c>
      <c r="W3278">
        <v>0.21905330000000001</v>
      </c>
      <c r="X3278">
        <v>0.97324129999999998</v>
      </c>
      <c r="Y3278">
        <v>0.141988</v>
      </c>
      <c r="Z3278">
        <v>-4.418941E-3</v>
      </c>
      <c r="AA3278">
        <v>0.98985849999999997</v>
      </c>
      <c r="AB3278">
        <v>40</v>
      </c>
      <c r="AC3278">
        <v>25.0395</v>
      </c>
      <c r="AD3278">
        <v>-1.120713706154</v>
      </c>
      <c r="AE3278">
        <v>-3.4037000000000099</v>
      </c>
      <c r="AF3278">
        <v>3.6434330865699902</v>
      </c>
      <c r="AG3278">
        <v>-1.120713706154</v>
      </c>
      <c r="AH3278">
        <v>24.955611048790399</v>
      </c>
      <c r="AI3278">
        <v>92.544389744024798</v>
      </c>
      <c r="AJ3278">
        <v>81.693698427007803</v>
      </c>
      <c r="AK3278">
        <v>25.245061431614399</v>
      </c>
      <c r="AL3278">
        <v>77.346565225631196</v>
      </c>
      <c r="AM3278">
        <v>85.920965373045306</v>
      </c>
      <c r="AN3278">
        <v>1.0000000054290901</v>
      </c>
    </row>
    <row r="3279" spans="1:40" x14ac:dyDescent="0.25">
      <c r="A3279" t="str">
        <f>"20190303170603126"</f>
        <v>20190303170603126</v>
      </c>
      <c r="B3279" t="str">
        <f>"1551603963117672"</f>
        <v>1551603963117672</v>
      </c>
      <c r="C3279" t="s">
        <v>40</v>
      </c>
      <c r="D3279">
        <v>5.8783570000000003</v>
      </c>
      <c r="E3279">
        <v>0.53534859999999995</v>
      </c>
      <c r="F3279" t="s">
        <v>52</v>
      </c>
      <c r="G3279">
        <v>-201.6207</v>
      </c>
      <c r="H3279" s="1">
        <v>3.2335719999999999E-6</v>
      </c>
      <c r="I3279">
        <v>211.20920000000001</v>
      </c>
      <c r="J3279">
        <v>-226.4187</v>
      </c>
      <c r="K3279">
        <v>1.1205889999999901</v>
      </c>
      <c r="L3279">
        <v>214.6669</v>
      </c>
      <c r="M3279">
        <v>0.99985670000000004</v>
      </c>
      <c r="N3279">
        <v>-1.422637E-2</v>
      </c>
      <c r="O3279">
        <v>9.2011620000000006E-3</v>
      </c>
      <c r="P3279">
        <v>0.97665780000000002</v>
      </c>
      <c r="Q3279">
        <v>0.20604819999999999</v>
      </c>
      <c r="R3279">
        <v>-6.0696359999999998E-2</v>
      </c>
      <c r="S3279">
        <v>3.0740050000000001</v>
      </c>
      <c r="T3279">
        <v>-0.13678850000000001</v>
      </c>
      <c r="U3279">
        <v>-0.42163089999999998</v>
      </c>
      <c r="V3279">
        <v>6.9958820000000005E-2</v>
      </c>
      <c r="W3279">
        <v>0.2198251</v>
      </c>
      <c r="X3279">
        <v>0.97302759999999999</v>
      </c>
      <c r="Y3279">
        <v>0.144808299999999</v>
      </c>
      <c r="Z3279">
        <v>-4.5180159999999997E-3</v>
      </c>
      <c r="AA3279">
        <v>0.98944940000000003</v>
      </c>
      <c r="AB3279">
        <v>40</v>
      </c>
      <c r="AC3279">
        <v>24.797999999999998</v>
      </c>
      <c r="AD3279">
        <v>-1.1205857664279999</v>
      </c>
      <c r="AE3279">
        <v>-3.45769999999998</v>
      </c>
      <c r="AF3279">
        <v>3.67837903436752</v>
      </c>
      <c r="AG3279">
        <v>-1.1205857664279999</v>
      </c>
      <c r="AH3279">
        <v>24.7156250529152</v>
      </c>
      <c r="AI3279">
        <v>92.567721870788404</v>
      </c>
      <c r="AJ3279">
        <v>81.5349141543592</v>
      </c>
      <c r="AK3279">
        <v>25.012962770065499</v>
      </c>
      <c r="AL3279">
        <v>77.301239651094704</v>
      </c>
      <c r="AM3279">
        <v>85.887619586934406</v>
      </c>
      <c r="AN3279">
        <v>1.0000000107237801</v>
      </c>
    </row>
    <row r="3280" spans="1:40" x14ac:dyDescent="0.25">
      <c r="A3280" t="str">
        <f>"20190303170603147"</f>
        <v>20190303170603147</v>
      </c>
      <c r="B3280" t="str">
        <f>"1551603963138169"</f>
        <v>1551603963138169</v>
      </c>
      <c r="C3280" t="s">
        <v>40</v>
      </c>
      <c r="D3280">
        <v>5.8926379999999998</v>
      </c>
      <c r="E3280">
        <v>0.53575879999999998</v>
      </c>
      <c r="F3280" t="s">
        <v>52</v>
      </c>
      <c r="G3280">
        <v>-200.87989999999999</v>
      </c>
      <c r="H3280" s="1">
        <v>2.9135740000000001E-6</v>
      </c>
      <c r="I3280">
        <v>211.11189999999999</v>
      </c>
      <c r="J3280">
        <v>-226.03460000000001</v>
      </c>
      <c r="K3280">
        <v>1.1204639999999999</v>
      </c>
      <c r="L3280">
        <v>214.66970000000001</v>
      </c>
      <c r="M3280">
        <v>0.99986339999999996</v>
      </c>
      <c r="N3280">
        <v>-1.422527E-2</v>
      </c>
      <c r="O3280">
        <v>8.4202600000000006E-3</v>
      </c>
      <c r="P3280">
        <v>0.97660089999999999</v>
      </c>
      <c r="Q3280">
        <v>0.2058642</v>
      </c>
      <c r="R3280">
        <v>-6.221517E-2</v>
      </c>
      <c r="S3280">
        <v>3.0735779999999999</v>
      </c>
      <c r="T3280">
        <v>-0.13486189999999901</v>
      </c>
      <c r="U3280">
        <v>-0.42784119999999998</v>
      </c>
      <c r="V3280">
        <v>7.0780079999999995E-2</v>
      </c>
      <c r="W3280">
        <v>0.2196176</v>
      </c>
      <c r="X3280">
        <v>0.97301510000000002</v>
      </c>
      <c r="Y3280">
        <v>0.14601929999999999</v>
      </c>
      <c r="Z3280">
        <v>-4.4793020000000001E-3</v>
      </c>
      <c r="AA3280">
        <v>0.98927160000000003</v>
      </c>
      <c r="AB3280">
        <v>40</v>
      </c>
      <c r="AC3280">
        <v>25.154699999999998</v>
      </c>
      <c r="AD3280">
        <v>-1.1204610864259901</v>
      </c>
      <c r="AE3280">
        <v>-3.5578000000000101</v>
      </c>
      <c r="AF3280">
        <v>3.76218636752002</v>
      </c>
      <c r="AG3280">
        <v>-1.1204610864259901</v>
      </c>
      <c r="AH3280">
        <v>25.075072634763401</v>
      </c>
      <c r="AI3280">
        <v>92.530234387232994</v>
      </c>
      <c r="AJ3280">
        <v>81.467166258351497</v>
      </c>
      <c r="AK3280">
        <v>25.3804796437894</v>
      </c>
      <c r="AL3280">
        <v>77.313426808163797</v>
      </c>
      <c r="AM3280">
        <v>85.839458847904993</v>
      </c>
      <c r="AN3280">
        <v>1.00000004739128</v>
      </c>
    </row>
    <row r="3281" spans="1:40" x14ac:dyDescent="0.25">
      <c r="A3281" t="str">
        <f>"20190303170603170"</f>
        <v>20190303170603170</v>
      </c>
      <c r="B3281" t="str">
        <f>"1551603963157688"</f>
        <v>1551603963157688</v>
      </c>
      <c r="C3281" t="s">
        <v>40</v>
      </c>
      <c r="D3281">
        <v>5.8939009999999996</v>
      </c>
      <c r="E3281">
        <v>0.53617409999999999</v>
      </c>
      <c r="F3281" t="s">
        <v>52</v>
      </c>
      <c r="G3281">
        <v>-200.6969</v>
      </c>
      <c r="H3281" s="1">
        <v>2.8358379999999998E-6</v>
      </c>
      <c r="I3281">
        <v>211.07249999999999</v>
      </c>
      <c r="J3281">
        <v>-225.6405</v>
      </c>
      <c r="K3281">
        <v>1.1203350000000001</v>
      </c>
      <c r="L3281">
        <v>214.6722</v>
      </c>
      <c r="M3281">
        <v>0.99987099999999995</v>
      </c>
      <c r="N3281">
        <v>-1.4224189999999999E-2</v>
      </c>
      <c r="O3281">
        <v>7.4770640000000003E-3</v>
      </c>
      <c r="P3281">
        <v>0.97650000000000003</v>
      </c>
      <c r="Q3281">
        <v>0.20556450000000001</v>
      </c>
      <c r="R3281">
        <v>-6.4740809999999996E-2</v>
      </c>
      <c r="S3281">
        <v>3.0727389999999999</v>
      </c>
      <c r="T3281">
        <v>-0.135879799999999</v>
      </c>
      <c r="U3281">
        <v>-0.4362335</v>
      </c>
      <c r="V3281">
        <v>7.2451260000000003E-2</v>
      </c>
      <c r="W3281">
        <v>0.2192915</v>
      </c>
      <c r="X3281">
        <v>0.97296559999999999</v>
      </c>
      <c r="Y3281">
        <v>0.14776789999999901</v>
      </c>
      <c r="Z3281">
        <v>-4.5293629999999998E-3</v>
      </c>
      <c r="AA3281">
        <v>0.98901170000000005</v>
      </c>
      <c r="AB3281">
        <v>40</v>
      </c>
      <c r="AC3281">
        <v>24.9436</v>
      </c>
      <c r="AD3281">
        <v>-1.1203321641619901</v>
      </c>
      <c r="AE3281">
        <v>-3.5997000000000101</v>
      </c>
      <c r="AF3281">
        <v>3.7786558439725701</v>
      </c>
      <c r="AG3281">
        <v>-1.1203321641619901</v>
      </c>
      <c r="AH3281">
        <v>24.866843674027599</v>
      </c>
      <c r="AI3281">
        <v>92.550379342932004</v>
      </c>
      <c r="AJ3281">
        <v>81.359684611800304</v>
      </c>
      <c r="AK3281">
        <v>25.1772377049939</v>
      </c>
      <c r="AL3281">
        <v>77.332577237533599</v>
      </c>
      <c r="AM3281">
        <v>85.741366175044902</v>
      </c>
      <c r="AN3281">
        <v>1.00000000291559</v>
      </c>
    </row>
    <row r="3282" spans="1:40" x14ac:dyDescent="0.25">
      <c r="A3282" t="str">
        <f>"20190303170603192"</f>
        <v>20190303170603192</v>
      </c>
      <c r="B3282" t="str">
        <f>"1551603963187944"</f>
        <v>1551603963187944</v>
      </c>
      <c r="C3282" t="s">
        <v>40</v>
      </c>
      <c r="D3282">
        <v>5.901262</v>
      </c>
      <c r="E3282">
        <v>0.53659239999999997</v>
      </c>
      <c r="F3282" t="s">
        <v>52</v>
      </c>
      <c r="G3282">
        <v>-200.5616</v>
      </c>
      <c r="H3282" s="1">
        <v>2.7806859999999999E-6</v>
      </c>
      <c r="I3282">
        <v>211.01740000000001</v>
      </c>
      <c r="J3282">
        <v>-225.2311</v>
      </c>
      <c r="K3282">
        <v>1.1201890000000001</v>
      </c>
      <c r="L3282">
        <v>214.67420000000001</v>
      </c>
      <c r="M3282">
        <v>0.99987879999999996</v>
      </c>
      <c r="N3282">
        <v>-1.422323E-2</v>
      </c>
      <c r="O3282">
        <v>6.3295629999999999E-3</v>
      </c>
      <c r="P3282">
        <v>0.97651469999999996</v>
      </c>
      <c r="Q3282">
        <v>0.2044465</v>
      </c>
      <c r="R3282">
        <v>-6.7975229999999998E-2</v>
      </c>
      <c r="S3282">
        <v>3.071396</v>
      </c>
      <c r="T3282">
        <v>-0.13720639999999901</v>
      </c>
      <c r="U3282">
        <v>-0.44760129999999998</v>
      </c>
      <c r="V3282">
        <v>7.4638759999999998E-2</v>
      </c>
      <c r="W3282">
        <v>0.21814410000000001</v>
      </c>
      <c r="X3282">
        <v>0.97305819999999998</v>
      </c>
      <c r="Y3282">
        <v>0.15027279999999901</v>
      </c>
      <c r="Z3282">
        <v>-4.6039339999999996E-3</v>
      </c>
      <c r="AA3282">
        <v>0.98863389999999995</v>
      </c>
      <c r="AB3282">
        <v>40</v>
      </c>
      <c r="AC3282">
        <v>24.669499999999999</v>
      </c>
      <c r="AD3282">
        <v>-1.120186219314</v>
      </c>
      <c r="AE3282">
        <v>-3.6568000000000001</v>
      </c>
      <c r="AF3282">
        <v>3.80521254614469</v>
      </c>
      <c r="AG3282">
        <v>-1.120186219314</v>
      </c>
      <c r="AH3282">
        <v>24.5962337393368</v>
      </c>
      <c r="AI3282">
        <v>92.577004707165102</v>
      </c>
      <c r="AJ3282">
        <v>81.205654688295198</v>
      </c>
      <c r="AK3282">
        <v>24.91403567966</v>
      </c>
      <c r="AL3282">
        <v>77.399949933892998</v>
      </c>
      <c r="AM3282">
        <v>85.613696877448405</v>
      </c>
      <c r="AN3282">
        <v>1.0000000267231901</v>
      </c>
    </row>
    <row r="3283" spans="1:40" x14ac:dyDescent="0.25">
      <c r="A3283" t="str">
        <f>"20190303170603215"</f>
        <v>20190303170603215</v>
      </c>
      <c r="B3283" t="str">
        <f>"1551603963208441"</f>
        <v>1551603963208441</v>
      </c>
      <c r="C3283" t="s">
        <v>40</v>
      </c>
      <c r="D3283">
        <v>5.8765989999999997</v>
      </c>
      <c r="E3283">
        <v>0.55691820000000003</v>
      </c>
      <c r="F3283" t="s">
        <v>52</v>
      </c>
      <c r="G3283">
        <v>-200.92509999999999</v>
      </c>
      <c r="H3283" s="1">
        <v>2.94056E-6</v>
      </c>
      <c r="I3283">
        <v>211.03219999999999</v>
      </c>
      <c r="J3283">
        <v>-224.8305</v>
      </c>
      <c r="K3283">
        <v>1.120028</v>
      </c>
      <c r="L3283">
        <v>214.6756</v>
      </c>
      <c r="M3283">
        <v>0.99988619999999995</v>
      </c>
      <c r="N3283">
        <v>-1.422286E-2</v>
      </c>
      <c r="O3283">
        <v>5.0298010000000004E-3</v>
      </c>
      <c r="P3283">
        <v>0.97662420000000005</v>
      </c>
      <c r="Q3283">
        <v>0.20285729999999999</v>
      </c>
      <c r="R3283">
        <v>-7.1092779999999994E-2</v>
      </c>
      <c r="S3283">
        <v>3.069763</v>
      </c>
      <c r="T3283">
        <v>-0.14147570000000001</v>
      </c>
      <c r="U3283">
        <v>-0.4599762</v>
      </c>
      <c r="V3283">
        <v>7.6565789999999995E-2</v>
      </c>
      <c r="W3283">
        <v>0.21652440000000001</v>
      </c>
      <c r="X3283">
        <v>0.97327019999999997</v>
      </c>
      <c r="Y3283">
        <v>0.15294820000000001</v>
      </c>
      <c r="Z3283">
        <v>-4.7568849999999998E-3</v>
      </c>
      <c r="AA3283">
        <v>0.98822279999999996</v>
      </c>
      <c r="AB3283">
        <v>40</v>
      </c>
      <c r="AC3283">
        <v>23.9054</v>
      </c>
      <c r="AD3283">
        <v>-1.1200250594399901</v>
      </c>
      <c r="AE3283">
        <v>-3.64340000000001</v>
      </c>
      <c r="AF3283">
        <v>3.75554864153764</v>
      </c>
      <c r="AG3283">
        <v>-1.1200250594399901</v>
      </c>
      <c r="AH3283">
        <v>23.835635200833899</v>
      </c>
      <c r="AI3283">
        <v>92.6575847812516</v>
      </c>
      <c r="AJ3283">
        <v>81.0460728634595</v>
      </c>
      <c r="AK3283">
        <v>24.1556640802931</v>
      </c>
      <c r="AL3283">
        <v>77.495024237180701</v>
      </c>
      <c r="AM3283">
        <v>85.501886031688002</v>
      </c>
      <c r="AN3283">
        <v>1.0000000091008601</v>
      </c>
    </row>
    <row r="3284" spans="1:40" x14ac:dyDescent="0.25">
      <c r="A3284" t="str">
        <f>"20190303170603238"</f>
        <v>20190303170603238</v>
      </c>
      <c r="B3284" t="str">
        <f>"1551603963227962"</f>
        <v>1551603963227962</v>
      </c>
      <c r="C3284" t="s">
        <v>40</v>
      </c>
      <c r="D3284">
        <v>5.8943479999999999</v>
      </c>
      <c r="E3284">
        <v>0.5578303</v>
      </c>
      <c r="F3284" t="s">
        <v>52</v>
      </c>
      <c r="G3284">
        <v>-207.4939</v>
      </c>
      <c r="H3284" s="1">
        <v>5.8458650000000003E-6</v>
      </c>
      <c r="I3284">
        <v>211.12039999999999</v>
      </c>
      <c r="J3284">
        <v>-224.42789999999999</v>
      </c>
      <c r="K3284">
        <v>1.119856</v>
      </c>
      <c r="L3284">
        <v>214.6763</v>
      </c>
      <c r="M3284">
        <v>0.99989269999999997</v>
      </c>
      <c r="N3284">
        <v>-1.422324E-2</v>
      </c>
      <c r="O3284">
        <v>3.5349579999999999E-3</v>
      </c>
      <c r="P3284">
        <v>0.97650820000000005</v>
      </c>
      <c r="Q3284">
        <v>0.20244670000000001</v>
      </c>
      <c r="R3284">
        <v>-7.3806659999999996E-2</v>
      </c>
      <c r="S3284">
        <v>3.0671840000000001</v>
      </c>
      <c r="T3284">
        <v>-0.1981541</v>
      </c>
      <c r="U3284">
        <v>-0.6289825</v>
      </c>
      <c r="V3284">
        <v>7.7910160000000006E-2</v>
      </c>
      <c r="W3284">
        <v>0.21607789999999999</v>
      </c>
      <c r="X3284">
        <v>0.97326270000000004</v>
      </c>
      <c r="Y3284">
        <v>0.20384469999999999</v>
      </c>
      <c r="Z3284">
        <v>-8.1528060000000003E-3</v>
      </c>
      <c r="AA3284">
        <v>0.97896930000000004</v>
      </c>
      <c r="AB3284">
        <v>40</v>
      </c>
      <c r="AC3284">
        <v>16.933999999999902</v>
      </c>
      <c r="AD3284">
        <v>-1.1198501541350001</v>
      </c>
      <c r="AE3284">
        <v>-3.5558999999999998</v>
      </c>
      <c r="AF3284">
        <v>3.6006633388143801</v>
      </c>
      <c r="AG3284">
        <v>-1.1198501541350001</v>
      </c>
      <c r="AH3284">
        <v>16.8507431909978</v>
      </c>
      <c r="AI3284">
        <v>93.718417158963007</v>
      </c>
      <c r="AJ3284">
        <v>77.938439552371307</v>
      </c>
      <c r="AK3284">
        <v>17.267495097325401</v>
      </c>
      <c r="AL3284">
        <v>77.521226584625396</v>
      </c>
      <c r="AM3284">
        <v>85.423204052314205</v>
      </c>
      <c r="AN3284">
        <v>0.99999996755546205</v>
      </c>
    </row>
    <row r="3285" spans="1:40" x14ac:dyDescent="0.25">
      <c r="A3285" t="str">
        <f>"20190303170603262"</f>
        <v>20190303170603262</v>
      </c>
      <c r="B3285" t="str">
        <f>"1551603963248458"</f>
        <v>1551603963248458</v>
      </c>
      <c r="C3285" t="s">
        <v>40</v>
      </c>
      <c r="D3285">
        <v>5.8988310000000004</v>
      </c>
      <c r="E3285">
        <v>0.55818279999999998</v>
      </c>
      <c r="F3285" t="s">
        <v>52</v>
      </c>
      <c r="G3285">
        <v>-207.53700000000001</v>
      </c>
      <c r="H3285" s="1">
        <v>5.86506899999999E-6</v>
      </c>
      <c r="I3285">
        <v>211.1189</v>
      </c>
      <c r="J3285">
        <v>-224.02189999999999</v>
      </c>
      <c r="K3285">
        <v>1.119659</v>
      </c>
      <c r="L3285">
        <v>214.6763</v>
      </c>
      <c r="M3285">
        <v>0.99989720000000004</v>
      </c>
      <c r="N3285">
        <v>-1.422434E-2</v>
      </c>
      <c r="O3285">
        <v>1.819591E-3</v>
      </c>
      <c r="P3285">
        <v>0.97588339999999996</v>
      </c>
      <c r="Q3285">
        <v>0.2039089</v>
      </c>
      <c r="R3285">
        <v>-7.7928739999999996E-2</v>
      </c>
      <c r="S3285">
        <v>3.0655209999999999</v>
      </c>
      <c r="T3285">
        <v>-0.203241</v>
      </c>
      <c r="U3285">
        <v>-0.64564509999999997</v>
      </c>
      <c r="V3285">
        <v>8.0463450000000006E-2</v>
      </c>
      <c r="W3285">
        <v>0.2174884</v>
      </c>
      <c r="X3285">
        <v>0.97274070000000001</v>
      </c>
      <c r="Y3285">
        <v>0.20733869999999999</v>
      </c>
      <c r="Z3285">
        <v>-8.3776100000000006E-3</v>
      </c>
      <c r="AA3285">
        <v>0.97823329999999997</v>
      </c>
      <c r="AB3285">
        <v>40</v>
      </c>
      <c r="AC3285">
        <v>16.4848999999999</v>
      </c>
      <c r="AD3285">
        <v>-1.1196531349309999</v>
      </c>
      <c r="AE3285">
        <v>-3.5573999999999999</v>
      </c>
      <c r="AF3285">
        <v>3.5716496281886898</v>
      </c>
      <c r="AG3285">
        <v>-1.1196531349309999</v>
      </c>
      <c r="AH3285">
        <v>16.406083501821101</v>
      </c>
      <c r="AI3285">
        <v>93.815079307581698</v>
      </c>
      <c r="AJ3285">
        <v>77.718187667060803</v>
      </c>
      <c r="AK3285">
        <v>16.8276522449755</v>
      </c>
      <c r="AL3285">
        <v>77.438442919171294</v>
      </c>
      <c r="AM3285">
        <v>85.271356286357104</v>
      </c>
      <c r="AN3285">
        <v>1.00000002017847</v>
      </c>
    </row>
    <row r="3286" spans="1:40" x14ac:dyDescent="0.25">
      <c r="A3286" t="str">
        <f>"20190303170603285"</f>
        <v>20190303170603285</v>
      </c>
      <c r="B3286" t="str">
        <f>"1551603963277737"</f>
        <v>1551603963277737</v>
      </c>
      <c r="C3286" t="s">
        <v>40</v>
      </c>
      <c r="D3286">
        <v>5.898676</v>
      </c>
      <c r="E3286">
        <v>0.55783660000000002</v>
      </c>
      <c r="F3286" t="s">
        <v>52</v>
      </c>
      <c r="G3286">
        <v>-207.04390000000001</v>
      </c>
      <c r="H3286" s="1">
        <v>5.6562280000000001E-6</v>
      </c>
      <c r="I3286">
        <v>211.0069</v>
      </c>
      <c r="J3286">
        <v>-223.6122</v>
      </c>
      <c r="K3286">
        <v>1.1194550000000001</v>
      </c>
      <c r="L3286">
        <v>214.67529999999999</v>
      </c>
      <c r="M3286">
        <v>0.99989879999999998</v>
      </c>
      <c r="N3286">
        <v>-1.422638E-2</v>
      </c>
      <c r="O3286">
        <v>-1.58123E-4</v>
      </c>
      <c r="P3286">
        <v>0.97528000000000004</v>
      </c>
      <c r="Q3286">
        <v>0.20454449999999999</v>
      </c>
      <c r="R3286">
        <v>-8.3612519999999996E-2</v>
      </c>
      <c r="S3286">
        <v>3.0634769999999998</v>
      </c>
      <c r="T3286">
        <v>-0.2020284</v>
      </c>
      <c r="U3286">
        <v>-0.66209410000000002</v>
      </c>
      <c r="V3286">
        <v>8.4333270000000002E-2</v>
      </c>
      <c r="W3286">
        <v>0.21806220000000001</v>
      </c>
      <c r="X3286">
        <v>0.97228429999999999</v>
      </c>
      <c r="Y3286">
        <v>0.21055840000000001</v>
      </c>
      <c r="Z3286">
        <v>-8.3652009999999992E-3</v>
      </c>
      <c r="AA3286">
        <v>0.97754549999999996</v>
      </c>
      <c r="AB3286">
        <v>40</v>
      </c>
      <c r="AC3286">
        <v>16.568299999999901</v>
      </c>
      <c r="AD3286">
        <v>-1.1194493437719999</v>
      </c>
      <c r="AE3286">
        <v>-3.6683999999999899</v>
      </c>
      <c r="AF3286">
        <v>3.6498962715593999</v>
      </c>
      <c r="AG3286">
        <v>-1.1194493437719999</v>
      </c>
      <c r="AH3286">
        <v>16.497088019907999</v>
      </c>
      <c r="AI3286">
        <v>93.790602658866504</v>
      </c>
      <c r="AJ3286">
        <v>77.524565685413506</v>
      </c>
      <c r="AK3286">
        <v>16.933068911541302</v>
      </c>
      <c r="AL3286">
        <v>77.404757766397395</v>
      </c>
      <c r="AM3286">
        <v>85.042728358313795</v>
      </c>
      <c r="AN3286">
        <v>0.99999999176211096</v>
      </c>
    </row>
    <row r="3287" spans="1:40" x14ac:dyDescent="0.25">
      <c r="A3287" t="str">
        <f>"20190303170603305"</f>
        <v>20190303170603305</v>
      </c>
      <c r="B3287" t="str">
        <f>"1551603963298233"</f>
        <v>1551603963298233</v>
      </c>
      <c r="C3287" t="s">
        <v>40</v>
      </c>
      <c r="D3287">
        <v>5.8603750000000003</v>
      </c>
      <c r="E3287">
        <v>0.55766490000000002</v>
      </c>
      <c r="F3287" t="s">
        <v>52</v>
      </c>
      <c r="G3287">
        <v>-205.6507</v>
      </c>
      <c r="H3287" s="1">
        <v>5.0645070000000004E-6</v>
      </c>
      <c r="I3287">
        <v>210.70830000000001</v>
      </c>
      <c r="J3287">
        <v>-223.2516</v>
      </c>
      <c r="K3287">
        <v>1.1192489999999999</v>
      </c>
      <c r="L3287">
        <v>214.67349999999999</v>
      </c>
      <c r="M3287">
        <v>0.99989660000000002</v>
      </c>
      <c r="N3287">
        <v>-1.422905E-2</v>
      </c>
      <c r="O3287">
        <v>-2.1129500000000002E-3</v>
      </c>
      <c r="P3287">
        <v>0.97515700000000005</v>
      </c>
      <c r="Q3287">
        <v>0.20278489999999999</v>
      </c>
      <c r="R3287">
        <v>-8.9147019999999993E-2</v>
      </c>
      <c r="S3287">
        <v>3.0581049999999999</v>
      </c>
      <c r="T3287">
        <v>-0.1905966</v>
      </c>
      <c r="U3287">
        <v>-0.67541499999999999</v>
      </c>
      <c r="V3287">
        <v>8.8059760000000001E-2</v>
      </c>
      <c r="W3287">
        <v>0.21624879999999999</v>
      </c>
      <c r="X3287">
        <v>0.97235890000000003</v>
      </c>
      <c r="Y3287">
        <v>0.21311369999999999</v>
      </c>
      <c r="Z3287">
        <v>-7.9917200000000008E-3</v>
      </c>
      <c r="AA3287">
        <v>0.97699469999999999</v>
      </c>
      <c r="AB3287">
        <v>39</v>
      </c>
      <c r="AC3287">
        <v>17.6008999999999</v>
      </c>
      <c r="AD3287">
        <v>-1.1192439354929999</v>
      </c>
      <c r="AE3287">
        <v>-3.9651999999999799</v>
      </c>
      <c r="AF3287">
        <v>3.91293904357636</v>
      </c>
      <c r="AG3287">
        <v>-1.1192439354929999</v>
      </c>
      <c r="AH3287">
        <v>17.5417323768113</v>
      </c>
      <c r="AI3287">
        <v>93.563443512503795</v>
      </c>
      <c r="AJ3287">
        <v>77.425208561739694</v>
      </c>
      <c r="AK3287">
        <v>18.007669858300702</v>
      </c>
      <c r="AL3287">
        <v>77.511197369970404</v>
      </c>
      <c r="AM3287">
        <v>84.825237492555004</v>
      </c>
      <c r="AN3287">
        <v>0.99999994762095201</v>
      </c>
    </row>
    <row r="3288" spans="1:40" x14ac:dyDescent="0.25">
      <c r="A3288" t="str">
        <f>"20190303170603327"</f>
        <v>20190303170603327</v>
      </c>
      <c r="B3288" t="str">
        <f>"1551603963317753"</f>
        <v>1551603963317753</v>
      </c>
      <c r="C3288" t="s">
        <v>40</v>
      </c>
      <c r="D3288">
        <v>5.8716520000000001</v>
      </c>
      <c r="E3288">
        <v>0.55753619999999904</v>
      </c>
      <c r="F3288" t="s">
        <v>52</v>
      </c>
      <c r="G3288">
        <v>-205.53299999999999</v>
      </c>
      <c r="H3288" s="1">
        <v>5.0159770000000003E-6</v>
      </c>
      <c r="I3288">
        <v>210.6661</v>
      </c>
      <c r="J3288">
        <v>-222.85890000000001</v>
      </c>
      <c r="K3288">
        <v>1.1190260000000001</v>
      </c>
      <c r="L3288">
        <v>214.67060000000001</v>
      </c>
      <c r="M3288">
        <v>0.99988900000000003</v>
      </c>
      <c r="N3288">
        <v>-1.4232669999999999E-2</v>
      </c>
      <c r="O3288">
        <v>-4.4434169999999999E-3</v>
      </c>
      <c r="P3288">
        <v>0.97539430000000005</v>
      </c>
      <c r="Q3288">
        <v>0.1996232</v>
      </c>
      <c r="R3288">
        <v>-9.3579350000000006E-2</v>
      </c>
      <c r="S3288">
        <v>3.0534059999999998</v>
      </c>
      <c r="T3288">
        <v>-0.19287660000000001</v>
      </c>
      <c r="U3288">
        <v>-0.69058229999999998</v>
      </c>
      <c r="V3288">
        <v>9.0312660000000003E-2</v>
      </c>
      <c r="W3288">
        <v>0.21304139999999999</v>
      </c>
      <c r="X3288">
        <v>0.97286019999999895</v>
      </c>
      <c r="Y3288">
        <v>0.21575949999999999</v>
      </c>
      <c r="Z3288">
        <v>-8.0650630000000008E-3</v>
      </c>
      <c r="AA3288">
        <v>0.97641319999999998</v>
      </c>
      <c r="AB3288">
        <v>39</v>
      </c>
      <c r="AC3288">
        <v>17.325900000000001</v>
      </c>
      <c r="AD3288">
        <v>-1.1190209840230001</v>
      </c>
      <c r="AE3288">
        <v>-4.0045000000000002</v>
      </c>
      <c r="AF3288">
        <v>3.9119754779711799</v>
      </c>
      <c r="AG3288">
        <v>-1.1190209840230001</v>
      </c>
      <c r="AH3288">
        <v>17.275116805987299</v>
      </c>
      <c r="AI3288">
        <v>93.614962607808295</v>
      </c>
      <c r="AJ3288">
        <v>77.2404856849748</v>
      </c>
      <c r="AK3288">
        <v>17.747828621085901</v>
      </c>
      <c r="AL3288">
        <v>77.699354030171506</v>
      </c>
      <c r="AM3288">
        <v>84.696312710724698</v>
      </c>
      <c r="AN3288">
        <v>0.99999999170713705</v>
      </c>
    </row>
    <row r="3289" spans="1:40" x14ac:dyDescent="0.25">
      <c r="A3289" t="str">
        <f>"20190303170603348"</f>
        <v>20190303170603348</v>
      </c>
      <c r="B3289" t="str">
        <f>"1551603963338249"</f>
        <v>1551603963338249</v>
      </c>
      <c r="C3289" t="s">
        <v>40</v>
      </c>
      <c r="D3289">
        <v>5.8655080000000002</v>
      </c>
      <c r="E3289">
        <v>0.55751839999999997</v>
      </c>
      <c r="F3289" t="s">
        <v>52</v>
      </c>
      <c r="G3289">
        <v>-205.74809999999999</v>
      </c>
      <c r="H3289" s="1">
        <v>5.1069619999999998E-6</v>
      </c>
      <c r="I3289">
        <v>210.7165</v>
      </c>
      <c r="J3289">
        <v>-222.47389999999999</v>
      </c>
      <c r="K3289">
        <v>1.1188199999999999</v>
      </c>
      <c r="L3289">
        <v>214.66669999999999</v>
      </c>
      <c r="M3289">
        <v>0.99987479999999995</v>
      </c>
      <c r="N3289">
        <v>-1.4236E-2</v>
      </c>
      <c r="O3289">
        <v>-6.9316439999999998E-3</v>
      </c>
      <c r="P3289">
        <v>0.97523090000000001</v>
      </c>
      <c r="Q3289">
        <v>0.19826869999999999</v>
      </c>
      <c r="R3289">
        <v>-9.8054660000000002E-2</v>
      </c>
      <c r="S3289">
        <v>3.0489039999999998</v>
      </c>
      <c r="T3289">
        <v>-0.19939399999999999</v>
      </c>
      <c r="U3289">
        <v>-0.7045593</v>
      </c>
      <c r="V3289">
        <v>9.245826E-2</v>
      </c>
      <c r="W3289">
        <v>0.2116355</v>
      </c>
      <c r="X3289">
        <v>0.97296550000000004</v>
      </c>
      <c r="Y3289">
        <v>0.21785930000000001</v>
      </c>
      <c r="Z3289">
        <v>-8.247351E-3</v>
      </c>
      <c r="AA3289">
        <v>0.97594539999999996</v>
      </c>
      <c r="AB3289">
        <v>39</v>
      </c>
      <c r="AC3289">
        <v>16.7257999999999</v>
      </c>
      <c r="AD3289">
        <v>-1.118814893038</v>
      </c>
      <c r="AE3289">
        <v>-3.9501999999999899</v>
      </c>
      <c r="AF3289">
        <v>3.8179751429205599</v>
      </c>
      <c r="AG3289">
        <v>-1.118814893038</v>
      </c>
      <c r="AH3289">
        <v>16.6820821104434</v>
      </c>
      <c r="AI3289">
        <v>93.740474725352996</v>
      </c>
      <c r="AJ3289">
        <v>77.108914922602594</v>
      </c>
      <c r="AK3289">
        <v>17.149942988138999</v>
      </c>
      <c r="AL3289">
        <v>77.781785909185501</v>
      </c>
      <c r="AM3289">
        <v>84.5716387484417</v>
      </c>
      <c r="AN3289">
        <v>0.99999998944636304</v>
      </c>
    </row>
    <row r="3290" spans="1:40" x14ac:dyDescent="0.25">
      <c r="A3290" t="str">
        <f>"20190303170603371"</f>
        <v>20190303170603371</v>
      </c>
      <c r="B3290" t="str">
        <f>"1551603963357768"</f>
        <v>1551603963357768</v>
      </c>
      <c r="C3290" t="s">
        <v>40</v>
      </c>
      <c r="D3290">
        <v>5.990183</v>
      </c>
      <c r="E3290">
        <v>0.55772330000000003</v>
      </c>
      <c r="F3290" t="s">
        <v>52</v>
      </c>
      <c r="G3290">
        <v>-205.62309999999999</v>
      </c>
      <c r="H3290" s="1">
        <v>5.054144E-6</v>
      </c>
      <c r="I3290">
        <v>210.6866</v>
      </c>
      <c r="J3290">
        <v>-222.083</v>
      </c>
      <c r="K3290">
        <v>1.1186069999999999</v>
      </c>
      <c r="L3290">
        <v>214.66159999999999</v>
      </c>
      <c r="M3290">
        <v>0.99985179999999996</v>
      </c>
      <c r="N3290">
        <v>-1.423964E-2</v>
      </c>
      <c r="O3290">
        <v>-9.6741299999999995E-3</v>
      </c>
      <c r="P3290">
        <v>0.97445979999999999</v>
      </c>
      <c r="Q3290">
        <v>0.19955010000000001</v>
      </c>
      <c r="R3290">
        <v>-0.1029948</v>
      </c>
      <c r="S3290">
        <v>3.0449679999999999</v>
      </c>
      <c r="T3290">
        <v>-0.2021712</v>
      </c>
      <c r="U3290">
        <v>-0.71920779999999995</v>
      </c>
      <c r="V3290">
        <v>9.4842750000000003E-2</v>
      </c>
      <c r="W3290">
        <v>0.21285309999999999</v>
      </c>
      <c r="X3290">
        <v>0.97247030000000001</v>
      </c>
      <c r="Y3290">
        <v>0.2198949</v>
      </c>
      <c r="Z3290">
        <v>-8.2853309999999999E-3</v>
      </c>
      <c r="AA3290">
        <v>0.97548840000000003</v>
      </c>
      <c r="AB3290">
        <v>39</v>
      </c>
      <c r="AC3290">
        <v>16.459900000000001</v>
      </c>
      <c r="AD3290">
        <v>-1.1186019458559999</v>
      </c>
      <c r="AE3290">
        <v>-3.9749999999999899</v>
      </c>
      <c r="AF3290">
        <v>3.79898401893298</v>
      </c>
      <c r="AG3290">
        <v>-1.1186019458559999</v>
      </c>
      <c r="AH3290">
        <v>16.425906350804901</v>
      </c>
      <c r="AI3290">
        <v>93.795923918147906</v>
      </c>
      <c r="AJ3290">
        <v>76.977599766979694</v>
      </c>
      <c r="AK3290">
        <v>16.896566199520901</v>
      </c>
      <c r="AL3290">
        <v>77.710396653595595</v>
      </c>
      <c r="AM3290">
        <v>84.429693210765805</v>
      </c>
      <c r="AN3290">
        <v>1.00000003689463</v>
      </c>
    </row>
    <row r="3291" spans="1:40" x14ac:dyDescent="0.25">
      <c r="A3291" t="str">
        <f>"20190303170603394"</f>
        <v>20190303170603394</v>
      </c>
      <c r="B3291" t="str">
        <f>"1551603963388024"</f>
        <v>1551603963388024</v>
      </c>
      <c r="C3291" t="s">
        <v>40</v>
      </c>
      <c r="D3291">
        <v>5.8841289999999997</v>
      </c>
      <c r="E3291">
        <v>0.55806599999999995</v>
      </c>
      <c r="F3291" t="s">
        <v>52</v>
      </c>
      <c r="G3291">
        <v>-204.7988</v>
      </c>
      <c r="H3291" s="1">
        <v>4.7060450000000001E-6</v>
      </c>
      <c r="I3291">
        <v>210.48699999999999</v>
      </c>
      <c r="J3291">
        <v>-221.679</v>
      </c>
      <c r="K3291">
        <v>1.1183970000000001</v>
      </c>
      <c r="L3291">
        <v>214.655</v>
      </c>
      <c r="M3291">
        <v>0.99981739999999997</v>
      </c>
      <c r="N3291">
        <v>-1.424423E-2</v>
      </c>
      <c r="O3291">
        <v>-1.2736549999999999E-2</v>
      </c>
      <c r="P3291">
        <v>0.97373969999999999</v>
      </c>
      <c r="Q3291">
        <v>0.20039670000000001</v>
      </c>
      <c r="R3291">
        <v>-0.10803840000000001</v>
      </c>
      <c r="S3291">
        <v>3.04129</v>
      </c>
      <c r="T3291">
        <v>-0.19682659999999999</v>
      </c>
      <c r="U3291">
        <v>-0.73454280000000005</v>
      </c>
      <c r="V3291">
        <v>9.7026109999999999E-2</v>
      </c>
      <c r="W3291">
        <v>0.21363480000000001</v>
      </c>
      <c r="X3291">
        <v>0.97208340000000004</v>
      </c>
      <c r="Y3291">
        <v>0.22184789999999999</v>
      </c>
      <c r="Z3291">
        <v>-8.0417119999999995E-3</v>
      </c>
      <c r="AA3291">
        <v>0.97504809999999997</v>
      </c>
      <c r="AB3291">
        <v>39</v>
      </c>
      <c r="AC3291">
        <v>16.880199999999999</v>
      </c>
      <c r="AD3291">
        <v>-1.1183922939549999</v>
      </c>
      <c r="AE3291">
        <v>-4.1680000000000001</v>
      </c>
      <c r="AF3291">
        <v>3.9363581031018202</v>
      </c>
      <c r="AG3291">
        <v>-1.1183922939549999</v>
      </c>
      <c r="AH3291">
        <v>16.862155804989602</v>
      </c>
      <c r="AI3291">
        <v>93.695544547347396</v>
      </c>
      <c r="AJ3291">
        <v>76.859999935260902</v>
      </c>
      <c r="AK3291">
        <v>17.351599777276299</v>
      </c>
      <c r="AL3291">
        <v>77.664553846150298</v>
      </c>
      <c r="AM3291">
        <v>84.300041572777104</v>
      </c>
      <c r="AN3291">
        <v>1.0000000151741599</v>
      </c>
    </row>
    <row r="3292" spans="1:40" x14ac:dyDescent="0.25">
      <c r="A3292" t="str">
        <f>"20190303170603416"</f>
        <v>20190303170603416</v>
      </c>
      <c r="B3292" t="str">
        <f>"1551603963408521"</f>
        <v>1551603963408521</v>
      </c>
      <c r="C3292" t="s">
        <v>40</v>
      </c>
      <c r="D3292">
        <v>5.8664050000000003</v>
      </c>
      <c r="E3292">
        <v>0.55795689999999998</v>
      </c>
      <c r="F3292" t="s">
        <v>52</v>
      </c>
      <c r="G3292">
        <v>-204.65899999999999</v>
      </c>
      <c r="H3292" s="1">
        <v>4.6475620000000004E-6</v>
      </c>
      <c r="I3292">
        <v>210.447</v>
      </c>
      <c r="J3292">
        <v>-221.28919999999999</v>
      </c>
      <c r="K3292">
        <v>1.118188</v>
      </c>
      <c r="L3292">
        <v>214.6472</v>
      </c>
      <c r="M3292">
        <v>0.99977210000000005</v>
      </c>
      <c r="N3292">
        <v>-1.4249599999999999E-2</v>
      </c>
      <c r="O3292">
        <v>-1.590575E-2</v>
      </c>
      <c r="P3292">
        <v>0.97315929999999995</v>
      </c>
      <c r="Q3292">
        <v>0.2003616</v>
      </c>
      <c r="R3292">
        <v>-0.1132111</v>
      </c>
      <c r="S3292">
        <v>3.0386510000000002</v>
      </c>
      <c r="T3292">
        <v>-0.1996715</v>
      </c>
      <c r="U3292">
        <v>-0.75126649999999995</v>
      </c>
      <c r="V3292">
        <v>9.9228549999999999E-2</v>
      </c>
      <c r="W3292">
        <v>0.21353610000000001</v>
      </c>
      <c r="X3292">
        <v>0.97188280000000005</v>
      </c>
      <c r="Y3292">
        <v>0.22399859999999999</v>
      </c>
      <c r="Z3292">
        <v>-8.0597659999999995E-3</v>
      </c>
      <c r="AA3292">
        <v>0.97455610000000004</v>
      </c>
      <c r="AB3292">
        <v>39</v>
      </c>
      <c r="AC3292">
        <v>16.630199999999899</v>
      </c>
      <c r="AD3292">
        <v>-1.118183352438</v>
      </c>
      <c r="AE3292">
        <v>-4.2001999999999899</v>
      </c>
      <c r="AF3292">
        <v>3.9184729237820899</v>
      </c>
      <c r="AG3292">
        <v>-1.118183352438</v>
      </c>
      <c r="AH3292">
        <v>16.624258943598601</v>
      </c>
      <c r="AI3292">
        <v>93.745699388819205</v>
      </c>
      <c r="AJ3292">
        <v>76.737005599170203</v>
      </c>
      <c r="AK3292">
        <v>17.116388330716902</v>
      </c>
      <c r="AL3292">
        <v>77.670343253801505</v>
      </c>
      <c r="AM3292">
        <v>84.170341860990405</v>
      </c>
      <c r="AN3292">
        <v>1.00000007403707</v>
      </c>
    </row>
    <row r="3293" spans="1:40" x14ac:dyDescent="0.25">
      <c r="A3293" t="str">
        <f>"20190303170603438"</f>
        <v>20190303170603438</v>
      </c>
      <c r="B3293" t="str">
        <f>"1551603963428041"</f>
        <v>1551603963428041</v>
      </c>
      <c r="C3293" t="s">
        <v>40</v>
      </c>
      <c r="D3293">
        <v>5.8862009999999998</v>
      </c>
      <c r="E3293">
        <v>0.5578978</v>
      </c>
      <c r="F3293" t="s">
        <v>52</v>
      </c>
      <c r="G3293">
        <v>-204.23230000000001</v>
      </c>
      <c r="H3293" s="1">
        <v>4.4677259999999999E-6</v>
      </c>
      <c r="I3293">
        <v>210.33959999999999</v>
      </c>
      <c r="J3293">
        <v>-220.89439999999999</v>
      </c>
      <c r="K3293">
        <v>1.1179509999999999</v>
      </c>
      <c r="L3293">
        <v>214.63800000000001</v>
      </c>
      <c r="M3293">
        <v>0.99971160000000003</v>
      </c>
      <c r="N3293">
        <v>-1.425589E-2</v>
      </c>
      <c r="O3293">
        <v>-1.932787E-2</v>
      </c>
      <c r="P3293">
        <v>0.97257289999999996</v>
      </c>
      <c r="Q3293">
        <v>0.1994051</v>
      </c>
      <c r="R3293">
        <v>-0.1197488</v>
      </c>
      <c r="S3293">
        <v>3.0345460000000002</v>
      </c>
      <c r="T3293">
        <v>-0.198933</v>
      </c>
      <c r="U3293">
        <v>-0.76635739999999997</v>
      </c>
      <c r="V3293">
        <v>0.10254729999999999</v>
      </c>
      <c r="W3293">
        <v>0.21250550000000001</v>
      </c>
      <c r="X3293">
        <v>0.97176410000000002</v>
      </c>
      <c r="Y3293">
        <v>0.2255346</v>
      </c>
      <c r="Z3293">
        <v>-7.9312640000000004E-3</v>
      </c>
      <c r="AA3293">
        <v>0.97420289999999998</v>
      </c>
      <c r="AB3293">
        <v>39</v>
      </c>
      <c r="AC3293">
        <v>16.662099999999899</v>
      </c>
      <c r="AD3293">
        <v>-1.1179465322740001</v>
      </c>
      <c r="AE3293">
        <v>-4.2984000000000098</v>
      </c>
      <c r="AF3293">
        <v>3.9588116817755199</v>
      </c>
      <c r="AG3293">
        <v>-1.1179465322740001</v>
      </c>
      <c r="AH3293">
        <v>16.6717052905142</v>
      </c>
      <c r="AI3293">
        <v>93.732822154350799</v>
      </c>
      <c r="AJ3293">
        <v>76.642118436602402</v>
      </c>
      <c r="AK3293">
        <v>17.171713708146498</v>
      </c>
      <c r="AL3293">
        <v>77.7307785261128</v>
      </c>
      <c r="AM3293">
        <v>83.976046006716103</v>
      </c>
      <c r="AN3293">
        <v>1.00000000115817</v>
      </c>
    </row>
    <row r="3294" spans="1:40" x14ac:dyDescent="0.25">
      <c r="A3294" t="str">
        <f>"20190303170603461"</f>
        <v>20190303170603461</v>
      </c>
      <c r="B3294" t="str">
        <f>"1551603963448536"</f>
        <v>1551603963448536</v>
      </c>
      <c r="C3294" t="s">
        <v>40</v>
      </c>
      <c r="D3294">
        <v>5.8581240000000001</v>
      </c>
      <c r="E3294">
        <v>0.55789519999999904</v>
      </c>
      <c r="F3294" t="s">
        <v>52</v>
      </c>
      <c r="G3294">
        <v>-204.06720000000001</v>
      </c>
      <c r="H3294" s="1">
        <v>4.4004250000000003E-6</v>
      </c>
      <c r="I3294">
        <v>210.27189999999999</v>
      </c>
      <c r="J3294">
        <v>-220.49600000000001</v>
      </c>
      <c r="K3294">
        <v>1.117718</v>
      </c>
      <c r="L3294">
        <v>214.62719999999999</v>
      </c>
      <c r="M3294">
        <v>0.99963369999999996</v>
      </c>
      <c r="N3294">
        <v>-1.426266E-2</v>
      </c>
      <c r="O3294">
        <v>-2.2999039999999998E-2</v>
      </c>
      <c r="P3294">
        <v>0.97168080000000001</v>
      </c>
      <c r="Q3294">
        <v>0.19930429999999999</v>
      </c>
      <c r="R3294">
        <v>-0.12694069999999999</v>
      </c>
      <c r="S3294">
        <v>3.029099</v>
      </c>
      <c r="T3294">
        <v>-0.20124339999999999</v>
      </c>
      <c r="U3294">
        <v>-0.78594969999999997</v>
      </c>
      <c r="V3294">
        <v>0.10629379999999999</v>
      </c>
      <c r="W3294">
        <v>0.2123206</v>
      </c>
      <c r="X3294">
        <v>0.97140190000000004</v>
      </c>
      <c r="Y3294">
        <v>0.2282711</v>
      </c>
      <c r="Z3294">
        <v>-7.9303949999999998E-3</v>
      </c>
      <c r="AA3294">
        <v>0.97356529999999997</v>
      </c>
      <c r="AB3294">
        <v>39</v>
      </c>
      <c r="AC3294">
        <v>16.428799999999899</v>
      </c>
      <c r="AD3294">
        <v>-1.117713599575</v>
      </c>
      <c r="AE3294">
        <v>-4.3552999999999997</v>
      </c>
      <c r="AF3294">
        <v>3.9591406939359199</v>
      </c>
      <c r="AG3294">
        <v>-1.117713599575</v>
      </c>
      <c r="AH3294">
        <v>16.453475631505199</v>
      </c>
      <c r="AI3294">
        <v>93.778702423305802</v>
      </c>
      <c r="AJ3294">
        <v>76.470335868364501</v>
      </c>
      <c r="AK3294">
        <v>16.9599805153658</v>
      </c>
      <c r="AL3294">
        <v>77.741620278295898</v>
      </c>
      <c r="AM3294">
        <v>83.755362741071096</v>
      </c>
      <c r="AN3294">
        <v>1.0000000302131999</v>
      </c>
    </row>
    <row r="3295" spans="1:40" x14ac:dyDescent="0.25">
      <c r="A3295" t="str">
        <f>"20190303170603484"</f>
        <v>20190303170603484</v>
      </c>
      <c r="B3295" t="str">
        <f>"1551603963477816"</f>
        <v>1551603963477816</v>
      </c>
      <c r="C3295" t="s">
        <v>40</v>
      </c>
      <c r="D3295">
        <v>5.897805</v>
      </c>
      <c r="E3295">
        <v>0.55782310000000002</v>
      </c>
      <c r="F3295" t="s">
        <v>52</v>
      </c>
      <c r="G3295">
        <v>-203.7551</v>
      </c>
      <c r="H3295" s="1">
        <v>4.2720419999999998E-6</v>
      </c>
      <c r="I3295">
        <v>210.1574</v>
      </c>
      <c r="J3295">
        <v>-220.09780000000001</v>
      </c>
      <c r="K3295">
        <v>1.117502</v>
      </c>
      <c r="L3295">
        <v>214.6146</v>
      </c>
      <c r="M3295">
        <v>0.99953650000000005</v>
      </c>
      <c r="N3295">
        <v>-1.426991E-2</v>
      </c>
      <c r="O3295">
        <v>-2.689192E-2</v>
      </c>
      <c r="P3295">
        <v>0.97060659999999999</v>
      </c>
      <c r="Q3295">
        <v>0.20059759999999999</v>
      </c>
      <c r="R3295">
        <v>-0.13297999999999999</v>
      </c>
      <c r="S3295">
        <v>3.0233919999999999</v>
      </c>
      <c r="T3295">
        <v>-0.20185800000000001</v>
      </c>
      <c r="U3295">
        <v>-0.8072357</v>
      </c>
      <c r="V3295">
        <v>0.108691</v>
      </c>
      <c r="W3295">
        <v>0.21353559999999999</v>
      </c>
      <c r="X3295">
        <v>0.97087009999999996</v>
      </c>
      <c r="Y3295">
        <v>0.23132829999999999</v>
      </c>
      <c r="Z3295">
        <v>-7.8788009999999995E-3</v>
      </c>
      <c r="AA3295">
        <v>0.97284380000000004</v>
      </c>
      <c r="AB3295">
        <v>39</v>
      </c>
      <c r="AC3295">
        <v>16.342700000000001</v>
      </c>
      <c r="AD3295">
        <v>-1.1174977279580001</v>
      </c>
      <c r="AE3295">
        <v>-4.4572000000000003</v>
      </c>
      <c r="AF3295">
        <v>3.9986543398407401</v>
      </c>
      <c r="AG3295">
        <v>-1.1174977279580001</v>
      </c>
      <c r="AH3295">
        <v>16.385354631918499</v>
      </c>
      <c r="AI3295">
        <v>93.790682778173306</v>
      </c>
      <c r="AJ3295">
        <v>76.285691210764398</v>
      </c>
      <c r="AK3295">
        <v>16.9031915363712</v>
      </c>
      <c r="AL3295">
        <v>77.670371256488394</v>
      </c>
      <c r="AM3295">
        <v>83.612212050523496</v>
      </c>
      <c r="AN3295">
        <v>0.999999968511184</v>
      </c>
    </row>
    <row r="3296" spans="1:40" x14ac:dyDescent="0.25">
      <c r="A3296" t="str">
        <f>"20190303170603506"</f>
        <v>20190303170603506</v>
      </c>
      <c r="B3296" t="str">
        <f>"1551603963498313"</f>
        <v>1551603963498313</v>
      </c>
      <c r="C3296" t="s">
        <v>40</v>
      </c>
      <c r="D3296">
        <v>5.8328699999999998</v>
      </c>
      <c r="E3296">
        <v>0.55777549999999998</v>
      </c>
      <c r="F3296" t="s">
        <v>52</v>
      </c>
      <c r="G3296">
        <v>-202.9991</v>
      </c>
      <c r="H3296" s="1">
        <v>3.9556639999999999E-6</v>
      </c>
      <c r="I3296">
        <v>209.94159999999999</v>
      </c>
      <c r="J3296">
        <v>-219.70920000000001</v>
      </c>
      <c r="K3296">
        <v>1.1173</v>
      </c>
      <c r="L3296">
        <v>214.60059999999999</v>
      </c>
      <c r="M3296">
        <v>0.99942050000000004</v>
      </c>
      <c r="N3296">
        <v>-1.427753E-2</v>
      </c>
      <c r="O3296">
        <v>-3.0899389999999999E-2</v>
      </c>
      <c r="P3296">
        <v>0.96998240000000002</v>
      </c>
      <c r="Q3296">
        <v>0.2003818</v>
      </c>
      <c r="R3296">
        <v>-0.1377727</v>
      </c>
      <c r="S3296">
        <v>3.0186000000000002</v>
      </c>
      <c r="T3296">
        <v>-0.19728309999999999</v>
      </c>
      <c r="U3296">
        <v>-0.82498169999999904</v>
      </c>
      <c r="V3296">
        <v>0.1097027</v>
      </c>
      <c r="W3296">
        <v>0.21326220000000001</v>
      </c>
      <c r="X3296">
        <v>0.97081640000000002</v>
      </c>
      <c r="Y3296">
        <v>0.2331638</v>
      </c>
      <c r="Z3296">
        <v>-7.6257749999999996E-3</v>
      </c>
      <c r="AA3296">
        <v>0.97240760000000004</v>
      </c>
      <c r="AB3296">
        <v>39</v>
      </c>
      <c r="AC3296">
        <v>16.710100000000001</v>
      </c>
      <c r="AD3296">
        <v>-1.1172960443359901</v>
      </c>
      <c r="AE3296">
        <v>-4.65899999999999</v>
      </c>
      <c r="AF3296">
        <v>4.1232858802623999</v>
      </c>
      <c r="AG3296">
        <v>-1.1172960443359901</v>
      </c>
      <c r="AH3296">
        <v>16.776500994271402</v>
      </c>
      <c r="AI3296">
        <v>93.700401802045704</v>
      </c>
      <c r="AJ3296">
        <v>76.191683859443401</v>
      </c>
      <c r="AK3296">
        <v>17.3118694112406</v>
      </c>
      <c r="AL3296">
        <v>77.686405225471503</v>
      </c>
      <c r="AM3296">
        <v>83.552898960160107</v>
      </c>
      <c r="AN3296">
        <v>0.99999996542254399</v>
      </c>
    </row>
    <row r="3297" spans="1:40" x14ac:dyDescent="0.25">
      <c r="A3297" t="str">
        <f>"20190303170603527"</f>
        <v>20190303170603527</v>
      </c>
      <c r="B3297" t="str">
        <f>"1551603963517833"</f>
        <v>1551603963517833</v>
      </c>
      <c r="C3297" t="s">
        <v>40</v>
      </c>
      <c r="D3297">
        <v>5.8594999999999997</v>
      </c>
      <c r="E3297">
        <v>0.55766899999999997</v>
      </c>
      <c r="F3297" t="s">
        <v>52</v>
      </c>
      <c r="G3297">
        <v>-202.62430000000001</v>
      </c>
      <c r="H3297" s="1">
        <v>3.7984949999999998E-6</v>
      </c>
      <c r="I3297">
        <v>209.83789999999999</v>
      </c>
      <c r="J3297">
        <v>-219.33690000000001</v>
      </c>
      <c r="K3297">
        <v>1.1171089999999999</v>
      </c>
      <c r="L3297">
        <v>214.5856</v>
      </c>
      <c r="M3297">
        <v>0.99928910000000004</v>
      </c>
      <c r="N3297">
        <v>-1.428453E-2</v>
      </c>
      <c r="O3297">
        <v>-3.4889770000000001E-2</v>
      </c>
      <c r="P3297">
        <v>0.96963010000000005</v>
      </c>
      <c r="Q3297">
        <v>0.19937830000000001</v>
      </c>
      <c r="R3297">
        <v>-0.14165440000000001</v>
      </c>
      <c r="S3297">
        <v>3.014221</v>
      </c>
      <c r="T3297">
        <v>-0.1971195</v>
      </c>
      <c r="U3297">
        <v>-0.84027099999999899</v>
      </c>
      <c r="V3297">
        <v>0.109791</v>
      </c>
      <c r="W3297">
        <v>0.2122194</v>
      </c>
      <c r="X3297">
        <v>0.97103490000000003</v>
      </c>
      <c r="Y3297">
        <v>0.23422580000000001</v>
      </c>
      <c r="Z3297">
        <v>-7.4699060000000001E-3</v>
      </c>
      <c r="AA3297">
        <v>0.9721535</v>
      </c>
      <c r="AB3297">
        <v>39</v>
      </c>
      <c r="AC3297">
        <v>16.712599999999998</v>
      </c>
      <c r="AD3297">
        <v>-1.11710520150499</v>
      </c>
      <c r="AE3297">
        <v>-4.7477</v>
      </c>
      <c r="AF3297">
        <v>4.1445162155506097</v>
      </c>
      <c r="AG3297">
        <v>-1.11710520150499</v>
      </c>
      <c r="AH3297">
        <v>16.798636375051998</v>
      </c>
      <c r="AI3297">
        <v>93.694105851676696</v>
      </c>
      <c r="AJ3297">
        <v>76.140907397141703</v>
      </c>
      <c r="AK3297">
        <v>17.3383713985314</v>
      </c>
      <c r="AL3297">
        <v>77.747552922130197</v>
      </c>
      <c r="AM3297">
        <v>83.549193045027295</v>
      </c>
      <c r="AN3297">
        <v>0.99999995721768398</v>
      </c>
    </row>
    <row r="3298" spans="1:40" x14ac:dyDescent="0.25">
      <c r="A3298" t="str">
        <f>"20190303170603551"</f>
        <v>20190303170603551</v>
      </c>
      <c r="B3298" t="str">
        <f>"1551603963538329"</f>
        <v>1551603963538329</v>
      </c>
      <c r="C3298" t="s">
        <v>40</v>
      </c>
      <c r="D3298">
        <v>5.8621150000000002</v>
      </c>
      <c r="E3298">
        <v>0.55756799999999995</v>
      </c>
      <c r="F3298" t="s">
        <v>52</v>
      </c>
      <c r="G3298">
        <v>-202.55520000000001</v>
      </c>
      <c r="H3298" s="1">
        <v>3.7678869999999998E-6</v>
      </c>
      <c r="I3298">
        <v>209.83760000000001</v>
      </c>
      <c r="J3298">
        <v>-218.9365</v>
      </c>
      <c r="K3298">
        <v>1.116924</v>
      </c>
      <c r="L3298">
        <v>214.5677</v>
      </c>
      <c r="M3298">
        <v>0.99912369999999995</v>
      </c>
      <c r="N3298">
        <v>-1.42912E-2</v>
      </c>
      <c r="O3298">
        <v>-3.9341130000000002E-2</v>
      </c>
      <c r="P3298">
        <v>0.96913729999999998</v>
      </c>
      <c r="Q3298">
        <v>0.19803000000000001</v>
      </c>
      <c r="R3298">
        <v>-0.14682439999999999</v>
      </c>
      <c r="S3298">
        <v>3.0107119999999998</v>
      </c>
      <c r="T3298">
        <v>-0.2004136</v>
      </c>
      <c r="U3298">
        <v>-0.85182190000000002</v>
      </c>
      <c r="V3298">
        <v>0.1107158</v>
      </c>
      <c r="W3298">
        <v>0.2108236</v>
      </c>
      <c r="X3298">
        <v>0.97123400000000004</v>
      </c>
      <c r="Y3298">
        <v>0.23363629999999999</v>
      </c>
      <c r="Z3298">
        <v>-7.3125159999999998E-3</v>
      </c>
      <c r="AA3298">
        <v>0.97229659999999996</v>
      </c>
      <c r="AB3298">
        <v>39</v>
      </c>
      <c r="AC3298">
        <v>16.3812999999999</v>
      </c>
      <c r="AD3298">
        <v>-1.1169202321130001</v>
      </c>
      <c r="AE3298">
        <v>-4.7300999999999904</v>
      </c>
      <c r="AF3298">
        <v>4.0644717210402002</v>
      </c>
      <c r="AG3298">
        <v>-1.1169202321130001</v>
      </c>
      <c r="AH3298">
        <v>16.4839877423031</v>
      </c>
      <c r="AI3298">
        <v>93.763924927135406</v>
      </c>
      <c r="AJ3298">
        <v>76.148820841216505</v>
      </c>
      <c r="AK3298">
        <v>17.0143848864553</v>
      </c>
      <c r="AL3298">
        <v>77.829378714230799</v>
      </c>
      <c r="AM3298">
        <v>83.496641891582001</v>
      </c>
      <c r="AN3298">
        <v>1.00000003072129</v>
      </c>
    </row>
    <row r="3299" spans="1:40" x14ac:dyDescent="0.25">
      <c r="A3299" t="str">
        <f>"20190303170603573"</f>
        <v>20190303170603573</v>
      </c>
      <c r="B3299" t="str">
        <f>"1551603963557849"</f>
        <v>1551603963557849</v>
      </c>
      <c r="C3299" t="s">
        <v>40</v>
      </c>
      <c r="D3299">
        <v>6.0974449999999996</v>
      </c>
      <c r="E3299">
        <v>0.55753569999999997</v>
      </c>
      <c r="F3299" t="s">
        <v>52</v>
      </c>
      <c r="G3299">
        <v>-202.5829</v>
      </c>
      <c r="H3299" s="1">
        <v>3.7786289999999999E-6</v>
      </c>
      <c r="I3299">
        <v>209.8553</v>
      </c>
      <c r="J3299">
        <v>-218.54349999999999</v>
      </c>
      <c r="K3299">
        <v>1.1167530000000001</v>
      </c>
      <c r="L3299">
        <v>214.54830000000001</v>
      </c>
      <c r="M3299">
        <v>0.99893560000000003</v>
      </c>
      <c r="N3299">
        <v>-1.429742E-2</v>
      </c>
      <c r="O3299">
        <v>-4.3857800000000002E-2</v>
      </c>
      <c r="P3299">
        <v>0.96831520000000004</v>
      </c>
      <c r="Q3299">
        <v>0.19806650000000001</v>
      </c>
      <c r="R3299">
        <v>-0.15210399999999999</v>
      </c>
      <c r="S3299">
        <v>3.0062709999999999</v>
      </c>
      <c r="T3299">
        <v>-0.2053227</v>
      </c>
      <c r="U3299">
        <v>-0.86627199999999904</v>
      </c>
      <c r="V3299">
        <v>0.1117059</v>
      </c>
      <c r="W3299">
        <v>0.21081059999999999</v>
      </c>
      <c r="X3299">
        <v>0.97112339999999997</v>
      </c>
      <c r="Y3299">
        <v>0.2339193</v>
      </c>
      <c r="Z3299">
        <v>-7.2160890000000002E-3</v>
      </c>
      <c r="AA3299">
        <v>0.97222920000000002</v>
      </c>
      <c r="AB3299">
        <v>39</v>
      </c>
      <c r="AC3299">
        <v>15.960599999999999</v>
      </c>
      <c r="AD3299">
        <v>-1.116749221371</v>
      </c>
      <c r="AE3299">
        <v>-4.6930000000000103</v>
      </c>
      <c r="AF3299">
        <v>3.97052357884469</v>
      </c>
      <c r="AG3299">
        <v>-1.116749221371</v>
      </c>
      <c r="AH3299">
        <v>16.078633167483101</v>
      </c>
      <c r="AI3299">
        <v>93.857610352010596</v>
      </c>
      <c r="AJ3299">
        <v>76.128665463241603</v>
      </c>
      <c r="AK3299">
        <v>16.5992358513301</v>
      </c>
      <c r="AL3299">
        <v>77.830140151366805</v>
      </c>
      <c r="AM3299">
        <v>83.438248355233995</v>
      </c>
      <c r="AN3299">
        <v>0.99999998759736497</v>
      </c>
    </row>
    <row r="3300" spans="1:40" x14ac:dyDescent="0.25">
      <c r="A3300" t="str">
        <f>"20190303170603595"</f>
        <v>20190303170603595</v>
      </c>
      <c r="B3300" t="str">
        <f>"1551603963588105"</f>
        <v>1551603963588105</v>
      </c>
      <c r="C3300" t="s">
        <v>40</v>
      </c>
      <c r="D3300">
        <v>5.8283300000000002</v>
      </c>
      <c r="E3300">
        <v>0.55772929999999998</v>
      </c>
      <c r="F3300" t="s">
        <v>52</v>
      </c>
      <c r="G3300">
        <v>-202.37739999999999</v>
      </c>
      <c r="H3300" s="1">
        <v>3.6917420000000001E-6</v>
      </c>
      <c r="I3300">
        <v>209.8065</v>
      </c>
      <c r="J3300">
        <v>-218.13980000000001</v>
      </c>
      <c r="K3300">
        <v>1.116592</v>
      </c>
      <c r="L3300">
        <v>214.5264</v>
      </c>
      <c r="M3300">
        <v>0.99871430000000005</v>
      </c>
      <c r="N3300">
        <v>-1.430416E-2</v>
      </c>
      <c r="O3300">
        <v>-4.863497E-2</v>
      </c>
      <c r="P3300">
        <v>0.96749529999999995</v>
      </c>
      <c r="Q3300">
        <v>0.19736229999999999</v>
      </c>
      <c r="R3300">
        <v>-0.1581176</v>
      </c>
      <c r="S3300">
        <v>3.0022579999999999</v>
      </c>
      <c r="T3300">
        <v>-0.20739469999999999</v>
      </c>
      <c r="U3300">
        <v>-0.88061520000000004</v>
      </c>
      <c r="V3300">
        <v>0.1131659</v>
      </c>
      <c r="W3300">
        <v>0.21005489999999999</v>
      </c>
      <c r="X3300">
        <v>0.97111820000000004</v>
      </c>
      <c r="Y3300">
        <v>0.2338944</v>
      </c>
      <c r="Z3300">
        <v>-7.0150330000000004E-3</v>
      </c>
      <c r="AA3300">
        <v>0.97223669999999995</v>
      </c>
      <c r="AB3300">
        <v>39</v>
      </c>
      <c r="AC3300">
        <v>15.7624</v>
      </c>
      <c r="AD3300">
        <v>-1.1165883082579999</v>
      </c>
      <c r="AE3300">
        <v>-4.7198999999999902</v>
      </c>
      <c r="AF3300">
        <v>3.9295349158641502</v>
      </c>
      <c r="AG3300">
        <v>-1.1165883082579999</v>
      </c>
      <c r="AH3300">
        <v>15.9000957836175</v>
      </c>
      <c r="AI3300">
        <v>93.900056471979298</v>
      </c>
      <c r="AJ3300">
        <v>76.118136883973506</v>
      </c>
      <c r="AK3300">
        <v>16.416487445045799</v>
      </c>
      <c r="AL3300">
        <v>77.874431320234393</v>
      </c>
      <c r="AM3300">
        <v>83.353213258959002</v>
      </c>
      <c r="AN3300">
        <v>1.0000000701540199</v>
      </c>
    </row>
    <row r="3301" spans="1:40" x14ac:dyDescent="0.25">
      <c r="A3301" t="str">
        <f>"20190303170603617"</f>
        <v>20190303170603617</v>
      </c>
      <c r="B3301" t="str">
        <f>"1551603963607625"</f>
        <v>1551603963607625</v>
      </c>
      <c r="C3301" t="s">
        <v>40</v>
      </c>
      <c r="D3301">
        <v>5.8420110000000003</v>
      </c>
      <c r="E3301">
        <v>0.55781059999999905</v>
      </c>
      <c r="F3301" t="s">
        <v>52</v>
      </c>
      <c r="G3301">
        <v>-202.43780000000001</v>
      </c>
      <c r="H3301" s="1">
        <v>3.717686E-6</v>
      </c>
      <c r="I3301">
        <v>209.81620000000001</v>
      </c>
      <c r="J3301">
        <v>-217.77160000000001</v>
      </c>
      <c r="K3301">
        <v>1.116455</v>
      </c>
      <c r="L3301">
        <v>214.50470000000001</v>
      </c>
      <c r="M3301">
        <v>0.99848689999999996</v>
      </c>
      <c r="N3301">
        <v>-1.43102E-2</v>
      </c>
      <c r="O3301">
        <v>-5.3094089999999997E-2</v>
      </c>
      <c r="P3301">
        <v>0.96675730000000004</v>
      </c>
      <c r="Q3301">
        <v>0.1961524</v>
      </c>
      <c r="R3301">
        <v>-0.16402539999999999</v>
      </c>
      <c r="S3301">
        <v>2.9973450000000001</v>
      </c>
      <c r="T3301">
        <v>-0.2131451</v>
      </c>
      <c r="U3301">
        <v>-0.89912409999999998</v>
      </c>
      <c r="V3301">
        <v>0.1148083</v>
      </c>
      <c r="W3301">
        <v>0.20879790000000001</v>
      </c>
      <c r="X3301">
        <v>0.97119639999999996</v>
      </c>
      <c r="Y3301">
        <v>0.2354754</v>
      </c>
      <c r="Z3301">
        <v>-6.9691739999999999E-3</v>
      </c>
      <c r="AA3301">
        <v>0.97185529999999998</v>
      </c>
      <c r="AB3301">
        <v>39</v>
      </c>
      <c r="AC3301">
        <v>15.333799999999901</v>
      </c>
      <c r="AD3301">
        <v>-1.116451282314</v>
      </c>
      <c r="AE3301">
        <v>-4.6885000000000003</v>
      </c>
      <c r="AF3301">
        <v>3.84900790270716</v>
      </c>
      <c r="AG3301">
        <v>-1.116451282314</v>
      </c>
      <c r="AH3301">
        <v>15.4860478529756</v>
      </c>
      <c r="AI3301">
        <v>94.002195616390196</v>
      </c>
      <c r="AJ3301">
        <v>76.0421468155415</v>
      </c>
      <c r="AK3301">
        <v>15.996218409534601</v>
      </c>
      <c r="AL3301">
        <v>77.948084312449296</v>
      </c>
      <c r="AM3301">
        <v>83.258166805923906</v>
      </c>
      <c r="AN3301">
        <v>0.99999997808312902</v>
      </c>
    </row>
    <row r="3302" spans="1:40" x14ac:dyDescent="0.25">
      <c r="A3302" t="str">
        <f>"20190303170603639"</f>
        <v>20190303170603639</v>
      </c>
      <c r="B3302" t="str">
        <f>"1551603963628121"</f>
        <v>1551603963628121</v>
      </c>
      <c r="C3302" t="s">
        <v>40</v>
      </c>
      <c r="D3302">
        <v>5.837682</v>
      </c>
      <c r="E3302">
        <v>0.5579286</v>
      </c>
      <c r="F3302" t="s">
        <v>52</v>
      </c>
      <c r="G3302">
        <v>-202.5598</v>
      </c>
      <c r="H3302" s="1">
        <v>3.7694240000000001E-6</v>
      </c>
      <c r="I3302">
        <v>209.8433</v>
      </c>
      <c r="J3302">
        <v>-217.37979999999999</v>
      </c>
      <c r="K3302">
        <v>1.1163149999999999</v>
      </c>
      <c r="L3302">
        <v>214.47970000000001</v>
      </c>
      <c r="M3302">
        <v>0.9982181</v>
      </c>
      <c r="N3302">
        <v>-1.431588E-2</v>
      </c>
      <c r="O3302">
        <v>-5.7926890000000002E-2</v>
      </c>
      <c r="P3302">
        <v>0.96576010000000001</v>
      </c>
      <c r="Q3302">
        <v>0.1950974</v>
      </c>
      <c r="R3302">
        <v>-0.17100940000000001</v>
      </c>
      <c r="S3302">
        <v>2.9921419999999999</v>
      </c>
      <c r="T3302">
        <v>-0.21960399999999999</v>
      </c>
      <c r="U3302">
        <v>-0.91688539999999996</v>
      </c>
      <c r="V3302">
        <v>0.1171734</v>
      </c>
      <c r="W3302">
        <v>0.2076855</v>
      </c>
      <c r="X3302">
        <v>0.97115249999999997</v>
      </c>
      <c r="Y3302">
        <v>0.2364919</v>
      </c>
      <c r="Z3302">
        <v>-6.8784550000000003E-3</v>
      </c>
      <c r="AA3302">
        <v>0.9716091</v>
      </c>
      <c r="AB3302">
        <v>39</v>
      </c>
      <c r="AC3302">
        <v>14.819999999999901</v>
      </c>
      <c r="AD3302">
        <v>-1.1163112305759999</v>
      </c>
      <c r="AE3302">
        <v>-4.6364000000000001</v>
      </c>
      <c r="AF3302">
        <v>3.75066511951034</v>
      </c>
      <c r="AG3302">
        <v>-1.1163112305759999</v>
      </c>
      <c r="AH3302">
        <v>14.9862604612351</v>
      </c>
      <c r="AI3302">
        <v>94.133024873842501</v>
      </c>
      <c r="AJ3302">
        <v>75.949004333362495</v>
      </c>
      <c r="AK3302">
        <v>15.4887585756315</v>
      </c>
      <c r="AL3302">
        <v>78.013249292107204</v>
      </c>
      <c r="AM3302">
        <v>83.120291901009395</v>
      </c>
      <c r="AN3302">
        <v>1.00000002541702</v>
      </c>
    </row>
    <row r="3303" spans="1:40" x14ac:dyDescent="0.25">
      <c r="A3303" t="str">
        <f>"20190303170603662"</f>
        <v>20190303170603662</v>
      </c>
      <c r="B3303" t="str">
        <f>"1551603963647641"</f>
        <v>1551603963647641</v>
      </c>
      <c r="C3303" t="s">
        <v>40</v>
      </c>
      <c r="D3303">
        <v>5.850409</v>
      </c>
      <c r="E3303">
        <v>0.55805079999999996</v>
      </c>
      <c r="F3303" t="s">
        <v>52</v>
      </c>
      <c r="G3303">
        <v>-202.5829</v>
      </c>
      <c r="H3303" s="1">
        <v>3.7806139999999998E-6</v>
      </c>
      <c r="I3303">
        <v>209.83260000000001</v>
      </c>
      <c r="J3303">
        <v>-216.9873</v>
      </c>
      <c r="K3303">
        <v>1.1161989999999999</v>
      </c>
      <c r="L3303">
        <v>214.45269999999999</v>
      </c>
      <c r="M3303">
        <v>0.99792110000000001</v>
      </c>
      <c r="N3303">
        <v>-1.4320690000000001E-2</v>
      </c>
      <c r="O3303">
        <v>-6.2837799999999999E-2</v>
      </c>
      <c r="P3303">
        <v>0.96463080000000001</v>
      </c>
      <c r="Q3303">
        <v>0.19391050000000001</v>
      </c>
      <c r="R3303">
        <v>-0.17856810000000001</v>
      </c>
      <c r="S3303">
        <v>2.9858250000000002</v>
      </c>
      <c r="T3303">
        <v>-0.22525780000000001</v>
      </c>
      <c r="U3303">
        <v>-0.93772889999999998</v>
      </c>
      <c r="V3303">
        <v>0.120034</v>
      </c>
      <c r="W3303">
        <v>0.20643810000000001</v>
      </c>
      <c r="X3303">
        <v>0.97106910000000002</v>
      </c>
      <c r="Y3303">
        <v>0.2384472</v>
      </c>
      <c r="Z3303">
        <v>-6.7924889999999996E-3</v>
      </c>
      <c r="AA3303">
        <v>0.97113170000000004</v>
      </c>
      <c r="AB3303">
        <v>39</v>
      </c>
      <c r="AC3303">
        <v>14.404400000000001</v>
      </c>
      <c r="AD3303">
        <v>-1.1161952193860001</v>
      </c>
      <c r="AE3303">
        <v>-4.6200999999999697</v>
      </c>
      <c r="AF3303">
        <v>3.68566725284035</v>
      </c>
      <c r="AG3303">
        <v>-1.1161952193860001</v>
      </c>
      <c r="AH3303">
        <v>14.586855042576699</v>
      </c>
      <c r="AI3303">
        <v>94.242946839739105</v>
      </c>
      <c r="AJ3303">
        <v>75.819841979425306</v>
      </c>
      <c r="AK3303">
        <v>15.086629010471</v>
      </c>
      <c r="AL3303">
        <v>78.086303265537296</v>
      </c>
      <c r="AM3303">
        <v>82.953404271973</v>
      </c>
      <c r="AN3303">
        <v>1.0000000236312001</v>
      </c>
    </row>
    <row r="3304" spans="1:40" x14ac:dyDescent="0.25">
      <c r="A3304" t="str">
        <f>"20190303170603684"</f>
        <v>20190303170603684</v>
      </c>
      <c r="B3304" t="str">
        <f>"1551603963677896"</f>
        <v>1551603963677896</v>
      </c>
      <c r="C3304" t="s">
        <v>40</v>
      </c>
      <c r="D3304">
        <v>5.8471109999999999</v>
      </c>
      <c r="E3304">
        <v>0.55827130000000003</v>
      </c>
      <c r="F3304" t="s">
        <v>52</v>
      </c>
      <c r="G3304">
        <v>-202.61670000000001</v>
      </c>
      <c r="H3304" s="1">
        <v>3.7962600000000001E-6</v>
      </c>
      <c r="I3304">
        <v>209.82499999999999</v>
      </c>
      <c r="J3304">
        <v>-216.5949</v>
      </c>
      <c r="K3304">
        <v>1.116104</v>
      </c>
      <c r="L3304">
        <v>214.42359999999999</v>
      </c>
      <c r="M3304">
        <v>0.99759600000000004</v>
      </c>
      <c r="N3304">
        <v>-1.4324450000000001E-2</v>
      </c>
      <c r="O3304">
        <v>-6.780158E-2</v>
      </c>
      <c r="P3304">
        <v>0.96360409999999996</v>
      </c>
      <c r="Q3304">
        <v>0.1926293</v>
      </c>
      <c r="R3304">
        <v>-0.18536730000000001</v>
      </c>
      <c r="S3304">
        <v>2.9789119999999998</v>
      </c>
      <c r="T3304">
        <v>-0.23137869999999999</v>
      </c>
      <c r="U3304">
        <v>-0.95927430000000002</v>
      </c>
      <c r="V3304">
        <v>0.12206839999999999</v>
      </c>
      <c r="W3304">
        <v>0.20511199999999999</v>
      </c>
      <c r="X3304">
        <v>0.97109650000000003</v>
      </c>
      <c r="Y3304">
        <v>0.2406083</v>
      </c>
      <c r="Z3304">
        <v>-6.7065509999999998E-3</v>
      </c>
      <c r="AA3304">
        <v>0.97059910000000005</v>
      </c>
      <c r="AB3304">
        <v>39</v>
      </c>
      <c r="AC3304">
        <v>13.9781999999999</v>
      </c>
      <c r="AD3304">
        <v>-1.1161002037400001</v>
      </c>
      <c r="AE3304">
        <v>-4.5986000000000002</v>
      </c>
      <c r="AF3304">
        <v>3.6193532045283598</v>
      </c>
      <c r="AG3304">
        <v>-1.1161002037400001</v>
      </c>
      <c r="AH3304">
        <v>14.176299048109801</v>
      </c>
      <c r="AI3304">
        <v>94.362249468079597</v>
      </c>
      <c r="AJ3304">
        <v>75.677763432039498</v>
      </c>
      <c r="AK3304">
        <v>14.673542584711999</v>
      </c>
      <c r="AL3304">
        <v>78.163944735983904</v>
      </c>
      <c r="AM3304">
        <v>82.835405857113102</v>
      </c>
      <c r="AN3304">
        <v>1.0000000195673999</v>
      </c>
    </row>
    <row r="3305" spans="1:40" x14ac:dyDescent="0.25">
      <c r="A3305" t="str">
        <f>"20190303170603708"</f>
        <v>20190303170603708</v>
      </c>
      <c r="B3305" t="str">
        <f>"1551603963698393"</f>
        <v>1551603963698393</v>
      </c>
      <c r="C3305" t="s">
        <v>40</v>
      </c>
      <c r="D3305">
        <v>5.8252230000000003</v>
      </c>
      <c r="E3305">
        <v>0.55840339999999999</v>
      </c>
      <c r="F3305" t="s">
        <v>52</v>
      </c>
      <c r="G3305">
        <v>-202.60890000000001</v>
      </c>
      <c r="H3305" s="1">
        <v>3.794407E-6</v>
      </c>
      <c r="I3305">
        <v>209.80670000000001</v>
      </c>
      <c r="J3305">
        <v>-216.18129999999999</v>
      </c>
      <c r="K3305">
        <v>1.116023</v>
      </c>
      <c r="L3305">
        <v>214.39080000000001</v>
      </c>
      <c r="M3305">
        <v>0.99722359999999999</v>
      </c>
      <c r="N3305">
        <v>-1.4327589999999999E-2</v>
      </c>
      <c r="O3305">
        <v>-7.3074299999999995E-2</v>
      </c>
      <c r="P3305">
        <v>0.96262650000000005</v>
      </c>
      <c r="Q3305">
        <v>0.19129689999999999</v>
      </c>
      <c r="R3305">
        <v>-0.19171820000000001</v>
      </c>
      <c r="S3305">
        <v>2.9719699999999998</v>
      </c>
      <c r="T3305">
        <v>-0.23716719999999999</v>
      </c>
      <c r="U3305">
        <v>-0.98107909999999998</v>
      </c>
      <c r="V3305">
        <v>0.1233416</v>
      </c>
      <c r="W3305">
        <v>0.2037485</v>
      </c>
      <c r="X3305">
        <v>0.97122260000000005</v>
      </c>
      <c r="Y3305">
        <v>0.24254819999999999</v>
      </c>
      <c r="Z3305">
        <v>-6.5699720000000003E-3</v>
      </c>
      <c r="AA3305">
        <v>0.97011709999999995</v>
      </c>
      <c r="AB3305">
        <v>39</v>
      </c>
      <c r="AC3305">
        <v>13.572399999999901</v>
      </c>
      <c r="AD3305">
        <v>-1.1160192055930001</v>
      </c>
      <c r="AE3305">
        <v>-4.5841000000000003</v>
      </c>
      <c r="AF3305">
        <v>3.5583509319533602</v>
      </c>
      <c r="AG3305">
        <v>-1.1160192055930001</v>
      </c>
      <c r="AH3305">
        <v>13.787445378245099</v>
      </c>
      <c r="AI3305">
        <v>94.481475792290894</v>
      </c>
      <c r="AJ3305">
        <v>75.528535059982701</v>
      </c>
      <c r="AK3305">
        <v>14.2828922239257</v>
      </c>
      <c r="AL3305">
        <v>78.243752407636904</v>
      </c>
      <c r="AM3305">
        <v>82.762396032338899</v>
      </c>
      <c r="AN3305">
        <v>0.99999997014678399</v>
      </c>
    </row>
    <row r="3306" spans="1:40" x14ac:dyDescent="0.25">
      <c r="A3306" t="str">
        <f>"20190303170603728"</f>
        <v>20190303170603728</v>
      </c>
      <c r="B3306" t="str">
        <f>"1551603963717913"</f>
        <v>1551603963717913</v>
      </c>
      <c r="C3306" t="s">
        <v>40</v>
      </c>
      <c r="D3306">
        <v>5.8283930000000002</v>
      </c>
      <c r="E3306">
        <v>0.5585059</v>
      </c>
      <c r="F3306" t="s">
        <v>52</v>
      </c>
      <c r="G3306">
        <v>-202.53020000000001</v>
      </c>
      <c r="H3306" s="1">
        <v>3.761932E-6</v>
      </c>
      <c r="I3306">
        <v>209.779</v>
      </c>
      <c r="J3306">
        <v>-215.82929999999999</v>
      </c>
      <c r="K3306">
        <v>1.1159709999999901</v>
      </c>
      <c r="L3306">
        <v>214.36109999999999</v>
      </c>
      <c r="M3306">
        <v>0.99688319999999997</v>
      </c>
      <c r="N3306">
        <v>-1.4329720000000001E-2</v>
      </c>
      <c r="O3306">
        <v>-7.7580120000000002E-2</v>
      </c>
      <c r="P3306">
        <v>0.96178280000000005</v>
      </c>
      <c r="Q3306">
        <v>0.19058720000000001</v>
      </c>
      <c r="R3306">
        <v>-0.19659699999999999</v>
      </c>
      <c r="S3306">
        <v>2.9651339999999999</v>
      </c>
      <c r="T3306">
        <v>-0.24240970000000001</v>
      </c>
      <c r="U3306">
        <v>-1.0017240000000001</v>
      </c>
      <c r="V3306">
        <v>0.12388299999999999</v>
      </c>
      <c r="W3306">
        <v>0.20302110000000001</v>
      </c>
      <c r="X3306">
        <v>0.971306</v>
      </c>
      <c r="Y3306">
        <v>0.24487880000000001</v>
      </c>
      <c r="Z3306">
        <v>-6.4769869999999896E-3</v>
      </c>
      <c r="AA3306">
        <v>0.96953210000000001</v>
      </c>
      <c r="AB3306">
        <v>39</v>
      </c>
      <c r="AC3306">
        <v>13.2990999999999</v>
      </c>
      <c r="AD3306">
        <v>-1.1159672380679999</v>
      </c>
      <c r="AE3306">
        <v>-4.5820999999999596</v>
      </c>
      <c r="AF3306">
        <v>3.51431577482357</v>
      </c>
      <c r="AG3306">
        <v>-1.1159672380679999</v>
      </c>
      <c r="AH3306">
        <v>13.5293695488461</v>
      </c>
      <c r="AI3306">
        <v>94.564550680072699</v>
      </c>
      <c r="AJ3306">
        <v>75.438955471106397</v>
      </c>
      <c r="AK3306">
        <v>14.022825629339399</v>
      </c>
      <c r="AL3306">
        <v>78.286318872666897</v>
      </c>
      <c r="AM3306">
        <v>82.731583577312506</v>
      </c>
      <c r="AN3306">
        <v>0.99999995518510398</v>
      </c>
    </row>
    <row r="3307" spans="1:40" x14ac:dyDescent="0.25">
      <c r="A3307" t="str">
        <f>"20190303170603751"</f>
        <v>20190303170603751</v>
      </c>
      <c r="B3307" t="str">
        <f>"1551603963738409"</f>
        <v>1551603963738409</v>
      </c>
      <c r="C3307" t="s">
        <v>40</v>
      </c>
      <c r="D3307">
        <v>5.8258599999999996</v>
      </c>
      <c r="E3307">
        <v>0.55861740000000004</v>
      </c>
      <c r="F3307" t="s">
        <v>52</v>
      </c>
      <c r="G3307">
        <v>-202.40549999999999</v>
      </c>
      <c r="H3307" s="1">
        <v>3.7089230000000002E-6</v>
      </c>
      <c r="I3307">
        <v>209.7527</v>
      </c>
      <c r="J3307">
        <v>-215.43279999999999</v>
      </c>
      <c r="K3307">
        <v>1.1159300000000001</v>
      </c>
      <c r="L3307">
        <v>214.32579999999999</v>
      </c>
      <c r="M3307">
        <v>0.99647410000000003</v>
      </c>
      <c r="N3307">
        <v>-1.433165E-2</v>
      </c>
      <c r="O3307">
        <v>-8.2668439999999996E-2</v>
      </c>
      <c r="P3307">
        <v>0.96077900000000005</v>
      </c>
      <c r="Q3307">
        <v>0.1898792</v>
      </c>
      <c r="R3307">
        <v>-0.2021133</v>
      </c>
      <c r="S3307">
        <v>2.9602200000000001</v>
      </c>
      <c r="T3307">
        <v>-0.24609400000000001</v>
      </c>
      <c r="U3307">
        <v>-1.016251</v>
      </c>
      <c r="V3307">
        <v>0.1245</v>
      </c>
      <c r="W3307">
        <v>0.2022969</v>
      </c>
      <c r="X3307">
        <v>0.97137830000000003</v>
      </c>
      <c r="Y3307">
        <v>0.24467249999999999</v>
      </c>
      <c r="Z3307">
        <v>-6.1903399999999999E-3</v>
      </c>
      <c r="AA3307">
        <v>0.96958599999999995</v>
      </c>
      <c r="AB3307">
        <v>39</v>
      </c>
      <c r="AC3307">
        <v>13.027299999999901</v>
      </c>
      <c r="AD3307">
        <v>-1.11592629107699</v>
      </c>
      <c r="AE3307">
        <v>-4.5730999999999797</v>
      </c>
      <c r="AF3307">
        <v>3.45779759603725</v>
      </c>
      <c r="AG3307">
        <v>-1.11592629107699</v>
      </c>
      <c r="AH3307">
        <v>13.274073838489</v>
      </c>
      <c r="AI3307">
        <v>94.650954836557801</v>
      </c>
      <c r="AJ3307">
        <v>75.399351860237005</v>
      </c>
      <c r="AK3307">
        <v>13.762365057356099</v>
      </c>
      <c r="AL3307">
        <v>78.328692790899098</v>
      </c>
      <c r="AM3307">
        <v>82.696310963543496</v>
      </c>
      <c r="AN3307">
        <v>1.0000000437302401</v>
      </c>
    </row>
    <row r="3308" spans="1:40" x14ac:dyDescent="0.25">
      <c r="A3308" t="str">
        <f>"20190303170603773"</f>
        <v>20190303170603773</v>
      </c>
      <c r="B3308" t="str">
        <f>"1551603963767689"</f>
        <v>1551603963767689</v>
      </c>
      <c r="C3308" t="s">
        <v>40</v>
      </c>
      <c r="D3308">
        <v>5.8146000000000004</v>
      </c>
      <c r="E3308">
        <v>0.55878319999999904</v>
      </c>
      <c r="F3308" t="s">
        <v>52</v>
      </c>
      <c r="G3308">
        <v>-202.22059999999999</v>
      </c>
      <c r="H3308" s="1">
        <v>3.630708E-6</v>
      </c>
      <c r="I3308">
        <v>209.70959999999999</v>
      </c>
      <c r="J3308">
        <v>-215.04300000000001</v>
      </c>
      <c r="K3308">
        <v>1.1158969999999999</v>
      </c>
      <c r="L3308">
        <v>214.28899999999999</v>
      </c>
      <c r="M3308">
        <v>0.99604579999999998</v>
      </c>
      <c r="N3308">
        <v>-1.4333159999999999E-2</v>
      </c>
      <c r="O3308">
        <v>-8.7676820000000003E-2</v>
      </c>
      <c r="P3308">
        <v>0.95989860000000005</v>
      </c>
      <c r="Q3308">
        <v>0.19003629999999999</v>
      </c>
      <c r="R3308">
        <v>-0.2061093</v>
      </c>
      <c r="S3308">
        <v>2.95459</v>
      </c>
      <c r="T3308">
        <v>-0.24955069999999999</v>
      </c>
      <c r="U3308">
        <v>-1.032303</v>
      </c>
      <c r="V3308">
        <v>0.12367640000000001</v>
      </c>
      <c r="W3308">
        <v>0.2024571</v>
      </c>
      <c r="X3308">
        <v>0.97145009999999998</v>
      </c>
      <c r="Y3308">
        <v>0.24506030000000001</v>
      </c>
      <c r="Z3308">
        <v>-5.9229419999999996E-3</v>
      </c>
      <c r="AA3308">
        <v>0.96948979999999996</v>
      </c>
      <c r="AB3308">
        <v>39</v>
      </c>
      <c r="AC3308">
        <v>12.8224</v>
      </c>
      <c r="AD3308">
        <v>-1.1158933692919999</v>
      </c>
      <c r="AE3308">
        <v>-4.5794000000000201</v>
      </c>
      <c r="AF3308">
        <v>3.4144832972828398</v>
      </c>
      <c r="AG3308">
        <v>-1.1158933692919999</v>
      </c>
      <c r="AH3308">
        <v>13.0866566855056</v>
      </c>
      <c r="AI3308">
        <v>94.716642944465704</v>
      </c>
      <c r="AJ3308">
        <v>75.376777767634707</v>
      </c>
      <c r="AK3308">
        <v>13.570722066395099</v>
      </c>
      <c r="AL3308">
        <v>78.319319700323305</v>
      </c>
      <c r="AM3308">
        <v>82.744640735444193</v>
      </c>
      <c r="AN3308">
        <v>1.0000000130236899</v>
      </c>
    </row>
    <row r="3309" spans="1:40" x14ac:dyDescent="0.25">
      <c r="A3309" t="str">
        <f>"20190303170603795"</f>
        <v>20190303170603795</v>
      </c>
      <c r="B3309" t="str">
        <f>"1551603963788185"</f>
        <v>1551603963788185</v>
      </c>
      <c r="C3309" t="s">
        <v>40</v>
      </c>
      <c r="D3309">
        <v>5.8083530000000003</v>
      </c>
      <c r="E3309">
        <v>0.55888719999999903</v>
      </c>
      <c r="F3309" t="s">
        <v>52</v>
      </c>
      <c r="G3309">
        <v>-201.83529999999999</v>
      </c>
      <c r="H3309" s="1">
        <v>3.470737E-6</v>
      </c>
      <c r="I3309">
        <v>209.60069999999999</v>
      </c>
      <c r="J3309">
        <v>-214.65469999999999</v>
      </c>
      <c r="K3309">
        <v>1.1158729999999999</v>
      </c>
      <c r="L3309">
        <v>214.25049999999999</v>
      </c>
      <c r="M3309">
        <v>0.99559350000000002</v>
      </c>
      <c r="N3309">
        <v>-1.433442E-2</v>
      </c>
      <c r="O3309">
        <v>-9.2671509999999999E-2</v>
      </c>
      <c r="P3309">
        <v>0.95889310000000005</v>
      </c>
      <c r="Q3309">
        <v>0.19076090000000001</v>
      </c>
      <c r="R3309">
        <v>-0.21008189999999999</v>
      </c>
      <c r="S3309">
        <v>2.9498440000000001</v>
      </c>
      <c r="T3309">
        <v>-0.24922649999999999</v>
      </c>
      <c r="U3309">
        <v>-1.047104</v>
      </c>
      <c r="V3309">
        <v>0.1228586</v>
      </c>
      <c r="W3309">
        <v>0.203185</v>
      </c>
      <c r="X3309">
        <v>0.97140190000000004</v>
      </c>
      <c r="Y3309">
        <v>0.24502309999999999</v>
      </c>
      <c r="Z3309">
        <v>-5.5863680000000004E-3</v>
      </c>
      <c r="AA3309">
        <v>0.9695011</v>
      </c>
      <c r="AB3309">
        <v>39</v>
      </c>
      <c r="AC3309">
        <v>12.8194</v>
      </c>
      <c r="AD3309">
        <v>-1.1158695292630001</v>
      </c>
      <c r="AE3309">
        <v>-4.6497999999999902</v>
      </c>
      <c r="AF3309">
        <v>3.4187792730721198</v>
      </c>
      <c r="AG3309">
        <v>-1.1158695292630001</v>
      </c>
      <c r="AH3309">
        <v>13.107405018848</v>
      </c>
      <c r="AI3309">
        <v>94.709207822737099</v>
      </c>
      <c r="AJ3309">
        <v>75.381351559713394</v>
      </c>
      <c r="AK3309">
        <v>13.591809403182801</v>
      </c>
      <c r="AL3309">
        <v>78.276728917042803</v>
      </c>
      <c r="AM3309">
        <v>82.791756089683901</v>
      </c>
      <c r="AN3309">
        <v>1.00000001557128</v>
      </c>
    </row>
    <row r="3310" spans="1:40" x14ac:dyDescent="0.25">
      <c r="A3310" t="str">
        <f>"20190303170603819"</f>
        <v>20190303170603819</v>
      </c>
      <c r="B3310" t="str">
        <f>"1551603963807706"</f>
        <v>1551603963807706</v>
      </c>
      <c r="C3310" t="s">
        <v>40</v>
      </c>
      <c r="D3310">
        <v>6.1554310000000001</v>
      </c>
      <c r="E3310">
        <v>0.55900019999999995</v>
      </c>
      <c r="F3310" t="s">
        <v>52</v>
      </c>
      <c r="G3310">
        <v>-201.36320000000001</v>
      </c>
      <c r="H3310" s="1">
        <v>3.285809E-6</v>
      </c>
      <c r="I3310">
        <v>209.46190000000001</v>
      </c>
      <c r="J3310">
        <v>-214.26130000000001</v>
      </c>
      <c r="K3310">
        <v>1.115848</v>
      </c>
      <c r="L3310">
        <v>214.20949999999999</v>
      </c>
      <c r="M3310">
        <v>0.99510900000000002</v>
      </c>
      <c r="N3310">
        <v>-1.4335550000000001E-2</v>
      </c>
      <c r="O3310">
        <v>-9.7738439999999996E-2</v>
      </c>
      <c r="P3310">
        <v>0.9576945</v>
      </c>
      <c r="Q3310">
        <v>0.19095190000000001</v>
      </c>
      <c r="R3310">
        <v>-0.21531110000000001</v>
      </c>
      <c r="S3310">
        <v>2.9453130000000001</v>
      </c>
      <c r="T3310">
        <v>-0.24726919999999999</v>
      </c>
      <c r="U3310">
        <v>-1.0611269999999999</v>
      </c>
      <c r="V3310">
        <v>0.1232323</v>
      </c>
      <c r="W3310">
        <v>0.20336480000000001</v>
      </c>
      <c r="X3310">
        <v>0.97131690000000004</v>
      </c>
      <c r="Y3310">
        <v>0.24467149999999999</v>
      </c>
      <c r="Z3310">
        <v>-5.2170410000000004E-3</v>
      </c>
      <c r="AA3310">
        <v>0.96959200000000001</v>
      </c>
      <c r="AB3310">
        <v>39</v>
      </c>
      <c r="AC3310">
        <v>12.898099999999999</v>
      </c>
      <c r="AD3310">
        <v>-1.115844714191</v>
      </c>
      <c r="AE3310">
        <v>-4.7475999999999701</v>
      </c>
      <c r="AF3310">
        <v>3.4414113544328799</v>
      </c>
      <c r="AG3310">
        <v>-1.115844714191</v>
      </c>
      <c r="AH3310">
        <v>13.2133101314723</v>
      </c>
      <c r="AI3310">
        <v>94.671956435178402</v>
      </c>
      <c r="AJ3310">
        <v>75.401616714331098</v>
      </c>
      <c r="AK3310">
        <v>13.6996345267703</v>
      </c>
      <c r="AL3310">
        <v>78.266207053884401</v>
      </c>
      <c r="AM3310">
        <v>82.769436377842794</v>
      </c>
      <c r="AN3310">
        <v>0.99999998093396902</v>
      </c>
    </row>
    <row r="3311" spans="1:40" x14ac:dyDescent="0.25">
      <c r="A3311" t="str">
        <f>"20190303170603840"</f>
        <v>20190303170603840</v>
      </c>
      <c r="B3311" t="str">
        <f>"1551603963828202"</f>
        <v>1551603963828202</v>
      </c>
      <c r="C3311" t="s">
        <v>40</v>
      </c>
      <c r="D3311">
        <v>5.7927249999999999</v>
      </c>
      <c r="E3311">
        <v>0.55905850000000001</v>
      </c>
      <c r="F3311" t="s">
        <v>52</v>
      </c>
      <c r="G3311">
        <v>-201.0478</v>
      </c>
      <c r="H3311" s="1">
        <v>3.1617580000000001E-6</v>
      </c>
      <c r="I3311">
        <v>209.37219999999999</v>
      </c>
      <c r="J3311">
        <v>-213.89490000000001</v>
      </c>
      <c r="K3311">
        <v>1.1158349999999999</v>
      </c>
      <c r="L3311">
        <v>214.1694</v>
      </c>
      <c r="M3311">
        <v>0.99463290000000004</v>
      </c>
      <c r="N3311">
        <v>-1.4336659999999999E-2</v>
      </c>
      <c r="O3311">
        <v>-0.1024699</v>
      </c>
      <c r="P3311">
        <v>0.95645420000000003</v>
      </c>
      <c r="Q3311">
        <v>0.1912865</v>
      </c>
      <c r="R3311">
        <v>-0.22046560000000001</v>
      </c>
      <c r="S3311">
        <v>2.940048</v>
      </c>
      <c r="T3311">
        <v>-0.2482789</v>
      </c>
      <c r="U3311">
        <v>-1.076309</v>
      </c>
      <c r="V3311">
        <v>0.1238658</v>
      </c>
      <c r="W3311">
        <v>0.20368459999999999</v>
      </c>
      <c r="X3311">
        <v>0.97116939999999996</v>
      </c>
      <c r="Y3311">
        <v>0.2450406</v>
      </c>
      <c r="Z3311">
        <v>-4.9309999999999996E-3</v>
      </c>
      <c r="AA3311">
        <v>0.96950029999999998</v>
      </c>
      <c r="AB3311">
        <v>39</v>
      </c>
      <c r="AC3311">
        <v>12.847099999999999</v>
      </c>
      <c r="AD3311">
        <v>-1.1158318382420001</v>
      </c>
      <c r="AE3311">
        <v>-4.7972000000000001</v>
      </c>
      <c r="AF3311">
        <v>3.4326404310388701</v>
      </c>
      <c r="AG3311">
        <v>-1.1158318382420001</v>
      </c>
      <c r="AH3311">
        <v>13.183794508430999</v>
      </c>
      <c r="AI3311">
        <v>94.682409108249004</v>
      </c>
      <c r="AJ3311">
        <v>75.406026764228997</v>
      </c>
      <c r="AK3311">
        <v>13.6689626036716</v>
      </c>
      <c r="AL3311">
        <v>78.247493314956799</v>
      </c>
      <c r="AM3311">
        <v>82.731570670287994</v>
      </c>
      <c r="AN3311">
        <v>1.0000000780915701</v>
      </c>
    </row>
    <row r="3312" spans="1:40" x14ac:dyDescent="0.25">
      <c r="A3312" t="str">
        <f>"20190303170603864"</f>
        <v>20190303170603864</v>
      </c>
      <c r="B3312" t="str">
        <f>"1551603963858456"</f>
        <v>1551603963858456</v>
      </c>
      <c r="C3312" t="s">
        <v>40</v>
      </c>
      <c r="D3312">
        <v>5.7877830000000001</v>
      </c>
      <c r="E3312">
        <v>0.56455730000000004</v>
      </c>
      <c r="F3312" t="s">
        <v>52</v>
      </c>
      <c r="G3312">
        <v>-200.68180000000001</v>
      </c>
      <c r="H3312" s="1">
        <v>3.0209129999999999E-6</v>
      </c>
      <c r="I3312">
        <v>209.25020000000001</v>
      </c>
      <c r="J3312">
        <v>-213.49459999999999</v>
      </c>
      <c r="K3312">
        <v>1.115818</v>
      </c>
      <c r="L3312">
        <v>214.12360000000001</v>
      </c>
      <c r="M3312">
        <v>0.99408560000000001</v>
      </c>
      <c r="N3312">
        <v>-1.433777E-2</v>
      </c>
      <c r="O3312">
        <v>-0.10764990000000001</v>
      </c>
      <c r="P3312">
        <v>0.95530519999999997</v>
      </c>
      <c r="Q3312">
        <v>0.191381</v>
      </c>
      <c r="R3312">
        <v>-0.2253127</v>
      </c>
      <c r="S3312">
        <v>2.9343409999999999</v>
      </c>
      <c r="T3312">
        <v>-0.24780199999999999</v>
      </c>
      <c r="U3312">
        <v>-1.092438</v>
      </c>
      <c r="V3312">
        <v>0.12374309999999999</v>
      </c>
      <c r="W3312">
        <v>0.20377700000000001</v>
      </c>
      <c r="X3312">
        <v>0.97116559999999996</v>
      </c>
      <c r="Y3312">
        <v>0.24529970000000001</v>
      </c>
      <c r="Z3312">
        <v>-4.5989639999999997E-3</v>
      </c>
      <c r="AA3312">
        <v>0.96943639999999998</v>
      </c>
      <c r="AB3312">
        <v>39</v>
      </c>
      <c r="AC3312">
        <v>12.8127999999999</v>
      </c>
      <c r="AD3312">
        <v>-1.115814979087</v>
      </c>
      <c r="AE3312">
        <v>-4.8734000000000002</v>
      </c>
      <c r="AF3312">
        <v>3.4428256062004601</v>
      </c>
      <c r="AG3312">
        <v>-1.115814979087</v>
      </c>
      <c r="AH3312">
        <v>13.175707467021001</v>
      </c>
      <c r="AI3312">
        <v>94.684137336143607</v>
      </c>
      <c r="AJ3312">
        <v>75.355983817648493</v>
      </c>
      <c r="AK3312">
        <v>13.6637241804267</v>
      </c>
      <c r="AL3312">
        <v>78.242085098677805</v>
      </c>
      <c r="AM3312">
        <v>82.738665696399096</v>
      </c>
      <c r="AN3312">
        <v>1.00000002157498</v>
      </c>
    </row>
    <row r="3313" spans="1:40" x14ac:dyDescent="0.25">
      <c r="A3313" t="str">
        <f>"20190303170603890"</f>
        <v>20190303170603890</v>
      </c>
      <c r="B3313" t="str">
        <f>"1551603963877977"</f>
        <v>1551603963877977</v>
      </c>
      <c r="C3313" t="s">
        <v>40</v>
      </c>
      <c r="D3313">
        <v>5.7825959999999998</v>
      </c>
      <c r="E3313">
        <v>0.56513290000000005</v>
      </c>
      <c r="F3313" t="s">
        <v>52</v>
      </c>
      <c r="G3313">
        <v>-201.3862</v>
      </c>
      <c r="H3313" s="1">
        <v>3.3134610000000001E-6</v>
      </c>
      <c r="I3313">
        <v>209.363</v>
      </c>
      <c r="J3313">
        <v>-213.03899999999999</v>
      </c>
      <c r="K3313">
        <v>1.115804</v>
      </c>
      <c r="L3313">
        <v>214.0686</v>
      </c>
      <c r="M3313">
        <v>0.99342759999999997</v>
      </c>
      <c r="N3313">
        <v>-1.4338729999999999E-2</v>
      </c>
      <c r="O3313">
        <v>-0.1135608</v>
      </c>
      <c r="P3313">
        <v>0.95387359999999999</v>
      </c>
      <c r="Q3313">
        <v>0.19135160000000001</v>
      </c>
      <c r="R3313">
        <v>-0.23132179999999999</v>
      </c>
      <c r="S3313">
        <v>2.9232330000000002</v>
      </c>
      <c r="T3313">
        <v>-0.26938400000000001</v>
      </c>
      <c r="U3313">
        <v>-1.1493230000000001</v>
      </c>
      <c r="V3313">
        <v>0.1240877</v>
      </c>
      <c r="W3313">
        <v>0.20373869999999999</v>
      </c>
      <c r="X3313">
        <v>0.97112969999999998</v>
      </c>
      <c r="Y3313">
        <v>0.25703300000000001</v>
      </c>
      <c r="Z3313">
        <v>-4.8882099999999996E-3</v>
      </c>
      <c r="AA3313">
        <v>0.96639030000000004</v>
      </c>
      <c r="AB3313">
        <v>39</v>
      </c>
      <c r="AC3313">
        <v>11.652799999999999</v>
      </c>
      <c r="AD3313">
        <v>-1.115800686539</v>
      </c>
      <c r="AE3313">
        <v>-4.7055999999999996</v>
      </c>
      <c r="AF3313">
        <v>3.3255002315876201</v>
      </c>
      <c r="AG3313">
        <v>-1.115800686539</v>
      </c>
      <c r="AH3313">
        <v>12.017095445451799</v>
      </c>
      <c r="AI3313">
        <v>95.113653811357807</v>
      </c>
      <c r="AJ3313">
        <v>74.531595248068399</v>
      </c>
      <c r="AK3313">
        <v>12.518568045406401</v>
      </c>
      <c r="AL3313">
        <v>78.244326944586007</v>
      </c>
      <c r="AM3313">
        <v>82.718394758634901</v>
      </c>
      <c r="AN3313">
        <v>1.0000000546955301</v>
      </c>
    </row>
    <row r="3314" spans="1:40" x14ac:dyDescent="0.25">
      <c r="A3314" t="str">
        <f>"20190303170603910"</f>
        <v>20190303170603910</v>
      </c>
      <c r="B3314" t="str">
        <f>"1551603963898473"</f>
        <v>1551603963898473</v>
      </c>
      <c r="C3314" t="s">
        <v>40</v>
      </c>
      <c r="D3314">
        <v>5.7750700000000004</v>
      </c>
      <c r="E3314">
        <v>0.56540190000000001</v>
      </c>
      <c r="F3314" t="s">
        <v>52</v>
      </c>
      <c r="G3314">
        <v>-200.9803</v>
      </c>
      <c r="H3314" s="1">
        <v>3.1590460000000002E-6</v>
      </c>
      <c r="I3314">
        <v>209.21770000000001</v>
      </c>
      <c r="J3314">
        <v>-212.70189999999999</v>
      </c>
      <c r="K3314">
        <v>1.1157820000000001</v>
      </c>
      <c r="L3314">
        <v>214.02629999999999</v>
      </c>
      <c r="M3314">
        <v>0.99291680000000004</v>
      </c>
      <c r="N3314">
        <v>-1.433916E-2</v>
      </c>
      <c r="O3314">
        <v>-0.1179432</v>
      </c>
      <c r="P3314">
        <v>0.95252440000000005</v>
      </c>
      <c r="Q3314">
        <v>0.19168930000000001</v>
      </c>
      <c r="R3314">
        <v>-0.23654240000000001</v>
      </c>
      <c r="S3314">
        <v>2.914825</v>
      </c>
      <c r="T3314">
        <v>-0.26971109999999998</v>
      </c>
      <c r="U3314">
        <v>-1.1725620000000001</v>
      </c>
      <c r="V3314">
        <v>0.1251401</v>
      </c>
      <c r="W3314">
        <v>0.2040585</v>
      </c>
      <c r="X3314">
        <v>0.9709274</v>
      </c>
      <c r="Y3314">
        <v>0.26036130000000002</v>
      </c>
      <c r="Z3314">
        <v>-4.7443320000000004E-3</v>
      </c>
      <c r="AA3314">
        <v>0.96549960000000001</v>
      </c>
      <c r="AB3314">
        <v>39</v>
      </c>
      <c r="AC3314">
        <v>11.721599999999899</v>
      </c>
      <c r="AD3314">
        <v>-1.1157788409539999</v>
      </c>
      <c r="AE3314">
        <v>-4.8085999999999798</v>
      </c>
      <c r="AF3314">
        <v>3.3662969266417901</v>
      </c>
      <c r="AG3314">
        <v>-1.1157788409539999</v>
      </c>
      <c r="AH3314">
        <v>12.113023211971001</v>
      </c>
      <c r="AI3314">
        <v>95.071741431054093</v>
      </c>
      <c r="AJ3314">
        <v>74.469002602344304</v>
      </c>
      <c r="AK3314">
        <v>12.6214994653562</v>
      </c>
      <c r="AL3314">
        <v>78.225609503150693</v>
      </c>
      <c r="AM3314">
        <v>82.655796707514995</v>
      </c>
      <c r="AN3314">
        <v>0.999999966060509</v>
      </c>
    </row>
    <row r="3315" spans="1:40" x14ac:dyDescent="0.25">
      <c r="A3315" t="str">
        <f>"20190303170603929"</f>
        <v>20190303170603929</v>
      </c>
      <c r="B3315" t="str">
        <f>"1551603963917993"</f>
        <v>1551603963917993</v>
      </c>
      <c r="C3315" t="s">
        <v>40</v>
      </c>
      <c r="D3315">
        <v>5.7659799999999999</v>
      </c>
      <c r="E3315">
        <v>0.56569349999999996</v>
      </c>
      <c r="F3315" t="s">
        <v>52</v>
      </c>
      <c r="G3315">
        <v>-200.75120000000001</v>
      </c>
      <c r="H3315" s="1">
        <v>3.0705850000000001E-6</v>
      </c>
      <c r="I3315">
        <v>209.1429</v>
      </c>
      <c r="J3315">
        <v>-212.35929999999999</v>
      </c>
      <c r="K3315">
        <v>1.1157709999999901</v>
      </c>
      <c r="L3315">
        <v>213.98169999999999</v>
      </c>
      <c r="M3315">
        <v>0.99237629999999999</v>
      </c>
      <c r="N3315">
        <v>-1.4339360000000001E-2</v>
      </c>
      <c r="O3315">
        <v>-0.122408</v>
      </c>
      <c r="P3315">
        <v>0.95105499999999998</v>
      </c>
      <c r="Q3315">
        <v>0.19078809999999999</v>
      </c>
      <c r="R3315">
        <v>-0.24309320000000001</v>
      </c>
      <c r="S3315">
        <v>2.9089809999999998</v>
      </c>
      <c r="T3315">
        <v>-0.2715958</v>
      </c>
      <c r="U3315">
        <v>-1.1886749999999999</v>
      </c>
      <c r="V3315">
        <v>0.12743160000000001</v>
      </c>
      <c r="W3315">
        <v>0.20312479999999999</v>
      </c>
      <c r="X3315">
        <v>0.97082520000000005</v>
      </c>
      <c r="Y3315">
        <v>0.26128040000000002</v>
      </c>
      <c r="Z3315">
        <v>-4.4721789999999997E-3</v>
      </c>
      <c r="AA3315">
        <v>0.96525260000000002</v>
      </c>
      <c r="AB3315">
        <v>38</v>
      </c>
      <c r="AC3315">
        <v>11.608099999999901</v>
      </c>
      <c r="AD3315">
        <v>-1.11576792941499</v>
      </c>
      <c r="AE3315">
        <v>-4.8387999999999902</v>
      </c>
      <c r="AF3315">
        <v>3.3549261060964501</v>
      </c>
      <c r="AG3315">
        <v>-1.11576792941499</v>
      </c>
      <c r="AH3315">
        <v>12.018554738156499</v>
      </c>
      <c r="AI3315">
        <v>95.1097192799852</v>
      </c>
      <c r="AJ3315">
        <v>74.403160694362796</v>
      </c>
      <c r="AK3315">
        <v>12.5278140648615</v>
      </c>
      <c r="AL3315">
        <v>78.280251789632999</v>
      </c>
      <c r="AM3315">
        <v>82.522043533320698</v>
      </c>
      <c r="AN3315">
        <v>1.00000003300431</v>
      </c>
    </row>
    <row r="3316" spans="1:40" x14ac:dyDescent="0.25">
      <c r="A3316" t="str">
        <f>"20190303170603952"</f>
        <v>20190303170603952</v>
      </c>
      <c r="B3316" t="str">
        <f>"1551603963938490"</f>
        <v>1551603963938490</v>
      </c>
      <c r="C3316" t="s">
        <v>40</v>
      </c>
      <c r="D3316">
        <v>5.7603460000000002</v>
      </c>
      <c r="E3316">
        <v>0.56614799999999998</v>
      </c>
      <c r="F3316" t="s">
        <v>52</v>
      </c>
      <c r="G3316">
        <v>-200.65799999999999</v>
      </c>
      <c r="H3316" s="1">
        <v>3.0362869999999999E-6</v>
      </c>
      <c r="I3316">
        <v>209.10300000000001</v>
      </c>
      <c r="J3316">
        <v>-211.97020000000001</v>
      </c>
      <c r="K3316">
        <v>1.1157589999999999</v>
      </c>
      <c r="L3316">
        <v>213.92910000000001</v>
      </c>
      <c r="M3316">
        <v>0.99173599999999995</v>
      </c>
      <c r="N3316">
        <v>-1.433944E-2</v>
      </c>
      <c r="O3316">
        <v>-0.1274921</v>
      </c>
      <c r="P3316">
        <v>0.95001910000000001</v>
      </c>
      <c r="Q3316">
        <v>0.1892113</v>
      </c>
      <c r="R3316">
        <v>-0.2483206</v>
      </c>
      <c r="S3316">
        <v>2.9007420000000002</v>
      </c>
      <c r="T3316">
        <v>-0.2765977</v>
      </c>
      <c r="U3316">
        <v>-1.2094119999999999</v>
      </c>
      <c r="V3316">
        <v>0.12773960000000001</v>
      </c>
      <c r="W3316">
        <v>0.201546</v>
      </c>
      <c r="X3316">
        <v>0.97111369999999997</v>
      </c>
      <c r="Y3316">
        <v>0.26316699999999998</v>
      </c>
      <c r="Z3316">
        <v>-4.2055759999999999E-3</v>
      </c>
      <c r="AA3316">
        <v>0.96474110000000002</v>
      </c>
      <c r="AB3316">
        <v>38</v>
      </c>
      <c r="AC3316">
        <v>11.312200000000001</v>
      </c>
      <c r="AD3316">
        <v>-1.1157559637129999</v>
      </c>
      <c r="AE3316">
        <v>-4.8261000000000198</v>
      </c>
      <c r="AF3316">
        <v>3.3170438718246</v>
      </c>
      <c r="AG3316">
        <v>-1.1157559637129999</v>
      </c>
      <c r="AH3316">
        <v>11.738607747594401</v>
      </c>
      <c r="AI3316">
        <v>95.226211124714794</v>
      </c>
      <c r="AJ3316">
        <v>74.221003855122007</v>
      </c>
      <c r="AK3316">
        <v>12.2491878616524</v>
      </c>
      <c r="AL3316">
        <v>78.372620603395603</v>
      </c>
      <c r="AM3316">
        <v>82.506376285601903</v>
      </c>
      <c r="AN3316">
        <v>1.0000000069259201</v>
      </c>
    </row>
    <row r="3317" spans="1:40" x14ac:dyDescent="0.25">
      <c r="A3317" t="str">
        <f>"20190303170603974"</f>
        <v>20190303170603974</v>
      </c>
      <c r="B3317" t="str">
        <f>"1551603963967773"</f>
        <v>1551603963967773</v>
      </c>
      <c r="C3317" t="s">
        <v>40</v>
      </c>
      <c r="D3317">
        <v>5.743741</v>
      </c>
      <c r="E3317">
        <v>0.56629849999999904</v>
      </c>
      <c r="F3317" t="s">
        <v>52</v>
      </c>
      <c r="G3317">
        <v>-200.46449999999999</v>
      </c>
      <c r="H3317" s="1">
        <v>2.9693000000000001E-6</v>
      </c>
      <c r="I3317">
        <v>209.0341</v>
      </c>
      <c r="J3317">
        <v>-211.58449999999999</v>
      </c>
      <c r="K3317">
        <v>1.1157459999999999</v>
      </c>
      <c r="L3317">
        <v>213.875</v>
      </c>
      <c r="M3317">
        <v>0.99107270000000003</v>
      </c>
      <c r="N3317">
        <v>-1.433954E-2</v>
      </c>
      <c r="O3317">
        <v>-0.13255020000000001</v>
      </c>
      <c r="P3317">
        <v>0.94913890000000001</v>
      </c>
      <c r="Q3317">
        <v>0.18746070000000001</v>
      </c>
      <c r="R3317">
        <v>-0.25296990000000003</v>
      </c>
      <c r="S3317">
        <v>2.8920750000000002</v>
      </c>
      <c r="T3317">
        <v>-0.28045710000000001</v>
      </c>
      <c r="U3317">
        <v>-1.2303919999999999</v>
      </c>
      <c r="V3317">
        <v>0.12747600000000001</v>
      </c>
      <c r="W3317">
        <v>0.19980210000000001</v>
      </c>
      <c r="X3317">
        <v>0.97150860000000006</v>
      </c>
      <c r="Y3317">
        <v>0.2651983</v>
      </c>
      <c r="Z3317">
        <v>-3.9347729999999999E-3</v>
      </c>
      <c r="AA3317">
        <v>0.96418590000000004</v>
      </c>
      <c r="AB3317">
        <v>38</v>
      </c>
      <c r="AC3317">
        <v>11.12</v>
      </c>
      <c r="AD3317">
        <v>-1.11574303069999</v>
      </c>
      <c r="AE3317">
        <v>-4.8409000000000004</v>
      </c>
      <c r="AF3317">
        <v>3.29616985129964</v>
      </c>
      <c r="AG3317">
        <v>-1.11574303069999</v>
      </c>
      <c r="AH3317">
        <v>11.565702195179901</v>
      </c>
      <c r="AI3317">
        <v>95.300488532648401</v>
      </c>
      <c r="AJ3317">
        <v>74.0927013247817</v>
      </c>
      <c r="AK3317">
        <v>12.077875867335299</v>
      </c>
      <c r="AL3317">
        <v>78.474613200976194</v>
      </c>
      <c r="AM3317">
        <v>82.524670138171999</v>
      </c>
      <c r="AN3317">
        <v>0.99999998480718399</v>
      </c>
    </row>
    <row r="3318" spans="1:40" x14ac:dyDescent="0.25">
      <c r="A3318" t="str">
        <f>"20190303170603997"</f>
        <v>20190303170603997</v>
      </c>
      <c r="B3318" t="str">
        <f>"1551603963988265"</f>
        <v>1551603963988265</v>
      </c>
      <c r="C3318" t="s">
        <v>40</v>
      </c>
      <c r="D3318">
        <v>5.7509399999999999</v>
      </c>
      <c r="E3318">
        <v>0.56637969999999904</v>
      </c>
      <c r="F3318" t="s">
        <v>52</v>
      </c>
      <c r="G3318">
        <v>-200.17580000000001</v>
      </c>
      <c r="H3318" s="1">
        <v>2.8915670000000001E-6</v>
      </c>
      <c r="I3318">
        <v>208.941</v>
      </c>
      <c r="J3318">
        <v>-211.2088</v>
      </c>
      <c r="K3318">
        <v>1.1157330000000001</v>
      </c>
      <c r="L3318">
        <v>213.8203</v>
      </c>
      <c r="M3318">
        <v>0.99039730000000004</v>
      </c>
      <c r="N3318">
        <v>-1.433984E-2</v>
      </c>
      <c r="O3318">
        <v>-0.13750490000000001</v>
      </c>
      <c r="P3318">
        <v>0.94775790000000004</v>
      </c>
      <c r="Q3318">
        <v>0.1878312</v>
      </c>
      <c r="R3318">
        <v>-0.25782680000000002</v>
      </c>
      <c r="S3318">
        <v>2.8840479999999999</v>
      </c>
      <c r="T3318">
        <v>-0.28205360000000002</v>
      </c>
      <c r="U3318">
        <v>-1.2472840000000001</v>
      </c>
      <c r="V3318">
        <v>0.1276139</v>
      </c>
      <c r="W3318">
        <v>0.2001656</v>
      </c>
      <c r="X3318">
        <v>0.97141569999999999</v>
      </c>
      <c r="Y3318">
        <v>0.26611180000000001</v>
      </c>
      <c r="Z3318">
        <v>-3.6027640000000001E-3</v>
      </c>
      <c r="AA3318">
        <v>0.9639354</v>
      </c>
      <c r="AB3318">
        <v>38</v>
      </c>
      <c r="AC3318">
        <v>11.0329999999999</v>
      </c>
      <c r="AD3318">
        <v>-1.115730108433</v>
      </c>
      <c r="AE3318">
        <v>-4.8793000000000202</v>
      </c>
      <c r="AF3318">
        <v>3.2875740557620601</v>
      </c>
      <c r="AG3318">
        <v>-1.115730108433</v>
      </c>
      <c r="AH3318">
        <v>11.5007995662111</v>
      </c>
      <c r="AI3318">
        <v>95.328963686792093</v>
      </c>
      <c r="AJ3318">
        <v>74.047090666811201</v>
      </c>
      <c r="AK3318">
        <v>12.0133836827575</v>
      </c>
      <c r="AL3318">
        <v>78.453357182970805</v>
      </c>
      <c r="AM3318">
        <v>82.515967590805204</v>
      </c>
      <c r="AN3318">
        <v>1.0000000185515201</v>
      </c>
    </row>
    <row r="3319" spans="1:40" x14ac:dyDescent="0.25">
      <c r="A3319" t="str">
        <f>"20190303170604018"</f>
        <v>20190303170604018</v>
      </c>
      <c r="B3319" t="str">
        <f>"1551603964007785"</f>
        <v>1551603964007785</v>
      </c>
      <c r="C3319" t="s">
        <v>40</v>
      </c>
      <c r="D3319">
        <v>5.7295360000000004</v>
      </c>
      <c r="E3319">
        <v>0.56652219999999998</v>
      </c>
      <c r="F3319" t="s">
        <v>52</v>
      </c>
      <c r="G3319">
        <v>-199.7123</v>
      </c>
      <c r="H3319" s="1">
        <v>2.9005469999999998E-6</v>
      </c>
      <c r="I3319">
        <v>208.77940000000001</v>
      </c>
      <c r="J3319">
        <v>-210.8366</v>
      </c>
      <c r="K3319">
        <v>1.1157239999999999</v>
      </c>
      <c r="L3319">
        <v>213.76419999999999</v>
      </c>
      <c r="M3319">
        <v>0.98969799999999997</v>
      </c>
      <c r="N3319">
        <v>-1.434092E-2</v>
      </c>
      <c r="O3319">
        <v>-0.1424501</v>
      </c>
      <c r="P3319">
        <v>0.94606840000000003</v>
      </c>
      <c r="Q3319">
        <v>0.1896854</v>
      </c>
      <c r="R3319">
        <v>-0.2626288</v>
      </c>
      <c r="S3319">
        <v>2.8774869999999999</v>
      </c>
      <c r="T3319">
        <v>-0.27925919999999999</v>
      </c>
      <c r="U3319">
        <v>-1.261703</v>
      </c>
      <c r="V3319">
        <v>0.12777430000000001</v>
      </c>
      <c r="W3319">
        <v>0.20200689999999999</v>
      </c>
      <c r="X3319">
        <v>0.97101340000000003</v>
      </c>
      <c r="Y3319">
        <v>0.26618350000000002</v>
      </c>
      <c r="Z3319">
        <v>-3.232122E-3</v>
      </c>
      <c r="AA3319">
        <v>0.96391700000000002</v>
      </c>
      <c r="AB3319">
        <v>38</v>
      </c>
      <c r="AC3319">
        <v>11.1243</v>
      </c>
      <c r="AD3319">
        <v>-1.115721099453</v>
      </c>
      <c r="AE3319">
        <v>-4.9847999999999697</v>
      </c>
      <c r="AF3319">
        <v>3.3213104562533098</v>
      </c>
      <c r="AG3319">
        <v>-1.115721099453</v>
      </c>
      <c r="AH3319">
        <v>11.623616046113799</v>
      </c>
      <c r="AI3319">
        <v>95.273097427559307</v>
      </c>
      <c r="AJ3319">
        <v>74.053340384295197</v>
      </c>
      <c r="AK3319">
        <v>12.140197144447701</v>
      </c>
      <c r="AL3319">
        <v>78.3456588142664</v>
      </c>
      <c r="AM3319">
        <v>82.503598363447793</v>
      </c>
      <c r="AN3319">
        <v>1.0000000411838199</v>
      </c>
    </row>
    <row r="3320" spans="1:40" x14ac:dyDescent="0.25">
      <c r="A3320" t="str">
        <f>"20190303170604040"</f>
        <v>20190303170604040</v>
      </c>
      <c r="B3320" t="str">
        <f>"1551603964028281"</f>
        <v>1551603964028281</v>
      </c>
      <c r="C3320" t="s">
        <v>40</v>
      </c>
      <c r="D3320">
        <v>5.7142049999999998</v>
      </c>
      <c r="E3320">
        <v>0.56656759999999995</v>
      </c>
      <c r="F3320" t="s">
        <v>52</v>
      </c>
      <c r="G3320">
        <v>-199.07599999999999</v>
      </c>
      <c r="H3320" s="1">
        <v>3.0776599999999902E-6</v>
      </c>
      <c r="I3320">
        <v>208.5367</v>
      </c>
      <c r="J3320">
        <v>-210.45410000000001</v>
      </c>
      <c r="K3320">
        <v>1.1156969999999999</v>
      </c>
      <c r="L3320">
        <v>213.7046</v>
      </c>
      <c r="M3320">
        <v>0.98894479999999996</v>
      </c>
      <c r="N3320">
        <v>-1.434242E-2</v>
      </c>
      <c r="O3320">
        <v>-0.14759</v>
      </c>
      <c r="P3320">
        <v>0.94459729999999997</v>
      </c>
      <c r="Q3320">
        <v>0.1910299</v>
      </c>
      <c r="R3320">
        <v>-0.26691520000000002</v>
      </c>
      <c r="S3320">
        <v>2.8713380000000002</v>
      </c>
      <c r="T3320">
        <v>-0.27240130000000001</v>
      </c>
      <c r="U3320">
        <v>-1.276276</v>
      </c>
      <c r="V3320">
        <v>0.1272044</v>
      </c>
      <c r="W3320">
        <v>0.20334659999999999</v>
      </c>
      <c r="X3320">
        <v>0.97080849999999996</v>
      </c>
      <c r="Y3320">
        <v>0.26607340000000002</v>
      </c>
      <c r="Z3320">
        <v>-2.8632829999999999E-3</v>
      </c>
      <c r="AA3320">
        <v>0.96394849999999999</v>
      </c>
      <c r="AB3320">
        <v>38</v>
      </c>
      <c r="AC3320">
        <v>11.3781</v>
      </c>
      <c r="AD3320">
        <v>-1.11569392234</v>
      </c>
      <c r="AE3320">
        <v>-5.1679000000000004</v>
      </c>
      <c r="AF3320">
        <v>3.4046886831027798</v>
      </c>
      <c r="AG3320">
        <v>-1.11569392234</v>
      </c>
      <c r="AH3320">
        <v>11.921256271999299</v>
      </c>
      <c r="AI3320">
        <v>95.142222321923796</v>
      </c>
      <c r="AJ3320">
        <v>74.060756418193407</v>
      </c>
      <c r="AK3320">
        <v>12.4480130567042</v>
      </c>
      <c r="AL3320">
        <v>78.267271977572705</v>
      </c>
      <c r="AM3320">
        <v>82.535098655715501</v>
      </c>
      <c r="AN3320">
        <v>0.99999997139158403</v>
      </c>
    </row>
    <row r="3321" spans="1:40" x14ac:dyDescent="0.25">
      <c r="A3321" t="str">
        <f>"20190303170604065"</f>
        <v>20190303170604065</v>
      </c>
      <c r="B3321" t="str">
        <f>"1551603964058537"</f>
        <v>1551603964058537</v>
      </c>
      <c r="C3321" t="s">
        <v>40</v>
      </c>
      <c r="D3321">
        <v>5.6916010000000004</v>
      </c>
      <c r="E3321">
        <v>0.57024680000000005</v>
      </c>
      <c r="F3321" t="s">
        <v>52</v>
      </c>
      <c r="G3321">
        <v>-198.50559999999999</v>
      </c>
      <c r="H3321" s="1">
        <v>3.235147E-6</v>
      </c>
      <c r="I3321">
        <v>208.32409999999999</v>
      </c>
      <c r="J3321">
        <v>-210.05520000000001</v>
      </c>
      <c r="K3321">
        <v>1.1156410000000001</v>
      </c>
      <c r="L3321">
        <v>213.64009999999999</v>
      </c>
      <c r="M3321">
        <v>0.98811689999999996</v>
      </c>
      <c r="N3321">
        <v>-1.434448E-2</v>
      </c>
      <c r="O3321">
        <v>-0.15303420000000001</v>
      </c>
      <c r="P3321">
        <v>0.94328780000000001</v>
      </c>
      <c r="Q3321">
        <v>0.1908067</v>
      </c>
      <c r="R3321">
        <v>-0.27166410000000002</v>
      </c>
      <c r="S3321">
        <v>2.8654630000000001</v>
      </c>
      <c r="T3321">
        <v>-0.26756489999999999</v>
      </c>
      <c r="U3321">
        <v>-1.2903439999999999</v>
      </c>
      <c r="V3321">
        <v>0.1267568</v>
      </c>
      <c r="W3321">
        <v>0.2031173</v>
      </c>
      <c r="X3321">
        <v>0.97091510000000003</v>
      </c>
      <c r="Y3321">
        <v>0.26547799999999999</v>
      </c>
      <c r="Z3321">
        <v>-2.4580420000000001E-3</v>
      </c>
      <c r="AA3321">
        <v>0.96411380000000002</v>
      </c>
      <c r="AB3321">
        <v>38</v>
      </c>
      <c r="AC3321">
        <v>11.5496</v>
      </c>
      <c r="AD3321">
        <v>-1.11563776485299</v>
      </c>
      <c r="AE3321">
        <v>-5.3159999999999998</v>
      </c>
      <c r="AF3321">
        <v>3.4590707594744998</v>
      </c>
      <c r="AG3321">
        <v>-1.11563776485299</v>
      </c>
      <c r="AH3321">
        <v>12.1337177958459</v>
      </c>
      <c r="AI3321">
        <v>95.0530874069905</v>
      </c>
      <c r="AJ3321">
        <v>74.088250365771401</v>
      </c>
      <c r="AK3321">
        <v>12.6663698702764</v>
      </c>
      <c r="AL3321">
        <v>78.280690593190599</v>
      </c>
      <c r="AM3321">
        <v>82.561878644770303</v>
      </c>
      <c r="AN3321">
        <v>1.00000002765676</v>
      </c>
    </row>
    <row r="3322" spans="1:40" x14ac:dyDescent="0.25">
      <c r="A3322" t="str">
        <f>"20190303170604086"</f>
        <v>20190303170604086</v>
      </c>
      <c r="B3322" t="str">
        <f>"1551603964078057"</f>
        <v>1551603964078057</v>
      </c>
      <c r="C3322" t="s">
        <v>40</v>
      </c>
      <c r="D3322">
        <v>5.677181</v>
      </c>
      <c r="E3322">
        <v>0.57145649999999903</v>
      </c>
      <c r="F3322" t="s">
        <v>52</v>
      </c>
      <c r="G3322">
        <v>-197.6429</v>
      </c>
      <c r="H3322" s="1">
        <v>3.5220910000000001E-6</v>
      </c>
      <c r="I3322">
        <v>207.8184</v>
      </c>
      <c r="J3322">
        <v>-209.6797</v>
      </c>
      <c r="K3322">
        <v>1.1155809999999999</v>
      </c>
      <c r="L3322">
        <v>213.5772</v>
      </c>
      <c r="M3322">
        <v>0.98729409999999895</v>
      </c>
      <c r="N3322">
        <v>-1.43476E-2</v>
      </c>
      <c r="O3322">
        <v>-0.15825449999999999</v>
      </c>
      <c r="P3322">
        <v>0.94141260000000004</v>
      </c>
      <c r="Q3322">
        <v>0.1902459</v>
      </c>
      <c r="R3322">
        <v>-0.27847630000000001</v>
      </c>
      <c r="S3322">
        <v>2.8475039999999998</v>
      </c>
      <c r="T3322">
        <v>-0.25593890000000002</v>
      </c>
      <c r="U3322">
        <v>-1.335556</v>
      </c>
      <c r="V3322">
        <v>0.12865579999999999</v>
      </c>
      <c r="W3322">
        <v>0.20251269999999999</v>
      </c>
      <c r="X3322">
        <v>0.97079159999999998</v>
      </c>
      <c r="Y3322">
        <v>0.2752889</v>
      </c>
      <c r="Z3322">
        <v>-2.6620929999999999E-3</v>
      </c>
      <c r="AA3322">
        <v>0.96135789999999999</v>
      </c>
      <c r="AB3322">
        <v>38</v>
      </c>
      <c r="AC3322">
        <v>12.036799999999999</v>
      </c>
      <c r="AD3322">
        <v>-1.115577477909</v>
      </c>
      <c r="AE3322">
        <v>-5.7587999999999999</v>
      </c>
      <c r="AF3322">
        <v>3.7548949630523798</v>
      </c>
      <c r="AG3322">
        <v>-1.115577477909</v>
      </c>
      <c r="AH3322">
        <v>12.707711228880299</v>
      </c>
      <c r="AI3322">
        <v>94.812331524375395</v>
      </c>
      <c r="AJ3322">
        <v>73.538559053554295</v>
      </c>
      <c r="AK3322">
        <v>13.297731910720101</v>
      </c>
      <c r="AL3322">
        <v>78.316066747465101</v>
      </c>
      <c r="AM3322">
        <v>82.450771242071994</v>
      </c>
      <c r="AN3322">
        <v>1.0000000195827401</v>
      </c>
    </row>
    <row r="3323" spans="1:40" x14ac:dyDescent="0.25">
      <c r="A3323" t="str">
        <f>"20190303170604108"</f>
        <v>20190303170604108</v>
      </c>
      <c r="B3323" t="str">
        <f>"1551603964098553"</f>
        <v>1551603964098553</v>
      </c>
      <c r="C3323" t="s">
        <v>40</v>
      </c>
      <c r="D3323">
        <v>5.6708210000000001</v>
      </c>
      <c r="E3323">
        <v>0.57174040000000004</v>
      </c>
      <c r="F3323" t="s">
        <v>52</v>
      </c>
      <c r="G3323">
        <v>-197.49109999999999</v>
      </c>
      <c r="H3323" s="1">
        <v>3.5779320000000001E-6</v>
      </c>
      <c r="I3323">
        <v>207.70920000000001</v>
      </c>
      <c r="J3323">
        <v>-209.31979999999999</v>
      </c>
      <c r="K3323">
        <v>1.115516</v>
      </c>
      <c r="L3323">
        <v>213.51490000000001</v>
      </c>
      <c r="M3323">
        <v>0.98646579999999995</v>
      </c>
      <c r="N3323">
        <v>-1.435122E-2</v>
      </c>
      <c r="O3323">
        <v>-0.16333819999999999</v>
      </c>
      <c r="P3323">
        <v>0.93933880000000003</v>
      </c>
      <c r="Q3323">
        <v>0.1903784</v>
      </c>
      <c r="R3323">
        <v>-0.28530489999999997</v>
      </c>
      <c r="S3323">
        <v>2.8353419999999998</v>
      </c>
      <c r="T3323">
        <v>-0.25950719999999999</v>
      </c>
      <c r="U3323">
        <v>-1.365005</v>
      </c>
      <c r="V3323">
        <v>0.1307479</v>
      </c>
      <c r="W3323">
        <v>0.20259669999999999</v>
      </c>
      <c r="X3323">
        <v>0.97049450000000004</v>
      </c>
      <c r="Y3323">
        <v>0.28003420000000001</v>
      </c>
      <c r="Z3323">
        <v>-2.5252529999999999E-3</v>
      </c>
      <c r="AA3323">
        <v>0.95998669999999997</v>
      </c>
      <c r="AB3323">
        <v>38</v>
      </c>
      <c r="AC3323">
        <v>11.8286999999999</v>
      </c>
      <c r="AD3323">
        <v>-1.1155124220679999</v>
      </c>
      <c r="AE3323">
        <v>-5.8056999999999999</v>
      </c>
      <c r="AF3323">
        <v>3.76842822678862</v>
      </c>
      <c r="AG3323">
        <v>-1.1155124220679999</v>
      </c>
      <c r="AH3323">
        <v>12.5284081495536</v>
      </c>
      <c r="AI3323">
        <v>94.873535480616297</v>
      </c>
      <c r="AJ3323">
        <v>73.2592035271078</v>
      </c>
      <c r="AK3323">
        <v>13.1303629053445</v>
      </c>
      <c r="AL3323">
        <v>78.311151856044702</v>
      </c>
      <c r="AM3323">
        <v>82.327141432479294</v>
      </c>
      <c r="AN3323">
        <v>1.00000000536777</v>
      </c>
    </row>
    <row r="3324" spans="1:40" x14ac:dyDescent="0.25">
      <c r="A3324" t="str">
        <f>"20190303170604130"</f>
        <v>20190303170604130</v>
      </c>
      <c r="B3324" t="str">
        <f>"1551603964118073"</f>
        <v>1551603964118073</v>
      </c>
      <c r="C3324" t="s">
        <v>40</v>
      </c>
      <c r="D3324">
        <v>5.6439680000000001</v>
      </c>
      <c r="E3324">
        <v>0.57270080000000001</v>
      </c>
      <c r="F3324" t="s">
        <v>52</v>
      </c>
      <c r="G3324">
        <v>-197.1764</v>
      </c>
      <c r="H3324" s="1">
        <v>3.6756250000000001E-6</v>
      </c>
      <c r="I3324">
        <v>207.55109999999999</v>
      </c>
      <c r="J3324">
        <v>-208.94229999999999</v>
      </c>
      <c r="K3324">
        <v>1.115453</v>
      </c>
      <c r="L3324">
        <v>213.44739999999999</v>
      </c>
      <c r="M3324">
        <v>0.98555130000000002</v>
      </c>
      <c r="N3324">
        <v>-1.435492E-2</v>
      </c>
      <c r="O3324">
        <v>-0.1687681</v>
      </c>
      <c r="P3324">
        <v>0.93743310000000002</v>
      </c>
      <c r="Q3324">
        <v>0.190244</v>
      </c>
      <c r="R3324">
        <v>-0.29159269999999998</v>
      </c>
      <c r="S3324">
        <v>2.8249209999999998</v>
      </c>
      <c r="T3324">
        <v>-0.25950189999999901</v>
      </c>
      <c r="U3324">
        <v>-1.3873599999999999</v>
      </c>
      <c r="V3324">
        <v>0.13193920000000001</v>
      </c>
      <c r="W3324">
        <v>0.20242579999999999</v>
      </c>
      <c r="X3324">
        <v>0.97036889999999998</v>
      </c>
      <c r="Y3324">
        <v>0.28227350000000001</v>
      </c>
      <c r="Z3324">
        <v>-2.2583460000000001E-3</v>
      </c>
      <c r="AA3324">
        <v>0.9593313</v>
      </c>
      <c r="AB3324">
        <v>38</v>
      </c>
      <c r="AC3324">
        <v>11.765899999999901</v>
      </c>
      <c r="AD3324">
        <v>-1.1154493243750001</v>
      </c>
      <c r="AE3324">
        <v>-5.8962999999999903</v>
      </c>
      <c r="AF3324">
        <v>3.7985044402063401</v>
      </c>
      <c r="AG3324">
        <v>-1.1154493243750001</v>
      </c>
      <c r="AH3324">
        <v>12.5024887859453</v>
      </c>
      <c r="AI3324">
        <v>94.879239374878196</v>
      </c>
      <c r="AJ3324">
        <v>73.100176568881395</v>
      </c>
      <c r="AK3324">
        <v>13.114308560507601</v>
      </c>
      <c r="AL3324">
        <v>78.321150579414095</v>
      </c>
      <c r="AM3324">
        <v>82.257084910958895</v>
      </c>
      <c r="AN3324">
        <v>0.99999997954474396</v>
      </c>
    </row>
    <row r="3325" spans="1:40" x14ac:dyDescent="0.25">
      <c r="A3325" t="str">
        <f>"20190303170604154"</f>
        <v>20190303170604154</v>
      </c>
      <c r="B3325" t="str">
        <f>"1551603964148329"</f>
        <v>1551603964148329</v>
      </c>
      <c r="C3325" t="s">
        <v>40</v>
      </c>
      <c r="D3325">
        <v>5.6194040000000003</v>
      </c>
      <c r="E3325">
        <v>0.57694000000000001</v>
      </c>
      <c r="F3325" t="s">
        <v>52</v>
      </c>
      <c r="G3325">
        <v>-196.92140000000001</v>
      </c>
      <c r="H3325" s="1">
        <v>3.7599140000000002E-6</v>
      </c>
      <c r="I3325">
        <v>207.40360000000001</v>
      </c>
      <c r="J3325">
        <v>-208.55279999999999</v>
      </c>
      <c r="K3325">
        <v>1.1153679999999999</v>
      </c>
      <c r="L3325">
        <v>213.37540000000001</v>
      </c>
      <c r="M3325">
        <v>0.98455429999999999</v>
      </c>
      <c r="N3325">
        <v>-1.435936E-2</v>
      </c>
      <c r="O3325">
        <v>-0.17448949999999999</v>
      </c>
      <c r="P3325">
        <v>0.93535060000000003</v>
      </c>
      <c r="Q3325">
        <v>0.1906282</v>
      </c>
      <c r="R3325">
        <v>-0.29796060000000002</v>
      </c>
      <c r="S3325">
        <v>2.8132480000000002</v>
      </c>
      <c r="T3325">
        <v>-0.26104769999999999</v>
      </c>
      <c r="U3325">
        <v>-1.4144129999999999</v>
      </c>
      <c r="V3325">
        <v>0.132964</v>
      </c>
      <c r="W3325">
        <v>0.2027709</v>
      </c>
      <c r="X3325">
        <v>0.97015700000000005</v>
      </c>
      <c r="Y3325">
        <v>0.28565940000000001</v>
      </c>
      <c r="Z3325">
        <v>-2.0147450000000001E-3</v>
      </c>
      <c r="AA3325">
        <v>0.95832910000000004</v>
      </c>
      <c r="AB3325">
        <v>38</v>
      </c>
      <c r="AC3325">
        <v>11.6313999999999</v>
      </c>
      <c r="AD3325">
        <v>-1.115364240086</v>
      </c>
      <c r="AE3325">
        <v>-5.9718</v>
      </c>
      <c r="AF3325">
        <v>3.8225838758263202</v>
      </c>
      <c r="AG3325">
        <v>-1.115364240086</v>
      </c>
      <c r="AH3325">
        <v>12.4047787898475</v>
      </c>
      <c r="AI3325">
        <v>94.911181073128503</v>
      </c>
      <c r="AJ3325">
        <v>72.873101920527404</v>
      </c>
      <c r="AK3325">
        <v>13.0282278802928</v>
      </c>
      <c r="AL3325">
        <v>78.300959717363398</v>
      </c>
      <c r="AM3325">
        <v>82.195998808342694</v>
      </c>
      <c r="AN3325">
        <v>1.0000000339159001</v>
      </c>
    </row>
    <row r="3326" spans="1:40" x14ac:dyDescent="0.25">
      <c r="A3326" t="str">
        <f>"20190303170604175"</f>
        <v>20190303170604175</v>
      </c>
      <c r="B3326" t="str">
        <f>"1551603964167849"</f>
        <v>1551603964167849</v>
      </c>
      <c r="C3326" t="s">
        <v>40</v>
      </c>
      <c r="D3326">
        <v>5.5890240000000002</v>
      </c>
      <c r="E3326">
        <v>0.57707559999999902</v>
      </c>
      <c r="F3326" t="s">
        <v>52</v>
      </c>
      <c r="G3326">
        <v>-196.77</v>
      </c>
      <c r="H3326" s="1">
        <v>3.843066E-6</v>
      </c>
      <c r="I3326">
        <v>207.191</v>
      </c>
      <c r="J3326">
        <v>-208.18389999999999</v>
      </c>
      <c r="K3326">
        <v>1.115273</v>
      </c>
      <c r="L3326">
        <v>213.30500000000001</v>
      </c>
      <c r="M3326">
        <v>0.98355530000000002</v>
      </c>
      <c r="N3326">
        <v>-1.436483E-2</v>
      </c>
      <c r="O3326">
        <v>-0.180035</v>
      </c>
      <c r="P3326">
        <v>0.93285940000000001</v>
      </c>
      <c r="Q3326">
        <v>0.1911689</v>
      </c>
      <c r="R3326">
        <v>-0.3053324</v>
      </c>
      <c r="S3326">
        <v>2.794098</v>
      </c>
      <c r="T3326">
        <v>-0.26449129999999998</v>
      </c>
      <c r="U3326">
        <v>-1.466537</v>
      </c>
      <c r="V3326">
        <v>0.13523109999999999</v>
      </c>
      <c r="W3326">
        <v>0.2032504</v>
      </c>
      <c r="X3326">
        <v>0.96974320000000003</v>
      </c>
      <c r="Y3326">
        <v>0.29694789999999999</v>
      </c>
      <c r="Z3326">
        <v>-2.1714799999999999E-3</v>
      </c>
      <c r="AA3326">
        <v>0.95489120000000005</v>
      </c>
      <c r="AB3326">
        <v>38</v>
      </c>
      <c r="AC3326">
        <v>11.4138999999999</v>
      </c>
      <c r="AD3326">
        <v>-1.1152691569340001</v>
      </c>
      <c r="AE3326">
        <v>-6.1140000000000301</v>
      </c>
      <c r="AF3326">
        <v>3.9298095966523401</v>
      </c>
      <c r="AG3326">
        <v>-1.1152691569340001</v>
      </c>
      <c r="AH3326">
        <v>12.2374207653473</v>
      </c>
      <c r="AI3326">
        <v>94.959223293600601</v>
      </c>
      <c r="AJ3326">
        <v>72.196589106620294</v>
      </c>
      <c r="AK3326">
        <v>12.9012284588137</v>
      </c>
      <c r="AL3326">
        <v>78.27290202623</v>
      </c>
      <c r="AM3326">
        <v>82.061275034188199</v>
      </c>
      <c r="AN3326">
        <v>1.0000000247267999</v>
      </c>
    </row>
    <row r="3327" spans="1:40" x14ac:dyDescent="0.25">
      <c r="A3327" t="str">
        <f>"20190303170604197"</f>
        <v>20190303170604197</v>
      </c>
      <c r="B3327" t="str">
        <f>"1551603964188345"</f>
        <v>1551603964188345</v>
      </c>
      <c r="C3327" t="s">
        <v>40</v>
      </c>
      <c r="D3327">
        <v>5.5857419999999998</v>
      </c>
      <c r="E3327">
        <v>0.57729269999999999</v>
      </c>
      <c r="F3327" t="s">
        <v>52</v>
      </c>
      <c r="G3327">
        <v>-196.33090000000001</v>
      </c>
      <c r="H3327" s="1">
        <v>3.9791980000000003E-6</v>
      </c>
      <c r="I3327">
        <v>206.971</v>
      </c>
      <c r="J3327">
        <v>-207.82329999999999</v>
      </c>
      <c r="K3327">
        <v>1.115162</v>
      </c>
      <c r="L3327">
        <v>213.23400000000001</v>
      </c>
      <c r="M3327">
        <v>0.98252169999999905</v>
      </c>
      <c r="N3327">
        <v>-1.437153E-2</v>
      </c>
      <c r="O3327">
        <v>-0.1855928</v>
      </c>
      <c r="P3327">
        <v>0.93062880000000003</v>
      </c>
      <c r="Q3327">
        <v>0.19016130000000001</v>
      </c>
      <c r="R3327">
        <v>-0.31268049999999997</v>
      </c>
      <c r="S3327">
        <v>2.7828369999999998</v>
      </c>
      <c r="T3327">
        <v>-0.26184360000000001</v>
      </c>
      <c r="U3327">
        <v>-1.4870909999999999</v>
      </c>
      <c r="V3327">
        <v>0.13740269999999999</v>
      </c>
      <c r="W3327">
        <v>0.202183</v>
      </c>
      <c r="X3327">
        <v>0.96966110000000005</v>
      </c>
      <c r="Y3327">
        <v>0.29865829999999999</v>
      </c>
      <c r="Z3327">
        <v>-1.890606E-3</v>
      </c>
      <c r="AA3327">
        <v>0.95435820000000005</v>
      </c>
      <c r="AB3327">
        <v>38</v>
      </c>
      <c r="AC3327">
        <v>11.4923999999999</v>
      </c>
      <c r="AD3327">
        <v>-1.115158020802</v>
      </c>
      <c r="AE3327">
        <v>-6.2630000000000301</v>
      </c>
      <c r="AF3327">
        <v>3.9920608710340999</v>
      </c>
      <c r="AG3327">
        <v>-1.115158020802</v>
      </c>
      <c r="AH3327">
        <v>12.365417335034101</v>
      </c>
      <c r="AI3327">
        <v>94.905218805382106</v>
      </c>
      <c r="AJ3327">
        <v>72.107805020407099</v>
      </c>
      <c r="AK3327">
        <v>13.0416131394456</v>
      </c>
      <c r="AL3327">
        <v>78.335356648943701</v>
      </c>
      <c r="AM3327">
        <v>81.934781804334094</v>
      </c>
      <c r="AN3327">
        <v>1.0000000581547399</v>
      </c>
    </row>
    <row r="3328" spans="1:40" x14ac:dyDescent="0.25">
      <c r="A3328" t="str">
        <f>"20190303170604220"</f>
        <v>20190303170604220</v>
      </c>
      <c r="B3328" t="str">
        <f>"1551603964207866"</f>
        <v>1551603964207866</v>
      </c>
      <c r="C3328" t="s">
        <v>40</v>
      </c>
      <c r="D3328">
        <v>5.563078</v>
      </c>
      <c r="E3328">
        <v>0.55636819999999998</v>
      </c>
      <c r="F3328" t="s">
        <v>52</v>
      </c>
      <c r="G3328">
        <v>-196.16290000000001</v>
      </c>
      <c r="H3328" s="1">
        <v>4.0329769999999998E-6</v>
      </c>
      <c r="I3328">
        <v>206.88050000000001</v>
      </c>
      <c r="J3328">
        <v>-207.43790000000001</v>
      </c>
      <c r="K3328">
        <v>1.1150249999999999</v>
      </c>
      <c r="L3328">
        <v>213.1557</v>
      </c>
      <c r="M3328">
        <v>0.98134710000000003</v>
      </c>
      <c r="N3328">
        <v>-1.4380530000000001E-2</v>
      </c>
      <c r="O3328">
        <v>-0.19170580000000001</v>
      </c>
      <c r="P3328">
        <v>0.92880379999999996</v>
      </c>
      <c r="Q3328">
        <v>0.1892238</v>
      </c>
      <c r="R3328">
        <v>-0.3186196</v>
      </c>
      <c r="S3328">
        <v>2.7705540000000002</v>
      </c>
      <c r="T3328">
        <v>-0.2649647</v>
      </c>
      <c r="U3328">
        <v>-1.5096130000000001</v>
      </c>
      <c r="V3328">
        <v>0.13757800000000001</v>
      </c>
      <c r="W3328">
        <v>0.2012092</v>
      </c>
      <c r="X3328">
        <v>0.96983869999999905</v>
      </c>
      <c r="Y3328">
        <v>0.3004695</v>
      </c>
      <c r="Z3328">
        <v>-1.509966E-3</v>
      </c>
      <c r="AA3328">
        <v>0.95379020000000003</v>
      </c>
      <c r="AB3328">
        <v>38</v>
      </c>
      <c r="AC3328">
        <v>11.275</v>
      </c>
      <c r="AD3328">
        <v>-1.115020967023</v>
      </c>
      <c r="AE3328">
        <v>-6.2751999999999803</v>
      </c>
      <c r="AF3328">
        <v>3.9674549530146601</v>
      </c>
      <c r="AG3328">
        <v>-1.115020967023</v>
      </c>
      <c r="AH3328">
        <v>12.178016803989401</v>
      </c>
      <c r="AI3328">
        <v>94.975432945634296</v>
      </c>
      <c r="AJ3328">
        <v>71.954998391717695</v>
      </c>
      <c r="AK3328">
        <v>12.856440558698599</v>
      </c>
      <c r="AL3328">
        <v>78.392321056581807</v>
      </c>
      <c r="AM3328">
        <v>81.926087032692607</v>
      </c>
      <c r="AN3328">
        <v>0.99999997613316405</v>
      </c>
    </row>
    <row r="3329" spans="1:40" x14ac:dyDescent="0.25">
      <c r="A3329" t="str">
        <f>"20190303170604243"</f>
        <v>20190303170604243</v>
      </c>
      <c r="B3329" t="str">
        <f>"1551603964228362"</f>
        <v>1551603964228362</v>
      </c>
      <c r="C3329" t="s">
        <v>40</v>
      </c>
      <c r="D3329">
        <v>5.534224</v>
      </c>
      <c r="E3329">
        <v>0.54987609999999998</v>
      </c>
      <c r="F3329" t="s">
        <v>52</v>
      </c>
      <c r="G3329">
        <v>-193.0883</v>
      </c>
      <c r="H3329" s="1">
        <v>4.940746E-6</v>
      </c>
      <c r="I3329">
        <v>206.149</v>
      </c>
      <c r="J3329">
        <v>-207.0515</v>
      </c>
      <c r="K3329">
        <v>1.1148579999999999</v>
      </c>
      <c r="L3329">
        <v>213.0746</v>
      </c>
      <c r="M3329">
        <v>0.98008700000000004</v>
      </c>
      <c r="N3329">
        <v>-1.439205E-2</v>
      </c>
      <c r="O3329">
        <v>-0.19804669999999999</v>
      </c>
      <c r="P3329">
        <v>0.92659309999999995</v>
      </c>
      <c r="Q3329">
        <v>0.1895647</v>
      </c>
      <c r="R3329">
        <v>-0.3247932</v>
      </c>
      <c r="S3329">
        <v>2.804611</v>
      </c>
      <c r="T3329">
        <v>-0.21792890000000001</v>
      </c>
      <c r="U3329">
        <v>-1.3694459999999999</v>
      </c>
      <c r="V3329">
        <v>0.1378616</v>
      </c>
      <c r="W3329">
        <v>0.20150209999999999</v>
      </c>
      <c r="X3329">
        <v>0.96973759999999998</v>
      </c>
      <c r="Y3329">
        <v>0.25166810000000001</v>
      </c>
      <c r="Z3329">
        <v>4.1481850000000002E-4</v>
      </c>
      <c r="AA3329">
        <v>0.96781349999999999</v>
      </c>
      <c r="AB3329">
        <v>38</v>
      </c>
      <c r="AC3329">
        <v>13.963200000000001</v>
      </c>
      <c r="AD3329">
        <v>-1.11485305925399</v>
      </c>
      <c r="AE3329">
        <v>-6.9256000000000002</v>
      </c>
      <c r="AF3329">
        <v>4.00226488836143</v>
      </c>
      <c r="AG3329">
        <v>-1.11485305925399</v>
      </c>
      <c r="AH3329">
        <v>14.9816527129175</v>
      </c>
      <c r="AI3329">
        <v>94.112112702618504</v>
      </c>
      <c r="AJ3329">
        <v>75.0430300538994</v>
      </c>
      <c r="AK3329">
        <v>15.5470556566447</v>
      </c>
      <c r="AL3329">
        <v>78.375188078994896</v>
      </c>
      <c r="AM3329">
        <v>81.908831496498905</v>
      </c>
      <c r="AN3329">
        <v>0.99999996495636401</v>
      </c>
    </row>
    <row r="3330" spans="1:40" x14ac:dyDescent="0.25">
      <c r="A3330" t="str">
        <f>"20190303170604266"</f>
        <v>20190303170604266</v>
      </c>
      <c r="B3330" t="str">
        <f>"1551603964258618"</f>
        <v>1551603964258618</v>
      </c>
      <c r="C3330" t="s">
        <v>40</v>
      </c>
      <c r="D3330">
        <v>5.4910860000000001</v>
      </c>
      <c r="E3330">
        <v>0.54683479999999995</v>
      </c>
      <c r="F3330" t="s">
        <v>52</v>
      </c>
      <c r="G3330">
        <v>-189.44210000000001</v>
      </c>
      <c r="H3330" s="1">
        <v>6.0505449999999997E-6</v>
      </c>
      <c r="I3330">
        <v>204.6609</v>
      </c>
      <c r="J3330">
        <v>-206.678</v>
      </c>
      <c r="K3330">
        <v>1.114662</v>
      </c>
      <c r="L3330">
        <v>212.9932</v>
      </c>
      <c r="M3330">
        <v>0.97877000000000003</v>
      </c>
      <c r="N3330">
        <v>-1.440692E-2</v>
      </c>
      <c r="O3330">
        <v>-0.20445489999999999</v>
      </c>
      <c r="P3330">
        <v>0.92361000000000004</v>
      </c>
      <c r="Q3330">
        <v>0.1903377</v>
      </c>
      <c r="R3330">
        <v>-0.33274019999999999</v>
      </c>
      <c r="S3330">
        <v>2.8043369999999999</v>
      </c>
      <c r="T3330">
        <v>-0.17754229999999999</v>
      </c>
      <c r="U3330">
        <v>-1.33989</v>
      </c>
      <c r="V3330">
        <v>0.13999259999999999</v>
      </c>
      <c r="W3330">
        <v>0.20218620000000001</v>
      </c>
      <c r="X3330">
        <v>0.96928979999999998</v>
      </c>
      <c r="Y3330">
        <v>0.23721149999999999</v>
      </c>
      <c r="Z3330">
        <v>3.0470029999999997E-4</v>
      </c>
      <c r="AA3330">
        <v>0.97145800000000004</v>
      </c>
      <c r="AB3330">
        <v>38</v>
      </c>
      <c r="AC3330">
        <v>17.235899999999901</v>
      </c>
      <c r="AD3330">
        <v>-1.1146559494549999</v>
      </c>
      <c r="AE3330">
        <v>-8.3323</v>
      </c>
      <c r="AF3330">
        <v>4.6162722997041401</v>
      </c>
      <c r="AG3330">
        <v>-1.1146559494549999</v>
      </c>
      <c r="AH3330">
        <v>18.512729820845799</v>
      </c>
      <c r="AI3330">
        <v>93.343496283521702</v>
      </c>
      <c r="AJ3330">
        <v>75.998454684975997</v>
      </c>
      <c r="AK3330">
        <v>19.112132095878401</v>
      </c>
      <c r="AL3330">
        <v>78.335168179821693</v>
      </c>
      <c r="AM3330">
        <v>81.781712954921403</v>
      </c>
      <c r="AN3330">
        <v>0.99999995195461799</v>
      </c>
    </row>
    <row r="3331" spans="1:40" x14ac:dyDescent="0.25">
      <c r="A3331" t="str">
        <f>"20190303170604290"</f>
        <v>20190303170604290</v>
      </c>
      <c r="B3331" t="str">
        <f>"1551603964278138"</f>
        <v>1551603964278138</v>
      </c>
      <c r="C3331" t="s">
        <v>40</v>
      </c>
      <c r="D3331">
        <v>5.4956839999999998</v>
      </c>
      <c r="E3331">
        <v>0.54596859999999903</v>
      </c>
      <c r="F3331" t="s">
        <v>52</v>
      </c>
      <c r="G3331">
        <v>-184.56450000000001</v>
      </c>
      <c r="H3331" s="1">
        <v>5.7724019999999996E-6</v>
      </c>
      <c r="I3331">
        <v>202.37710000000001</v>
      </c>
      <c r="J3331">
        <v>-206.2664</v>
      </c>
      <c r="K3331">
        <v>1.114436</v>
      </c>
      <c r="L3331">
        <v>212.90029999999999</v>
      </c>
      <c r="M3331">
        <v>0.97720720000000005</v>
      </c>
      <c r="N3331">
        <v>-1.4427239999999999E-2</v>
      </c>
      <c r="O3331">
        <v>-0.2117967</v>
      </c>
      <c r="P3331">
        <v>0.9201511</v>
      </c>
      <c r="Q3331">
        <v>0.1903629</v>
      </c>
      <c r="R3331">
        <v>-0.3421748</v>
      </c>
      <c r="S3331">
        <v>2.7939449999999999</v>
      </c>
      <c r="T3331">
        <v>-0.14083209999999999</v>
      </c>
      <c r="U3331">
        <v>-1.3412930000000001</v>
      </c>
      <c r="V3331">
        <v>0.14275779999999999</v>
      </c>
      <c r="W3331">
        <v>0.20210410000000001</v>
      </c>
      <c r="X3331">
        <v>0.96890359999999998</v>
      </c>
      <c r="Y3331">
        <v>0.23179939999999999</v>
      </c>
      <c r="Z3331">
        <v>-3.087651E-4</v>
      </c>
      <c r="AA3331">
        <v>0.9727635</v>
      </c>
      <c r="AB3331">
        <v>38</v>
      </c>
      <c r="AC3331">
        <v>21.701899999999899</v>
      </c>
      <c r="AD3331">
        <v>-1.114430227598</v>
      </c>
      <c r="AE3331">
        <v>-10.5231999999999</v>
      </c>
      <c r="AF3331">
        <v>5.6754311599216898</v>
      </c>
      <c r="AG3331">
        <v>-1.114430227598</v>
      </c>
      <c r="AH3331">
        <v>23.388537912672099</v>
      </c>
      <c r="AI3331">
        <v>92.651174424385104</v>
      </c>
      <c r="AJ3331">
        <v>76.360320463520907</v>
      </c>
      <c r="AK3331">
        <v>24.0930732634028</v>
      </c>
      <c r="AL3331">
        <v>78.339972142714402</v>
      </c>
      <c r="AM3331">
        <v>81.618371735830394</v>
      </c>
      <c r="AN3331">
        <v>1.0000000213953</v>
      </c>
    </row>
    <row r="3332" spans="1:40" x14ac:dyDescent="0.25">
      <c r="A3332" t="str">
        <f>"20190303170604313"</f>
        <v>20190303170604313</v>
      </c>
      <c r="B3332" t="str">
        <f>"1551603964298634"</f>
        <v>1551603964298634</v>
      </c>
      <c r="C3332" t="s">
        <v>40</v>
      </c>
      <c r="D3332">
        <v>5.4469180000000001</v>
      </c>
      <c r="E3332">
        <v>0.54537729999999995</v>
      </c>
      <c r="F3332" t="s">
        <v>52</v>
      </c>
      <c r="G3332">
        <v>-182.071</v>
      </c>
      <c r="H3332" s="1">
        <v>5.4731930000000004E-6</v>
      </c>
      <c r="I3332">
        <v>201.0231</v>
      </c>
      <c r="J3332">
        <v>-205.89449999999999</v>
      </c>
      <c r="K3332">
        <v>1.1142099999999999</v>
      </c>
      <c r="L3332">
        <v>212.8134</v>
      </c>
      <c r="M3332">
        <v>0.9756802</v>
      </c>
      <c r="N3332">
        <v>-1.4446820000000001E-2</v>
      </c>
      <c r="O3332">
        <v>-0.21872259999999999</v>
      </c>
      <c r="P3332">
        <v>0.91726510000000006</v>
      </c>
      <c r="Q3332">
        <v>0.1909952</v>
      </c>
      <c r="R3332">
        <v>-0.34949370000000002</v>
      </c>
      <c r="S3332">
        <v>2.7794490000000001</v>
      </c>
      <c r="T3332">
        <v>-0.12802049999999901</v>
      </c>
      <c r="U3332">
        <v>-1.364395</v>
      </c>
      <c r="V3332">
        <v>0.143759</v>
      </c>
      <c r="W3332">
        <v>0.20265649999999999</v>
      </c>
      <c r="X3332">
        <v>0.9686401</v>
      </c>
      <c r="Y3332">
        <v>0.23343620000000001</v>
      </c>
      <c r="Z3332">
        <v>-5.6190419999999997E-4</v>
      </c>
      <c r="AA3332">
        <v>0.97237189999999996</v>
      </c>
      <c r="AB3332">
        <v>38</v>
      </c>
      <c r="AC3332">
        <v>23.823499999999999</v>
      </c>
      <c r="AD3332">
        <v>-1.114204526807</v>
      </c>
      <c r="AE3332">
        <v>-11.7903</v>
      </c>
      <c r="AF3332">
        <v>6.2824424362833904</v>
      </c>
      <c r="AG3332">
        <v>-1.114204526807</v>
      </c>
      <c r="AH3332">
        <v>25.7803193998027</v>
      </c>
      <c r="AI3332">
        <v>92.404457976289095</v>
      </c>
      <c r="AJ3332">
        <v>76.304451622294494</v>
      </c>
      <c r="AK3332">
        <v>26.558151348477001</v>
      </c>
      <c r="AL3332">
        <v>78.307652630493095</v>
      </c>
      <c r="AM3332">
        <v>81.558170009649402</v>
      </c>
      <c r="AN3332">
        <v>0.999999975200629</v>
      </c>
    </row>
    <row r="3333" spans="1:40" x14ac:dyDescent="0.25">
      <c r="A3333" t="str">
        <f>"20190303170604332"</f>
        <v>20190303170604332</v>
      </c>
      <c r="B3333" t="str">
        <f>"1551603964318153"</f>
        <v>1551603964318153</v>
      </c>
      <c r="C3333" t="s">
        <v>40</v>
      </c>
      <c r="D3333">
        <v>5.4065479999999999</v>
      </c>
      <c r="E3333">
        <v>0.5450218</v>
      </c>
      <c r="F3333" t="s">
        <v>52</v>
      </c>
      <c r="G3333">
        <v>-180.2251</v>
      </c>
      <c r="H3333" s="1">
        <v>5.2617059999999997E-6</v>
      </c>
      <c r="I3333">
        <v>199.96700000000001</v>
      </c>
      <c r="J3333">
        <v>-205.56890000000001</v>
      </c>
      <c r="K3333">
        <v>1.1139790000000001</v>
      </c>
      <c r="L3333">
        <v>212.73480000000001</v>
      </c>
      <c r="M3333">
        <v>0.97423360000000003</v>
      </c>
      <c r="N3333">
        <v>-1.4467259999999999E-2</v>
      </c>
      <c r="O3333">
        <v>-0.2250771</v>
      </c>
      <c r="P3333">
        <v>0.91442040000000002</v>
      </c>
      <c r="Q3333">
        <v>0.19240950000000001</v>
      </c>
      <c r="R3333">
        <v>-0.35610989999999998</v>
      </c>
      <c r="S3333">
        <v>2.7678379999999998</v>
      </c>
      <c r="T3333">
        <v>-0.12014030000000001</v>
      </c>
      <c r="U3333">
        <v>-1.385178</v>
      </c>
      <c r="V3333">
        <v>0.1446509</v>
      </c>
      <c r="W3333">
        <v>0.20398939999999999</v>
      </c>
      <c r="X3333">
        <v>0.96822750000000002</v>
      </c>
      <c r="Y3333">
        <v>0.23458080000000001</v>
      </c>
      <c r="Z3333">
        <v>-6.9689559999999999E-4</v>
      </c>
      <c r="AA3333">
        <v>0.97209639999999997</v>
      </c>
      <c r="AB3333">
        <v>38</v>
      </c>
      <c r="AC3333">
        <v>25.343800000000002</v>
      </c>
      <c r="AD3333">
        <v>-1.113973738294</v>
      </c>
      <c r="AE3333">
        <v>-12.7677999999999</v>
      </c>
      <c r="AF3333">
        <v>6.7248528347918297</v>
      </c>
      <c r="AG3333">
        <v>-1.113973738294</v>
      </c>
      <c r="AH3333">
        <v>27.524990816102498</v>
      </c>
      <c r="AI3333">
        <v>92.2514230315779</v>
      </c>
      <c r="AJ3333">
        <v>76.270563958679901</v>
      </c>
      <c r="AK3333">
        <v>28.356475496184999</v>
      </c>
      <c r="AL3333">
        <v>78.229654411177407</v>
      </c>
      <c r="AM3333">
        <v>81.502990808551203</v>
      </c>
      <c r="AN3333">
        <v>1.0000000249697001</v>
      </c>
    </row>
    <row r="3334" spans="1:40" x14ac:dyDescent="0.25">
      <c r="A3334" t="str">
        <f>"20190303170604354"</f>
        <v>20190303170604354</v>
      </c>
      <c r="B3334" t="str">
        <f>"1551603964348409"</f>
        <v>1551603964348409</v>
      </c>
      <c r="C3334" t="s">
        <v>40</v>
      </c>
      <c r="D3334">
        <v>5.3908310000000004</v>
      </c>
      <c r="E3334">
        <v>0.54458200000000001</v>
      </c>
      <c r="F3334" t="s">
        <v>41</v>
      </c>
      <c r="G3334">
        <v>-179.76169999999999</v>
      </c>
      <c r="H3334">
        <v>7.9986810000000005E-2</v>
      </c>
      <c r="I3334">
        <v>199.58</v>
      </c>
      <c r="J3334">
        <v>-205.20230000000001</v>
      </c>
      <c r="K3334">
        <v>1.1136699999999999</v>
      </c>
      <c r="L3334">
        <v>212.64330000000001</v>
      </c>
      <c r="M3334">
        <v>0.97246299999999997</v>
      </c>
      <c r="N3334">
        <v>-1.4497289999999999E-2</v>
      </c>
      <c r="O3334">
        <v>-0.23260690000000001</v>
      </c>
      <c r="P3334">
        <v>0.91051190000000004</v>
      </c>
      <c r="Q3334">
        <v>0.19343089999999999</v>
      </c>
      <c r="R3334">
        <v>-0.36544900000000002</v>
      </c>
      <c r="S3334">
        <v>2.7567599999999999</v>
      </c>
      <c r="T3334">
        <v>-0.11045240000000001</v>
      </c>
      <c r="U3334">
        <v>-1.4052119999999999</v>
      </c>
      <c r="V3334">
        <v>0.1472985</v>
      </c>
      <c r="W3334">
        <v>0.20487859999999999</v>
      </c>
      <c r="X3334">
        <v>0.96764039999999996</v>
      </c>
      <c r="Y3334">
        <v>0.2342649</v>
      </c>
      <c r="Z3334">
        <v>-8.693269E-4</v>
      </c>
      <c r="AA3334">
        <v>0.97217240000000005</v>
      </c>
      <c r="AB3334">
        <v>38</v>
      </c>
      <c r="AC3334">
        <v>25.4406</v>
      </c>
      <c r="AD3334">
        <v>-1.0336831900000001</v>
      </c>
      <c r="AE3334">
        <v>-13.0632999999999</v>
      </c>
      <c r="AF3334">
        <v>6.7777738354892003</v>
      </c>
      <c r="AG3334">
        <v>-1.0336831900000001</v>
      </c>
      <c r="AH3334">
        <v>27.745322051034599</v>
      </c>
      <c r="AI3334">
        <v>92.072737941534399</v>
      </c>
      <c r="AJ3334">
        <v>76.272337134756995</v>
      </c>
      <c r="AK3334">
        <v>28.5798812946793</v>
      </c>
      <c r="AL3334">
        <v>78.177607692846905</v>
      </c>
      <c r="AM3334">
        <v>81.344629812641799</v>
      </c>
      <c r="AN3334">
        <v>1.00000001627618</v>
      </c>
    </row>
    <row r="3335" spans="1:40" x14ac:dyDescent="0.25">
      <c r="A3335" t="str">
        <f>"20190303170604377"</f>
        <v>20190303170604377</v>
      </c>
      <c r="B3335" t="str">
        <f>"1551603964367930"</f>
        <v>1551603964367930</v>
      </c>
      <c r="C3335" t="s">
        <v>40</v>
      </c>
      <c r="D3335">
        <v>5.5193839999999996</v>
      </c>
      <c r="E3335">
        <v>0.54434479999999996</v>
      </c>
      <c r="F3335" t="s">
        <v>41</v>
      </c>
      <c r="G3335">
        <v>-178.0848</v>
      </c>
      <c r="H3335">
        <v>7.9986570000000007E-2</v>
      </c>
      <c r="I3335">
        <v>198.50720000000001</v>
      </c>
      <c r="J3335">
        <v>-204.82599999999999</v>
      </c>
      <c r="K3335">
        <v>1.1133</v>
      </c>
      <c r="L3335">
        <v>212.54589999999999</v>
      </c>
      <c r="M3335">
        <v>0.97047000000000005</v>
      </c>
      <c r="N3335">
        <v>-1.453688E-2</v>
      </c>
      <c r="O3335">
        <v>-0.24078350000000001</v>
      </c>
      <c r="P3335">
        <v>0.90551349999999997</v>
      </c>
      <c r="Q3335">
        <v>0.1929129</v>
      </c>
      <c r="R3335">
        <v>-0.37792880000000001</v>
      </c>
      <c r="S3335">
        <v>2.7431179999999999</v>
      </c>
      <c r="T3335">
        <v>-0.1045643</v>
      </c>
      <c r="U3335">
        <v>-1.429962</v>
      </c>
      <c r="V3335">
        <v>0.15261259999999999</v>
      </c>
      <c r="W3335">
        <v>0.2041617</v>
      </c>
      <c r="X3335">
        <v>0.96696819999999895</v>
      </c>
      <c r="Y3335">
        <v>0.23496900000000001</v>
      </c>
      <c r="Z3335">
        <v>-9.5305940000000005E-4</v>
      </c>
      <c r="AA3335">
        <v>0.97200240000000004</v>
      </c>
      <c r="AB3335">
        <v>38</v>
      </c>
      <c r="AC3335">
        <v>26.7411999999999</v>
      </c>
      <c r="AD3335">
        <v>-1.03331343</v>
      </c>
      <c r="AE3335">
        <v>-14.038699999999899</v>
      </c>
      <c r="AF3335">
        <v>7.1776549431157797</v>
      </c>
      <c r="AG3335">
        <v>-1.03331343</v>
      </c>
      <c r="AH3335">
        <v>29.300621409626601</v>
      </c>
      <c r="AI3335">
        <v>91.961794327797094</v>
      </c>
      <c r="AJ3335">
        <v>76.235539069167899</v>
      </c>
      <c r="AK3335">
        <v>30.184646463348301</v>
      </c>
      <c r="AL3335">
        <v>78.219570456648</v>
      </c>
      <c r="AM3335">
        <v>81.031223078191303</v>
      </c>
      <c r="AN3335">
        <v>1.00000005261844</v>
      </c>
    </row>
    <row r="3336" spans="1:40" x14ac:dyDescent="0.25">
      <c r="A3336" t="str">
        <f>"20190303170604399"</f>
        <v>20190303170604399</v>
      </c>
      <c r="B3336" t="str">
        <f>"1551603964388425"</f>
        <v>1551603964388425</v>
      </c>
      <c r="C3336" t="s">
        <v>40</v>
      </c>
      <c r="D3336">
        <v>5.5189120000000003</v>
      </c>
      <c r="E3336">
        <v>0.54403140000000005</v>
      </c>
      <c r="F3336" t="s">
        <v>41</v>
      </c>
      <c r="G3336">
        <v>-178.59700000000001</v>
      </c>
      <c r="H3336">
        <v>7.998653E-2</v>
      </c>
      <c r="I3336">
        <v>198.42699999999999</v>
      </c>
      <c r="J3336">
        <v>-204.47659999999999</v>
      </c>
      <c r="K3336">
        <v>1.112916</v>
      </c>
      <c r="L3336">
        <v>212.452</v>
      </c>
      <c r="M3336">
        <v>0.96843710000000005</v>
      </c>
      <c r="N3336">
        <v>-1.4580940000000001E-2</v>
      </c>
      <c r="O3336">
        <v>-0.2488311</v>
      </c>
      <c r="P3336">
        <v>0.90098619999999996</v>
      </c>
      <c r="Q3336">
        <v>0.19170100000000001</v>
      </c>
      <c r="R3336">
        <v>-0.38919759999999998</v>
      </c>
      <c r="S3336">
        <v>2.7239689999999999</v>
      </c>
      <c r="T3336">
        <v>-0.1073132</v>
      </c>
      <c r="U3336">
        <v>-1.4662930000000001</v>
      </c>
      <c r="V3336">
        <v>0.1567614</v>
      </c>
      <c r="W3336">
        <v>0.20276759999999999</v>
      </c>
      <c r="X3336">
        <v>0.9665977</v>
      </c>
      <c r="Y3336">
        <v>0.23979439999999999</v>
      </c>
      <c r="Z3336">
        <v>-8.0431960000000005E-4</v>
      </c>
      <c r="AA3336">
        <v>0.97082329999999994</v>
      </c>
      <c r="AB3336">
        <v>38</v>
      </c>
      <c r="AC3336">
        <v>25.8795999999999</v>
      </c>
      <c r="AD3336">
        <v>-1.03292947</v>
      </c>
      <c r="AE3336">
        <v>-14.024999999999901</v>
      </c>
      <c r="AF3336">
        <v>7.1346550756651004</v>
      </c>
      <c r="AG3336">
        <v>-1.03292947</v>
      </c>
      <c r="AH3336">
        <v>28.520537627124</v>
      </c>
      <c r="AI3336">
        <v>92.012223959635904</v>
      </c>
      <c r="AJ3336">
        <v>75.955209359279607</v>
      </c>
      <c r="AK3336">
        <v>29.417534106021002</v>
      </c>
      <c r="AL3336">
        <v>78.3011521042514</v>
      </c>
      <c r="AM3336">
        <v>80.788059341270696</v>
      </c>
      <c r="AN3336">
        <v>0.99999997489250403</v>
      </c>
    </row>
    <row r="3337" spans="1:40" x14ac:dyDescent="0.25">
      <c r="A3337" t="str">
        <f>"20190303170604421"</f>
        <v>20190303170604421</v>
      </c>
      <c r="B3337" t="str">
        <f>"1551603964407946"</f>
        <v>1551603964407946</v>
      </c>
      <c r="C3337" t="s">
        <v>40</v>
      </c>
      <c r="D3337">
        <v>5.3523040000000002</v>
      </c>
      <c r="E3337">
        <v>0.54381330000000005</v>
      </c>
      <c r="F3337" t="s">
        <v>41</v>
      </c>
      <c r="G3337">
        <v>-179.80599999999899</v>
      </c>
      <c r="H3337">
        <v>7.9986570000000007E-2</v>
      </c>
      <c r="I3337">
        <v>198.76650000000001</v>
      </c>
      <c r="J3337">
        <v>-204.1088</v>
      </c>
      <c r="K3337">
        <v>1.112476</v>
      </c>
      <c r="L3337">
        <v>212.34950000000001</v>
      </c>
      <c r="M3337">
        <v>0.96608669999999996</v>
      </c>
      <c r="N3337">
        <v>-1.463414E-2</v>
      </c>
      <c r="O3337">
        <v>-0.2578028</v>
      </c>
      <c r="P3337">
        <v>0.89658559999999998</v>
      </c>
      <c r="Q3337">
        <v>0.1917095</v>
      </c>
      <c r="R3337">
        <v>-0.39922609999999997</v>
      </c>
      <c r="S3337">
        <v>2.7054749999999999</v>
      </c>
      <c r="T3337">
        <v>-0.1132753</v>
      </c>
      <c r="U3337">
        <v>-1.5008090000000001</v>
      </c>
      <c r="V3337">
        <v>0.158801</v>
      </c>
      <c r="W3337">
        <v>0.20261999999999999</v>
      </c>
      <c r="X3337">
        <v>0.96629569999999998</v>
      </c>
      <c r="Y3337">
        <v>0.24306510000000001</v>
      </c>
      <c r="Z3337">
        <v>-4.4502270000000002E-4</v>
      </c>
      <c r="AA3337">
        <v>0.97000989999999998</v>
      </c>
      <c r="AB3337">
        <v>38</v>
      </c>
      <c r="AC3337">
        <v>24.302800000000001</v>
      </c>
      <c r="AD3337">
        <v>-1.03248943</v>
      </c>
      <c r="AE3337">
        <v>-13.582999999999901</v>
      </c>
      <c r="AF3337">
        <v>6.8483416977547602</v>
      </c>
      <c r="AG3337">
        <v>-1.03248943</v>
      </c>
      <c r="AH3337">
        <v>26.946178102115301</v>
      </c>
      <c r="AI3337">
        <v>92.126767497472997</v>
      </c>
      <c r="AJ3337">
        <v>75.740244258516299</v>
      </c>
      <c r="AK3337">
        <v>27.821975716026799</v>
      </c>
      <c r="AL3337">
        <v>78.3097885373179</v>
      </c>
      <c r="AM3337">
        <v>80.667433822849304</v>
      </c>
      <c r="AN3337">
        <v>1.0000000009197401</v>
      </c>
    </row>
    <row r="3338" spans="1:40" x14ac:dyDescent="0.25">
      <c r="A3338" t="str">
        <f>"20190303170604444"</f>
        <v>20190303170604444</v>
      </c>
      <c r="B3338" t="str">
        <f>"1551603964437810"</f>
        <v>1551603964437810</v>
      </c>
      <c r="C3338" t="s">
        <v>40</v>
      </c>
      <c r="D3338">
        <v>5.3049739999999996</v>
      </c>
      <c r="E3338">
        <v>0.54318739999999999</v>
      </c>
      <c r="F3338" t="s">
        <v>41</v>
      </c>
      <c r="G3338">
        <v>-179.92859999999999</v>
      </c>
      <c r="H3338">
        <v>7.9176140000000006E-2</v>
      </c>
      <c r="I3338">
        <v>198.5633</v>
      </c>
      <c r="J3338">
        <v>-203.74119999999999</v>
      </c>
      <c r="K3338">
        <v>1.1120099999999999</v>
      </c>
      <c r="L3338">
        <v>212.24289999999999</v>
      </c>
      <c r="M3338">
        <v>0.9634914</v>
      </c>
      <c r="N3338">
        <v>-1.469586E-2</v>
      </c>
      <c r="O3338">
        <v>-0.26733570000000001</v>
      </c>
      <c r="P3338">
        <v>0.89189989999999997</v>
      </c>
      <c r="Q3338">
        <v>0.19384779999999999</v>
      </c>
      <c r="R3338">
        <v>-0.40858030000000001</v>
      </c>
      <c r="S3338">
        <v>2.6881560000000002</v>
      </c>
      <c r="T3338">
        <v>-0.1148734</v>
      </c>
      <c r="U3338">
        <v>-1.5326390000000001</v>
      </c>
      <c r="V3338">
        <v>0.15975980000000001</v>
      </c>
      <c r="W3338">
        <v>0.20461489999999999</v>
      </c>
      <c r="X3338">
        <v>0.96571709999999999</v>
      </c>
      <c r="Y3338">
        <v>0.2448369</v>
      </c>
      <c r="Z3338">
        <v>-2.1363449999999999E-4</v>
      </c>
      <c r="AA3338">
        <v>0.96956430000000005</v>
      </c>
      <c r="AB3338">
        <v>38</v>
      </c>
      <c r="AC3338">
        <v>23.8126</v>
      </c>
      <c r="AD3338">
        <v>-1.03283386</v>
      </c>
      <c r="AE3338">
        <v>-13.679599999999899</v>
      </c>
      <c r="AF3338">
        <v>6.8053288648677697</v>
      </c>
      <c r="AG3338">
        <v>-1.03283386</v>
      </c>
      <c r="AH3338">
        <v>26.5655773602682</v>
      </c>
      <c r="AI3338">
        <v>92.156883648968702</v>
      </c>
      <c r="AJ3338">
        <v>75.631472203021701</v>
      </c>
      <c r="AK3338">
        <v>27.442834168973199</v>
      </c>
      <c r="AL3338">
        <v>78.193043214477399</v>
      </c>
      <c r="AM3338">
        <v>80.606561883763604</v>
      </c>
      <c r="AN3338">
        <v>0.99999998411522895</v>
      </c>
    </row>
    <row r="3339" spans="1:40" x14ac:dyDescent="0.25">
      <c r="A3339" t="str">
        <f>"20190303170604467"</f>
        <v>20190303170604467</v>
      </c>
      <c r="B3339" t="str">
        <f>"1551603964458306"</f>
        <v>1551603964458306</v>
      </c>
      <c r="C3339" t="s">
        <v>40</v>
      </c>
      <c r="D3339">
        <v>5.4647249999999996</v>
      </c>
      <c r="E3339">
        <v>0.54279149999999998</v>
      </c>
      <c r="F3339" t="s">
        <v>41</v>
      </c>
      <c r="G3339">
        <v>-179.31129999999999</v>
      </c>
      <c r="H3339">
        <v>7.9986390000000004E-2</v>
      </c>
      <c r="I3339">
        <v>198.02680000000001</v>
      </c>
      <c r="J3339">
        <v>-203.37119999999999</v>
      </c>
      <c r="K3339">
        <v>1.111521</v>
      </c>
      <c r="L3339">
        <v>212.13079999999999</v>
      </c>
      <c r="M3339">
        <v>0.96059740000000005</v>
      </c>
      <c r="N3339">
        <v>-1.47686E-2</v>
      </c>
      <c r="O3339">
        <v>-0.27755099999999999</v>
      </c>
      <c r="P3339">
        <v>0.88652419999999998</v>
      </c>
      <c r="Q3339">
        <v>0.19405240000000001</v>
      </c>
      <c r="R3339">
        <v>-0.42002260000000002</v>
      </c>
      <c r="S3339">
        <v>2.6750639999999999</v>
      </c>
      <c r="T3339">
        <v>-0.11300639999999899</v>
      </c>
      <c r="U3339">
        <v>-1.556656</v>
      </c>
      <c r="V3339">
        <v>0.16219839999999999</v>
      </c>
      <c r="W3339">
        <v>0.20464379999999999</v>
      </c>
      <c r="X3339">
        <v>0.96530439999999995</v>
      </c>
      <c r="Y3339">
        <v>0.2431152</v>
      </c>
      <c r="Z3339" s="1">
        <v>-4.7010140000000002E-5</v>
      </c>
      <c r="AA3339">
        <v>0.96999740000000001</v>
      </c>
      <c r="AB3339">
        <v>38</v>
      </c>
      <c r="AC3339">
        <v>24.059899999999999</v>
      </c>
      <c r="AD3339">
        <v>-1.03153461</v>
      </c>
      <c r="AE3339">
        <v>-14.1039999999999</v>
      </c>
      <c r="AF3339">
        <v>6.8617785019324096</v>
      </c>
      <c r="AG3339">
        <v>-1.03153461</v>
      </c>
      <c r="AH3339">
        <v>26.992477314795099</v>
      </c>
      <c r="AI3339">
        <v>92.121129953988003</v>
      </c>
      <c r="AJ3339">
        <v>75.736914724537996</v>
      </c>
      <c r="AK3339">
        <v>27.870089692194</v>
      </c>
      <c r="AL3339">
        <v>78.191351703824907</v>
      </c>
      <c r="AM3339">
        <v>80.461790594959396</v>
      </c>
      <c r="AN3339">
        <v>0.99999999525017902</v>
      </c>
    </row>
    <row r="3340" spans="1:40" x14ac:dyDescent="0.25">
      <c r="A3340" t="str">
        <f>"20190303170604488"</f>
        <v>20190303170604488</v>
      </c>
      <c r="B3340" t="str">
        <f>"1551603964477826"</f>
        <v>1551603964477826</v>
      </c>
      <c r="C3340" t="s">
        <v>40</v>
      </c>
      <c r="D3340">
        <v>5.3556239999999997</v>
      </c>
      <c r="E3340">
        <v>0.54257889999999998</v>
      </c>
      <c r="F3340" t="s">
        <v>41</v>
      </c>
      <c r="G3340">
        <v>-179.52289999999999</v>
      </c>
      <c r="H3340">
        <v>7.9986329999999994E-2</v>
      </c>
      <c r="I3340">
        <v>197.8734</v>
      </c>
      <c r="J3340">
        <v>-203.01419999999999</v>
      </c>
      <c r="K3340">
        <v>1.1110530000000001</v>
      </c>
      <c r="L3340">
        <v>212.01830000000001</v>
      </c>
      <c r="M3340">
        <v>0.95754430000000001</v>
      </c>
      <c r="N3340">
        <v>-1.4844059999999999E-2</v>
      </c>
      <c r="O3340">
        <v>-0.28790369999999998</v>
      </c>
      <c r="P3340">
        <v>0.88007309999999905</v>
      </c>
      <c r="Q3340">
        <v>0.19248689999999999</v>
      </c>
      <c r="R3340">
        <v>-0.4340734</v>
      </c>
      <c r="S3340">
        <v>2.6566619999999999</v>
      </c>
      <c r="T3340">
        <v>-0.11491120000000001</v>
      </c>
      <c r="U3340">
        <v>-1.588257</v>
      </c>
      <c r="V3340">
        <v>0.16724159999999999</v>
      </c>
      <c r="W3340">
        <v>0.2028461</v>
      </c>
      <c r="X3340">
        <v>0.96482319999999999</v>
      </c>
      <c r="Y3340">
        <v>0.24410280000000001</v>
      </c>
      <c r="Z3340">
        <v>2.4488679999999999E-4</v>
      </c>
      <c r="AA3340">
        <v>0.96974930000000004</v>
      </c>
      <c r="AB3340">
        <v>38</v>
      </c>
      <c r="AC3340">
        <v>23.491299999999899</v>
      </c>
      <c r="AD3340">
        <v>-1.03106667</v>
      </c>
      <c r="AE3340">
        <v>-14.1449</v>
      </c>
      <c r="AF3340">
        <v>6.7723084908460001</v>
      </c>
      <c r="AG3340">
        <v>-1.03106667</v>
      </c>
      <c r="AH3340">
        <v>26.531745384298699</v>
      </c>
      <c r="AI3340">
        <v>92.156414321033296</v>
      </c>
      <c r="AJ3340">
        <v>75.680836390671999</v>
      </c>
      <c r="AK3340">
        <v>27.4018388782656</v>
      </c>
      <c r="AL3340">
        <v>78.296559826976406</v>
      </c>
      <c r="AM3340">
        <v>80.166114411443701</v>
      </c>
      <c r="AN3340">
        <v>1.0000000501570001</v>
      </c>
    </row>
    <row r="3341" spans="1:40" x14ac:dyDescent="0.25">
      <c r="A3341" t="str">
        <f>"20190303170604511"</f>
        <v>20190303170604511</v>
      </c>
      <c r="B3341" t="str">
        <f>"1551603964498323"</f>
        <v>1551603964498323</v>
      </c>
      <c r="C3341" t="s">
        <v>40</v>
      </c>
      <c r="D3341">
        <v>5.3927199999999997</v>
      </c>
      <c r="E3341">
        <v>0.57058750000000003</v>
      </c>
      <c r="F3341" t="s">
        <v>41</v>
      </c>
      <c r="G3341">
        <v>-179.95099999999999</v>
      </c>
      <c r="H3341">
        <v>5.6711039999999997E-2</v>
      </c>
      <c r="I3341">
        <v>197.72479999999999</v>
      </c>
      <c r="J3341">
        <v>-202.6602</v>
      </c>
      <c r="K3341">
        <v>1.11059</v>
      </c>
      <c r="L3341">
        <v>211.90209999999999</v>
      </c>
      <c r="M3341">
        <v>0.95424279999999995</v>
      </c>
      <c r="N3341">
        <v>-1.491833E-2</v>
      </c>
      <c r="O3341">
        <v>-0.29866130000000002</v>
      </c>
      <c r="P3341">
        <v>0.8725311</v>
      </c>
      <c r="Q3341">
        <v>0.1902508</v>
      </c>
      <c r="R3341">
        <v>-0.44999420000000001</v>
      </c>
      <c r="S3341">
        <v>2.6308750000000001</v>
      </c>
      <c r="T3341">
        <v>-0.120271699999999</v>
      </c>
      <c r="U3341">
        <v>-1.630493</v>
      </c>
      <c r="V3341">
        <v>0.17395070000000001</v>
      </c>
      <c r="W3341">
        <v>0.200324</v>
      </c>
      <c r="X3341">
        <v>0.96416360000000001</v>
      </c>
      <c r="Y3341">
        <v>0.2486814</v>
      </c>
      <c r="Z3341">
        <v>6.63925E-4</v>
      </c>
      <c r="AA3341">
        <v>0.96858509999999998</v>
      </c>
      <c r="AB3341">
        <v>37</v>
      </c>
      <c r="AC3341">
        <v>22.709199999999999</v>
      </c>
      <c r="AD3341">
        <v>-1.05387896</v>
      </c>
      <c r="AE3341">
        <v>-14.177300000000001</v>
      </c>
      <c r="AF3341">
        <v>6.7365370965604097</v>
      </c>
      <c r="AG3341">
        <v>-1.05387896</v>
      </c>
      <c r="AH3341">
        <v>25.8670929756059</v>
      </c>
      <c r="AI3341">
        <v>92.257829725614897</v>
      </c>
      <c r="AJ3341">
        <v>75.402771129326197</v>
      </c>
      <c r="AK3341">
        <v>26.750665261340799</v>
      </c>
      <c r="AL3341">
        <v>78.444093686709294</v>
      </c>
      <c r="AM3341">
        <v>79.772931724207098</v>
      </c>
      <c r="AN3341">
        <v>0.99999999928572503</v>
      </c>
    </row>
    <row r="3342" spans="1:40" x14ac:dyDescent="0.25">
      <c r="A3342" t="str">
        <f>"20190303170604533"</f>
        <v>20190303170604533</v>
      </c>
      <c r="B3342" t="str">
        <f>"1551603964517843"</f>
        <v>1551603964517843</v>
      </c>
      <c r="C3342" t="s">
        <v>40</v>
      </c>
      <c r="D3342">
        <v>5.2986879999999896</v>
      </c>
      <c r="E3342">
        <v>0.59046709999999902</v>
      </c>
      <c r="F3342" t="s">
        <v>41</v>
      </c>
      <c r="G3342">
        <v>-179.36779999999999</v>
      </c>
      <c r="H3342">
        <v>7.9986779999999993E-2</v>
      </c>
      <c r="I3342">
        <v>194.3614</v>
      </c>
      <c r="J3342">
        <v>-202.29570000000001</v>
      </c>
      <c r="K3342">
        <v>1.110107</v>
      </c>
      <c r="L3342">
        <v>211.77760000000001</v>
      </c>
      <c r="M3342">
        <v>0.9505342</v>
      </c>
      <c r="N3342">
        <v>-1.4996850000000001E-2</v>
      </c>
      <c r="O3342">
        <v>-0.31025760000000002</v>
      </c>
      <c r="P3342">
        <v>0.86504910000000002</v>
      </c>
      <c r="Q3342">
        <v>0.1897131</v>
      </c>
      <c r="R3342">
        <v>-0.46443420000000002</v>
      </c>
      <c r="S3342">
        <v>2.4937900000000002</v>
      </c>
      <c r="T3342">
        <v>-0.1103411</v>
      </c>
      <c r="U3342">
        <v>-1.877991</v>
      </c>
      <c r="V3342">
        <v>0.17842330000000001</v>
      </c>
      <c r="W3342">
        <v>0.19954369999999999</v>
      </c>
      <c r="X3342">
        <v>0.96350789999999997</v>
      </c>
      <c r="Y3342">
        <v>0.32378849999999998</v>
      </c>
      <c r="Z3342">
        <v>-1.65124E-3</v>
      </c>
      <c r="AA3342">
        <v>0.94612810000000003</v>
      </c>
      <c r="AB3342">
        <v>37</v>
      </c>
      <c r="AC3342">
        <v>22.927900000000001</v>
      </c>
      <c r="AD3342">
        <v>-1.0301202199999999</v>
      </c>
      <c r="AE3342">
        <v>-17.4162</v>
      </c>
      <c r="AF3342">
        <v>9.4301299106147507</v>
      </c>
      <c r="AG3342">
        <v>-1.0301202199999999</v>
      </c>
      <c r="AH3342">
        <v>27.1655488310378</v>
      </c>
      <c r="AI3342">
        <v>92.051633813837398</v>
      </c>
      <c r="AJ3342">
        <v>70.856290222396197</v>
      </c>
      <c r="AK3342">
        <v>28.774216602545799</v>
      </c>
      <c r="AL3342">
        <v>78.489723081186796</v>
      </c>
      <c r="AM3342">
        <v>79.508758074971695</v>
      </c>
      <c r="AN3342">
        <v>1.0000000177774899</v>
      </c>
    </row>
    <row r="3343" spans="1:40" x14ac:dyDescent="0.25">
      <c r="A3343" t="str">
        <f>"20190303170604555"</f>
        <v>20190303170604555</v>
      </c>
      <c r="B3343" t="str">
        <f>"1551603964548103"</f>
        <v>1551603964548103</v>
      </c>
      <c r="C3343" t="s">
        <v>40</v>
      </c>
      <c r="D3343">
        <v>5.2952050000000002</v>
      </c>
      <c r="E3343">
        <v>0.60882819999999904</v>
      </c>
      <c r="F3343" t="s">
        <v>53</v>
      </c>
      <c r="G3343">
        <v>-168.41849999999999</v>
      </c>
      <c r="H3343">
        <v>7.5284000000000004E-2</v>
      </c>
      <c r="I3343">
        <v>182.47839999999999</v>
      </c>
      <c r="J3343">
        <v>-201.93190000000001</v>
      </c>
      <c r="K3343">
        <v>1.109623</v>
      </c>
      <c r="L3343">
        <v>211.648</v>
      </c>
      <c r="M3343">
        <v>0.94650069999999997</v>
      </c>
      <c r="N3343">
        <v>-1.5081199999999999E-2</v>
      </c>
      <c r="O3343">
        <v>-0.32234960000000001</v>
      </c>
      <c r="P3343">
        <v>0.85913209999999995</v>
      </c>
      <c r="Q3343">
        <v>0.18959419999999999</v>
      </c>
      <c r="R3343">
        <v>-0.47533829999999999</v>
      </c>
      <c r="S3343">
        <v>2.379181</v>
      </c>
      <c r="T3343">
        <v>-7.2672719999999996E-2</v>
      </c>
      <c r="U3343">
        <v>-2.0576629999999998</v>
      </c>
      <c r="V3343">
        <v>0.17854229999999999</v>
      </c>
      <c r="W3343">
        <v>0.19930780000000001</v>
      </c>
      <c r="X3343">
        <v>0.96353469999999997</v>
      </c>
      <c r="Y3343">
        <v>0.37522699999999998</v>
      </c>
      <c r="Z3343">
        <v>-4.4539139999999998E-3</v>
      </c>
      <c r="AA3343">
        <v>0.92692229999999998</v>
      </c>
      <c r="AB3343">
        <v>37</v>
      </c>
      <c r="AC3343">
        <v>33.513399999999997</v>
      </c>
      <c r="AD3343">
        <v>-1.0343389999999999</v>
      </c>
      <c r="AE3343">
        <v>-29.169599999999999</v>
      </c>
      <c r="AF3343">
        <v>16.798820423352002</v>
      </c>
      <c r="AG3343">
        <v>-1.0343389999999999</v>
      </c>
      <c r="AH3343">
        <v>41.105658977896702</v>
      </c>
      <c r="AI3343">
        <v>91.334342302811095</v>
      </c>
      <c r="AJ3343">
        <v>67.771434356713101</v>
      </c>
      <c r="AK3343">
        <v>44.417850294561703</v>
      </c>
      <c r="AL3343">
        <v>78.5035164204252</v>
      </c>
      <c r="AM3343">
        <v>79.502201919126406</v>
      </c>
      <c r="AN3343">
        <v>1.0000000350670999</v>
      </c>
    </row>
    <row r="3344" spans="1:40" x14ac:dyDescent="0.25">
      <c r="A3344" t="str">
        <f>"20190303170604577"</f>
        <v>20190303170604577</v>
      </c>
      <c r="B3344" t="str">
        <f>"1551603964568599"</f>
        <v>1551603964568599</v>
      </c>
      <c r="C3344" t="s">
        <v>40</v>
      </c>
      <c r="D3344">
        <v>5.3559659999999996</v>
      </c>
      <c r="E3344">
        <v>0.61302709999999905</v>
      </c>
      <c r="F3344" t="s">
        <v>53</v>
      </c>
      <c r="G3344">
        <v>-168.41980000000001</v>
      </c>
      <c r="H3344">
        <v>0.60043570000000002</v>
      </c>
      <c r="I3344">
        <v>179.01840000000001</v>
      </c>
      <c r="J3344">
        <v>-201.59139999999999</v>
      </c>
      <c r="K3344">
        <v>1.1091690000000001</v>
      </c>
      <c r="L3344">
        <v>211.52180000000001</v>
      </c>
      <c r="M3344">
        <v>0.9424032</v>
      </c>
      <c r="N3344">
        <v>-1.516632E-2</v>
      </c>
      <c r="O3344">
        <v>-0.33413520000000002</v>
      </c>
      <c r="P3344">
        <v>0.853438699999999</v>
      </c>
      <c r="Q3344">
        <v>0.18675449999999999</v>
      </c>
      <c r="R3344">
        <v>-0.48658509999999999</v>
      </c>
      <c r="S3344">
        <v>2.2743380000000002</v>
      </c>
      <c r="T3344">
        <v>-3.4554479999999999E-2</v>
      </c>
      <c r="U3344">
        <v>-2.2144469999999998</v>
      </c>
      <c r="V3344">
        <v>0.17910319999999999</v>
      </c>
      <c r="W3344">
        <v>0.19635749999999999</v>
      </c>
      <c r="X3344">
        <v>0.96403620000000001</v>
      </c>
      <c r="Y3344">
        <v>0.41800730000000003</v>
      </c>
      <c r="Z3344">
        <v>-6.8094100000000001E-3</v>
      </c>
      <c r="AA3344">
        <v>0.90841819999999895</v>
      </c>
      <c r="AB3344">
        <v>37</v>
      </c>
      <c r="AC3344">
        <v>33.171599999999899</v>
      </c>
      <c r="AD3344">
        <v>-0.50873329999999894</v>
      </c>
      <c r="AE3344">
        <v>-32.503399999999999</v>
      </c>
      <c r="AF3344">
        <v>19.547410514264602</v>
      </c>
      <c r="AG3344">
        <v>-0.50873329999999894</v>
      </c>
      <c r="AH3344">
        <v>42.121339892254802</v>
      </c>
      <c r="AI3344">
        <v>90.627682431843297</v>
      </c>
      <c r="AJ3344">
        <v>65.105220353621505</v>
      </c>
      <c r="AK3344">
        <v>46.438855947391303</v>
      </c>
      <c r="AL3344">
        <v>78.675964227695601</v>
      </c>
      <c r="AM3344">
        <v>79.475314434987098</v>
      </c>
      <c r="AN3344">
        <v>1.00000000948346</v>
      </c>
    </row>
    <row r="3345" spans="1:40" x14ac:dyDescent="0.25">
      <c r="A3345" t="str">
        <f>"20190303170604599"</f>
        <v>20190303170604599</v>
      </c>
      <c r="B3345" t="str">
        <f>"1551603964588119"</f>
        <v>1551603964588119</v>
      </c>
      <c r="C3345" t="s">
        <v>40</v>
      </c>
      <c r="D3345">
        <v>5.3245849999999999</v>
      </c>
      <c r="E3345">
        <v>0.61535220000000002</v>
      </c>
      <c r="F3345" t="s">
        <v>53</v>
      </c>
      <c r="G3345">
        <v>-168.4203</v>
      </c>
      <c r="H3345">
        <v>0.64458990000000005</v>
      </c>
      <c r="I3345">
        <v>177.65190000000001</v>
      </c>
      <c r="J3345">
        <v>-201.2405</v>
      </c>
      <c r="K3345">
        <v>1.108698</v>
      </c>
      <c r="L3345">
        <v>211.38630000000001</v>
      </c>
      <c r="M3345">
        <v>0.9378377</v>
      </c>
      <c r="N3345">
        <v>-1.525871E-2</v>
      </c>
      <c r="O3345">
        <v>-0.34673850000000001</v>
      </c>
      <c r="P3345">
        <v>0.84561719999999896</v>
      </c>
      <c r="Q3345">
        <v>0.18404870000000001</v>
      </c>
      <c r="R3345">
        <v>-0.50105649999999902</v>
      </c>
      <c r="S3345">
        <v>2.226089</v>
      </c>
      <c r="T3345">
        <v>-3.1175370000000001E-2</v>
      </c>
      <c r="U3345">
        <v>-2.27298</v>
      </c>
      <c r="V3345">
        <v>0.1825435</v>
      </c>
      <c r="W3345">
        <v>0.19344890000000001</v>
      </c>
      <c r="X3345">
        <v>0.96397889999999997</v>
      </c>
      <c r="Y3345">
        <v>0.42739929999999898</v>
      </c>
      <c r="Z3345">
        <v>-7.1696659999999999E-3</v>
      </c>
      <c r="AA3345">
        <v>0.90403460000000002</v>
      </c>
      <c r="AB3345">
        <v>37</v>
      </c>
      <c r="AC3345">
        <v>32.8202</v>
      </c>
      <c r="AD3345">
        <v>-0.46410809999999902</v>
      </c>
      <c r="AE3345">
        <v>-33.734399999999901</v>
      </c>
      <c r="AF3345">
        <v>20.257754379966201</v>
      </c>
      <c r="AG3345">
        <v>-0.46410809999999902</v>
      </c>
      <c r="AH3345">
        <v>42.477852217939599</v>
      </c>
      <c r="AI3345">
        <v>90.565022681589497</v>
      </c>
      <c r="AJ3345">
        <v>64.503452462085903</v>
      </c>
      <c r="AK3345">
        <v>47.063360886114403</v>
      </c>
      <c r="AL3345">
        <v>78.845872706073294</v>
      </c>
      <c r="AM3345">
        <v>79.277173068230994</v>
      </c>
      <c r="AN3345">
        <v>0.99999996297433402</v>
      </c>
    </row>
    <row r="3346" spans="1:40" x14ac:dyDescent="0.25">
      <c r="A3346" t="str">
        <f>"20190303170604622"</f>
        <v>20190303170604622</v>
      </c>
      <c r="B3346" t="str">
        <f>"1551603964608616"</f>
        <v>1551603964608616</v>
      </c>
      <c r="C3346" t="s">
        <v>40</v>
      </c>
      <c r="D3346">
        <v>5.2596339999999904</v>
      </c>
      <c r="E3346">
        <v>0.61696949999999995</v>
      </c>
      <c r="F3346" t="s">
        <v>53</v>
      </c>
      <c r="G3346">
        <v>-168.42070000000001</v>
      </c>
      <c r="H3346">
        <v>0.6311293</v>
      </c>
      <c r="I3346">
        <v>176.30599999999899</v>
      </c>
      <c r="J3346">
        <v>-200.88419999999999</v>
      </c>
      <c r="K3346">
        <v>1.108223</v>
      </c>
      <c r="L3346">
        <v>211.24299999999999</v>
      </c>
      <c r="M3346">
        <v>0.93282690000000001</v>
      </c>
      <c r="N3346">
        <v>-1.535603E-2</v>
      </c>
      <c r="O3346">
        <v>-0.35999730000000002</v>
      </c>
      <c r="P3346">
        <v>0.83607169999999897</v>
      </c>
      <c r="Q3346">
        <v>0.18211459999999999</v>
      </c>
      <c r="R3346">
        <v>-0.51751179999999997</v>
      </c>
      <c r="S3346">
        <v>2.176285</v>
      </c>
      <c r="T3346">
        <v>-3.1665209999999999E-2</v>
      </c>
      <c r="U3346">
        <v>-2.3261720000000001</v>
      </c>
      <c r="V3346">
        <v>0.1877578</v>
      </c>
      <c r="W3346">
        <v>0.19124769999999999</v>
      </c>
      <c r="X3346">
        <v>0.96341650000000001</v>
      </c>
      <c r="Y3346">
        <v>0.43522670000000002</v>
      </c>
      <c r="Z3346">
        <v>-7.3556790000000004E-3</v>
      </c>
      <c r="AA3346">
        <v>0.90029079999999995</v>
      </c>
      <c r="AB3346">
        <v>37</v>
      </c>
      <c r="AC3346">
        <v>32.463499999999897</v>
      </c>
      <c r="AD3346">
        <v>-0.47709370000000001</v>
      </c>
      <c r="AE3346">
        <v>-34.936999999999998</v>
      </c>
      <c r="AF3346">
        <v>20.903775293772501</v>
      </c>
      <c r="AG3346">
        <v>-0.47709370000000001</v>
      </c>
      <c r="AH3346">
        <v>42.860819068796097</v>
      </c>
      <c r="AI3346">
        <v>90.573211520816997</v>
      </c>
      <c r="AJ3346">
        <v>64.0009102944624</v>
      </c>
      <c r="AK3346">
        <v>47.689047497084601</v>
      </c>
      <c r="AL3346">
        <v>78.974392651000798</v>
      </c>
      <c r="AM3346">
        <v>78.972002680078603</v>
      </c>
      <c r="AN3346">
        <v>1.00000001334419</v>
      </c>
    </row>
    <row r="3347" spans="1:40" x14ac:dyDescent="0.25">
      <c r="A3347" t="str">
        <f>"20190303170604645"</f>
        <v>20190303170604645</v>
      </c>
      <c r="B3347" t="str">
        <f>"1551603964637895"</f>
        <v>1551603964637895</v>
      </c>
      <c r="C3347" t="s">
        <v>40</v>
      </c>
      <c r="D3347">
        <v>5.29406</v>
      </c>
      <c r="E3347">
        <v>0.61844440000000001</v>
      </c>
      <c r="F3347" t="s">
        <v>53</v>
      </c>
      <c r="G3347">
        <v>-168.4212</v>
      </c>
      <c r="H3347">
        <v>0.60056589999999999</v>
      </c>
      <c r="I3347">
        <v>174.8888</v>
      </c>
      <c r="J3347">
        <v>-200.53229999999999</v>
      </c>
      <c r="K3347">
        <v>1.1077779999999999</v>
      </c>
      <c r="L3347">
        <v>211.0951</v>
      </c>
      <c r="M3347">
        <v>0.92747480000000004</v>
      </c>
      <c r="N3347">
        <v>-1.5456009999999999E-2</v>
      </c>
      <c r="O3347">
        <v>-0.37356640000000002</v>
      </c>
      <c r="P3347">
        <v>0.82787980000000005</v>
      </c>
      <c r="Q3347">
        <v>0.1815766</v>
      </c>
      <c r="R3347">
        <v>-0.53070289999999998</v>
      </c>
      <c r="S3347">
        <v>2.1234739999999999</v>
      </c>
      <c r="T3347">
        <v>-3.3204789999999998E-2</v>
      </c>
      <c r="U3347">
        <v>-2.3780060000000001</v>
      </c>
      <c r="V3347">
        <v>0.18912119999999999</v>
      </c>
      <c r="W3347">
        <v>0.19057279999999999</v>
      </c>
      <c r="X3347">
        <v>0.96328349999999996</v>
      </c>
      <c r="Y3347">
        <v>0.44296229999999998</v>
      </c>
      <c r="Z3347">
        <v>-7.4891640000000004E-3</v>
      </c>
      <c r="AA3347">
        <v>0.89650889999999905</v>
      </c>
      <c r="AB3347">
        <v>37</v>
      </c>
      <c r="AC3347">
        <v>32.111099999999901</v>
      </c>
      <c r="AD3347">
        <v>-0.50721210000000005</v>
      </c>
      <c r="AE3347">
        <v>-36.206299999999999</v>
      </c>
      <c r="AF3347">
        <v>21.585007733912601</v>
      </c>
      <c r="AG3347">
        <v>-0.50721210000000005</v>
      </c>
      <c r="AH3347">
        <v>43.308104328923598</v>
      </c>
      <c r="AI3347">
        <v>90.600549539831206</v>
      </c>
      <c r="AJ3347">
        <v>63.508070964308601</v>
      </c>
      <c r="AK3347">
        <v>48.391752639808203</v>
      </c>
      <c r="AL3347">
        <v>79.013785533846402</v>
      </c>
      <c r="AM3347">
        <v>78.892411767488994</v>
      </c>
      <c r="AN3347">
        <v>0.99999996088076404</v>
      </c>
    </row>
    <row r="3348" spans="1:40" x14ac:dyDescent="0.25">
      <c r="A3348" t="str">
        <f>"20190303170604667"</f>
        <v>20190303170604667</v>
      </c>
      <c r="B3348" t="str">
        <f>"1551603964658391"</f>
        <v>1551603964658391</v>
      </c>
      <c r="C3348" t="s">
        <v>40</v>
      </c>
      <c r="D3348">
        <v>5.2471610000000002</v>
      </c>
      <c r="E3348">
        <v>0.61862609999999996</v>
      </c>
      <c r="F3348" t="s">
        <v>53</v>
      </c>
      <c r="G3348">
        <v>-169.27070000000001</v>
      </c>
      <c r="H3348">
        <v>0.60461999999999905</v>
      </c>
      <c r="I3348">
        <v>174.7131</v>
      </c>
      <c r="J3348">
        <v>-200.18889999999999</v>
      </c>
      <c r="K3348">
        <v>1.107375</v>
      </c>
      <c r="L3348">
        <v>210.94450000000001</v>
      </c>
      <c r="M3348">
        <v>0.92185810000000001</v>
      </c>
      <c r="N3348">
        <v>-1.55558E-2</v>
      </c>
      <c r="O3348">
        <v>-0.38721539999999999</v>
      </c>
      <c r="P3348">
        <v>0.8208396</v>
      </c>
      <c r="Q3348">
        <v>0.18308550000000001</v>
      </c>
      <c r="R3348">
        <v>-0.54101960000000004</v>
      </c>
      <c r="S3348">
        <v>2.0796359999999998</v>
      </c>
      <c r="T3348">
        <v>-3.3469680000000002E-2</v>
      </c>
      <c r="U3348">
        <v>-2.420258</v>
      </c>
      <c r="V3348">
        <v>0.1873158</v>
      </c>
      <c r="W3348">
        <v>0.1920616</v>
      </c>
      <c r="X3348">
        <v>0.96334059999999999</v>
      </c>
      <c r="Y3348">
        <v>0.4468164</v>
      </c>
      <c r="Z3348">
        <v>-7.6260859999999998E-3</v>
      </c>
      <c r="AA3348">
        <v>0.89459319999999898</v>
      </c>
      <c r="AB3348">
        <v>37</v>
      </c>
      <c r="AC3348">
        <v>30.918199999999899</v>
      </c>
      <c r="AD3348">
        <v>-0.50275499999999995</v>
      </c>
      <c r="AE3348">
        <v>-36.231400000000001</v>
      </c>
      <c r="AF3348">
        <v>21.4284108984493</v>
      </c>
      <c r="AG3348">
        <v>-0.50275499999999995</v>
      </c>
      <c r="AH3348">
        <v>42.5319550792059</v>
      </c>
      <c r="AI3348">
        <v>90.604822010548503</v>
      </c>
      <c r="AJ3348">
        <v>63.260162191330402</v>
      </c>
      <c r="AK3348">
        <v>47.627688995818303</v>
      </c>
      <c r="AL3348">
        <v>78.926878555300902</v>
      </c>
      <c r="AM3348">
        <v>78.996483663919093</v>
      </c>
      <c r="AN3348">
        <v>0.99999998936627899</v>
      </c>
    </row>
    <row r="3349" spans="1:40" x14ac:dyDescent="0.25">
      <c r="A3349" t="str">
        <f>"20190303170604690"</f>
        <v>20190303170604690</v>
      </c>
      <c r="B3349" t="str">
        <f>"1551603964677911"</f>
        <v>1551603964677911</v>
      </c>
      <c r="C3349" t="s">
        <v>40</v>
      </c>
      <c r="D3349">
        <v>5.2642629999999997</v>
      </c>
      <c r="E3349">
        <v>0.61883339999999998</v>
      </c>
      <c r="F3349" t="s">
        <v>53</v>
      </c>
      <c r="G3349">
        <v>-169.4041</v>
      </c>
      <c r="H3349">
        <v>0.70881649999999996</v>
      </c>
      <c r="I3349">
        <v>174.15350000000001</v>
      </c>
      <c r="J3349">
        <v>-199.8417</v>
      </c>
      <c r="K3349">
        <v>1.1069899999999999</v>
      </c>
      <c r="L3349">
        <v>210.786</v>
      </c>
      <c r="M3349">
        <v>0.91578040000000005</v>
      </c>
      <c r="N3349">
        <v>-1.565619E-2</v>
      </c>
      <c r="O3349">
        <v>-0.40137450000000002</v>
      </c>
      <c r="P3349">
        <v>0.8122606</v>
      </c>
      <c r="Q3349">
        <v>0.18386089999999999</v>
      </c>
      <c r="R3349">
        <v>-0.55355989999999999</v>
      </c>
      <c r="S3349">
        <v>2.0477289999999999</v>
      </c>
      <c r="T3349">
        <v>-2.650893E-2</v>
      </c>
      <c r="U3349">
        <v>-2.4472499999999999</v>
      </c>
      <c r="V3349">
        <v>0.1875378</v>
      </c>
      <c r="W3349">
        <v>0.19275880000000001</v>
      </c>
      <c r="X3349">
        <v>0.96315810000000002</v>
      </c>
      <c r="Y3349">
        <v>0.44476379999999999</v>
      </c>
      <c r="Z3349">
        <v>-8.1002490000000003E-3</v>
      </c>
      <c r="AA3349">
        <v>0.89561119999999905</v>
      </c>
      <c r="AB3349">
        <v>37</v>
      </c>
      <c r="AC3349">
        <v>30.4376</v>
      </c>
      <c r="AD3349">
        <v>-0.39817350000000001</v>
      </c>
      <c r="AE3349">
        <v>-36.632499999999901</v>
      </c>
      <c r="AF3349">
        <v>21.3315691192402</v>
      </c>
      <c r="AG3349">
        <v>-0.39817350000000001</v>
      </c>
      <c r="AH3349">
        <v>42.579744690266097</v>
      </c>
      <c r="AI3349">
        <v>90.479023248064905</v>
      </c>
      <c r="AJ3349">
        <v>63.390080291780599</v>
      </c>
      <c r="AK3349">
        <v>47.625928244111698</v>
      </c>
      <c r="AL3349">
        <v>78.886170900900296</v>
      </c>
      <c r="AM3349">
        <v>78.981725247847507</v>
      </c>
      <c r="AN3349">
        <v>0.99999995350094295</v>
      </c>
    </row>
    <row r="3350" spans="1:40" x14ac:dyDescent="0.25">
      <c r="A3350" t="str">
        <f>"20190303170604712"</f>
        <v>20190303170604712</v>
      </c>
      <c r="B3350" t="str">
        <f>"1551603964698409"</f>
        <v>1551603964698409</v>
      </c>
      <c r="C3350" t="s">
        <v>40</v>
      </c>
      <c r="D3350">
        <v>5.2556510000000003</v>
      </c>
      <c r="E3350">
        <v>0.61861180000000004</v>
      </c>
      <c r="F3350" t="s">
        <v>53</v>
      </c>
      <c r="G3350">
        <v>-169.40440000000001</v>
      </c>
      <c r="H3350">
        <v>0.78938869999999906</v>
      </c>
      <c r="I3350">
        <v>173.19290000000001</v>
      </c>
      <c r="J3350">
        <v>-199.50989999999999</v>
      </c>
      <c r="K3350">
        <v>1.1066240000000001</v>
      </c>
      <c r="L3350">
        <v>210.6285</v>
      </c>
      <c r="M3350">
        <v>0.90958220000000001</v>
      </c>
      <c r="N3350">
        <v>-1.5748539999999998E-2</v>
      </c>
      <c r="O3350">
        <v>-0.41522540000000002</v>
      </c>
      <c r="P3350">
        <v>0.80179979999999995</v>
      </c>
      <c r="Q3350">
        <v>0.1827182</v>
      </c>
      <c r="R3350">
        <v>-0.56897379999999997</v>
      </c>
      <c r="S3350">
        <v>2.0079500000000001</v>
      </c>
      <c r="T3350">
        <v>-2.0950079999999999E-2</v>
      </c>
      <c r="U3350">
        <v>-2.4800260000000001</v>
      </c>
      <c r="V3350">
        <v>0.19134019999999999</v>
      </c>
      <c r="W3350">
        <v>0.19141759999999999</v>
      </c>
      <c r="X3350">
        <v>0.96267769999999997</v>
      </c>
      <c r="Y3350">
        <v>0.44565169999999998</v>
      </c>
      <c r="Z3350">
        <v>-8.5874049999999993E-3</v>
      </c>
      <c r="AA3350">
        <v>0.89516519999999999</v>
      </c>
      <c r="AB3350">
        <v>37</v>
      </c>
      <c r="AC3350">
        <v>30.1054999999999</v>
      </c>
      <c r="AD3350">
        <v>-0.3172353</v>
      </c>
      <c r="AE3350">
        <v>-37.435600000000001</v>
      </c>
      <c r="AF3350">
        <v>21.5519209549539</v>
      </c>
      <c r="AG3350">
        <v>-0.3172353</v>
      </c>
      <c r="AH3350">
        <v>42.931092665521199</v>
      </c>
      <c r="AI3350">
        <v>90.378373704611505</v>
      </c>
      <c r="AJ3350">
        <v>63.342802694017898</v>
      </c>
      <c r="AK3350">
        <v>48.038158296709497</v>
      </c>
      <c r="AL3350">
        <v>78.964475412237107</v>
      </c>
      <c r="AM3350">
        <v>78.758490719953699</v>
      </c>
      <c r="AN3350">
        <v>1.0000000619015399</v>
      </c>
    </row>
    <row r="3351" spans="1:40" x14ac:dyDescent="0.25">
      <c r="A3351" t="str">
        <f>"20190303170604734"</f>
        <v>20190303170604734</v>
      </c>
      <c r="B3351" t="str">
        <f>"1551603964728663"</f>
        <v>1551603964728663</v>
      </c>
      <c r="C3351" t="s">
        <v>40</v>
      </c>
      <c r="D3351">
        <v>5.2322360000000003</v>
      </c>
      <c r="E3351">
        <v>0.61800469999999996</v>
      </c>
      <c r="F3351" t="s">
        <v>55</v>
      </c>
      <c r="G3351">
        <v>-127.2115</v>
      </c>
      <c r="H3351">
        <v>0.2708797</v>
      </c>
      <c r="I3351">
        <v>117.9002</v>
      </c>
      <c r="J3351">
        <v>-199.1695</v>
      </c>
      <c r="K3351">
        <v>1.1062730000000001</v>
      </c>
      <c r="L3351">
        <v>210.46019999999999</v>
      </c>
      <c r="M3351">
        <v>0.90280740000000004</v>
      </c>
      <c r="N3351">
        <v>-1.5840239999999998E-2</v>
      </c>
      <c r="O3351">
        <v>-0.42975340000000001</v>
      </c>
      <c r="P3351">
        <v>0.79048879999999999</v>
      </c>
      <c r="Q3351">
        <v>0.17982989999999999</v>
      </c>
      <c r="R3351">
        <v>-0.5854819</v>
      </c>
      <c r="S3351">
        <v>1.9615020000000001</v>
      </c>
      <c r="T3351">
        <v>-2.2674079999999999E-2</v>
      </c>
      <c r="U3351">
        <v>-2.5157780000000001</v>
      </c>
      <c r="V3351">
        <v>0.19565340000000001</v>
      </c>
      <c r="W3351">
        <v>0.1883118</v>
      </c>
      <c r="X3351">
        <v>0.96242320000000003</v>
      </c>
      <c r="Y3351">
        <v>0.44773689999999999</v>
      </c>
      <c r="Z3351">
        <v>-8.6517859999999999E-3</v>
      </c>
      <c r="AA3351">
        <v>0.89412359999999902</v>
      </c>
      <c r="AB3351">
        <v>37</v>
      </c>
      <c r="AC3351">
        <v>71.957999999999998</v>
      </c>
      <c r="AD3351">
        <v>-0.83539330000000001</v>
      </c>
      <c r="AE3351">
        <v>-92.56</v>
      </c>
      <c r="AF3351">
        <v>52.643587562126797</v>
      </c>
      <c r="AG3351">
        <v>-0.83539330000000001</v>
      </c>
      <c r="AH3351">
        <v>104.75000904510399</v>
      </c>
      <c r="AI3351">
        <v>90.408273405486597</v>
      </c>
      <c r="AJ3351">
        <v>63.317542540670502</v>
      </c>
      <c r="AK3351">
        <v>117.237406949857</v>
      </c>
      <c r="AL3351">
        <v>79.145720869940902</v>
      </c>
      <c r="AM3351">
        <v>78.508793235968199</v>
      </c>
      <c r="AN3351">
        <v>1.0000000014245201</v>
      </c>
    </row>
    <row r="3352" spans="1:40" x14ac:dyDescent="0.25">
      <c r="A3352" t="str">
        <f>"20190303170604756"</f>
        <v>20190303170604756</v>
      </c>
      <c r="B3352" t="str">
        <f>"1551603964748183"</f>
        <v>1551603964748183</v>
      </c>
      <c r="C3352" t="s">
        <v>40</v>
      </c>
      <c r="D3352">
        <v>5.2337089999999904</v>
      </c>
      <c r="E3352">
        <v>0.61741199999999996</v>
      </c>
      <c r="F3352" t="s">
        <v>55</v>
      </c>
      <c r="G3352">
        <v>-129.75110000000001</v>
      </c>
      <c r="H3352">
        <v>1.1501310000000001E-2</v>
      </c>
      <c r="I3352">
        <v>117.90009999999999</v>
      </c>
      <c r="J3352">
        <v>-198.8441</v>
      </c>
      <c r="K3352">
        <v>1.1059669999999999</v>
      </c>
      <c r="L3352">
        <v>210.29300000000001</v>
      </c>
      <c r="M3352">
        <v>0.89592269999999896</v>
      </c>
      <c r="N3352">
        <v>-1.592696E-2</v>
      </c>
      <c r="O3352">
        <v>-0.4439244</v>
      </c>
      <c r="P3352">
        <v>0.78010619999999997</v>
      </c>
      <c r="Q3352">
        <v>0.179319799999999</v>
      </c>
      <c r="R3352">
        <v>-0.59939869999999995</v>
      </c>
      <c r="S3352">
        <v>1.912903</v>
      </c>
      <c r="T3352">
        <v>-3.0167340000000001E-2</v>
      </c>
      <c r="U3352">
        <v>-2.5505979999999999</v>
      </c>
      <c r="V3352">
        <v>0.19761860000000001</v>
      </c>
      <c r="W3352">
        <v>0.18767259999999999</v>
      </c>
      <c r="X3352">
        <v>0.96214650000000002</v>
      </c>
      <c r="Y3352">
        <v>0.45037840000000001</v>
      </c>
      <c r="Z3352">
        <v>-8.2841749999999995E-3</v>
      </c>
      <c r="AA3352">
        <v>0.89279929999999996</v>
      </c>
      <c r="AB3352">
        <v>37</v>
      </c>
      <c r="AC3352">
        <v>69.092999999999904</v>
      </c>
      <c r="AD3352">
        <v>-1.0944656899999901</v>
      </c>
      <c r="AE3352">
        <v>-92.392899999999997</v>
      </c>
      <c r="AF3352">
        <v>52.106747792487504</v>
      </c>
      <c r="AG3352">
        <v>-1.0944656899999901</v>
      </c>
      <c r="AH3352">
        <v>102.921242059012</v>
      </c>
      <c r="AI3352">
        <v>90.543571987298293</v>
      </c>
      <c r="AJ3352">
        <v>63.147915389433699</v>
      </c>
      <c r="AK3352">
        <v>115.365042745306</v>
      </c>
      <c r="AL3352">
        <v>79.183009166283995</v>
      </c>
      <c r="AM3352">
        <v>78.393240962950699</v>
      </c>
      <c r="AN3352">
        <v>1.0000000016594801</v>
      </c>
    </row>
    <row r="3353" spans="1:40" x14ac:dyDescent="0.25">
      <c r="A3353" t="str">
        <f>"20190303170604778"</f>
        <v>20190303170604778</v>
      </c>
      <c r="B3353" t="str">
        <f>"1551603964768680"</f>
        <v>1551603964768680</v>
      </c>
      <c r="C3353" t="s">
        <v>40</v>
      </c>
      <c r="D3353">
        <v>5.1789750000000003</v>
      </c>
      <c r="E3353">
        <v>0.61685199999999996</v>
      </c>
      <c r="F3353" t="s">
        <v>55</v>
      </c>
      <c r="G3353">
        <v>-131.86840000000001</v>
      </c>
      <c r="H3353">
        <v>9.3555449999999998E-3</v>
      </c>
      <c r="I3353">
        <v>117.90009999999999</v>
      </c>
      <c r="J3353">
        <v>-198.5145</v>
      </c>
      <c r="K3353">
        <v>1.1056779999999999</v>
      </c>
      <c r="L3353">
        <v>210.11689999999999</v>
      </c>
      <c r="M3353">
        <v>0.88852260000000005</v>
      </c>
      <c r="N3353">
        <v>-1.6015089999999999E-2</v>
      </c>
      <c r="O3353">
        <v>-0.4585534</v>
      </c>
      <c r="P3353">
        <v>0.76899019999999996</v>
      </c>
      <c r="Q3353">
        <v>0.1813795</v>
      </c>
      <c r="R3353">
        <v>-0.61298940000000002</v>
      </c>
      <c r="S3353">
        <v>1.8703000000000001</v>
      </c>
      <c r="T3353">
        <v>-3.0622719999999999E-2</v>
      </c>
      <c r="U3353">
        <v>-2.5800779999999999</v>
      </c>
      <c r="V3353">
        <v>0.19915389999999999</v>
      </c>
      <c r="W3353">
        <v>0.1896168</v>
      </c>
      <c r="X3353">
        <v>0.96144850000000004</v>
      </c>
      <c r="Y3353">
        <v>0.45024239999999999</v>
      </c>
      <c r="Z3353">
        <v>-8.3548509999999999E-3</v>
      </c>
      <c r="AA3353">
        <v>0.89286730000000003</v>
      </c>
      <c r="AB3353">
        <v>37</v>
      </c>
      <c r="AC3353">
        <v>66.646099999999905</v>
      </c>
      <c r="AD3353">
        <v>-1.0963224549999999</v>
      </c>
      <c r="AE3353">
        <v>-92.216800000000006</v>
      </c>
      <c r="AF3353">
        <v>51.377731895558497</v>
      </c>
      <c r="AG3353">
        <v>-1.0963224549999999</v>
      </c>
      <c r="AH3353">
        <v>101.506482559486</v>
      </c>
      <c r="AI3353">
        <v>90.5521105450173</v>
      </c>
      <c r="AJ3353">
        <v>63.1536461687244</v>
      </c>
      <c r="AK3353">
        <v>113.77363165187499</v>
      </c>
      <c r="AL3353">
        <v>79.069578201838198</v>
      </c>
      <c r="AM3353">
        <v>78.297286474150994</v>
      </c>
      <c r="AN3353">
        <v>1.00000001243985</v>
      </c>
    </row>
    <row r="3354" spans="1:40" x14ac:dyDescent="0.25">
      <c r="A3354" t="str">
        <f>"20190303170604800"</f>
        <v>20190303170604800</v>
      </c>
      <c r="B3354" t="str">
        <f>"1551603964788199"</f>
        <v>1551603964788199</v>
      </c>
      <c r="C3354" t="s">
        <v>40</v>
      </c>
      <c r="D3354">
        <v>5.2142369999999998</v>
      </c>
      <c r="E3354">
        <v>0.616124</v>
      </c>
      <c r="F3354" t="s">
        <v>55</v>
      </c>
      <c r="G3354">
        <v>-133.92420000000001</v>
      </c>
      <c r="H3354">
        <v>0.26130490000000001</v>
      </c>
      <c r="I3354">
        <v>117.9002</v>
      </c>
      <c r="J3354">
        <v>-198.18799999999999</v>
      </c>
      <c r="K3354">
        <v>1.10538799999999</v>
      </c>
      <c r="L3354">
        <v>209.93549999999999</v>
      </c>
      <c r="M3354">
        <v>0.88074850000000005</v>
      </c>
      <c r="N3354">
        <v>-1.6102999999999999E-2</v>
      </c>
      <c r="O3354">
        <v>-0.47331040000000002</v>
      </c>
      <c r="P3354">
        <v>0.75621389999999999</v>
      </c>
      <c r="Q3354">
        <v>0.1827355</v>
      </c>
      <c r="R3354">
        <v>-0.62829009999999996</v>
      </c>
      <c r="S3354">
        <v>1.8272710000000001</v>
      </c>
      <c r="T3354">
        <v>-2.388728E-2</v>
      </c>
      <c r="U3354">
        <v>-2.6088260000000001</v>
      </c>
      <c r="V3354">
        <v>0.2027427</v>
      </c>
      <c r="W3354">
        <v>0.1907797</v>
      </c>
      <c r="X3354">
        <v>0.96046790000000004</v>
      </c>
      <c r="Y3354">
        <v>0.44986140000000002</v>
      </c>
      <c r="Z3354">
        <v>-9.0139179999999992E-3</v>
      </c>
      <c r="AA3354">
        <v>0.89305290000000004</v>
      </c>
      <c r="AB3354">
        <v>37</v>
      </c>
      <c r="AC3354">
        <v>64.263799999999904</v>
      </c>
      <c r="AD3354">
        <v>-0.84408309999999898</v>
      </c>
      <c r="AE3354">
        <v>-92.035300000000007</v>
      </c>
      <c r="AF3354">
        <v>50.646932057548199</v>
      </c>
      <c r="AG3354">
        <v>-0.84408309999999898</v>
      </c>
      <c r="AH3354">
        <v>100.168836860467</v>
      </c>
      <c r="AI3354">
        <v>90.430857051992106</v>
      </c>
      <c r="AJ3354">
        <v>63.178124777405202</v>
      </c>
      <c r="AK3354">
        <v>112.248029297179</v>
      </c>
      <c r="AL3354">
        <v>79.001710376074001</v>
      </c>
      <c r="AM3354">
        <v>78.080560437877494</v>
      </c>
      <c r="AN3354">
        <v>1.00000004163289</v>
      </c>
    </row>
    <row r="3355" spans="1:40" x14ac:dyDescent="0.25">
      <c r="A3355" t="str">
        <f>"20190303170604824"</f>
        <v>20190303170604824</v>
      </c>
      <c r="B3355" t="str">
        <f>"1551603964818455"</f>
        <v>1551603964818455</v>
      </c>
      <c r="C3355" t="s">
        <v>40</v>
      </c>
      <c r="D3355">
        <v>5.3305210000000001</v>
      </c>
      <c r="E3355">
        <v>0.61515620000000004</v>
      </c>
      <c r="F3355" t="s">
        <v>55</v>
      </c>
      <c r="G3355">
        <v>-136.1763</v>
      </c>
      <c r="H3355">
        <v>0.37473489999999998</v>
      </c>
      <c r="I3355">
        <v>117.9002</v>
      </c>
      <c r="J3355">
        <v>-197.85239999999999</v>
      </c>
      <c r="K3355">
        <v>1.105097</v>
      </c>
      <c r="L3355">
        <v>209.7415</v>
      </c>
      <c r="M3355">
        <v>0.8722742</v>
      </c>
      <c r="N3355">
        <v>-1.619437E-2</v>
      </c>
      <c r="O3355">
        <v>-0.48874869999999998</v>
      </c>
      <c r="P3355">
        <v>0.74232330000000002</v>
      </c>
      <c r="Q3355">
        <v>0.1818796</v>
      </c>
      <c r="R3355">
        <v>-0.64488459999999903</v>
      </c>
      <c r="S3355">
        <v>1.7787930000000001</v>
      </c>
      <c r="T3355">
        <v>-2.0958419999999998E-2</v>
      </c>
      <c r="U3355">
        <v>-2.640015</v>
      </c>
      <c r="V3355">
        <v>0.20710210000000001</v>
      </c>
      <c r="W3355">
        <v>0.1897044</v>
      </c>
      <c r="X3355">
        <v>0.95975049999999995</v>
      </c>
      <c r="Y3355">
        <v>0.45029770000000002</v>
      </c>
      <c r="Z3355">
        <v>-9.4257530000000003E-3</v>
      </c>
      <c r="AA3355">
        <v>0.89282879999999998</v>
      </c>
      <c r="AB3355">
        <v>37</v>
      </c>
      <c r="AC3355">
        <v>61.676099999999899</v>
      </c>
      <c r="AD3355">
        <v>-0.73036210000000001</v>
      </c>
      <c r="AE3355">
        <v>-91.841300000000004</v>
      </c>
      <c r="AF3355">
        <v>49.971062416261297</v>
      </c>
      <c r="AG3355">
        <v>-0.73036210000000001</v>
      </c>
      <c r="AH3355">
        <v>98.694436672188303</v>
      </c>
      <c r="AI3355">
        <v>90.378272412416294</v>
      </c>
      <c r="AJ3355">
        <v>63.145950286184899</v>
      </c>
      <c r="AK3355">
        <v>110.62654445406601</v>
      </c>
      <c r="AL3355">
        <v>79.064466511737507</v>
      </c>
      <c r="AM3355">
        <v>77.823003410283107</v>
      </c>
      <c r="AN3355">
        <v>1.0000000307270001</v>
      </c>
    </row>
    <row r="3356" spans="1:40" x14ac:dyDescent="0.25">
      <c r="A3356" t="str">
        <f>"20190303170604846"</f>
        <v>20190303170604846</v>
      </c>
      <c r="B3356" t="str">
        <f>"1551603964837975"</f>
        <v>1551603964837975</v>
      </c>
      <c r="C3356" t="s">
        <v>40</v>
      </c>
      <c r="D3356">
        <v>5.4576560000000001</v>
      </c>
      <c r="E3356">
        <v>0.61542430000000004</v>
      </c>
      <c r="F3356" t="s">
        <v>55</v>
      </c>
      <c r="G3356">
        <v>-138.54949999999999</v>
      </c>
      <c r="H3356">
        <v>0.29815009999999997</v>
      </c>
      <c r="I3356">
        <v>117.9002</v>
      </c>
      <c r="J3356">
        <v>-197.53399999999999</v>
      </c>
      <c r="K3356">
        <v>1.1048370000000001</v>
      </c>
      <c r="L3356">
        <v>209.54949999999999</v>
      </c>
      <c r="M3356">
        <v>0.86374689999999998</v>
      </c>
      <c r="N3356">
        <v>-1.6282640000000001E-2</v>
      </c>
      <c r="O3356">
        <v>-0.50366290000000002</v>
      </c>
      <c r="P3356">
        <v>0.73018229999999995</v>
      </c>
      <c r="Q3356">
        <v>0.1803215</v>
      </c>
      <c r="R3356">
        <v>-0.65902850000000002</v>
      </c>
      <c r="S3356">
        <v>1.7255549999999999</v>
      </c>
      <c r="T3356">
        <v>-2.3479699999999999E-2</v>
      </c>
      <c r="U3356">
        <v>-2.6723330000000001</v>
      </c>
      <c r="V3356">
        <v>0.20891950000000001</v>
      </c>
      <c r="W3356">
        <v>0.18803829999999999</v>
      </c>
      <c r="X3356">
        <v>0.95968439999999999</v>
      </c>
      <c r="Y3356">
        <v>0.4524088</v>
      </c>
      <c r="Z3356">
        <v>-9.3733440000000005E-3</v>
      </c>
      <c r="AA3356">
        <v>0.89176139999999904</v>
      </c>
      <c r="AB3356">
        <v>37</v>
      </c>
      <c r="AC3356">
        <v>58.984499999999997</v>
      </c>
      <c r="AD3356">
        <v>-0.80668689999999998</v>
      </c>
      <c r="AE3356">
        <v>-91.649299999999997</v>
      </c>
      <c r="AF3356">
        <v>49.4573383546767</v>
      </c>
      <c r="AG3356">
        <v>-0.80668689999999998</v>
      </c>
      <c r="AH3356">
        <v>97.115579249888</v>
      </c>
      <c r="AI3356">
        <v>90.424089815757199</v>
      </c>
      <c r="AJ3356">
        <v>63.011954631835103</v>
      </c>
      <c r="AK3356">
        <v>108.986764306152</v>
      </c>
      <c r="AL3356">
        <v>79.161675777608494</v>
      </c>
      <c r="AM3356">
        <v>77.718554800749203</v>
      </c>
      <c r="AN3356">
        <v>0.99999995367524797</v>
      </c>
    </row>
    <row r="3357" spans="1:40" x14ac:dyDescent="0.25">
      <c r="A3357" t="str">
        <f>"20190303170604868"</f>
        <v>20190303170604868</v>
      </c>
      <c r="B3357" t="str">
        <f>"1551603964858471"</f>
        <v>1551603964858471</v>
      </c>
      <c r="C3357" t="s">
        <v>40</v>
      </c>
      <c r="D3357">
        <v>5.4274490000000002</v>
      </c>
      <c r="E3357">
        <v>0.65773859999999995</v>
      </c>
      <c r="F3357" t="s">
        <v>55</v>
      </c>
      <c r="G3357">
        <v>-140.8897</v>
      </c>
      <c r="H3357">
        <v>0.15224170000000001</v>
      </c>
      <c r="I3357">
        <v>117.90009999999999</v>
      </c>
      <c r="J3357">
        <v>-197.22819999999999</v>
      </c>
      <c r="K3357">
        <v>1.104598</v>
      </c>
      <c r="L3357">
        <v>209.35810000000001</v>
      </c>
      <c r="M3357">
        <v>0.85510869999999894</v>
      </c>
      <c r="N3357">
        <v>-1.636744E-2</v>
      </c>
      <c r="O3357">
        <v>-0.51819040000000005</v>
      </c>
      <c r="P3357">
        <v>0.71993189999999996</v>
      </c>
      <c r="Q3357">
        <v>0.18098919999999999</v>
      </c>
      <c r="R3357">
        <v>-0.67003089999999998</v>
      </c>
      <c r="S3357">
        <v>1.6727449999999999</v>
      </c>
      <c r="T3357">
        <v>-2.8130530000000001E-2</v>
      </c>
      <c r="U3357">
        <v>-2.706467</v>
      </c>
      <c r="V3357">
        <v>0.2074715</v>
      </c>
      <c r="W3357">
        <v>0.18873889999999999</v>
      </c>
      <c r="X3357">
        <v>0.95986099999999996</v>
      </c>
      <c r="Y3357">
        <v>0.45494400000000002</v>
      </c>
      <c r="Z3357">
        <v>-9.0895420000000008E-3</v>
      </c>
      <c r="AA3357">
        <v>0.89047369999999904</v>
      </c>
      <c r="AB3357">
        <v>37</v>
      </c>
      <c r="AC3357">
        <v>56.338499999999897</v>
      </c>
      <c r="AD3357">
        <v>-0.95235630000000004</v>
      </c>
      <c r="AE3357">
        <v>-91.457999999999998</v>
      </c>
      <c r="AF3357">
        <v>49.0151734231316</v>
      </c>
      <c r="AG3357">
        <v>-0.95235630000000004</v>
      </c>
      <c r="AH3357">
        <v>95.5734867490021</v>
      </c>
      <c r="AI3357">
        <v>90.508005520644303</v>
      </c>
      <c r="AJ3357">
        <v>62.848833125875103</v>
      </c>
      <c r="AK3357">
        <v>107.413619143866</v>
      </c>
      <c r="AL3357">
        <v>79.120802650041298</v>
      </c>
      <c r="AM3357">
        <v>77.803295800874693</v>
      </c>
      <c r="AN3357">
        <v>0.99999996750322895</v>
      </c>
    </row>
    <row r="3358" spans="1:40" x14ac:dyDescent="0.25">
      <c r="A3358" t="str">
        <f>"20190303170604896"</f>
        <v>20190303170604896</v>
      </c>
      <c r="B3358" t="str">
        <f>"1551603964887751"</f>
        <v>1551603964887751</v>
      </c>
      <c r="C3358" t="s">
        <v>40</v>
      </c>
      <c r="D3358">
        <v>5.4247519999999998</v>
      </c>
      <c r="E3358">
        <v>0.65907099999999996</v>
      </c>
      <c r="F3358" t="s">
        <v>41</v>
      </c>
      <c r="G3358">
        <v>-159.6892</v>
      </c>
      <c r="H3358">
        <v>1.6051559999999999E-2</v>
      </c>
      <c r="I3358">
        <v>129.61619999999999</v>
      </c>
      <c r="J3358">
        <v>-196.83109999999999</v>
      </c>
      <c r="K3358">
        <v>1.1043069999999999</v>
      </c>
      <c r="L3358">
        <v>209.09880000000001</v>
      </c>
      <c r="M3358">
        <v>0.84320519999999999</v>
      </c>
      <c r="N3358">
        <v>-1.6474300000000001E-2</v>
      </c>
      <c r="O3358">
        <v>-0.53733960000000003</v>
      </c>
      <c r="P3358">
        <v>0.70423849999999999</v>
      </c>
      <c r="Q3358">
        <v>0.18186279999999999</v>
      </c>
      <c r="R3358">
        <v>-0.68627559999999999</v>
      </c>
      <c r="S3358">
        <v>1.4031830000000001</v>
      </c>
      <c r="T3358">
        <v>-4.0689110000000001E-2</v>
      </c>
      <c r="U3358">
        <v>-2.9806979999999998</v>
      </c>
      <c r="V3358">
        <v>0.2080033</v>
      </c>
      <c r="W3358">
        <v>0.1895588</v>
      </c>
      <c r="X3358">
        <v>0.9595844</v>
      </c>
      <c r="Y3358">
        <v>0.53397790000000001</v>
      </c>
      <c r="Z3358">
        <v>-9.2511139999999995E-3</v>
      </c>
      <c r="AA3358">
        <v>0.84544789999999903</v>
      </c>
      <c r="AB3358">
        <v>37</v>
      </c>
      <c r="AC3358">
        <v>37.1418999999999</v>
      </c>
      <c r="AD3358">
        <v>-1.08825544</v>
      </c>
      <c r="AE3358">
        <v>-79.482600000000005</v>
      </c>
      <c r="AF3358">
        <v>47.0614684799285</v>
      </c>
      <c r="AG3358">
        <v>-1.08825544</v>
      </c>
      <c r="AH3358">
        <v>74.026039807842196</v>
      </c>
      <c r="AI3358">
        <v>90.710783190803298</v>
      </c>
      <c r="AJ3358">
        <v>57.554162629299803</v>
      </c>
      <c r="AK3358">
        <v>87.725826784489399</v>
      </c>
      <c r="AL3358">
        <v>79.072963333274302</v>
      </c>
      <c r="AM3358">
        <v>77.769553718499694</v>
      </c>
      <c r="AN3358">
        <v>1.0000000660958399</v>
      </c>
    </row>
    <row r="3359" spans="1:40" x14ac:dyDescent="0.25">
      <c r="A3359" t="str">
        <f>"20190303170604915"</f>
        <v>20190303170604915</v>
      </c>
      <c r="B3359" t="str">
        <f>"1551603964908247"</f>
        <v>1551603964908247</v>
      </c>
      <c r="C3359" t="s">
        <v>40</v>
      </c>
      <c r="D3359">
        <v>5.4361439999999996</v>
      </c>
      <c r="E3359">
        <v>0.65843160000000001</v>
      </c>
      <c r="F3359" t="s">
        <v>55</v>
      </c>
      <c r="G3359">
        <v>-156.9957</v>
      </c>
      <c r="H3359">
        <v>0.16542770000000001</v>
      </c>
      <c r="I3359">
        <v>118.47190000000001</v>
      </c>
      <c r="J3359">
        <v>-196.58779999999999</v>
      </c>
      <c r="K3359">
        <v>1.104139</v>
      </c>
      <c r="L3359">
        <v>208.93340000000001</v>
      </c>
      <c r="M3359">
        <v>0.83550489999999999</v>
      </c>
      <c r="N3359">
        <v>-1.6538250000000001E-2</v>
      </c>
      <c r="O3359">
        <v>-0.54923420000000001</v>
      </c>
      <c r="P3359">
        <v>0.6923494</v>
      </c>
      <c r="Q3359">
        <v>0.1814993</v>
      </c>
      <c r="R3359">
        <v>-0.6983627</v>
      </c>
      <c r="S3359">
        <v>1.3267059999999999</v>
      </c>
      <c r="T3359">
        <v>-3.126872E-2</v>
      </c>
      <c r="U3359">
        <v>-3.0182950000000002</v>
      </c>
      <c r="V3359">
        <v>0.21102899999999999</v>
      </c>
      <c r="W3359">
        <v>0.18904889999999999</v>
      </c>
      <c r="X3359">
        <v>0.95902410000000005</v>
      </c>
      <c r="Y3359">
        <v>0.54383419999999905</v>
      </c>
      <c r="Z3359">
        <v>-1.0306050000000001E-2</v>
      </c>
      <c r="AA3359">
        <v>0.83912940000000003</v>
      </c>
      <c r="AB3359">
        <v>36</v>
      </c>
      <c r="AC3359">
        <v>39.592099999999903</v>
      </c>
      <c r="AD3359">
        <v>-0.93871130000000003</v>
      </c>
      <c r="AE3359">
        <v>-90.461500000000001</v>
      </c>
      <c r="AF3359">
        <v>53.838185451718502</v>
      </c>
      <c r="AG3359">
        <v>-0.93871130000000003</v>
      </c>
      <c r="AH3359">
        <v>82.767777745834294</v>
      </c>
      <c r="AI3359">
        <v>90.544703703766402</v>
      </c>
      <c r="AJ3359">
        <v>56.957094319683101</v>
      </c>
      <c r="AK3359">
        <v>98.741766363693401</v>
      </c>
      <c r="AL3359">
        <v>79.102715422634702</v>
      </c>
      <c r="AM3359">
        <v>77.590091334077798</v>
      </c>
      <c r="AN3359">
        <v>0.99999997490650905</v>
      </c>
    </row>
    <row r="3360" spans="1:40" x14ac:dyDescent="0.25">
      <c r="A3360" t="str">
        <f>"20190303170604936"</f>
        <v>20190303170604936</v>
      </c>
      <c r="B3360" t="str">
        <f>"1551603964927767"</f>
        <v>1551603964927767</v>
      </c>
      <c r="C3360" t="s">
        <v>40</v>
      </c>
      <c r="D3360">
        <v>5.4444150000000002</v>
      </c>
      <c r="E3360">
        <v>0.65729099999999996</v>
      </c>
      <c r="F3360" t="s">
        <v>41</v>
      </c>
      <c r="G3360">
        <v>-161.53110000000001</v>
      </c>
      <c r="H3360">
        <v>7.9986160000000001E-2</v>
      </c>
      <c r="I3360">
        <v>125.7634</v>
      </c>
      <c r="J3360">
        <v>-196.29050000000001</v>
      </c>
      <c r="K3360">
        <v>1.1039319999999999</v>
      </c>
      <c r="L3360">
        <v>208.72450000000001</v>
      </c>
      <c r="M3360">
        <v>0.82566119999999898</v>
      </c>
      <c r="N3360">
        <v>-1.6615599999999901E-2</v>
      </c>
      <c r="O3360">
        <v>-0.56392169999999997</v>
      </c>
      <c r="P3360">
        <v>0.67887989999999998</v>
      </c>
      <c r="Q3360">
        <v>0.17939330000000001</v>
      </c>
      <c r="R3360">
        <v>-0.71199769999999996</v>
      </c>
      <c r="S3360">
        <v>1.279938</v>
      </c>
      <c r="T3360">
        <v>-3.7392259999999997E-2</v>
      </c>
      <c r="U3360">
        <v>-3.036575</v>
      </c>
      <c r="V3360">
        <v>0.2128399</v>
      </c>
      <c r="W3360">
        <v>0.18685099999999999</v>
      </c>
      <c r="X3360">
        <v>0.95905459999999998</v>
      </c>
      <c r="Y3360">
        <v>0.54175150000000005</v>
      </c>
      <c r="Z3360">
        <v>-9.7696299999999996E-3</v>
      </c>
      <c r="AA3360">
        <v>0.8404819</v>
      </c>
      <c r="AB3360">
        <v>36</v>
      </c>
      <c r="AC3360">
        <v>34.759399999999999</v>
      </c>
      <c r="AD3360">
        <v>-1.0239458400000001</v>
      </c>
      <c r="AE3360">
        <v>-82.961100000000002</v>
      </c>
      <c r="AF3360">
        <v>48.896591632675801</v>
      </c>
      <c r="AG3360">
        <v>-1.0239458400000001</v>
      </c>
      <c r="AH3360">
        <v>75.483685691980895</v>
      </c>
      <c r="AI3360">
        <v>90.652292629140106</v>
      </c>
      <c r="AJ3360">
        <v>57.065763966196897</v>
      </c>
      <c r="AK3360">
        <v>89.942825973068494</v>
      </c>
      <c r="AL3360">
        <v>79.230930254905999</v>
      </c>
      <c r="AM3360">
        <v>77.487324255260901</v>
      </c>
      <c r="AN3360">
        <v>0.99999992250708203</v>
      </c>
    </row>
    <row r="3361" spans="1:40" x14ac:dyDescent="0.25">
      <c r="A3361" t="str">
        <f>"20190303170604958"</f>
        <v>20190303170604958</v>
      </c>
      <c r="B3361" t="str">
        <f>"1551603964948263"</f>
        <v>1551603964948263</v>
      </c>
      <c r="C3361" t="s">
        <v>40</v>
      </c>
      <c r="D3361">
        <v>5.4406610000000004</v>
      </c>
      <c r="E3361">
        <v>0.65588299999999999</v>
      </c>
      <c r="F3361" t="s">
        <v>41</v>
      </c>
      <c r="G3361">
        <v>-165.2373</v>
      </c>
      <c r="H3361" s="1">
        <v>-4.0167110000000001E-6</v>
      </c>
      <c r="I3361">
        <v>131.33459999999999</v>
      </c>
      <c r="J3361">
        <v>-196.0033</v>
      </c>
      <c r="K3361">
        <v>1.103748</v>
      </c>
      <c r="L3361">
        <v>208.5153</v>
      </c>
      <c r="M3361">
        <v>0.81567809999999996</v>
      </c>
      <c r="N3361">
        <v>-1.669027E-2</v>
      </c>
      <c r="O3361">
        <v>-0.57826549999999999</v>
      </c>
      <c r="P3361">
        <v>0.66735390000000006</v>
      </c>
      <c r="Q3361">
        <v>0.17990919999999999</v>
      </c>
      <c r="R3361">
        <v>-0.72268379999999999</v>
      </c>
      <c r="S3361">
        <v>1.2260279999999999</v>
      </c>
      <c r="T3361">
        <v>-4.3585180000000001E-2</v>
      </c>
      <c r="U3361">
        <v>-3.0554809999999999</v>
      </c>
      <c r="V3361">
        <v>0.211478</v>
      </c>
      <c r="W3361">
        <v>0.18741450000000001</v>
      </c>
      <c r="X3361">
        <v>0.95924600000000004</v>
      </c>
      <c r="Y3361">
        <v>0.54159979999999996</v>
      </c>
      <c r="Z3361">
        <v>-9.1822239999999992E-3</v>
      </c>
      <c r="AA3361">
        <v>0.84058639999999996</v>
      </c>
      <c r="AB3361">
        <v>36</v>
      </c>
      <c r="AC3361">
        <v>30.765999999999899</v>
      </c>
      <c r="AD3361">
        <v>-1.103752016711</v>
      </c>
      <c r="AE3361">
        <v>-77.180700000000002</v>
      </c>
      <c r="AF3361">
        <v>45.1620051424172</v>
      </c>
      <c r="AG3361">
        <v>-1.103752016711</v>
      </c>
      <c r="AH3361">
        <v>69.723486773124904</v>
      </c>
      <c r="AI3361">
        <v>90.761225761222207</v>
      </c>
      <c r="AJ3361">
        <v>57.067652481361897</v>
      </c>
      <c r="AK3361">
        <v>83.079417335464299</v>
      </c>
      <c r="AL3361">
        <v>79.198064475549103</v>
      </c>
      <c r="AM3361">
        <v>77.567294956172304</v>
      </c>
      <c r="AN3361">
        <v>1.0000000139051199</v>
      </c>
    </row>
    <row r="3362" spans="1:40" x14ac:dyDescent="0.25">
      <c r="A3362" t="str">
        <f>"20190303170604980"</f>
        <v>20190303170604980</v>
      </c>
      <c r="B3362" t="str">
        <f>"1551603964967784"</f>
        <v>1551603964967784</v>
      </c>
      <c r="C3362" t="s">
        <v>40</v>
      </c>
      <c r="D3362">
        <v>5.4788569999999996</v>
      </c>
      <c r="E3362">
        <v>0.65509600000000001</v>
      </c>
      <c r="F3362" t="s">
        <v>41</v>
      </c>
      <c r="G3362">
        <v>-165.53989999999999</v>
      </c>
      <c r="H3362">
        <v>3.2647000000000002E-2</v>
      </c>
      <c r="I3362">
        <v>129.6163</v>
      </c>
      <c r="J3362">
        <v>-195.70849999999999</v>
      </c>
      <c r="K3362">
        <v>1.1035870000000001</v>
      </c>
      <c r="L3362">
        <v>208.29249999999999</v>
      </c>
      <c r="M3362">
        <v>0.80492779999999997</v>
      </c>
      <c r="N3362">
        <v>-1.6766739999999999E-2</v>
      </c>
      <c r="O3362">
        <v>-0.59313590000000005</v>
      </c>
      <c r="P3362">
        <v>0.65462959999999903</v>
      </c>
      <c r="Q3362">
        <v>0.18323449999999999</v>
      </c>
      <c r="R3362">
        <v>-0.73340680000000003</v>
      </c>
      <c r="S3362">
        <v>1.1844939999999999</v>
      </c>
      <c r="T3362">
        <v>-4.1647200000000002E-2</v>
      </c>
      <c r="U3362">
        <v>-3.0677949999999998</v>
      </c>
      <c r="V3362">
        <v>0.21018020000000001</v>
      </c>
      <c r="W3362">
        <v>0.19078339999999999</v>
      </c>
      <c r="X3362">
        <v>0.95886700000000002</v>
      </c>
      <c r="Y3362">
        <v>0.53719719999999904</v>
      </c>
      <c r="Z3362">
        <v>-9.3396780000000006E-3</v>
      </c>
      <c r="AA3362">
        <v>0.84340499999999996</v>
      </c>
      <c r="AB3362">
        <v>36</v>
      </c>
      <c r="AC3362">
        <v>30.168600000000001</v>
      </c>
      <c r="AD3362">
        <v>-1.07094</v>
      </c>
      <c r="AE3362">
        <v>-78.676199999999994</v>
      </c>
      <c r="AF3362">
        <v>45.433627581179302</v>
      </c>
      <c r="AG3362">
        <v>-1.07094</v>
      </c>
      <c r="AH3362">
        <v>70.947734903428398</v>
      </c>
      <c r="AI3362">
        <v>90.728287133590598</v>
      </c>
      <c r="AJ3362">
        <v>57.365246729089201</v>
      </c>
      <c r="AK3362">
        <v>84.255222482621505</v>
      </c>
      <c r="AL3362">
        <v>79.0014936500815</v>
      </c>
      <c r="AM3362">
        <v>77.636505847749504</v>
      </c>
      <c r="AN3362">
        <v>0.99999997293829901</v>
      </c>
    </row>
    <row r="3363" spans="1:40" x14ac:dyDescent="0.25">
      <c r="A3363" t="str">
        <f>"20190303170605003"</f>
        <v>20190303170605003</v>
      </c>
      <c r="B3363" t="str">
        <f>"1551603964988279"</f>
        <v>1551603964988279</v>
      </c>
      <c r="C3363" t="s">
        <v>40</v>
      </c>
      <c r="D3363">
        <v>5.5002559999999896</v>
      </c>
      <c r="E3363">
        <v>0.64313999999999905</v>
      </c>
      <c r="F3363" t="s">
        <v>55</v>
      </c>
      <c r="G3363">
        <v>-160.80500000000001</v>
      </c>
      <c r="H3363">
        <v>-6.6742900000000003E-3</v>
      </c>
      <c r="I3363">
        <v>113.8172</v>
      </c>
      <c r="J3363">
        <v>-195.4085</v>
      </c>
      <c r="K3363">
        <v>1.103434</v>
      </c>
      <c r="L3363">
        <v>208.05699999999999</v>
      </c>
      <c r="M3363">
        <v>0.79343369999999902</v>
      </c>
      <c r="N3363">
        <v>-1.684372E-2</v>
      </c>
      <c r="O3363">
        <v>-0.60842359999999995</v>
      </c>
      <c r="P3363">
        <v>0.63997579999999998</v>
      </c>
      <c r="Q3363">
        <v>0.18551699999999999</v>
      </c>
      <c r="R3363">
        <v>-0.74566409999999905</v>
      </c>
      <c r="S3363">
        <v>1.138962</v>
      </c>
      <c r="T3363">
        <v>-3.6229369999999997E-2</v>
      </c>
      <c r="U3363">
        <v>-3.0828859999999998</v>
      </c>
      <c r="V3363">
        <v>0.2105544</v>
      </c>
      <c r="W3363">
        <v>0.19304089999999999</v>
      </c>
      <c r="X3363">
        <v>0.95833299999999999</v>
      </c>
      <c r="Y3363">
        <v>0.53336779999999995</v>
      </c>
      <c r="Z3363">
        <v>-9.9330180000000001E-3</v>
      </c>
      <c r="AA3363">
        <v>0.8458251</v>
      </c>
      <c r="AB3363">
        <v>36</v>
      </c>
      <c r="AC3363">
        <v>34.603499999999997</v>
      </c>
      <c r="AD3363">
        <v>-1.1101082900000001</v>
      </c>
      <c r="AE3363">
        <v>-94.239800000000002</v>
      </c>
      <c r="AF3363">
        <v>53.720499922606002</v>
      </c>
      <c r="AG3363">
        <v>-1.1101082900000001</v>
      </c>
      <c r="AH3363">
        <v>84.794963149345904</v>
      </c>
      <c r="AI3363">
        <v>90.633613637263906</v>
      </c>
      <c r="AJ3363">
        <v>57.644347631008202</v>
      </c>
      <c r="AK3363">
        <v>100.385806904408</v>
      </c>
      <c r="AL3363">
        <v>78.869699374991001</v>
      </c>
      <c r="AM3363">
        <v>77.608484943117503</v>
      </c>
      <c r="AN3363">
        <v>1.0000000416605801</v>
      </c>
    </row>
    <row r="3364" spans="1:40" x14ac:dyDescent="0.25">
      <c r="A3364" t="str">
        <f>"20190303170605025"</f>
        <v>20190303170605025</v>
      </c>
      <c r="B3364" t="str">
        <f>"1551603965018535"</f>
        <v>1551603965018535</v>
      </c>
      <c r="C3364" t="s">
        <v>40</v>
      </c>
      <c r="D3364">
        <v>5.5204079999999998</v>
      </c>
      <c r="E3364">
        <v>0.64148130000000003</v>
      </c>
      <c r="F3364" t="s">
        <v>41</v>
      </c>
      <c r="G3364">
        <v>-169.56110000000001</v>
      </c>
      <c r="H3364" s="1">
        <v>-3.0279109999999999E-7</v>
      </c>
      <c r="I3364">
        <v>140.0479</v>
      </c>
      <c r="J3364">
        <v>-195.12729999999999</v>
      </c>
      <c r="K3364">
        <v>1.103294</v>
      </c>
      <c r="L3364">
        <v>207.8271</v>
      </c>
      <c r="M3364">
        <v>0.78211359999999996</v>
      </c>
      <c r="N3364">
        <v>-1.6915039999999999E-2</v>
      </c>
      <c r="O3364">
        <v>-0.62290619999999997</v>
      </c>
      <c r="P3364">
        <v>0.62669249999999999</v>
      </c>
      <c r="Q3364">
        <v>0.1854749</v>
      </c>
      <c r="R3364">
        <v>-0.75687209999999905</v>
      </c>
      <c r="S3364">
        <v>1.156509</v>
      </c>
      <c r="T3364">
        <v>-4.937184E-2</v>
      </c>
      <c r="U3364">
        <v>-3.0429840000000001</v>
      </c>
      <c r="V3364">
        <v>0.20995130000000001</v>
      </c>
      <c r="W3364">
        <v>0.1930278</v>
      </c>
      <c r="X3364">
        <v>0.95846790000000004</v>
      </c>
      <c r="Y3364">
        <v>0.50971769999999905</v>
      </c>
      <c r="Z3364">
        <v>-7.9670909999999904E-3</v>
      </c>
      <c r="AA3364">
        <v>0.86030479999999998</v>
      </c>
      <c r="AB3364">
        <v>36</v>
      </c>
      <c r="AC3364">
        <v>25.566199999999899</v>
      </c>
      <c r="AD3364">
        <v>-1.1032943027911</v>
      </c>
      <c r="AE3364">
        <v>-67.779200000000003</v>
      </c>
      <c r="AF3364">
        <v>37.082395680795202</v>
      </c>
      <c r="AG3364">
        <v>-1.1032943027911</v>
      </c>
      <c r="AH3364">
        <v>62.210230636357998</v>
      </c>
      <c r="AI3364">
        <v>90.872767752409899</v>
      </c>
      <c r="AJ3364">
        <v>59.201593268711399</v>
      </c>
      <c r="AK3364">
        <v>72.432272666087798</v>
      </c>
      <c r="AL3364">
        <v>78.870463840863906</v>
      </c>
      <c r="AM3364">
        <v>77.644572336981099</v>
      </c>
      <c r="AN3364">
        <v>0.99999999763747005</v>
      </c>
    </row>
    <row r="3365" spans="1:40" x14ac:dyDescent="0.25">
      <c r="A3365" t="str">
        <f>"20190303170605047"</f>
        <v>20190303170605047</v>
      </c>
      <c r="B3365" t="str">
        <f>"1551603965038056"</f>
        <v>1551603965038056</v>
      </c>
      <c r="C3365" t="s">
        <v>40</v>
      </c>
      <c r="D3365">
        <v>5.5427429999999998</v>
      </c>
      <c r="E3365">
        <v>0.6402293</v>
      </c>
      <c r="F3365" t="s">
        <v>84</v>
      </c>
      <c r="G3365">
        <v>-170.46080000000001</v>
      </c>
      <c r="H3365" s="1">
        <v>-3.9423579999999998E-6</v>
      </c>
      <c r="I3365">
        <v>139.98869999999999</v>
      </c>
      <c r="J3365">
        <v>-194.85230000000001</v>
      </c>
      <c r="K3365">
        <v>1.1031660000000001</v>
      </c>
      <c r="L3365">
        <v>207.59379999999999</v>
      </c>
      <c r="M3365">
        <v>0.77052310000000002</v>
      </c>
      <c r="N3365">
        <v>-1.6982480000000001E-2</v>
      </c>
      <c r="O3365">
        <v>-0.63718619999999904</v>
      </c>
      <c r="P3365">
        <v>0.61458269999999904</v>
      </c>
      <c r="Q3365">
        <v>0.1849759</v>
      </c>
      <c r="R3365">
        <v>-0.76685890000000001</v>
      </c>
      <c r="S3365">
        <v>1.11113</v>
      </c>
      <c r="T3365">
        <v>-4.9699069999999998E-2</v>
      </c>
      <c r="U3365">
        <v>-3.055847</v>
      </c>
      <c r="V3365">
        <v>0.20768200000000001</v>
      </c>
      <c r="W3365">
        <v>0.1926399</v>
      </c>
      <c r="X3365">
        <v>0.95904020000000001</v>
      </c>
      <c r="Y3365">
        <v>0.50632109999999997</v>
      </c>
      <c r="Z3365">
        <v>-7.8443880000000007E-3</v>
      </c>
      <c r="AA3365">
        <v>0.86230929999999995</v>
      </c>
      <c r="AB3365">
        <v>36</v>
      </c>
      <c r="AC3365">
        <v>24.391500000000001</v>
      </c>
      <c r="AD3365">
        <v>-1.1031699423579999</v>
      </c>
      <c r="AE3365">
        <v>-67.605099999999993</v>
      </c>
      <c r="AF3365">
        <v>36.5460160666184</v>
      </c>
      <c r="AG3365">
        <v>-1.1031699423579999</v>
      </c>
      <c r="AH3365">
        <v>61.865583485335897</v>
      </c>
      <c r="AI3365">
        <v>90.879592425663105</v>
      </c>
      <c r="AJ3365">
        <v>59.428269431080302</v>
      </c>
      <c r="AK3365">
        <v>71.862220215105495</v>
      </c>
      <c r="AL3365">
        <v>78.8931142893871</v>
      </c>
      <c r="AM3365">
        <v>77.781156985738804</v>
      </c>
      <c r="AN3365">
        <v>1.0000000247060199</v>
      </c>
    </row>
    <row r="3366" spans="1:40" x14ac:dyDescent="0.25">
      <c r="A3366" t="str">
        <f>"20190303170605070"</f>
        <v>20190303170605070</v>
      </c>
      <c r="B3366" t="str">
        <f>"1551603965058551"</f>
        <v>1551603965058551</v>
      </c>
      <c r="C3366" t="s">
        <v>40</v>
      </c>
      <c r="D3366">
        <v>5.3860780000000004</v>
      </c>
      <c r="E3366">
        <v>0.63974730000000002</v>
      </c>
      <c r="F3366" t="s">
        <v>84</v>
      </c>
      <c r="G3366">
        <v>-170.88890000000001</v>
      </c>
      <c r="H3366" s="1">
        <v>-3.6718070000000001E-6</v>
      </c>
      <c r="I3366">
        <v>138.72059999999999</v>
      </c>
      <c r="J3366">
        <v>-194.57929999999999</v>
      </c>
      <c r="K3366">
        <v>1.1030519999999999</v>
      </c>
      <c r="L3366">
        <v>207.35339999999999</v>
      </c>
      <c r="M3366">
        <v>0.75848599999999999</v>
      </c>
      <c r="N3366">
        <v>-1.704582E-2</v>
      </c>
      <c r="O3366">
        <v>-0.65146630000000005</v>
      </c>
      <c r="P3366">
        <v>0.60102609999999901</v>
      </c>
      <c r="Q3366">
        <v>0.18675990000000001</v>
      </c>
      <c r="R3366">
        <v>-0.77710249999999903</v>
      </c>
      <c r="S3366">
        <v>1.067596</v>
      </c>
      <c r="T3366">
        <v>-4.9147370000000003E-2</v>
      </c>
      <c r="U3366">
        <v>-3.0683750000000001</v>
      </c>
      <c r="V3366">
        <v>0.20640910000000001</v>
      </c>
      <c r="W3366">
        <v>0.19448499999999999</v>
      </c>
      <c r="X3366">
        <v>0.95894259999999998</v>
      </c>
      <c r="Y3366">
        <v>0.50220600000000004</v>
      </c>
      <c r="Z3366">
        <v>-7.8247270000000001E-3</v>
      </c>
      <c r="AA3366">
        <v>0.8647127</v>
      </c>
      <c r="AB3366">
        <v>36</v>
      </c>
      <c r="AC3366">
        <v>23.690399999999901</v>
      </c>
      <c r="AD3366">
        <v>-1.1030556718069999</v>
      </c>
      <c r="AE3366">
        <v>-68.632800000000003</v>
      </c>
      <c r="AF3366">
        <v>36.620391984666803</v>
      </c>
      <c r="AG3366">
        <v>-1.1030556718069999</v>
      </c>
      <c r="AH3366">
        <v>62.675438231271102</v>
      </c>
      <c r="AI3366">
        <v>90.870585991516293</v>
      </c>
      <c r="AJ3366">
        <v>59.702846584844501</v>
      </c>
      <c r="AK3366">
        <v>72.5980743436604</v>
      </c>
      <c r="AL3366">
        <v>78.785359934899702</v>
      </c>
      <c r="AM3366">
        <v>77.852617593151805</v>
      </c>
      <c r="AN3366">
        <v>1.00000002094128</v>
      </c>
    </row>
    <row r="3367" spans="1:40" x14ac:dyDescent="0.25">
      <c r="A3367" t="str">
        <f>"20190303170605094"</f>
        <v>20190303170605094</v>
      </c>
      <c r="B3367" t="str">
        <f>"1551603965078072"</f>
        <v>1551603965078072</v>
      </c>
      <c r="C3367" t="s">
        <v>40</v>
      </c>
      <c r="D3367">
        <v>5.3351579999999998</v>
      </c>
      <c r="E3367">
        <v>0.63933629999999997</v>
      </c>
      <c r="F3367" t="s">
        <v>43</v>
      </c>
      <c r="G3367">
        <v>-163.0889</v>
      </c>
      <c r="H3367">
        <v>-0.05</v>
      </c>
      <c r="I3367">
        <v>111.8862</v>
      </c>
      <c r="J3367">
        <v>-194.29820000000001</v>
      </c>
      <c r="K3367">
        <v>1.102938</v>
      </c>
      <c r="L3367">
        <v>207.09630000000001</v>
      </c>
      <c r="M3367">
        <v>0.74551630000000002</v>
      </c>
      <c r="N3367">
        <v>-1.710679E-2</v>
      </c>
      <c r="O3367">
        <v>-0.66626790000000002</v>
      </c>
      <c r="P3367">
        <v>0.58440519999999996</v>
      </c>
      <c r="Q3367">
        <v>0.189385</v>
      </c>
      <c r="R3367">
        <v>-0.78905269999999905</v>
      </c>
      <c r="S3367">
        <v>1.0169220000000001</v>
      </c>
      <c r="T3367">
        <v>-3.7235619999999997E-2</v>
      </c>
      <c r="U3367">
        <v>-3.082932</v>
      </c>
      <c r="V3367">
        <v>0.2075814</v>
      </c>
      <c r="W3367">
        <v>0.19705690000000001</v>
      </c>
      <c r="X3367">
        <v>0.95816420000000002</v>
      </c>
      <c r="Y3367">
        <v>0.4992357</v>
      </c>
      <c r="Z3367">
        <v>-9.4569549999999995E-3</v>
      </c>
      <c r="AA3367">
        <v>0.86641469999999898</v>
      </c>
      <c r="AB3367">
        <v>36</v>
      </c>
      <c r="AC3367">
        <v>31.209299999999999</v>
      </c>
      <c r="AD3367">
        <v>-1.152938</v>
      </c>
      <c r="AE3367">
        <v>-95.210099999999997</v>
      </c>
      <c r="AF3367">
        <v>50.1876235873493</v>
      </c>
      <c r="AG3367">
        <v>-1.152938</v>
      </c>
      <c r="AH3367">
        <v>86.703679178127402</v>
      </c>
      <c r="AI3367">
        <v>90.659359159470696</v>
      </c>
      <c r="AJ3367">
        <v>59.935992194378898</v>
      </c>
      <c r="AK3367">
        <v>100.18809714931599</v>
      </c>
      <c r="AL3367">
        <v>78.635093458697298</v>
      </c>
      <c r="AM3367">
        <v>77.776067820933093</v>
      </c>
      <c r="AN3367">
        <v>1.0000000468126</v>
      </c>
    </row>
    <row r="3368" spans="1:40" x14ac:dyDescent="0.25">
      <c r="A3368" t="str">
        <f>"20190303170605116"</f>
        <v>20190303170605116</v>
      </c>
      <c r="B3368" t="str">
        <f>"1551603965108327"</f>
        <v>1551603965108327</v>
      </c>
      <c r="C3368" t="s">
        <v>40</v>
      </c>
      <c r="D3368">
        <v>5.3810589999999996</v>
      </c>
      <c r="E3368">
        <v>0.63869299999999996</v>
      </c>
      <c r="F3368" t="s">
        <v>55</v>
      </c>
      <c r="G3368">
        <v>-164.4135</v>
      </c>
      <c r="H3368">
        <v>0.32251669999999999</v>
      </c>
      <c r="I3368">
        <v>110.2026</v>
      </c>
      <c r="J3368">
        <v>-194.02809999999999</v>
      </c>
      <c r="K3368">
        <v>1.102841</v>
      </c>
      <c r="L3368">
        <v>206.83969999999999</v>
      </c>
      <c r="M3368">
        <v>0.73247739999999995</v>
      </c>
      <c r="N3368">
        <v>-1.7161199999999901E-2</v>
      </c>
      <c r="O3368">
        <v>-0.68057519999999905</v>
      </c>
      <c r="P3368">
        <v>0.56828059999999903</v>
      </c>
      <c r="Q3368">
        <v>0.19011990000000001</v>
      </c>
      <c r="R3368">
        <v>-0.8005698</v>
      </c>
      <c r="S3368">
        <v>0.95610050000000002</v>
      </c>
      <c r="T3368">
        <v>-2.4967670000000001E-2</v>
      </c>
      <c r="U3368">
        <v>-3.0999150000000002</v>
      </c>
      <c r="V3368">
        <v>0.20841950000000001</v>
      </c>
      <c r="W3368">
        <v>0.1977585</v>
      </c>
      <c r="X3368">
        <v>0.95783759999999996</v>
      </c>
      <c r="Y3368">
        <v>0.49933880000000003</v>
      </c>
      <c r="Z3368">
        <v>-1.13156E-2</v>
      </c>
      <c r="AA3368">
        <v>0.86633289999999996</v>
      </c>
      <c r="AB3368">
        <v>36</v>
      </c>
      <c r="AC3368">
        <v>29.614599999999999</v>
      </c>
      <c r="AD3368">
        <v>-0.78032429999999997</v>
      </c>
      <c r="AE3368">
        <v>-96.637100000000004</v>
      </c>
      <c r="AF3368">
        <v>50.633962072531801</v>
      </c>
      <c r="AG3368">
        <v>-0.78032429999999997</v>
      </c>
      <c r="AH3368">
        <v>87.4684961071884</v>
      </c>
      <c r="AI3368">
        <v>90.442364038531494</v>
      </c>
      <c r="AJ3368">
        <v>59.934210544777301</v>
      </c>
      <c r="AK3368">
        <v>101.069999665721</v>
      </c>
      <c r="AL3368">
        <v>78.594087155125294</v>
      </c>
      <c r="AM3368">
        <v>77.724149477368897</v>
      </c>
      <c r="AN3368">
        <v>0.99999999013812901</v>
      </c>
    </row>
    <row r="3369" spans="1:40" x14ac:dyDescent="0.25">
      <c r="A3369" t="str">
        <f>"20190303170605136"</f>
        <v>20190303170605136</v>
      </c>
      <c r="B3369" t="str">
        <f>"1551603965127847"</f>
        <v>1551603965127847</v>
      </c>
      <c r="C3369" t="s">
        <v>40</v>
      </c>
      <c r="D3369">
        <v>5.3902000000000001</v>
      </c>
      <c r="E3369">
        <v>0.6312894</v>
      </c>
      <c r="F3369" t="s">
        <v>55</v>
      </c>
      <c r="G3369">
        <v>-165.82130000000001</v>
      </c>
      <c r="H3369">
        <v>0.48841980000000002</v>
      </c>
      <c r="I3369">
        <v>108.7925</v>
      </c>
      <c r="J3369">
        <v>-193.78550000000001</v>
      </c>
      <c r="K3369">
        <v>1.1027549999999999</v>
      </c>
      <c r="L3369">
        <v>206.6003</v>
      </c>
      <c r="M3369">
        <v>0.72025019999999995</v>
      </c>
      <c r="N3369">
        <v>-1.7206320000000001E-2</v>
      </c>
      <c r="O3369">
        <v>-0.69350109999999998</v>
      </c>
      <c r="P3369">
        <v>0.55328710000000003</v>
      </c>
      <c r="Q3369">
        <v>0.18969910000000001</v>
      </c>
      <c r="R3369">
        <v>-0.81110289999999996</v>
      </c>
      <c r="S3369">
        <v>0.89634699999999901</v>
      </c>
      <c r="T3369">
        <v>-1.9524570000000002E-2</v>
      </c>
      <c r="U3369">
        <v>-3.115707</v>
      </c>
      <c r="V3369">
        <v>0.209289</v>
      </c>
      <c r="W3369">
        <v>0.19730420000000001</v>
      </c>
      <c r="X3369">
        <v>0.95774170000000003</v>
      </c>
      <c r="Y3369">
        <v>0.50043539999999997</v>
      </c>
      <c r="Z3369">
        <v>-1.2246460000000001E-2</v>
      </c>
      <c r="AA3369">
        <v>0.86568729999999905</v>
      </c>
      <c r="AB3369">
        <v>36</v>
      </c>
      <c r="AC3369">
        <v>27.964200000000002</v>
      </c>
      <c r="AD3369">
        <v>-0.61433519999999997</v>
      </c>
      <c r="AE3369">
        <v>-97.8078</v>
      </c>
      <c r="AF3369">
        <v>51.058576209216803</v>
      </c>
      <c r="AG3369">
        <v>-0.61433519999999997</v>
      </c>
      <c r="AH3369">
        <v>87.980845891490304</v>
      </c>
      <c r="AI3369">
        <v>90.346021257602402</v>
      </c>
      <c r="AJ3369">
        <v>59.871803124295603</v>
      </c>
      <c r="AK3369">
        <v>101.725045372477</v>
      </c>
      <c r="AL3369">
        <v>78.620639901728794</v>
      </c>
      <c r="AM3369">
        <v>77.673302070623294</v>
      </c>
      <c r="AN3369">
        <v>0.99999999838876497</v>
      </c>
    </row>
    <row r="3370" spans="1:40" x14ac:dyDescent="0.25">
      <c r="A3370" t="str">
        <f>"20190303170605159"</f>
        <v>20190303170605159</v>
      </c>
      <c r="B3370" t="str">
        <f>"1551603965148344"</f>
        <v>1551603965148344</v>
      </c>
      <c r="C3370" t="s">
        <v>40</v>
      </c>
      <c r="D3370">
        <v>5.4303670000000004</v>
      </c>
      <c r="E3370">
        <v>0.63008549999999997</v>
      </c>
      <c r="F3370" t="s">
        <v>55</v>
      </c>
      <c r="G3370">
        <v>-165.85169999999999</v>
      </c>
      <c r="H3370">
        <v>0.56579539999999995</v>
      </c>
      <c r="I3370">
        <v>108.7621</v>
      </c>
      <c r="J3370">
        <v>-193.5299</v>
      </c>
      <c r="K3370">
        <v>1.102665</v>
      </c>
      <c r="L3370">
        <v>206.339</v>
      </c>
      <c r="M3370">
        <v>0.70682679999999998</v>
      </c>
      <c r="N3370">
        <v>-1.7249710000000001E-2</v>
      </c>
      <c r="O3370">
        <v>-0.70717640000000004</v>
      </c>
      <c r="P3370">
        <v>0.53677200000000003</v>
      </c>
      <c r="Q3370">
        <v>0.18932650000000001</v>
      </c>
      <c r="R3370">
        <v>-0.82221129999999998</v>
      </c>
      <c r="S3370">
        <v>0.88481139999999903</v>
      </c>
      <c r="T3370">
        <v>-1.700807E-2</v>
      </c>
      <c r="U3370">
        <v>-3.0990600000000001</v>
      </c>
      <c r="V3370">
        <v>0.21038509999999999</v>
      </c>
      <c r="W3370">
        <v>0.1968876</v>
      </c>
      <c r="X3370">
        <v>0.95758719999999997</v>
      </c>
      <c r="Y3370">
        <v>0.48552020000000001</v>
      </c>
      <c r="Z3370">
        <v>-1.2594259999999999E-2</v>
      </c>
      <c r="AA3370">
        <v>0.87413469999999904</v>
      </c>
      <c r="AB3370">
        <v>36</v>
      </c>
      <c r="AC3370">
        <v>27.6782</v>
      </c>
      <c r="AD3370">
        <v>-0.53686959999999995</v>
      </c>
      <c r="AE3370">
        <v>-97.576899999999995</v>
      </c>
      <c r="AF3370">
        <v>49.402561253916502</v>
      </c>
      <c r="AG3370">
        <v>-0.53686959999999995</v>
      </c>
      <c r="AH3370">
        <v>88.578466213261905</v>
      </c>
      <c r="AI3370">
        <v>90.303283046003699</v>
      </c>
      <c r="AJ3370">
        <v>60.850432226585603</v>
      </c>
      <c r="AK3370">
        <v>101.42507561795701</v>
      </c>
      <c r="AL3370">
        <v>78.644986139445706</v>
      </c>
      <c r="AM3370">
        <v>77.608795506915698</v>
      </c>
      <c r="AN3370">
        <v>0.99999993146980204</v>
      </c>
    </row>
    <row r="3371" spans="1:40" x14ac:dyDescent="0.25">
      <c r="A3371" t="str">
        <f>"20190303170605182"</f>
        <v>20190303170605182</v>
      </c>
      <c r="B3371" t="str">
        <f>"1551603965167863"</f>
        <v>1551603965167863</v>
      </c>
      <c r="C3371" t="s">
        <v>40</v>
      </c>
      <c r="D3371">
        <v>5.4878629999999999</v>
      </c>
      <c r="E3371">
        <v>0.62946679999999999</v>
      </c>
      <c r="F3371" t="s">
        <v>55</v>
      </c>
      <c r="G3371">
        <v>-167.0949</v>
      </c>
      <c r="H3371">
        <v>0.18461469999999999</v>
      </c>
      <c r="I3371">
        <v>107.51649999999999</v>
      </c>
      <c r="J3371">
        <v>-193.27799999999999</v>
      </c>
      <c r="K3371">
        <v>1.102598</v>
      </c>
      <c r="L3371">
        <v>206.07140000000001</v>
      </c>
      <c r="M3371">
        <v>0.69301769999999996</v>
      </c>
      <c r="N3371">
        <v>-1.72882E-2</v>
      </c>
      <c r="O3371">
        <v>-0.7207133</v>
      </c>
      <c r="P3371">
        <v>0.51938260000000003</v>
      </c>
      <c r="Q3371">
        <v>0.18945229999999999</v>
      </c>
      <c r="R3371">
        <v>-0.83327649999999998</v>
      </c>
      <c r="S3371">
        <v>0.83242799999999995</v>
      </c>
      <c r="T3371">
        <v>-2.8908730000000001E-2</v>
      </c>
      <c r="U3371">
        <v>-3.1118769999999998</v>
      </c>
      <c r="V3371">
        <v>0.2120023</v>
      </c>
      <c r="W3371">
        <v>0.1969419</v>
      </c>
      <c r="X3371">
        <v>0.95721940000000005</v>
      </c>
      <c r="Y3371">
        <v>0.4832072</v>
      </c>
      <c r="Z3371">
        <v>-1.068405E-2</v>
      </c>
      <c r="AA3371">
        <v>0.87544080000000002</v>
      </c>
      <c r="AB3371">
        <v>36</v>
      </c>
      <c r="AC3371">
        <v>26.1831</v>
      </c>
      <c r="AD3371">
        <v>-0.91798329999999995</v>
      </c>
      <c r="AE3371">
        <v>-98.554900000000004</v>
      </c>
      <c r="AF3371">
        <v>49.433162335807502</v>
      </c>
      <c r="AG3371">
        <v>-0.91798329999999995</v>
      </c>
      <c r="AH3371">
        <v>89.1812778517684</v>
      </c>
      <c r="AI3371">
        <v>90.5158137985606</v>
      </c>
      <c r="AJ3371">
        <v>61.000406535436298</v>
      </c>
      <c r="AK3371">
        <v>101.96950794787401</v>
      </c>
      <c r="AL3371">
        <v>78.641814021110207</v>
      </c>
      <c r="AM3371">
        <v>77.511874979961604</v>
      </c>
      <c r="AN3371">
        <v>1.0000000334586201</v>
      </c>
    </row>
    <row r="3372" spans="1:40" x14ac:dyDescent="0.25">
      <c r="A3372" t="str">
        <f>"20190303170605204"</f>
        <v>20190303170605204</v>
      </c>
      <c r="B3372" t="str">
        <f>"1551603965198119"</f>
        <v>1551603965198119</v>
      </c>
      <c r="C3372" t="s">
        <v>40</v>
      </c>
      <c r="D3372">
        <v>5.7859829999999999</v>
      </c>
      <c r="E3372">
        <v>0.65084399999999998</v>
      </c>
      <c r="F3372" t="s">
        <v>84</v>
      </c>
      <c r="G3372">
        <v>-173.4691</v>
      </c>
      <c r="H3372">
        <v>7.9988249999999997E-2</v>
      </c>
      <c r="I3372">
        <v>126.04640000000001</v>
      </c>
      <c r="J3372">
        <v>-193.03120000000001</v>
      </c>
      <c r="K3372">
        <v>1.1025469999999999</v>
      </c>
      <c r="L3372">
        <v>205.79859999999999</v>
      </c>
      <c r="M3372">
        <v>0.67888130000000002</v>
      </c>
      <c r="N3372">
        <v>-1.7321909999999999E-2</v>
      </c>
      <c r="O3372">
        <v>-0.73404360000000002</v>
      </c>
      <c r="P3372">
        <v>0.50198699999999996</v>
      </c>
      <c r="Q3372">
        <v>0.19061929999999999</v>
      </c>
      <c r="R3372">
        <v>-0.84360709999999905</v>
      </c>
      <c r="S3372">
        <v>0.77401730000000002</v>
      </c>
      <c r="T3372">
        <v>-3.9957760000000002E-2</v>
      </c>
      <c r="U3372">
        <v>-3.1269230000000001</v>
      </c>
      <c r="V3372">
        <v>0.21315999999999999</v>
      </c>
      <c r="W3372">
        <v>0.1980558</v>
      </c>
      <c r="X3372">
        <v>0.95673229999999998</v>
      </c>
      <c r="Y3372">
        <v>0.48256080000000001</v>
      </c>
      <c r="Z3372">
        <v>-8.8041609999999996E-3</v>
      </c>
      <c r="AA3372">
        <v>0.87581819999999899</v>
      </c>
      <c r="AB3372">
        <v>36</v>
      </c>
      <c r="AC3372">
        <v>19.562100000000001</v>
      </c>
      <c r="AD3372">
        <v>-1.02255875</v>
      </c>
      <c r="AE3372">
        <v>-79.752199999999903</v>
      </c>
      <c r="AF3372">
        <v>39.782646183855299</v>
      </c>
      <c r="AG3372">
        <v>-1.02255875</v>
      </c>
      <c r="AH3372">
        <v>71.821580721881205</v>
      </c>
      <c r="AI3372">
        <v>90.713553164074796</v>
      </c>
      <c r="AJ3372">
        <v>61.017520801865103</v>
      </c>
      <c r="AK3372">
        <v>82.109950804861199</v>
      </c>
      <c r="AL3372">
        <v>78.576709395845498</v>
      </c>
      <c r="AM3372">
        <v>77.439647285918198</v>
      </c>
      <c r="AN3372">
        <v>0.99999998968846404</v>
      </c>
    </row>
    <row r="3373" spans="1:40" x14ac:dyDescent="0.25">
      <c r="A3373" t="str">
        <f>"20190303170605226"</f>
        <v>20190303170605226</v>
      </c>
      <c r="B3373" t="str">
        <f>"1551603965218616"</f>
        <v>1551603965218616</v>
      </c>
      <c r="C3373" t="s">
        <v>40</v>
      </c>
      <c r="D3373">
        <v>5.7030979999999998</v>
      </c>
      <c r="E3373">
        <v>0.65680059999999996</v>
      </c>
      <c r="F3373" t="s">
        <v>55</v>
      </c>
      <c r="G3373">
        <v>-169.62889999999999</v>
      </c>
      <c r="H3373">
        <v>0.1195126</v>
      </c>
      <c r="I3373">
        <v>70.743390000000005</v>
      </c>
      <c r="J3373">
        <v>-192.79470000000001</v>
      </c>
      <c r="K3373">
        <v>1.1024940000000001</v>
      </c>
      <c r="L3373">
        <v>205.5264</v>
      </c>
      <c r="M3373">
        <v>0.66472640000000005</v>
      </c>
      <c r="N3373">
        <v>-1.7350669999999999E-2</v>
      </c>
      <c r="O3373">
        <v>-0.74688540000000003</v>
      </c>
      <c r="P3373">
        <v>0.48588439999999999</v>
      </c>
      <c r="Q3373">
        <v>0.19143760000000001</v>
      </c>
      <c r="R3373">
        <v>-0.85280029999999996</v>
      </c>
      <c r="S3373">
        <v>0.55944819999999995</v>
      </c>
      <c r="T3373">
        <v>-2.3499849999999999E-2</v>
      </c>
      <c r="U3373">
        <v>-3.228577</v>
      </c>
      <c r="V3373">
        <v>0.2129702</v>
      </c>
      <c r="W3373">
        <v>0.19888539999999999</v>
      </c>
      <c r="X3373">
        <v>0.95660250000000002</v>
      </c>
      <c r="Y3373">
        <v>0.52742100000000003</v>
      </c>
      <c r="Z3373">
        <v>-1.2253780000000001E-2</v>
      </c>
      <c r="AA3373">
        <v>0.84951569999999899</v>
      </c>
      <c r="AB3373">
        <v>35</v>
      </c>
      <c r="AC3373">
        <v>23.165800000000001</v>
      </c>
      <c r="AD3373">
        <v>-0.98298140000000001</v>
      </c>
      <c r="AE3373">
        <v>-134.78300999999999</v>
      </c>
      <c r="AF3373">
        <v>72.298774868272005</v>
      </c>
      <c r="AG3373">
        <v>-0.98298140000000001</v>
      </c>
      <c r="AH3373">
        <v>116.077856939765</v>
      </c>
      <c r="AI3373">
        <v>90.411837536983001</v>
      </c>
      <c r="AJ3373">
        <v>58.0833987464393</v>
      </c>
      <c r="AK3373">
        <v>136.75579684830299</v>
      </c>
      <c r="AL3373">
        <v>78.528212468554401</v>
      </c>
      <c r="AM3373">
        <v>77.448827860425396</v>
      </c>
      <c r="AN3373">
        <v>1.00000002571372</v>
      </c>
    </row>
    <row r="3374" spans="1:40" x14ac:dyDescent="0.25">
      <c r="A3374" t="str">
        <f>"20190303170605249"</f>
        <v>20190303170605249</v>
      </c>
      <c r="B3374" t="str">
        <f>"1551603965238136"</f>
        <v>1551603965238136</v>
      </c>
      <c r="C3374" t="s">
        <v>40</v>
      </c>
      <c r="D3374">
        <v>5.7269889999999997</v>
      </c>
      <c r="E3374">
        <v>0.65797609999999995</v>
      </c>
      <c r="F3374" t="s">
        <v>85</v>
      </c>
      <c r="G3374">
        <v>-168.50049999999999</v>
      </c>
      <c r="H3374">
        <v>1.456599</v>
      </c>
      <c r="I3374">
        <v>29.954499999999999</v>
      </c>
      <c r="J3374">
        <v>-192.55840000000001</v>
      </c>
      <c r="K3374">
        <v>1.1024480000000001</v>
      </c>
      <c r="L3374">
        <v>205.24350000000001</v>
      </c>
      <c r="M3374">
        <v>0.64996119999999902</v>
      </c>
      <c r="N3374">
        <v>-1.7376269999999999E-2</v>
      </c>
      <c r="O3374">
        <v>-0.75976889999999997</v>
      </c>
      <c r="P3374">
        <v>0.47012080000000001</v>
      </c>
      <c r="Q3374">
        <v>0.19114349999999999</v>
      </c>
      <c r="R3374">
        <v>-0.86165599999999998</v>
      </c>
      <c r="S3374">
        <v>0.45100400000000002</v>
      </c>
      <c r="T3374">
        <v>6.5736769999999896E-3</v>
      </c>
      <c r="U3374">
        <v>-3.2593540000000001</v>
      </c>
      <c r="V3374">
        <v>0.2118604</v>
      </c>
      <c r="W3374">
        <v>0.1986493</v>
      </c>
      <c r="X3374">
        <v>0.95689789999999997</v>
      </c>
      <c r="Y3374">
        <v>0.53972439999999999</v>
      </c>
      <c r="Z3374">
        <v>-1.7651650000000001E-2</v>
      </c>
      <c r="AA3374">
        <v>0.84165669999999904</v>
      </c>
      <c r="AB3374">
        <v>35</v>
      </c>
      <c r="AC3374">
        <v>24.0579</v>
      </c>
      <c r="AD3374">
        <v>0.35415099999999999</v>
      </c>
      <c r="AE3374">
        <v>-175.28899999999999</v>
      </c>
      <c r="AF3374">
        <v>95.666651688836595</v>
      </c>
      <c r="AG3374">
        <v>0.35415099999999999</v>
      </c>
      <c r="AH3374">
        <v>148.837686705023</v>
      </c>
      <c r="AI3374">
        <v>89.885315348480006</v>
      </c>
      <c r="AJ3374">
        <v>57.268782988308097</v>
      </c>
      <c r="AK3374">
        <v>176.93188138938299</v>
      </c>
      <c r="AL3374">
        <v>78.542014911344296</v>
      </c>
      <c r="AM3374">
        <v>77.515910094393803</v>
      </c>
      <c r="AN3374">
        <v>0.99999998225152897</v>
      </c>
    </row>
    <row r="3375" spans="1:40" x14ac:dyDescent="0.25">
      <c r="A3375" t="str">
        <f>"20190303170605271"</f>
        <v>20190303170605271</v>
      </c>
      <c r="B3375" t="str">
        <f>"1551603965258631"</f>
        <v>1551603965258631</v>
      </c>
      <c r="C3375" t="s">
        <v>40</v>
      </c>
      <c r="D3375">
        <v>5.7853579999999996</v>
      </c>
      <c r="E3375">
        <v>0.65729649999999995</v>
      </c>
      <c r="F3375" t="s">
        <v>86</v>
      </c>
      <c r="G3375">
        <v>-166.5395</v>
      </c>
      <c r="H3375">
        <v>1.74427</v>
      </c>
      <c r="I3375">
        <v>-17.389949999999999</v>
      </c>
      <c r="J3375">
        <v>-192.3382</v>
      </c>
      <c r="K3375">
        <v>1.102414</v>
      </c>
      <c r="L3375">
        <v>204.96940000000001</v>
      </c>
      <c r="M3375">
        <v>0.63560099999999997</v>
      </c>
      <c r="N3375">
        <v>-1.7397490000000002E-2</v>
      </c>
      <c r="O3375">
        <v>-0.7718216</v>
      </c>
      <c r="P3375">
        <v>0.4554762</v>
      </c>
      <c r="Q3375">
        <v>0.19125510000000001</v>
      </c>
      <c r="R3375">
        <v>-0.86946129999999999</v>
      </c>
      <c r="S3375">
        <v>0.38227840000000002</v>
      </c>
      <c r="T3375">
        <v>9.4298119999999992E-3</v>
      </c>
      <c r="U3375">
        <v>-3.2709959999999998</v>
      </c>
      <c r="V3375">
        <v>0.2101084</v>
      </c>
      <c r="W3375">
        <v>0.198848</v>
      </c>
      <c r="X3375">
        <v>0.95724290000000001</v>
      </c>
      <c r="Y3375">
        <v>0.54175050000000002</v>
      </c>
      <c r="Z3375">
        <v>-1.8359650000000002E-2</v>
      </c>
      <c r="AA3375">
        <v>0.84033880000000005</v>
      </c>
      <c r="AB3375">
        <v>35</v>
      </c>
      <c r="AC3375">
        <v>25.7987</v>
      </c>
      <c r="AD3375">
        <v>0.64185599999999998</v>
      </c>
      <c r="AE3375">
        <v>-222.35935000000001</v>
      </c>
      <c r="AF3375">
        <v>121.437219219768</v>
      </c>
      <c r="AG3375">
        <v>0.64185599999999998</v>
      </c>
      <c r="AH3375">
        <v>188.04635411034701</v>
      </c>
      <c r="AI3375">
        <v>89.835712828762396</v>
      </c>
      <c r="AJ3375">
        <v>57.146295844060099</v>
      </c>
      <c r="AK3375">
        <v>223.850042405957</v>
      </c>
      <c r="AL3375">
        <v>78.530398916266904</v>
      </c>
      <c r="AM3375">
        <v>77.620276090477205</v>
      </c>
      <c r="AN3375">
        <v>1.00000001822748</v>
      </c>
    </row>
    <row r="3376" spans="1:40" x14ac:dyDescent="0.25">
      <c r="A3376" t="str">
        <f>"20190303170605295"</f>
        <v>20190303170605295</v>
      </c>
      <c r="B3376" t="str">
        <f>"1551603965287912"</f>
        <v>1551603965287912</v>
      </c>
      <c r="C3376" t="s">
        <v>40</v>
      </c>
      <c r="D3376">
        <v>5.7892769999999896</v>
      </c>
      <c r="E3376">
        <v>0.65638289999999999</v>
      </c>
      <c r="F3376" t="s">
        <v>54</v>
      </c>
      <c r="G3376">
        <v>-167.6771</v>
      </c>
      <c r="H3376">
        <v>1.5282819999999999</v>
      </c>
      <c r="I3376">
        <v>-37.694769999999998</v>
      </c>
      <c r="J3376">
        <v>-192.1026</v>
      </c>
      <c r="K3376">
        <v>1.102384</v>
      </c>
      <c r="L3376">
        <v>204.66419999999999</v>
      </c>
      <c r="M3376">
        <v>0.61955909999999903</v>
      </c>
      <c r="N3376">
        <v>-1.7417430000000001E-2</v>
      </c>
      <c r="O3376">
        <v>-0.78475680000000003</v>
      </c>
      <c r="P3376">
        <v>0.43951030000000002</v>
      </c>
      <c r="Q3376">
        <v>0.19126009999999999</v>
      </c>
      <c r="R3376">
        <v>-0.87763899999999995</v>
      </c>
      <c r="S3376">
        <v>0.33280939999999998</v>
      </c>
      <c r="T3376">
        <v>5.7469610000000001E-3</v>
      </c>
      <c r="U3376">
        <v>-3.274826</v>
      </c>
      <c r="V3376">
        <v>0.2078827</v>
      </c>
      <c r="W3376">
        <v>0.19896430000000001</v>
      </c>
      <c r="X3376">
        <v>0.95770449999999996</v>
      </c>
      <c r="Y3376">
        <v>0.53706880000000001</v>
      </c>
      <c r="Z3376">
        <v>-1.7870069999999998E-2</v>
      </c>
      <c r="AA3376">
        <v>0.84334920000000002</v>
      </c>
      <c r="AB3376">
        <v>35</v>
      </c>
      <c r="AC3376">
        <v>24.4255</v>
      </c>
      <c r="AD3376">
        <v>0.425897999999999</v>
      </c>
      <c r="AE3376">
        <v>-242.35897</v>
      </c>
      <c r="AF3376">
        <v>131.00709552149701</v>
      </c>
      <c r="AG3376">
        <v>0.425897999999999</v>
      </c>
      <c r="AH3376">
        <v>205.356406124042</v>
      </c>
      <c r="AI3376">
        <v>89.899821260072002</v>
      </c>
      <c r="AJ3376">
        <v>57.464165224473497</v>
      </c>
      <c r="AK3376">
        <v>243.586317354378</v>
      </c>
      <c r="AL3376">
        <v>78.523598872696994</v>
      </c>
      <c r="AM3376">
        <v>77.753161213884397</v>
      </c>
      <c r="AN3376">
        <v>0.99999995947701403</v>
      </c>
    </row>
    <row r="3377" spans="1:40" x14ac:dyDescent="0.25">
      <c r="A3377" t="str">
        <f>"20190303170605319"</f>
        <v>20190303170605319</v>
      </c>
      <c r="B3377" t="str">
        <f>"1551603965308407"</f>
        <v>1551603965308407</v>
      </c>
      <c r="C3377" t="s">
        <v>40</v>
      </c>
      <c r="D3377">
        <v>5.7850429999999999</v>
      </c>
      <c r="E3377">
        <v>0.65540520000000002</v>
      </c>
      <c r="F3377" t="s">
        <v>48</v>
      </c>
      <c r="G3377">
        <v>-177.45859999999999</v>
      </c>
      <c r="H3377">
        <v>1.201308</v>
      </c>
      <c r="I3377">
        <v>32.707210000000003</v>
      </c>
      <c r="J3377">
        <v>-191.87639999999999</v>
      </c>
      <c r="K3377">
        <v>1.102352</v>
      </c>
      <c r="L3377">
        <v>204.3586</v>
      </c>
      <c r="M3377">
        <v>0.60343579999999997</v>
      </c>
      <c r="N3377">
        <v>-1.7434370000000001E-2</v>
      </c>
      <c r="O3377">
        <v>-0.79722090000000001</v>
      </c>
      <c r="P3377">
        <v>0.42309550000000001</v>
      </c>
      <c r="Q3377">
        <v>0.19036040000000001</v>
      </c>
      <c r="R3377">
        <v>-0.88586290000000001</v>
      </c>
      <c r="S3377">
        <v>0.2791595</v>
      </c>
      <c r="T3377">
        <v>1.885772E-3</v>
      </c>
      <c r="U3377">
        <v>-3.2780300000000002</v>
      </c>
      <c r="V3377">
        <v>0.20627709999999999</v>
      </c>
      <c r="W3377">
        <v>0.19814880000000001</v>
      </c>
      <c r="X3377">
        <v>0.95822070000000004</v>
      </c>
      <c r="Y3377">
        <v>0.53363000000000005</v>
      </c>
      <c r="Z3377">
        <v>-1.730071E-2</v>
      </c>
      <c r="AA3377">
        <v>0.84554110000000005</v>
      </c>
      <c r="AB3377">
        <v>35</v>
      </c>
      <c r="AC3377">
        <v>14.4178</v>
      </c>
      <c r="AD3377">
        <v>9.8956000000000002E-2</v>
      </c>
      <c r="AE3377">
        <v>-171.65138999999999</v>
      </c>
      <c r="AF3377">
        <v>92.100395598561803</v>
      </c>
      <c r="AG3377">
        <v>9.8956000000000002E-2</v>
      </c>
      <c r="AH3377">
        <v>145.566377270956</v>
      </c>
      <c r="AI3377">
        <v>89.967085222922705</v>
      </c>
      <c r="AJ3377">
        <v>57.678308649029098</v>
      </c>
      <c r="AK3377">
        <v>172.255806443474</v>
      </c>
      <c r="AL3377">
        <v>78.571273841044601</v>
      </c>
      <c r="AM3377">
        <v>77.851281148708694</v>
      </c>
      <c r="AN3377">
        <v>1.0000000494171599</v>
      </c>
    </row>
    <row r="3378" spans="1:40" x14ac:dyDescent="0.25">
      <c r="A3378" t="str">
        <f>"20190303170605338"</f>
        <v>20190303170605338</v>
      </c>
      <c r="B3378" t="str">
        <f>"1551603965327928"</f>
        <v>1551603965327928</v>
      </c>
      <c r="C3378" t="s">
        <v>40</v>
      </c>
      <c r="D3378">
        <v>5.8591850000000001</v>
      </c>
      <c r="E3378">
        <v>0.65423659999999995</v>
      </c>
      <c r="F3378" t="s">
        <v>46</v>
      </c>
      <c r="G3378">
        <v>0</v>
      </c>
      <c r="H3378">
        <v>0</v>
      </c>
      <c r="I3378">
        <v>0</v>
      </c>
      <c r="J3378">
        <v>-191.69579999999999</v>
      </c>
      <c r="K3378">
        <v>1.102328</v>
      </c>
      <c r="L3378">
        <v>204.1044</v>
      </c>
      <c r="M3378">
        <v>0.58999489999999999</v>
      </c>
      <c r="N3378">
        <v>-1.7446610000000001E-2</v>
      </c>
      <c r="O3378">
        <v>-0.80721869999999996</v>
      </c>
      <c r="P3378">
        <v>0.40812690000000001</v>
      </c>
      <c r="Q3378">
        <v>0.19044530000000001</v>
      </c>
      <c r="R3378">
        <v>-0.89284030000000003</v>
      </c>
      <c r="S3378">
        <v>0.22407530000000001</v>
      </c>
      <c r="T3378">
        <v>-2.9739139999999998E-3</v>
      </c>
      <c r="U3378">
        <v>-3.2801209999999998</v>
      </c>
      <c r="V3378">
        <v>0.20635149999999999</v>
      </c>
      <c r="W3378">
        <v>0.1982343</v>
      </c>
      <c r="X3378">
        <v>0.95818689999999995</v>
      </c>
      <c r="Y3378">
        <v>0.53361320000000001</v>
      </c>
      <c r="Z3378">
        <v>-1.6486379999999998E-2</v>
      </c>
      <c r="AA3378">
        <v>0.84556790000000004</v>
      </c>
      <c r="AB3378">
        <v>35</v>
      </c>
      <c r="AC3378">
        <v>0.22407530000000001</v>
      </c>
      <c r="AD3378">
        <v>-2.9739139999999998E-3</v>
      </c>
      <c r="AE3378">
        <v>-3.2801209999999998</v>
      </c>
      <c r="AF3378">
        <v>1.7546421692544001</v>
      </c>
      <c r="AG3378">
        <v>-2.9739139999999998E-3</v>
      </c>
      <c r="AH3378">
        <v>2.7803986556387899</v>
      </c>
      <c r="AI3378">
        <v>90.051826324506607</v>
      </c>
      <c r="AJ3378">
        <v>57.744970277552603</v>
      </c>
      <c r="AK3378">
        <v>3.2877643879341898</v>
      </c>
      <c r="AL3378">
        <v>78.566274842156503</v>
      </c>
      <c r="AM3378">
        <v>77.846613624246103</v>
      </c>
      <c r="AN3378">
        <v>0.99999995729017399</v>
      </c>
    </row>
    <row r="3379" spans="1:40" x14ac:dyDescent="0.25">
      <c r="A3379" t="str">
        <f>"20190303170605361"</f>
        <v>20190303170605361</v>
      </c>
      <c r="B3379" t="str">
        <f>"1551603965348424"</f>
        <v>1551603965348424</v>
      </c>
      <c r="C3379" t="s">
        <v>40</v>
      </c>
      <c r="D3379">
        <v>5.8309749999999996</v>
      </c>
      <c r="E3379">
        <v>0.63891049999999905</v>
      </c>
      <c r="F3379" t="s">
        <v>59</v>
      </c>
      <c r="G3379">
        <v>-176.12469999999999</v>
      </c>
      <c r="H3379">
        <v>0.1232805</v>
      </c>
      <c r="I3379">
        <v>-80.948669999999893</v>
      </c>
      <c r="J3379">
        <v>-191.49459999999999</v>
      </c>
      <c r="K3379">
        <v>1.1023149999999999</v>
      </c>
      <c r="L3379">
        <v>203.81049999999999</v>
      </c>
      <c r="M3379">
        <v>0.574403199999999</v>
      </c>
      <c r="N3379">
        <v>-1.7458970000000001E-2</v>
      </c>
      <c r="O3379">
        <v>-0.81838659999999996</v>
      </c>
      <c r="P3379">
        <v>0.39065050000000001</v>
      </c>
      <c r="Q3379">
        <v>0.19081519999999999</v>
      </c>
      <c r="R3379">
        <v>-0.9005457</v>
      </c>
      <c r="S3379">
        <v>0.1791992</v>
      </c>
      <c r="T3379">
        <v>-1.1267299999999999E-2</v>
      </c>
      <c r="U3379">
        <v>-3.2805330000000001</v>
      </c>
      <c r="V3379">
        <v>0.2066241</v>
      </c>
      <c r="W3379">
        <v>0.1985961</v>
      </c>
      <c r="X3379">
        <v>0.9580533</v>
      </c>
      <c r="Y3379">
        <v>0.52889909999999996</v>
      </c>
      <c r="Z3379">
        <v>-1.4917410000000001E-2</v>
      </c>
      <c r="AA3379">
        <v>0.84855360000000002</v>
      </c>
      <c r="AB3379">
        <v>35</v>
      </c>
      <c r="AC3379">
        <v>15.369899999999999</v>
      </c>
      <c r="AD3379">
        <v>-0.97903450000000003</v>
      </c>
      <c r="AE3379">
        <v>-284.75916999999998</v>
      </c>
      <c r="AF3379">
        <v>151.00925928949499</v>
      </c>
      <c r="AG3379">
        <v>-0.97903450000000003</v>
      </c>
      <c r="AH3379">
        <v>241.90557114445201</v>
      </c>
      <c r="AI3379">
        <v>90.196704649333398</v>
      </c>
      <c r="AJ3379">
        <v>58.025578325434097</v>
      </c>
      <c r="AK3379">
        <v>285.17198363520498</v>
      </c>
      <c r="AL3379">
        <v>78.545125539375306</v>
      </c>
      <c r="AM3379">
        <v>77.8293902428872</v>
      </c>
      <c r="AN3379">
        <v>1.00000002763845</v>
      </c>
    </row>
    <row r="3380" spans="1:40" x14ac:dyDescent="0.25">
      <c r="A3380" t="str">
        <f>"20190303170605384"</f>
        <v>20190303170605384</v>
      </c>
      <c r="B3380" t="str">
        <f>"1551603965378680"</f>
        <v>1551603965378680</v>
      </c>
      <c r="C3380" t="s">
        <v>40</v>
      </c>
      <c r="D3380">
        <v>5.6673070000000001</v>
      </c>
      <c r="E3380">
        <v>0.63717969999999902</v>
      </c>
      <c r="F3380" t="s">
        <v>84</v>
      </c>
      <c r="G3380">
        <v>-186.25739999999999</v>
      </c>
      <c r="H3380" s="1">
        <v>-5.4303679999999997E-6</v>
      </c>
      <c r="I3380">
        <v>130.7543</v>
      </c>
      <c r="J3380">
        <v>-191.29429999999999</v>
      </c>
      <c r="K3380">
        <v>1.102312</v>
      </c>
      <c r="L3380">
        <v>203.50540000000001</v>
      </c>
      <c r="M3380">
        <v>0.55817729999999999</v>
      </c>
      <c r="N3380">
        <v>-1.7469889999999998E-2</v>
      </c>
      <c r="O3380">
        <v>-0.82953770000000004</v>
      </c>
      <c r="P3380">
        <v>0.3746582</v>
      </c>
      <c r="Q3380">
        <v>0.1901553</v>
      </c>
      <c r="R3380">
        <v>-0.90745370000000003</v>
      </c>
      <c r="S3380">
        <v>0.23233029999999999</v>
      </c>
      <c r="T3380">
        <v>-4.890096E-2</v>
      </c>
      <c r="U3380">
        <v>-3.2409059999999998</v>
      </c>
      <c r="V3380">
        <v>0.2047553</v>
      </c>
      <c r="W3380">
        <v>0.19803380000000001</v>
      </c>
      <c r="X3380">
        <v>0.9585707</v>
      </c>
      <c r="Y3380">
        <v>0.49735869999999999</v>
      </c>
      <c r="Z3380">
        <v>-6.8444939999999996E-3</v>
      </c>
      <c r="AA3380">
        <v>0.86751800000000001</v>
      </c>
      <c r="AB3380">
        <v>35</v>
      </c>
      <c r="AC3380">
        <v>5.0369000000000002</v>
      </c>
      <c r="AD3380">
        <v>-1.1023174303679999</v>
      </c>
      <c r="AE3380">
        <v>-72.751099999999994</v>
      </c>
      <c r="AF3380">
        <v>36.426953501156298</v>
      </c>
      <c r="AG3380">
        <v>-1.1023174303679999</v>
      </c>
      <c r="AH3380">
        <v>63.156477076027201</v>
      </c>
      <c r="AI3380">
        <v>90.866198598657704</v>
      </c>
      <c r="AJ3380">
        <v>60.024810645784399</v>
      </c>
      <c r="AK3380">
        <v>72.916929733412701</v>
      </c>
      <c r="AL3380">
        <v>78.5779949481024</v>
      </c>
      <c r="AM3380">
        <v>77.942549000404199</v>
      </c>
      <c r="AN3380">
        <v>0.99999995285950805</v>
      </c>
    </row>
    <row r="3381" spans="1:40" x14ac:dyDescent="0.25">
      <c r="A3381" t="str">
        <f>"20190303170605406"</f>
        <v>20190303170605406</v>
      </c>
      <c r="B3381" t="str">
        <f>"1551603965398199"</f>
        <v>1551603965398199</v>
      </c>
      <c r="C3381" t="s">
        <v>40</v>
      </c>
      <c r="D3381">
        <v>5.638134</v>
      </c>
      <c r="E3381">
        <v>0.63642480000000001</v>
      </c>
      <c r="F3381" t="s">
        <v>41</v>
      </c>
      <c r="G3381">
        <v>-185.2927</v>
      </c>
      <c r="H3381" s="1">
        <v>-4.4264709999999997E-6</v>
      </c>
      <c r="I3381">
        <v>98.004580000000004</v>
      </c>
      <c r="J3381">
        <v>-191.0986</v>
      </c>
      <c r="K3381">
        <v>1.1022970000000001</v>
      </c>
      <c r="L3381">
        <v>203.1925</v>
      </c>
      <c r="M3381">
        <v>0.54149910000000001</v>
      </c>
      <c r="N3381">
        <v>-1.7479120000000001E-2</v>
      </c>
      <c r="O3381">
        <v>-0.84051960000000003</v>
      </c>
      <c r="P3381">
        <v>0.36011779999999999</v>
      </c>
      <c r="Q3381">
        <v>0.1897664</v>
      </c>
      <c r="R3381">
        <v>-0.91340270000000001</v>
      </c>
      <c r="S3381">
        <v>0.1841431</v>
      </c>
      <c r="T3381">
        <v>-3.3821339999999998E-2</v>
      </c>
      <c r="U3381">
        <v>-3.2369840000000001</v>
      </c>
      <c r="V3381">
        <v>0.2009378</v>
      </c>
      <c r="W3381">
        <v>0.1978357</v>
      </c>
      <c r="X3381">
        <v>0.95941909999999997</v>
      </c>
      <c r="Y3381">
        <v>0.49283900000000003</v>
      </c>
      <c r="Z3381">
        <v>-9.9095439999999993E-3</v>
      </c>
      <c r="AA3381">
        <v>0.87006410000000001</v>
      </c>
      <c r="AB3381">
        <v>35</v>
      </c>
      <c r="AC3381">
        <v>5.8059000000000003</v>
      </c>
      <c r="AD3381">
        <v>-1.1023014264709901</v>
      </c>
      <c r="AE3381">
        <v>-105.18792000000001</v>
      </c>
      <c r="AF3381">
        <v>52.081446831658702</v>
      </c>
      <c r="AG3381">
        <v>-1.1023014264709901</v>
      </c>
      <c r="AH3381">
        <v>91.560363404798693</v>
      </c>
      <c r="AI3381">
        <v>90.599553972653894</v>
      </c>
      <c r="AJ3381">
        <v>60.367876994421998</v>
      </c>
      <c r="AK3381">
        <v>105.34226274070799</v>
      </c>
      <c r="AL3381">
        <v>78.589574728181603</v>
      </c>
      <c r="AM3381">
        <v>78.171122747803196</v>
      </c>
      <c r="AN3381">
        <v>0.99999998655406896</v>
      </c>
    </row>
    <row r="3382" spans="1:40" x14ac:dyDescent="0.25">
      <c r="A3382" t="str">
        <f>"20190303170605438"</f>
        <v>20190303170605438</v>
      </c>
      <c r="B3382" t="str">
        <f>"1551603965428456"</f>
        <v>1551603965428456</v>
      </c>
      <c r="C3382" t="s">
        <v>40</v>
      </c>
      <c r="D3382">
        <v>5.6596330000000004</v>
      </c>
      <c r="E3382">
        <v>0.63347430000000005</v>
      </c>
      <c r="F3382" t="s">
        <v>41</v>
      </c>
      <c r="G3382">
        <v>-185.3201</v>
      </c>
      <c r="H3382" s="1">
        <v>-2.6980989999999998E-6</v>
      </c>
      <c r="I3382">
        <v>63.917499999999997</v>
      </c>
      <c r="J3382">
        <v>-190.84</v>
      </c>
      <c r="K3382">
        <v>1.102276</v>
      </c>
      <c r="L3382">
        <v>202.7569</v>
      </c>
      <c r="M3382">
        <v>0.51819959999999998</v>
      </c>
      <c r="N3382">
        <v>-1.748889E-2</v>
      </c>
      <c r="O3382">
        <v>-0.85508099999999998</v>
      </c>
      <c r="P3382">
        <v>0.33590789999999998</v>
      </c>
      <c r="Q3382">
        <v>0.1893068</v>
      </c>
      <c r="R3382">
        <v>-0.92267500000000002</v>
      </c>
      <c r="S3382">
        <v>0.13429260000000001</v>
      </c>
      <c r="T3382">
        <v>-2.5617839999999999E-2</v>
      </c>
      <c r="U3382">
        <v>-3.2368009999999998</v>
      </c>
      <c r="V3382">
        <v>0.19989899999999999</v>
      </c>
      <c r="W3382">
        <v>0.19743740000000001</v>
      </c>
      <c r="X3382">
        <v>0.95971810000000002</v>
      </c>
      <c r="Y3382">
        <v>0.48227350000000002</v>
      </c>
      <c r="Z3382">
        <v>-1.157886E-2</v>
      </c>
      <c r="AA3382">
        <v>0.875944099999999</v>
      </c>
      <c r="AB3382">
        <v>35</v>
      </c>
      <c r="AC3382">
        <v>5.5198999999999998</v>
      </c>
      <c r="AD3382">
        <v>-1.102278698099</v>
      </c>
      <c r="AE3382">
        <v>-138.83940000000001</v>
      </c>
      <c r="AF3382">
        <v>67.232605374657993</v>
      </c>
      <c r="AG3382">
        <v>-1.102278698099</v>
      </c>
      <c r="AH3382">
        <v>121.59027615570299</v>
      </c>
      <c r="AI3382">
        <v>90.454544674583801</v>
      </c>
      <c r="AJ3382">
        <v>61.059866400947101</v>
      </c>
      <c r="AK3382">
        <v>138.944713823207</v>
      </c>
      <c r="AL3382">
        <v>78.612854803033002</v>
      </c>
      <c r="AM3382">
        <v>78.234129709961806</v>
      </c>
      <c r="AN3382">
        <v>0.99999998429368397</v>
      </c>
    </row>
    <row r="3383" spans="1:40" x14ac:dyDescent="0.25">
      <c r="A3383" t="str">
        <f>"20190303170605461"</f>
        <v>20190303170605461</v>
      </c>
      <c r="B3383" t="str">
        <f>"1551603965447975"</f>
        <v>1551603965447975</v>
      </c>
      <c r="C3383" t="s">
        <v>40</v>
      </c>
      <c r="D3383">
        <v>5.6777319999999998</v>
      </c>
      <c r="E3383">
        <v>0.63233839999999997</v>
      </c>
      <c r="F3383" t="s">
        <v>41</v>
      </c>
      <c r="G3383">
        <v>-187.5821</v>
      </c>
      <c r="H3383" s="1">
        <v>-3.393062E-6</v>
      </c>
      <c r="I3383">
        <v>56.542299999999997</v>
      </c>
      <c r="J3383">
        <v>-190.66480000000001</v>
      </c>
      <c r="K3383">
        <v>1.102279</v>
      </c>
      <c r="L3383">
        <v>202.44540000000001</v>
      </c>
      <c r="M3383">
        <v>0.50148879999999996</v>
      </c>
      <c r="N3383">
        <v>-1.749384E-2</v>
      </c>
      <c r="O3383">
        <v>-0.86498750000000002</v>
      </c>
      <c r="P3383">
        <v>0.317523</v>
      </c>
      <c r="Q3383">
        <v>0.18892339999999999</v>
      </c>
      <c r="R3383">
        <v>-0.92924070000000003</v>
      </c>
      <c r="S3383">
        <v>7.1975709999999998E-2</v>
      </c>
      <c r="T3383">
        <v>-2.435172E-2</v>
      </c>
      <c r="U3383">
        <v>-3.230194</v>
      </c>
      <c r="V3383">
        <v>0.20032759999999999</v>
      </c>
      <c r="W3383">
        <v>0.19704150000000001</v>
      </c>
      <c r="X3383">
        <v>0.95971010000000001</v>
      </c>
      <c r="Y3383">
        <v>0.48206179999999899</v>
      </c>
      <c r="Z3383">
        <v>-1.1840939999999999E-2</v>
      </c>
      <c r="AA3383">
        <v>0.87605719999999998</v>
      </c>
      <c r="AB3383">
        <v>35</v>
      </c>
      <c r="AC3383">
        <v>3.0827000000000102</v>
      </c>
      <c r="AD3383">
        <v>-1.102282393062</v>
      </c>
      <c r="AE3383">
        <v>-145.90309999999999</v>
      </c>
      <c r="AF3383">
        <v>70.509026472674094</v>
      </c>
      <c r="AG3383">
        <v>-1.102282393062</v>
      </c>
      <c r="AH3383">
        <v>127.762533513417</v>
      </c>
      <c r="AI3383">
        <v>90.432783390481603</v>
      </c>
      <c r="AJ3383">
        <v>61.106765123236102</v>
      </c>
      <c r="AK3383">
        <v>145.93150040469399</v>
      </c>
      <c r="AL3383">
        <v>78.635992782676794</v>
      </c>
      <c r="AM3383">
        <v>78.209512622496703</v>
      </c>
      <c r="AN3383">
        <v>0.99999998804300905</v>
      </c>
    </row>
    <row r="3384" spans="1:40" x14ac:dyDescent="0.25">
      <c r="A3384" t="str">
        <f>"20190303170605486"</f>
        <v>20190303170605486</v>
      </c>
      <c r="B3384" t="str">
        <f>"1551603965478232"</f>
        <v>1551603965478232</v>
      </c>
      <c r="C3384" t="s">
        <v>40</v>
      </c>
      <c r="D3384">
        <v>5.6895819999999997</v>
      </c>
      <c r="E3384">
        <v>0.61609950000000002</v>
      </c>
      <c r="F3384" t="s">
        <v>41</v>
      </c>
      <c r="G3384">
        <v>-189.97829999999999</v>
      </c>
      <c r="H3384" s="1">
        <v>-2.828696E-6</v>
      </c>
      <c r="I3384">
        <v>66.196340000000006</v>
      </c>
      <c r="J3384">
        <v>-190.4872</v>
      </c>
      <c r="K3384">
        <v>1.1022940000000001</v>
      </c>
      <c r="L3384">
        <v>202.11410000000001</v>
      </c>
      <c r="M3384">
        <v>0.48367650000000001</v>
      </c>
      <c r="N3384">
        <v>-1.74965999999999E-2</v>
      </c>
      <c r="O3384">
        <v>-0.87507199999999996</v>
      </c>
      <c r="P3384">
        <v>0.30112339999999999</v>
      </c>
      <c r="Q3384">
        <v>0.18702540000000001</v>
      </c>
      <c r="R3384">
        <v>-0.93506520000000004</v>
      </c>
      <c r="S3384">
        <v>1.6265870000000002E-2</v>
      </c>
      <c r="T3384">
        <v>-2.6116609999999998E-2</v>
      </c>
      <c r="U3384">
        <v>-3.22818</v>
      </c>
      <c r="V3384">
        <v>0.19765389999999999</v>
      </c>
      <c r="W3384">
        <v>0.19528570000000001</v>
      </c>
      <c r="X3384">
        <v>0.96062289999999995</v>
      </c>
      <c r="Y3384">
        <v>0.47922429999999999</v>
      </c>
      <c r="Z3384">
        <v>-1.139285E-2</v>
      </c>
      <c r="AA3384">
        <v>0.87761859999999903</v>
      </c>
      <c r="AB3384">
        <v>35</v>
      </c>
      <c r="AC3384">
        <v>0.50890000000001101</v>
      </c>
      <c r="AD3384">
        <v>-1.102296828696</v>
      </c>
      <c r="AE3384">
        <v>-135.91775999999999</v>
      </c>
      <c r="AF3384">
        <v>65.300601036705203</v>
      </c>
      <c r="AG3384">
        <v>-1.102296828696</v>
      </c>
      <c r="AH3384">
        <v>119.19437104999299</v>
      </c>
      <c r="AI3384">
        <v>90.464687487626506</v>
      </c>
      <c r="AJ3384">
        <v>61.2838816319058</v>
      </c>
      <c r="AK3384">
        <v>135.914243712927</v>
      </c>
      <c r="AL3384">
        <v>78.738585701047</v>
      </c>
      <c r="AM3384">
        <v>78.373312732844894</v>
      </c>
      <c r="AN3384">
        <v>0.99999996240705402</v>
      </c>
    </row>
    <row r="3385" spans="1:40" x14ac:dyDescent="0.25">
      <c r="A3385" t="str">
        <f>"20190303170605508"</f>
        <v>20190303170605508</v>
      </c>
      <c r="B3385" t="str">
        <f>"1551603965497752"</f>
        <v>1551603965497752</v>
      </c>
      <c r="C3385" t="s">
        <v>40</v>
      </c>
      <c r="D3385">
        <v>5.6316410000000001</v>
      </c>
      <c r="E3385">
        <v>0.61387429999999998</v>
      </c>
      <c r="F3385" t="s">
        <v>84</v>
      </c>
      <c r="G3385">
        <v>-188.5787</v>
      </c>
      <c r="H3385" s="1">
        <v>-3.8719460000000001E-6</v>
      </c>
      <c r="I3385">
        <v>127.10590000000001</v>
      </c>
      <c r="J3385">
        <v>-190.32210000000001</v>
      </c>
      <c r="K3385">
        <v>1.1023160000000001</v>
      </c>
      <c r="L3385">
        <v>201.7894</v>
      </c>
      <c r="M3385">
        <v>0.46620279999999997</v>
      </c>
      <c r="N3385">
        <v>-1.749494E-2</v>
      </c>
      <c r="O3385">
        <v>-0.88450519999999999</v>
      </c>
      <c r="P3385">
        <v>0.28561029999999998</v>
      </c>
      <c r="Q3385">
        <v>0.18588689999999999</v>
      </c>
      <c r="R3385">
        <v>-0.94014560000000003</v>
      </c>
      <c r="S3385">
        <v>8.1207280000000007E-2</v>
      </c>
      <c r="T3385">
        <v>-4.690242E-2</v>
      </c>
      <c r="U3385">
        <v>-3.1915740000000001</v>
      </c>
      <c r="V3385">
        <v>0.19450709999999999</v>
      </c>
      <c r="W3385">
        <v>0.1943077</v>
      </c>
      <c r="X3385">
        <v>0.96146319999999996</v>
      </c>
      <c r="Y3385">
        <v>0.44349060000000001</v>
      </c>
      <c r="Z3385">
        <v>-5.992224E-3</v>
      </c>
      <c r="AA3385">
        <v>0.89625900000000003</v>
      </c>
      <c r="AB3385">
        <v>35</v>
      </c>
      <c r="AC3385">
        <v>1.7434000000000001</v>
      </c>
      <c r="AD3385">
        <v>-1.1023198719459999</v>
      </c>
      <c r="AE3385">
        <v>-74.683499999999995</v>
      </c>
      <c r="AF3385">
        <v>33.273449656945303</v>
      </c>
      <c r="AG3385">
        <v>-1.1023198719459999</v>
      </c>
      <c r="AH3385">
        <v>66.866379736183802</v>
      </c>
      <c r="AI3385">
        <v>90.845571481819206</v>
      </c>
      <c r="AJ3385">
        <v>63.544554672913797</v>
      </c>
      <c r="AK3385">
        <v>74.695718084752997</v>
      </c>
      <c r="AL3385">
        <v>78.795715683337406</v>
      </c>
      <c r="AM3385">
        <v>78.563234767086101</v>
      </c>
      <c r="AN3385">
        <v>0.99999998959196901</v>
      </c>
    </row>
    <row r="3386" spans="1:40" x14ac:dyDescent="0.25">
      <c r="A3386" t="str">
        <f>"20190303170605528"</f>
        <v>20190303170605528</v>
      </c>
      <c r="B3386" t="str">
        <f>"1551603965518249"</f>
        <v>1551603965518249</v>
      </c>
      <c r="C3386" t="s">
        <v>40</v>
      </c>
      <c r="D3386">
        <v>5.6581340000000004</v>
      </c>
      <c r="E3386">
        <v>0.61299630000000005</v>
      </c>
      <c r="F3386" t="s">
        <v>84</v>
      </c>
      <c r="G3386">
        <v>-189.28659999999999</v>
      </c>
      <c r="H3386" s="1">
        <v>-1.435521E-6</v>
      </c>
      <c r="I3386">
        <v>122.06440000000001</v>
      </c>
      <c r="J3386">
        <v>-190.1773</v>
      </c>
      <c r="K3386">
        <v>1.1023339999999999</v>
      </c>
      <c r="L3386">
        <v>201.49100000000001</v>
      </c>
      <c r="M3386">
        <v>0.45012079999999999</v>
      </c>
      <c r="N3386">
        <v>-1.7488980000000001E-2</v>
      </c>
      <c r="O3386">
        <v>-0.89279649999999999</v>
      </c>
      <c r="P3386">
        <v>0.26974959999999998</v>
      </c>
      <c r="Q3386">
        <v>0.18563540000000001</v>
      </c>
      <c r="R3386">
        <v>-0.94486769999999998</v>
      </c>
      <c r="S3386">
        <v>4.1397089999999998E-2</v>
      </c>
      <c r="T3386">
        <v>-4.4067139999999998E-2</v>
      </c>
      <c r="U3386">
        <v>-3.1871489999999998</v>
      </c>
      <c r="V3386">
        <v>0.19328409999999999</v>
      </c>
      <c r="W3386">
        <v>0.19412019999999999</v>
      </c>
      <c r="X3386">
        <v>0.96174769999999998</v>
      </c>
      <c r="Y3386">
        <v>0.43842940000000002</v>
      </c>
      <c r="Z3386">
        <v>-6.5282169999999898E-3</v>
      </c>
      <c r="AA3386">
        <v>0.89874200000000004</v>
      </c>
      <c r="AB3386">
        <v>35</v>
      </c>
      <c r="AC3386">
        <v>0.89070000000000904</v>
      </c>
      <c r="AD3386">
        <v>-1.102335435521</v>
      </c>
      <c r="AE3386">
        <v>-79.426599999999894</v>
      </c>
      <c r="AF3386">
        <v>34.954962668468397</v>
      </c>
      <c r="AG3386">
        <v>-1.102335435521</v>
      </c>
      <c r="AH3386">
        <v>71.309881040259995</v>
      </c>
      <c r="AI3386">
        <v>90.795241192023397</v>
      </c>
      <c r="AJ3386">
        <v>63.886645378660802</v>
      </c>
      <c r="AK3386">
        <v>79.423949111980505</v>
      </c>
      <c r="AL3386">
        <v>78.806667476911201</v>
      </c>
      <c r="AM3386">
        <v>78.636542849656607</v>
      </c>
      <c r="AN3386">
        <v>1.0000000169080601</v>
      </c>
    </row>
    <row r="3387" spans="1:40" x14ac:dyDescent="0.25">
      <c r="A3387" t="str">
        <f>"20190303170605550"</f>
        <v>20190303170605550</v>
      </c>
      <c r="B3387" t="str">
        <f>"1551603965537790"</f>
        <v>1551603965537790</v>
      </c>
      <c r="C3387" t="s">
        <v>40</v>
      </c>
      <c r="D3387">
        <v>5.688288</v>
      </c>
      <c r="E3387">
        <v>0.60163089999999997</v>
      </c>
      <c r="F3387" t="s">
        <v>84</v>
      </c>
      <c r="G3387">
        <v>-190.25149999999999</v>
      </c>
      <c r="H3387" s="1">
        <v>-4.4151369999999998E-6</v>
      </c>
      <c r="I3387">
        <v>128.4281</v>
      </c>
      <c r="J3387">
        <v>-190.03469999999999</v>
      </c>
      <c r="K3387">
        <v>1.1023590000000001</v>
      </c>
      <c r="L3387">
        <v>201.1824</v>
      </c>
      <c r="M3387">
        <v>0.43348320000000001</v>
      </c>
      <c r="N3387">
        <v>-1.7478899999999999E-2</v>
      </c>
      <c r="O3387">
        <v>-0.90099220000000002</v>
      </c>
      <c r="P3387">
        <v>0.25138260000000001</v>
      </c>
      <c r="Q3387">
        <v>0.1859729</v>
      </c>
      <c r="R3387">
        <v>-0.94985310000000001</v>
      </c>
      <c r="S3387">
        <v>-3.2348630000000001E-3</v>
      </c>
      <c r="T3387">
        <v>-4.8060180000000001E-2</v>
      </c>
      <c r="U3387">
        <v>-3.185425</v>
      </c>
      <c r="V3387">
        <v>0.1940615</v>
      </c>
      <c r="W3387">
        <v>0.19442419999999999</v>
      </c>
      <c r="X3387">
        <v>0.96152969999999904</v>
      </c>
      <c r="Y3387">
        <v>0.43433509999999997</v>
      </c>
      <c r="Z3387">
        <v>-5.3831529999999999E-3</v>
      </c>
      <c r="AA3387">
        <v>0.90073530000000002</v>
      </c>
      <c r="AB3387">
        <v>34</v>
      </c>
      <c r="AC3387">
        <v>-0.21680000000000599</v>
      </c>
      <c r="AD3387">
        <v>-1.1023634151369901</v>
      </c>
      <c r="AE3387">
        <v>-72.754300000000001</v>
      </c>
      <c r="AF3387">
        <v>31.7306635481089</v>
      </c>
      <c r="AG3387">
        <v>-1.1023634151369901</v>
      </c>
      <c r="AH3387">
        <v>65.452048004794904</v>
      </c>
      <c r="AI3387">
        <v>90.868266959988205</v>
      </c>
      <c r="AJ3387">
        <v>64.136239313360505</v>
      </c>
      <c r="AK3387">
        <v>72.746276896651594</v>
      </c>
      <c r="AL3387">
        <v>78.788911066810996</v>
      </c>
      <c r="AM3387">
        <v>78.589515839238999</v>
      </c>
      <c r="AN3387">
        <v>0.99999999965498898</v>
      </c>
    </row>
    <row r="3388" spans="1:40" x14ac:dyDescent="0.25">
      <c r="A3388" t="str">
        <f>"20190303170605574"</f>
        <v>20190303170605574</v>
      </c>
      <c r="B3388" t="str">
        <f>"1551603965568046"</f>
        <v>1551603965568046</v>
      </c>
      <c r="C3388" t="s">
        <v>40</v>
      </c>
      <c r="D3388">
        <v>5.6878970000000004</v>
      </c>
      <c r="E3388">
        <v>0.59972440000000005</v>
      </c>
      <c r="F3388" t="s">
        <v>84</v>
      </c>
      <c r="G3388">
        <v>-189.60230000000001</v>
      </c>
      <c r="H3388" s="1">
        <v>-1.1472139999999999E-5</v>
      </c>
      <c r="I3388">
        <v>151.45160000000001</v>
      </c>
      <c r="J3388">
        <v>-189.8801</v>
      </c>
      <c r="K3388">
        <v>1.1024050000000001</v>
      </c>
      <c r="L3388">
        <v>200.82990000000001</v>
      </c>
      <c r="M3388">
        <v>0.41448109999999999</v>
      </c>
      <c r="N3388">
        <v>-1.7461939999999999E-2</v>
      </c>
      <c r="O3388">
        <v>-0.90989039999999999</v>
      </c>
      <c r="P3388">
        <v>0.23135120000000001</v>
      </c>
      <c r="Q3388">
        <v>0.18388489999999999</v>
      </c>
      <c r="R3388">
        <v>-0.95533380000000001</v>
      </c>
      <c r="S3388">
        <v>2.7511600000000001E-2</v>
      </c>
      <c r="T3388">
        <v>-7.0153469999999996E-2</v>
      </c>
      <c r="U3388">
        <v>-3.1648100000000001</v>
      </c>
      <c r="V3388">
        <v>0.19415840000000001</v>
      </c>
      <c r="W3388">
        <v>0.19234190000000001</v>
      </c>
      <c r="X3388">
        <v>0.96192880000000003</v>
      </c>
      <c r="Y3388">
        <v>0.40646900000000002</v>
      </c>
      <c r="Z3388">
        <v>7.8788779999999997E-4</v>
      </c>
      <c r="AA3388">
        <v>0.91366420000000004</v>
      </c>
      <c r="AB3388">
        <v>34</v>
      </c>
      <c r="AC3388">
        <v>0.277799999999984</v>
      </c>
      <c r="AD3388">
        <v>-1.1024164721399901</v>
      </c>
      <c r="AE3388">
        <v>-49.378300000000003</v>
      </c>
      <c r="AF3388">
        <v>20.2066149797771</v>
      </c>
      <c r="AG3388">
        <v>-1.1024164721399901</v>
      </c>
      <c r="AH3388">
        <v>45.028408440560703</v>
      </c>
      <c r="AI3388">
        <v>91.279586117721806</v>
      </c>
      <c r="AJ3388">
        <v>65.831717962089897</v>
      </c>
      <c r="AK3388">
        <v>49.366792256626901</v>
      </c>
      <c r="AL3388">
        <v>78.910513024883997</v>
      </c>
      <c r="AM3388">
        <v>78.588580020820501</v>
      </c>
      <c r="AN3388">
        <v>0.99999995352780302</v>
      </c>
    </row>
    <row r="3389" spans="1:40" x14ac:dyDescent="0.25">
      <c r="A3389" t="str">
        <f>"20190303170605595"</f>
        <v>20190303170605595</v>
      </c>
      <c r="B3389" t="str">
        <f>"1551603965588542"</f>
        <v>1551603965588542</v>
      </c>
      <c r="C3389" t="s">
        <v>40</v>
      </c>
      <c r="D3389">
        <v>5.687036</v>
      </c>
      <c r="E3389">
        <v>0.59002639999999995</v>
      </c>
      <c r="F3389" t="s">
        <v>84</v>
      </c>
      <c r="G3389">
        <v>-190.22710000000001</v>
      </c>
      <c r="H3389" s="1">
        <v>-1.4169579999999999E-5</v>
      </c>
      <c r="I3389">
        <v>157.67740000000001</v>
      </c>
      <c r="J3389">
        <v>-189.75569999999999</v>
      </c>
      <c r="K3389">
        <v>1.102452</v>
      </c>
      <c r="L3389">
        <v>200.5301</v>
      </c>
      <c r="M3389">
        <v>0.3983429</v>
      </c>
      <c r="N3389">
        <v>-1.7441120000000001E-2</v>
      </c>
      <c r="O3389">
        <v>-0.91707079999999996</v>
      </c>
      <c r="P3389">
        <v>0.21650259999999999</v>
      </c>
      <c r="Q3389">
        <v>0.18168110000000001</v>
      </c>
      <c r="R3389">
        <v>-0.95922819999999998</v>
      </c>
      <c r="S3389">
        <v>-2.5421139999999998E-2</v>
      </c>
      <c r="T3389">
        <v>-8.0779429999999999E-2</v>
      </c>
      <c r="U3389">
        <v>-3.1619869999999999</v>
      </c>
      <c r="V3389">
        <v>0.1921281</v>
      </c>
      <c r="W3389">
        <v>0.19024279999999999</v>
      </c>
      <c r="X3389">
        <v>0.96275359999999999</v>
      </c>
      <c r="Y3389">
        <v>0.40560259999999998</v>
      </c>
      <c r="Z3389">
        <v>3.7998709999999998E-3</v>
      </c>
      <c r="AA3389">
        <v>0.91404160000000001</v>
      </c>
      <c r="AB3389">
        <v>34</v>
      </c>
      <c r="AC3389">
        <v>-0.47140000000001597</v>
      </c>
      <c r="AD3389">
        <v>-1.10246616958</v>
      </c>
      <c r="AE3389">
        <v>-42.852699999999999</v>
      </c>
      <c r="AF3389">
        <v>17.4934606151444</v>
      </c>
      <c r="AG3389">
        <v>-1.10246616958</v>
      </c>
      <c r="AH3389">
        <v>39.091258595856303</v>
      </c>
      <c r="AI3389">
        <v>91.4746021134617</v>
      </c>
      <c r="AJ3389">
        <v>65.891334639381796</v>
      </c>
      <c r="AK3389">
        <v>42.841137876540898</v>
      </c>
      <c r="AL3389">
        <v>79.033046069447906</v>
      </c>
      <c r="AM3389">
        <v>78.714253346476099</v>
      </c>
      <c r="AN3389">
        <v>1.0000000120371999</v>
      </c>
    </row>
    <row r="3390" spans="1:40" x14ac:dyDescent="0.25">
      <c r="A3390" t="str">
        <f>"20190303170605617"</f>
        <v>20190303170605617</v>
      </c>
      <c r="B3390" t="str">
        <f>"1551603965608062"</f>
        <v>1551603965608062</v>
      </c>
      <c r="C3390" t="s">
        <v>40</v>
      </c>
      <c r="D3390">
        <v>5.6940220000000004</v>
      </c>
      <c r="E3390">
        <v>0.58822949999999996</v>
      </c>
      <c r="F3390" t="s">
        <v>41</v>
      </c>
      <c r="G3390">
        <v>-189.77350000000001</v>
      </c>
      <c r="H3390" s="1">
        <v>-1.654192E-6</v>
      </c>
      <c r="I3390">
        <v>163.04560000000001</v>
      </c>
      <c r="J3390">
        <v>-189.62960000000001</v>
      </c>
      <c r="K3390">
        <v>1.102509</v>
      </c>
      <c r="L3390">
        <v>200.21019999999999</v>
      </c>
      <c r="M3390">
        <v>0.38117069999999997</v>
      </c>
      <c r="N3390">
        <v>-1.7411070000000001E-2</v>
      </c>
      <c r="O3390">
        <v>-0.92434079999999996</v>
      </c>
      <c r="P3390">
        <v>0.1996455</v>
      </c>
      <c r="Q3390">
        <v>0.18220939999999999</v>
      </c>
      <c r="R3390">
        <v>-0.96277829999999998</v>
      </c>
      <c r="S3390">
        <v>-1.495361E-3</v>
      </c>
      <c r="T3390">
        <v>-9.2508439999999997E-2</v>
      </c>
      <c r="U3390">
        <v>-3.1453700000000002</v>
      </c>
      <c r="V3390">
        <v>0.19100639999999999</v>
      </c>
      <c r="W3390">
        <v>0.19082560000000001</v>
      </c>
      <c r="X3390">
        <v>0.96286150000000004</v>
      </c>
      <c r="Y3390">
        <v>0.38150210000000001</v>
      </c>
      <c r="Z3390">
        <v>7.5475389999999998E-3</v>
      </c>
      <c r="AA3390">
        <v>0.92433710000000002</v>
      </c>
      <c r="AB3390">
        <v>34</v>
      </c>
      <c r="AC3390">
        <v>-0.143900000000002</v>
      </c>
      <c r="AD3390">
        <v>-1.102510654192</v>
      </c>
      <c r="AE3390">
        <v>-37.164599999999901</v>
      </c>
      <c r="AF3390">
        <v>14.288661389395701</v>
      </c>
      <c r="AG3390">
        <v>-1.102510654192</v>
      </c>
      <c r="AH3390">
        <v>34.272941250354798</v>
      </c>
      <c r="AI3390">
        <v>91.700697846274693</v>
      </c>
      <c r="AJ3390">
        <v>67.368357001107398</v>
      </c>
      <c r="AK3390">
        <v>37.148564925090902</v>
      </c>
      <c r="AL3390">
        <v>78.999031499954398</v>
      </c>
      <c r="AM3390">
        <v>78.779691663202499</v>
      </c>
      <c r="AN3390">
        <v>1.0000000613192801</v>
      </c>
    </row>
    <row r="3391" spans="1:40" x14ac:dyDescent="0.25">
      <c r="A3391" t="str">
        <f>"20190303170605640"</f>
        <v>20190303170605640</v>
      </c>
      <c r="B3391" t="str">
        <f>"1551603965628558"</f>
        <v>1551603965628558</v>
      </c>
      <c r="C3391" t="s">
        <v>40</v>
      </c>
      <c r="D3391">
        <v>5.6823579999999998</v>
      </c>
      <c r="E3391">
        <v>0.57991700000000002</v>
      </c>
      <c r="F3391" t="s">
        <v>41</v>
      </c>
      <c r="G3391">
        <v>-190.1661</v>
      </c>
      <c r="H3391" s="1">
        <v>-1.273724E-6</v>
      </c>
      <c r="I3391">
        <v>162.1927</v>
      </c>
      <c r="J3391">
        <v>-189.50630000000001</v>
      </c>
      <c r="K3391">
        <v>1.1026020000000001</v>
      </c>
      <c r="L3391">
        <v>199.87909999999999</v>
      </c>
      <c r="M3391">
        <v>0.36347459999999998</v>
      </c>
      <c r="N3391">
        <v>-1.7370259999999998E-2</v>
      </c>
      <c r="O3391">
        <v>-0.93144210000000005</v>
      </c>
      <c r="P3391">
        <v>0.1808787</v>
      </c>
      <c r="Q3391">
        <v>0.1832715</v>
      </c>
      <c r="R3391">
        <v>-0.96627859999999999</v>
      </c>
      <c r="S3391">
        <v>-4.4342039999999999E-2</v>
      </c>
      <c r="T3391">
        <v>-9.1130020000000006E-2</v>
      </c>
      <c r="U3391">
        <v>-3.1424099999999999</v>
      </c>
      <c r="V3391">
        <v>0.1913039</v>
      </c>
      <c r="W3391">
        <v>0.19187389999999999</v>
      </c>
      <c r="X3391">
        <v>0.96259399999999995</v>
      </c>
      <c r="Y3391">
        <v>0.37647629999999999</v>
      </c>
      <c r="Z3391">
        <v>7.5300330000000002E-3</v>
      </c>
      <c r="AA3391">
        <v>0.92639570000000004</v>
      </c>
      <c r="AB3391">
        <v>34</v>
      </c>
      <c r="AC3391">
        <v>-0.65979999999998995</v>
      </c>
      <c r="AD3391">
        <v>-1.1026032737239999</v>
      </c>
      <c r="AE3391">
        <v>-37.6863999999999</v>
      </c>
      <c r="AF3391">
        <v>14.3025360447401</v>
      </c>
      <c r="AG3391">
        <v>-1.1026032737239999</v>
      </c>
      <c r="AH3391">
        <v>34.8383293685133</v>
      </c>
      <c r="AI3391">
        <v>91.677019611201104</v>
      </c>
      <c r="AJ3391">
        <v>67.679876952577203</v>
      </c>
      <c r="AK3391">
        <v>37.676086108821501</v>
      </c>
      <c r="AL3391">
        <v>78.937836815015999</v>
      </c>
      <c r="AM3391">
        <v>78.759616685091402</v>
      </c>
      <c r="AN3391">
        <v>0.99999999224620995</v>
      </c>
    </row>
    <row r="3392" spans="1:40" x14ac:dyDescent="0.25">
      <c r="A3392" t="str">
        <f>"20190303170605662"</f>
        <v>20190303170605662</v>
      </c>
      <c r="B3392" t="str">
        <f>"1551603965657837"</f>
        <v>1551603965657837</v>
      </c>
      <c r="C3392" t="s">
        <v>40</v>
      </c>
      <c r="D3392">
        <v>5.7271700000000001</v>
      </c>
      <c r="E3392">
        <v>0.57662309999999894</v>
      </c>
      <c r="F3392" t="s">
        <v>41</v>
      </c>
      <c r="G3392">
        <v>-189.8623</v>
      </c>
      <c r="H3392" s="1">
        <v>-3.9768690000000002E-6</v>
      </c>
      <c r="I3392">
        <v>167.99250000000001</v>
      </c>
      <c r="J3392">
        <v>-189.3912</v>
      </c>
      <c r="K3392">
        <v>1.102722</v>
      </c>
      <c r="L3392">
        <v>199.55099999999999</v>
      </c>
      <c r="M3392">
        <v>0.34605209999999997</v>
      </c>
      <c r="N3392">
        <v>-1.7318859999999998E-2</v>
      </c>
      <c r="O3392">
        <v>-0.93805559999999999</v>
      </c>
      <c r="P3392">
        <v>0.16393859999999999</v>
      </c>
      <c r="Q3392">
        <v>0.1833118</v>
      </c>
      <c r="R3392">
        <v>-0.96928939999999997</v>
      </c>
      <c r="S3392">
        <v>-3.4957889999999998E-2</v>
      </c>
      <c r="T3392">
        <v>-0.1082935</v>
      </c>
      <c r="U3392">
        <v>-3.1317750000000002</v>
      </c>
      <c r="V3392">
        <v>0.19015070000000001</v>
      </c>
      <c r="W3392">
        <v>0.19197030000000001</v>
      </c>
      <c r="X3392">
        <v>0.96280319999999997</v>
      </c>
      <c r="Y3392">
        <v>0.3563828</v>
      </c>
      <c r="Z3392">
        <v>1.2869790000000001E-2</v>
      </c>
      <c r="AA3392">
        <v>0.93425139999999995</v>
      </c>
      <c r="AB3392">
        <v>34</v>
      </c>
      <c r="AC3392">
        <v>-0.47110000000000701</v>
      </c>
      <c r="AD3392">
        <v>-1.1027259768690001</v>
      </c>
      <c r="AE3392">
        <v>-31.558499999999899</v>
      </c>
      <c r="AF3392">
        <v>11.350650286177199</v>
      </c>
      <c r="AG3392">
        <v>-1.1027259768690001</v>
      </c>
      <c r="AH3392">
        <v>29.4091147816711</v>
      </c>
      <c r="AI3392">
        <v>92.003448884629293</v>
      </c>
      <c r="AJ3392">
        <v>68.895561790841796</v>
      </c>
      <c r="AK3392">
        <v>31.542816911947799</v>
      </c>
      <c r="AL3392">
        <v>78.932208331538703</v>
      </c>
      <c r="AM3392">
        <v>78.828031678945194</v>
      </c>
      <c r="AN3392">
        <v>0.99999994336140796</v>
      </c>
    </row>
    <row r="3393" spans="1:40" x14ac:dyDescent="0.25">
      <c r="A3393" t="str">
        <f>"20190303170605686"</f>
        <v>20190303170605686</v>
      </c>
      <c r="B3393" t="str">
        <f>"1551603965678334"</f>
        <v>1551603965678334</v>
      </c>
      <c r="C3393" t="s">
        <v>40</v>
      </c>
      <c r="D3393">
        <v>5.7052480000000001</v>
      </c>
      <c r="E3393">
        <v>0.57463759999999997</v>
      </c>
      <c r="F3393" t="s">
        <v>41</v>
      </c>
      <c r="G3393">
        <v>-189.98089999999999</v>
      </c>
      <c r="H3393" s="1">
        <v>-3.1209340000000001E-8</v>
      </c>
      <c r="I3393">
        <v>169.6737</v>
      </c>
      <c r="J3393">
        <v>-189.2791</v>
      </c>
      <c r="K3393">
        <v>1.102878</v>
      </c>
      <c r="L3393">
        <v>199.20959999999999</v>
      </c>
      <c r="M3393">
        <v>0.32810260000000002</v>
      </c>
      <c r="N3393">
        <v>-1.7251989999999998E-2</v>
      </c>
      <c r="O3393">
        <v>-0.94448480000000001</v>
      </c>
      <c r="P3393">
        <v>0.14674289999999901</v>
      </c>
      <c r="Q3393">
        <v>0.1813275</v>
      </c>
      <c r="R3393">
        <v>-0.97241310000000003</v>
      </c>
      <c r="S3393">
        <v>-6.17218E-2</v>
      </c>
      <c r="T3393">
        <v>-0.11542520000000001</v>
      </c>
      <c r="U3393">
        <v>-3.1273499999999999</v>
      </c>
      <c r="V3393">
        <v>0.1888061</v>
      </c>
      <c r="W3393">
        <v>0.190056</v>
      </c>
      <c r="X3393">
        <v>0.96344750000000001</v>
      </c>
      <c r="Y3393">
        <v>0.34655259999999999</v>
      </c>
      <c r="Z3393">
        <v>1.5368089999999999E-2</v>
      </c>
      <c r="AA3393">
        <v>0.93790469999999904</v>
      </c>
      <c r="AB3393">
        <v>34</v>
      </c>
      <c r="AC3393">
        <v>-0.70179999999999099</v>
      </c>
      <c r="AD3393">
        <v>-1.10287803120934</v>
      </c>
      <c r="AE3393">
        <v>-29.535900000000002</v>
      </c>
      <c r="AF3393">
        <v>10.340773683671401</v>
      </c>
      <c r="AG3393">
        <v>-1.10287803120934</v>
      </c>
      <c r="AH3393">
        <v>27.631552748192</v>
      </c>
      <c r="AI3393">
        <v>92.140818982934306</v>
      </c>
      <c r="AJ3393">
        <v>69.482247186254298</v>
      </c>
      <c r="AK3393">
        <v>29.523730245427199</v>
      </c>
      <c r="AL3393">
        <v>79.043948308054098</v>
      </c>
      <c r="AM3393">
        <v>78.912300223239598</v>
      </c>
      <c r="AN3393">
        <v>1.00000005589472</v>
      </c>
    </row>
    <row r="3394" spans="1:40" x14ac:dyDescent="0.25">
      <c r="A3394" t="str">
        <f>"20190303170605709"</f>
        <v>20190303170605709</v>
      </c>
      <c r="B3394" t="str">
        <f>"1551603965697854"</f>
        <v>1551603965697854</v>
      </c>
      <c r="C3394" t="s">
        <v>40</v>
      </c>
      <c r="D3394">
        <v>5.7309519999999896</v>
      </c>
      <c r="E3394">
        <v>0.56355069999999996</v>
      </c>
      <c r="F3394" t="s">
        <v>41</v>
      </c>
      <c r="G3394">
        <v>-190.2159</v>
      </c>
      <c r="H3394" s="1">
        <v>-6.4541489999999899E-7</v>
      </c>
      <c r="I3394">
        <v>170.9597</v>
      </c>
      <c r="J3394">
        <v>-189.172</v>
      </c>
      <c r="K3394">
        <v>1.103048</v>
      </c>
      <c r="L3394">
        <v>198.8604</v>
      </c>
      <c r="M3394">
        <v>0.30995489999999998</v>
      </c>
      <c r="N3394">
        <v>-1.7170979999999999E-2</v>
      </c>
      <c r="O3394">
        <v>-0.95059640000000001</v>
      </c>
      <c r="P3394">
        <v>0.12821679999999999</v>
      </c>
      <c r="Q3394">
        <v>0.18059330000000001</v>
      </c>
      <c r="R3394">
        <v>-0.97516499999999995</v>
      </c>
      <c r="S3394">
        <v>-0.10357669999999999</v>
      </c>
      <c r="T3394">
        <v>-0.1219399</v>
      </c>
      <c r="U3394">
        <v>-3.123459</v>
      </c>
      <c r="V3394">
        <v>0.18860479999999999</v>
      </c>
      <c r="W3394">
        <v>0.1893369</v>
      </c>
      <c r="X3394">
        <v>0.9636285</v>
      </c>
      <c r="Y3394">
        <v>0.34116030000000003</v>
      </c>
      <c r="Z3394">
        <v>1.7689590000000002E-2</v>
      </c>
      <c r="AA3394">
        <v>0.93983859999999997</v>
      </c>
      <c r="AB3394">
        <v>34</v>
      </c>
      <c r="AC3394">
        <v>-1.0439000000000001</v>
      </c>
      <c r="AD3394">
        <v>-1.10304864541489</v>
      </c>
      <c r="AE3394">
        <v>-27.900700000000001</v>
      </c>
      <c r="AF3394">
        <v>9.6266803643716194</v>
      </c>
      <c r="AG3394">
        <v>-1.10304864541489</v>
      </c>
      <c r="AH3394">
        <v>26.161767249367699</v>
      </c>
      <c r="AI3394">
        <v>92.265944430188199</v>
      </c>
      <c r="AJ3394">
        <v>69.798024335747897</v>
      </c>
      <c r="AK3394">
        <v>27.898526067912901</v>
      </c>
      <c r="AL3394">
        <v>79.085911674853307</v>
      </c>
      <c r="AM3394">
        <v>78.925858180804994</v>
      </c>
      <c r="AN3394">
        <v>1.0000000591484399</v>
      </c>
    </row>
    <row r="3395" spans="1:40" x14ac:dyDescent="0.25">
      <c r="A3395" t="str">
        <f>"20190303170605731"</f>
        <v>20190303170605731</v>
      </c>
      <c r="B3395" t="str">
        <f>"1551603965718350"</f>
        <v>1551603965718350</v>
      </c>
      <c r="C3395" t="s">
        <v>40</v>
      </c>
      <c r="D3395">
        <v>5.7238419999999897</v>
      </c>
      <c r="E3395">
        <v>0.56188830000000001</v>
      </c>
      <c r="F3395" t="s">
        <v>41</v>
      </c>
      <c r="G3395">
        <v>-189.76859999999999</v>
      </c>
      <c r="H3395" s="1">
        <v>-2.0830190000000001E-6</v>
      </c>
      <c r="I3395">
        <v>174.39269999999999</v>
      </c>
      <c r="J3395">
        <v>-189.07740000000001</v>
      </c>
      <c r="K3395">
        <v>1.1032329999999999</v>
      </c>
      <c r="L3395">
        <v>198.53120000000001</v>
      </c>
      <c r="M3395">
        <v>0.293047</v>
      </c>
      <c r="N3395">
        <v>-1.7087060000000001E-2</v>
      </c>
      <c r="O3395">
        <v>-0.95594559999999995</v>
      </c>
      <c r="P3395">
        <v>0.110282199999999</v>
      </c>
      <c r="Q3395">
        <v>0.17962600000000001</v>
      </c>
      <c r="R3395">
        <v>-0.97753409999999996</v>
      </c>
      <c r="S3395">
        <v>-7.5897220000000001E-2</v>
      </c>
      <c r="T3395">
        <v>-0.14031080000000001</v>
      </c>
      <c r="U3395">
        <v>-3.1123500000000002</v>
      </c>
      <c r="V3395">
        <v>0.18913540000000001</v>
      </c>
      <c r="W3395">
        <v>0.18835209999999999</v>
      </c>
      <c r="X3395">
        <v>0.9637175</v>
      </c>
      <c r="Y3395">
        <v>0.3161252</v>
      </c>
      <c r="Z3395">
        <v>2.3767690000000001E-2</v>
      </c>
      <c r="AA3395">
        <v>0.94841969999999998</v>
      </c>
      <c r="AB3395">
        <v>34</v>
      </c>
      <c r="AC3395">
        <v>-0.69119999999998005</v>
      </c>
      <c r="AD3395">
        <v>-1.1032350830190001</v>
      </c>
      <c r="AE3395">
        <v>-24.138500000000001</v>
      </c>
      <c r="AF3395">
        <v>7.7194800862175699</v>
      </c>
      <c r="AG3395">
        <v>-1.1032350830190001</v>
      </c>
      <c r="AH3395">
        <v>22.828226201930701</v>
      </c>
      <c r="AI3395">
        <v>92.621228062594696</v>
      </c>
      <c r="AJ3395">
        <v>71.316774000469707</v>
      </c>
      <c r="AK3395">
        <v>24.123337496632399</v>
      </c>
      <c r="AL3395">
        <v>79.143370492861706</v>
      </c>
      <c r="AM3395">
        <v>78.896476718210394</v>
      </c>
      <c r="AN3395">
        <v>1.0000000664569</v>
      </c>
    </row>
    <row r="3396" spans="1:40" x14ac:dyDescent="0.25">
      <c r="A3396" t="str">
        <f>"20190303170605753"</f>
        <v>20190303170605753</v>
      </c>
      <c r="B3396" t="str">
        <f>"1551603965737870"</f>
        <v>1551603965737870</v>
      </c>
      <c r="C3396" t="s">
        <v>40</v>
      </c>
      <c r="D3396">
        <v>5.7350149999999998</v>
      </c>
      <c r="E3396">
        <v>0.56126819999999999</v>
      </c>
      <c r="F3396" t="s">
        <v>41</v>
      </c>
      <c r="G3396">
        <v>-189.9545</v>
      </c>
      <c r="H3396" s="1">
        <v>-2.4168540000000001E-6</v>
      </c>
      <c r="I3396">
        <v>175.24770000000001</v>
      </c>
      <c r="J3396">
        <v>-188.9914</v>
      </c>
      <c r="K3396">
        <v>1.103445</v>
      </c>
      <c r="L3396">
        <v>198.21100000000001</v>
      </c>
      <c r="M3396">
        <v>0.27682400000000001</v>
      </c>
      <c r="N3396">
        <v>-1.7002010000000001E-2</v>
      </c>
      <c r="O3396">
        <v>-0.96077040000000002</v>
      </c>
      <c r="P3396">
        <v>9.5364039999999997E-2</v>
      </c>
      <c r="Q3396">
        <v>0.1790119</v>
      </c>
      <c r="R3396">
        <v>-0.97921440000000004</v>
      </c>
      <c r="S3396">
        <v>-0.11712649999999999</v>
      </c>
      <c r="T3396">
        <v>-0.1473236</v>
      </c>
      <c r="U3396">
        <v>-3.1092219999999999</v>
      </c>
      <c r="V3396">
        <v>0.18741910000000001</v>
      </c>
      <c r="W3396">
        <v>0.18782570000000001</v>
      </c>
      <c r="X3396">
        <v>0.9641554</v>
      </c>
      <c r="Y3396">
        <v>0.31264540000000002</v>
      </c>
      <c r="Z3396">
        <v>2.6268929999999999E-2</v>
      </c>
      <c r="AA3396">
        <v>0.94950659999999998</v>
      </c>
      <c r="AB3396">
        <v>34</v>
      </c>
      <c r="AC3396">
        <v>-0.96309999999999696</v>
      </c>
      <c r="AD3396">
        <v>-1.1034474168540001</v>
      </c>
      <c r="AE3396">
        <v>-22.963299999999901</v>
      </c>
      <c r="AF3396">
        <v>7.2664128731740503</v>
      </c>
      <c r="AG3396">
        <v>-1.1034474168540001</v>
      </c>
      <c r="AH3396">
        <v>21.748865578187299</v>
      </c>
      <c r="AI3396">
        <v>92.755011093008207</v>
      </c>
      <c r="AJ3396">
        <v>71.525249185392894</v>
      </c>
      <c r="AK3396">
        <v>22.957166771691401</v>
      </c>
      <c r="AL3396">
        <v>79.174078610761299</v>
      </c>
      <c r="AM3396">
        <v>78.999640662864294</v>
      </c>
      <c r="AN3396">
        <v>1.00000002398722</v>
      </c>
    </row>
    <row r="3397" spans="1:40" x14ac:dyDescent="0.25">
      <c r="A3397" t="str">
        <f>"20190303170605775"</f>
        <v>20190303170605775</v>
      </c>
      <c r="B3397" t="str">
        <f>"1551603965768126"</f>
        <v>1551603965768126</v>
      </c>
      <c r="C3397" t="s">
        <v>40</v>
      </c>
      <c r="D3397">
        <v>5.7778689999999999</v>
      </c>
      <c r="E3397">
        <v>0.55325740000000001</v>
      </c>
      <c r="F3397" t="s">
        <v>41</v>
      </c>
      <c r="G3397">
        <v>-190.13</v>
      </c>
      <c r="H3397" s="1">
        <v>-2.6862359999999999E-6</v>
      </c>
      <c r="I3397">
        <v>175.77019999999999</v>
      </c>
      <c r="J3397">
        <v>-188.9049</v>
      </c>
      <c r="K3397">
        <v>1.1037049999999999</v>
      </c>
      <c r="L3397">
        <v>197.8655</v>
      </c>
      <c r="M3397">
        <v>0.25960420000000001</v>
      </c>
      <c r="N3397">
        <v>-1.690519E-2</v>
      </c>
      <c r="O3397">
        <v>-0.96556719999999896</v>
      </c>
      <c r="P3397">
        <v>8.1265309999999993E-2</v>
      </c>
      <c r="Q3397">
        <v>0.17794649999999901</v>
      </c>
      <c r="R3397">
        <v>-0.98067899999999997</v>
      </c>
      <c r="S3397">
        <v>-0.15763849999999999</v>
      </c>
      <c r="T3397">
        <v>-0.1527733</v>
      </c>
      <c r="U3397">
        <v>-3.1069490000000002</v>
      </c>
      <c r="V3397">
        <v>0.1839324</v>
      </c>
      <c r="W3397">
        <v>0.18693389999999999</v>
      </c>
      <c r="X3397">
        <v>0.96499979999999996</v>
      </c>
      <c r="Y3397">
        <v>0.30803970000000003</v>
      </c>
      <c r="Z3397">
        <v>2.8352929999999998E-2</v>
      </c>
      <c r="AA3397">
        <v>0.95095090000000004</v>
      </c>
      <c r="AB3397">
        <v>34</v>
      </c>
      <c r="AC3397">
        <v>-1.2250999999999901</v>
      </c>
      <c r="AD3397">
        <v>-1.103707686236</v>
      </c>
      <c r="AE3397">
        <v>-22.095300000000002</v>
      </c>
      <c r="AF3397">
        <v>6.9027663272340698</v>
      </c>
      <c r="AG3397">
        <v>-1.103707686236</v>
      </c>
      <c r="AH3397">
        <v>20.967300460773298</v>
      </c>
      <c r="AI3397">
        <v>92.862382914652699</v>
      </c>
      <c r="AJ3397">
        <v>71.777639017220295</v>
      </c>
      <c r="AK3397">
        <v>22.1019013262976</v>
      </c>
      <c r="AL3397">
        <v>79.226096223081797</v>
      </c>
      <c r="AM3397">
        <v>79.208659905918097</v>
      </c>
      <c r="AN3397">
        <v>1.0000000123695001</v>
      </c>
    </row>
    <row r="3398" spans="1:40" x14ac:dyDescent="0.25">
      <c r="A3398" t="str">
        <f>"20190303170605799"</f>
        <v>20190303170605799</v>
      </c>
      <c r="B3398" t="str">
        <f>"1551603965788621"</f>
        <v>1551603965788621</v>
      </c>
      <c r="C3398" t="s">
        <v>40</v>
      </c>
      <c r="D3398">
        <v>5.7673829999999997</v>
      </c>
      <c r="E3398">
        <v>0.55155310000000002</v>
      </c>
      <c r="F3398" t="s">
        <v>41</v>
      </c>
      <c r="G3398">
        <v>-189.81630000000001</v>
      </c>
      <c r="H3398" s="1">
        <v>-3.4123949999999998E-6</v>
      </c>
      <c r="I3398">
        <v>177.5112</v>
      </c>
      <c r="J3398">
        <v>-188.8229</v>
      </c>
      <c r="K3398">
        <v>1.104007</v>
      </c>
      <c r="L3398">
        <v>197.5112</v>
      </c>
      <c r="M3398">
        <v>0.2422947</v>
      </c>
      <c r="N3398">
        <v>-1.6798960000000002E-2</v>
      </c>
      <c r="O3398">
        <v>-0.97005719999999995</v>
      </c>
      <c r="P3398">
        <v>6.8208580000000005E-2</v>
      </c>
      <c r="Q3398">
        <v>0.17811270000000001</v>
      </c>
      <c r="R3398">
        <v>-0.98164309999999999</v>
      </c>
      <c r="S3398">
        <v>-0.13885500000000001</v>
      </c>
      <c r="T3398">
        <v>-0.1681569</v>
      </c>
      <c r="U3398">
        <v>-3.101105</v>
      </c>
      <c r="V3398">
        <v>0.17936379999999999</v>
      </c>
      <c r="W3398">
        <v>0.18731990000000001</v>
      </c>
      <c r="X3398">
        <v>0.96578459999999999</v>
      </c>
      <c r="Y3398">
        <v>0.2852788</v>
      </c>
      <c r="Z3398">
        <v>3.3696709999999998E-2</v>
      </c>
      <c r="AA3398">
        <v>0.95785209999999998</v>
      </c>
      <c r="AB3398">
        <v>34</v>
      </c>
      <c r="AC3398">
        <v>-0.99340000000000805</v>
      </c>
      <c r="AD3398">
        <v>-1.1040104123950001</v>
      </c>
      <c r="AE3398">
        <v>-20</v>
      </c>
      <c r="AF3398">
        <v>5.7927613660243296</v>
      </c>
      <c r="AG3398">
        <v>-1.1040104123950001</v>
      </c>
      <c r="AH3398">
        <v>19.105081805755798</v>
      </c>
      <c r="AI3398">
        <v>93.1652403851065</v>
      </c>
      <c r="AJ3398">
        <v>73.132420276795798</v>
      </c>
      <c r="AK3398">
        <v>19.994476088134999</v>
      </c>
      <c r="AL3398">
        <v>79.203582288306507</v>
      </c>
      <c r="AM3398">
        <v>79.478997601098598</v>
      </c>
      <c r="AN3398">
        <v>1.0000000056417999</v>
      </c>
    </row>
    <row r="3399" spans="1:40" x14ac:dyDescent="0.25">
      <c r="A3399" t="str">
        <f>"20190303170605821"</f>
        <v>20190303170605821</v>
      </c>
      <c r="B3399" t="str">
        <f>"1551603965808142"</f>
        <v>1551603965808142</v>
      </c>
      <c r="C3399" t="s">
        <v>40</v>
      </c>
      <c r="D3399">
        <v>5.8114629999999998</v>
      </c>
      <c r="E3399">
        <v>0.54462790000000005</v>
      </c>
      <c r="F3399" t="s">
        <v>41</v>
      </c>
      <c r="G3399">
        <v>-189.93819999999999</v>
      </c>
      <c r="H3399" s="1">
        <v>-3.144494E-6</v>
      </c>
      <c r="I3399">
        <v>176.93709999999999</v>
      </c>
      <c r="J3399">
        <v>-188.75139999999999</v>
      </c>
      <c r="K3399">
        <v>1.1043259999999999</v>
      </c>
      <c r="L3399">
        <v>197.17679999999999</v>
      </c>
      <c r="M3399">
        <v>0.22633420000000001</v>
      </c>
      <c r="N3399">
        <v>-1.6692060000000002E-2</v>
      </c>
      <c r="O3399">
        <v>-0.97390679999999996</v>
      </c>
      <c r="P3399">
        <v>5.4142320000000001E-2</v>
      </c>
      <c r="Q3399">
        <v>0.1792456</v>
      </c>
      <c r="R3399">
        <v>-0.98231380000000001</v>
      </c>
      <c r="S3399">
        <v>-0.16793820000000001</v>
      </c>
      <c r="T3399">
        <v>-0.16623470000000001</v>
      </c>
      <c r="U3399">
        <v>-3.0979160000000001</v>
      </c>
      <c r="V3399">
        <v>0.17718429999999999</v>
      </c>
      <c r="W3399">
        <v>0.1885685</v>
      </c>
      <c r="X3399">
        <v>0.96594389999999997</v>
      </c>
      <c r="Y3399">
        <v>0.27855669999999999</v>
      </c>
      <c r="Z3399">
        <v>3.3616960000000001E-2</v>
      </c>
      <c r="AA3399">
        <v>0.95983130000000005</v>
      </c>
      <c r="AB3399">
        <v>34</v>
      </c>
      <c r="AC3399">
        <v>-1.1868000000000001</v>
      </c>
      <c r="AD3399">
        <v>-1.104329144494</v>
      </c>
      <c r="AE3399">
        <v>-20.239699999999999</v>
      </c>
      <c r="AF3399">
        <v>5.7205952989443798</v>
      </c>
      <c r="AG3399">
        <v>-1.104329144494</v>
      </c>
      <c r="AH3399">
        <v>19.388152720796601</v>
      </c>
      <c r="AI3399">
        <v>93.126992555000697</v>
      </c>
      <c r="AJ3399">
        <v>73.560976867730304</v>
      </c>
      <c r="AK3399">
        <v>20.244634335018699</v>
      </c>
      <c r="AL3399">
        <v>79.1307445785976</v>
      </c>
      <c r="AM3399">
        <v>79.605714328960701</v>
      </c>
      <c r="AN3399">
        <v>0.99999998665297396</v>
      </c>
    </row>
    <row r="3400" spans="1:40" x14ac:dyDescent="0.25">
      <c r="A3400" t="str">
        <f>"20190303170605842"</f>
        <v>20190303170605842</v>
      </c>
      <c r="B3400" t="str">
        <f>"1551603965828639"</f>
        <v>1551603965828639</v>
      </c>
      <c r="C3400" t="s">
        <v>40</v>
      </c>
      <c r="D3400">
        <v>5.7882639999999999</v>
      </c>
      <c r="E3400">
        <v>0.5435063</v>
      </c>
      <c r="F3400" t="s">
        <v>41</v>
      </c>
      <c r="G3400">
        <v>-189.81100000000001</v>
      </c>
      <c r="H3400" s="1">
        <v>-2.8175059999999999E-6</v>
      </c>
      <c r="I3400">
        <v>176.1223</v>
      </c>
      <c r="J3400">
        <v>-188.68979999999999</v>
      </c>
      <c r="K3400">
        <v>1.1046579999999999</v>
      </c>
      <c r="L3400">
        <v>196.86429999999999</v>
      </c>
      <c r="M3400">
        <v>0.21178569999999999</v>
      </c>
      <c r="N3400">
        <v>-1.6586989999999999E-2</v>
      </c>
      <c r="O3400">
        <v>-0.97717540000000003</v>
      </c>
      <c r="P3400">
        <v>4.1140709999999997E-2</v>
      </c>
      <c r="Q3400">
        <v>0.1799876</v>
      </c>
      <c r="R3400">
        <v>-0.98280829999999997</v>
      </c>
      <c r="S3400">
        <v>-0.1556091</v>
      </c>
      <c r="T3400">
        <v>-0.1621879</v>
      </c>
      <c r="U3400">
        <v>-3.0921940000000001</v>
      </c>
      <c r="V3400">
        <v>0.17540359999999999</v>
      </c>
      <c r="W3400">
        <v>0.1894141</v>
      </c>
      <c r="X3400">
        <v>0.96610339999999995</v>
      </c>
      <c r="Y3400">
        <v>0.26048320000000003</v>
      </c>
      <c r="Z3400">
        <v>3.2997520000000002E-2</v>
      </c>
      <c r="AA3400">
        <v>0.9649143</v>
      </c>
      <c r="AB3400">
        <v>34</v>
      </c>
      <c r="AC3400">
        <v>-1.12119999999998</v>
      </c>
      <c r="AD3400">
        <v>-1.104660817506</v>
      </c>
      <c r="AE3400">
        <v>-20.741999999999901</v>
      </c>
      <c r="AF3400">
        <v>5.4737429129581798</v>
      </c>
      <c r="AG3400">
        <v>-1.104660817506</v>
      </c>
      <c r="AH3400">
        <v>19.977376080878699</v>
      </c>
      <c r="AI3400">
        <v>93.052689680806395</v>
      </c>
      <c r="AJ3400">
        <v>74.6771848729704</v>
      </c>
      <c r="AK3400">
        <v>20.743136023170599</v>
      </c>
      <c r="AL3400">
        <v>79.081405740211693</v>
      </c>
      <c r="AM3400">
        <v>79.709596023293003</v>
      </c>
      <c r="AN3400">
        <v>0.99999995183166301</v>
      </c>
    </row>
    <row r="3401" spans="1:40" x14ac:dyDescent="0.25">
      <c r="A3401" t="str">
        <f>"20190303170605865"</f>
        <v>20190303170605865</v>
      </c>
      <c r="B3401" t="str">
        <f>"1551603965857956"</f>
        <v>1551603965857956</v>
      </c>
      <c r="C3401" t="s">
        <v>40</v>
      </c>
      <c r="D3401">
        <v>5.8657769999999996</v>
      </c>
      <c r="E3401">
        <v>0.54068139999999998</v>
      </c>
      <c r="F3401" t="s">
        <v>41</v>
      </c>
      <c r="G3401">
        <v>-189.89859999999999</v>
      </c>
      <c r="H3401" s="1">
        <v>-3.0241719999999999E-6</v>
      </c>
      <c r="I3401">
        <v>176.64019999999999</v>
      </c>
      <c r="J3401">
        <v>-188.62700000000001</v>
      </c>
      <c r="K3401">
        <v>1.105067</v>
      </c>
      <c r="L3401">
        <v>196.51679999999999</v>
      </c>
      <c r="M3401">
        <v>0.19607749999999999</v>
      </c>
      <c r="N3401">
        <v>-1.6465730000000001E-2</v>
      </c>
      <c r="O3401">
        <v>-0.98045020000000005</v>
      </c>
      <c r="P3401">
        <v>2.8911249999999999E-2</v>
      </c>
      <c r="Q3401">
        <v>0.1799221</v>
      </c>
      <c r="R3401">
        <v>-0.98325589999999996</v>
      </c>
      <c r="S3401">
        <v>-0.18475340000000001</v>
      </c>
      <c r="T3401">
        <v>-0.1688404</v>
      </c>
      <c r="U3401">
        <v>-3.09111</v>
      </c>
      <c r="V3401">
        <v>0.17172399999999999</v>
      </c>
      <c r="W3401">
        <v>0.1895396</v>
      </c>
      <c r="X3401">
        <v>0.96673969999999998</v>
      </c>
      <c r="Y3401">
        <v>0.25406669999999998</v>
      </c>
      <c r="Z3401">
        <v>3.5462090000000002E-2</v>
      </c>
      <c r="AA3401">
        <v>0.96653630000000001</v>
      </c>
      <c r="AB3401">
        <v>34</v>
      </c>
      <c r="AC3401">
        <v>-1.2715999999999701</v>
      </c>
      <c r="AD3401">
        <v>-1.105070024172</v>
      </c>
      <c r="AE3401">
        <v>-19.8766</v>
      </c>
      <c r="AF3401">
        <v>5.1290027317951301</v>
      </c>
      <c r="AG3401">
        <v>-1.105070024172</v>
      </c>
      <c r="AH3401">
        <v>19.182241715119702</v>
      </c>
      <c r="AI3401">
        <v>93.185447810468006</v>
      </c>
      <c r="AJ3401">
        <v>75.030278882534105</v>
      </c>
      <c r="AK3401">
        <v>19.886835997673501</v>
      </c>
      <c r="AL3401">
        <v>79.074083211976401</v>
      </c>
      <c r="AM3401">
        <v>79.927493397680706</v>
      </c>
      <c r="AN3401">
        <v>1.00000001985012</v>
      </c>
    </row>
    <row r="3402" spans="1:40" x14ac:dyDescent="0.25">
      <c r="A3402" t="str">
        <f>"20190303170605888"</f>
        <v>20190303170605888</v>
      </c>
      <c r="B3402" t="str">
        <f>"1551603965878451"</f>
        <v>1551603965878451</v>
      </c>
      <c r="C3402" t="s">
        <v>40</v>
      </c>
      <c r="D3402">
        <v>5.8709809999999996</v>
      </c>
      <c r="E3402">
        <v>0.53987949999999996</v>
      </c>
      <c r="F3402" t="s">
        <v>41</v>
      </c>
      <c r="G3402">
        <v>-189.9076</v>
      </c>
      <c r="H3402" s="1">
        <v>-3.083524E-6</v>
      </c>
      <c r="I3402">
        <v>176.78229999999999</v>
      </c>
      <c r="J3402">
        <v>-188.5703</v>
      </c>
      <c r="K3402">
        <v>1.1054999999999999</v>
      </c>
      <c r="L3402">
        <v>196.1721</v>
      </c>
      <c r="M3402">
        <v>0.18098819999999999</v>
      </c>
      <c r="N3402">
        <v>-1.634277E-2</v>
      </c>
      <c r="O3402">
        <v>-0.98334949999999999</v>
      </c>
      <c r="P3402">
        <v>1.8650819999999999E-2</v>
      </c>
      <c r="Q3402">
        <v>0.18007919999999999</v>
      </c>
      <c r="R3402">
        <v>-0.98347549999999995</v>
      </c>
      <c r="S3402">
        <v>-0.2004242</v>
      </c>
      <c r="T3402">
        <v>-0.172953</v>
      </c>
      <c r="U3402">
        <v>-3.0886230000000001</v>
      </c>
      <c r="V3402">
        <v>0.16674610000000001</v>
      </c>
      <c r="W3402">
        <v>0.18993850000000001</v>
      </c>
      <c r="X3402">
        <v>0.96753250000000002</v>
      </c>
      <c r="Y3402">
        <v>0.24412310000000001</v>
      </c>
      <c r="Z3402">
        <v>3.7198460000000003E-2</v>
      </c>
      <c r="AA3402">
        <v>0.96903059999999996</v>
      </c>
      <c r="AB3402">
        <v>34</v>
      </c>
      <c r="AC3402">
        <v>-1.3372999999999899</v>
      </c>
      <c r="AD3402">
        <v>-1.1055030835239901</v>
      </c>
      <c r="AE3402">
        <v>-19.389800000000001</v>
      </c>
      <c r="AF3402">
        <v>4.8094426358623901</v>
      </c>
      <c r="AG3402">
        <v>-1.1055030835239901</v>
      </c>
      <c r="AH3402">
        <v>18.7667129152521</v>
      </c>
      <c r="AI3402">
        <v>93.265960020814305</v>
      </c>
      <c r="AJ3402">
        <v>75.625867783476096</v>
      </c>
      <c r="AK3402">
        <v>19.4047001826574</v>
      </c>
      <c r="AL3402">
        <v>79.050805037511097</v>
      </c>
      <c r="AM3402">
        <v>80.221609915301201</v>
      </c>
      <c r="AN3402">
        <v>1.0000000171018499</v>
      </c>
    </row>
    <row r="3403" spans="1:40" x14ac:dyDescent="0.25">
      <c r="A3403" t="str">
        <f>"20190303170605910"</f>
        <v>20190303170605910</v>
      </c>
      <c r="B3403" t="str">
        <f>"1551603965897972"</f>
        <v>1551603965897972</v>
      </c>
      <c r="C3403" t="s">
        <v>40</v>
      </c>
      <c r="D3403">
        <v>5.8876609999999996</v>
      </c>
      <c r="E3403">
        <v>0.53012700000000001</v>
      </c>
      <c r="F3403" t="s">
        <v>41</v>
      </c>
      <c r="G3403">
        <v>-190.01560000000001</v>
      </c>
      <c r="H3403" s="1">
        <v>-2.9910810000000002E-6</v>
      </c>
      <c r="I3403">
        <v>176.55170000000001</v>
      </c>
      <c r="J3403">
        <v>-188.52</v>
      </c>
      <c r="K3403">
        <v>1.1059190000000001</v>
      </c>
      <c r="L3403">
        <v>195.83619999999999</v>
      </c>
      <c r="M3403">
        <v>0.1667141</v>
      </c>
      <c r="N3403">
        <v>-1.622556E-2</v>
      </c>
      <c r="O3403">
        <v>-0.98587199999999997</v>
      </c>
      <c r="P3403">
        <v>7.5116660000000002E-3</v>
      </c>
      <c r="Q3403">
        <v>0.18226700000000001</v>
      </c>
      <c r="R3403">
        <v>-0.98322080000000001</v>
      </c>
      <c r="S3403">
        <v>-0.2273712</v>
      </c>
      <c r="T3403">
        <v>-0.1739125</v>
      </c>
      <c r="U3403">
        <v>-3.0865779999999998</v>
      </c>
      <c r="V3403">
        <v>0.16349050000000001</v>
      </c>
      <c r="W3403">
        <v>0.1922876</v>
      </c>
      <c r="X3403">
        <v>0.96762409999999999</v>
      </c>
      <c r="Y3403">
        <v>0.2385246</v>
      </c>
      <c r="Z3403">
        <v>3.7879879999999998E-2</v>
      </c>
      <c r="AA3403">
        <v>0.97039739999999997</v>
      </c>
      <c r="AB3403">
        <v>34</v>
      </c>
      <c r="AC3403">
        <v>-1.49559999999999</v>
      </c>
      <c r="AD3403">
        <v>-1.1059219910809901</v>
      </c>
      <c r="AE3403">
        <v>-19.284499999999898</v>
      </c>
      <c r="AF3403">
        <v>4.6748021773071402</v>
      </c>
      <c r="AG3403">
        <v>-1.1059219910809901</v>
      </c>
      <c r="AH3403">
        <v>18.704031655854301</v>
      </c>
      <c r="AI3403">
        <v>93.283056396239701</v>
      </c>
      <c r="AJ3403">
        <v>75.967232834216404</v>
      </c>
      <c r="AK3403">
        <v>19.311075553435899</v>
      </c>
      <c r="AL3403">
        <v>78.913684244448206</v>
      </c>
      <c r="AM3403">
        <v>80.409836371996406</v>
      </c>
      <c r="AN3403">
        <v>1.0000000318024</v>
      </c>
    </row>
    <row r="3404" spans="1:40" x14ac:dyDescent="0.25">
      <c r="A3404" t="str">
        <f>"20190303170605932"</f>
        <v>20190303170605932</v>
      </c>
      <c r="B3404" t="str">
        <f>"1551603965918468"</f>
        <v>1551603965918468</v>
      </c>
      <c r="C3404" t="s">
        <v>40</v>
      </c>
      <c r="D3404">
        <v>5.9032070000000001</v>
      </c>
      <c r="E3404">
        <v>0.52872459999999999</v>
      </c>
      <c r="F3404" t="s">
        <v>41</v>
      </c>
      <c r="G3404">
        <v>-189.65899999999999</v>
      </c>
      <c r="H3404" s="1">
        <v>-3.026027E-6</v>
      </c>
      <c r="I3404">
        <v>176.5455</v>
      </c>
      <c r="J3404">
        <v>-188.4753</v>
      </c>
      <c r="K3404">
        <v>1.1063400000000001</v>
      </c>
      <c r="L3404">
        <v>195.50630000000001</v>
      </c>
      <c r="M3404">
        <v>0.15311900000000001</v>
      </c>
      <c r="N3404">
        <v>-1.6116209999999999E-2</v>
      </c>
      <c r="O3404">
        <v>-0.98807639999999997</v>
      </c>
      <c r="P3404">
        <v>-5.1280299999999996E-3</v>
      </c>
      <c r="Q3404">
        <v>0.1843069</v>
      </c>
      <c r="R3404">
        <v>-0.98285560000000005</v>
      </c>
      <c r="S3404">
        <v>-0.18217469999999999</v>
      </c>
      <c r="T3404">
        <v>-0.17688299999999901</v>
      </c>
      <c r="U3404">
        <v>-3.085388</v>
      </c>
      <c r="V3404">
        <v>0.16242200000000001</v>
      </c>
      <c r="W3404">
        <v>0.19440650000000001</v>
      </c>
      <c r="X3404">
        <v>0.96738060000000003</v>
      </c>
      <c r="Y3404">
        <v>0.21094499999999999</v>
      </c>
      <c r="Z3404">
        <v>3.9359030000000003E-2</v>
      </c>
      <c r="AA3404">
        <v>0.97670520000000005</v>
      </c>
      <c r="AB3404">
        <v>34</v>
      </c>
      <c r="AC3404">
        <v>-1.18370000000001</v>
      </c>
      <c r="AD3404">
        <v>-1.106343026027</v>
      </c>
      <c r="AE3404">
        <v>-18.960799999999999</v>
      </c>
      <c r="AF3404">
        <v>4.0596058445320997</v>
      </c>
      <c r="AG3404">
        <v>-1.106343026027</v>
      </c>
      <c r="AH3404">
        <v>18.493163330586</v>
      </c>
      <c r="AI3404">
        <v>93.344166801627097</v>
      </c>
      <c r="AJ3404">
        <v>77.618855960864906</v>
      </c>
      <c r="AK3404">
        <v>18.9657977547987</v>
      </c>
      <c r="AL3404">
        <v>78.789945038345707</v>
      </c>
      <c r="AM3404">
        <v>80.469005920279002</v>
      </c>
      <c r="AN3404">
        <v>1.0000000092913</v>
      </c>
    </row>
    <row r="3405" spans="1:40" x14ac:dyDescent="0.25">
      <c r="A3405" t="str">
        <f>"20190303170605954"</f>
        <v>20190303170605954</v>
      </c>
      <c r="B3405" t="str">
        <f>"1551603965947847"</f>
        <v>1551603965947847</v>
      </c>
      <c r="C3405" t="s">
        <v>40</v>
      </c>
      <c r="D3405">
        <v>5.9099259999999996</v>
      </c>
      <c r="E3405">
        <v>0.52744569999999902</v>
      </c>
      <c r="F3405" t="s">
        <v>41</v>
      </c>
      <c r="G3405">
        <v>-189.77209999999999</v>
      </c>
      <c r="H3405" s="1">
        <v>-2.8506669999999998E-6</v>
      </c>
      <c r="I3405">
        <v>176.18350000000001</v>
      </c>
      <c r="J3405">
        <v>-188.43459999999999</v>
      </c>
      <c r="K3405">
        <v>1.106784</v>
      </c>
      <c r="L3405">
        <v>195.17160000000001</v>
      </c>
      <c r="M3405">
        <v>0.1397941</v>
      </c>
      <c r="N3405">
        <v>-1.6007090000000002E-2</v>
      </c>
      <c r="O3405">
        <v>-0.99005140000000003</v>
      </c>
      <c r="P3405">
        <v>-1.6481860000000001E-2</v>
      </c>
      <c r="Q3405">
        <v>0.18519079999999999</v>
      </c>
      <c r="R3405">
        <v>-0.98256460000000001</v>
      </c>
      <c r="S3405">
        <v>-0.20700070000000001</v>
      </c>
      <c r="T3405">
        <v>-0.17659839999999999</v>
      </c>
      <c r="U3405">
        <v>-3.0843660000000002</v>
      </c>
      <c r="V3405">
        <v>0.16036510000000001</v>
      </c>
      <c r="W3405">
        <v>0.1954148</v>
      </c>
      <c r="X3405">
        <v>0.96752059999999995</v>
      </c>
      <c r="Y3405">
        <v>0.2056267</v>
      </c>
      <c r="Z3405">
        <v>3.9582550000000001E-2</v>
      </c>
      <c r="AA3405">
        <v>0.97782970000000002</v>
      </c>
      <c r="AB3405">
        <v>34</v>
      </c>
      <c r="AC3405">
        <v>-1.3374999999999999</v>
      </c>
      <c r="AD3405">
        <v>-1.106786850667</v>
      </c>
      <c r="AE3405">
        <v>-18.988099999999999</v>
      </c>
      <c r="AF3405">
        <v>3.9657199476760701</v>
      </c>
      <c r="AG3405">
        <v>-1.106786850667</v>
      </c>
      <c r="AH3405">
        <v>18.551882039738</v>
      </c>
      <c r="AI3405">
        <v>93.338905589875495</v>
      </c>
      <c r="AJ3405">
        <v>77.933839151082907</v>
      </c>
      <c r="AK3405">
        <v>19.003269167502701</v>
      </c>
      <c r="AL3405">
        <v>78.731044052003298</v>
      </c>
      <c r="AM3405">
        <v>80.588869980728703</v>
      </c>
      <c r="AN3405">
        <v>1.0000000103907001</v>
      </c>
    </row>
    <row r="3406" spans="1:40" x14ac:dyDescent="0.25">
      <c r="A3406" t="str">
        <f>"20190303170605977"</f>
        <v>20190303170605977</v>
      </c>
      <c r="B3406" t="str">
        <f>"1551603965968342"</f>
        <v>1551603965968342</v>
      </c>
      <c r="C3406" t="s">
        <v>40</v>
      </c>
      <c r="D3406">
        <v>5.9124889999999999</v>
      </c>
      <c r="E3406">
        <v>0.51973459999999905</v>
      </c>
      <c r="F3406" t="s">
        <v>41</v>
      </c>
      <c r="G3406">
        <v>-189.8879</v>
      </c>
      <c r="H3406" s="1">
        <v>-2.622773E-6</v>
      </c>
      <c r="I3406">
        <v>175.7002</v>
      </c>
      <c r="J3406">
        <v>-188.39689999999999</v>
      </c>
      <c r="K3406">
        <v>1.1072649999999999</v>
      </c>
      <c r="L3406">
        <v>194.82409999999999</v>
      </c>
      <c r="M3406">
        <v>0.1264719</v>
      </c>
      <c r="N3406">
        <v>-1.5892090000000001E-2</v>
      </c>
      <c r="O3406">
        <v>-0.99184309999999998</v>
      </c>
      <c r="P3406">
        <v>-2.6175489999999999E-2</v>
      </c>
      <c r="Q3406">
        <v>0.18348049999999999</v>
      </c>
      <c r="R3406">
        <v>-0.98267539999999998</v>
      </c>
      <c r="S3406">
        <v>-0.230072</v>
      </c>
      <c r="T3406">
        <v>-0.17520820000000001</v>
      </c>
      <c r="U3406">
        <v>-3.0823969999999998</v>
      </c>
      <c r="V3406">
        <v>0.15665570000000001</v>
      </c>
      <c r="W3406">
        <v>0.1939003</v>
      </c>
      <c r="X3406">
        <v>0.96843259999999998</v>
      </c>
      <c r="Y3406">
        <v>0.1997968</v>
      </c>
      <c r="Z3406">
        <v>3.9467660000000002E-2</v>
      </c>
      <c r="AA3406">
        <v>0.97904219999999997</v>
      </c>
      <c r="AB3406">
        <v>34</v>
      </c>
      <c r="AC3406">
        <v>-1.4910000000000101</v>
      </c>
      <c r="AD3406">
        <v>-1.1072676227729901</v>
      </c>
      <c r="AE3406">
        <v>-19.1238999999999</v>
      </c>
      <c r="AF3406">
        <v>3.88502010049275</v>
      </c>
      <c r="AG3406">
        <v>-1.1072676227729901</v>
      </c>
      <c r="AH3406">
        <v>18.719331440316601</v>
      </c>
      <c r="AI3406">
        <v>93.314687900876393</v>
      </c>
      <c r="AJ3406">
        <v>78.275252320058598</v>
      </c>
      <c r="AK3406">
        <v>19.1502687276732</v>
      </c>
      <c r="AL3406">
        <v>78.819510858213803</v>
      </c>
      <c r="AM3406">
        <v>80.811308907355098</v>
      </c>
      <c r="AN3406">
        <v>1.00000001771266</v>
      </c>
    </row>
    <row r="3407" spans="1:40" x14ac:dyDescent="0.25">
      <c r="A3407" t="str">
        <f>"20190303170605998"</f>
        <v>20190303170605998</v>
      </c>
      <c r="B3407" t="str">
        <f>"1551603965987862"</f>
        <v>1551603965987862</v>
      </c>
      <c r="C3407" t="s">
        <v>40</v>
      </c>
      <c r="D3407">
        <v>5.9239059999999997</v>
      </c>
      <c r="E3407">
        <v>0.5182483</v>
      </c>
      <c r="F3407" t="s">
        <v>41</v>
      </c>
      <c r="G3407">
        <v>-189.57759999999999</v>
      </c>
      <c r="H3407" s="1">
        <v>-2.9996929999999999E-6</v>
      </c>
      <c r="I3407">
        <v>176.45050000000001</v>
      </c>
      <c r="J3407">
        <v>-188.36580000000001</v>
      </c>
      <c r="K3407">
        <v>1.107745</v>
      </c>
      <c r="L3407">
        <v>194.50020000000001</v>
      </c>
      <c r="M3407">
        <v>0.1145543</v>
      </c>
      <c r="N3407">
        <v>-1.578355E-2</v>
      </c>
      <c r="O3407">
        <v>-0.99329179999999995</v>
      </c>
      <c r="P3407">
        <v>-3.2927989999999997E-2</v>
      </c>
      <c r="Q3407">
        <v>0.18208450000000001</v>
      </c>
      <c r="R3407">
        <v>-0.98273160000000004</v>
      </c>
      <c r="S3407">
        <v>-0.19807430000000001</v>
      </c>
      <c r="T3407">
        <v>-0.18575120000000001</v>
      </c>
      <c r="U3407">
        <v>-3.0822910000000001</v>
      </c>
      <c r="V3407">
        <v>0.1514327</v>
      </c>
      <c r="W3407">
        <v>0.192748</v>
      </c>
      <c r="X3407">
        <v>0.96949280000000004</v>
      </c>
      <c r="Y3407">
        <v>0.17787159999999999</v>
      </c>
      <c r="Z3407">
        <v>4.3199380000000002E-2</v>
      </c>
      <c r="AA3407">
        <v>0.98310509999999995</v>
      </c>
      <c r="AB3407">
        <v>34</v>
      </c>
      <c r="AC3407">
        <v>-1.21179999999998</v>
      </c>
      <c r="AD3407">
        <v>-1.107747999693</v>
      </c>
      <c r="AE3407">
        <v>-18.049700000000001</v>
      </c>
      <c r="AF3407">
        <v>3.2595266084576999</v>
      </c>
      <c r="AG3407">
        <v>-1.107747999693</v>
      </c>
      <c r="AH3407">
        <v>17.725550464175299</v>
      </c>
      <c r="AI3407">
        <v>93.517195085603205</v>
      </c>
      <c r="AJ3407">
        <v>79.580365486763498</v>
      </c>
      <c r="AK3407">
        <v>18.056764898510799</v>
      </c>
      <c r="AL3407">
        <v>78.8868017259678</v>
      </c>
      <c r="AM3407">
        <v>81.122257115423494</v>
      </c>
      <c r="AN3407">
        <v>0.99999997169256405</v>
      </c>
    </row>
    <row r="3408" spans="1:40" x14ac:dyDescent="0.25">
      <c r="A3408" t="str">
        <f>"20190303170606020"</f>
        <v>20190303170606020</v>
      </c>
      <c r="B3408" t="str">
        <f>"1551603966008359"</f>
        <v>1551603966008359</v>
      </c>
      <c r="C3408" t="s">
        <v>40</v>
      </c>
      <c r="D3408">
        <v>5.984559</v>
      </c>
      <c r="E3408">
        <v>0.51683290000000004</v>
      </c>
      <c r="F3408" t="s">
        <v>41</v>
      </c>
      <c r="G3408">
        <v>-189.57859999999999</v>
      </c>
      <c r="H3408" s="1">
        <v>-3.063001E-6</v>
      </c>
      <c r="I3408">
        <v>176.5984</v>
      </c>
      <c r="J3408">
        <v>-188.3381</v>
      </c>
      <c r="K3408">
        <v>1.1082689999999999</v>
      </c>
      <c r="L3408">
        <v>194.17230000000001</v>
      </c>
      <c r="M3408">
        <v>0.10298930000000001</v>
      </c>
      <c r="N3408">
        <v>-1.5673759999999998E-2</v>
      </c>
      <c r="O3408">
        <v>-0.99455919999999998</v>
      </c>
      <c r="P3408">
        <v>-3.9025539999999997E-2</v>
      </c>
      <c r="Q3408">
        <v>0.1824211</v>
      </c>
      <c r="R3408">
        <v>-0.98244600000000004</v>
      </c>
      <c r="S3408">
        <v>-0.20872499999999999</v>
      </c>
      <c r="T3408">
        <v>-0.1906543</v>
      </c>
      <c r="U3408">
        <v>-3.08107</v>
      </c>
      <c r="V3408">
        <v>0.14591799999999999</v>
      </c>
      <c r="W3408">
        <v>0.19333330000000001</v>
      </c>
      <c r="X3408">
        <v>0.97022169999999996</v>
      </c>
      <c r="Y3408">
        <v>0.1698228</v>
      </c>
      <c r="Z3408">
        <v>4.5043989999999999E-2</v>
      </c>
      <c r="AA3408">
        <v>0.9844446</v>
      </c>
      <c r="AB3408">
        <v>34</v>
      </c>
      <c r="AC3408">
        <v>-1.2404999999999899</v>
      </c>
      <c r="AD3408">
        <v>-1.1082720630009999</v>
      </c>
      <c r="AE3408">
        <v>-17.573899999999998</v>
      </c>
      <c r="AF3408">
        <v>3.0320488747919598</v>
      </c>
      <c r="AG3408">
        <v>-1.1082720630009999</v>
      </c>
      <c r="AH3408">
        <v>17.284254465155598</v>
      </c>
      <c r="AI3408">
        <v>93.613769157227495</v>
      </c>
      <c r="AJ3408">
        <v>80.050262422459696</v>
      </c>
      <c r="AK3408">
        <v>17.5831464693042</v>
      </c>
      <c r="AL3408">
        <v>78.852623818007004</v>
      </c>
      <c r="AM3408">
        <v>81.447014800575403</v>
      </c>
      <c r="AN3408">
        <v>0.999999987381889</v>
      </c>
    </row>
    <row r="3409" spans="1:40" x14ac:dyDescent="0.25">
      <c r="A3409" t="str">
        <f>"20190303170606034"</f>
        <v>20190303170606034</v>
      </c>
      <c r="B3409" t="str">
        <f>"1551603966027879"</f>
        <v>1551603966027879</v>
      </c>
      <c r="C3409" t="s">
        <v>40</v>
      </c>
      <c r="D3409">
        <v>5.8904940000000003</v>
      </c>
      <c r="E3409">
        <v>0.51075939999999997</v>
      </c>
      <c r="F3409" t="s">
        <v>41</v>
      </c>
      <c r="G3409">
        <v>-189.5642</v>
      </c>
      <c r="H3409" s="1">
        <v>-3.133933E-6</v>
      </c>
      <c r="I3409">
        <v>176.7578</v>
      </c>
      <c r="J3409">
        <v>-188.32159999999999</v>
      </c>
      <c r="K3409">
        <v>1.1086480000000001</v>
      </c>
      <c r="L3409">
        <v>193.9512</v>
      </c>
      <c r="M3409">
        <v>9.5523040000000004E-2</v>
      </c>
      <c r="N3409">
        <v>-1.559923E-2</v>
      </c>
      <c r="O3409">
        <v>-0.9953052</v>
      </c>
      <c r="P3409">
        <v>-4.4247130000000003E-2</v>
      </c>
      <c r="Q3409">
        <v>0.18300720000000001</v>
      </c>
      <c r="R3409">
        <v>-0.98211539999999997</v>
      </c>
      <c r="S3409">
        <v>-0.21694949999999999</v>
      </c>
      <c r="T3409">
        <v>-0.196103</v>
      </c>
      <c r="U3409">
        <v>-3.0814059999999999</v>
      </c>
      <c r="V3409">
        <v>0.143624799999999</v>
      </c>
      <c r="W3409">
        <v>0.1940392</v>
      </c>
      <c r="X3409">
        <v>0.97042289999999998</v>
      </c>
      <c r="Y3409">
        <v>0.165028799999999</v>
      </c>
      <c r="Z3409">
        <v>4.6935780000000003E-2</v>
      </c>
      <c r="AA3409">
        <v>0.98517129999999997</v>
      </c>
      <c r="AB3409">
        <v>33</v>
      </c>
      <c r="AC3409">
        <v>-1.2426000000000099</v>
      </c>
      <c r="AD3409">
        <v>-1.1086511339330001</v>
      </c>
      <c r="AE3409">
        <v>-17.193399999999901</v>
      </c>
      <c r="AF3409">
        <v>2.8676207091333801</v>
      </c>
      <c r="AG3409">
        <v>-1.1086511339330001</v>
      </c>
      <c r="AH3409">
        <v>16.926038018848001</v>
      </c>
      <c r="AI3409">
        <v>93.6950004134046</v>
      </c>
      <c r="AJ3409">
        <v>80.384218570065002</v>
      </c>
      <c r="AK3409">
        <v>17.202997380797001</v>
      </c>
      <c r="AL3409">
        <v>78.811397626608198</v>
      </c>
      <c r="AM3409">
        <v>81.5812093898776</v>
      </c>
      <c r="AN3409">
        <v>0.99999994957804295</v>
      </c>
    </row>
    <row r="3410" spans="1:40" x14ac:dyDescent="0.25">
      <c r="A3410" t="str">
        <f>"20190303170606048"</f>
        <v>20190303170606048</v>
      </c>
      <c r="B3410" t="str">
        <f>"1551603966038615"</f>
        <v>1551603966038615</v>
      </c>
      <c r="C3410" t="s">
        <v>40</v>
      </c>
      <c r="D3410">
        <v>5.8329399999999998</v>
      </c>
      <c r="E3410">
        <v>0.50967470000000004</v>
      </c>
      <c r="F3410" t="s">
        <v>41</v>
      </c>
      <c r="G3410">
        <v>-189.11009999999999</v>
      </c>
      <c r="H3410" s="1">
        <v>-5.0713440000000004E-7</v>
      </c>
      <c r="I3410">
        <v>180.4425</v>
      </c>
      <c r="J3410">
        <v>-188.30719999999999</v>
      </c>
      <c r="K3410">
        <v>1.1090169999999999</v>
      </c>
      <c r="L3410">
        <v>193.74109999999999</v>
      </c>
      <c r="M3410">
        <v>8.8623549999999995E-2</v>
      </c>
      <c r="N3410">
        <v>-1.5529569999999999E-2</v>
      </c>
      <c r="O3410">
        <v>-0.99594419999999995</v>
      </c>
      <c r="P3410">
        <v>-4.9015980000000001E-2</v>
      </c>
      <c r="Q3410">
        <v>0.18412999999999999</v>
      </c>
      <c r="R3410">
        <v>-0.98167910000000003</v>
      </c>
      <c r="S3410">
        <v>-0.18058779999999999</v>
      </c>
      <c r="T3410">
        <v>-0.25390649999999998</v>
      </c>
      <c r="U3410">
        <v>-3.0938110000000001</v>
      </c>
      <c r="V3410">
        <v>0.14145250000000001</v>
      </c>
      <c r="W3410">
        <v>0.1952759</v>
      </c>
      <c r="X3410">
        <v>0.97049399999999997</v>
      </c>
      <c r="Y3410">
        <v>0.14628859999999999</v>
      </c>
      <c r="Z3410">
        <v>6.5275459999999993E-2</v>
      </c>
      <c r="AA3410">
        <v>0.98708600000000002</v>
      </c>
      <c r="AB3410">
        <v>33</v>
      </c>
      <c r="AC3410">
        <v>-0.80289999999999395</v>
      </c>
      <c r="AD3410">
        <v>-1.1090175071343999</v>
      </c>
      <c r="AE3410">
        <v>-13.298599999999899</v>
      </c>
      <c r="AF3410">
        <v>1.9648363775469599</v>
      </c>
      <c r="AG3410">
        <v>-1.1090175071343999</v>
      </c>
      <c r="AH3410">
        <v>13.0844305077699</v>
      </c>
      <c r="AI3410">
        <v>94.791262835107204</v>
      </c>
      <c r="AJ3410">
        <v>81.459933724723101</v>
      </c>
      <c r="AK3410">
        <v>13.2775307770053</v>
      </c>
      <c r="AL3410">
        <v>78.739159169683006</v>
      </c>
      <c r="AM3410">
        <v>81.7073569044191</v>
      </c>
      <c r="AN3410">
        <v>1.0000000454565201</v>
      </c>
    </row>
    <row r="3411" spans="1:40" x14ac:dyDescent="0.25">
      <c r="A3411" t="str">
        <f>"20190303170606066"</f>
        <v>20190303170606066</v>
      </c>
      <c r="B3411" t="str">
        <f>"1551603966058134"</f>
        <v>1551603966058134</v>
      </c>
      <c r="C3411" t="s">
        <v>40</v>
      </c>
      <c r="D3411">
        <v>5.8552460000000002</v>
      </c>
      <c r="E3411">
        <v>0.50803549999999997</v>
      </c>
      <c r="F3411" t="s">
        <v>42</v>
      </c>
      <c r="G3411">
        <v>-188.36490000000001</v>
      </c>
      <c r="H3411">
        <v>1.0307710000000001</v>
      </c>
      <c r="I3411">
        <v>192.7818</v>
      </c>
      <c r="J3411">
        <v>-188.28989999999999</v>
      </c>
      <c r="K3411">
        <v>1.109545</v>
      </c>
      <c r="L3411">
        <v>193.45779999999999</v>
      </c>
      <c r="M3411">
        <v>7.9692990000000005E-2</v>
      </c>
      <c r="N3411">
        <v>-1.5435900000000001E-2</v>
      </c>
      <c r="O3411">
        <v>-0.99670009999999998</v>
      </c>
      <c r="P3411">
        <v>-5.5595270000000002E-2</v>
      </c>
      <c r="Q3411">
        <v>0.1858427</v>
      </c>
      <c r="R3411">
        <v>-0.98100569999999998</v>
      </c>
      <c r="S3411">
        <v>-0.1857605</v>
      </c>
      <c r="T3411">
        <v>-0.2522527</v>
      </c>
      <c r="U3411">
        <v>-3.0940249999999998</v>
      </c>
      <c r="V3411">
        <v>0.13903740000000001</v>
      </c>
      <c r="W3411">
        <v>0.1971261</v>
      </c>
      <c r="X3411">
        <v>0.97046889999999997</v>
      </c>
      <c r="Y3411">
        <v>0.13906689999999999</v>
      </c>
      <c r="Z3411">
        <v>6.4973450000000002E-2</v>
      </c>
      <c r="AA3411">
        <v>0.98814919999999995</v>
      </c>
      <c r="AB3411">
        <v>33</v>
      </c>
      <c r="AC3411">
        <v>-7.5000000000016998E-2</v>
      </c>
      <c r="AD3411">
        <v>-7.8774000000000094E-2</v>
      </c>
      <c r="AE3411">
        <v>-0.67599999999998694</v>
      </c>
      <c r="AF3411">
        <v>0.12693753018652901</v>
      </c>
      <c r="AG3411">
        <v>-7.8774000000000094E-2</v>
      </c>
      <c r="AH3411">
        <v>0.65903148685527402</v>
      </c>
      <c r="AI3411">
        <v>96.694322637453595</v>
      </c>
      <c r="AJ3411">
        <v>79.097646959853606</v>
      </c>
      <c r="AK3411">
        <v>0.67575215894033902</v>
      </c>
      <c r="AL3411">
        <v>78.631048631661997</v>
      </c>
      <c r="AM3411">
        <v>81.846814265263006</v>
      </c>
      <c r="AN3411">
        <v>0.99999999188359001</v>
      </c>
    </row>
    <row r="3412" spans="1:40" x14ac:dyDescent="0.25">
      <c r="A3412" t="str">
        <f>"20190303170606087"</f>
        <v>20190303170606087</v>
      </c>
      <c r="B3412" t="str">
        <f>"1551603966078631"</f>
        <v>1551603966078631</v>
      </c>
      <c r="C3412" t="s">
        <v>40</v>
      </c>
      <c r="D3412">
        <v>5.8385210000000001</v>
      </c>
      <c r="E3412">
        <v>0.50721419999999995</v>
      </c>
      <c r="F3412" t="s">
        <v>42</v>
      </c>
      <c r="G3412">
        <v>-188.35079999999999</v>
      </c>
      <c r="H3412">
        <v>1.0317160000000001</v>
      </c>
      <c r="I3412">
        <v>192.4812</v>
      </c>
      <c r="J3412">
        <v>-188.27369999999999</v>
      </c>
      <c r="K3412">
        <v>1.1101219999999901</v>
      </c>
      <c r="L3412">
        <v>193.14760000000001</v>
      </c>
      <c r="M3412">
        <v>7.0401249999999999E-2</v>
      </c>
      <c r="N3412">
        <v>-1.533458E-2</v>
      </c>
      <c r="O3412">
        <v>-0.99740079999999998</v>
      </c>
      <c r="P3412">
        <v>-6.0538080000000001E-2</v>
      </c>
      <c r="Q3412">
        <v>0.18565480000000001</v>
      </c>
      <c r="R3412">
        <v>-0.98074830000000002</v>
      </c>
      <c r="S3412">
        <v>-0.1925354</v>
      </c>
      <c r="T3412">
        <v>-0.24650620000000001</v>
      </c>
      <c r="U3412">
        <v>-3.0938720000000002</v>
      </c>
      <c r="V3412">
        <v>0.13460459999999999</v>
      </c>
      <c r="W3412">
        <v>0.19714190000000001</v>
      </c>
      <c r="X3412">
        <v>0.97109040000000002</v>
      </c>
      <c r="Y3412">
        <v>0.132008399999999</v>
      </c>
      <c r="Z3412">
        <v>6.3376020000000005E-2</v>
      </c>
      <c r="AA3412">
        <v>0.98922060000000001</v>
      </c>
      <c r="AB3412">
        <v>33</v>
      </c>
      <c r="AC3412">
        <v>-7.7100000000001501E-2</v>
      </c>
      <c r="AD3412">
        <v>-7.8405999999999698E-2</v>
      </c>
      <c r="AE3412">
        <v>-0.66640000000000998</v>
      </c>
      <c r="AF3412">
        <v>0.122160835363784</v>
      </c>
      <c r="AG3412">
        <v>-7.8405999999999698E-2</v>
      </c>
      <c r="AH3412">
        <v>0.65043255891010798</v>
      </c>
      <c r="AI3412">
        <v>96.756507762130099</v>
      </c>
      <c r="AJ3412">
        <v>79.362923752377696</v>
      </c>
      <c r="AK3412">
        <v>0.66643325564014999</v>
      </c>
      <c r="AL3412">
        <v>78.630124709808698</v>
      </c>
      <c r="AM3412">
        <v>82.108412777069802</v>
      </c>
      <c r="AN3412">
        <v>0.99999994602446296</v>
      </c>
    </row>
    <row r="3413" spans="1:40" x14ac:dyDescent="0.25">
      <c r="A3413" t="str">
        <f>"20190303170606102"</f>
        <v>20190303170606102</v>
      </c>
      <c r="B3413" t="str">
        <f>"1551603966088391"</f>
        <v>1551603966088391</v>
      </c>
      <c r="C3413" t="s">
        <v>40</v>
      </c>
      <c r="D3413">
        <v>5.8819800000000004</v>
      </c>
      <c r="E3413">
        <v>0.50721419999999995</v>
      </c>
      <c r="F3413" t="s">
        <v>42</v>
      </c>
      <c r="G3413">
        <v>-188.33699999999999</v>
      </c>
      <c r="H3413">
        <v>1.0325759999999999</v>
      </c>
      <c r="I3413">
        <v>192.18109999999999</v>
      </c>
      <c r="J3413">
        <v>-188.2637</v>
      </c>
      <c r="K3413">
        <v>1.1105100000000001</v>
      </c>
      <c r="L3413">
        <v>192.93100000000001</v>
      </c>
      <c r="M3413">
        <v>6.4162949999999996E-2</v>
      </c>
      <c r="N3413">
        <v>-1.5266409999999999E-2</v>
      </c>
      <c r="O3413">
        <v>-0.99782269999999895</v>
      </c>
      <c r="P3413">
        <v>-6.4426150000000001E-2</v>
      </c>
      <c r="Q3413">
        <v>0.18535489999999999</v>
      </c>
      <c r="R3413">
        <v>-0.98055729999999997</v>
      </c>
      <c r="S3413">
        <v>-0.2024078</v>
      </c>
      <c r="T3413">
        <v>-0.24812600000000001</v>
      </c>
      <c r="U3413">
        <v>-3.093353</v>
      </c>
      <c r="V3413">
        <v>0.1321889</v>
      </c>
      <c r="W3413">
        <v>0.196961</v>
      </c>
      <c r="X3413">
        <v>0.97145890000000001</v>
      </c>
      <c r="Y3413">
        <v>0.12896350000000001</v>
      </c>
      <c r="Z3413">
        <v>6.4031679999999994E-2</v>
      </c>
      <c r="AA3413">
        <v>0.98957989999999996</v>
      </c>
      <c r="AB3413">
        <v>33</v>
      </c>
      <c r="AC3413">
        <v>-7.3300000000017407E-2</v>
      </c>
      <c r="AD3413">
        <v>-7.79340000000001E-2</v>
      </c>
      <c r="AE3413">
        <v>-0.74989999999999601</v>
      </c>
      <c r="AF3413">
        <v>0.119986665952314</v>
      </c>
      <c r="AG3413">
        <v>-7.79340000000001E-2</v>
      </c>
      <c r="AH3413">
        <v>0.73577909431126298</v>
      </c>
      <c r="AI3413">
        <v>95.967993442057605</v>
      </c>
      <c r="AJ3413">
        <v>80.738057856864899</v>
      </c>
      <c r="AK3413">
        <v>0.74956079405732901</v>
      </c>
      <c r="AL3413">
        <v>78.6406970506753</v>
      </c>
      <c r="AM3413">
        <v>82.251207578485804</v>
      </c>
      <c r="AN3413">
        <v>0.99999996759670895</v>
      </c>
    </row>
    <row r="3414" spans="1:40" x14ac:dyDescent="0.25">
      <c r="A3414" t="str">
        <f>"20190303170606122"</f>
        <v>20190303170606122</v>
      </c>
      <c r="B3414" t="str">
        <f>"1551603966107910"</f>
        <v>1551603966107910</v>
      </c>
      <c r="C3414" t="s">
        <v>40</v>
      </c>
      <c r="D3414">
        <v>5.8616840000000003</v>
      </c>
      <c r="E3414">
        <v>0.50184169999999995</v>
      </c>
      <c r="F3414" t="s">
        <v>41</v>
      </c>
      <c r="G3414">
        <v>-189.2259</v>
      </c>
      <c r="H3414" s="1">
        <v>-4.2163800000000003E-6</v>
      </c>
      <c r="I3414">
        <v>179.1412</v>
      </c>
      <c r="J3414">
        <v>-188.25219999999999</v>
      </c>
      <c r="K3414">
        <v>1.111038</v>
      </c>
      <c r="L3414">
        <v>192.63390000000001</v>
      </c>
      <c r="M3414">
        <v>5.6031640000000001E-2</v>
      </c>
      <c r="N3414">
        <v>-1.5175579999999999E-2</v>
      </c>
      <c r="O3414">
        <v>-0.99831369999999997</v>
      </c>
      <c r="P3414">
        <v>-6.7231669999999993E-2</v>
      </c>
      <c r="Q3414">
        <v>0.1856167</v>
      </c>
      <c r="R3414">
        <v>-0.98031959999999996</v>
      </c>
      <c r="S3414">
        <v>-0.21577450000000001</v>
      </c>
      <c r="T3414">
        <v>-0.24903210000000001</v>
      </c>
      <c r="U3414">
        <v>-3.0923609999999999</v>
      </c>
      <c r="V3414">
        <v>0.1267943</v>
      </c>
      <c r="W3414">
        <v>0.1974313</v>
      </c>
      <c r="X3414">
        <v>0.97208229999999995</v>
      </c>
      <c r="Y3414">
        <v>0.12516360000000001</v>
      </c>
      <c r="Z3414">
        <v>6.4504939999999997E-2</v>
      </c>
      <c r="AA3414">
        <v>0.99003699999999994</v>
      </c>
      <c r="AB3414">
        <v>33</v>
      </c>
      <c r="AC3414">
        <v>-0.973700000000007</v>
      </c>
      <c r="AD3414">
        <v>-1.11104221638</v>
      </c>
      <c r="AE3414">
        <v>-13.492699999999999</v>
      </c>
      <c r="AF3414">
        <v>1.71669531234185</v>
      </c>
      <c r="AG3414">
        <v>-1.11104221638</v>
      </c>
      <c r="AH3414">
        <v>13.327037541819999</v>
      </c>
      <c r="AI3414">
        <v>94.726713367354293</v>
      </c>
      <c r="AJ3414">
        <v>82.659979396584106</v>
      </c>
      <c r="AK3414">
        <v>13.4830036432197</v>
      </c>
      <c r="AL3414">
        <v>78.613210991080507</v>
      </c>
      <c r="AM3414">
        <v>82.568536593351197</v>
      </c>
      <c r="AN3414">
        <v>0.99999995535273301</v>
      </c>
    </row>
    <row r="3415" spans="1:40" x14ac:dyDescent="0.25">
      <c r="A3415" t="str">
        <f>"20190303170606144"</f>
        <v>20190303170606144</v>
      </c>
      <c r="B3415" t="str">
        <f>"1551603966138166"</f>
        <v>1551603966138166</v>
      </c>
      <c r="C3415" t="s">
        <v>40</v>
      </c>
      <c r="D3415">
        <v>5.8639409999999996</v>
      </c>
      <c r="E3415">
        <v>0.50007330000000005</v>
      </c>
      <c r="F3415" t="s">
        <v>41</v>
      </c>
      <c r="G3415">
        <v>-189.34209999999999</v>
      </c>
      <c r="H3415" s="1">
        <v>-2.0831750000000002E-6</v>
      </c>
      <c r="I3415">
        <v>174.2167</v>
      </c>
      <c r="J3415">
        <v>-188.24170000000001</v>
      </c>
      <c r="K3415">
        <v>1.11168</v>
      </c>
      <c r="L3415">
        <v>192.29920000000001</v>
      </c>
      <c r="M3415">
        <v>4.750737E-2</v>
      </c>
      <c r="N3415">
        <v>-1.507386E-2</v>
      </c>
      <c r="O3415">
        <v>-0.99875720000000001</v>
      </c>
      <c r="P3415">
        <v>-7.1982279999999996E-2</v>
      </c>
      <c r="Q3415">
        <v>0.18738270000000001</v>
      </c>
      <c r="R3415">
        <v>-0.97964609999999996</v>
      </c>
      <c r="S3415">
        <v>-0.18244930000000001</v>
      </c>
      <c r="T3415">
        <v>-0.1859798</v>
      </c>
      <c r="U3415">
        <v>-3.0829010000000001</v>
      </c>
      <c r="V3415">
        <v>0.12292160000000001</v>
      </c>
      <c r="W3415">
        <v>0.19936950000000001</v>
      </c>
      <c r="X3415">
        <v>0.97218419999999905</v>
      </c>
      <c r="Y3415">
        <v>0.10632079999999999</v>
      </c>
      <c r="Z3415">
        <v>4.4817379999999997E-2</v>
      </c>
      <c r="AA3415">
        <v>0.99332140000000002</v>
      </c>
      <c r="AB3415">
        <v>33</v>
      </c>
      <c r="AC3415">
        <v>-1.1003999999999701</v>
      </c>
      <c r="AD3415">
        <v>-1.1116820831750001</v>
      </c>
      <c r="AE3415">
        <v>-18.0825</v>
      </c>
      <c r="AF3415">
        <v>1.9509602083802999</v>
      </c>
      <c r="AG3415">
        <v>-1.1116820831750001</v>
      </c>
      <c r="AH3415">
        <v>17.942231130918501</v>
      </c>
      <c r="AI3415">
        <v>93.524731814176704</v>
      </c>
      <c r="AJ3415">
        <v>83.794287022605701</v>
      </c>
      <c r="AK3415">
        <v>18.0821940246209</v>
      </c>
      <c r="AL3415">
        <v>78.499908670890903</v>
      </c>
      <c r="AM3415">
        <v>82.793840984958905</v>
      </c>
      <c r="AN3415">
        <v>1.00000001800322</v>
      </c>
    </row>
    <row r="3416" spans="1:40" x14ac:dyDescent="0.25">
      <c r="A3416" t="str">
        <f>"20190303170606166"</f>
        <v>20190303170606166</v>
      </c>
      <c r="B3416" t="str">
        <f>"1551603966157687"</f>
        <v>1551603966157687</v>
      </c>
      <c r="C3416" t="s">
        <v>40</v>
      </c>
      <c r="D3416">
        <v>5.8754410000000004</v>
      </c>
      <c r="E3416">
        <v>0.4996371</v>
      </c>
      <c r="F3416" t="s">
        <v>42</v>
      </c>
      <c r="G3416">
        <v>-188.30029999999999</v>
      </c>
      <c r="H3416">
        <v>1.041965</v>
      </c>
      <c r="I3416">
        <v>191.2765</v>
      </c>
      <c r="J3416">
        <v>-188.23349999999999</v>
      </c>
      <c r="K3416">
        <v>1.1123879999999999</v>
      </c>
      <c r="L3416">
        <v>191.9581</v>
      </c>
      <c r="M3416">
        <v>3.9570719999999997E-2</v>
      </c>
      <c r="N3416">
        <v>-1.496663E-2</v>
      </c>
      <c r="O3416">
        <v>-0.99910480000000002</v>
      </c>
      <c r="P3416">
        <v>-7.6004589999999997E-2</v>
      </c>
      <c r="Q3416">
        <v>0.1870619</v>
      </c>
      <c r="R3416">
        <v>-0.97940369999999999</v>
      </c>
      <c r="S3416">
        <v>-0.1768951</v>
      </c>
      <c r="T3416">
        <v>-0.21060509999999999</v>
      </c>
      <c r="U3416">
        <v>-3.0896300000000001</v>
      </c>
      <c r="V3416">
        <v>0.1188443</v>
      </c>
      <c r="W3416">
        <v>0.19923109999999999</v>
      </c>
      <c r="X3416">
        <v>0.97271940000000001</v>
      </c>
      <c r="Y3416">
        <v>9.6486719999999998E-2</v>
      </c>
      <c r="Z3416">
        <v>5.275705E-2</v>
      </c>
      <c r="AA3416">
        <v>0.99393509999999996</v>
      </c>
      <c r="AB3416">
        <v>33</v>
      </c>
      <c r="AC3416">
        <v>-6.6800000000000595E-2</v>
      </c>
      <c r="AD3416">
        <v>-7.0422999999999902E-2</v>
      </c>
      <c r="AE3416">
        <v>-0.68160000000000298</v>
      </c>
      <c r="AF3416">
        <v>9.2741488113377304E-2</v>
      </c>
      <c r="AG3416">
        <v>-7.0422999999999902E-2</v>
      </c>
      <c r="AH3416">
        <v>0.671324172169942</v>
      </c>
      <c r="AI3416">
        <v>95.932582716424903</v>
      </c>
      <c r="AJ3416">
        <v>82.134538488839297</v>
      </c>
      <c r="AK3416">
        <v>0.68134904908287697</v>
      </c>
      <c r="AL3416">
        <v>78.508000711039401</v>
      </c>
      <c r="AM3416">
        <v>83.034275177590303</v>
      </c>
      <c r="AN3416">
        <v>1.0000000149930199</v>
      </c>
    </row>
    <row r="3417" spans="1:40" x14ac:dyDescent="0.25">
      <c r="A3417" t="str">
        <f>"20190303170606187"</f>
        <v>20190303170606187</v>
      </c>
      <c r="B3417" t="str">
        <f>"1551603966178183"</f>
        <v>1551603966178183</v>
      </c>
      <c r="C3417" t="s">
        <v>40</v>
      </c>
      <c r="D3417">
        <v>5.8549889999999998</v>
      </c>
      <c r="E3417">
        <v>0.4991601</v>
      </c>
      <c r="F3417" t="s">
        <v>42</v>
      </c>
      <c r="G3417">
        <v>-188.292</v>
      </c>
      <c r="H3417">
        <v>1.042357</v>
      </c>
      <c r="I3417">
        <v>190.9776</v>
      </c>
      <c r="J3417">
        <v>-188.2278</v>
      </c>
      <c r="K3417">
        <v>1.1130059999999999</v>
      </c>
      <c r="L3417">
        <v>191.6422</v>
      </c>
      <c r="M3417">
        <v>3.2745740000000002E-2</v>
      </c>
      <c r="N3417">
        <v>-1.487137E-2</v>
      </c>
      <c r="O3417">
        <v>-0.99935300000000005</v>
      </c>
      <c r="P3417">
        <v>-7.7075909999999997E-2</v>
      </c>
      <c r="Q3417">
        <v>0.18484900000000001</v>
      </c>
      <c r="R3417">
        <v>-0.97973969999999999</v>
      </c>
      <c r="S3417">
        <v>-0.18373110000000001</v>
      </c>
      <c r="T3417">
        <v>-0.22069900000000001</v>
      </c>
      <c r="U3417">
        <v>-3.090973</v>
      </c>
      <c r="V3417">
        <v>0.1129211</v>
      </c>
      <c r="W3417">
        <v>0.1972256</v>
      </c>
      <c r="X3417">
        <v>0.97383310000000001</v>
      </c>
      <c r="Y3417">
        <v>9.1843830000000001E-2</v>
      </c>
      <c r="Z3417">
        <v>5.6093759999999999E-2</v>
      </c>
      <c r="AA3417">
        <v>0.99419219999999997</v>
      </c>
      <c r="AB3417">
        <v>33</v>
      </c>
      <c r="AC3417">
        <v>-6.4199999999999494E-2</v>
      </c>
      <c r="AD3417">
        <v>-7.0648999999999906E-2</v>
      </c>
      <c r="AE3417">
        <v>-0.66460000000000696</v>
      </c>
      <c r="AF3417">
        <v>8.4979372709765105E-2</v>
      </c>
      <c r="AG3417">
        <v>-7.0648999999999906E-2</v>
      </c>
      <c r="AH3417">
        <v>0.65480983566936701</v>
      </c>
      <c r="AI3417">
        <v>96.107136070855802</v>
      </c>
      <c r="AJ3417">
        <v>82.605642807127197</v>
      </c>
      <c r="AK3417">
        <v>0.66406979744337802</v>
      </c>
      <c r="AL3417">
        <v>78.625233742243793</v>
      </c>
      <c r="AM3417">
        <v>83.385789769094103</v>
      </c>
      <c r="AN3417">
        <v>1.0000000093880901</v>
      </c>
    </row>
    <row r="3418" spans="1:40" x14ac:dyDescent="0.25">
      <c r="A3418" t="str">
        <f>"20190303170606202"</f>
        <v>20190303170606202</v>
      </c>
      <c r="B3418" t="str">
        <f>"1551603966187944"</f>
        <v>1551603966187944</v>
      </c>
      <c r="C3418" t="s">
        <v>40</v>
      </c>
      <c r="D3418">
        <v>5.8242310000000002</v>
      </c>
      <c r="E3418">
        <v>0.49879269999999998</v>
      </c>
      <c r="F3418" t="s">
        <v>42</v>
      </c>
      <c r="G3418">
        <v>-188.28540000000001</v>
      </c>
      <c r="H3418">
        <v>1.0405340000000001</v>
      </c>
      <c r="I3418">
        <v>190.68090000000001</v>
      </c>
      <c r="J3418">
        <v>-188.22470000000001</v>
      </c>
      <c r="K3418">
        <v>1.113429</v>
      </c>
      <c r="L3418">
        <v>191.4213</v>
      </c>
      <c r="M3418">
        <v>2.8243560000000001E-2</v>
      </c>
      <c r="N3418">
        <v>-1.4809839999999999E-2</v>
      </c>
      <c r="O3418">
        <v>-0.99949149999999998</v>
      </c>
      <c r="P3418">
        <v>-7.9062469999999996E-2</v>
      </c>
      <c r="Q3418">
        <v>0.18414420000000001</v>
      </c>
      <c r="R3418">
        <v>-0.97971450000000004</v>
      </c>
      <c r="S3418">
        <v>-0.1851807</v>
      </c>
      <c r="T3418">
        <v>-0.23306760000000001</v>
      </c>
      <c r="U3418">
        <v>-3.0914609999999998</v>
      </c>
      <c r="V3418">
        <v>0.1102929</v>
      </c>
      <c r="W3418">
        <v>0.19662450000000001</v>
      </c>
      <c r="X3418">
        <v>0.97425580000000001</v>
      </c>
      <c r="Y3418">
        <v>8.7798849999999998E-2</v>
      </c>
      <c r="Z3418">
        <v>6.0131799999999999E-2</v>
      </c>
      <c r="AA3418">
        <v>0.99432160000000003</v>
      </c>
      <c r="AB3418">
        <v>33</v>
      </c>
      <c r="AC3418">
        <v>-6.0699999999996999E-2</v>
      </c>
      <c r="AD3418">
        <v>-7.2894999999999904E-2</v>
      </c>
      <c r="AE3418">
        <v>-0.74039999999999395</v>
      </c>
      <c r="AF3418">
        <v>8.0811517739068695E-2</v>
      </c>
      <c r="AG3418">
        <v>-7.2894999999999904E-2</v>
      </c>
      <c r="AH3418">
        <v>0.73134829326623896</v>
      </c>
      <c r="AI3418">
        <v>95.657780571246604</v>
      </c>
      <c r="AJ3418">
        <v>83.694588725350798</v>
      </c>
      <c r="AK3418">
        <v>0.73940145285746695</v>
      </c>
      <c r="AL3418">
        <v>78.660362460973005</v>
      </c>
      <c r="AM3418">
        <v>83.541195782195402</v>
      </c>
      <c r="AN3418">
        <v>1.0000000408121399</v>
      </c>
    </row>
    <row r="3419" spans="1:40" x14ac:dyDescent="0.25">
      <c r="A3419" t="str">
        <f>"20190303170606222"</f>
        <v>20190303170606222</v>
      </c>
      <c r="B3419" t="str">
        <f>"1551603966208439"</f>
        <v>1551603966208439</v>
      </c>
      <c r="C3419" t="s">
        <v>40</v>
      </c>
      <c r="D3419">
        <v>5.911562</v>
      </c>
      <c r="E3419">
        <v>0.49831039999999999</v>
      </c>
      <c r="F3419" t="s">
        <v>41</v>
      </c>
      <c r="G3419">
        <v>-189.10939999999999</v>
      </c>
      <c r="H3419" s="1">
        <v>-3.2956790000000001E-6</v>
      </c>
      <c r="I3419">
        <v>176.9468</v>
      </c>
      <c r="J3419">
        <v>-188.22200000000001</v>
      </c>
      <c r="K3419">
        <v>1.1139509999999999</v>
      </c>
      <c r="L3419">
        <v>191.14009999999999</v>
      </c>
      <c r="M3419">
        <v>2.2967959999999999E-2</v>
      </c>
      <c r="N3419">
        <v>-1.473432E-2</v>
      </c>
      <c r="O3419">
        <v>-0.99962779999999996</v>
      </c>
      <c r="P3419">
        <v>-8.0864430000000001E-2</v>
      </c>
      <c r="Q3419">
        <v>0.18587919999999999</v>
      </c>
      <c r="R3419">
        <v>-0.97923970000000005</v>
      </c>
      <c r="S3419">
        <v>-0.18896479999999999</v>
      </c>
      <c r="T3419">
        <v>-0.237817</v>
      </c>
      <c r="U3419">
        <v>-3.091583</v>
      </c>
      <c r="V3419">
        <v>0.1067081</v>
      </c>
      <c r="W3419">
        <v>0.1984802</v>
      </c>
      <c r="X3419">
        <v>0.97427870000000005</v>
      </c>
      <c r="Y3419">
        <v>8.3747039999999995E-2</v>
      </c>
      <c r="Z3419">
        <v>6.1751849999999997E-2</v>
      </c>
      <c r="AA3419">
        <v>0.99457189999999995</v>
      </c>
      <c r="AB3419">
        <v>33</v>
      </c>
      <c r="AC3419">
        <v>-0.88739999999998498</v>
      </c>
      <c r="AD3419">
        <v>-1.1139542956789901</v>
      </c>
      <c r="AE3419">
        <v>-14.193299999999899</v>
      </c>
      <c r="AF3419">
        <v>1.2057937831021699</v>
      </c>
      <c r="AG3419">
        <v>-1.1139542956789901</v>
      </c>
      <c r="AH3419">
        <v>14.0827615534368</v>
      </c>
      <c r="AI3419">
        <v>94.506291456540296</v>
      </c>
      <c r="AJ3419">
        <v>85.106158328240298</v>
      </c>
      <c r="AK3419">
        <v>14.178117145488301</v>
      </c>
      <c r="AL3419">
        <v>78.551900640600294</v>
      </c>
      <c r="AM3419">
        <v>83.7495799241958</v>
      </c>
      <c r="AN3419">
        <v>0.99999999683566998</v>
      </c>
    </row>
    <row r="3420" spans="1:40" x14ac:dyDescent="0.25">
      <c r="A3420" t="str">
        <f>"20190303170606236"</f>
        <v>20190303170606236</v>
      </c>
      <c r="B3420" t="str">
        <f>"1551603966227959"</f>
        <v>1551603966227959</v>
      </c>
      <c r="C3420" t="s">
        <v>40</v>
      </c>
      <c r="D3420">
        <v>5.8842670000000004</v>
      </c>
      <c r="E3420">
        <v>0.48206739999999998</v>
      </c>
      <c r="F3420" t="s">
        <v>41</v>
      </c>
      <c r="G3420">
        <v>-189.14189999999999</v>
      </c>
      <c r="H3420" s="1">
        <v>-2.929558E-6</v>
      </c>
      <c r="I3420">
        <v>176.10679999999999</v>
      </c>
      <c r="J3420">
        <v>-188.22069999999999</v>
      </c>
      <c r="K3420">
        <v>1.1143989999999999</v>
      </c>
      <c r="L3420">
        <v>190.91489999999999</v>
      </c>
      <c r="M3420">
        <v>1.913051E-2</v>
      </c>
      <c r="N3420">
        <v>-1.467397E-2</v>
      </c>
      <c r="O3420">
        <v>-0.99970939999999997</v>
      </c>
      <c r="P3420">
        <v>-8.3809030000000007E-2</v>
      </c>
      <c r="Q3420">
        <v>0.18775230000000001</v>
      </c>
      <c r="R3420">
        <v>-0.97863460000000002</v>
      </c>
      <c r="S3420">
        <v>-0.1891632</v>
      </c>
      <c r="T3420">
        <v>-0.229073</v>
      </c>
      <c r="U3420">
        <v>-3.0914459999999999</v>
      </c>
      <c r="V3420">
        <v>0.105712899999999</v>
      </c>
      <c r="W3420">
        <v>0.20041320000000001</v>
      </c>
      <c r="X3420">
        <v>0.97399150000000001</v>
      </c>
      <c r="Y3420">
        <v>8.0002030000000002E-2</v>
      </c>
      <c r="Z3420">
        <v>5.9038739999999999E-2</v>
      </c>
      <c r="AA3420">
        <v>0.99504479999999995</v>
      </c>
      <c r="AB3420">
        <v>33</v>
      </c>
      <c r="AC3420">
        <v>-0.92119999999999802</v>
      </c>
      <c r="AD3420">
        <v>-1.1144019295580001</v>
      </c>
      <c r="AE3420">
        <v>-14.8080999999999</v>
      </c>
      <c r="AF3420">
        <v>1.1975919458433799</v>
      </c>
      <c r="AG3420">
        <v>-1.1144019295580001</v>
      </c>
      <c r="AH3420">
        <v>14.704804904552899</v>
      </c>
      <c r="AI3420">
        <v>94.3196220878867</v>
      </c>
      <c r="AJ3420">
        <v>85.343980617724696</v>
      </c>
      <c r="AK3420">
        <v>14.795519774929</v>
      </c>
      <c r="AL3420">
        <v>78.438877767328094</v>
      </c>
      <c r="AM3420">
        <v>83.805606874616004</v>
      </c>
      <c r="AN3420">
        <v>1.0000000550164401</v>
      </c>
    </row>
    <row r="3421" spans="1:40" x14ac:dyDescent="0.25">
      <c r="A3421" t="str">
        <f>"20190303170606257"</f>
        <v>20190303170606257</v>
      </c>
      <c r="B3421" t="str">
        <f>"1551603966248456"</f>
        <v>1551603966248456</v>
      </c>
      <c r="C3421" t="s">
        <v>40</v>
      </c>
      <c r="D3421">
        <v>5.9064290000000002</v>
      </c>
      <c r="E3421">
        <v>0.48083769999999998</v>
      </c>
      <c r="F3421" t="s">
        <v>41</v>
      </c>
      <c r="G3421">
        <v>-188.74080000000001</v>
      </c>
      <c r="H3421" s="1">
        <v>-4.2710280000000002E-6</v>
      </c>
      <c r="I3421">
        <v>168.19399999999999</v>
      </c>
      <c r="J3421">
        <v>-188.21979999999999</v>
      </c>
      <c r="K3421">
        <v>1.115022</v>
      </c>
      <c r="L3421">
        <v>190.61490000000001</v>
      </c>
      <c r="M3421">
        <v>1.4453580000000001E-2</v>
      </c>
      <c r="N3421">
        <v>-1.4595149999999999E-2</v>
      </c>
      <c r="O3421">
        <v>-0.99978909999999999</v>
      </c>
      <c r="P3421">
        <v>-8.5551779999999994E-2</v>
      </c>
      <c r="Q3421">
        <v>0.18970239999999999</v>
      </c>
      <c r="R3421">
        <v>-0.97810759999999997</v>
      </c>
      <c r="S3421">
        <v>-7.0693969999999995E-2</v>
      </c>
      <c r="T3421">
        <v>-0.15148320000000001</v>
      </c>
      <c r="U3421">
        <v>-3.0885009999999999</v>
      </c>
      <c r="V3421">
        <v>0.10262209999999999</v>
      </c>
      <c r="W3421">
        <v>0.20247480000000001</v>
      </c>
      <c r="X3421">
        <v>0.97389559999999997</v>
      </c>
      <c r="Y3421">
        <v>3.7301500000000001E-2</v>
      </c>
      <c r="Z3421">
        <v>3.4372220000000002E-2</v>
      </c>
      <c r="AA3421">
        <v>0.99871270000000001</v>
      </c>
      <c r="AB3421">
        <v>33</v>
      </c>
      <c r="AC3421">
        <v>-0.52100000000001501</v>
      </c>
      <c r="AD3421">
        <v>-1.1150262710279999</v>
      </c>
      <c r="AE3421">
        <v>-22.4208999999999</v>
      </c>
      <c r="AF3421">
        <v>0.842958627586049</v>
      </c>
      <c r="AG3421">
        <v>-1.1150262710279999</v>
      </c>
      <c r="AH3421">
        <v>22.355765271862399</v>
      </c>
      <c r="AI3421">
        <v>92.853319774784296</v>
      </c>
      <c r="AJ3421">
        <v>87.840597231491202</v>
      </c>
      <c r="AK3421">
        <v>22.399421950655601</v>
      </c>
      <c r="AL3421">
        <v>78.318283843126196</v>
      </c>
      <c r="AM3421">
        <v>83.984781293112107</v>
      </c>
      <c r="AN3421">
        <v>0.99999998987140404</v>
      </c>
    </row>
    <row r="3422" spans="1:40" x14ac:dyDescent="0.25">
      <c r="A3422" t="str">
        <f>"20190303170606280"</f>
        <v>20190303170606280</v>
      </c>
      <c r="B3422" t="str">
        <f>"1551603966267975"</f>
        <v>1551603966267975</v>
      </c>
      <c r="C3422" t="s">
        <v>40</v>
      </c>
      <c r="D3422">
        <v>5.8876299999999997</v>
      </c>
      <c r="E3422">
        <v>0.4801783</v>
      </c>
      <c r="F3422" t="s">
        <v>41</v>
      </c>
      <c r="G3422">
        <v>-188.75729999999999</v>
      </c>
      <c r="H3422" s="1">
        <v>-2.7057549999999998E-6</v>
      </c>
      <c r="I3422">
        <v>164.88890000000001</v>
      </c>
      <c r="J3422">
        <v>-188.22</v>
      </c>
      <c r="K3422">
        <v>1.1156980000000001</v>
      </c>
      <c r="L3422">
        <v>190.27209999999999</v>
      </c>
      <c r="M3422">
        <v>9.7037140000000004E-3</v>
      </c>
      <c r="N3422">
        <v>-1.4509950000000001E-2</v>
      </c>
      <c r="O3422">
        <v>-0.99984779999999995</v>
      </c>
      <c r="P3422">
        <v>-8.4906980000000007E-2</v>
      </c>
      <c r="Q3422">
        <v>0.18730089999999999</v>
      </c>
      <c r="R3422">
        <v>-0.97862649999999995</v>
      </c>
      <c r="S3422">
        <v>-6.4498899999999998E-2</v>
      </c>
      <c r="T3422">
        <v>-0.13381760000000001</v>
      </c>
      <c r="U3422">
        <v>-3.0874630000000001</v>
      </c>
      <c r="V3422">
        <v>9.6986920000000004E-2</v>
      </c>
      <c r="W3422">
        <v>0.20023569999999999</v>
      </c>
      <c r="X3422">
        <v>0.97493549999999995</v>
      </c>
      <c r="Y3422">
        <v>3.056617E-2</v>
      </c>
      <c r="Z3422">
        <v>2.8781330000000001E-2</v>
      </c>
      <c r="AA3422">
        <v>0.99911830000000001</v>
      </c>
      <c r="AB3422">
        <v>33</v>
      </c>
      <c r="AC3422">
        <v>-0.53729999999998701</v>
      </c>
      <c r="AD3422">
        <v>-1.1157007057549999</v>
      </c>
      <c r="AE3422">
        <v>-25.383199999999899</v>
      </c>
      <c r="AF3422">
        <v>0.78210157583431605</v>
      </c>
      <c r="AG3422">
        <v>-1.1157007057549999</v>
      </c>
      <c r="AH3422">
        <v>25.327879253667401</v>
      </c>
      <c r="AI3422">
        <v>92.521065650915403</v>
      </c>
      <c r="AJ3422">
        <v>88.231321129921596</v>
      </c>
      <c r="AK3422">
        <v>25.3645015410928</v>
      </c>
      <c r="AL3422">
        <v>78.449257698651806</v>
      </c>
      <c r="AM3422">
        <v>84.318887616316204</v>
      </c>
      <c r="AN3422">
        <v>1.0000000136829099</v>
      </c>
    </row>
    <row r="3423" spans="1:40" x14ac:dyDescent="0.25">
      <c r="A3423" t="str">
        <f>"20190303170606301"</f>
        <v>20190303170606301</v>
      </c>
      <c r="B3423" t="str">
        <f>"1551603966288472"</f>
        <v>1551603966288472</v>
      </c>
      <c r="C3423" t="s">
        <v>40</v>
      </c>
      <c r="D3423">
        <v>5.829161</v>
      </c>
      <c r="E3423">
        <v>0.4792324</v>
      </c>
      <c r="F3423" t="s">
        <v>41</v>
      </c>
      <c r="G3423">
        <v>-188.68119999999999</v>
      </c>
      <c r="H3423" s="1">
        <v>-2.8974540000000002E-6</v>
      </c>
      <c r="I3423">
        <v>165.26580000000001</v>
      </c>
      <c r="J3423">
        <v>-188.221</v>
      </c>
      <c r="K3423">
        <v>1.1162510000000001</v>
      </c>
      <c r="L3423">
        <v>189.9588</v>
      </c>
      <c r="M3423">
        <v>5.8733429999999996E-3</v>
      </c>
      <c r="N3423">
        <v>-1.443871E-2</v>
      </c>
      <c r="O3423">
        <v>-0.9998785</v>
      </c>
      <c r="P3423">
        <v>-8.2836060000000003E-2</v>
      </c>
      <c r="Q3423">
        <v>0.1820572</v>
      </c>
      <c r="R3423">
        <v>-0.97979280000000002</v>
      </c>
      <c r="S3423">
        <v>-5.6930540000000002E-2</v>
      </c>
      <c r="T3423">
        <v>-0.13772879999999901</v>
      </c>
      <c r="U3423">
        <v>-3.086929</v>
      </c>
      <c r="V3423">
        <v>9.0844530000000007E-2</v>
      </c>
      <c r="W3423">
        <v>0.19514400000000001</v>
      </c>
      <c r="X3423">
        <v>0.97655829999999999</v>
      </c>
      <c r="Y3423">
        <v>2.4293220000000001E-2</v>
      </c>
      <c r="Z3423">
        <v>3.0131120000000001E-2</v>
      </c>
      <c r="AA3423">
        <v>0.99925070000000005</v>
      </c>
      <c r="AB3423">
        <v>33</v>
      </c>
      <c r="AC3423">
        <v>-0.46020000000001399</v>
      </c>
      <c r="AD3423">
        <v>-1.1162538974539999</v>
      </c>
      <c r="AE3423">
        <v>-24.692999999999898</v>
      </c>
      <c r="AF3423">
        <v>0.60400377695706498</v>
      </c>
      <c r="AG3423">
        <v>-1.1162538974539999</v>
      </c>
      <c r="AH3423">
        <v>24.6395369753224</v>
      </c>
      <c r="AI3423">
        <v>92.593139959659695</v>
      </c>
      <c r="AJ3423">
        <v>88.595755357938103</v>
      </c>
      <c r="AK3423">
        <v>24.672203502817499</v>
      </c>
      <c r="AL3423">
        <v>78.746864337160503</v>
      </c>
      <c r="AM3423">
        <v>84.685343960083401</v>
      </c>
      <c r="AN3423">
        <v>1.0000000113329</v>
      </c>
    </row>
    <row r="3424" spans="1:40" x14ac:dyDescent="0.25">
      <c r="A3424" t="str">
        <f>"20190303170606323"</f>
        <v>20190303170606323</v>
      </c>
      <c r="B3424" t="str">
        <f>"1551603966307991"</f>
        <v>1551603966307991</v>
      </c>
      <c r="C3424" t="s">
        <v>40</v>
      </c>
      <c r="D3424">
        <v>5.8341599999999998</v>
      </c>
      <c r="E3424">
        <v>0.47852670000000003</v>
      </c>
      <c r="F3424" t="s">
        <v>41</v>
      </c>
      <c r="G3424">
        <v>-188.5515</v>
      </c>
      <c r="H3424" s="1">
        <v>-3.7510690000000002E-6</v>
      </c>
      <c r="I3424">
        <v>167.023</v>
      </c>
      <c r="J3424">
        <v>-188.22290000000001</v>
      </c>
      <c r="K3424">
        <v>1.116781</v>
      </c>
      <c r="L3424">
        <v>189.62780000000001</v>
      </c>
      <c r="M3424">
        <v>2.2842209999999999E-3</v>
      </c>
      <c r="N3424">
        <v>-1.4369460000000001E-2</v>
      </c>
      <c r="O3424">
        <v>-0.99989439999999996</v>
      </c>
      <c r="P3424">
        <v>-8.3977209999999997E-2</v>
      </c>
      <c r="Q3424">
        <v>0.1799415</v>
      </c>
      <c r="R3424">
        <v>-0.98008629999999997</v>
      </c>
      <c r="S3424">
        <v>-4.4464110000000001E-2</v>
      </c>
      <c r="T3424">
        <v>-0.15019350000000001</v>
      </c>
      <c r="U3424">
        <v>-3.0860439999999998</v>
      </c>
      <c r="V3424">
        <v>8.8199269999999996E-2</v>
      </c>
      <c r="W3424">
        <v>0.19311020000000001</v>
      </c>
      <c r="X3424">
        <v>0.97720490000000004</v>
      </c>
      <c r="Y3424">
        <v>1.6674810000000002E-2</v>
      </c>
      <c r="Z3424">
        <v>3.4247260000000002E-2</v>
      </c>
      <c r="AA3424">
        <v>0.99927429999999995</v>
      </c>
      <c r="AB3424">
        <v>33</v>
      </c>
      <c r="AC3424">
        <v>-0.32859999999999401</v>
      </c>
      <c r="AD3424">
        <v>-1.1167847510690001</v>
      </c>
      <c r="AE3424">
        <v>-22.604800000000001</v>
      </c>
      <c r="AF3424">
        <v>0.37931317628977701</v>
      </c>
      <c r="AG3424">
        <v>-1.1167847510690001</v>
      </c>
      <c r="AH3424">
        <v>22.5489637739004</v>
      </c>
      <c r="AI3424">
        <v>92.834976476789606</v>
      </c>
      <c r="AJ3424">
        <v>89.036275248076805</v>
      </c>
      <c r="AK3424">
        <v>22.579788615985699</v>
      </c>
      <c r="AL3424">
        <v>78.865652598967202</v>
      </c>
      <c r="AM3424">
        <v>84.842647260312503</v>
      </c>
      <c r="AN3424">
        <v>1.0000000385782899</v>
      </c>
    </row>
    <row r="3425" spans="1:40" x14ac:dyDescent="0.25">
      <c r="A3425" t="str">
        <f>"20190303170606347"</f>
        <v>20190303170606347</v>
      </c>
      <c r="B3425" t="str">
        <f>"1551603966338247"</f>
        <v>1551603966338247</v>
      </c>
      <c r="C3425" t="s">
        <v>40</v>
      </c>
      <c r="D3425">
        <v>5.9396069999999996</v>
      </c>
      <c r="E3425">
        <v>0.47788079999999999</v>
      </c>
      <c r="F3425" t="s">
        <v>41</v>
      </c>
      <c r="G3425">
        <v>-188.52500000000001</v>
      </c>
      <c r="H3425" s="1">
        <v>-4.0416100000000003E-6</v>
      </c>
      <c r="I3425">
        <v>167.6277</v>
      </c>
      <c r="J3425">
        <v>-188.22579999999999</v>
      </c>
      <c r="K3425">
        <v>1.117264</v>
      </c>
      <c r="L3425">
        <v>189.2902</v>
      </c>
      <c r="M3425">
        <v>-9.2811040000000003E-4</v>
      </c>
      <c r="N3425">
        <v>-1.4304229999999999E-2</v>
      </c>
      <c r="O3425">
        <v>-0.99989740000000005</v>
      </c>
      <c r="P3425">
        <v>-8.6832309999999996E-2</v>
      </c>
      <c r="Q3425">
        <v>0.18307789999999999</v>
      </c>
      <c r="R3425">
        <v>-0.97925649999999997</v>
      </c>
      <c r="S3425">
        <v>-4.237366E-2</v>
      </c>
      <c r="T3425">
        <v>-0.1566591</v>
      </c>
      <c r="U3425">
        <v>-3.0861049999999999</v>
      </c>
      <c r="V3425">
        <v>8.7725239999999996E-2</v>
      </c>
      <c r="W3425">
        <v>0.19627240000000001</v>
      </c>
      <c r="X3425">
        <v>0.97661730000000002</v>
      </c>
      <c r="Y3425">
        <v>1.2786E-2</v>
      </c>
      <c r="Z3425">
        <v>3.6402039999999997E-2</v>
      </c>
      <c r="AA3425">
        <v>0.99925540000000002</v>
      </c>
      <c r="AB3425">
        <v>33</v>
      </c>
      <c r="AC3425">
        <v>-0.29920000000001301</v>
      </c>
      <c r="AD3425">
        <v>-1.11726804161</v>
      </c>
      <c r="AE3425">
        <v>-21.662499999999898</v>
      </c>
      <c r="AF3425">
        <v>0.27835232205883598</v>
      </c>
      <c r="AG3425">
        <v>-1.11726804161</v>
      </c>
      <c r="AH3425">
        <v>21.6053071193863</v>
      </c>
      <c r="AI3425">
        <v>92.960035409101593</v>
      </c>
      <c r="AJ3425">
        <v>89.261869740044503</v>
      </c>
      <c r="AK3425">
        <v>21.635966898084298</v>
      </c>
      <c r="AL3425">
        <v>78.680936313459597</v>
      </c>
      <c r="AM3425">
        <v>84.867147398004803</v>
      </c>
      <c r="AN3425">
        <v>0.99999996169705296</v>
      </c>
    </row>
    <row r="3426" spans="1:40" x14ac:dyDescent="0.25">
      <c r="A3426" t="str">
        <f>"20190303170606367"</f>
        <v>20190303170606367</v>
      </c>
      <c r="B3426" t="str">
        <f>"1551603966358744"</f>
        <v>1551603966358744</v>
      </c>
      <c r="C3426" t="s">
        <v>40</v>
      </c>
      <c r="D3426">
        <v>5.8257709999999996</v>
      </c>
      <c r="E3426">
        <v>0.47695789999999999</v>
      </c>
      <c r="F3426" t="s">
        <v>41</v>
      </c>
      <c r="G3426">
        <v>-188.58170000000001</v>
      </c>
      <c r="H3426" s="1">
        <v>-3.0684970000000001E-6</v>
      </c>
      <c r="I3426">
        <v>165.59039999999999</v>
      </c>
      <c r="J3426">
        <v>-188.22929999999999</v>
      </c>
      <c r="K3426">
        <v>1.117658</v>
      </c>
      <c r="L3426">
        <v>188.96619999999999</v>
      </c>
      <c r="M3426">
        <v>-3.7248989999999998E-3</v>
      </c>
      <c r="N3426">
        <v>-1.4247060000000001E-2</v>
      </c>
      <c r="O3426">
        <v>-0.99989170000000005</v>
      </c>
      <c r="P3426">
        <v>-8.7245929999999999E-2</v>
      </c>
      <c r="Q3426">
        <v>0.18619930000000001</v>
      </c>
      <c r="R3426">
        <v>-0.97863080000000002</v>
      </c>
      <c r="S3426">
        <v>-4.6356199999999903E-2</v>
      </c>
      <c r="T3426">
        <v>-0.14551140000000001</v>
      </c>
      <c r="U3426">
        <v>-3.0866389999999999</v>
      </c>
      <c r="V3426">
        <v>8.5258570000000006E-2</v>
      </c>
      <c r="W3426">
        <v>0.19942650000000001</v>
      </c>
      <c r="X3426">
        <v>0.97619670000000003</v>
      </c>
      <c r="Y3426">
        <v>1.1278649999999999E-2</v>
      </c>
      <c r="Z3426">
        <v>3.2849780000000002E-2</v>
      </c>
      <c r="AA3426">
        <v>0.99939670000000003</v>
      </c>
      <c r="AB3426">
        <v>33</v>
      </c>
      <c r="AC3426">
        <v>-0.35240000000001698</v>
      </c>
      <c r="AD3426">
        <v>-1.1176610684970001</v>
      </c>
      <c r="AE3426">
        <v>-23.375800000000002</v>
      </c>
      <c r="AF3426">
        <v>0.26471122620855903</v>
      </c>
      <c r="AG3426">
        <v>-1.1176610684970001</v>
      </c>
      <c r="AH3426">
        <v>23.323643494654601</v>
      </c>
      <c r="AI3426">
        <v>92.743319197483501</v>
      </c>
      <c r="AJ3426">
        <v>89.349750613004502</v>
      </c>
      <c r="AK3426">
        <v>23.351907505877499</v>
      </c>
      <c r="AL3426">
        <v>78.496575381570906</v>
      </c>
      <c r="AM3426">
        <v>85.008595895439697</v>
      </c>
      <c r="AN3426">
        <v>0.99999997487579195</v>
      </c>
    </row>
    <row r="3427" spans="1:40" x14ac:dyDescent="0.25">
      <c r="A3427" t="str">
        <f>"20190303170606382"</f>
        <v>20190303170606382</v>
      </c>
      <c r="B3427" t="str">
        <f>"1551603966368503"</f>
        <v>1551603966368503</v>
      </c>
      <c r="C3427" t="s">
        <v>40</v>
      </c>
      <c r="D3427">
        <v>5.8520560000000001</v>
      </c>
      <c r="E3427">
        <v>0.47659620000000003</v>
      </c>
      <c r="F3427" t="s">
        <v>41</v>
      </c>
      <c r="G3427">
        <v>-188.5795</v>
      </c>
      <c r="H3427" s="1">
        <v>-2.1162650000000001E-6</v>
      </c>
      <c r="I3427">
        <v>163.57509999999999</v>
      </c>
      <c r="J3427">
        <v>-188.232</v>
      </c>
      <c r="K3427">
        <v>1.1178760000000001</v>
      </c>
      <c r="L3427">
        <v>188.74539999999999</v>
      </c>
      <c r="M3427">
        <v>-5.529061E-3</v>
      </c>
      <c r="N3427">
        <v>-1.4210759999999999E-2</v>
      </c>
      <c r="O3427">
        <v>-0.99988379999999999</v>
      </c>
      <c r="P3427">
        <v>-8.7318190000000004E-2</v>
      </c>
      <c r="Q3427">
        <v>0.18658540000000001</v>
      </c>
      <c r="R3427">
        <v>-0.9785509</v>
      </c>
      <c r="S3427">
        <v>-4.2587279999999998E-2</v>
      </c>
      <c r="T3427">
        <v>-0.13590849999999999</v>
      </c>
      <c r="U3427">
        <v>-3.0875849999999998</v>
      </c>
      <c r="V3427">
        <v>8.3468710000000002E-2</v>
      </c>
      <c r="W3427">
        <v>0.19983339999999999</v>
      </c>
      <c r="X3427">
        <v>0.97626820000000003</v>
      </c>
      <c r="Y3427">
        <v>8.2529230000000006E-3</v>
      </c>
      <c r="Z3427">
        <v>2.9770390000000001E-2</v>
      </c>
      <c r="AA3427">
        <v>0.99952269999999999</v>
      </c>
      <c r="AB3427">
        <v>33</v>
      </c>
      <c r="AC3427">
        <v>-0.34749999999999598</v>
      </c>
      <c r="AD3427">
        <v>-1.117878116265</v>
      </c>
      <c r="AE3427">
        <v>-25.170300000000001</v>
      </c>
      <c r="AF3427">
        <v>0.207902512926357</v>
      </c>
      <c r="AG3427">
        <v>-1.117878116265</v>
      </c>
      <c r="AH3427">
        <v>25.122293005357101</v>
      </c>
      <c r="AI3427">
        <v>92.547748571446505</v>
      </c>
      <c r="AJ3427">
        <v>89.525852810633197</v>
      </c>
      <c r="AK3427">
        <v>25.148011467802402</v>
      </c>
      <c r="AL3427">
        <v>78.472783177683297</v>
      </c>
      <c r="AM3427">
        <v>85.113225297115505</v>
      </c>
      <c r="AN3427">
        <v>1.0000000058179299</v>
      </c>
    </row>
    <row r="3428" spans="1:40" x14ac:dyDescent="0.25">
      <c r="A3428" t="str">
        <f>"20190303170606399"</f>
        <v>20190303170606399</v>
      </c>
      <c r="B3428" t="str">
        <f>"1551603966388023"</f>
        <v>1551603966388023</v>
      </c>
      <c r="C3428" t="s">
        <v>40</v>
      </c>
      <c r="D3428">
        <v>5.8851199999999997</v>
      </c>
      <c r="E3428">
        <v>0.47634870000000001</v>
      </c>
      <c r="F3428" t="s">
        <v>41</v>
      </c>
      <c r="G3428">
        <v>-188.571</v>
      </c>
      <c r="H3428" s="1">
        <v>-1.983386E-6</v>
      </c>
      <c r="I3428">
        <v>163.29079999999999</v>
      </c>
      <c r="J3428">
        <v>-188.23560000000001</v>
      </c>
      <c r="K3428">
        <v>1.1180810000000001</v>
      </c>
      <c r="L3428">
        <v>188.49279999999999</v>
      </c>
      <c r="M3428">
        <v>-7.4885300000000002E-3</v>
      </c>
      <c r="N3428">
        <v>-1.4172769999999999E-2</v>
      </c>
      <c r="O3428">
        <v>-0.99987159999999997</v>
      </c>
      <c r="P3428">
        <v>-8.5632570000000005E-2</v>
      </c>
      <c r="Q3428">
        <v>0.1852608</v>
      </c>
      <c r="R3428">
        <v>-0.97895129999999997</v>
      </c>
      <c r="S3428">
        <v>-4.1122440000000003E-2</v>
      </c>
      <c r="T3428">
        <v>-0.13561219999999999</v>
      </c>
      <c r="U3428">
        <v>-3.087952</v>
      </c>
      <c r="V3428">
        <v>7.9757359999999999E-2</v>
      </c>
      <c r="W3428">
        <v>0.1985451</v>
      </c>
      <c r="X3428">
        <v>0.97684119999999997</v>
      </c>
      <c r="Y3428">
        <v>5.8186139999999997E-3</v>
      </c>
      <c r="Z3428">
        <v>2.9707310000000001E-2</v>
      </c>
      <c r="AA3428">
        <v>0.99954169999999998</v>
      </c>
      <c r="AB3428">
        <v>33</v>
      </c>
      <c r="AC3428">
        <v>-0.33539999999999198</v>
      </c>
      <c r="AD3428">
        <v>-1.118082983386</v>
      </c>
      <c r="AE3428">
        <v>-25.202000000000002</v>
      </c>
      <c r="AF3428">
        <v>0.14635770253724101</v>
      </c>
      <c r="AG3428">
        <v>-1.118082983386</v>
      </c>
      <c r="AH3428">
        <v>25.154304172251599</v>
      </c>
      <c r="AI3428">
        <v>92.545020304970606</v>
      </c>
      <c r="AJ3428">
        <v>89.6666342280718</v>
      </c>
      <c r="AK3428">
        <v>25.179566090879799</v>
      </c>
      <c r="AL3428">
        <v>78.548107389341794</v>
      </c>
      <c r="AM3428">
        <v>85.3322547519208</v>
      </c>
      <c r="AN3428">
        <v>1.0000000616128</v>
      </c>
    </row>
    <row r="3429" spans="1:40" x14ac:dyDescent="0.25">
      <c r="A3429" t="str">
        <f>"20190303170606425"</f>
        <v>20190303170606425</v>
      </c>
      <c r="B3429" t="str">
        <f>"1551603966418279"</f>
        <v>1551603966418279</v>
      </c>
      <c r="C3429" t="s">
        <v>40</v>
      </c>
      <c r="D3429">
        <v>5.9153580000000003</v>
      </c>
      <c r="E3429">
        <v>0.4761031</v>
      </c>
      <c r="F3429" t="s">
        <v>41</v>
      </c>
      <c r="G3429">
        <v>-188.52520000000001</v>
      </c>
      <c r="H3429" s="1">
        <v>-2.138187E-6</v>
      </c>
      <c r="I3429">
        <v>163.6011</v>
      </c>
      <c r="J3429">
        <v>-188.2414</v>
      </c>
      <c r="K3429">
        <v>1.1183339999999999</v>
      </c>
      <c r="L3429">
        <v>188.12960000000001</v>
      </c>
      <c r="M3429">
        <v>-1.018384E-2</v>
      </c>
      <c r="N3429">
        <v>-1.4122620000000001E-2</v>
      </c>
      <c r="O3429">
        <v>-0.99984839999999997</v>
      </c>
      <c r="P3429">
        <v>-8.4430430000000001E-2</v>
      </c>
      <c r="Q3429">
        <v>0.18441759999999999</v>
      </c>
      <c r="R3429">
        <v>-0.97921460000000005</v>
      </c>
      <c r="S3429">
        <v>-3.5919189999999997E-2</v>
      </c>
      <c r="T3429">
        <v>-0.1386887</v>
      </c>
      <c r="U3429">
        <v>-3.0876009999999998</v>
      </c>
      <c r="V3429">
        <v>7.5786899999999893E-2</v>
      </c>
      <c r="W3429">
        <v>0.1977333</v>
      </c>
      <c r="X3429">
        <v>0.97732180000000002</v>
      </c>
      <c r="Y3429">
        <v>1.441702E-3</v>
      </c>
      <c r="Z3429">
        <v>3.0755640000000001E-2</v>
      </c>
      <c r="AA3429">
        <v>0.99952589999999997</v>
      </c>
      <c r="AB3429">
        <v>33</v>
      </c>
      <c r="AC3429">
        <v>-0.28380000000001299</v>
      </c>
      <c r="AD3429">
        <v>-1.1183361381869901</v>
      </c>
      <c r="AE3429">
        <v>-24.528500000000001</v>
      </c>
      <c r="AF3429">
        <v>3.3895593081690503E-2</v>
      </c>
      <c r="AG3429">
        <v>-1.1183361381869901</v>
      </c>
      <c r="AH3429">
        <v>24.479238780604899</v>
      </c>
      <c r="AI3429">
        <v>92.615741347206196</v>
      </c>
      <c r="AJ3429">
        <v>89.920664478013407</v>
      </c>
      <c r="AK3429">
        <v>24.504794549374999</v>
      </c>
      <c r="AL3429">
        <v>78.595560282954196</v>
      </c>
      <c r="AM3429">
        <v>85.565844344568802</v>
      </c>
      <c r="AN3429">
        <v>1.00000000644787</v>
      </c>
    </row>
    <row r="3430" spans="1:40" x14ac:dyDescent="0.25">
      <c r="A3430" t="str">
        <f>"20190303170606446"</f>
        <v>20190303170606446</v>
      </c>
      <c r="B3430" t="str">
        <f>"1551603966438775"</f>
        <v>1551603966438775</v>
      </c>
      <c r="C3430" t="s">
        <v>40</v>
      </c>
      <c r="D3430">
        <v>5.8682970000000001</v>
      </c>
      <c r="E3430">
        <v>0.47597489999999998</v>
      </c>
      <c r="F3430" t="s">
        <v>41</v>
      </c>
      <c r="G3430">
        <v>-188.4905</v>
      </c>
      <c r="H3430" s="1">
        <v>-2.139836E-6</v>
      </c>
      <c r="I3430">
        <v>163.5916</v>
      </c>
      <c r="J3430">
        <v>-188.2474</v>
      </c>
      <c r="K3430">
        <v>1.1185350000000001</v>
      </c>
      <c r="L3430">
        <v>187.80510000000001</v>
      </c>
      <c r="M3430">
        <v>-1.248375E-2</v>
      </c>
      <c r="N3430">
        <v>-1.4082559999999999E-2</v>
      </c>
      <c r="O3430">
        <v>-0.99982289999999996</v>
      </c>
      <c r="P3430">
        <v>-8.6044099999999998E-2</v>
      </c>
      <c r="Q3430">
        <v>0.18500739999999999</v>
      </c>
      <c r="R3430">
        <v>-0.97896300000000003</v>
      </c>
      <c r="S3430">
        <v>-3.1341550000000003E-2</v>
      </c>
      <c r="T3430">
        <v>-0.14071359999999999</v>
      </c>
      <c r="U3430">
        <v>-3.0874790000000001</v>
      </c>
      <c r="V3430">
        <v>7.5060379999999996E-2</v>
      </c>
      <c r="W3430">
        <v>0.1983222</v>
      </c>
      <c r="X3430">
        <v>0.97725859999999998</v>
      </c>
      <c r="Y3430">
        <v>-2.3385210000000001E-3</v>
      </c>
      <c r="Z3430">
        <v>3.1450180000000001E-2</v>
      </c>
      <c r="AA3430">
        <v>0.99950260000000002</v>
      </c>
      <c r="AB3430">
        <v>33</v>
      </c>
      <c r="AC3430">
        <v>-0.24309999999999801</v>
      </c>
      <c r="AD3430">
        <v>-1.118537139836</v>
      </c>
      <c r="AE3430">
        <v>-24.2135</v>
      </c>
      <c r="AF3430">
        <v>-5.9098106623849601E-2</v>
      </c>
      <c r="AG3430">
        <v>-1.118537139836</v>
      </c>
      <c r="AH3430">
        <v>24.1630900883812</v>
      </c>
      <c r="AI3430">
        <v>92.650387329011394</v>
      </c>
      <c r="AJ3430">
        <v>90.1401337876338</v>
      </c>
      <c r="AK3430">
        <v>24.189037610839801</v>
      </c>
      <c r="AL3430">
        <v>78.561137756538102</v>
      </c>
      <c r="AM3430">
        <v>85.607901711965198</v>
      </c>
      <c r="AN3430">
        <v>1.00000006346627</v>
      </c>
    </row>
    <row r="3431" spans="1:40" x14ac:dyDescent="0.25">
      <c r="A3431" t="str">
        <f>"20190303170606468"</f>
        <v>20190303170606468</v>
      </c>
      <c r="B3431" t="str">
        <f>"1551603966458295"</f>
        <v>1551603966458295</v>
      </c>
      <c r="C3431" t="s">
        <v>40</v>
      </c>
      <c r="D3431">
        <v>5.927505</v>
      </c>
      <c r="E3431">
        <v>0.47555340000000001</v>
      </c>
      <c r="F3431" t="s">
        <v>41</v>
      </c>
      <c r="G3431">
        <v>-188.52629999999999</v>
      </c>
      <c r="H3431" s="1">
        <v>-1.609937E-6</v>
      </c>
      <c r="I3431">
        <v>162.48400000000001</v>
      </c>
      <c r="J3431">
        <v>-188.25380000000001</v>
      </c>
      <c r="K3431">
        <v>1.118719</v>
      </c>
      <c r="L3431">
        <v>187.4896</v>
      </c>
      <c r="M3431">
        <v>-1.466109E-2</v>
      </c>
      <c r="N3431">
        <v>-1.404766E-2</v>
      </c>
      <c r="O3431">
        <v>-0.99979379999999995</v>
      </c>
      <c r="P3431">
        <v>-8.818956E-2</v>
      </c>
      <c r="Q3431">
        <v>0.18628520000000001</v>
      </c>
      <c r="R3431">
        <v>-0.97852980000000001</v>
      </c>
      <c r="S3431">
        <v>-3.4011840000000002E-2</v>
      </c>
      <c r="T3431">
        <v>-0.13637669999999999</v>
      </c>
      <c r="U3431">
        <v>-3.08725</v>
      </c>
      <c r="V3431">
        <v>7.5007649999999995E-2</v>
      </c>
      <c r="W3431">
        <v>0.19959189999999999</v>
      </c>
      <c r="X3431">
        <v>0.97700410000000004</v>
      </c>
      <c r="Y3431">
        <v>-3.6501260000000001E-3</v>
      </c>
      <c r="Z3431">
        <v>3.0085359999999998E-2</v>
      </c>
      <c r="AA3431">
        <v>0.99954069999999995</v>
      </c>
      <c r="AB3431">
        <v>33</v>
      </c>
      <c r="AC3431">
        <v>-0.27249999999997898</v>
      </c>
      <c r="AD3431">
        <v>-1.118720609937</v>
      </c>
      <c r="AE3431">
        <v>-25.005599999999902</v>
      </c>
      <c r="AF3431">
        <v>-9.3986739779868003E-2</v>
      </c>
      <c r="AG3431">
        <v>-1.118720609937</v>
      </c>
      <c r="AH3431">
        <v>24.9569604855436</v>
      </c>
      <c r="AI3431">
        <v>92.566604027531099</v>
      </c>
      <c r="AJ3431">
        <v>90.215772191701703</v>
      </c>
      <c r="AK3431">
        <v>24.982198581937102</v>
      </c>
      <c r="AL3431">
        <v>78.486905022351706</v>
      </c>
      <c r="AM3431">
        <v>85.609836276581504</v>
      </c>
      <c r="AN3431">
        <v>1.0000000427604701</v>
      </c>
    </row>
    <row r="3432" spans="1:40" x14ac:dyDescent="0.25">
      <c r="A3432" t="str">
        <f>"20190303170606489"</f>
        <v>20190303170606489</v>
      </c>
      <c r="B3432" t="str">
        <f>"1551603966478792"</f>
        <v>1551603966478792</v>
      </c>
      <c r="C3432" t="s">
        <v>40</v>
      </c>
      <c r="D3432">
        <v>6.1370199999999997</v>
      </c>
      <c r="E3432">
        <v>0.47565940000000001</v>
      </c>
      <c r="F3432" t="s">
        <v>41</v>
      </c>
      <c r="G3432">
        <v>-188.56049999999999</v>
      </c>
      <c r="H3432" s="1">
        <v>-1.096294E-6</v>
      </c>
      <c r="I3432">
        <v>161.41030000000001</v>
      </c>
      <c r="J3432">
        <v>-188.26070000000001</v>
      </c>
      <c r="K3432">
        <v>1.118857</v>
      </c>
      <c r="L3432">
        <v>187.17660000000001</v>
      </c>
      <c r="M3432">
        <v>-1.676279E-2</v>
      </c>
      <c r="N3432">
        <v>-1.401676E-2</v>
      </c>
      <c r="O3432">
        <v>-0.99976129999999996</v>
      </c>
      <c r="P3432">
        <v>-9.1710650000000005E-2</v>
      </c>
      <c r="Q3432">
        <v>0.18646689999999999</v>
      </c>
      <c r="R3432">
        <v>-0.97817140000000002</v>
      </c>
      <c r="S3432">
        <v>-3.6315920000000002E-2</v>
      </c>
      <c r="T3432">
        <v>-0.1324555</v>
      </c>
      <c r="U3432">
        <v>-3.0877690000000002</v>
      </c>
      <c r="V3432">
        <v>7.6409060000000001E-2</v>
      </c>
      <c r="W3432">
        <v>0.19975770000000001</v>
      </c>
      <c r="X3432">
        <v>0.97686150000000005</v>
      </c>
      <c r="Y3432">
        <v>-5.0074250000000002E-3</v>
      </c>
      <c r="Z3432">
        <v>2.8839920000000002E-2</v>
      </c>
      <c r="AA3432">
        <v>0.99957149999999995</v>
      </c>
      <c r="AB3432">
        <v>33</v>
      </c>
      <c r="AC3432">
        <v>-0.29979999999997597</v>
      </c>
      <c r="AD3432">
        <v>-1.118858096294</v>
      </c>
      <c r="AE3432">
        <v>-25.766300000000001</v>
      </c>
      <c r="AF3432">
        <v>-0.13195084696117701</v>
      </c>
      <c r="AG3432">
        <v>-1.118858096294</v>
      </c>
      <c r="AH3432">
        <v>25.719215782709799</v>
      </c>
      <c r="AI3432">
        <v>92.490923951195796</v>
      </c>
      <c r="AJ3432">
        <v>90.293949876507298</v>
      </c>
      <c r="AK3432">
        <v>25.743879174344499</v>
      </c>
      <c r="AL3432">
        <v>78.477208910117795</v>
      </c>
      <c r="AM3432">
        <v>85.527491908752495</v>
      </c>
      <c r="AN3432">
        <v>0.999999936670809</v>
      </c>
    </row>
    <row r="3433" spans="1:40" x14ac:dyDescent="0.25">
      <c r="A3433" t="str">
        <f>"20190303170606511"</f>
        <v>20190303170606511</v>
      </c>
      <c r="B3433" t="str">
        <f>"1551603966498311"</f>
        <v>1551603966498311</v>
      </c>
      <c r="C3433" t="s">
        <v>40</v>
      </c>
      <c r="D3433">
        <v>5.7844110000000004</v>
      </c>
      <c r="E3433">
        <v>0.53302839999999996</v>
      </c>
      <c r="F3433" t="s">
        <v>41</v>
      </c>
      <c r="G3433">
        <v>-188.68450000000001</v>
      </c>
      <c r="H3433" s="1">
        <v>-1.0517940000000001E-6</v>
      </c>
      <c r="I3433">
        <v>161.36259999999999</v>
      </c>
      <c r="J3433">
        <v>-188.26859999999999</v>
      </c>
      <c r="K3433">
        <v>1.1189819999999999</v>
      </c>
      <c r="L3433">
        <v>186.84809999999999</v>
      </c>
      <c r="M3433">
        <v>-1.8888370000000002E-2</v>
      </c>
      <c r="N3433">
        <v>-1.398747E-2</v>
      </c>
      <c r="O3433">
        <v>-0.9997239</v>
      </c>
      <c r="P3433">
        <v>-9.5584769999999999E-2</v>
      </c>
      <c r="Q3433">
        <v>0.18572620000000001</v>
      </c>
      <c r="R3433">
        <v>-0.97794150000000002</v>
      </c>
      <c r="S3433">
        <v>-5.0689699999999997E-2</v>
      </c>
      <c r="T3433">
        <v>-0.13383100000000001</v>
      </c>
      <c r="U3433">
        <v>-3.0877080000000001</v>
      </c>
      <c r="V3433">
        <v>7.8137699999999893E-2</v>
      </c>
      <c r="W3433">
        <v>0.19900309999999999</v>
      </c>
      <c r="X3433">
        <v>0.97687880000000005</v>
      </c>
      <c r="Y3433">
        <v>-2.48226E-3</v>
      </c>
      <c r="Z3433">
        <v>2.9311529999999999E-2</v>
      </c>
      <c r="AA3433">
        <v>0.99956730000000005</v>
      </c>
      <c r="AB3433">
        <v>33</v>
      </c>
      <c r="AC3433">
        <v>-0.41590000000002098</v>
      </c>
      <c r="AD3433">
        <v>-1.11898305179399</v>
      </c>
      <c r="AE3433">
        <v>-25.485499999999998</v>
      </c>
      <c r="AF3433">
        <v>-6.5474603636992701E-2</v>
      </c>
      <c r="AG3433">
        <v>-1.11898305179399</v>
      </c>
      <c r="AH3433">
        <v>25.439779303608098</v>
      </c>
      <c r="AI3433">
        <v>92.518555461273806</v>
      </c>
      <c r="AJ3433">
        <v>90.147462370873797</v>
      </c>
      <c r="AK3433">
        <v>25.464461137244001</v>
      </c>
      <c r="AL3433">
        <v>78.521330462475106</v>
      </c>
      <c r="AM3433">
        <v>85.4268132880634</v>
      </c>
      <c r="AN3433">
        <v>0.99999996193016905</v>
      </c>
    </row>
    <row r="3434" spans="1:40" x14ac:dyDescent="0.25">
      <c r="A3434" t="str">
        <f>"20190303170606535"</f>
        <v>20190303170606535</v>
      </c>
      <c r="B3434" t="str">
        <f>"1551603966528567"</f>
        <v>1551603966528567</v>
      </c>
      <c r="C3434" t="s">
        <v>40</v>
      </c>
      <c r="D3434">
        <v>5.7155339999999999</v>
      </c>
      <c r="E3434">
        <v>0.54657049999999996</v>
      </c>
      <c r="F3434" t="s">
        <v>41</v>
      </c>
      <c r="G3434">
        <v>-191.8579</v>
      </c>
      <c r="H3434" s="1">
        <v>-3.4346390000000001E-6</v>
      </c>
      <c r="I3434">
        <v>165.8117</v>
      </c>
      <c r="J3434">
        <v>-188.27770000000001</v>
      </c>
      <c r="K3434">
        <v>1.119135</v>
      </c>
      <c r="L3434">
        <v>186.49250000000001</v>
      </c>
      <c r="M3434">
        <v>-2.1074510000000001E-2</v>
      </c>
      <c r="N3434">
        <v>-1.395878E-2</v>
      </c>
      <c r="O3434">
        <v>-0.99968060000000003</v>
      </c>
      <c r="P3434">
        <v>-9.7288100000000002E-2</v>
      </c>
      <c r="Q3434">
        <v>0.18681490000000001</v>
      </c>
      <c r="R3434">
        <v>-0.97756639999999995</v>
      </c>
      <c r="S3434">
        <v>-0.52000429999999997</v>
      </c>
      <c r="T3434">
        <v>-0.1621119</v>
      </c>
      <c r="U3434">
        <v>-3.0476230000000002</v>
      </c>
      <c r="V3434">
        <v>7.7645989999999998E-2</v>
      </c>
      <c r="W3434">
        <v>0.2000895</v>
      </c>
      <c r="X3434">
        <v>0.97669609999999996</v>
      </c>
      <c r="Y3434">
        <v>0.147189299999999</v>
      </c>
      <c r="Z3434">
        <v>3.8513539999999999E-2</v>
      </c>
      <c r="AA3434">
        <v>0.98835830000000002</v>
      </c>
      <c r="AB3434">
        <v>33</v>
      </c>
      <c r="AC3434">
        <v>-3.5801999999999898</v>
      </c>
      <c r="AD3434">
        <v>-1.1191384346390001</v>
      </c>
      <c r="AE3434">
        <v>-20.680800000000001</v>
      </c>
      <c r="AF3434">
        <v>3.1346122259851201</v>
      </c>
      <c r="AG3434">
        <v>-1.1191384346390001</v>
      </c>
      <c r="AH3434">
        <v>20.692830351337999</v>
      </c>
      <c r="AI3434">
        <v>93.060881592693903</v>
      </c>
      <c r="AJ3434">
        <v>81.386152072482801</v>
      </c>
      <c r="AK3434">
        <v>20.9588046556199</v>
      </c>
      <c r="AL3434">
        <v>78.457807083837196</v>
      </c>
      <c r="AM3434">
        <v>85.454624272964196</v>
      </c>
      <c r="AN3434">
        <v>0.99999998976426996</v>
      </c>
    </row>
    <row r="3435" spans="1:40" x14ac:dyDescent="0.25">
      <c r="A3435" t="str">
        <f>"20190303170606558"</f>
        <v>20190303170606558</v>
      </c>
      <c r="B3435" t="str">
        <f>"1551603966548089"</f>
        <v>1551603966548089</v>
      </c>
      <c r="C3435" t="s">
        <v>40</v>
      </c>
      <c r="D3435">
        <v>5.7385799999999998</v>
      </c>
      <c r="E3435">
        <v>0.5495951</v>
      </c>
      <c r="F3435" t="s">
        <v>41</v>
      </c>
      <c r="G3435">
        <v>-193.12639999999999</v>
      </c>
      <c r="H3435" s="1">
        <v>-2.5451489999999999E-6</v>
      </c>
      <c r="I3435">
        <v>163.21600000000001</v>
      </c>
      <c r="J3435">
        <v>-188.2869</v>
      </c>
      <c r="K3435">
        <v>1.1192820000000001</v>
      </c>
      <c r="L3435">
        <v>186.15649999999999</v>
      </c>
      <c r="M3435">
        <v>-2.301303E-2</v>
      </c>
      <c r="N3435">
        <v>-1.3934220000000001E-2</v>
      </c>
      <c r="O3435">
        <v>-0.99963809999999997</v>
      </c>
      <c r="P3435">
        <v>-9.7117129999999996E-2</v>
      </c>
      <c r="Q3435">
        <v>0.18855569999999999</v>
      </c>
      <c r="R3435">
        <v>-0.97724880000000003</v>
      </c>
      <c r="S3435">
        <v>-0.63197329999999996</v>
      </c>
      <c r="T3435">
        <v>-0.1458671</v>
      </c>
      <c r="U3435">
        <v>-3.0338289999999999</v>
      </c>
      <c r="V3435">
        <v>7.5526319999999994E-2</v>
      </c>
      <c r="W3435">
        <v>0.20183780000000001</v>
      </c>
      <c r="X3435">
        <v>0.97650250000000005</v>
      </c>
      <c r="Y3435">
        <v>0.18115709999999999</v>
      </c>
      <c r="Z3435">
        <v>3.3213979999999997E-2</v>
      </c>
      <c r="AA3435">
        <v>0.98289320000000002</v>
      </c>
      <c r="AB3435">
        <v>33</v>
      </c>
      <c r="AC3435">
        <v>-4.8394999999999797</v>
      </c>
      <c r="AD3435">
        <v>-1.1192845451490001</v>
      </c>
      <c r="AE3435">
        <v>-22.940499999999901</v>
      </c>
      <c r="AF3435">
        <v>4.3004352676305597</v>
      </c>
      <c r="AG3435">
        <v>-1.1192845451490001</v>
      </c>
      <c r="AH3435">
        <v>22.9934012503609</v>
      </c>
      <c r="AI3435">
        <v>92.739446695418806</v>
      </c>
      <c r="AJ3435">
        <v>79.406410903323504</v>
      </c>
      <c r="AK3435">
        <v>23.418860827209102</v>
      </c>
      <c r="AL3435">
        <v>78.355549958062895</v>
      </c>
      <c r="AM3435">
        <v>85.5773370447681</v>
      </c>
      <c r="AN3435">
        <v>0.99999992751391298</v>
      </c>
    </row>
    <row r="3436" spans="1:40" x14ac:dyDescent="0.25">
      <c r="A3436" t="str">
        <f>"20190303170606580"</f>
        <v>20190303170606580</v>
      </c>
      <c r="B3436" t="str">
        <f>"1551603966568583"</f>
        <v>1551603966568583</v>
      </c>
      <c r="C3436" t="s">
        <v>40</v>
      </c>
      <c r="D3436">
        <v>5.743989</v>
      </c>
      <c r="E3436">
        <v>0.55153350000000001</v>
      </c>
      <c r="F3436" t="s">
        <v>41</v>
      </c>
      <c r="G3436">
        <v>-193.56190000000001</v>
      </c>
      <c r="H3436" s="1">
        <v>-1.919348E-6</v>
      </c>
      <c r="I3436">
        <v>161.64709999999999</v>
      </c>
      <c r="J3436">
        <v>-188.29580000000001</v>
      </c>
      <c r="K3436">
        <v>1.1194189999999999</v>
      </c>
      <c r="L3436">
        <v>185.8494</v>
      </c>
      <c r="M3436">
        <v>-2.4657950000000001E-2</v>
      </c>
      <c r="N3436">
        <v>-1.3913770000000001E-2</v>
      </c>
      <c r="O3436">
        <v>-0.99959929999999997</v>
      </c>
      <c r="P3436">
        <v>-9.6762899999999999E-2</v>
      </c>
      <c r="Q3436">
        <v>0.1881111</v>
      </c>
      <c r="R3436">
        <v>-0.97736999999999996</v>
      </c>
      <c r="S3436">
        <v>-0.65248109999999904</v>
      </c>
      <c r="T3436">
        <v>-0.13844989999999999</v>
      </c>
      <c r="U3436">
        <v>-3.0316930000000002</v>
      </c>
      <c r="V3436">
        <v>7.3492909999999995E-2</v>
      </c>
      <c r="W3436">
        <v>0.20140810000000001</v>
      </c>
      <c r="X3436">
        <v>0.97674640000000001</v>
      </c>
      <c r="Y3436">
        <v>0.18605530000000001</v>
      </c>
      <c r="Z3436">
        <v>3.082292E-2</v>
      </c>
      <c r="AA3436">
        <v>0.98205569999999998</v>
      </c>
      <c r="AB3436">
        <v>33</v>
      </c>
      <c r="AC3436">
        <v>-5.26609999999999</v>
      </c>
      <c r="AD3436">
        <v>-1.119420919348</v>
      </c>
      <c r="AE3436">
        <v>-24.202300000000001</v>
      </c>
      <c r="AF3436">
        <v>4.6581469961925297</v>
      </c>
      <c r="AG3436">
        <v>-1.119420919348</v>
      </c>
      <c r="AH3436">
        <v>24.275218898996101</v>
      </c>
      <c r="AI3436">
        <v>92.593010534174098</v>
      </c>
      <c r="AJ3436">
        <v>79.137609603810006</v>
      </c>
      <c r="AK3436">
        <v>24.7434372961193</v>
      </c>
      <c r="AL3436">
        <v>78.380686794876794</v>
      </c>
      <c r="AM3436">
        <v>85.697026388029798</v>
      </c>
      <c r="AN3436">
        <v>0.99999998023941805</v>
      </c>
    </row>
    <row r="3437" spans="1:40" x14ac:dyDescent="0.25">
      <c r="A3437" t="str">
        <f>"20190303170606602"</f>
        <v>20190303170606602</v>
      </c>
      <c r="B3437" t="str">
        <f>"1551603966588103"</f>
        <v>1551603966588103</v>
      </c>
      <c r="C3437" t="s">
        <v>40</v>
      </c>
      <c r="D3437">
        <v>5.751322</v>
      </c>
      <c r="E3437">
        <v>0.55293950000000003</v>
      </c>
      <c r="F3437" t="s">
        <v>41</v>
      </c>
      <c r="G3437">
        <v>-193.66059999999999</v>
      </c>
      <c r="H3437" s="1">
        <v>-1.8503019999999999E-6</v>
      </c>
      <c r="I3437">
        <v>161.44540000000001</v>
      </c>
      <c r="J3437">
        <v>-188.30590000000001</v>
      </c>
      <c r="K3437">
        <v>1.1195619999999999</v>
      </c>
      <c r="L3437">
        <v>185.5128</v>
      </c>
      <c r="M3437">
        <v>-2.63193E-2</v>
      </c>
      <c r="N3437">
        <v>-1.389342E-2</v>
      </c>
      <c r="O3437">
        <v>-0.99955709999999998</v>
      </c>
      <c r="P3437">
        <v>-9.6147910000000003E-2</v>
      </c>
      <c r="Q3437">
        <v>0.18615219999999999</v>
      </c>
      <c r="R3437">
        <v>-0.97780560000000005</v>
      </c>
      <c r="S3437">
        <v>-0.666153</v>
      </c>
      <c r="T3437">
        <v>-0.13899990000000001</v>
      </c>
      <c r="U3437">
        <v>-3.0302730000000002</v>
      </c>
      <c r="V3437">
        <v>7.1160189999999998E-2</v>
      </c>
      <c r="W3437">
        <v>0.1994718</v>
      </c>
      <c r="X3437">
        <v>0.97731630000000003</v>
      </c>
      <c r="Y3437">
        <v>0.1887443</v>
      </c>
      <c r="Z3437">
        <v>3.1008529999999999E-2</v>
      </c>
      <c r="AA3437">
        <v>0.98153659999999998</v>
      </c>
      <c r="AB3437">
        <v>33</v>
      </c>
      <c r="AC3437">
        <v>-5.3546999999999798</v>
      </c>
      <c r="AD3437">
        <v>-1.119563850302</v>
      </c>
      <c r="AE3437">
        <v>-24.0673999999999</v>
      </c>
      <c r="AF3437">
        <v>4.7096359285551301</v>
      </c>
      <c r="AG3437">
        <v>-1.119563850302</v>
      </c>
      <c r="AH3437">
        <v>24.1502126219453</v>
      </c>
      <c r="AI3437">
        <v>92.605229719297697</v>
      </c>
      <c r="AJ3437">
        <v>78.965003695996003</v>
      </c>
      <c r="AK3437">
        <v>24.630608264507099</v>
      </c>
      <c r="AL3437">
        <v>78.493926502624106</v>
      </c>
      <c r="AM3437">
        <v>85.835538351740496</v>
      </c>
      <c r="AN3437">
        <v>0.99999996094088195</v>
      </c>
    </row>
    <row r="3438" spans="1:40" x14ac:dyDescent="0.25">
      <c r="A3438" t="str">
        <f>"20190303170606625"</f>
        <v>20190303170606625</v>
      </c>
      <c r="B3438" t="str">
        <f>"1551603966618360"</f>
        <v>1551603966618360</v>
      </c>
      <c r="C3438" t="s">
        <v>40</v>
      </c>
      <c r="D3438">
        <v>5.7250040000000002</v>
      </c>
      <c r="E3438">
        <v>0.55444939999999998</v>
      </c>
      <c r="F3438" t="s">
        <v>41</v>
      </c>
      <c r="G3438">
        <v>-193.5849</v>
      </c>
      <c r="H3438" s="1">
        <v>-2.0434880000000001E-6</v>
      </c>
      <c r="I3438">
        <v>161.89670000000001</v>
      </c>
      <c r="J3438">
        <v>-188.3159</v>
      </c>
      <c r="K3438">
        <v>1.1196889999999999</v>
      </c>
      <c r="L3438">
        <v>185.1909</v>
      </c>
      <c r="M3438">
        <v>-2.775389E-2</v>
      </c>
      <c r="N3438">
        <v>-1.3875899999999899E-2</v>
      </c>
      <c r="O3438">
        <v>-0.99951849999999998</v>
      </c>
      <c r="P3438">
        <v>-9.6033300000000002E-2</v>
      </c>
      <c r="Q3438">
        <v>0.18357270000000001</v>
      </c>
      <c r="R3438">
        <v>-0.97830399999999995</v>
      </c>
      <c r="S3438">
        <v>-0.67704770000000003</v>
      </c>
      <c r="T3438">
        <v>-0.1435881</v>
      </c>
      <c r="U3438">
        <v>-3.0288390000000001</v>
      </c>
      <c r="V3438">
        <v>6.9549920000000001E-2</v>
      </c>
      <c r="W3438">
        <v>0.19691330000000001</v>
      </c>
      <c r="X3438">
        <v>0.97795089999999996</v>
      </c>
      <c r="Y3438">
        <v>0.19078419999999999</v>
      </c>
      <c r="Z3438">
        <v>3.2498609999999997E-2</v>
      </c>
      <c r="AA3438">
        <v>0.98109389999999996</v>
      </c>
      <c r="AB3438">
        <v>33</v>
      </c>
      <c r="AC3438">
        <v>-5.2690000000000001</v>
      </c>
      <c r="AD3438">
        <v>-1.1196910434880001</v>
      </c>
      <c r="AE3438">
        <v>-23.294199999999901</v>
      </c>
      <c r="AF3438">
        <v>4.6102695851880497</v>
      </c>
      <c r="AG3438">
        <v>-1.1196910434880001</v>
      </c>
      <c r="AH3438">
        <v>23.380084597131599</v>
      </c>
      <c r="AI3438">
        <v>92.690122983371694</v>
      </c>
      <c r="AJ3438">
        <v>78.845075924655006</v>
      </c>
      <c r="AK3438">
        <v>23.8565850332776</v>
      </c>
      <c r="AL3438">
        <v>78.643485035318903</v>
      </c>
      <c r="AM3438">
        <v>85.932087255095396</v>
      </c>
      <c r="AN3438">
        <v>1.00000000094985</v>
      </c>
    </row>
    <row r="3439" spans="1:40" x14ac:dyDescent="0.25">
      <c r="A3439" t="str">
        <f>"20190303170606646"</f>
        <v>20190303170606646</v>
      </c>
      <c r="B3439" t="str">
        <f>"1551603966637879"</f>
        <v>1551603966637879</v>
      </c>
      <c r="C3439" t="s">
        <v>40</v>
      </c>
      <c r="D3439">
        <v>5.7334149999999999</v>
      </c>
      <c r="E3439">
        <v>0.55508599999999997</v>
      </c>
      <c r="F3439" t="s">
        <v>41</v>
      </c>
      <c r="G3439">
        <v>-193.37309999999999</v>
      </c>
      <c r="H3439" s="1">
        <v>-2.517629E-6</v>
      </c>
      <c r="I3439">
        <v>163.01900000000001</v>
      </c>
      <c r="J3439">
        <v>-188.32650000000001</v>
      </c>
      <c r="K3439">
        <v>1.1198170000000001</v>
      </c>
      <c r="L3439">
        <v>184.86189999999999</v>
      </c>
      <c r="M3439">
        <v>-2.9065839999999999E-2</v>
      </c>
      <c r="N3439">
        <v>-1.385979E-2</v>
      </c>
      <c r="O3439">
        <v>-0.99948139999999996</v>
      </c>
      <c r="P3439">
        <v>-9.7899319999999998E-2</v>
      </c>
      <c r="Q3439">
        <v>0.1828639</v>
      </c>
      <c r="R3439">
        <v>-0.9782518</v>
      </c>
      <c r="S3439">
        <v>-0.69052119999999995</v>
      </c>
      <c r="T3439">
        <v>-0.15288650000000001</v>
      </c>
      <c r="U3439">
        <v>-3.0274350000000001</v>
      </c>
      <c r="V3439">
        <v>7.0063349999999996E-2</v>
      </c>
      <c r="W3439">
        <v>0.1962102</v>
      </c>
      <c r="X3439">
        <v>0.97805549999999997</v>
      </c>
      <c r="Y3439">
        <v>0.19371840000000001</v>
      </c>
      <c r="Z3439">
        <v>3.5493110000000001E-2</v>
      </c>
      <c r="AA3439">
        <v>0.98041489999999998</v>
      </c>
      <c r="AB3439">
        <v>33</v>
      </c>
      <c r="AC3439">
        <v>-5.0465999999999802</v>
      </c>
      <c r="AD3439">
        <v>-1.119819517629</v>
      </c>
      <c r="AE3439">
        <v>-21.842899999999901</v>
      </c>
      <c r="AF3439">
        <v>4.3985492855635302</v>
      </c>
      <c r="AG3439">
        <v>-1.119819517629</v>
      </c>
      <c r="AH3439">
        <v>21.925660311761501</v>
      </c>
      <c r="AI3439">
        <v>92.866734796183195</v>
      </c>
      <c r="AJ3439">
        <v>78.656358352728105</v>
      </c>
      <c r="AK3439">
        <v>22.390529508619199</v>
      </c>
      <c r="AL3439">
        <v>78.684570513203596</v>
      </c>
      <c r="AM3439">
        <v>85.902595880805904</v>
      </c>
      <c r="AN3439">
        <v>0.999999938338754</v>
      </c>
    </row>
    <row r="3440" spans="1:40" x14ac:dyDescent="0.25">
      <c r="A3440" t="str">
        <f>"20190303170606678"</f>
        <v>20190303170606678</v>
      </c>
      <c r="B3440" t="str">
        <f>"1551603966668135"</f>
        <v>1551603966668135</v>
      </c>
      <c r="C3440" t="s">
        <v>40</v>
      </c>
      <c r="D3440">
        <v>5.6841140000000001</v>
      </c>
      <c r="E3440">
        <v>0.55586709999999995</v>
      </c>
      <c r="F3440" t="s">
        <v>41</v>
      </c>
      <c r="G3440">
        <v>-193.39580000000001</v>
      </c>
      <c r="H3440" s="1">
        <v>-2.5169279999999999E-6</v>
      </c>
      <c r="I3440">
        <v>163.00470000000001</v>
      </c>
      <c r="J3440">
        <v>-188.34209999999999</v>
      </c>
      <c r="K3440">
        <v>1.119999</v>
      </c>
      <c r="L3440">
        <v>184.39609999999999</v>
      </c>
      <c r="M3440">
        <v>-3.0714330000000001E-2</v>
      </c>
      <c r="N3440">
        <v>-1.3839819999999999E-2</v>
      </c>
      <c r="O3440">
        <v>-0.99943249999999995</v>
      </c>
      <c r="P3440">
        <v>-0.1001215</v>
      </c>
      <c r="Q3440">
        <v>0.18615909999999999</v>
      </c>
      <c r="R3440">
        <v>-0.97740550000000004</v>
      </c>
      <c r="S3440">
        <v>-0.701690699999999</v>
      </c>
      <c r="T3440">
        <v>-0.15500529999999901</v>
      </c>
      <c r="U3440">
        <v>-3.0254669999999999</v>
      </c>
      <c r="V3440">
        <v>7.0624010000000001E-2</v>
      </c>
      <c r="W3440">
        <v>0.19950270000000001</v>
      </c>
      <c r="X3440">
        <v>0.97734889999999996</v>
      </c>
      <c r="Y3440">
        <v>0.1956685</v>
      </c>
      <c r="Z3440">
        <v>3.6195949999999998E-2</v>
      </c>
      <c r="AA3440">
        <v>0.98000189999999998</v>
      </c>
      <c r="AB3440">
        <v>33</v>
      </c>
      <c r="AC3440">
        <v>-5.0537000000000196</v>
      </c>
      <c r="AD3440">
        <v>-1.120001516928</v>
      </c>
      <c r="AE3440">
        <v>-21.391399999999901</v>
      </c>
      <c r="AF3440">
        <v>4.3828502215661498</v>
      </c>
      <c r="AG3440">
        <v>-1.120001516928</v>
      </c>
      <c r="AH3440">
        <v>21.480768884540399</v>
      </c>
      <c r="AI3440">
        <v>92.924537146839498</v>
      </c>
      <c r="AJ3440">
        <v>78.467889229372204</v>
      </c>
      <c r="AK3440">
        <v>21.951929558324501</v>
      </c>
      <c r="AL3440">
        <v>78.492119914451095</v>
      </c>
      <c r="AM3440">
        <v>85.866945096291005</v>
      </c>
      <c r="AN3440">
        <v>0.99999997521348905</v>
      </c>
    </row>
    <row r="3441" spans="1:40" x14ac:dyDescent="0.25">
      <c r="A3441" t="str">
        <f>"20190303170606701"</f>
        <v>20190303170606701</v>
      </c>
      <c r="B3441" t="str">
        <f>"1551603966688631"</f>
        <v>1551603966688631</v>
      </c>
      <c r="C3441" t="s">
        <v>40</v>
      </c>
      <c r="D3441">
        <v>5.6968870000000003</v>
      </c>
      <c r="E3441">
        <v>0.55625219999999997</v>
      </c>
      <c r="F3441" t="s">
        <v>41</v>
      </c>
      <c r="G3441">
        <v>-193.91720000000001</v>
      </c>
      <c r="H3441" s="1">
        <v>-1.6399219999999999E-6</v>
      </c>
      <c r="I3441">
        <v>160.85589999999999</v>
      </c>
      <c r="J3441">
        <v>-188.35319999999999</v>
      </c>
      <c r="K3441">
        <v>1.1201099999999999</v>
      </c>
      <c r="L3441">
        <v>184.07</v>
      </c>
      <c r="M3441">
        <v>-3.1723300000000003E-2</v>
      </c>
      <c r="N3441">
        <v>-1.382737E-2</v>
      </c>
      <c r="O3441">
        <v>-0.99940110000000004</v>
      </c>
      <c r="P3441">
        <v>-0.10174329999999999</v>
      </c>
      <c r="Q3441">
        <v>0.1884961</v>
      </c>
      <c r="R3441">
        <v>-0.97678969999999998</v>
      </c>
      <c r="S3441">
        <v>-0.71604919999999905</v>
      </c>
      <c r="T3441">
        <v>-0.14384849999999999</v>
      </c>
      <c r="U3441">
        <v>-3.0234070000000002</v>
      </c>
      <c r="V3441">
        <v>7.1229169999999994E-2</v>
      </c>
      <c r="W3441">
        <v>0.2018374</v>
      </c>
      <c r="X3441">
        <v>0.97682550000000001</v>
      </c>
      <c r="Y3441">
        <v>0.19926769999999999</v>
      </c>
      <c r="Z3441">
        <v>3.2606830000000003E-2</v>
      </c>
      <c r="AA3441">
        <v>0.97940249999999995</v>
      </c>
      <c r="AB3441">
        <v>33</v>
      </c>
      <c r="AC3441">
        <v>-5.5640000000000196</v>
      </c>
      <c r="AD3441">
        <v>-1.1201116399219999</v>
      </c>
      <c r="AE3441">
        <v>-23.214099999999998</v>
      </c>
      <c r="AF3441">
        <v>4.8141015641870499</v>
      </c>
      <c r="AG3441">
        <v>-1.1201116399219999</v>
      </c>
      <c r="AH3441">
        <v>23.327578606323801</v>
      </c>
      <c r="AI3441">
        <v>92.692390262124505</v>
      </c>
      <c r="AJ3441">
        <v>78.339590140233199</v>
      </c>
      <c r="AK3441">
        <v>23.8454638787005</v>
      </c>
      <c r="AL3441">
        <v>78.355574143873497</v>
      </c>
      <c r="AM3441">
        <v>85.829428662062597</v>
      </c>
      <c r="AN3441">
        <v>0.99999999407394902</v>
      </c>
    </row>
    <row r="3442" spans="1:40" x14ac:dyDescent="0.25">
      <c r="A3442" t="str">
        <f>"20190303170606725"</f>
        <v>20190303170606725</v>
      </c>
      <c r="B3442" t="str">
        <f>"1551603966717911"</f>
        <v>1551603966717911</v>
      </c>
      <c r="C3442" t="s">
        <v>40</v>
      </c>
      <c r="D3442">
        <v>5.7011609999999999</v>
      </c>
      <c r="E3442">
        <v>0.556845699999999</v>
      </c>
      <c r="F3442" t="s">
        <v>84</v>
      </c>
      <c r="G3442">
        <v>-194.3931</v>
      </c>
      <c r="H3442" s="1">
        <v>-1.478965E-5</v>
      </c>
      <c r="I3442">
        <v>158.8698</v>
      </c>
      <c r="J3442">
        <v>-188.36519999999999</v>
      </c>
      <c r="K3442">
        <v>1.120236</v>
      </c>
      <c r="L3442">
        <v>183.72790000000001</v>
      </c>
      <c r="M3442">
        <v>-3.2628650000000002E-2</v>
      </c>
      <c r="N3442">
        <v>-1.381552E-2</v>
      </c>
      <c r="O3442">
        <v>-0.99937209999999999</v>
      </c>
      <c r="P3442">
        <v>-0.10389279999999999</v>
      </c>
      <c r="Q3442">
        <v>0.186971</v>
      </c>
      <c r="R3442">
        <v>-0.97685630000000001</v>
      </c>
      <c r="S3442">
        <v>-0.72424319999999998</v>
      </c>
      <c r="T3442">
        <v>-0.134315299999999</v>
      </c>
      <c r="U3442">
        <v>-3.0217900000000002</v>
      </c>
      <c r="V3442">
        <v>7.2424290000000002E-2</v>
      </c>
      <c r="W3442">
        <v>0.20032159999999999</v>
      </c>
      <c r="X3442">
        <v>0.97704959999999996</v>
      </c>
      <c r="Y3442">
        <v>0.20103589999999999</v>
      </c>
      <c r="Z3442">
        <v>2.9551190000000001E-2</v>
      </c>
      <c r="AA3442">
        <v>0.97913799999999995</v>
      </c>
      <c r="AB3442">
        <v>33</v>
      </c>
      <c r="AC3442">
        <v>-6.0279000000000096</v>
      </c>
      <c r="AD3442">
        <v>-1.12025078965</v>
      </c>
      <c r="AE3442">
        <v>-24.8581</v>
      </c>
      <c r="AF3442">
        <v>5.20354505754573</v>
      </c>
      <c r="AG3442">
        <v>-1.12025078965</v>
      </c>
      <c r="AH3442">
        <v>24.993621432929601</v>
      </c>
      <c r="AI3442">
        <v>92.512558575013301</v>
      </c>
      <c r="AJ3442">
        <v>78.239311796090007</v>
      </c>
      <c r="AK3442">
        <v>25.554118167728198</v>
      </c>
      <c r="AL3442">
        <v>78.444233710614398</v>
      </c>
      <c r="AM3442">
        <v>85.760674809875198</v>
      </c>
      <c r="AN3442">
        <v>0.999999971034361</v>
      </c>
    </row>
    <row r="3443" spans="1:40" x14ac:dyDescent="0.25">
      <c r="A3443" t="str">
        <f>"20190303170606749"</f>
        <v>20190303170606749</v>
      </c>
      <c r="B3443" t="str">
        <f>"1551603966738407"</f>
        <v>1551603966738407</v>
      </c>
      <c r="C3443" t="s">
        <v>40</v>
      </c>
      <c r="D3443">
        <v>5.7011479999999999</v>
      </c>
      <c r="E3443">
        <v>0.55715719999999902</v>
      </c>
      <c r="F3443" t="s">
        <v>84</v>
      </c>
      <c r="G3443">
        <v>-194.33090000000001</v>
      </c>
      <c r="H3443" s="1">
        <v>-1.488092E-5</v>
      </c>
      <c r="I3443">
        <v>159.23249999999999</v>
      </c>
      <c r="J3443">
        <v>-188.37739999999999</v>
      </c>
      <c r="K3443">
        <v>1.120355</v>
      </c>
      <c r="L3443">
        <v>183.3819</v>
      </c>
      <c r="M3443">
        <v>-3.3382950000000002E-2</v>
      </c>
      <c r="N3443">
        <v>-1.3804779999999999E-2</v>
      </c>
      <c r="O3443">
        <v>-0.9993476</v>
      </c>
      <c r="P3443">
        <v>-0.10491929999999999</v>
      </c>
      <c r="Q3443">
        <v>0.18363479999999999</v>
      </c>
      <c r="R3443">
        <v>-0.97737969999999996</v>
      </c>
      <c r="S3443">
        <v>-0.73533630000000005</v>
      </c>
      <c r="T3443">
        <v>-0.13808199999999901</v>
      </c>
      <c r="U3443">
        <v>-3.0193020000000002</v>
      </c>
      <c r="V3443">
        <v>7.2620409999999996E-2</v>
      </c>
      <c r="W3443">
        <v>0.1970073</v>
      </c>
      <c r="X3443">
        <v>0.97770880000000004</v>
      </c>
      <c r="Y3443">
        <v>0.20386589999999999</v>
      </c>
      <c r="Z3443">
        <v>3.0778460000000001E-2</v>
      </c>
      <c r="AA3443">
        <v>0.97851489999999997</v>
      </c>
      <c r="AB3443">
        <v>33</v>
      </c>
      <c r="AC3443">
        <v>-5.9535000000000098</v>
      </c>
      <c r="AD3443">
        <v>-1.12036988092</v>
      </c>
      <c r="AE3443">
        <v>-24.1494</v>
      </c>
      <c r="AF3443">
        <v>5.1335103005340397</v>
      </c>
      <c r="AG3443">
        <v>-1.12036988092</v>
      </c>
      <c r="AH3443">
        <v>24.2854260267477</v>
      </c>
      <c r="AI3443">
        <v>92.584351059477697</v>
      </c>
      <c r="AJ3443">
        <v>78.064384782938305</v>
      </c>
      <c r="AK3443">
        <v>24.847335349618401</v>
      </c>
      <c r="AL3443">
        <v>78.637992176231293</v>
      </c>
      <c r="AM3443">
        <v>85.752092524890202</v>
      </c>
      <c r="AN3443">
        <v>1.0000000488996399</v>
      </c>
    </row>
    <row r="3444" spans="1:40" x14ac:dyDescent="0.25">
      <c r="A3444" t="str">
        <f>"20190303170606769"</f>
        <v>20190303170606769</v>
      </c>
      <c r="B3444" t="str">
        <f>"1551603966757927"</f>
        <v>1551603966757927</v>
      </c>
      <c r="C3444" t="s">
        <v>40</v>
      </c>
      <c r="D3444">
        <v>5.6699469999999996</v>
      </c>
      <c r="E3444">
        <v>0.5574133</v>
      </c>
      <c r="F3444" t="s">
        <v>41</v>
      </c>
      <c r="G3444">
        <v>-194.00110000000001</v>
      </c>
      <c r="H3444" s="1">
        <v>-1.4881889999999999E-6</v>
      </c>
      <c r="I3444">
        <v>160.48769999999999</v>
      </c>
      <c r="J3444">
        <v>-188.38810000000001</v>
      </c>
      <c r="K3444">
        <v>1.120455</v>
      </c>
      <c r="L3444">
        <v>183.08279999999999</v>
      </c>
      <c r="M3444">
        <v>-3.393856E-2</v>
      </c>
      <c r="N3444">
        <v>-1.379643E-2</v>
      </c>
      <c r="O3444">
        <v>-0.99932869999999996</v>
      </c>
      <c r="P3444">
        <v>-0.1043487</v>
      </c>
      <c r="Q3444">
        <v>0.18083440000000001</v>
      </c>
      <c r="R3444">
        <v>-0.97796240000000001</v>
      </c>
      <c r="S3444">
        <v>-0.7412415</v>
      </c>
      <c r="T3444">
        <v>-0.14767130000000001</v>
      </c>
      <c r="U3444">
        <v>-3.0176240000000001</v>
      </c>
      <c r="V3444">
        <v>7.1426890000000007E-2</v>
      </c>
      <c r="W3444">
        <v>0.1942287</v>
      </c>
      <c r="X3444">
        <v>0.97835240000000001</v>
      </c>
      <c r="Y3444">
        <v>0.20522460000000001</v>
      </c>
      <c r="Z3444">
        <v>3.3881199999999903E-2</v>
      </c>
      <c r="AA3444">
        <v>0.97812829999999995</v>
      </c>
      <c r="AB3444">
        <v>33</v>
      </c>
      <c r="AC3444">
        <v>-5.6130000000000004</v>
      </c>
      <c r="AD3444">
        <v>-1.120456488189</v>
      </c>
      <c r="AE3444">
        <v>-22.595099999999999</v>
      </c>
      <c r="AF3444">
        <v>4.8316571649784903</v>
      </c>
      <c r="AG3444">
        <v>-1.120456488189</v>
      </c>
      <c r="AH3444">
        <v>22.719974751699301</v>
      </c>
      <c r="AI3444">
        <v>92.761648681135995</v>
      </c>
      <c r="AJ3444">
        <v>77.994263779714601</v>
      </c>
      <c r="AK3444">
        <v>23.255055072385101</v>
      </c>
      <c r="AL3444">
        <v>78.800330117435294</v>
      </c>
      <c r="AM3444">
        <v>85.824396735713194</v>
      </c>
      <c r="AN3444">
        <v>1.00000000355226</v>
      </c>
    </row>
    <row r="3445" spans="1:40" x14ac:dyDescent="0.25">
      <c r="A3445" t="str">
        <f>"20190303170606791"</f>
        <v>20190303170606791</v>
      </c>
      <c r="B3445" t="str">
        <f>"1551603966778424"</f>
        <v>1551603966778424</v>
      </c>
      <c r="C3445" t="s">
        <v>40</v>
      </c>
      <c r="D3445">
        <v>5.6792179999999997</v>
      </c>
      <c r="E3445">
        <v>0.55758169999999996</v>
      </c>
      <c r="F3445" t="s">
        <v>41</v>
      </c>
      <c r="G3445">
        <v>-193.71780000000001</v>
      </c>
      <c r="H3445" s="1">
        <v>-1.836812E-6</v>
      </c>
      <c r="I3445">
        <v>161.38470000000001</v>
      </c>
      <c r="J3445">
        <v>-188.39930000000001</v>
      </c>
      <c r="K3445">
        <v>1.120557</v>
      </c>
      <c r="L3445">
        <v>182.7696</v>
      </c>
      <c r="M3445">
        <v>-3.4425030000000002E-2</v>
      </c>
      <c r="N3445">
        <v>-1.3788460000000001E-2</v>
      </c>
      <c r="O3445">
        <v>-0.99931239999999999</v>
      </c>
      <c r="P3445">
        <v>-0.103676</v>
      </c>
      <c r="Q3445">
        <v>0.18052170000000001</v>
      </c>
      <c r="R3445">
        <v>-0.97809199999999996</v>
      </c>
      <c r="S3445">
        <v>-0.74114990000000003</v>
      </c>
      <c r="T3445">
        <v>-0.15581020000000001</v>
      </c>
      <c r="U3445">
        <v>-3.017334</v>
      </c>
      <c r="V3445">
        <v>7.0222919999999994E-2</v>
      </c>
      <c r="W3445">
        <v>0.19392980000000001</v>
      </c>
      <c r="X3445">
        <v>0.9784988</v>
      </c>
      <c r="Y3445">
        <v>0.20471639999999999</v>
      </c>
      <c r="Z3445">
        <v>3.6515199999999998E-2</v>
      </c>
      <c r="AA3445">
        <v>0.97814000000000001</v>
      </c>
      <c r="AB3445">
        <v>32</v>
      </c>
      <c r="AC3445">
        <v>-5.3185000000000002</v>
      </c>
      <c r="AD3445">
        <v>-1.1205588368120001</v>
      </c>
      <c r="AE3445">
        <v>-21.384899999999899</v>
      </c>
      <c r="AF3445">
        <v>4.5672914203868196</v>
      </c>
      <c r="AG3445">
        <v>-1.1205588368120001</v>
      </c>
      <c r="AH3445">
        <v>21.499735862227102</v>
      </c>
      <c r="AI3445">
        <v>92.918525396716504</v>
      </c>
      <c r="AJ3445">
        <v>78.006676725229397</v>
      </c>
      <c r="AK3445">
        <v>22.008054097784999</v>
      </c>
      <c r="AL3445">
        <v>78.817787317020603</v>
      </c>
      <c r="AM3445">
        <v>85.8951500366217</v>
      </c>
      <c r="AN3445">
        <v>0.99999996371140198</v>
      </c>
    </row>
    <row r="3446" spans="1:40" x14ac:dyDescent="0.25">
      <c r="A3446" t="str">
        <f>"20190303170606815"</f>
        <v>20190303170606815</v>
      </c>
      <c r="B3446" t="str">
        <f>"1551603966808679"</f>
        <v>1551603966808679</v>
      </c>
      <c r="C3446" t="s">
        <v>40</v>
      </c>
      <c r="D3446">
        <v>5.7049709999999996</v>
      </c>
      <c r="E3446">
        <v>0.55788000000000004</v>
      </c>
      <c r="F3446" t="s">
        <v>41</v>
      </c>
      <c r="G3446">
        <v>-193.75290000000001</v>
      </c>
      <c r="H3446" s="1">
        <v>-1.6614380000000001E-6</v>
      </c>
      <c r="I3446">
        <v>160.9939</v>
      </c>
      <c r="J3446">
        <v>-188.4117</v>
      </c>
      <c r="K3446">
        <v>1.120652</v>
      </c>
      <c r="L3446">
        <v>182.42660000000001</v>
      </c>
      <c r="M3446">
        <v>-3.4864470000000002E-2</v>
      </c>
      <c r="N3446">
        <v>-1.3780519999999999E-2</v>
      </c>
      <c r="O3446">
        <v>-0.99929730000000005</v>
      </c>
      <c r="P3446">
        <v>-0.10332379999999999</v>
      </c>
      <c r="Q3446">
        <v>0.18060699999999999</v>
      </c>
      <c r="R3446">
        <v>-0.97811360000000003</v>
      </c>
      <c r="S3446">
        <v>-0.74179079999999997</v>
      </c>
      <c r="T3446">
        <v>-0.15526389999999901</v>
      </c>
      <c r="U3446">
        <v>-3.0172270000000001</v>
      </c>
      <c r="V3446">
        <v>6.9395059999999995E-2</v>
      </c>
      <c r="W3446">
        <v>0.19402520000000001</v>
      </c>
      <c r="X3446">
        <v>0.97853900000000005</v>
      </c>
      <c r="Y3446">
        <v>0.2044918</v>
      </c>
      <c r="Z3446">
        <v>3.6348610000000003E-2</v>
      </c>
      <c r="AA3446">
        <v>0.97819319999999998</v>
      </c>
      <c r="AB3446">
        <v>32</v>
      </c>
      <c r="AC3446">
        <v>-5.3412000000000104</v>
      </c>
      <c r="AD3446">
        <v>-1.120653661438</v>
      </c>
      <c r="AE3446">
        <v>-21.432700000000001</v>
      </c>
      <c r="AF3446">
        <v>4.5788553769703997</v>
      </c>
      <c r="AG3446">
        <v>-1.120653661438</v>
      </c>
      <c r="AH3446">
        <v>21.550430757011899</v>
      </c>
      <c r="AI3446">
        <v>92.911895912827802</v>
      </c>
      <c r="AJ3446">
        <v>78.004655375957498</v>
      </c>
      <c r="AK3446">
        <v>22.059982933013998</v>
      </c>
      <c r="AL3446">
        <v>78.812216032445804</v>
      </c>
      <c r="AM3446">
        <v>85.943545808035907</v>
      </c>
      <c r="AN3446">
        <v>1.00000001355422</v>
      </c>
    </row>
    <row r="3447" spans="1:40" x14ac:dyDescent="0.25">
      <c r="A3447" t="str">
        <f>"20190303170606836"</f>
        <v>20190303170606836</v>
      </c>
      <c r="B3447" t="str">
        <f>"1551603966828199"</f>
        <v>1551603966828199</v>
      </c>
      <c r="C3447" t="s">
        <v>40</v>
      </c>
      <c r="D3447">
        <v>5.6369939999999996</v>
      </c>
      <c r="E3447">
        <v>0.55806339999999999</v>
      </c>
      <c r="F3447" t="s">
        <v>41</v>
      </c>
      <c r="G3447">
        <v>-193.82560000000001</v>
      </c>
      <c r="H3447" s="1">
        <v>-1.4081319999999999E-6</v>
      </c>
      <c r="I3447">
        <v>160.41720000000001</v>
      </c>
      <c r="J3447">
        <v>-188.423</v>
      </c>
      <c r="K3447">
        <v>1.120717</v>
      </c>
      <c r="L3447">
        <v>182.11250000000001</v>
      </c>
      <c r="M3447">
        <v>-3.5207820000000001E-2</v>
      </c>
      <c r="N3447">
        <v>-1.377388E-2</v>
      </c>
      <c r="O3447">
        <v>-0.99928519999999998</v>
      </c>
      <c r="P3447">
        <v>-0.102104</v>
      </c>
      <c r="Q3447">
        <v>0.17982719999999999</v>
      </c>
      <c r="R3447">
        <v>-0.97838499999999995</v>
      </c>
      <c r="S3447">
        <v>-0.74215699999999996</v>
      </c>
      <c r="T3447">
        <v>-0.1536227</v>
      </c>
      <c r="U3447">
        <v>-3.0171199999999998</v>
      </c>
      <c r="V3447">
        <v>6.7798780000000003E-2</v>
      </c>
      <c r="W3447">
        <v>0.1932547</v>
      </c>
      <c r="X3447">
        <v>0.97880330000000004</v>
      </c>
      <c r="Y3447">
        <v>0.20428080000000001</v>
      </c>
      <c r="Z3447">
        <v>3.5828899999999997E-2</v>
      </c>
      <c r="AA3447">
        <v>0.97825640000000003</v>
      </c>
      <c r="AB3447">
        <v>32</v>
      </c>
      <c r="AC3447">
        <v>-5.4025999999999996</v>
      </c>
      <c r="AD3447">
        <v>-1.1207184081320001</v>
      </c>
      <c r="AE3447">
        <v>-21.6953</v>
      </c>
      <c r="AF3447">
        <v>4.6237154313456497</v>
      </c>
      <c r="AG3447">
        <v>-1.1207184081320001</v>
      </c>
      <c r="AH3447">
        <v>21.8172592478094</v>
      </c>
      <c r="AI3447">
        <v>92.876825340252694</v>
      </c>
      <c r="AJ3447">
        <v>78.0343929013587</v>
      </c>
      <c r="AK3447">
        <v>22.3299698886164</v>
      </c>
      <c r="AL3447">
        <v>78.8572137112414</v>
      </c>
      <c r="AM3447">
        <v>86.037621517977797</v>
      </c>
      <c r="AN3447">
        <v>0.99999997686623399</v>
      </c>
    </row>
    <row r="3448" spans="1:40" x14ac:dyDescent="0.25">
      <c r="A3448" t="str">
        <f>"20190303170606857"</f>
        <v>20190303170606857</v>
      </c>
      <c r="B3448" t="str">
        <f>"1551603966848696"</f>
        <v>1551603966848696</v>
      </c>
      <c r="C3448" t="s">
        <v>40</v>
      </c>
      <c r="D3448">
        <v>5.6191389999999997</v>
      </c>
      <c r="E3448">
        <v>0.55818970000000001</v>
      </c>
      <c r="F3448" t="s">
        <v>41</v>
      </c>
      <c r="G3448">
        <v>-193.80330000000001</v>
      </c>
      <c r="H3448" s="1">
        <v>-1.2943729999999999E-6</v>
      </c>
      <c r="I3448">
        <v>160.1891</v>
      </c>
      <c r="J3448">
        <v>-188.43430000000001</v>
      </c>
      <c r="K3448">
        <v>1.120765</v>
      </c>
      <c r="L3448">
        <v>181.80330000000001</v>
      </c>
      <c r="M3448">
        <v>-3.5514549999999999E-2</v>
      </c>
      <c r="N3448">
        <v>-1.3767949999999999E-2</v>
      </c>
      <c r="O3448">
        <v>-0.99927460000000001</v>
      </c>
      <c r="P3448">
        <v>-0.10036970000000001</v>
      </c>
      <c r="Q3448">
        <v>0.17929419999999999</v>
      </c>
      <c r="R3448">
        <v>-0.97866240000000004</v>
      </c>
      <c r="S3448">
        <v>-0.74049379999999998</v>
      </c>
      <c r="T3448">
        <v>-0.15424669999999999</v>
      </c>
      <c r="U3448">
        <v>-3.0173649999999999</v>
      </c>
      <c r="V3448">
        <v>6.5733100000000003E-2</v>
      </c>
      <c r="W3448">
        <v>0.19272839999999999</v>
      </c>
      <c r="X3448">
        <v>0.97904800000000003</v>
      </c>
      <c r="Y3448">
        <v>0.20345170000000001</v>
      </c>
      <c r="Z3448">
        <v>3.6038800000000003E-2</v>
      </c>
      <c r="AA3448">
        <v>0.97842150000000006</v>
      </c>
      <c r="AB3448">
        <v>32</v>
      </c>
      <c r="AC3448">
        <v>-5.3689999999999998</v>
      </c>
      <c r="AD3448">
        <v>-1.1207662943729999</v>
      </c>
      <c r="AE3448">
        <v>-21.6142</v>
      </c>
      <c r="AF3448">
        <v>4.58630644436077</v>
      </c>
      <c r="AG3448">
        <v>-1.1207662943729999</v>
      </c>
      <c r="AH3448">
        <v>21.7362110974648</v>
      </c>
      <c r="AI3448">
        <v>92.888200446706605</v>
      </c>
      <c r="AJ3448">
        <v>78.085442220160203</v>
      </c>
      <c r="AK3448">
        <v>22.2430482794454</v>
      </c>
      <c r="AL3448">
        <v>78.887946854090004</v>
      </c>
      <c r="AM3448">
        <v>86.158936658760297</v>
      </c>
      <c r="AN3448">
        <v>1.0000000314530799</v>
      </c>
    </row>
    <row r="3449" spans="1:40" x14ac:dyDescent="0.25">
      <c r="A3449" t="str">
        <f>"20190303170606879"</f>
        <v>20190303170606879</v>
      </c>
      <c r="B3449" t="str">
        <f>"1551603966868215"</f>
        <v>1551603966868215</v>
      </c>
      <c r="C3449" t="s">
        <v>40</v>
      </c>
      <c r="D3449">
        <v>5.6476300000000004</v>
      </c>
      <c r="E3449">
        <v>0.55832780000000004</v>
      </c>
      <c r="F3449" t="s">
        <v>41</v>
      </c>
      <c r="G3449">
        <v>-193.79990000000001</v>
      </c>
      <c r="H3449" s="1">
        <v>-1.1343530000000001E-6</v>
      </c>
      <c r="I3449">
        <v>159.85249999999999</v>
      </c>
      <c r="J3449">
        <v>-188.44640000000001</v>
      </c>
      <c r="K3449">
        <v>1.120803</v>
      </c>
      <c r="L3449">
        <v>181.47450000000001</v>
      </c>
      <c r="M3449">
        <v>-3.5827530000000003E-2</v>
      </c>
      <c r="N3449">
        <v>-1.376223E-2</v>
      </c>
      <c r="O3449">
        <v>-0.99926329999999997</v>
      </c>
      <c r="P3449">
        <v>-0.1002903</v>
      </c>
      <c r="Q3449">
        <v>0.18037839999999999</v>
      </c>
      <c r="R3449">
        <v>-0.97847099999999998</v>
      </c>
      <c r="S3449">
        <v>-0.73770139999999995</v>
      </c>
      <c r="T3449">
        <v>-0.15409229999999999</v>
      </c>
      <c r="U3449">
        <v>-3.0179900000000002</v>
      </c>
      <c r="V3449">
        <v>6.5338839999999995E-2</v>
      </c>
      <c r="W3449">
        <v>0.19381000000000001</v>
      </c>
      <c r="X3449">
        <v>0.97886079999999998</v>
      </c>
      <c r="Y3449">
        <v>0.20224490000000001</v>
      </c>
      <c r="Z3449">
        <v>3.5995949999999999E-2</v>
      </c>
      <c r="AA3449">
        <v>0.97867320000000002</v>
      </c>
      <c r="AB3449">
        <v>32</v>
      </c>
      <c r="AC3449">
        <v>-5.3534999999999897</v>
      </c>
      <c r="AD3449">
        <v>-1.120804134353</v>
      </c>
      <c r="AE3449">
        <v>-21.622</v>
      </c>
      <c r="AF3449">
        <v>4.5637716476076902</v>
      </c>
      <c r="AG3449">
        <v>-1.120804134353</v>
      </c>
      <c r="AH3449">
        <v>21.744883076390298</v>
      </c>
      <c r="AI3449">
        <v>92.887798738291906</v>
      </c>
      <c r="AJ3449">
        <v>78.146918214500303</v>
      </c>
      <c r="AK3449">
        <v>22.246890874119401</v>
      </c>
      <c r="AL3449">
        <v>78.824784204405702</v>
      </c>
      <c r="AM3449">
        <v>86.181178570061903</v>
      </c>
      <c r="AN3449">
        <v>0.99999997294459197</v>
      </c>
    </row>
    <row r="3450" spans="1:40" x14ac:dyDescent="0.25">
      <c r="A3450" t="str">
        <f>"20190303170606902"</f>
        <v>20190303170606902</v>
      </c>
      <c r="B3450" t="str">
        <f>"1551603966888712"</f>
        <v>1551603966888712</v>
      </c>
      <c r="C3450" t="s">
        <v>40</v>
      </c>
      <c r="D3450">
        <v>5.6615149999999996</v>
      </c>
      <c r="E3450">
        <v>0.55851039999999996</v>
      </c>
      <c r="F3450" t="s">
        <v>84</v>
      </c>
      <c r="G3450">
        <v>-193.97810000000001</v>
      </c>
      <c r="H3450" s="1">
        <v>-1.4790920000000001E-5</v>
      </c>
      <c r="I3450">
        <v>158.87479999999999</v>
      </c>
      <c r="J3450">
        <v>-188.45840000000001</v>
      </c>
      <c r="K3450">
        <v>1.12083</v>
      </c>
      <c r="L3450">
        <v>181.15100000000001</v>
      </c>
      <c r="M3450">
        <v>-3.6135300000000002E-2</v>
      </c>
      <c r="N3450">
        <v>-1.3757129999999999E-2</v>
      </c>
      <c r="O3450">
        <v>-0.99925209999999998</v>
      </c>
      <c r="P3450">
        <v>-0.1016803</v>
      </c>
      <c r="Q3450">
        <v>0.18304409999999999</v>
      </c>
      <c r="R3450">
        <v>-0.97783220000000004</v>
      </c>
      <c r="S3450">
        <v>-0.73867799999999995</v>
      </c>
      <c r="T3450">
        <v>-0.14966960000000001</v>
      </c>
      <c r="U3450">
        <v>-3.017868</v>
      </c>
      <c r="V3450">
        <v>6.6440540000000006E-2</v>
      </c>
      <c r="W3450">
        <v>0.196465</v>
      </c>
      <c r="X3450">
        <v>0.97825720000000005</v>
      </c>
      <c r="Y3450">
        <v>0.2022651</v>
      </c>
      <c r="Z3450">
        <v>3.4577289999999997E-2</v>
      </c>
      <c r="AA3450">
        <v>0.97872020000000004</v>
      </c>
      <c r="AB3450">
        <v>32</v>
      </c>
      <c r="AC3450">
        <v>-5.5197000000000003</v>
      </c>
      <c r="AD3450">
        <v>-1.1208447909199999</v>
      </c>
      <c r="AE3450">
        <v>-22.2761999999999</v>
      </c>
      <c r="AF3450">
        <v>4.6998507566516396</v>
      </c>
      <c r="AG3450">
        <v>-1.1208447909199999</v>
      </c>
      <c r="AH3450">
        <v>22.407676194870401</v>
      </c>
      <c r="AI3450">
        <v>92.802696692313802</v>
      </c>
      <c r="AJ3450">
        <v>78.154330730980504</v>
      </c>
      <c r="AK3450">
        <v>22.922670931510002</v>
      </c>
      <c r="AL3450">
        <v>78.669682414027804</v>
      </c>
      <c r="AM3450">
        <v>86.114594956608897</v>
      </c>
      <c r="AN3450">
        <v>0.99999999546616503</v>
      </c>
    </row>
    <row r="3451" spans="1:40" x14ac:dyDescent="0.25">
      <c r="A3451" t="str">
        <f>"20190303170606926"</f>
        <v>20190303170606926</v>
      </c>
      <c r="B3451" t="str">
        <f>"1551603966917991"</f>
        <v>1551603966917991</v>
      </c>
      <c r="C3451" t="s">
        <v>40</v>
      </c>
      <c r="D3451">
        <v>5.6502080000000001</v>
      </c>
      <c r="E3451">
        <v>0.55885169999999995</v>
      </c>
      <c r="F3451" t="s">
        <v>84</v>
      </c>
      <c r="G3451">
        <v>-194.3717</v>
      </c>
      <c r="H3451" s="1">
        <v>-1.431465E-5</v>
      </c>
      <c r="I3451">
        <v>157.15870000000001</v>
      </c>
      <c r="J3451">
        <v>-188.47139999999999</v>
      </c>
      <c r="K3451">
        <v>1.120849</v>
      </c>
      <c r="L3451">
        <v>180.8049</v>
      </c>
      <c r="M3451">
        <v>-3.6472539999999998E-2</v>
      </c>
      <c r="N3451">
        <v>-1.375214E-2</v>
      </c>
      <c r="O3451">
        <v>-0.99924020000000002</v>
      </c>
      <c r="P3451">
        <v>-0.10448979999999999</v>
      </c>
      <c r="Q3451">
        <v>0.1837907</v>
      </c>
      <c r="R3451">
        <v>-0.97739620000000005</v>
      </c>
      <c r="S3451">
        <v>-0.74359129999999996</v>
      </c>
      <c r="T3451">
        <v>-0.1409464</v>
      </c>
      <c r="U3451">
        <v>-3.0170439999999998</v>
      </c>
      <c r="V3451">
        <v>6.8926219999999996E-2</v>
      </c>
      <c r="W3451">
        <v>0.1972032</v>
      </c>
      <c r="X3451">
        <v>0.97793660000000004</v>
      </c>
      <c r="Y3451">
        <v>0.20352500000000001</v>
      </c>
      <c r="Z3451">
        <v>3.1771340000000002E-2</v>
      </c>
      <c r="AA3451">
        <v>0.97855409999999998</v>
      </c>
      <c r="AB3451">
        <v>32</v>
      </c>
      <c r="AC3451">
        <v>-5.9003000000000103</v>
      </c>
      <c r="AD3451">
        <v>-1.12086331465</v>
      </c>
      <c r="AE3451">
        <v>-23.6462</v>
      </c>
      <c r="AF3451">
        <v>5.0232300153077496</v>
      </c>
      <c r="AG3451">
        <v>-1.12086331465</v>
      </c>
      <c r="AH3451">
        <v>23.7953515494887</v>
      </c>
      <c r="AI3451">
        <v>92.638812080700205</v>
      </c>
      <c r="AJ3451">
        <v>78.079798760965204</v>
      </c>
      <c r="AK3451">
        <v>24.345593640750899</v>
      </c>
      <c r="AL3451">
        <v>78.626542306615505</v>
      </c>
      <c r="AM3451">
        <v>85.968387322686098</v>
      </c>
      <c r="AN3451">
        <v>0.99999995975664302</v>
      </c>
    </row>
    <row r="3452" spans="1:40" x14ac:dyDescent="0.25">
      <c r="A3452" t="str">
        <f>"20190303170606948"</f>
        <v>20190303170606948</v>
      </c>
      <c r="B3452" t="str">
        <f>"1551603966938488"</f>
        <v>1551603966938488</v>
      </c>
      <c r="C3452" t="s">
        <v>40</v>
      </c>
      <c r="D3452">
        <v>5.6295539999999997</v>
      </c>
      <c r="E3452">
        <v>0.55899140000000003</v>
      </c>
      <c r="F3452" t="s">
        <v>84</v>
      </c>
      <c r="G3452">
        <v>-194.6566</v>
      </c>
      <c r="H3452" s="1">
        <v>-1.3884239999999999E-5</v>
      </c>
      <c r="I3452">
        <v>156.09649999999999</v>
      </c>
      <c r="J3452">
        <v>-188.483</v>
      </c>
      <c r="K3452">
        <v>1.1208530000000001</v>
      </c>
      <c r="L3452">
        <v>180.4958</v>
      </c>
      <c r="M3452">
        <v>-3.6780380000000001E-2</v>
      </c>
      <c r="N3452">
        <v>-1.3747870000000001E-2</v>
      </c>
      <c r="O3452">
        <v>-0.99922900000000003</v>
      </c>
      <c r="P3452">
        <v>-0.1070675</v>
      </c>
      <c r="Q3452">
        <v>0.18117169999999999</v>
      </c>
      <c r="R3452">
        <v>-0.97760619999999998</v>
      </c>
      <c r="S3452">
        <v>-0.75459290000000001</v>
      </c>
      <c r="T3452">
        <v>-0.13674500000000001</v>
      </c>
      <c r="U3452">
        <v>-3.0144199999999999</v>
      </c>
      <c r="V3452">
        <v>7.1185819999999997E-2</v>
      </c>
      <c r="W3452">
        <v>0.1945847</v>
      </c>
      <c r="X3452">
        <v>0.97829929999999998</v>
      </c>
      <c r="Y3452">
        <v>0.2067946</v>
      </c>
      <c r="Z3452">
        <v>3.0426229999999999E-2</v>
      </c>
      <c r="AA3452">
        <v>0.97791119999999998</v>
      </c>
      <c r="AB3452">
        <v>32</v>
      </c>
      <c r="AC3452">
        <v>-6.1735999999999898</v>
      </c>
      <c r="AD3452">
        <v>-1.12086688424</v>
      </c>
      <c r="AE3452">
        <v>-24.3993</v>
      </c>
      <c r="AF3452">
        <v>5.2614863584371196</v>
      </c>
      <c r="AG3452">
        <v>-1.12086688424</v>
      </c>
      <c r="AH3452">
        <v>24.561162620129</v>
      </c>
      <c r="AI3452">
        <v>92.555034150948003</v>
      </c>
      <c r="AJ3452">
        <v>77.908855978504803</v>
      </c>
      <c r="AK3452">
        <v>25.143394570435898</v>
      </c>
      <c r="AL3452">
        <v>78.779536884964003</v>
      </c>
      <c r="AM3452">
        <v>85.838214961772806</v>
      </c>
      <c r="AN3452">
        <v>1.00000007341182</v>
      </c>
    </row>
    <row r="3453" spans="1:40" x14ac:dyDescent="0.25">
      <c r="A3453" t="str">
        <f>"20190303170606969"</f>
        <v>20190303170606969</v>
      </c>
      <c r="B3453" t="str">
        <f>"1551603966958007"</f>
        <v>1551603966958007</v>
      </c>
      <c r="C3453" t="s">
        <v>40</v>
      </c>
      <c r="D3453">
        <v>5.6491170000000004</v>
      </c>
      <c r="E3453">
        <v>0.55919869999999905</v>
      </c>
      <c r="F3453" t="s">
        <v>84</v>
      </c>
      <c r="G3453">
        <v>-194.44730000000001</v>
      </c>
      <c r="H3453" s="1">
        <v>-1.425394E-5</v>
      </c>
      <c r="I3453">
        <v>157.00149999999999</v>
      </c>
      <c r="J3453">
        <v>-188.49459999999999</v>
      </c>
      <c r="K3453">
        <v>1.1208450000000001</v>
      </c>
      <c r="L3453">
        <v>180.18950000000001</v>
      </c>
      <c r="M3453">
        <v>-3.7090280000000003E-2</v>
      </c>
      <c r="N3453">
        <v>-1.3744269999999999E-2</v>
      </c>
      <c r="O3453">
        <v>-0.99921749999999998</v>
      </c>
      <c r="P3453">
        <v>-0.1087986</v>
      </c>
      <c r="Q3453">
        <v>0.17699329999999999</v>
      </c>
      <c r="R3453">
        <v>-0.9781801</v>
      </c>
      <c r="S3453">
        <v>-0.76452640000000005</v>
      </c>
      <c r="T3453">
        <v>-0.14367739999999901</v>
      </c>
      <c r="U3453">
        <v>-3.0115970000000001</v>
      </c>
      <c r="V3453">
        <v>7.2584350000000006E-2</v>
      </c>
      <c r="W3453">
        <v>0.1904122</v>
      </c>
      <c r="X3453">
        <v>0.97901720000000003</v>
      </c>
      <c r="Y3453">
        <v>0.20971709999999999</v>
      </c>
      <c r="Z3453">
        <v>3.2671699999999998E-2</v>
      </c>
      <c r="AA3453">
        <v>0.97721610000000003</v>
      </c>
      <c r="AB3453">
        <v>32</v>
      </c>
      <c r="AC3453">
        <v>-5.9527000000000196</v>
      </c>
      <c r="AD3453">
        <v>-1.12085925394</v>
      </c>
      <c r="AE3453">
        <v>-23.187999999999999</v>
      </c>
      <c r="AF3453">
        <v>5.07734273089401</v>
      </c>
      <c r="AG3453">
        <v>-1.12085925394</v>
      </c>
      <c r="AH3453">
        <v>23.341682865585899</v>
      </c>
      <c r="AI3453">
        <v>92.686483890101499</v>
      </c>
      <c r="AJ3453">
        <v>77.728045161365003</v>
      </c>
      <c r="AK3453">
        <v>23.913801322075301</v>
      </c>
      <c r="AL3453">
        <v>79.023159152259197</v>
      </c>
      <c r="AM3453">
        <v>85.759847693624593</v>
      </c>
      <c r="AN3453">
        <v>0.99999998583480099</v>
      </c>
    </row>
    <row r="3454" spans="1:40" x14ac:dyDescent="0.25">
      <c r="A3454" t="str">
        <f>"20190303170606992"</f>
        <v>20190303170606992</v>
      </c>
      <c r="B3454" t="str">
        <f>"1551603966978504"</f>
        <v>1551603966978504</v>
      </c>
      <c r="C3454" t="s">
        <v>40</v>
      </c>
      <c r="D3454">
        <v>5.6452799999999996</v>
      </c>
      <c r="E3454">
        <v>0.55939749999999999</v>
      </c>
      <c r="F3454" t="s">
        <v>84</v>
      </c>
      <c r="G3454">
        <v>-194.07599999999999</v>
      </c>
      <c r="H3454" s="1">
        <v>-1.468421E-5</v>
      </c>
      <c r="I3454">
        <v>158.45070000000001</v>
      </c>
      <c r="J3454">
        <v>-188.50710000000001</v>
      </c>
      <c r="K3454">
        <v>1.120849</v>
      </c>
      <c r="L3454">
        <v>179.86439999999999</v>
      </c>
      <c r="M3454">
        <v>-3.7422049999999998E-2</v>
      </c>
      <c r="N3454">
        <v>-1.3740769999999999E-2</v>
      </c>
      <c r="O3454">
        <v>-0.99920509999999996</v>
      </c>
      <c r="P3454">
        <v>-0.1090317</v>
      </c>
      <c r="Q3454">
        <v>0.17721339999999999</v>
      </c>
      <c r="R3454">
        <v>-0.97811440000000005</v>
      </c>
      <c r="S3454">
        <v>-0.77256769999999997</v>
      </c>
      <c r="T3454">
        <v>-0.1551486</v>
      </c>
      <c r="U3454">
        <v>-3.009064</v>
      </c>
      <c r="V3454">
        <v>7.2492260000000003E-2</v>
      </c>
      <c r="W3454">
        <v>0.19062899999999999</v>
      </c>
      <c r="X3454">
        <v>0.97898189999999996</v>
      </c>
      <c r="Y3454">
        <v>0.21200160000000001</v>
      </c>
      <c r="Z3454">
        <v>3.6380500000000003E-2</v>
      </c>
      <c r="AA3454">
        <v>0.97659189999999996</v>
      </c>
      <c r="AB3454">
        <v>32</v>
      </c>
      <c r="AC3454">
        <v>-5.5688999999999798</v>
      </c>
      <c r="AD3454">
        <v>-1.1208636842099999</v>
      </c>
      <c r="AE3454">
        <v>-21.413699999999899</v>
      </c>
      <c r="AF3454">
        <v>4.7513850511928899</v>
      </c>
      <c r="AG3454">
        <v>-1.1208636842099999</v>
      </c>
      <c r="AH3454">
        <v>21.551809748893401</v>
      </c>
      <c r="AI3454">
        <v>92.907454403679907</v>
      </c>
      <c r="AJ3454">
        <v>77.567259321271095</v>
      </c>
      <c r="AK3454">
        <v>22.097793979394801</v>
      </c>
      <c r="AL3454">
        <v>79.010506391226897</v>
      </c>
      <c r="AM3454">
        <v>85.765055580419798</v>
      </c>
      <c r="AN3454">
        <v>1.00000005196425</v>
      </c>
    </row>
    <row r="3455" spans="1:40" x14ac:dyDescent="0.25">
      <c r="A3455" t="str">
        <f>"20190303170607015"</f>
        <v>20190303170607015</v>
      </c>
      <c r="B3455" t="str">
        <f>"1551603967008760"</f>
        <v>1551603967008760</v>
      </c>
      <c r="C3455" t="s">
        <v>40</v>
      </c>
      <c r="D3455">
        <v>5.6411629999999997</v>
      </c>
      <c r="E3455">
        <v>0.55968030000000002</v>
      </c>
      <c r="F3455" t="s">
        <v>84</v>
      </c>
      <c r="G3455">
        <v>-194.15430000000001</v>
      </c>
      <c r="H3455" s="1">
        <v>-1.455184E-5</v>
      </c>
      <c r="I3455">
        <v>157.9246</v>
      </c>
      <c r="J3455">
        <v>-188.52010000000001</v>
      </c>
      <c r="K3455">
        <v>1.1208629999999999</v>
      </c>
      <c r="L3455">
        <v>179.5282</v>
      </c>
      <c r="M3455">
        <v>-3.7767090000000003E-2</v>
      </c>
      <c r="N3455">
        <v>-1.373738E-2</v>
      </c>
      <c r="O3455">
        <v>-0.99919219999999997</v>
      </c>
      <c r="P3455">
        <v>-0.1096181</v>
      </c>
      <c r="Q3455">
        <v>0.1798273</v>
      </c>
      <c r="R3455">
        <v>-0.97757169999999904</v>
      </c>
      <c r="S3455">
        <v>-0.77441409999999999</v>
      </c>
      <c r="T3455">
        <v>-0.15370690000000001</v>
      </c>
      <c r="U3455">
        <v>-3.008667</v>
      </c>
      <c r="V3455">
        <v>7.2760779999999997E-2</v>
      </c>
      <c r="W3455">
        <v>0.1932323</v>
      </c>
      <c r="X3455">
        <v>0.97845139999999997</v>
      </c>
      <c r="Y3455">
        <v>0.21226200000000001</v>
      </c>
      <c r="Z3455">
        <v>3.59207E-2</v>
      </c>
      <c r="AA3455">
        <v>0.97655239999999999</v>
      </c>
      <c r="AB3455">
        <v>32</v>
      </c>
      <c r="AC3455">
        <v>-5.6341999999999901</v>
      </c>
      <c r="AD3455">
        <v>-1.12087755184</v>
      </c>
      <c r="AE3455">
        <v>-21.6036</v>
      </c>
      <c r="AF3455">
        <v>4.8020939091839701</v>
      </c>
      <c r="AG3455">
        <v>-1.12087755184</v>
      </c>
      <c r="AH3455">
        <v>21.746180627740099</v>
      </c>
      <c r="AI3455">
        <v>92.881328011012101</v>
      </c>
      <c r="AJ3455">
        <v>77.547518618380906</v>
      </c>
      <c r="AK3455">
        <v>22.298269984309101</v>
      </c>
      <c r="AL3455">
        <v>78.858522025999903</v>
      </c>
      <c r="AM3455">
        <v>85.747130090374597</v>
      </c>
      <c r="AN3455">
        <v>0.99999999751572899</v>
      </c>
    </row>
    <row r="3456" spans="1:40" x14ac:dyDescent="0.25">
      <c r="A3456" t="str">
        <f>"20190303170607027"</f>
        <v>20190303170607027</v>
      </c>
      <c r="B3456" t="str">
        <f>"1551603967018520"</f>
        <v>1551603967018520</v>
      </c>
      <c r="C3456" t="s">
        <v>40</v>
      </c>
      <c r="D3456">
        <v>5.6924789999999996</v>
      </c>
      <c r="E3456">
        <v>0.55972029999999995</v>
      </c>
      <c r="F3456" t="s">
        <v>84</v>
      </c>
      <c r="G3456">
        <v>-194.548</v>
      </c>
      <c r="H3456" s="1">
        <v>-1.3931629999999899E-5</v>
      </c>
      <c r="I3456">
        <v>156.2294</v>
      </c>
      <c r="J3456">
        <v>-188.52699999999999</v>
      </c>
      <c r="K3456">
        <v>1.120873</v>
      </c>
      <c r="L3456">
        <v>179.34889999999999</v>
      </c>
      <c r="M3456">
        <v>-3.7952409999999999E-2</v>
      </c>
      <c r="N3456">
        <v>-1.373562E-2</v>
      </c>
      <c r="O3456">
        <v>-0.99918530000000005</v>
      </c>
      <c r="P3456">
        <v>-0.1098706</v>
      </c>
      <c r="Q3456">
        <v>0.1815495</v>
      </c>
      <c r="R3456">
        <v>-0.97722509999999996</v>
      </c>
      <c r="S3456">
        <v>-0.77828980000000003</v>
      </c>
      <c r="T3456">
        <v>-0.14471909999999999</v>
      </c>
      <c r="U3456">
        <v>-3.0081630000000001</v>
      </c>
      <c r="V3456">
        <v>7.2845460000000001E-2</v>
      </c>
      <c r="W3456">
        <v>0.19494800000000001</v>
      </c>
      <c r="X3456">
        <v>0.97810469999999905</v>
      </c>
      <c r="Y3456">
        <v>0.2133285</v>
      </c>
      <c r="Z3456">
        <v>3.3023160000000003E-2</v>
      </c>
      <c r="AA3456">
        <v>0.97642229999999997</v>
      </c>
      <c r="AB3456">
        <v>32</v>
      </c>
      <c r="AC3456">
        <v>-6.0209999999999804</v>
      </c>
      <c r="AD3456">
        <v>-1.1208869316299901</v>
      </c>
      <c r="AE3456">
        <v>-23.119499999999899</v>
      </c>
      <c r="AF3456">
        <v>5.1278503260933199</v>
      </c>
      <c r="AG3456">
        <v>-1.1208869316299901</v>
      </c>
      <c r="AH3456">
        <v>23.280128217011899</v>
      </c>
      <c r="AI3456">
        <v>92.692101518367906</v>
      </c>
      <c r="AJ3456">
        <v>77.577975712818898</v>
      </c>
      <c r="AK3456">
        <v>23.864526106353502</v>
      </c>
      <c r="AL3456">
        <v>78.758314017184802</v>
      </c>
      <c r="AM3456">
        <v>85.740695061714106</v>
      </c>
      <c r="AN3456">
        <v>0.99999999395435002</v>
      </c>
    </row>
    <row r="3457" spans="1:40" x14ac:dyDescent="0.25">
      <c r="A3457" t="str">
        <f>"20190303170607047"</f>
        <v>20190303170607047</v>
      </c>
      <c r="B3457" t="str">
        <f>"1551603967038039"</f>
        <v>1551603967038039</v>
      </c>
      <c r="C3457" t="s">
        <v>40</v>
      </c>
      <c r="D3457">
        <v>6.2358750000000001</v>
      </c>
      <c r="E3457">
        <v>0.55835069999999998</v>
      </c>
      <c r="F3457" t="s">
        <v>84</v>
      </c>
      <c r="G3457">
        <v>-194.7723</v>
      </c>
      <c r="H3457" s="1">
        <v>-1.351887E-5</v>
      </c>
      <c r="I3457">
        <v>155.2209</v>
      </c>
      <c r="J3457">
        <v>-188.53829999999999</v>
      </c>
      <c r="K3457">
        <v>1.1208899999999999</v>
      </c>
      <c r="L3457">
        <v>179.0598</v>
      </c>
      <c r="M3457">
        <v>-3.8256100000000001E-2</v>
      </c>
      <c r="N3457">
        <v>-1.3732950000000001E-2</v>
      </c>
      <c r="O3457">
        <v>-0.99917389999999995</v>
      </c>
      <c r="P3457">
        <v>-0.1091409</v>
      </c>
      <c r="Q3457">
        <v>0.18410860000000001</v>
      </c>
      <c r="R3457">
        <v>-0.97682800000000003</v>
      </c>
      <c r="S3457">
        <v>-0.77867129999999996</v>
      </c>
      <c r="T3457">
        <v>-0.13975379999999901</v>
      </c>
      <c r="U3457">
        <v>-3.0083160000000002</v>
      </c>
      <c r="V3457">
        <v>7.1836140000000007E-2</v>
      </c>
      <c r="W3457">
        <v>0.1974996</v>
      </c>
      <c r="X3457">
        <v>0.97766739999999996</v>
      </c>
      <c r="Y3457">
        <v>0.2131509</v>
      </c>
      <c r="Z3457">
        <v>3.1424399999999998E-2</v>
      </c>
      <c r="AA3457">
        <v>0.97651379999999999</v>
      </c>
      <c r="AB3457">
        <v>32</v>
      </c>
      <c r="AC3457">
        <v>-6.234</v>
      </c>
      <c r="AD3457">
        <v>-1.1209035188699901</v>
      </c>
      <c r="AE3457">
        <v>-23.838899999999899</v>
      </c>
      <c r="AF3457">
        <v>5.3063857481566199</v>
      </c>
      <c r="AG3457">
        <v>-1.1209035188699901</v>
      </c>
      <c r="AH3457">
        <v>24.0102708986628</v>
      </c>
      <c r="AI3457">
        <v>92.6099848955825</v>
      </c>
      <c r="AJ3457">
        <v>77.537678621889896</v>
      </c>
      <c r="AK3457">
        <v>24.615183587250101</v>
      </c>
      <c r="AL3457">
        <v>78.609219996010495</v>
      </c>
      <c r="AM3457">
        <v>85.797625611050606</v>
      </c>
      <c r="AN3457">
        <v>1.0000000340165001</v>
      </c>
    </row>
    <row r="3458" spans="1:40" x14ac:dyDescent="0.25">
      <c r="A3458" t="str">
        <f>"20190303170607070"</f>
        <v>20190303170607070</v>
      </c>
      <c r="B3458" t="str">
        <f>"1551603967058536"</f>
        <v>1551603967058536</v>
      </c>
      <c r="C3458" t="s">
        <v>40</v>
      </c>
      <c r="D3458">
        <v>5.7323810000000002</v>
      </c>
      <c r="E3458">
        <v>0.45860289999999998</v>
      </c>
      <c r="F3458" t="s">
        <v>84</v>
      </c>
      <c r="G3458">
        <v>-194.93860000000001</v>
      </c>
      <c r="H3458" s="1">
        <v>-1.307913E-5</v>
      </c>
      <c r="I3458">
        <v>153.8407</v>
      </c>
      <c r="J3458">
        <v>-188.55070000000001</v>
      </c>
      <c r="K3458">
        <v>1.1208880000000001</v>
      </c>
      <c r="L3458">
        <v>178.74690000000001</v>
      </c>
      <c r="M3458">
        <v>-3.8595989999999997E-2</v>
      </c>
      <c r="N3458">
        <v>-1.3730330000000001E-2</v>
      </c>
      <c r="O3458">
        <v>-0.99916050000000001</v>
      </c>
      <c r="P3458">
        <v>-0.1073769</v>
      </c>
      <c r="Q3458">
        <v>0.18595020000000001</v>
      </c>
      <c r="R3458">
        <v>-0.97667409999999999</v>
      </c>
      <c r="S3458">
        <v>-0.76416019999999996</v>
      </c>
      <c r="T3458">
        <v>-0.13382939999999999</v>
      </c>
      <c r="U3458">
        <v>-3.0110169999999998</v>
      </c>
      <c r="V3458">
        <v>6.9750450000000006E-2</v>
      </c>
      <c r="W3458">
        <v>0.19933629999999999</v>
      </c>
      <c r="X3458">
        <v>0.97744560000000003</v>
      </c>
      <c r="Y3458">
        <v>0.2082059</v>
      </c>
      <c r="Z3458">
        <v>2.952834E-2</v>
      </c>
      <c r="AA3458">
        <v>0.97763920000000004</v>
      </c>
      <c r="AB3458">
        <v>32</v>
      </c>
      <c r="AC3458">
        <v>-6.3879000000000001</v>
      </c>
      <c r="AD3458">
        <v>-1.12090107912999</v>
      </c>
      <c r="AE3458">
        <v>-24.906199999999998</v>
      </c>
      <c r="AF3458">
        <v>5.4114851877835299</v>
      </c>
      <c r="AG3458">
        <v>-1.12090107912999</v>
      </c>
      <c r="AH3458">
        <v>25.086534227591098</v>
      </c>
      <c r="AI3458">
        <v>92.500904254787102</v>
      </c>
      <c r="AJ3458">
        <v>77.827092511927404</v>
      </c>
      <c r="AK3458">
        <v>25.688028159414898</v>
      </c>
      <c r="AL3458">
        <v>78.501849567488605</v>
      </c>
      <c r="AM3458">
        <v>85.918296115854801</v>
      </c>
      <c r="AN3458">
        <v>0.99999999336612599</v>
      </c>
    </row>
    <row r="3459" spans="1:40" x14ac:dyDescent="0.25">
      <c r="A3459" t="str">
        <f>"20190303170607084"</f>
        <v>20190303170607084</v>
      </c>
      <c r="B3459" t="str">
        <f>"1551603967078057"</f>
        <v>1551603967078057</v>
      </c>
      <c r="C3459" t="s">
        <v>40</v>
      </c>
      <c r="D3459">
        <v>5.8257099999999999</v>
      </c>
      <c r="E3459">
        <v>0.4400966</v>
      </c>
      <c r="F3459" t="s">
        <v>84</v>
      </c>
      <c r="G3459">
        <v>-188.1036</v>
      </c>
      <c r="H3459" s="1">
        <v>-7.0496820000000004E-6</v>
      </c>
      <c r="I3459">
        <v>136.1516</v>
      </c>
      <c r="J3459">
        <v>-188.55950000000001</v>
      </c>
      <c r="K3459">
        <v>1.120884</v>
      </c>
      <c r="L3459">
        <v>178.5232</v>
      </c>
      <c r="M3459">
        <v>-3.8847199999999998E-2</v>
      </c>
      <c r="N3459">
        <v>-1.372846E-2</v>
      </c>
      <c r="O3459">
        <v>-0.99915100000000001</v>
      </c>
      <c r="P3459">
        <v>-0.1064133</v>
      </c>
      <c r="Q3459">
        <v>0.18631809999999999</v>
      </c>
      <c r="R3459">
        <v>-0.97670979999999996</v>
      </c>
      <c r="S3459">
        <v>3.2440190000000001E-2</v>
      </c>
      <c r="T3459">
        <v>-8.1331130000000001E-2</v>
      </c>
      <c r="U3459">
        <v>-3.0906829999999998</v>
      </c>
      <c r="V3459">
        <v>6.8543409999999999E-2</v>
      </c>
      <c r="W3459">
        <v>0.19970209999999999</v>
      </c>
      <c r="X3459">
        <v>0.97745629999999994</v>
      </c>
      <c r="Y3459">
        <v>-4.9321940000000002E-2</v>
      </c>
      <c r="Z3459">
        <v>1.2530329999999999E-2</v>
      </c>
      <c r="AA3459">
        <v>0.99870429999999999</v>
      </c>
      <c r="AB3459">
        <v>32</v>
      </c>
      <c r="AC3459">
        <v>0.45590000000001402</v>
      </c>
      <c r="AD3459">
        <v>-1.1208910496819999</v>
      </c>
      <c r="AE3459">
        <v>-42.371600000000001</v>
      </c>
      <c r="AF3459">
        <v>-2.10025911352629</v>
      </c>
      <c r="AG3459">
        <v>-1.1208910496819999</v>
      </c>
      <c r="AH3459">
        <v>42.292305263134303</v>
      </c>
      <c r="AI3459">
        <v>91.516311421416006</v>
      </c>
      <c r="AJ3459">
        <v>92.843004311454806</v>
      </c>
      <c r="AK3459">
        <v>42.359256008095201</v>
      </c>
      <c r="AL3459">
        <v>78.4804604886221</v>
      </c>
      <c r="AM3459">
        <v>85.988741663246003</v>
      </c>
      <c r="AN3459">
        <v>0.99999997310426303</v>
      </c>
    </row>
    <row r="3460" spans="1:40" x14ac:dyDescent="0.25">
      <c r="A3460" t="str">
        <f>"20190303170607097"</f>
        <v>20190303170607097</v>
      </c>
      <c r="B3460" t="str">
        <f>"1551603967088792"</f>
        <v>1551603967088792</v>
      </c>
      <c r="C3460" t="s">
        <v>40</v>
      </c>
      <c r="D3460">
        <v>5.8660180000000004</v>
      </c>
      <c r="E3460">
        <v>0.43344270000000001</v>
      </c>
      <c r="F3460" t="s">
        <v>41</v>
      </c>
      <c r="G3460">
        <v>-183.9348</v>
      </c>
      <c r="H3460" s="1">
        <v>-5.2336439999999997E-6</v>
      </c>
      <c r="I3460">
        <v>99.324669999999998</v>
      </c>
      <c r="J3460">
        <v>-188.5668</v>
      </c>
      <c r="K3460">
        <v>1.1208800000000001</v>
      </c>
      <c r="L3460">
        <v>178.3407</v>
      </c>
      <c r="M3460">
        <v>-3.9062560000000003E-2</v>
      </c>
      <c r="N3460">
        <v>-1.3727079999999999E-2</v>
      </c>
      <c r="O3460">
        <v>-0.99914259999999999</v>
      </c>
      <c r="P3460">
        <v>-0.10595549999999999</v>
      </c>
      <c r="Q3460">
        <v>0.1869103</v>
      </c>
      <c r="R3460">
        <v>-0.97664649999999997</v>
      </c>
      <c r="S3460">
        <v>0.18099979999999999</v>
      </c>
      <c r="T3460">
        <v>-4.3868900000000002E-2</v>
      </c>
      <c r="U3460">
        <v>-3.09964</v>
      </c>
      <c r="V3460">
        <v>6.7881860000000002E-2</v>
      </c>
      <c r="W3460">
        <v>0.20029130000000001</v>
      </c>
      <c r="X3460">
        <v>0.97738190000000003</v>
      </c>
      <c r="Y3460">
        <v>-9.7231219999999993E-2</v>
      </c>
      <c r="Z3460">
        <v>3.4705830000000002E-4</v>
      </c>
      <c r="AA3460">
        <v>0.99526179999999997</v>
      </c>
      <c r="AB3460">
        <v>32</v>
      </c>
      <c r="AC3460">
        <v>4.6319999999999997</v>
      </c>
      <c r="AD3460">
        <v>-1.1208852336439901</v>
      </c>
      <c r="AE3460">
        <v>-79.016030000000001</v>
      </c>
      <c r="AF3460">
        <v>-7.71377598558706</v>
      </c>
      <c r="AG3460">
        <v>-1.1208852336439901</v>
      </c>
      <c r="AH3460">
        <v>78.758961834551499</v>
      </c>
      <c r="AI3460">
        <v>90.811487227371103</v>
      </c>
      <c r="AJ3460">
        <v>95.593797581089206</v>
      </c>
      <c r="AK3460">
        <v>79.143747655258096</v>
      </c>
      <c r="AL3460">
        <v>78.446005615477404</v>
      </c>
      <c r="AM3460">
        <v>86.027030514200703</v>
      </c>
      <c r="AN3460">
        <v>0.99999996511017897</v>
      </c>
    </row>
    <row r="3461" spans="1:40" x14ac:dyDescent="0.25">
      <c r="A3461" t="str">
        <f>"20190303170607115"</f>
        <v>20190303170607115</v>
      </c>
      <c r="B3461" t="str">
        <f>"1551603967108311"</f>
        <v>1551603967108311</v>
      </c>
      <c r="C3461" t="s">
        <v>40</v>
      </c>
      <c r="D3461">
        <v>5.8777599999999897</v>
      </c>
      <c r="E3461">
        <v>0.42580980000000002</v>
      </c>
      <c r="F3461" t="s">
        <v>41</v>
      </c>
      <c r="G3461">
        <v>-179.95779999999999</v>
      </c>
      <c r="H3461">
        <v>4.4063680000000001E-2</v>
      </c>
      <c r="I3461">
        <v>64.640159999999995</v>
      </c>
      <c r="J3461">
        <v>-188.57689999999999</v>
      </c>
      <c r="K3461">
        <v>1.120868</v>
      </c>
      <c r="L3461">
        <v>178.09200000000001</v>
      </c>
      <c r="M3461">
        <v>-3.9374279999999998E-2</v>
      </c>
      <c r="N3461">
        <v>-1.37251E-2</v>
      </c>
      <c r="O3461">
        <v>-0.99913030000000003</v>
      </c>
      <c r="P3461">
        <v>-0.1064909</v>
      </c>
      <c r="Q3461">
        <v>0.1885695</v>
      </c>
      <c r="R3461">
        <v>-0.9762691</v>
      </c>
      <c r="S3461">
        <v>0.2349396</v>
      </c>
      <c r="T3461">
        <v>-2.9386039999999999E-2</v>
      </c>
      <c r="U3461">
        <v>-3.102859</v>
      </c>
      <c r="V3461">
        <v>6.8135269999999998E-2</v>
      </c>
      <c r="W3461">
        <v>0.20194110000000001</v>
      </c>
      <c r="X3461">
        <v>0.97702480000000003</v>
      </c>
      <c r="Y3461">
        <v>-0.1146891</v>
      </c>
      <c r="Z3461">
        <v>-4.3313550000000003E-3</v>
      </c>
      <c r="AA3461">
        <v>0.99339200000000005</v>
      </c>
      <c r="AB3461">
        <v>32</v>
      </c>
      <c r="AC3461">
        <v>8.6190999999999995</v>
      </c>
      <c r="AD3461">
        <v>-1.0768043199999999</v>
      </c>
      <c r="AE3461">
        <v>-113.45184</v>
      </c>
      <c r="AF3461">
        <v>-13.078748646720801</v>
      </c>
      <c r="AG3461">
        <v>-1.0768043199999999</v>
      </c>
      <c r="AH3461">
        <v>113.014319953137</v>
      </c>
      <c r="AI3461">
        <v>90.542280652087499</v>
      </c>
      <c r="AJ3461">
        <v>96.601273553186502</v>
      </c>
      <c r="AK3461">
        <v>113.773677483756</v>
      </c>
      <c r="AL3461">
        <v>78.3495082109972</v>
      </c>
      <c r="AM3461">
        <v>86.010793961746501</v>
      </c>
      <c r="AN3461">
        <v>1.0000000413511101</v>
      </c>
    </row>
    <row r="3462" spans="1:40" x14ac:dyDescent="0.25">
      <c r="A3462" t="str">
        <f>"20190303170607137"</f>
        <v>20190303170607137</v>
      </c>
      <c r="B3462" t="str">
        <f>"1551603967128808"</f>
        <v>1551603967128808</v>
      </c>
      <c r="C3462" t="s">
        <v>40</v>
      </c>
      <c r="D3462">
        <v>6.146712</v>
      </c>
      <c r="E3462">
        <v>0.4215179</v>
      </c>
      <c r="F3462" t="s">
        <v>54</v>
      </c>
      <c r="G3462">
        <v>-168.19040000000001</v>
      </c>
      <c r="H3462">
        <v>0.38113590000000003</v>
      </c>
      <c r="I3462">
        <v>-37.694769999999998</v>
      </c>
      <c r="J3462">
        <v>-188.58959999999999</v>
      </c>
      <c r="K3462">
        <v>1.120838</v>
      </c>
      <c r="L3462">
        <v>177.78210000000001</v>
      </c>
      <c r="M3462">
        <v>-3.9804810000000003E-2</v>
      </c>
      <c r="N3462">
        <v>-1.372282E-2</v>
      </c>
      <c r="O3462">
        <v>-0.99911340000000004</v>
      </c>
      <c r="P3462">
        <v>-0.1084994</v>
      </c>
      <c r="Q3462">
        <v>0.19029650000000001</v>
      </c>
      <c r="R3462">
        <v>-0.97571280000000005</v>
      </c>
      <c r="S3462">
        <v>0.2935333</v>
      </c>
      <c r="T3462">
        <v>-1.0651229999999999E-2</v>
      </c>
      <c r="U3462">
        <v>-3.1069789999999999</v>
      </c>
      <c r="V3462">
        <v>6.9759199999999993E-2</v>
      </c>
      <c r="W3462">
        <v>0.20365279999999999</v>
      </c>
      <c r="X3462">
        <v>0.97655479999999995</v>
      </c>
      <c r="Y3462">
        <v>-0.1335935</v>
      </c>
      <c r="Z3462">
        <v>-1.034771E-2</v>
      </c>
      <c r="AA3462">
        <v>0.99098220000000004</v>
      </c>
      <c r="AB3462">
        <v>32</v>
      </c>
      <c r="AC3462">
        <v>20.399199999999901</v>
      </c>
      <c r="AD3462">
        <v>-0.73970209999999903</v>
      </c>
      <c r="AE3462">
        <v>-215.47686999999999</v>
      </c>
      <c r="AF3462">
        <v>-28.960514002796501</v>
      </c>
      <c r="AG3462">
        <v>-0.73970209999999903</v>
      </c>
      <c r="AH3462">
        <v>214.491499120848</v>
      </c>
      <c r="AI3462">
        <v>90.195814439306403</v>
      </c>
      <c r="AJ3462">
        <v>97.689539537627496</v>
      </c>
      <c r="AK3462">
        <v>216.439048523162</v>
      </c>
      <c r="AL3462">
        <v>78.249353911442</v>
      </c>
      <c r="AM3462">
        <v>85.914074674412305</v>
      </c>
      <c r="AN3462">
        <v>1.00000004316775</v>
      </c>
    </row>
    <row r="3463" spans="1:40" x14ac:dyDescent="0.25">
      <c r="A3463" t="str">
        <f>"20190303170607161"</f>
        <v>20190303170607161</v>
      </c>
      <c r="B3463" t="str">
        <f>"1551603967148328"</f>
        <v>1551603967148328</v>
      </c>
      <c r="C3463" t="s">
        <v>40</v>
      </c>
      <c r="D3463">
        <v>5.8572280000000001</v>
      </c>
      <c r="E3463">
        <v>0.41894290000000001</v>
      </c>
      <c r="F3463" t="s">
        <v>86</v>
      </c>
      <c r="G3463">
        <v>-168.4076</v>
      </c>
      <c r="H3463">
        <v>1.0786020000000001</v>
      </c>
      <c r="I3463">
        <v>-17.389949999999999</v>
      </c>
      <c r="J3463">
        <v>-188.60310000000001</v>
      </c>
      <c r="K3463">
        <v>1.1207860000000001</v>
      </c>
      <c r="L3463">
        <v>177.45699999999999</v>
      </c>
      <c r="M3463">
        <v>-4.0324440000000003E-2</v>
      </c>
      <c r="N3463">
        <v>-1.372075E-2</v>
      </c>
      <c r="O3463">
        <v>-0.99909250000000005</v>
      </c>
      <c r="P3463">
        <v>-0.1107432</v>
      </c>
      <c r="Q3463">
        <v>0.18940499999999999</v>
      </c>
      <c r="R3463">
        <v>-0.97563429999999995</v>
      </c>
      <c r="S3463">
        <v>0.32165529999999998</v>
      </c>
      <c r="T3463">
        <v>-6.731749E-4</v>
      </c>
      <c r="U3463">
        <v>-3.1105960000000001</v>
      </c>
      <c r="V3463">
        <v>7.1517949999999997E-2</v>
      </c>
      <c r="W3463">
        <v>0.20274990000000001</v>
      </c>
      <c r="X3463">
        <v>0.97661540000000002</v>
      </c>
      <c r="Y3463">
        <v>-0.14286550000000001</v>
      </c>
      <c r="Z3463">
        <v>-1.3534869999999999E-2</v>
      </c>
      <c r="AA3463">
        <v>0.98964960000000002</v>
      </c>
      <c r="AB3463">
        <v>32</v>
      </c>
      <c r="AC3463">
        <v>20.195499999999999</v>
      </c>
      <c r="AD3463">
        <v>-4.2183999999999999E-2</v>
      </c>
      <c r="AE3463">
        <v>-194.84694999999999</v>
      </c>
      <c r="AF3463">
        <v>-28.036902646942298</v>
      </c>
      <c r="AG3463">
        <v>-4.2183999999999999E-2</v>
      </c>
      <c r="AH3463">
        <v>193.87398143004799</v>
      </c>
      <c r="AI3463">
        <v>90.012338331657602</v>
      </c>
      <c r="AJ3463">
        <v>98.228728385304507</v>
      </c>
      <c r="AK3463">
        <v>195.89076130604701</v>
      </c>
      <c r="AL3463">
        <v>78.302187922439401</v>
      </c>
      <c r="AM3463">
        <v>85.8116825603107</v>
      </c>
      <c r="AN3463">
        <v>0.99999998931968603</v>
      </c>
    </row>
    <row r="3464" spans="1:40" x14ac:dyDescent="0.25">
      <c r="A3464" t="str">
        <f>"20190303170607183"</f>
        <v>20190303170607183</v>
      </c>
      <c r="B3464" t="str">
        <f>"1551603967178584"</f>
        <v>1551603967178584</v>
      </c>
      <c r="C3464" t="s">
        <v>40</v>
      </c>
      <c r="D3464">
        <v>5.8711469999999997</v>
      </c>
      <c r="E3464">
        <v>0.41645749999999998</v>
      </c>
      <c r="F3464" t="s">
        <v>86</v>
      </c>
      <c r="G3464">
        <v>-167.6611</v>
      </c>
      <c r="H3464">
        <v>0.82357029999999998</v>
      </c>
      <c r="I3464">
        <v>-17.389949999999999</v>
      </c>
      <c r="J3464">
        <v>-188.61689999999999</v>
      </c>
      <c r="K3464">
        <v>1.120716</v>
      </c>
      <c r="L3464">
        <v>177.13059999999999</v>
      </c>
      <c r="M3464">
        <v>-4.0937380000000002E-2</v>
      </c>
      <c r="N3464">
        <v>-1.3718950000000001E-2</v>
      </c>
      <c r="O3464">
        <v>-0.99906759999999994</v>
      </c>
      <c r="P3464">
        <v>-0.1121714</v>
      </c>
      <c r="Q3464">
        <v>0.1882781</v>
      </c>
      <c r="R3464">
        <v>-0.97568909999999998</v>
      </c>
      <c r="S3464">
        <v>0.334671</v>
      </c>
      <c r="T3464">
        <v>-4.7497750000000004E-3</v>
      </c>
      <c r="U3464">
        <v>-3.1138150000000002</v>
      </c>
      <c r="V3464">
        <v>7.2373080000000006E-2</v>
      </c>
      <c r="W3464">
        <v>0.20161129999999999</v>
      </c>
      <c r="X3464">
        <v>0.97678810000000005</v>
      </c>
      <c r="Y3464">
        <v>-0.1474578</v>
      </c>
      <c r="Z3464">
        <v>-1.223843E-2</v>
      </c>
      <c r="AA3464">
        <v>0.9889926</v>
      </c>
      <c r="AB3464">
        <v>32</v>
      </c>
      <c r="AC3464">
        <v>20.955799999999901</v>
      </c>
      <c r="AD3464">
        <v>-0.29714570000000001</v>
      </c>
      <c r="AE3464">
        <v>-194.52054999999999</v>
      </c>
      <c r="AF3464">
        <v>-28.902073634408701</v>
      </c>
      <c r="AG3464">
        <v>-0.29714570000000001</v>
      </c>
      <c r="AH3464">
        <v>193.49905290478901</v>
      </c>
      <c r="AI3464">
        <v>90.087020503561703</v>
      </c>
      <c r="AJ3464">
        <v>98.495205451380301</v>
      </c>
      <c r="AK3464">
        <v>195.64585768931099</v>
      </c>
      <c r="AL3464">
        <v>78.368800525954001</v>
      </c>
      <c r="AM3464">
        <v>85.7625314516429</v>
      </c>
      <c r="AN3464">
        <v>0.99999998564899295</v>
      </c>
    </row>
    <row r="3465" spans="1:40" x14ac:dyDescent="0.25">
      <c r="A3465" t="str">
        <f>"20190303170607205"</f>
        <v>20190303170607205</v>
      </c>
      <c r="B3465" t="str">
        <f>"1551603967198104"</f>
        <v>1551603967198104</v>
      </c>
      <c r="C3465" t="s">
        <v>40</v>
      </c>
      <c r="D3465">
        <v>5.9089309999999999</v>
      </c>
      <c r="E3465">
        <v>0.41516940000000002</v>
      </c>
      <c r="F3465" t="s">
        <v>86</v>
      </c>
      <c r="G3465">
        <v>-166.85249999999999</v>
      </c>
      <c r="H3465">
        <v>0.68152239999999997</v>
      </c>
      <c r="I3465">
        <v>-17.389949999999999</v>
      </c>
      <c r="J3465">
        <v>-188.63079999999999</v>
      </c>
      <c r="K3465">
        <v>1.1206309999999999</v>
      </c>
      <c r="L3465">
        <v>176.809</v>
      </c>
      <c r="M3465">
        <v>-4.167531E-2</v>
      </c>
      <c r="N3465">
        <v>-1.3717490000000001E-2</v>
      </c>
      <c r="O3465">
        <v>-0.99903710000000001</v>
      </c>
      <c r="P3465">
        <v>-0.11346680000000001</v>
      </c>
      <c r="Q3465">
        <v>0.18795510000000001</v>
      </c>
      <c r="R3465">
        <v>-0.97560159999999996</v>
      </c>
      <c r="S3465">
        <v>0.34866329999999901</v>
      </c>
      <c r="T3465">
        <v>-7.0358510000000001E-3</v>
      </c>
      <c r="U3465">
        <v>-3.116196</v>
      </c>
      <c r="V3465">
        <v>7.2990630000000001E-2</v>
      </c>
      <c r="W3465">
        <v>0.20127039999999999</v>
      </c>
      <c r="X3465">
        <v>0.97681249999999997</v>
      </c>
      <c r="Y3465">
        <v>-0.15249379999999901</v>
      </c>
      <c r="Z3465">
        <v>-1.151489E-2</v>
      </c>
      <c r="AA3465">
        <v>0.98823729999999999</v>
      </c>
      <c r="AB3465">
        <v>32</v>
      </c>
      <c r="AC3465">
        <v>21.778300000000002</v>
      </c>
      <c r="AD3465">
        <v>-0.43910860000000002</v>
      </c>
      <c r="AE3465">
        <v>-194.19895</v>
      </c>
      <c r="AF3465">
        <v>-29.853287355223699</v>
      </c>
      <c r="AG3465">
        <v>-0.43910860000000002</v>
      </c>
      <c r="AH3465">
        <v>193.12152168071299</v>
      </c>
      <c r="AI3465">
        <v>90.128746452876399</v>
      </c>
      <c r="AJ3465">
        <v>98.787394843947794</v>
      </c>
      <c r="AK3465">
        <v>195.415797003596</v>
      </c>
      <c r="AL3465">
        <v>78.388741990883503</v>
      </c>
      <c r="AM3465">
        <v>85.726613429497505</v>
      </c>
      <c r="AN3465">
        <v>1.0000000330701</v>
      </c>
    </row>
    <row r="3466" spans="1:40" x14ac:dyDescent="0.25">
      <c r="A3466" t="str">
        <f>"20190303170607218"</f>
        <v>20190303170607218</v>
      </c>
      <c r="B3466" t="str">
        <f>"1551603967207865"</f>
        <v>1551603967207865</v>
      </c>
      <c r="C3466" t="s">
        <v>40</v>
      </c>
      <c r="D3466">
        <v>5.8838589999999904</v>
      </c>
      <c r="E3466">
        <v>0.41454859999999999</v>
      </c>
      <c r="F3466" t="s">
        <v>86</v>
      </c>
      <c r="G3466">
        <v>-166.60329999999999</v>
      </c>
      <c r="H3466">
        <v>0.64794449999999904</v>
      </c>
      <c r="I3466">
        <v>-17.389949999999999</v>
      </c>
      <c r="J3466">
        <v>-188.63939999999999</v>
      </c>
      <c r="K3466">
        <v>1.1205689999999999</v>
      </c>
      <c r="L3466">
        <v>176.61609999999999</v>
      </c>
      <c r="M3466">
        <v>-4.2192920000000002E-2</v>
      </c>
      <c r="N3466">
        <v>-1.3716920000000001E-2</v>
      </c>
      <c r="O3466">
        <v>-0.99901530000000005</v>
      </c>
      <c r="P3466">
        <v>-0.11475589999999999</v>
      </c>
      <c r="Q3466">
        <v>0.18792130000000001</v>
      </c>
      <c r="R3466">
        <v>-0.97545729999999997</v>
      </c>
      <c r="S3466">
        <v>0.3536224</v>
      </c>
      <c r="T3466">
        <v>-7.5883869999999898E-3</v>
      </c>
      <c r="U3466">
        <v>-3.1175989999999998</v>
      </c>
      <c r="V3466">
        <v>7.380892E-2</v>
      </c>
      <c r="W3466">
        <v>0.2012227</v>
      </c>
      <c r="X3466">
        <v>0.97676079999999998</v>
      </c>
      <c r="Y3466">
        <v>-0.15450849999999999</v>
      </c>
      <c r="Z3466">
        <v>-1.134143E-2</v>
      </c>
      <c r="AA3466">
        <v>0.98792639999999998</v>
      </c>
      <c r="AB3466">
        <v>32</v>
      </c>
      <c r="AC3466">
        <v>22.036100000000001</v>
      </c>
      <c r="AD3466">
        <v>-0.4726245</v>
      </c>
      <c r="AE3466">
        <v>-194.00604999999999</v>
      </c>
      <c r="AF3466">
        <v>-30.202747882754402</v>
      </c>
      <c r="AG3466">
        <v>-0.4726245</v>
      </c>
      <c r="AH3466">
        <v>192.90226648806799</v>
      </c>
      <c r="AI3466">
        <v>90.138688894799998</v>
      </c>
      <c r="AJ3466">
        <v>98.898567572383499</v>
      </c>
      <c r="AK3466">
        <v>195.25294817190499</v>
      </c>
      <c r="AL3466">
        <v>78.391531647205795</v>
      </c>
      <c r="AM3466">
        <v>85.678657564782498</v>
      </c>
      <c r="AN3466">
        <v>0.99999999604174805</v>
      </c>
    </row>
    <row r="3467" spans="1:40" x14ac:dyDescent="0.25">
      <c r="A3467" t="str">
        <f>"20190303170607239"</f>
        <v>20190303170607239</v>
      </c>
      <c r="B3467" t="str">
        <f>"1551603967228360"</f>
        <v>1551603967228360</v>
      </c>
      <c r="C3467" t="s">
        <v>40</v>
      </c>
      <c r="D3467">
        <v>5.9498519999999999</v>
      </c>
      <c r="E3467">
        <v>0.41341129999999998</v>
      </c>
      <c r="F3467" t="s">
        <v>86</v>
      </c>
      <c r="G3467">
        <v>-166.59540000000001</v>
      </c>
      <c r="H3467">
        <v>0.65491290000000002</v>
      </c>
      <c r="I3467">
        <v>-17.389949999999999</v>
      </c>
      <c r="J3467">
        <v>-188.65190000000001</v>
      </c>
      <c r="K3467">
        <v>1.120476</v>
      </c>
      <c r="L3467">
        <v>176.3389</v>
      </c>
      <c r="M3467">
        <v>-4.3014650000000001E-2</v>
      </c>
      <c r="N3467">
        <v>-1.371641E-2</v>
      </c>
      <c r="O3467">
        <v>-0.99898030000000004</v>
      </c>
      <c r="P3467">
        <v>-0.11790829999999999</v>
      </c>
      <c r="Q3467">
        <v>0.1890926</v>
      </c>
      <c r="R3467">
        <v>-0.97485489999999997</v>
      </c>
      <c r="S3467">
        <v>0.35435489999999997</v>
      </c>
      <c r="T3467">
        <v>-7.4853899999999998E-3</v>
      </c>
      <c r="U3467">
        <v>-3.1186219999999998</v>
      </c>
      <c r="V3467">
        <v>7.6227340000000005E-2</v>
      </c>
      <c r="W3467">
        <v>0.2023665</v>
      </c>
      <c r="X3467">
        <v>0.9763387</v>
      </c>
      <c r="Y3467">
        <v>-0.1555137</v>
      </c>
      <c r="Z3467">
        <v>-1.1375420000000001E-2</v>
      </c>
      <c r="AA3467">
        <v>0.98776819999999999</v>
      </c>
      <c r="AB3467">
        <v>32</v>
      </c>
      <c r="AC3467">
        <v>22.0565</v>
      </c>
      <c r="AD3467">
        <v>-0.46556309999999901</v>
      </c>
      <c r="AE3467">
        <v>-193.72884999999999</v>
      </c>
      <c r="AF3467">
        <v>-30.3698709547972</v>
      </c>
      <c r="AG3467">
        <v>-0.46556309999999901</v>
      </c>
      <c r="AH3467">
        <v>192.59956894673499</v>
      </c>
      <c r="AI3467">
        <v>90.136808120550796</v>
      </c>
      <c r="AJ3467">
        <v>98.960845753303005</v>
      </c>
      <c r="AK3467">
        <v>194.97984452060501</v>
      </c>
      <c r="AL3467">
        <v>78.324620649575394</v>
      </c>
      <c r="AM3467">
        <v>85.535706091522201</v>
      </c>
      <c r="AN3467">
        <v>1.0000000324017</v>
      </c>
    </row>
    <row r="3468" spans="1:40" x14ac:dyDescent="0.25">
      <c r="A3468" t="str">
        <f>"20190303170607260"</f>
        <v>20190303170607260</v>
      </c>
      <c r="B3468" t="str">
        <f>"1551603967247881"</f>
        <v>1551603967247881</v>
      </c>
      <c r="C3468" t="s">
        <v>40</v>
      </c>
      <c r="D3468">
        <v>6.1876379999999997</v>
      </c>
      <c r="E3468">
        <v>0.41233049999999999</v>
      </c>
      <c r="F3468" t="s">
        <v>86</v>
      </c>
      <c r="G3468">
        <v>-166.7055</v>
      </c>
      <c r="H3468">
        <v>1.0208330000000001</v>
      </c>
      <c r="I3468">
        <v>-17.389949999999999</v>
      </c>
      <c r="J3468">
        <v>-188.66659999999999</v>
      </c>
      <c r="K3468">
        <v>1.120366</v>
      </c>
      <c r="L3468">
        <v>176.02369999999999</v>
      </c>
      <c r="M3468">
        <v>-4.409453E-2</v>
      </c>
      <c r="N3468">
        <v>-1.3715939999999999E-2</v>
      </c>
      <c r="O3468">
        <v>-0.99893310000000002</v>
      </c>
      <c r="P3468">
        <v>-0.12203890000000001</v>
      </c>
      <c r="Q3468">
        <v>0.19043979999999999</v>
      </c>
      <c r="R3468">
        <v>-0.9740839</v>
      </c>
      <c r="S3468">
        <v>0.35350039999999999</v>
      </c>
      <c r="T3468">
        <v>-1.605034E-3</v>
      </c>
      <c r="U3468">
        <v>-3.1204679999999998</v>
      </c>
      <c r="V3468">
        <v>7.9390569999999994E-2</v>
      </c>
      <c r="W3468">
        <v>0.20367750000000001</v>
      </c>
      <c r="X3468">
        <v>0.97581379999999995</v>
      </c>
      <c r="Y3468">
        <v>-0.15624830000000001</v>
      </c>
      <c r="Z3468">
        <v>-1.3241370000000001E-2</v>
      </c>
      <c r="AA3468">
        <v>0.98762910000000004</v>
      </c>
      <c r="AB3468">
        <v>32</v>
      </c>
      <c r="AC3468">
        <v>21.961099999999899</v>
      </c>
      <c r="AD3468">
        <v>-9.9532999999999802E-2</v>
      </c>
      <c r="AE3468">
        <v>-193.41364999999999</v>
      </c>
      <c r="AF3468">
        <v>-30.4690150423293</v>
      </c>
      <c r="AG3468">
        <v>-9.9532999999999802E-2</v>
      </c>
      <c r="AH3468">
        <v>192.256987462756</v>
      </c>
      <c r="AI3468">
        <v>90.029296856527196</v>
      </c>
      <c r="AJ3468">
        <v>99.005378215732904</v>
      </c>
      <c r="AK3468">
        <v>194.656415287866</v>
      </c>
      <c r="AL3468">
        <v>78.247907649285693</v>
      </c>
      <c r="AM3468">
        <v>85.348756133349497</v>
      </c>
      <c r="AN3468">
        <v>0.99999997944080699</v>
      </c>
    </row>
    <row r="3469" spans="1:40" x14ac:dyDescent="0.25">
      <c r="A3469" t="str">
        <f>"20190303170607283"</f>
        <v>20190303170607283</v>
      </c>
      <c r="B3469" t="str">
        <f>"1551603967278136"</f>
        <v>1551603967278136</v>
      </c>
      <c r="C3469" t="s">
        <v>40</v>
      </c>
      <c r="D3469">
        <v>5.9099640000000004</v>
      </c>
      <c r="E3469">
        <v>0.41082429999999998</v>
      </c>
      <c r="F3469" t="s">
        <v>86</v>
      </c>
      <c r="G3469">
        <v>-166.9939</v>
      </c>
      <c r="H3469">
        <v>1.404277</v>
      </c>
      <c r="I3469">
        <v>-17.389949999999999</v>
      </c>
      <c r="J3469">
        <v>-188.6823</v>
      </c>
      <c r="K3469">
        <v>1.120242</v>
      </c>
      <c r="L3469">
        <v>175.697</v>
      </c>
      <c r="M3469">
        <v>-4.5404720000000003E-2</v>
      </c>
      <c r="N3469">
        <v>-1.371608E-2</v>
      </c>
      <c r="O3469">
        <v>-0.99887459999999995</v>
      </c>
      <c r="P3469">
        <v>-0.12698860000000001</v>
      </c>
      <c r="Q3469">
        <v>0.1914005</v>
      </c>
      <c r="R3469">
        <v>-0.97326279999999998</v>
      </c>
      <c r="S3469">
        <v>0.34991460000000002</v>
      </c>
      <c r="T3469">
        <v>4.583836E-3</v>
      </c>
      <c r="U3469">
        <v>-3.1227420000000001</v>
      </c>
      <c r="V3469">
        <v>8.3159350000000007E-2</v>
      </c>
      <c r="W3469">
        <v>0.20459620000000001</v>
      </c>
      <c r="X3469">
        <v>0.97530760000000005</v>
      </c>
      <c r="Y3469">
        <v>-0.15634239999999999</v>
      </c>
      <c r="Z3469">
        <v>-1.5202820000000001E-2</v>
      </c>
      <c r="AA3469">
        <v>0.98758590000000002</v>
      </c>
      <c r="AB3469">
        <v>32</v>
      </c>
      <c r="AC3469">
        <v>21.688400000000001</v>
      </c>
      <c r="AD3469">
        <v>0.28403499999999998</v>
      </c>
      <c r="AE3469">
        <v>-193.08695</v>
      </c>
      <c r="AF3469">
        <v>-30.4338458228797</v>
      </c>
      <c r="AG3469">
        <v>0.28403499999999998</v>
      </c>
      <c r="AH3469">
        <v>191.90251856618801</v>
      </c>
      <c r="AI3469">
        <v>89.916243287319702</v>
      </c>
      <c r="AJ3469">
        <v>99.011496514466501</v>
      </c>
      <c r="AK3469">
        <v>194.30099402601701</v>
      </c>
      <c r="AL3469">
        <v>78.194137975368506</v>
      </c>
      <c r="AM3469">
        <v>85.126477677099004</v>
      </c>
      <c r="AN3469">
        <v>0.99999999858231103</v>
      </c>
    </row>
    <row r="3470" spans="1:40" x14ac:dyDescent="0.25">
      <c r="A3470" t="str">
        <f>"20190303170607306"</f>
        <v>20190303170607306</v>
      </c>
      <c r="B3470" t="str">
        <f>"1551603967298632"</f>
        <v>1551603967298632</v>
      </c>
      <c r="C3470" t="s">
        <v>40</v>
      </c>
      <c r="D3470">
        <v>6.225098</v>
      </c>
      <c r="E3470">
        <v>0.41028310000000001</v>
      </c>
      <c r="F3470" t="s">
        <v>86</v>
      </c>
      <c r="G3470">
        <v>-167.30799999999999</v>
      </c>
      <c r="H3470">
        <v>1.7040439999999999</v>
      </c>
      <c r="I3470">
        <v>-17.389949999999999</v>
      </c>
      <c r="J3470">
        <v>-188.6987</v>
      </c>
      <c r="K3470">
        <v>1.1200859999999999</v>
      </c>
      <c r="L3470">
        <v>175.37280000000001</v>
      </c>
      <c r="M3470">
        <v>-4.6922779999999997E-2</v>
      </c>
      <c r="N3470">
        <v>-1.371703E-2</v>
      </c>
      <c r="O3470">
        <v>-0.99880449999999998</v>
      </c>
      <c r="P3470">
        <v>-0.1329352</v>
      </c>
      <c r="Q3470">
        <v>0.19081890000000001</v>
      </c>
      <c r="R3470">
        <v>-0.97258250000000002</v>
      </c>
      <c r="S3470">
        <v>0.34600829999999999</v>
      </c>
      <c r="T3470">
        <v>9.4505549999999994E-3</v>
      </c>
      <c r="U3470">
        <v>-3.1256870000000001</v>
      </c>
      <c r="V3470">
        <v>8.7717100000000006E-2</v>
      </c>
      <c r="W3470">
        <v>0.20396929999999999</v>
      </c>
      <c r="X3470">
        <v>0.97503960000000001</v>
      </c>
      <c r="Y3470">
        <v>-0.15652049999999901</v>
      </c>
      <c r="Z3470">
        <v>-1.6743000000000001E-2</v>
      </c>
      <c r="AA3470">
        <v>0.98753279999999999</v>
      </c>
      <c r="AB3470">
        <v>32</v>
      </c>
      <c r="AC3470">
        <v>21.390699999999999</v>
      </c>
      <c r="AD3470">
        <v>0.58395799999999898</v>
      </c>
      <c r="AE3470">
        <v>-192.76275000000001</v>
      </c>
      <c r="AF3470">
        <v>-30.4126720834346</v>
      </c>
      <c r="AG3470">
        <v>0.58395799999999898</v>
      </c>
      <c r="AH3470">
        <v>191.54484385172199</v>
      </c>
      <c r="AI3470">
        <v>89.827485300263902</v>
      </c>
      <c r="AJ3470">
        <v>99.0218691903532</v>
      </c>
      <c r="AK3470">
        <v>193.94509232352601</v>
      </c>
      <c r="AL3470">
        <v>78.230830411045702</v>
      </c>
      <c r="AM3470">
        <v>84.859360949024406</v>
      </c>
      <c r="AN3470">
        <v>0.99999999327153</v>
      </c>
    </row>
    <row r="3471" spans="1:40" x14ac:dyDescent="0.25">
      <c r="A3471" t="str">
        <f>"20190303170607327"</f>
        <v>20190303170607327</v>
      </c>
      <c r="B3471" t="str">
        <f>"1551603967318152"</f>
        <v>1551603967318152</v>
      </c>
      <c r="C3471" t="s">
        <v>40</v>
      </c>
      <c r="D3471">
        <v>5.9326119999999998</v>
      </c>
      <c r="E3471">
        <v>0.40937679999999999</v>
      </c>
      <c r="F3471" t="s">
        <v>86</v>
      </c>
      <c r="G3471">
        <v>-168.2835</v>
      </c>
      <c r="H3471">
        <v>1.696582</v>
      </c>
      <c r="I3471">
        <v>-17.389949999999999</v>
      </c>
      <c r="J3471">
        <v>-188.7148</v>
      </c>
      <c r="K3471">
        <v>1.1199440000000001</v>
      </c>
      <c r="L3471">
        <v>175.06450000000001</v>
      </c>
      <c r="M3471">
        <v>-4.8512909999999999E-2</v>
      </c>
      <c r="N3471">
        <v>-1.371814E-2</v>
      </c>
      <c r="O3471">
        <v>-0.99872859999999997</v>
      </c>
      <c r="P3471">
        <v>-0.14043829999999999</v>
      </c>
      <c r="Q3471">
        <v>0.18884110000000001</v>
      </c>
      <c r="R3471">
        <v>-0.97191399999999994</v>
      </c>
      <c r="S3471">
        <v>0.33128360000000001</v>
      </c>
      <c r="T3471">
        <v>9.3549489999999996E-3</v>
      </c>
      <c r="U3471">
        <v>-3.1280209999999999</v>
      </c>
      <c r="V3471">
        <v>9.374702E-2</v>
      </c>
      <c r="W3471">
        <v>0.20194290000000001</v>
      </c>
      <c r="X3471">
        <v>0.97490030000000005</v>
      </c>
      <c r="Y3471">
        <v>-0.153417</v>
      </c>
      <c r="Z3471">
        <v>-1.671241E-2</v>
      </c>
      <c r="AA3471">
        <v>0.98802020000000002</v>
      </c>
      <c r="AB3471">
        <v>32</v>
      </c>
      <c r="AC3471">
        <v>20.4313</v>
      </c>
      <c r="AD3471">
        <v>0.57663799999999998</v>
      </c>
      <c r="AE3471">
        <v>-192.45445000000001</v>
      </c>
      <c r="AF3471">
        <v>-29.7443763903667</v>
      </c>
      <c r="AG3471">
        <v>0.57663799999999998</v>
      </c>
      <c r="AH3471">
        <v>191.23483051925899</v>
      </c>
      <c r="AI3471">
        <v>89.829286890053694</v>
      </c>
      <c r="AJ3471">
        <v>98.840859762054293</v>
      </c>
      <c r="AK3471">
        <v>193.53506359821401</v>
      </c>
      <c r="AL3471">
        <v>78.349402618830993</v>
      </c>
      <c r="AM3471">
        <v>84.507290727741804</v>
      </c>
      <c r="AN3471">
        <v>1.0000000167796901</v>
      </c>
    </row>
    <row r="3472" spans="1:40" x14ac:dyDescent="0.25">
      <c r="A3472" t="str">
        <f>"20190303170607341"</f>
        <v>20190303170607341</v>
      </c>
      <c r="B3472" t="str">
        <f>"1551603967327913"</f>
        <v>1551603967327913</v>
      </c>
      <c r="C3472" t="s">
        <v>40</v>
      </c>
      <c r="D3472">
        <v>5.9147369999999997</v>
      </c>
      <c r="E3472">
        <v>0.4090184</v>
      </c>
      <c r="F3472" t="s">
        <v>54</v>
      </c>
      <c r="G3472">
        <v>-167.3115</v>
      </c>
      <c r="H3472">
        <v>1.447287</v>
      </c>
      <c r="I3472">
        <v>-37.694769999999998</v>
      </c>
      <c r="J3472">
        <v>-188.72499999999999</v>
      </c>
      <c r="K3472">
        <v>1.119858</v>
      </c>
      <c r="L3472">
        <v>174.8749</v>
      </c>
      <c r="M3472">
        <v>-4.9554939999999999E-2</v>
      </c>
      <c r="N3472">
        <v>-1.3718609999999999E-2</v>
      </c>
      <c r="O3472">
        <v>-0.99867729999999999</v>
      </c>
      <c r="P3472">
        <v>-0.14483360000000001</v>
      </c>
      <c r="Q3472">
        <v>0.18761639999999999</v>
      </c>
      <c r="R3472">
        <v>-0.97150590000000003</v>
      </c>
      <c r="S3472">
        <v>0.31500240000000002</v>
      </c>
      <c r="T3472">
        <v>4.8173670000000004E-3</v>
      </c>
      <c r="U3472">
        <v>-3.1312709999999999</v>
      </c>
      <c r="V3472">
        <v>9.7170919999999994E-2</v>
      </c>
      <c r="W3472">
        <v>0.20068929999999999</v>
      </c>
      <c r="X3472">
        <v>0.97482389999999997</v>
      </c>
      <c r="Y3472">
        <v>-0.14925729999999901</v>
      </c>
      <c r="Z3472">
        <v>-1.5275789999999999E-2</v>
      </c>
      <c r="AA3472">
        <v>0.98868040000000001</v>
      </c>
      <c r="AB3472">
        <v>32</v>
      </c>
      <c r="AC3472">
        <v>21.413499999999999</v>
      </c>
      <c r="AD3472">
        <v>0.32742900000000003</v>
      </c>
      <c r="AE3472">
        <v>-212.56967</v>
      </c>
      <c r="AF3472">
        <v>-31.921978777590301</v>
      </c>
      <c r="AG3472">
        <v>0.32742900000000003</v>
      </c>
      <c r="AH3472">
        <v>211.246716988305</v>
      </c>
      <c r="AI3472">
        <v>89.912189451371304</v>
      </c>
      <c r="AJ3472">
        <v>98.593083537965995</v>
      </c>
      <c r="AK3472">
        <v>213.64525592009801</v>
      </c>
      <c r="AL3472">
        <v>78.4227298043985</v>
      </c>
      <c r="AM3472">
        <v>84.307532990304594</v>
      </c>
      <c r="AN3472">
        <v>1.0000000094196699</v>
      </c>
    </row>
    <row r="3473" spans="1:40" x14ac:dyDescent="0.25">
      <c r="A3473" t="str">
        <f>"20190303170607356"</f>
        <v>20190303170607356</v>
      </c>
      <c r="B3473" t="str">
        <f>"1551603967348480"</f>
        <v>1551603967348480</v>
      </c>
      <c r="C3473" t="s">
        <v>40</v>
      </c>
      <c r="D3473">
        <v>5.9380889999999997</v>
      </c>
      <c r="E3473">
        <v>0.40815180000000001</v>
      </c>
      <c r="F3473" t="s">
        <v>54</v>
      </c>
      <c r="G3473">
        <v>-168.0916</v>
      </c>
      <c r="H3473">
        <v>1.2391399999999999</v>
      </c>
      <c r="I3473">
        <v>-37.694769999999998</v>
      </c>
      <c r="J3473">
        <v>-188.73679999999999</v>
      </c>
      <c r="K3473">
        <v>1.1197729999999999</v>
      </c>
      <c r="L3473">
        <v>174.66239999999999</v>
      </c>
      <c r="M3473">
        <v>-5.0803109999999999E-2</v>
      </c>
      <c r="N3473">
        <v>-1.37191E-2</v>
      </c>
      <c r="O3473">
        <v>-0.99861449999999996</v>
      </c>
      <c r="P3473">
        <v>-0.1499982</v>
      </c>
      <c r="Q3473">
        <v>0.18712500000000001</v>
      </c>
      <c r="R3473">
        <v>-0.97081669999999998</v>
      </c>
      <c r="S3473">
        <v>0.30410769999999998</v>
      </c>
      <c r="T3473">
        <v>1.7577409999999999E-3</v>
      </c>
      <c r="U3473">
        <v>-3.132965</v>
      </c>
      <c r="V3473">
        <v>0.1011806</v>
      </c>
      <c r="W3473">
        <v>0.2001609</v>
      </c>
      <c r="X3473">
        <v>0.97452459999999996</v>
      </c>
      <c r="Y3473">
        <v>-0.14703529999999901</v>
      </c>
      <c r="Z3473">
        <v>-1.430846E-2</v>
      </c>
      <c r="AA3473">
        <v>0.98902769999999995</v>
      </c>
      <c r="AB3473">
        <v>32</v>
      </c>
      <c r="AC3473">
        <v>20.6451999999999</v>
      </c>
      <c r="AD3473">
        <v>0.119367</v>
      </c>
      <c r="AE3473">
        <v>-212.35717</v>
      </c>
      <c r="AF3473">
        <v>-31.407945351784601</v>
      </c>
      <c r="AG3473">
        <v>0.119367</v>
      </c>
      <c r="AH3473">
        <v>211.033893972698</v>
      </c>
      <c r="AI3473">
        <v>89.967944885878097</v>
      </c>
      <c r="AJ3473">
        <v>98.465132593335994</v>
      </c>
      <c r="AK3473">
        <v>213.35833165119499</v>
      </c>
      <c r="AL3473">
        <v>78.453632378446201</v>
      </c>
      <c r="AM3473">
        <v>84.072469616769396</v>
      </c>
      <c r="AN3473">
        <v>1.0000000478551601</v>
      </c>
    </row>
    <row r="3474" spans="1:40" x14ac:dyDescent="0.25">
      <c r="A3474" t="str">
        <f>"20190303170607373"</f>
        <v>20190303170607373</v>
      </c>
      <c r="B3474" t="str">
        <f>"1551603967368002"</f>
        <v>1551603967368002</v>
      </c>
      <c r="C3474" t="s">
        <v>40</v>
      </c>
      <c r="D3474">
        <v>6.2023239999999999</v>
      </c>
      <c r="E3474">
        <v>0.40781260000000003</v>
      </c>
      <c r="F3474" t="s">
        <v>54</v>
      </c>
      <c r="G3474">
        <v>-166.1953</v>
      </c>
      <c r="H3474">
        <v>1.2391099999999999</v>
      </c>
      <c r="I3474">
        <v>-65.389949999999999</v>
      </c>
      <c r="J3474">
        <v>-188.75049999999999</v>
      </c>
      <c r="K3474">
        <v>1.1196710000000001</v>
      </c>
      <c r="L3474">
        <v>174.42160000000001</v>
      </c>
      <c r="M3474">
        <v>-5.2295639999999997E-2</v>
      </c>
      <c r="N3474">
        <v>-1.371986E-2</v>
      </c>
      <c r="O3474">
        <v>-0.99853769999999997</v>
      </c>
      <c r="P3474">
        <v>-0.1599537</v>
      </c>
      <c r="Q3474">
        <v>0.18631529999999999</v>
      </c>
      <c r="R3474">
        <v>-0.96938250000000004</v>
      </c>
      <c r="S3474">
        <v>0.29441830000000002</v>
      </c>
      <c r="T3474">
        <v>1.558423E-3</v>
      </c>
      <c r="U3474">
        <v>-3.1353610000000001</v>
      </c>
      <c r="V3474">
        <v>0.1097794</v>
      </c>
      <c r="W3474">
        <v>0.19928580000000001</v>
      </c>
      <c r="X3474">
        <v>0.97377290000000005</v>
      </c>
      <c r="Y3474">
        <v>-0.14541219999999999</v>
      </c>
      <c r="Z3474">
        <v>-1.4245789999999999E-2</v>
      </c>
      <c r="AA3474">
        <v>0.98926860000000005</v>
      </c>
      <c r="AB3474">
        <v>32</v>
      </c>
      <c r="AC3474">
        <v>22.5551999999999</v>
      </c>
      <c r="AD3474">
        <v>0.119439</v>
      </c>
      <c r="AE3474">
        <v>-239.81155000000001</v>
      </c>
      <c r="AF3474">
        <v>-35.066597283335298</v>
      </c>
      <c r="AG3474">
        <v>0.119439</v>
      </c>
      <c r="AH3474">
        <v>238.30363359393399</v>
      </c>
      <c r="AI3474">
        <v>89.971589014364199</v>
      </c>
      <c r="AJ3474">
        <v>98.371050708162798</v>
      </c>
      <c r="AK3474">
        <v>240.86988664998799</v>
      </c>
      <c r="AL3474">
        <v>78.504802367213998</v>
      </c>
      <c r="AM3474">
        <v>83.567852774632001</v>
      </c>
      <c r="AN3474">
        <v>1.0000000037601999</v>
      </c>
    </row>
    <row r="3475" spans="1:40" x14ac:dyDescent="0.25">
      <c r="A3475" t="str">
        <f>"20190303170607395"</f>
        <v>20190303170607395</v>
      </c>
      <c r="B3475" t="str">
        <f>"1551603967388497"</f>
        <v>1551603967388497</v>
      </c>
      <c r="C3475" t="s">
        <v>40</v>
      </c>
      <c r="D3475">
        <v>5.9535019999999896</v>
      </c>
      <c r="E3475">
        <v>0.43823069999999997</v>
      </c>
      <c r="F3475" t="s">
        <v>54</v>
      </c>
      <c r="G3475">
        <v>-168.40129999999999</v>
      </c>
      <c r="H3475">
        <v>1.1640680000000001</v>
      </c>
      <c r="I3475">
        <v>-65.389949999999999</v>
      </c>
      <c r="J3475">
        <v>-188.76910000000001</v>
      </c>
      <c r="K3475">
        <v>1.1195440000000001</v>
      </c>
      <c r="L3475">
        <v>174.10749999999999</v>
      </c>
      <c r="M3475">
        <v>-5.4372690000000001E-2</v>
      </c>
      <c r="N3475">
        <v>-1.372136E-2</v>
      </c>
      <c r="O3475">
        <v>-0.99842660000000005</v>
      </c>
      <c r="P3475">
        <v>-0.1712591</v>
      </c>
      <c r="Q3475">
        <v>0.1856419</v>
      </c>
      <c r="R3475">
        <v>-0.96757820000000005</v>
      </c>
      <c r="S3475">
        <v>0.26632689999999998</v>
      </c>
      <c r="T3475">
        <v>5.8078769999999995E-4</v>
      </c>
      <c r="U3475">
        <v>-3.1385960000000002</v>
      </c>
      <c r="V3475">
        <v>0.11919150000000001</v>
      </c>
      <c r="W3475">
        <v>0.1985307</v>
      </c>
      <c r="X3475">
        <v>0.97282009999999997</v>
      </c>
      <c r="Y3475">
        <v>-0.1385885</v>
      </c>
      <c r="Z3475">
        <v>-1.393641E-2</v>
      </c>
      <c r="AA3475">
        <v>0.99025200000000002</v>
      </c>
      <c r="AB3475">
        <v>32</v>
      </c>
      <c r="AC3475">
        <v>20.367799999999999</v>
      </c>
      <c r="AD3475">
        <v>4.4524000000000001E-2</v>
      </c>
      <c r="AE3475">
        <v>-239.49744999999999</v>
      </c>
      <c r="AF3475">
        <v>-33.3610077612243</v>
      </c>
      <c r="AG3475">
        <v>4.4524000000000001E-2</v>
      </c>
      <c r="AH3475">
        <v>238.03553312420601</v>
      </c>
      <c r="AI3475">
        <v>89.989386684745398</v>
      </c>
      <c r="AJ3475">
        <v>97.978116757048298</v>
      </c>
      <c r="AK3475">
        <v>240.361964235101</v>
      </c>
      <c r="AL3475">
        <v>78.548948488285603</v>
      </c>
      <c r="AM3475">
        <v>83.014841810141306</v>
      </c>
      <c r="AN3475">
        <v>0.99999999973937403</v>
      </c>
    </row>
    <row r="3476" spans="1:40" x14ac:dyDescent="0.25">
      <c r="A3476" t="str">
        <f>"20190303170607416"</f>
        <v>20190303170607416</v>
      </c>
      <c r="B3476" t="str">
        <f>"1551603967408017"</f>
        <v>1551603967408017</v>
      </c>
      <c r="C3476" t="s">
        <v>40</v>
      </c>
      <c r="D3476">
        <v>6.1308639999999999</v>
      </c>
      <c r="E3476">
        <v>0.49341269999999998</v>
      </c>
      <c r="F3476" t="s">
        <v>41</v>
      </c>
      <c r="G3476">
        <v>-188.89099999999999</v>
      </c>
      <c r="H3476" s="1">
        <v>-1.42594E-6</v>
      </c>
      <c r="I3476">
        <v>112.49809999999999</v>
      </c>
      <c r="J3476">
        <v>-188.78829999999999</v>
      </c>
      <c r="K3476">
        <v>1.1194280000000001</v>
      </c>
      <c r="L3476">
        <v>173.79730000000001</v>
      </c>
      <c r="M3476">
        <v>-5.6552150000000002E-2</v>
      </c>
      <c r="N3476">
        <v>-1.372312E-2</v>
      </c>
      <c r="O3476">
        <v>-0.99830549999999996</v>
      </c>
      <c r="P3476">
        <v>-0.18170020000000001</v>
      </c>
      <c r="Q3476">
        <v>0.18555060000000001</v>
      </c>
      <c r="R3476">
        <v>-0.96568969999999998</v>
      </c>
      <c r="S3476">
        <v>-6.1492919999999998E-3</v>
      </c>
      <c r="T3476">
        <v>-5.6518909999999999E-2</v>
      </c>
      <c r="U3476">
        <v>-3.1102750000000001</v>
      </c>
      <c r="V3476">
        <v>0.1276495</v>
      </c>
      <c r="W3476">
        <v>0.19835630000000001</v>
      </c>
      <c r="X3476">
        <v>0.97178209999999998</v>
      </c>
      <c r="Y3476">
        <v>-5.4571500000000002E-2</v>
      </c>
      <c r="Z3476">
        <v>4.3897160000000001E-3</v>
      </c>
      <c r="AA3476">
        <v>0.99850019999999995</v>
      </c>
      <c r="AB3476">
        <v>32</v>
      </c>
      <c r="AC3476">
        <v>-0.102699999999998</v>
      </c>
      <c r="AD3476">
        <v>-1.1194294259399999</v>
      </c>
      <c r="AE3476">
        <v>-61.299199999999999</v>
      </c>
      <c r="AF3476">
        <v>-3.3632702010905899</v>
      </c>
      <c r="AG3476">
        <v>-1.1194294259399999</v>
      </c>
      <c r="AH3476">
        <v>61.186484538323398</v>
      </c>
      <c r="AI3476">
        <v>91.046551105664307</v>
      </c>
      <c r="AJ3476">
        <v>93.146241571284307</v>
      </c>
      <c r="AK3476">
        <v>61.289074057646701</v>
      </c>
      <c r="AL3476">
        <v>78.559144018327103</v>
      </c>
      <c r="AM3476">
        <v>82.516694029875595</v>
      </c>
      <c r="AN3476">
        <v>1.0000000332401699</v>
      </c>
    </row>
    <row r="3477" spans="1:40" x14ac:dyDescent="0.25">
      <c r="A3477" t="str">
        <f>"20190303170607430"</f>
        <v>20190303170607430</v>
      </c>
      <c r="B3477" t="str">
        <f>"1551603967418753"</f>
        <v>1551603967418753</v>
      </c>
      <c r="C3477" t="s">
        <v>40</v>
      </c>
      <c r="D3477">
        <v>5.8884619999999996</v>
      </c>
      <c r="E3477">
        <v>0.49341269999999998</v>
      </c>
      <c r="F3477" t="s">
        <v>84</v>
      </c>
      <c r="G3477">
        <v>-193.7424</v>
      </c>
      <c r="H3477" s="1">
        <v>-9.2516699999999995E-6</v>
      </c>
      <c r="I3477">
        <v>141.82749999999999</v>
      </c>
      <c r="J3477">
        <v>-188.8004</v>
      </c>
      <c r="K3477">
        <v>1.119359</v>
      </c>
      <c r="L3477">
        <v>173.60820000000001</v>
      </c>
      <c r="M3477">
        <v>-5.794179E-2</v>
      </c>
      <c r="N3477">
        <v>-1.3724210000000001E-2</v>
      </c>
      <c r="O3477">
        <v>-0.99822580000000005</v>
      </c>
      <c r="P3477">
        <v>-0.18666559999999999</v>
      </c>
      <c r="Q3477">
        <v>0.18569530000000001</v>
      </c>
      <c r="R3477">
        <v>-0.96471430000000002</v>
      </c>
      <c r="S3477">
        <v>-0.4708405</v>
      </c>
      <c r="T3477">
        <v>-0.1063923</v>
      </c>
      <c r="U3477">
        <v>-3.0384370000000001</v>
      </c>
      <c r="V3477">
        <v>0.1313405</v>
      </c>
      <c r="W3477">
        <v>0.1984573</v>
      </c>
      <c r="X3477">
        <v>0.97126950000000001</v>
      </c>
      <c r="Y3477">
        <v>9.5547460000000001E-2</v>
      </c>
      <c r="Z3477">
        <v>2.0961560000000001E-2</v>
      </c>
      <c r="AA3477">
        <v>0.99520419999999998</v>
      </c>
      <c r="AB3477">
        <v>32</v>
      </c>
      <c r="AC3477">
        <v>-4.9420000000000002</v>
      </c>
      <c r="AD3477">
        <v>-1.1193682516700001</v>
      </c>
      <c r="AE3477">
        <v>-31.7807</v>
      </c>
      <c r="AF3477">
        <v>3.0883510922746198</v>
      </c>
      <c r="AG3477">
        <v>-1.1193682516700001</v>
      </c>
      <c r="AH3477">
        <v>31.974942052123399</v>
      </c>
      <c r="AI3477">
        <v>91.995693298843804</v>
      </c>
      <c r="AJ3477">
        <v>84.483108357798599</v>
      </c>
      <c r="AK3477">
        <v>32.143239055649801</v>
      </c>
      <c r="AL3477">
        <v>78.553239778530099</v>
      </c>
      <c r="AM3477">
        <v>82.298858092758806</v>
      </c>
      <c r="AN3477">
        <v>1.00000003424689</v>
      </c>
    </row>
    <row r="3478" spans="1:40" x14ac:dyDescent="0.25">
      <c r="A3478" t="str">
        <f>"20190303170607449"</f>
        <v>20190303170607449</v>
      </c>
      <c r="B3478" t="str">
        <f>"1551603967438273"</f>
        <v>1551603967438273</v>
      </c>
      <c r="C3478" t="s">
        <v>40</v>
      </c>
      <c r="D3478">
        <v>5.7500920000000004</v>
      </c>
      <c r="E3478">
        <v>0.54980669999999898</v>
      </c>
      <c r="F3478" t="s">
        <v>84</v>
      </c>
      <c r="G3478">
        <v>-193.9365</v>
      </c>
      <c r="H3478" s="1">
        <v>-9.1773060000000008E-6</v>
      </c>
      <c r="I3478">
        <v>141.4838</v>
      </c>
      <c r="J3478">
        <v>-188.81800000000001</v>
      </c>
      <c r="K3478">
        <v>1.119264</v>
      </c>
      <c r="L3478">
        <v>173.34030000000001</v>
      </c>
      <c r="M3478">
        <v>-5.9984089999999997E-2</v>
      </c>
      <c r="N3478">
        <v>-1.372573E-2</v>
      </c>
      <c r="O3478">
        <v>-0.99810520000000003</v>
      </c>
      <c r="P3478">
        <v>-0.19592619999999999</v>
      </c>
      <c r="Q3478">
        <v>0.1841737</v>
      </c>
      <c r="R3478">
        <v>-0.96316860000000004</v>
      </c>
      <c r="S3478">
        <v>-0.48542790000000002</v>
      </c>
      <c r="T3478">
        <v>-0.1057935</v>
      </c>
      <c r="U3478">
        <v>-3.036133</v>
      </c>
      <c r="V3478">
        <v>0.1387225</v>
      </c>
      <c r="W3478">
        <v>0.19686239999999999</v>
      </c>
      <c r="X3478">
        <v>0.97056750000000003</v>
      </c>
      <c r="Y3478">
        <v>9.8290359999999993E-2</v>
      </c>
      <c r="Z3478">
        <v>2.0771649999999999E-2</v>
      </c>
      <c r="AA3478">
        <v>0.99494099999999996</v>
      </c>
      <c r="AB3478">
        <v>32</v>
      </c>
      <c r="AC3478">
        <v>-5.1185000000000098</v>
      </c>
      <c r="AD3478">
        <v>-1.1192731773060001</v>
      </c>
      <c r="AE3478">
        <v>-31.8565</v>
      </c>
      <c r="AF3478">
        <v>3.1943747393864701</v>
      </c>
      <c r="AG3478">
        <v>-1.1192731773060001</v>
      </c>
      <c r="AH3478">
        <v>32.067593846610301</v>
      </c>
      <c r="AI3478">
        <v>91.989178266832795</v>
      </c>
      <c r="AJ3478">
        <v>84.311316492419493</v>
      </c>
      <c r="AK3478">
        <v>32.245734253265603</v>
      </c>
      <c r="AL3478">
        <v>78.646459653383801</v>
      </c>
      <c r="AM3478">
        <v>81.865848003978201</v>
      </c>
      <c r="AN3478">
        <v>1.0000000042981301</v>
      </c>
    </row>
    <row r="3479" spans="1:40" x14ac:dyDescent="0.25">
      <c r="A3479" t="str">
        <f>"20190303170607473"</f>
        <v>20190303170607473</v>
      </c>
      <c r="B3479" t="str">
        <f>"1551603967468114"</f>
        <v>1551603967468114</v>
      </c>
      <c r="C3479" t="s">
        <v>40</v>
      </c>
      <c r="D3479">
        <v>5.787477</v>
      </c>
      <c r="E3479">
        <v>0.55944830000000001</v>
      </c>
      <c r="F3479" t="s">
        <v>84</v>
      </c>
      <c r="G3479">
        <v>-200.58359999999999</v>
      </c>
      <c r="H3479" s="1">
        <v>-8.4985729999999997E-6</v>
      </c>
      <c r="I3479">
        <v>137.16829999999999</v>
      </c>
      <c r="J3479">
        <v>-188.84010000000001</v>
      </c>
      <c r="K3479">
        <v>1.119146</v>
      </c>
      <c r="L3479">
        <v>173.01689999999999</v>
      </c>
      <c r="M3479">
        <v>-6.2570009999999995E-2</v>
      </c>
      <c r="N3479">
        <v>-1.3727629999999999E-2</v>
      </c>
      <c r="O3479">
        <v>-0.99794609999999995</v>
      </c>
      <c r="P3479">
        <v>-0.21051130000000001</v>
      </c>
      <c r="Q3479">
        <v>0.18142169999999999</v>
      </c>
      <c r="R3479">
        <v>-0.96060990000000002</v>
      </c>
      <c r="S3479">
        <v>-0.95556640000000004</v>
      </c>
      <c r="T3479">
        <v>-9.0903280000000003E-2</v>
      </c>
      <c r="U3479">
        <v>-2.9377589999999998</v>
      </c>
      <c r="V3479">
        <v>0.15095520000000001</v>
      </c>
      <c r="W3479">
        <v>0.19399759999999999</v>
      </c>
      <c r="X3479">
        <v>0.96931800000000001</v>
      </c>
      <c r="Y3479">
        <v>0.24909410000000001</v>
      </c>
      <c r="Z3479">
        <v>1.5999469999999998E-2</v>
      </c>
      <c r="AA3479">
        <v>0.96834710000000002</v>
      </c>
      <c r="AB3479">
        <v>32</v>
      </c>
      <c r="AC3479">
        <v>-11.7434999999999</v>
      </c>
      <c r="AD3479">
        <v>-1.119154498573</v>
      </c>
      <c r="AE3479">
        <v>-35.848599999999998</v>
      </c>
      <c r="AF3479">
        <v>9.4688921791242002</v>
      </c>
      <c r="AG3479">
        <v>-1.119154498573</v>
      </c>
      <c r="AH3479">
        <v>36.481094897193302</v>
      </c>
      <c r="AI3479">
        <v>91.700825850584494</v>
      </c>
      <c r="AJ3479">
        <v>75.449607373780907</v>
      </c>
      <c r="AK3479">
        <v>37.706534059623898</v>
      </c>
      <c r="AL3479">
        <v>78.8138274540688</v>
      </c>
      <c r="AM3479">
        <v>81.148236010834907</v>
      </c>
      <c r="AN3479">
        <v>0.99999996316839901</v>
      </c>
    </row>
    <row r="3480" spans="1:40" x14ac:dyDescent="0.25">
      <c r="A3480" t="str">
        <f>"20190303170607496"</f>
        <v>20190303170607496</v>
      </c>
      <c r="B3480" t="str">
        <f>"1551603967488610"</f>
        <v>1551603967488610</v>
      </c>
      <c r="C3480" t="s">
        <v>40</v>
      </c>
      <c r="D3480">
        <v>5.7440530000000001</v>
      </c>
      <c r="E3480">
        <v>0.56133869999999997</v>
      </c>
      <c r="F3480" t="s">
        <v>84</v>
      </c>
      <c r="G3480">
        <v>-198.6687</v>
      </c>
      <c r="H3480" s="1">
        <v>-1.1305550000000001E-5</v>
      </c>
      <c r="I3480">
        <v>146.35339999999999</v>
      </c>
      <c r="J3480">
        <v>-188.86369999999999</v>
      </c>
      <c r="K3480">
        <v>1.1190370000000001</v>
      </c>
      <c r="L3480">
        <v>172.6865</v>
      </c>
      <c r="M3480">
        <v>-6.5332509999999996E-2</v>
      </c>
      <c r="N3480">
        <v>-1.372981E-2</v>
      </c>
      <c r="O3480">
        <v>-0.99776920000000002</v>
      </c>
      <c r="P3480">
        <v>-0.22075059999999999</v>
      </c>
      <c r="Q3480">
        <v>0.18153749999999999</v>
      </c>
      <c r="R3480">
        <v>-0.95828679999999999</v>
      </c>
      <c r="S3480">
        <v>-1.073013</v>
      </c>
      <c r="T3480">
        <v>-0.12218179999999999</v>
      </c>
      <c r="U3480">
        <v>-2.9109340000000001</v>
      </c>
      <c r="V3480">
        <v>0.15868279999999901</v>
      </c>
      <c r="W3480">
        <v>0.1940201</v>
      </c>
      <c r="X3480">
        <v>0.96807849999999995</v>
      </c>
      <c r="Y3480">
        <v>0.28360279999999999</v>
      </c>
      <c r="Z3480">
        <v>2.6077429999999999E-2</v>
      </c>
      <c r="AA3480">
        <v>0.95858719999999997</v>
      </c>
      <c r="AB3480">
        <v>32</v>
      </c>
      <c r="AC3480">
        <v>-9.8049999999999997</v>
      </c>
      <c r="AD3480">
        <v>-1.11904830555</v>
      </c>
      <c r="AE3480">
        <v>-26.333100000000002</v>
      </c>
      <c r="AF3480">
        <v>8.0507101090297404</v>
      </c>
      <c r="AG3480">
        <v>-1.11904830555</v>
      </c>
      <c r="AH3480">
        <v>26.874851718712598</v>
      </c>
      <c r="AI3480">
        <v>92.284200274703807</v>
      </c>
      <c r="AJ3480">
        <v>73.323731549623403</v>
      </c>
      <c r="AK3480">
        <v>28.0771055714897</v>
      </c>
      <c r="AL3480">
        <v>78.812513817865906</v>
      </c>
      <c r="AM3480">
        <v>80.691131482073601</v>
      </c>
      <c r="AN3480">
        <v>1.0000000061910499</v>
      </c>
    </row>
    <row r="3481" spans="1:40" x14ac:dyDescent="0.25">
      <c r="A3481" t="str">
        <f>"20190303170607517"</f>
        <v>20190303170607517</v>
      </c>
      <c r="B3481" t="str">
        <f>"1551603967508130"</f>
        <v>1551603967508130</v>
      </c>
      <c r="C3481" t="s">
        <v>40</v>
      </c>
      <c r="D3481">
        <v>5.7496199999999904</v>
      </c>
      <c r="E3481">
        <v>0.56211860000000002</v>
      </c>
      <c r="F3481" t="s">
        <v>84</v>
      </c>
      <c r="G3481">
        <v>-198.54949999999999</v>
      </c>
      <c r="H3481" s="1">
        <v>-1.1655670000000001E-5</v>
      </c>
      <c r="I3481">
        <v>147.58779999999999</v>
      </c>
      <c r="J3481">
        <v>-188.88679999999999</v>
      </c>
      <c r="K3481">
        <v>1.118951</v>
      </c>
      <c r="L3481">
        <v>172.3767</v>
      </c>
      <c r="M3481">
        <v>-6.8028199999999997E-2</v>
      </c>
      <c r="N3481">
        <v>-1.3731899999999899E-2</v>
      </c>
      <c r="O3481">
        <v>-0.9975889</v>
      </c>
      <c r="P3481">
        <v>-0.22866610000000001</v>
      </c>
      <c r="Q3481">
        <v>0.18400359999999999</v>
      </c>
      <c r="R3481">
        <v>-0.95595759999999996</v>
      </c>
      <c r="S3481">
        <v>-1.1181490000000001</v>
      </c>
      <c r="T3481">
        <v>-0.1291863</v>
      </c>
      <c r="U3481">
        <v>-2.8974609999999998</v>
      </c>
      <c r="V3481">
        <v>0.16417190000000001</v>
      </c>
      <c r="W3481">
        <v>0.1964042</v>
      </c>
      <c r="X3481">
        <v>0.96668140000000002</v>
      </c>
      <c r="Y3481">
        <v>0.29546919999999999</v>
      </c>
      <c r="Z3481">
        <v>2.8340790000000001E-2</v>
      </c>
      <c r="AA3481">
        <v>0.9549318</v>
      </c>
      <c r="AB3481">
        <v>32</v>
      </c>
      <c r="AC3481">
        <v>-9.6626999999999992</v>
      </c>
      <c r="AD3481">
        <v>-1.1189626556700001</v>
      </c>
      <c r="AE3481">
        <v>-24.788900000000002</v>
      </c>
      <c r="AF3481">
        <v>7.9397638284887302</v>
      </c>
      <c r="AG3481">
        <v>-1.1189626556700001</v>
      </c>
      <c r="AH3481">
        <v>25.344032009321602</v>
      </c>
      <c r="AI3481">
        <v>92.412548745262896</v>
      </c>
      <c r="AJ3481">
        <v>72.605299634155003</v>
      </c>
      <c r="AK3481">
        <v>26.5821723259495</v>
      </c>
      <c r="AL3481">
        <v>78.673234991439699</v>
      </c>
      <c r="AM3481">
        <v>80.361398725701093</v>
      </c>
      <c r="AN3481">
        <v>0.99999997581660405</v>
      </c>
    </row>
    <row r="3482" spans="1:40" x14ac:dyDescent="0.25">
      <c r="A3482" t="str">
        <f>"20190303170607539"</f>
        <v>20190303170607539</v>
      </c>
      <c r="B3482" t="str">
        <f>"1551603967528626"</f>
        <v>1551603967528626</v>
      </c>
      <c r="C3482" t="s">
        <v>40</v>
      </c>
      <c r="D3482">
        <v>5.7706869999999997</v>
      </c>
      <c r="E3482">
        <v>0.56210450000000001</v>
      </c>
      <c r="F3482" t="s">
        <v>84</v>
      </c>
      <c r="G3482">
        <v>-199.1987</v>
      </c>
      <c r="H3482" s="1">
        <v>-1.14107399999999E-5</v>
      </c>
      <c r="I3482">
        <v>146.4511</v>
      </c>
      <c r="J3482">
        <v>-188.90989999999999</v>
      </c>
      <c r="K3482">
        <v>1.11887</v>
      </c>
      <c r="L3482">
        <v>172.07919999999999</v>
      </c>
      <c r="M3482">
        <v>-7.0710540000000002E-2</v>
      </c>
      <c r="N3482">
        <v>-1.373402E-2</v>
      </c>
      <c r="O3482">
        <v>-0.99740249999999997</v>
      </c>
      <c r="P3482">
        <v>-0.2360399</v>
      </c>
      <c r="Q3482">
        <v>0.1834798</v>
      </c>
      <c r="R3482">
        <v>-0.95426469999999997</v>
      </c>
      <c r="S3482">
        <v>-1.1484989999999999</v>
      </c>
      <c r="T3482">
        <v>-0.1246251</v>
      </c>
      <c r="U3482">
        <v>-2.8874819999999999</v>
      </c>
      <c r="V3482">
        <v>0.1690767</v>
      </c>
      <c r="W3482">
        <v>0.19581129999999999</v>
      </c>
      <c r="X3482">
        <v>0.96595600000000004</v>
      </c>
      <c r="Y3482">
        <v>0.30271229999999999</v>
      </c>
      <c r="Z3482">
        <v>2.686993E-2</v>
      </c>
      <c r="AA3482">
        <v>0.95270310000000002</v>
      </c>
      <c r="AB3482">
        <v>32</v>
      </c>
      <c r="AC3482">
        <v>-10.2888</v>
      </c>
      <c r="AD3482">
        <v>-1.11888141074</v>
      </c>
      <c r="AE3482">
        <v>-25.6280999999999</v>
      </c>
      <c r="AF3482">
        <v>8.4368446250764002</v>
      </c>
      <c r="AG3482">
        <v>-1.11888141074</v>
      </c>
      <c r="AH3482">
        <v>26.248446202587498</v>
      </c>
      <c r="AI3482">
        <v>92.323890066181306</v>
      </c>
      <c r="AJ3482">
        <v>72.1814196012579</v>
      </c>
      <c r="AK3482">
        <v>27.593716148592801</v>
      </c>
      <c r="AL3482">
        <v>78.707878570460295</v>
      </c>
      <c r="AM3482">
        <v>80.071774697399505</v>
      </c>
      <c r="AN3482">
        <v>0.99999999481328905</v>
      </c>
    </row>
    <row r="3483" spans="1:40" x14ac:dyDescent="0.25">
      <c r="A3483" t="str">
        <f>"20190303170607562"</f>
        <v>20190303170607562</v>
      </c>
      <c r="B3483" t="str">
        <f>"1551603967548652"</f>
        <v>1551603967548652</v>
      </c>
      <c r="C3483" t="s">
        <v>40</v>
      </c>
      <c r="D3483">
        <v>5.7782140000000002</v>
      </c>
      <c r="E3483">
        <v>0.56171819999999995</v>
      </c>
      <c r="F3483" t="s">
        <v>84</v>
      </c>
      <c r="G3483">
        <v>-199.16079999999999</v>
      </c>
      <c r="H3483" s="1">
        <v>-1.152293E-5</v>
      </c>
      <c r="I3483">
        <v>146.84649999999999</v>
      </c>
      <c r="J3483">
        <v>-188.93610000000001</v>
      </c>
      <c r="K3483">
        <v>1.118771</v>
      </c>
      <c r="L3483">
        <v>171.7526</v>
      </c>
      <c r="M3483">
        <v>-7.3745859999999996E-2</v>
      </c>
      <c r="N3483">
        <v>-1.373635E-2</v>
      </c>
      <c r="O3483">
        <v>-0.99718269999999998</v>
      </c>
      <c r="P3483">
        <v>-0.24326610000000001</v>
      </c>
      <c r="Q3483">
        <v>0.1808487</v>
      </c>
      <c r="R3483">
        <v>-0.9529512</v>
      </c>
      <c r="S3483">
        <v>-1.169632</v>
      </c>
      <c r="T3483">
        <v>-0.12766369999999999</v>
      </c>
      <c r="U3483">
        <v>-2.8790279999999999</v>
      </c>
      <c r="V3483">
        <v>0.17345679999999999</v>
      </c>
      <c r="W3483">
        <v>0.1931186</v>
      </c>
      <c r="X3483">
        <v>0.96572150000000001</v>
      </c>
      <c r="Y3483">
        <v>0.30677330000000003</v>
      </c>
      <c r="Z3483">
        <v>2.7879879999999999E-2</v>
      </c>
      <c r="AA3483">
        <v>0.95137419999999995</v>
      </c>
      <c r="AB3483">
        <v>31</v>
      </c>
      <c r="AC3483">
        <v>-10.224699999999901</v>
      </c>
      <c r="AD3483">
        <v>-1.1187825229299999</v>
      </c>
      <c r="AE3483">
        <v>-24.906099999999999</v>
      </c>
      <c r="AF3483">
        <v>8.3455479781864899</v>
      </c>
      <c r="AG3483">
        <v>-1.1187825229299999</v>
      </c>
      <c r="AH3483">
        <v>25.5482534979711</v>
      </c>
      <c r="AI3483">
        <v>92.383638427993503</v>
      </c>
      <c r="AJ3483">
        <v>71.909945968205605</v>
      </c>
      <c r="AK3483">
        <v>26.900057661395799</v>
      </c>
      <c r="AL3483">
        <v>78.865162044613399</v>
      </c>
      <c r="AM3483">
        <v>79.817467142933594</v>
      </c>
      <c r="AN3483">
        <v>1.00000003534722</v>
      </c>
    </row>
    <row r="3484" spans="1:40" x14ac:dyDescent="0.25">
      <c r="A3484" t="str">
        <f>"20190303170607585"</f>
        <v>20190303170607585</v>
      </c>
      <c r="B3484" t="str">
        <f>"1551603967577932"</f>
        <v>1551603967577932</v>
      </c>
      <c r="C3484" t="s">
        <v>40</v>
      </c>
      <c r="D3484">
        <v>5.7958220000000003</v>
      </c>
      <c r="E3484">
        <v>0.56104880000000001</v>
      </c>
      <c r="F3484" t="s">
        <v>84</v>
      </c>
      <c r="G3484">
        <v>-198.55699999999999</v>
      </c>
      <c r="H3484" s="1">
        <v>-1.191575E-5</v>
      </c>
      <c r="I3484">
        <v>148.48949999999999</v>
      </c>
      <c r="J3484">
        <v>-188.9632</v>
      </c>
      <c r="K3484">
        <v>1.1186799999999999</v>
      </c>
      <c r="L3484">
        <v>171.4307</v>
      </c>
      <c r="M3484">
        <v>-7.6830300000000004E-2</v>
      </c>
      <c r="N3484">
        <v>-1.373858E-2</v>
      </c>
      <c r="O3484">
        <v>-0.99694959999999999</v>
      </c>
      <c r="P3484">
        <v>-0.2506061</v>
      </c>
      <c r="Q3484">
        <v>0.1789473</v>
      </c>
      <c r="R3484">
        <v>-0.95140690000000006</v>
      </c>
      <c r="S3484">
        <v>-1.1874389999999999</v>
      </c>
      <c r="T3484">
        <v>-0.1380837</v>
      </c>
      <c r="U3484">
        <v>-2.8712010000000001</v>
      </c>
      <c r="V3484">
        <v>0.17792140000000001</v>
      </c>
      <c r="W3484">
        <v>0.19115409999999999</v>
      </c>
      <c r="X3484">
        <v>0.96530000000000005</v>
      </c>
      <c r="Y3484">
        <v>0.30973489999999998</v>
      </c>
      <c r="Z3484">
        <v>3.1288259999999998E-2</v>
      </c>
      <c r="AA3484">
        <v>0.95030800000000004</v>
      </c>
      <c r="AB3484">
        <v>31</v>
      </c>
      <c r="AC3484">
        <v>-9.5938000000000105</v>
      </c>
      <c r="AD3484">
        <v>-1.1186919157499999</v>
      </c>
      <c r="AE3484">
        <v>-22.941199999999998</v>
      </c>
      <c r="AF3484">
        <v>7.7869314762981396</v>
      </c>
      <c r="AG3484">
        <v>-1.1186919157499999</v>
      </c>
      <c r="AH3484">
        <v>23.562851887027598</v>
      </c>
      <c r="AI3484">
        <v>92.581093582169999</v>
      </c>
      <c r="AJ3484">
        <v>71.712575128941097</v>
      </c>
      <c r="AK3484">
        <v>24.8414122478761</v>
      </c>
      <c r="AL3484">
        <v>78.979856212177793</v>
      </c>
      <c r="AM3484">
        <v>79.5566130099037</v>
      </c>
      <c r="AN3484">
        <v>1.0000000022623801</v>
      </c>
    </row>
    <row r="3485" spans="1:40" x14ac:dyDescent="0.25">
      <c r="A3485" t="str">
        <f>"20190303170607607"</f>
        <v>20190303170607607</v>
      </c>
      <c r="B3485" t="str">
        <f>"1551603967598428"</f>
        <v>1551603967598428</v>
      </c>
      <c r="C3485" t="s">
        <v>40</v>
      </c>
      <c r="D3485">
        <v>5.8047329999999997</v>
      </c>
      <c r="E3485">
        <v>0.56053430000000004</v>
      </c>
      <c r="F3485" t="s">
        <v>84</v>
      </c>
      <c r="G3485">
        <v>-198.22389999999999</v>
      </c>
      <c r="H3485" s="1">
        <v>-1.2093070000000001E-5</v>
      </c>
      <c r="I3485">
        <v>149.386</v>
      </c>
      <c r="J3485">
        <v>-188.99029999999999</v>
      </c>
      <c r="K3485">
        <v>1.1186130000000001</v>
      </c>
      <c r="L3485">
        <v>171.12119999999999</v>
      </c>
      <c r="M3485">
        <v>-7.9869990000000002E-2</v>
      </c>
      <c r="N3485">
        <v>-1.3740540000000001E-2</v>
      </c>
      <c r="O3485">
        <v>-0.99671089999999996</v>
      </c>
      <c r="P3485">
        <v>-0.25668839999999998</v>
      </c>
      <c r="Q3485">
        <v>0.17823159999999999</v>
      </c>
      <c r="R3485">
        <v>-0.94991859999999995</v>
      </c>
      <c r="S3485">
        <v>-1.203003</v>
      </c>
      <c r="T3485">
        <v>-0.14532229999999999</v>
      </c>
      <c r="U3485">
        <v>-2.863693</v>
      </c>
      <c r="V3485">
        <v>0.18117639999999999</v>
      </c>
      <c r="W3485">
        <v>0.190386</v>
      </c>
      <c r="X3485">
        <v>0.96484630000000005</v>
      </c>
      <c r="Y3485">
        <v>0.312077299999999</v>
      </c>
      <c r="Z3485">
        <v>3.3673309999999998E-2</v>
      </c>
      <c r="AA3485">
        <v>0.94945979999999996</v>
      </c>
      <c r="AB3485">
        <v>31</v>
      </c>
      <c r="AC3485">
        <v>-9.2335999999999903</v>
      </c>
      <c r="AD3485">
        <v>-1.1186250930699999</v>
      </c>
      <c r="AE3485">
        <v>-21.735199999999899</v>
      </c>
      <c r="AF3485">
        <v>7.4512230990843697</v>
      </c>
      <c r="AG3485">
        <v>-1.1186250930699999</v>
      </c>
      <c r="AH3485">
        <v>22.3531500279943</v>
      </c>
      <c r="AI3485">
        <v>92.718083142925906</v>
      </c>
      <c r="AJ3485">
        <v>71.564651879424503</v>
      </c>
      <c r="AK3485">
        <v>23.588882210592299</v>
      </c>
      <c r="AL3485">
        <v>79.024688984685795</v>
      </c>
      <c r="AM3485">
        <v>79.364987400106997</v>
      </c>
      <c r="AN3485">
        <v>1.0000000497683199</v>
      </c>
    </row>
    <row r="3486" spans="1:40" x14ac:dyDescent="0.25">
      <c r="A3486" t="str">
        <f>"20190303170607628"</f>
        <v>20190303170607628</v>
      </c>
      <c r="B3486" t="str">
        <f>"1551603967617953"</f>
        <v>1551603967617953</v>
      </c>
      <c r="C3486" t="s">
        <v>40</v>
      </c>
      <c r="D3486">
        <v>5.8246460000000004</v>
      </c>
      <c r="E3486">
        <v>0.55997059999999999</v>
      </c>
      <c r="F3486" t="s">
        <v>84</v>
      </c>
      <c r="G3486">
        <v>-198.06610000000001</v>
      </c>
      <c r="H3486" s="1">
        <v>-1.2200470000000001E-5</v>
      </c>
      <c r="I3486">
        <v>149.7903</v>
      </c>
      <c r="J3486">
        <v>-189.0172</v>
      </c>
      <c r="K3486">
        <v>1.1185590000000001</v>
      </c>
      <c r="L3486">
        <v>170.82380000000001</v>
      </c>
      <c r="M3486">
        <v>-8.2841899999999996E-2</v>
      </c>
      <c r="N3486">
        <v>-1.374217E-2</v>
      </c>
      <c r="O3486">
        <v>-0.99646809999999997</v>
      </c>
      <c r="P3486">
        <v>-0.26131310000000002</v>
      </c>
      <c r="Q3486">
        <v>0.1778544</v>
      </c>
      <c r="R3486">
        <v>-0.9487274</v>
      </c>
      <c r="S3486">
        <v>-1.215897</v>
      </c>
      <c r="T3486">
        <v>-0.14986340000000001</v>
      </c>
      <c r="U3486">
        <v>-2.8577119999999998</v>
      </c>
      <c r="V3486">
        <v>0.18302009999999999</v>
      </c>
      <c r="W3486">
        <v>0.18997259999999999</v>
      </c>
      <c r="X3486">
        <v>0.96457969999999904</v>
      </c>
      <c r="Y3486">
        <v>0.31356260000000002</v>
      </c>
      <c r="Z3486">
        <v>3.517646E-2</v>
      </c>
      <c r="AA3486">
        <v>0.94891570000000003</v>
      </c>
      <c r="AB3486">
        <v>31</v>
      </c>
      <c r="AC3486">
        <v>-9.0488999999999997</v>
      </c>
      <c r="AD3486">
        <v>-1.1185712004699999</v>
      </c>
      <c r="AE3486">
        <v>-21.0335</v>
      </c>
      <c r="AF3486">
        <v>7.2578503612197496</v>
      </c>
      <c r="AG3486">
        <v>-1.1185712004699999</v>
      </c>
      <c r="AH3486">
        <v>21.659197768178799</v>
      </c>
      <c r="AI3486">
        <v>92.803422858745606</v>
      </c>
      <c r="AJ3486">
        <v>71.474348378775602</v>
      </c>
      <c r="AK3486">
        <v>22.870252323869501</v>
      </c>
      <c r="AL3486">
        <v>79.048814515264894</v>
      </c>
      <c r="AM3486">
        <v>79.256368587650002</v>
      </c>
      <c r="AN3486">
        <v>0.99999997170342902</v>
      </c>
    </row>
    <row r="3487" spans="1:40" x14ac:dyDescent="0.25">
      <c r="A3487" t="str">
        <f>"20190303170607652"</f>
        <v>20190303170607652</v>
      </c>
      <c r="B3487" t="str">
        <f>"1551603967638444"</f>
        <v>1551603967638444</v>
      </c>
      <c r="C3487" t="s">
        <v>40</v>
      </c>
      <c r="D3487">
        <v>5.8202339999999904</v>
      </c>
      <c r="E3487">
        <v>0.55944910000000003</v>
      </c>
      <c r="F3487" t="s">
        <v>84</v>
      </c>
      <c r="G3487">
        <v>-198.07249999999999</v>
      </c>
      <c r="H3487" s="1">
        <v>-1.217748E-5</v>
      </c>
      <c r="I3487">
        <v>149.73410000000001</v>
      </c>
      <c r="J3487">
        <v>-189.04589999999999</v>
      </c>
      <c r="K3487">
        <v>1.118506</v>
      </c>
      <c r="L3487">
        <v>170.518</v>
      </c>
      <c r="M3487">
        <v>-8.5949810000000001E-2</v>
      </c>
      <c r="N3487">
        <v>-1.3743460000000001E-2</v>
      </c>
      <c r="O3487">
        <v>-0.99620469999999905</v>
      </c>
      <c r="P3487">
        <v>-0.26426369999999999</v>
      </c>
      <c r="Q3487">
        <v>0.17720449999999999</v>
      </c>
      <c r="R3487">
        <v>-0.94803130000000002</v>
      </c>
      <c r="S3487">
        <v>-1.2250369999999999</v>
      </c>
      <c r="T3487">
        <v>-0.15132509999999999</v>
      </c>
      <c r="U3487">
        <v>-2.8531040000000001</v>
      </c>
      <c r="V3487">
        <v>0.1830196</v>
      </c>
      <c r="W3487">
        <v>0.18930459999999999</v>
      </c>
      <c r="X3487">
        <v>0.96471119999999999</v>
      </c>
      <c r="Y3487">
        <v>0.31371450000000001</v>
      </c>
      <c r="Z3487">
        <v>3.5681780000000003E-2</v>
      </c>
      <c r="AA3487">
        <v>0.94884669999999904</v>
      </c>
      <c r="AB3487">
        <v>31</v>
      </c>
      <c r="AC3487">
        <v>-9.0266000000000002</v>
      </c>
      <c r="AD3487">
        <v>-1.1185181774799999</v>
      </c>
      <c r="AE3487">
        <v>-20.7838999999999</v>
      </c>
      <c r="AF3487">
        <v>7.1891323333394999</v>
      </c>
      <c r="AG3487">
        <v>-1.1185181774799999</v>
      </c>
      <c r="AH3487">
        <v>21.4306633788946</v>
      </c>
      <c r="AI3487">
        <v>92.832822988574804</v>
      </c>
      <c r="AJ3487">
        <v>71.455452312623393</v>
      </c>
      <c r="AK3487">
        <v>22.632013597537401</v>
      </c>
      <c r="AL3487">
        <v>79.087796339750298</v>
      </c>
      <c r="AM3487">
        <v>79.257827638232399</v>
      </c>
      <c r="AN3487">
        <v>1.0000000524853701</v>
      </c>
    </row>
    <row r="3488" spans="1:40" x14ac:dyDescent="0.25">
      <c r="A3488" t="str">
        <f>"20190303170607673"</f>
        <v>20190303170607673</v>
      </c>
      <c r="B3488" t="str">
        <f>"1551603967668700"</f>
        <v>1551603967668700</v>
      </c>
      <c r="C3488" t="s">
        <v>40</v>
      </c>
      <c r="D3488">
        <v>5.8127170000000001</v>
      </c>
      <c r="E3488">
        <v>0.55886979999999997</v>
      </c>
      <c r="F3488" t="s">
        <v>84</v>
      </c>
      <c r="G3488">
        <v>-197.95330000000001</v>
      </c>
      <c r="H3488" s="1">
        <v>-1.2215049999999999E-5</v>
      </c>
      <c r="I3488">
        <v>149.87100000000001</v>
      </c>
      <c r="J3488">
        <v>-189.07730000000001</v>
      </c>
      <c r="K3488">
        <v>1.118458</v>
      </c>
      <c r="L3488">
        <v>170.19479999999999</v>
      </c>
      <c r="M3488">
        <v>-8.9292620000000003E-2</v>
      </c>
      <c r="N3488">
        <v>-1.3745169999999999E-2</v>
      </c>
      <c r="O3488">
        <v>-0.99591070000000004</v>
      </c>
      <c r="P3488">
        <v>-0.26757160000000002</v>
      </c>
      <c r="Q3488">
        <v>0.176173</v>
      </c>
      <c r="R3488">
        <v>-0.94729549999999996</v>
      </c>
      <c r="S3488">
        <v>-1.2297670000000001</v>
      </c>
      <c r="T3488">
        <v>-0.15442400000000001</v>
      </c>
      <c r="U3488">
        <v>-2.8505549999999999</v>
      </c>
      <c r="V3488">
        <v>0.18314830000000001</v>
      </c>
      <c r="W3488">
        <v>0.1882547</v>
      </c>
      <c r="X3488">
        <v>0.96489210000000003</v>
      </c>
      <c r="Y3488">
        <v>0.31214730000000002</v>
      </c>
      <c r="Z3488">
        <v>3.6711559999999997E-2</v>
      </c>
      <c r="AA3488">
        <v>0.9493241</v>
      </c>
      <c r="AB3488">
        <v>31</v>
      </c>
      <c r="AC3488">
        <v>-8.8759999999999994</v>
      </c>
      <c r="AD3488">
        <v>-1.1184702150500001</v>
      </c>
      <c r="AE3488">
        <v>-20.323799999999899</v>
      </c>
      <c r="AF3488">
        <v>7.0077769434523196</v>
      </c>
      <c r="AG3488">
        <v>-1.1184702150500001</v>
      </c>
      <c r="AH3488">
        <v>20.981869474747398</v>
      </c>
      <c r="AI3488">
        <v>92.894466803495902</v>
      </c>
      <c r="AJ3488">
        <v>71.531091985558405</v>
      </c>
      <c r="AK3488">
        <v>22.149464101112599</v>
      </c>
      <c r="AL3488">
        <v>79.149051453701603</v>
      </c>
      <c r="AM3488">
        <v>79.252418065969394</v>
      </c>
      <c r="AN3488">
        <v>0.99999994825369298</v>
      </c>
    </row>
    <row r="3489" spans="1:40" x14ac:dyDescent="0.25">
      <c r="A3489" t="str">
        <f>"20190303170607696"</f>
        <v>20190303170607696</v>
      </c>
      <c r="B3489" t="str">
        <f>"1551603967688220"</f>
        <v>1551603967688220</v>
      </c>
      <c r="C3489" t="s">
        <v>40</v>
      </c>
      <c r="D3489">
        <v>6.2351269999999896</v>
      </c>
      <c r="E3489">
        <v>0.5333329</v>
      </c>
      <c r="F3489" t="s">
        <v>84</v>
      </c>
      <c r="G3489">
        <v>-197.82390000000001</v>
      </c>
      <c r="H3489" s="1">
        <v>-1.2255900000000001E-5</v>
      </c>
      <c r="I3489">
        <v>150.0197</v>
      </c>
      <c r="J3489">
        <v>-189.1095</v>
      </c>
      <c r="K3489">
        <v>1.1184069999999999</v>
      </c>
      <c r="L3489">
        <v>169.87549999999999</v>
      </c>
      <c r="M3489">
        <v>-9.2655370000000001E-2</v>
      </c>
      <c r="N3489">
        <v>-1.374711E-2</v>
      </c>
      <c r="O3489">
        <v>-0.99560340000000003</v>
      </c>
      <c r="P3489">
        <v>-0.2702349</v>
      </c>
      <c r="Q3489">
        <v>0.17667479999999999</v>
      </c>
      <c r="R3489">
        <v>-0.94644589999999995</v>
      </c>
      <c r="S3489">
        <v>-1.2345280000000001</v>
      </c>
      <c r="T3489">
        <v>-0.15786430000000001</v>
      </c>
      <c r="U3489">
        <v>-2.8475799999999998</v>
      </c>
      <c r="V3489">
        <v>0.18263689999999999</v>
      </c>
      <c r="W3489">
        <v>0.1887403</v>
      </c>
      <c r="X3489">
        <v>0.96489420000000004</v>
      </c>
      <c r="Y3489">
        <v>0.3106179</v>
      </c>
      <c r="Z3489">
        <v>3.7858059999999999E-2</v>
      </c>
      <c r="AA3489">
        <v>0.94978059999999997</v>
      </c>
      <c r="AB3489">
        <v>31</v>
      </c>
      <c r="AC3489">
        <v>-8.7144000000000101</v>
      </c>
      <c r="AD3489">
        <v>-1.1184192558999999</v>
      </c>
      <c r="AE3489">
        <v>-19.855799999999899</v>
      </c>
      <c r="AF3489">
        <v>6.8188451376630699</v>
      </c>
      <c r="AG3489">
        <v>-1.1184192558999999</v>
      </c>
      <c r="AH3489">
        <v>20.5232827900026</v>
      </c>
      <c r="AI3489">
        <v>92.960438413204301</v>
      </c>
      <c r="AJ3489">
        <v>71.620971850305693</v>
      </c>
      <c r="AK3489">
        <v>21.655314523733399</v>
      </c>
      <c r="AL3489">
        <v>79.120721079509707</v>
      </c>
      <c r="AM3489">
        <v>79.281754844861297</v>
      </c>
      <c r="AN3489">
        <v>0.99999997763966897</v>
      </c>
    </row>
    <row r="3490" spans="1:40" x14ac:dyDescent="0.25">
      <c r="A3490" t="str">
        <f>"20190303170607717"</f>
        <v>20190303170607717</v>
      </c>
      <c r="B3490" t="str">
        <f>"1551603967708717"</f>
        <v>1551603967708717</v>
      </c>
      <c r="C3490" t="s">
        <v>40</v>
      </c>
      <c r="D3490">
        <v>6.0050850000000002</v>
      </c>
      <c r="E3490">
        <v>0.4586287</v>
      </c>
      <c r="F3490" t="s">
        <v>84</v>
      </c>
      <c r="G3490">
        <v>-196.15700000000001</v>
      </c>
      <c r="H3490" s="1">
        <v>-1.209333E-5</v>
      </c>
      <c r="I3490">
        <v>150.33000000000001</v>
      </c>
      <c r="J3490">
        <v>-189.1412</v>
      </c>
      <c r="K3490">
        <v>1.1183540000000001</v>
      </c>
      <c r="L3490">
        <v>169.57050000000001</v>
      </c>
      <c r="M3490">
        <v>-9.5922499999999994E-2</v>
      </c>
      <c r="N3490">
        <v>-1.374909E-2</v>
      </c>
      <c r="O3490">
        <v>-0.99529400000000001</v>
      </c>
      <c r="P3490">
        <v>-0.27194550000000001</v>
      </c>
      <c r="Q3490">
        <v>0.17720459999999999</v>
      </c>
      <c r="R3490">
        <v>-0.94585660000000005</v>
      </c>
      <c r="S3490">
        <v>-1.0463709999999999</v>
      </c>
      <c r="T3490">
        <v>-0.16605599999999901</v>
      </c>
      <c r="U3490">
        <v>-2.901993</v>
      </c>
      <c r="V3490">
        <v>0.18124609999999999</v>
      </c>
      <c r="W3490">
        <v>0.1892624</v>
      </c>
      <c r="X3490">
        <v>0.96505419999999997</v>
      </c>
      <c r="Y3490">
        <v>0.24699409999999999</v>
      </c>
      <c r="Z3490">
        <v>4.064566E-2</v>
      </c>
      <c r="AA3490">
        <v>0.96816409999999997</v>
      </c>
      <c r="AB3490">
        <v>31</v>
      </c>
      <c r="AC3490">
        <v>-7.0158000000000103</v>
      </c>
      <c r="AD3490">
        <v>-1.1183660933299999</v>
      </c>
      <c r="AE3490">
        <v>-19.240500000000001</v>
      </c>
      <c r="AF3490">
        <v>5.1223961750365703</v>
      </c>
      <c r="AG3490">
        <v>-1.1183660933299999</v>
      </c>
      <c r="AH3490">
        <v>19.765854573781098</v>
      </c>
      <c r="AI3490">
        <v>93.135035062690207</v>
      </c>
      <c r="AJ3490">
        <v>75.471207276383694</v>
      </c>
      <c r="AK3490">
        <v>20.449417896962299</v>
      </c>
      <c r="AL3490">
        <v>79.090258231860105</v>
      </c>
      <c r="AM3490">
        <v>79.363229047199795</v>
      </c>
      <c r="AN3490">
        <v>1.0000000068782999</v>
      </c>
    </row>
    <row r="3491" spans="1:40" x14ac:dyDescent="0.25">
      <c r="A3491" t="str">
        <f>"20190303170607739"</f>
        <v>20190303170607739</v>
      </c>
      <c r="B3491" t="str">
        <f>"1551603967728236"</f>
        <v>1551603967728236</v>
      </c>
      <c r="C3491" t="s">
        <v>40</v>
      </c>
      <c r="D3491">
        <v>6.4440140000000001</v>
      </c>
      <c r="E3491">
        <v>0.44741170000000002</v>
      </c>
      <c r="F3491" t="s">
        <v>84</v>
      </c>
      <c r="G3491">
        <v>-194.2234</v>
      </c>
      <c r="H3491" s="1">
        <v>-7.8670359999999995E-6</v>
      </c>
      <c r="I3491">
        <v>137.12809999999999</v>
      </c>
      <c r="J3491">
        <v>-189.17429999999999</v>
      </c>
      <c r="K3491">
        <v>1.1183099999999999</v>
      </c>
      <c r="L3491">
        <v>169.26310000000001</v>
      </c>
      <c r="M3491">
        <v>-9.926944E-2</v>
      </c>
      <c r="N3491">
        <v>-1.3751029999999999E-2</v>
      </c>
      <c r="O3491">
        <v>-0.99496580000000001</v>
      </c>
      <c r="P3491">
        <v>-0.27397890000000003</v>
      </c>
      <c r="Q3491">
        <v>0.17767839999999999</v>
      </c>
      <c r="R3491">
        <v>-0.94518080000000004</v>
      </c>
      <c r="S3491">
        <v>-0.47840880000000002</v>
      </c>
      <c r="T3491">
        <v>-0.10527590000000001</v>
      </c>
      <c r="U3491">
        <v>-3.053925</v>
      </c>
      <c r="V3491">
        <v>0.18010689999999999</v>
      </c>
      <c r="W3491">
        <v>0.1897259</v>
      </c>
      <c r="X3491">
        <v>0.96517649999999999</v>
      </c>
      <c r="Y3491">
        <v>5.5868679999999997E-2</v>
      </c>
      <c r="Z3491">
        <v>2.0323419999999998E-2</v>
      </c>
      <c r="AA3491">
        <v>0.99823119999999999</v>
      </c>
      <c r="AB3491">
        <v>31</v>
      </c>
      <c r="AC3491">
        <v>-5.0491000000000099</v>
      </c>
      <c r="AD3491">
        <v>-1.1183178670359999</v>
      </c>
      <c r="AE3491">
        <v>-32.134999999999998</v>
      </c>
      <c r="AF3491">
        <v>1.8316664810086101</v>
      </c>
      <c r="AG3491">
        <v>-1.1183178670359999</v>
      </c>
      <c r="AH3491">
        <v>32.439170634071502</v>
      </c>
      <c r="AI3491">
        <v>91.971312695901403</v>
      </c>
      <c r="AJ3491">
        <v>86.768245388223704</v>
      </c>
      <c r="AK3491">
        <v>32.5100819496935</v>
      </c>
      <c r="AL3491">
        <v>79.063212018020906</v>
      </c>
      <c r="AM3491">
        <v>79.429882904486703</v>
      </c>
      <c r="AN3491">
        <v>1.0000000443553301</v>
      </c>
    </row>
    <row r="3492" spans="1:40" x14ac:dyDescent="0.25">
      <c r="A3492" t="str">
        <f>"20190303170607762"</f>
        <v>20190303170607762</v>
      </c>
      <c r="B3492" t="str">
        <f>"1551603967748269"</f>
        <v>1551603967748269</v>
      </c>
      <c r="C3492" t="s">
        <v>40</v>
      </c>
      <c r="D3492">
        <v>6.0021199999999997</v>
      </c>
      <c r="E3492">
        <v>0.44345040000000002</v>
      </c>
      <c r="F3492" t="s">
        <v>84</v>
      </c>
      <c r="G3492">
        <v>-194.7561</v>
      </c>
      <c r="H3492" s="1">
        <v>-4.4687519999999998E-6</v>
      </c>
      <c r="I3492">
        <v>126.1889</v>
      </c>
      <c r="J3492">
        <v>-189.21010000000001</v>
      </c>
      <c r="K3492">
        <v>1.1182589999999999</v>
      </c>
      <c r="L3492">
        <v>168.9419</v>
      </c>
      <c r="M3492">
        <v>-0.10282330000000001</v>
      </c>
      <c r="N3492">
        <v>-1.375294E-2</v>
      </c>
      <c r="O3492">
        <v>-0.99460459999999995</v>
      </c>
      <c r="P3492">
        <v>-0.2770263</v>
      </c>
      <c r="Q3492">
        <v>0.17647449999999901</v>
      </c>
      <c r="R3492">
        <v>-0.94451759999999996</v>
      </c>
      <c r="S3492">
        <v>-0.3982849</v>
      </c>
      <c r="T3492">
        <v>-7.9796549999999994E-2</v>
      </c>
      <c r="U3492">
        <v>-3.0735320000000002</v>
      </c>
      <c r="V3492">
        <v>0.17976159999999999</v>
      </c>
      <c r="W3492">
        <v>0.18850939999999999</v>
      </c>
      <c r="X3492">
        <v>0.96547910000000003</v>
      </c>
      <c r="Y3492">
        <v>2.5832959999999999E-2</v>
      </c>
      <c r="Z3492">
        <v>1.1976799999999999E-2</v>
      </c>
      <c r="AA3492">
        <v>0.99959450000000005</v>
      </c>
      <c r="AB3492">
        <v>31</v>
      </c>
      <c r="AC3492">
        <v>-5.5459999999999896</v>
      </c>
      <c r="AD3492">
        <v>-1.1182634687519999</v>
      </c>
      <c r="AE3492">
        <v>-42.753</v>
      </c>
      <c r="AF3492">
        <v>1.11942527444523</v>
      </c>
      <c r="AG3492">
        <v>-1.1182634687519999</v>
      </c>
      <c r="AH3492">
        <v>43.067685189515899</v>
      </c>
      <c r="AI3492">
        <v>91.486863432381895</v>
      </c>
      <c r="AJ3492">
        <v>88.511090034127804</v>
      </c>
      <c r="AK3492">
        <v>43.0967415672445</v>
      </c>
      <c r="AL3492">
        <v>79.134192299766397</v>
      </c>
      <c r="AM3492">
        <v>79.452924940100701</v>
      </c>
      <c r="AN3492">
        <v>0.99999995962986399</v>
      </c>
    </row>
    <row r="3493" spans="1:40" x14ac:dyDescent="0.25">
      <c r="A3493" t="str">
        <f>"20190303170607787"</f>
        <v>20190303170607787</v>
      </c>
      <c r="B3493" t="str">
        <f>"1551603967778525"</f>
        <v>1551603967778525</v>
      </c>
      <c r="C3493" t="s">
        <v>40</v>
      </c>
      <c r="D3493">
        <v>5.8790529999999999</v>
      </c>
      <c r="E3493">
        <v>0.43985780000000002</v>
      </c>
      <c r="F3493" t="s">
        <v>41</v>
      </c>
      <c r="G3493">
        <v>-195.39259999999999</v>
      </c>
      <c r="H3493" s="1">
        <v>-4.8430129999999998E-6</v>
      </c>
      <c r="I3493">
        <v>118.40730000000001</v>
      </c>
      <c r="J3493">
        <v>-189.2475</v>
      </c>
      <c r="K3493">
        <v>1.1182030000000001</v>
      </c>
      <c r="L3493">
        <v>168.61779999999999</v>
      </c>
      <c r="M3493">
        <v>-0.1064722</v>
      </c>
      <c r="N3493">
        <v>-1.375475E-2</v>
      </c>
      <c r="O3493">
        <v>-0.99422060000000001</v>
      </c>
      <c r="P3493">
        <v>-0.28186020000000001</v>
      </c>
      <c r="Q3493">
        <v>0.1734367</v>
      </c>
      <c r="R3493">
        <v>-0.94364979999999998</v>
      </c>
      <c r="S3493">
        <v>-0.37663269999999999</v>
      </c>
      <c r="T3493">
        <v>-6.8123219999999998E-2</v>
      </c>
      <c r="U3493">
        <v>-3.078506</v>
      </c>
      <c r="V3493">
        <v>0.18110490000000001</v>
      </c>
      <c r="W3493">
        <v>0.18545020000000001</v>
      </c>
      <c r="X3493">
        <v>0.96582049999999997</v>
      </c>
      <c r="Y3493">
        <v>1.504481E-2</v>
      </c>
      <c r="Z3493">
        <v>8.1880419999999995E-3</v>
      </c>
      <c r="AA3493">
        <v>0.99985329999999994</v>
      </c>
      <c r="AB3493">
        <v>31</v>
      </c>
      <c r="AC3493">
        <v>-6.1450999999999798</v>
      </c>
      <c r="AD3493">
        <v>-1.118207843013</v>
      </c>
      <c r="AE3493">
        <v>-50.210499999999897</v>
      </c>
      <c r="AF3493">
        <v>0.76326183532329595</v>
      </c>
      <c r="AG3493">
        <v>-1.118207843013</v>
      </c>
      <c r="AH3493">
        <v>50.554673867897002</v>
      </c>
      <c r="AI3493">
        <v>91.266961938942401</v>
      </c>
      <c r="AJ3493">
        <v>89.135028353009403</v>
      </c>
      <c r="AK3493">
        <v>50.572799085070102</v>
      </c>
      <c r="AL3493">
        <v>79.312618834995902</v>
      </c>
      <c r="AM3493">
        <v>79.379567835207197</v>
      </c>
      <c r="AN3493">
        <v>0.99999999985214905</v>
      </c>
    </row>
    <row r="3494" spans="1:40" x14ac:dyDescent="0.25">
      <c r="A3494" t="str">
        <f>"20190303170607807"</f>
        <v>20190303170607807</v>
      </c>
      <c r="B3494" t="str">
        <f>"1551603967798045"</f>
        <v>1551603967798045</v>
      </c>
      <c r="C3494" t="s">
        <v>40</v>
      </c>
      <c r="D3494">
        <v>6.0890550000000001</v>
      </c>
      <c r="E3494">
        <v>0.43861539999999999</v>
      </c>
      <c r="F3494" t="s">
        <v>41</v>
      </c>
      <c r="G3494">
        <v>-195.30080000000001</v>
      </c>
      <c r="H3494" s="1">
        <v>-4.480979E-6</v>
      </c>
      <c r="I3494">
        <v>117.3913</v>
      </c>
      <c r="J3494">
        <v>-189.2825</v>
      </c>
      <c r="K3494">
        <v>1.1181570000000001</v>
      </c>
      <c r="L3494">
        <v>168.32429999999999</v>
      </c>
      <c r="M3494">
        <v>-0.1098166</v>
      </c>
      <c r="N3494">
        <v>-1.375621E-2</v>
      </c>
      <c r="O3494">
        <v>-0.99385679999999998</v>
      </c>
      <c r="P3494">
        <v>-0.286439</v>
      </c>
      <c r="Q3494">
        <v>0.16929620000000001</v>
      </c>
      <c r="R3494">
        <v>-0.94302269999999999</v>
      </c>
      <c r="S3494">
        <v>-0.36427310000000002</v>
      </c>
      <c r="T3494">
        <v>-6.7291020000000007E-2</v>
      </c>
      <c r="U3494">
        <v>-3.082687</v>
      </c>
      <c r="V3494">
        <v>0.18245130000000001</v>
      </c>
      <c r="W3494">
        <v>0.1812937</v>
      </c>
      <c r="X3494">
        <v>0.96635610000000005</v>
      </c>
      <c r="Y3494">
        <v>7.5674050000000001E-3</v>
      </c>
      <c r="Z3494">
        <v>7.8845730000000006E-3</v>
      </c>
      <c r="AA3494">
        <v>0.9999403</v>
      </c>
      <c r="AB3494">
        <v>31</v>
      </c>
      <c r="AC3494">
        <v>-6.0183000000000098</v>
      </c>
      <c r="AD3494">
        <v>-1.1181614809789999</v>
      </c>
      <c r="AE3494">
        <v>-50.9329999999999</v>
      </c>
      <c r="AF3494">
        <v>0.38789178791503698</v>
      </c>
      <c r="AG3494">
        <v>-1.1181614809789999</v>
      </c>
      <c r="AH3494">
        <v>51.261497982348899</v>
      </c>
      <c r="AI3494">
        <v>91.249552685499097</v>
      </c>
      <c r="AJ3494">
        <v>89.566455545306297</v>
      </c>
      <c r="AK3494">
        <v>51.275158903030601</v>
      </c>
      <c r="AL3494">
        <v>79.554876732447397</v>
      </c>
      <c r="AM3494">
        <v>79.308219739629493</v>
      </c>
      <c r="AN3494">
        <v>0.999999997269295</v>
      </c>
    </row>
    <row r="3495" spans="1:40" x14ac:dyDescent="0.25">
      <c r="A3495" t="str">
        <f>"20190303170607832"</f>
        <v>20190303170607832</v>
      </c>
      <c r="B3495" t="str">
        <f>"1551603967818542"</f>
        <v>1551603967818542</v>
      </c>
      <c r="C3495" t="s">
        <v>40</v>
      </c>
      <c r="D3495">
        <v>6.0465289999999996</v>
      </c>
      <c r="E3495">
        <v>0.43721559999999998</v>
      </c>
      <c r="F3495" t="s">
        <v>84</v>
      </c>
      <c r="G3495">
        <v>-194.83459999999999</v>
      </c>
      <c r="H3495" s="1">
        <v>-2.6168979999999998E-6</v>
      </c>
      <c r="I3495">
        <v>122.02290000000001</v>
      </c>
      <c r="J3495">
        <v>-189.32050000000001</v>
      </c>
      <c r="K3495">
        <v>1.1181299999999901</v>
      </c>
      <c r="L3495">
        <v>168.0146</v>
      </c>
      <c r="M3495">
        <v>-0.1133798</v>
      </c>
      <c r="N3495">
        <v>-1.375727E-2</v>
      </c>
      <c r="O3495">
        <v>-0.99345660000000002</v>
      </c>
      <c r="P3495">
        <v>-0.29131859999999998</v>
      </c>
      <c r="Q3495">
        <v>0.16981830000000001</v>
      </c>
      <c r="R3495">
        <v>-0.94143279999999996</v>
      </c>
      <c r="S3495">
        <v>-0.36961359999999999</v>
      </c>
      <c r="T3495">
        <v>-7.4438569999999996E-2</v>
      </c>
      <c r="U3495">
        <v>-3.0823969999999998</v>
      </c>
      <c r="V3495">
        <v>0.1840205</v>
      </c>
      <c r="W3495">
        <v>0.18178800000000001</v>
      </c>
      <c r="X3495">
        <v>0.96596559999999998</v>
      </c>
      <c r="Y3495">
        <v>5.6986320000000003E-3</v>
      </c>
      <c r="Z3495">
        <v>1.016164E-2</v>
      </c>
      <c r="AA3495">
        <v>0.99993209999999999</v>
      </c>
      <c r="AB3495">
        <v>31</v>
      </c>
      <c r="AC3495">
        <v>-5.5140999999999796</v>
      </c>
      <c r="AD3495">
        <v>-1.1181326168979999</v>
      </c>
      <c r="AE3495">
        <v>-45.991700000000002</v>
      </c>
      <c r="AF3495">
        <v>0.26336073951890798</v>
      </c>
      <c r="AG3495">
        <v>-1.1181326168979999</v>
      </c>
      <c r="AH3495">
        <v>46.293348890076302</v>
      </c>
      <c r="AI3495">
        <v>91.383585154974398</v>
      </c>
      <c r="AJ3495">
        <v>89.674050453407801</v>
      </c>
      <c r="AK3495">
        <v>46.307599061994402</v>
      </c>
      <c r="AL3495">
        <v>79.526076698933196</v>
      </c>
      <c r="AM3495">
        <v>79.214153720110403</v>
      </c>
      <c r="AN3495">
        <v>0.99999998087380404</v>
      </c>
    </row>
    <row r="3496" spans="1:40" x14ac:dyDescent="0.25">
      <c r="A3496" t="str">
        <f>"20190303170607852"</f>
        <v>20190303170607852</v>
      </c>
      <c r="B3496" t="str">
        <f>"1551603967838061"</f>
        <v>1551603967838061</v>
      </c>
      <c r="C3496" t="s">
        <v>40</v>
      </c>
      <c r="D3496">
        <v>6.0339289999999997</v>
      </c>
      <c r="E3496">
        <v>0.4359614</v>
      </c>
      <c r="F3496" t="s">
        <v>84</v>
      </c>
      <c r="G3496">
        <v>-195.0667</v>
      </c>
      <c r="H3496" s="1">
        <v>-2.0025680000000001E-6</v>
      </c>
      <c r="I3496">
        <v>120.78959999999999</v>
      </c>
      <c r="J3496">
        <v>-189.35980000000001</v>
      </c>
      <c r="K3496">
        <v>1.1181080000000001</v>
      </c>
      <c r="L3496">
        <v>167.70419999999999</v>
      </c>
      <c r="M3496">
        <v>-0.1169829</v>
      </c>
      <c r="N3496">
        <v>-1.3758039999999999E-2</v>
      </c>
      <c r="O3496">
        <v>-0.99303869999999905</v>
      </c>
      <c r="P3496">
        <v>-0.29676429999999998</v>
      </c>
      <c r="Q3496">
        <v>0.17237769999999999</v>
      </c>
      <c r="R3496">
        <v>-0.93926410000000005</v>
      </c>
      <c r="S3496">
        <v>-0.37521359999999998</v>
      </c>
      <c r="T3496">
        <v>-7.3011640000000003E-2</v>
      </c>
      <c r="U3496">
        <v>-3.0836939999999999</v>
      </c>
      <c r="V3496">
        <v>0.1861978</v>
      </c>
      <c r="W3496">
        <v>0.1843091</v>
      </c>
      <c r="X3496">
        <v>0.96507019999999999</v>
      </c>
      <c r="Y3496">
        <v>3.8122730000000001E-3</v>
      </c>
      <c r="Z3496">
        <v>9.6818049999999999E-3</v>
      </c>
      <c r="AA3496">
        <v>0.99994590000000005</v>
      </c>
      <c r="AB3496">
        <v>31</v>
      </c>
      <c r="AC3496">
        <v>-5.7068999999999903</v>
      </c>
      <c r="AD3496">
        <v>-1.118110002568</v>
      </c>
      <c r="AE3496">
        <v>-46.914599999999901</v>
      </c>
      <c r="AF3496">
        <v>0.17888339881041501</v>
      </c>
      <c r="AG3496">
        <v>-1.118110002568</v>
      </c>
      <c r="AH3496">
        <v>47.233654942505503</v>
      </c>
      <c r="AI3496">
        <v>91.356036559877793</v>
      </c>
      <c r="AJ3496">
        <v>89.783010338956302</v>
      </c>
      <c r="AK3496">
        <v>47.247225616705599</v>
      </c>
      <c r="AL3496">
        <v>79.379145667137394</v>
      </c>
      <c r="AM3496">
        <v>79.079703324619501</v>
      </c>
      <c r="AN3496">
        <v>0.99999997799784401</v>
      </c>
    </row>
    <row r="3497" spans="1:40" x14ac:dyDescent="0.25">
      <c r="A3497" t="str">
        <f>"20190303170607875"</f>
        <v>20190303170607875</v>
      </c>
      <c r="B3497" t="str">
        <f>"1551603967868317"</f>
        <v>1551603967868317</v>
      </c>
      <c r="C3497" t="s">
        <v>40</v>
      </c>
      <c r="D3497">
        <v>6.0740290000000003</v>
      </c>
      <c r="E3497">
        <v>0.43445349999999999</v>
      </c>
      <c r="F3497" t="s">
        <v>41</v>
      </c>
      <c r="G3497">
        <v>-196.1788</v>
      </c>
      <c r="H3497" s="1">
        <v>-2.9923970000000001E-6</v>
      </c>
      <c r="I3497">
        <v>112.73220000000001</v>
      </c>
      <c r="J3497">
        <v>-189.4014</v>
      </c>
      <c r="K3497">
        <v>1.1180829999999999</v>
      </c>
      <c r="L3497">
        <v>167.38509999999999</v>
      </c>
      <c r="M3497">
        <v>-0.1207179</v>
      </c>
      <c r="N3497">
        <v>-1.37588E-2</v>
      </c>
      <c r="O3497">
        <v>-0.99259169999999997</v>
      </c>
      <c r="P3497">
        <v>-0.30222680000000002</v>
      </c>
      <c r="Q3497">
        <v>0.17209679999999999</v>
      </c>
      <c r="R3497">
        <v>-0.93757239999999997</v>
      </c>
      <c r="S3497">
        <v>-0.38262940000000001</v>
      </c>
      <c r="T3497">
        <v>-6.2739489999999995E-2</v>
      </c>
      <c r="U3497">
        <v>-3.0845950000000002</v>
      </c>
      <c r="V3497">
        <v>0.18819140000000001</v>
      </c>
      <c r="W3497">
        <v>0.18399969999999999</v>
      </c>
      <c r="X3497">
        <v>0.96474249999999995</v>
      </c>
      <c r="Y3497">
        <v>2.3872400000000001E-3</v>
      </c>
      <c r="Z3497">
        <v>6.3808190000000002E-3</v>
      </c>
      <c r="AA3497">
        <v>0.9999768</v>
      </c>
      <c r="AB3497">
        <v>31</v>
      </c>
      <c r="AC3497">
        <v>-6.7774000000000001</v>
      </c>
      <c r="AD3497">
        <v>-1.1180859923969999</v>
      </c>
      <c r="AE3497">
        <v>-54.652899999999903</v>
      </c>
      <c r="AF3497">
        <v>0.129566508348959</v>
      </c>
      <c r="AG3497">
        <v>-1.1180859923969999</v>
      </c>
      <c r="AH3497">
        <v>55.048679858103498</v>
      </c>
      <c r="AI3497">
        <v>91.163563310496997</v>
      </c>
      <c r="AJ3497">
        <v>89.865144806279602</v>
      </c>
      <c r="AK3497">
        <v>55.060185777805501</v>
      </c>
      <c r="AL3497">
        <v>79.397181591605104</v>
      </c>
      <c r="AM3497">
        <v>78.961979868991904</v>
      </c>
      <c r="AN3497">
        <v>0.99999999197014899</v>
      </c>
    </row>
    <row r="3498" spans="1:40" x14ac:dyDescent="0.25">
      <c r="A3498" t="str">
        <f>"20190303170607897"</f>
        <v>20190303170607897</v>
      </c>
      <c r="B3498" t="str">
        <f>"1551603967888814"</f>
        <v>1551603967888814</v>
      </c>
      <c r="C3498" t="s">
        <v>40</v>
      </c>
      <c r="D3498">
        <v>6.0546069999999999</v>
      </c>
      <c r="E3498">
        <v>0.43367810000000001</v>
      </c>
      <c r="F3498" t="s">
        <v>41</v>
      </c>
      <c r="G3498">
        <v>-196.87379999999999</v>
      </c>
      <c r="H3498" s="1">
        <v>-4.9996740000000003E-6</v>
      </c>
      <c r="I3498">
        <v>108.0956</v>
      </c>
      <c r="J3498">
        <v>-189.4417</v>
      </c>
      <c r="K3498">
        <v>1.118053</v>
      </c>
      <c r="L3498">
        <v>167.0847</v>
      </c>
      <c r="M3498">
        <v>-0.12425750000000001</v>
      </c>
      <c r="N3498">
        <v>-1.3759489999999999E-2</v>
      </c>
      <c r="O3498">
        <v>-0.99215469999999895</v>
      </c>
      <c r="P3498">
        <v>-0.30663430000000003</v>
      </c>
      <c r="Q3498">
        <v>0.1693144</v>
      </c>
      <c r="R3498">
        <v>-0.93664720000000001</v>
      </c>
      <c r="S3498">
        <v>-0.38882450000000002</v>
      </c>
      <c r="T3498">
        <v>-5.8179139999999997E-2</v>
      </c>
      <c r="U3498">
        <v>-3.0850979999999999</v>
      </c>
      <c r="V3498">
        <v>0.189217</v>
      </c>
      <c r="W3498">
        <v>0.18120510000000001</v>
      </c>
      <c r="X3498">
        <v>0.96507080000000001</v>
      </c>
      <c r="Y3498">
        <v>7.7904669999999995E-4</v>
      </c>
      <c r="Z3498">
        <v>4.9111999999999897E-3</v>
      </c>
      <c r="AA3498">
        <v>0.99998770000000003</v>
      </c>
      <c r="AB3498">
        <v>31</v>
      </c>
      <c r="AC3498">
        <v>-7.4320999999999904</v>
      </c>
      <c r="AD3498">
        <v>-1.1180579996740001</v>
      </c>
      <c r="AE3498">
        <v>-58.989099999999901</v>
      </c>
      <c r="AF3498">
        <v>4.3943470093099998E-2</v>
      </c>
      <c r="AG3498">
        <v>-1.1180579996740001</v>
      </c>
      <c r="AH3498">
        <v>59.434411886913402</v>
      </c>
      <c r="AI3498">
        <v>91.077699437727205</v>
      </c>
      <c r="AJ3498">
        <v>89.957637758416695</v>
      </c>
      <c r="AK3498">
        <v>59.444943444017802</v>
      </c>
      <c r="AL3498">
        <v>79.560038717817207</v>
      </c>
      <c r="AM3498">
        <v>78.9069955568946</v>
      </c>
      <c r="AN3498">
        <v>1.00000000518382</v>
      </c>
    </row>
    <row r="3499" spans="1:40" x14ac:dyDescent="0.25">
      <c r="A3499" t="str">
        <f>"20190303170607918"</f>
        <v>20190303170607918</v>
      </c>
      <c r="B3499" t="str">
        <f>"1551603967908334"</f>
        <v>1551603967908334</v>
      </c>
      <c r="C3499" t="s">
        <v>40</v>
      </c>
      <c r="D3499">
        <v>6.0832110000000004</v>
      </c>
      <c r="E3499">
        <v>0.4329614</v>
      </c>
      <c r="F3499" t="s">
        <v>41</v>
      </c>
      <c r="G3499">
        <v>-196.3698</v>
      </c>
      <c r="H3499" s="1">
        <v>-3.308761E-6</v>
      </c>
      <c r="I3499">
        <v>113.3895</v>
      </c>
      <c r="J3499">
        <v>-189.4819</v>
      </c>
      <c r="K3499">
        <v>1.1180399999999999</v>
      </c>
      <c r="L3499">
        <v>166.79259999999999</v>
      </c>
      <c r="M3499">
        <v>-0.12772049999999999</v>
      </c>
      <c r="N3499">
        <v>-1.375996E-2</v>
      </c>
      <c r="O3499">
        <v>-0.99171500000000001</v>
      </c>
      <c r="P3499">
        <v>-0.31034089999999998</v>
      </c>
      <c r="Q3499">
        <v>0.169116299999999</v>
      </c>
      <c r="R3499">
        <v>-0.93546149999999995</v>
      </c>
      <c r="S3499">
        <v>-0.3979492</v>
      </c>
      <c r="T3499">
        <v>-6.4221260000000002E-2</v>
      </c>
      <c r="U3499">
        <v>-3.0842589999999999</v>
      </c>
      <c r="V3499">
        <v>0.18967220000000001</v>
      </c>
      <c r="W3499">
        <v>0.1809955</v>
      </c>
      <c r="X3499">
        <v>0.96502080000000001</v>
      </c>
      <c r="Y3499">
        <v>2.3144570000000001E-4</v>
      </c>
      <c r="Z3499">
        <v>6.8317909999999898E-3</v>
      </c>
      <c r="AA3499">
        <v>0.99997659999999999</v>
      </c>
      <c r="AB3499">
        <v>31</v>
      </c>
      <c r="AC3499">
        <v>-6.8879000000000001</v>
      </c>
      <c r="AD3499">
        <v>-1.118043308761</v>
      </c>
      <c r="AE3499">
        <v>-53.403100000000002</v>
      </c>
      <c r="AF3499">
        <v>1.01596943927209E-2</v>
      </c>
      <c r="AG3499">
        <v>-1.118043308761</v>
      </c>
      <c r="AH3499">
        <v>53.822260515473701</v>
      </c>
      <c r="AI3499">
        <v>91.190027126797702</v>
      </c>
      <c r="AJ3499">
        <v>89.989184631092002</v>
      </c>
      <c r="AK3499">
        <v>53.833872710916701</v>
      </c>
      <c r="AL3499">
        <v>79.572250084280398</v>
      </c>
      <c r="AM3499">
        <v>78.880411556872801</v>
      </c>
      <c r="AN3499">
        <v>1.0000000294528599</v>
      </c>
    </row>
    <row r="3500" spans="1:40" x14ac:dyDescent="0.25">
      <c r="A3500" t="str">
        <f>"20190303170607954"</f>
        <v>20190303170607954</v>
      </c>
      <c r="B3500" t="str">
        <f>"1551603967948350"</f>
        <v>1551603967948350</v>
      </c>
      <c r="C3500" t="s">
        <v>40</v>
      </c>
      <c r="D3500">
        <v>6.0754950000000001</v>
      </c>
      <c r="E3500">
        <v>0.43166729999999998</v>
      </c>
      <c r="F3500" t="s">
        <v>41</v>
      </c>
      <c r="G3500">
        <v>-196.78110000000001</v>
      </c>
      <c r="H3500" s="1">
        <v>-2.501059E-6</v>
      </c>
      <c r="I3500">
        <v>111.2133</v>
      </c>
      <c r="J3500">
        <v>-189.5504</v>
      </c>
      <c r="K3500">
        <v>1.118025</v>
      </c>
      <c r="L3500">
        <v>166.3124</v>
      </c>
      <c r="M3500">
        <v>-0.13345029999999999</v>
      </c>
      <c r="N3500">
        <v>-1.376023E-2</v>
      </c>
      <c r="O3500">
        <v>-0.99096010000000001</v>
      </c>
      <c r="P3500">
        <v>-0.31634709999999899</v>
      </c>
      <c r="Q3500">
        <v>0.17389560000000001</v>
      </c>
      <c r="R3500">
        <v>-0.93256890000000003</v>
      </c>
      <c r="S3500">
        <v>-0.40499879999999999</v>
      </c>
      <c r="T3500">
        <v>-6.2034850000000002E-2</v>
      </c>
      <c r="U3500">
        <v>-3.0838320000000001</v>
      </c>
      <c r="V3500">
        <v>0.19046170000000001</v>
      </c>
      <c r="W3500">
        <v>0.18574489999999999</v>
      </c>
      <c r="X3500">
        <v>0.96396230000000005</v>
      </c>
      <c r="Y3500">
        <v>-3.2816329999999999E-3</v>
      </c>
      <c r="Z3500">
        <v>6.1188689999999999E-3</v>
      </c>
      <c r="AA3500">
        <v>0.99997590000000003</v>
      </c>
      <c r="AB3500">
        <v>31</v>
      </c>
      <c r="AC3500">
        <v>-7.2307000000000103</v>
      </c>
      <c r="AD3500">
        <v>-1.118027501059</v>
      </c>
      <c r="AE3500">
        <v>-55.0990999999999</v>
      </c>
      <c r="AF3500">
        <v>-0.18759804217276199</v>
      </c>
      <c r="AG3500">
        <v>-1.118027501059</v>
      </c>
      <c r="AH3500">
        <v>55.548719123953397</v>
      </c>
      <c r="AI3500">
        <v>91.153028283222497</v>
      </c>
      <c r="AJ3500">
        <v>90.193497444539901</v>
      </c>
      <c r="AK3500">
        <v>55.5602859498618</v>
      </c>
      <c r="AL3500">
        <v>79.295435993130695</v>
      </c>
      <c r="AM3500">
        <v>78.823336177106697</v>
      </c>
      <c r="AN3500">
        <v>1.00000007143209</v>
      </c>
    </row>
    <row r="3501" spans="1:40" x14ac:dyDescent="0.25">
      <c r="A3501" t="str">
        <f>"20190303170607976"</f>
        <v>20190303170607976</v>
      </c>
      <c r="B3501" t="str">
        <f>"1551603967968845"</f>
        <v>1551603967968845</v>
      </c>
      <c r="C3501" t="s">
        <v>40</v>
      </c>
      <c r="D3501">
        <v>6.0688979999999999</v>
      </c>
      <c r="E3501">
        <v>0.43105300000000002</v>
      </c>
      <c r="F3501" t="s">
        <v>41</v>
      </c>
      <c r="G3501">
        <v>-200.5634</v>
      </c>
      <c r="H3501">
        <v>7.9985479999999998E-2</v>
      </c>
      <c r="I3501">
        <v>84.248840000000001</v>
      </c>
      <c r="J3501">
        <v>-189.59719999999999</v>
      </c>
      <c r="K3501">
        <v>1.118017</v>
      </c>
      <c r="L3501">
        <v>165.99529999999999</v>
      </c>
      <c r="M3501">
        <v>-0.1372514</v>
      </c>
      <c r="N3501">
        <v>-1.3760069999999999E-2</v>
      </c>
      <c r="O3501">
        <v>-0.99044069999999995</v>
      </c>
      <c r="P3501">
        <v>-0.32135619999999998</v>
      </c>
      <c r="Q3501">
        <v>0.17413509999999999</v>
      </c>
      <c r="R3501">
        <v>-0.93081020000000003</v>
      </c>
      <c r="S3501">
        <v>-0.41384890000000002</v>
      </c>
      <c r="T3501">
        <v>-3.900766E-2</v>
      </c>
      <c r="U3501">
        <v>-3.0838009999999998</v>
      </c>
      <c r="V3501">
        <v>0.1919612</v>
      </c>
      <c r="W3501">
        <v>0.1859642</v>
      </c>
      <c r="X3501">
        <v>0.96362250000000005</v>
      </c>
      <c r="Y3501">
        <v>-4.2946420000000004E-3</v>
      </c>
      <c r="Z3501">
        <v>-1.220496E-3</v>
      </c>
      <c r="AA3501">
        <v>0.99999000000000005</v>
      </c>
      <c r="AB3501">
        <v>31</v>
      </c>
      <c r="AC3501">
        <v>-10.966200000000001</v>
      </c>
      <c r="AD3501">
        <v>-1.0380315200000001</v>
      </c>
      <c r="AE3501">
        <v>-81.7464599999999</v>
      </c>
      <c r="AF3501">
        <v>-0.35842243076948299</v>
      </c>
      <c r="AG3501">
        <v>-1.0380315200000001</v>
      </c>
      <c r="AH3501">
        <v>82.4648912650879</v>
      </c>
      <c r="AI3501">
        <v>90.7211689922879</v>
      </c>
      <c r="AJ3501">
        <v>90.249026742621993</v>
      </c>
      <c r="AK3501">
        <v>82.472202998575</v>
      </c>
      <c r="AL3501">
        <v>79.282648045476805</v>
      </c>
      <c r="AM3501">
        <v>78.733713450832099</v>
      </c>
      <c r="AN3501">
        <v>1.0000000542466601</v>
      </c>
    </row>
    <row r="3502" spans="1:40" x14ac:dyDescent="0.25">
      <c r="A3502" t="str">
        <f>"20190303170607997"</f>
        <v>20190303170607997</v>
      </c>
      <c r="B3502" t="str">
        <f>"1551603967988365"</f>
        <v>1551603967988365</v>
      </c>
      <c r="C3502" t="s">
        <v>40</v>
      </c>
      <c r="D3502">
        <v>6.0492879999999998</v>
      </c>
      <c r="E3502">
        <v>0.41979030000000001</v>
      </c>
      <c r="F3502" t="s">
        <v>41</v>
      </c>
      <c r="G3502">
        <v>-202.3287</v>
      </c>
      <c r="H3502">
        <v>7.9985780000000006E-2</v>
      </c>
      <c r="I3502">
        <v>73.519199999999998</v>
      </c>
      <c r="J3502">
        <v>-189.64109999999999</v>
      </c>
      <c r="K3502">
        <v>1.1180099999999999</v>
      </c>
      <c r="L3502">
        <v>165.70500000000001</v>
      </c>
      <c r="M3502">
        <v>-0.1407398</v>
      </c>
      <c r="N3502">
        <v>-1.3759739999999999E-2</v>
      </c>
      <c r="O3502">
        <v>-0.98995109999999997</v>
      </c>
      <c r="P3502">
        <v>-0.32543470000000002</v>
      </c>
      <c r="Q3502">
        <v>0.17236460000000001</v>
      </c>
      <c r="R3502">
        <v>-0.92972200000000005</v>
      </c>
      <c r="S3502">
        <v>-0.4244385</v>
      </c>
      <c r="T3502">
        <v>-3.4605619999999997E-2</v>
      </c>
      <c r="U3502">
        <v>-3.0829469999999999</v>
      </c>
      <c r="V3502">
        <v>0.19273609999999999</v>
      </c>
      <c r="W3502">
        <v>0.18418770000000001</v>
      </c>
      <c r="X3502">
        <v>0.96380900000000003</v>
      </c>
      <c r="Y3502">
        <v>-4.4088729999999998E-3</v>
      </c>
      <c r="Z3502">
        <v>-2.6220990000000001E-3</v>
      </c>
      <c r="AA3502">
        <v>0.99998679999999995</v>
      </c>
      <c r="AB3502">
        <v>31</v>
      </c>
      <c r="AC3502">
        <v>-12.6876</v>
      </c>
      <c r="AD3502">
        <v>-1.0380242200000001</v>
      </c>
      <c r="AE3502">
        <v>-92.1858</v>
      </c>
      <c r="AF3502">
        <v>-0.41409511644867703</v>
      </c>
      <c r="AG3502">
        <v>-1.0380242200000001</v>
      </c>
      <c r="AH3502">
        <v>93.042306797684205</v>
      </c>
      <c r="AI3502">
        <v>90.639186114212393</v>
      </c>
      <c r="AJ3502">
        <v>90.254999544338403</v>
      </c>
      <c r="AK3502">
        <v>93.049018389669996</v>
      </c>
      <c r="AL3502">
        <v>79.386223314346793</v>
      </c>
      <c r="AM3502">
        <v>78.691536566131106</v>
      </c>
      <c r="AN3502">
        <v>1.00000005077774</v>
      </c>
    </row>
    <row r="3503" spans="1:40" x14ac:dyDescent="0.25">
      <c r="A3503" t="str">
        <f>"20190303170608019"</f>
        <v>20190303170608019</v>
      </c>
      <c r="B3503" t="str">
        <f>"1551603968007885"</f>
        <v>1551603968007885</v>
      </c>
      <c r="C3503" t="s">
        <v>40</v>
      </c>
      <c r="D3503">
        <v>6.0664369999999996</v>
      </c>
      <c r="E3503">
        <v>0.41896630000000001</v>
      </c>
      <c r="F3503" t="s">
        <v>87</v>
      </c>
      <c r="G3503">
        <v>-210.83760000000001</v>
      </c>
      <c r="H3503">
        <v>0.77411459999999999</v>
      </c>
      <c r="I3503">
        <v>-20.631810000000002</v>
      </c>
      <c r="J3503">
        <v>-189.68700000000001</v>
      </c>
      <c r="K3503">
        <v>1.1180110000000001</v>
      </c>
      <c r="L3503">
        <v>165.4093</v>
      </c>
      <c r="M3503">
        <v>-0.14429790000000001</v>
      </c>
      <c r="N3503">
        <v>-1.3759179999999999E-2</v>
      </c>
      <c r="O3503">
        <v>-0.9894387</v>
      </c>
      <c r="P3503">
        <v>-0.32879629999999999</v>
      </c>
      <c r="Q3503">
        <v>0.1708711</v>
      </c>
      <c r="R3503">
        <v>-0.92881440000000004</v>
      </c>
      <c r="S3503">
        <v>-0.35311890000000001</v>
      </c>
      <c r="T3503">
        <v>-5.7290789999999998E-3</v>
      </c>
      <c r="U3503">
        <v>-3.1042480000000001</v>
      </c>
      <c r="V3503">
        <v>0.19270760000000001</v>
      </c>
      <c r="W3503">
        <v>0.1826971</v>
      </c>
      <c r="X3503">
        <v>0.96409829999999996</v>
      </c>
      <c r="Y3503">
        <v>-3.1550019999999998E-2</v>
      </c>
      <c r="Z3503">
        <v>-1.1836259999999999E-2</v>
      </c>
      <c r="AA3503">
        <v>0.99943210000000005</v>
      </c>
      <c r="AB3503">
        <v>31</v>
      </c>
      <c r="AC3503">
        <v>-21.150600000000001</v>
      </c>
      <c r="AD3503">
        <v>-0.34389639999999999</v>
      </c>
      <c r="AE3503">
        <v>-186.04111</v>
      </c>
      <c r="AF3503">
        <v>-5.9186592123365998</v>
      </c>
      <c r="AG3503">
        <v>-0.34389639999999999</v>
      </c>
      <c r="AH3503">
        <v>187.145332389694</v>
      </c>
      <c r="AI3503">
        <v>90.105233421434093</v>
      </c>
      <c r="AJ3503">
        <v>91.811432834422007</v>
      </c>
      <c r="AK3503">
        <v>187.23921658363901</v>
      </c>
      <c r="AL3503">
        <v>79.473102072146702</v>
      </c>
      <c r="AM3503">
        <v>78.696471186494193</v>
      </c>
      <c r="AN3503">
        <v>0.99999999075452894</v>
      </c>
    </row>
    <row r="3504" spans="1:40" x14ac:dyDescent="0.25">
      <c r="A3504" t="str">
        <f>"20190303170608042"</f>
        <v>20190303170608042</v>
      </c>
      <c r="B3504" t="str">
        <f>"1551603968028382"</f>
        <v>1551603968028382</v>
      </c>
      <c r="C3504" t="s">
        <v>40</v>
      </c>
      <c r="D3504">
        <v>6.0784909999999996</v>
      </c>
      <c r="E3504">
        <v>0.41832239999999998</v>
      </c>
      <c r="F3504" t="s">
        <v>87</v>
      </c>
      <c r="G3504">
        <v>-211.20009999999999</v>
      </c>
      <c r="H3504">
        <v>0.62016389999999999</v>
      </c>
      <c r="I3504">
        <v>-20.63176</v>
      </c>
      <c r="J3504">
        <v>-189.73580000000001</v>
      </c>
      <c r="K3504">
        <v>1.1180190000000001</v>
      </c>
      <c r="L3504">
        <v>165.10149999999999</v>
      </c>
      <c r="M3504">
        <v>-0.14800260000000001</v>
      </c>
      <c r="N3504">
        <v>-1.375846E-2</v>
      </c>
      <c r="O3504">
        <v>-0.98889130000000003</v>
      </c>
      <c r="P3504">
        <v>-0.33233269999999998</v>
      </c>
      <c r="Q3504">
        <v>0.1718199</v>
      </c>
      <c r="R3504">
        <v>-0.92737999999999998</v>
      </c>
      <c r="S3504">
        <v>-0.35897829999999997</v>
      </c>
      <c r="T3504">
        <v>-8.3073379999999992E-3</v>
      </c>
      <c r="U3504">
        <v>-3.1043699999999999</v>
      </c>
      <c r="V3504">
        <v>0.1928029</v>
      </c>
      <c r="W3504">
        <v>0.1836421</v>
      </c>
      <c r="X3504">
        <v>0.96389970000000003</v>
      </c>
      <c r="Y3504">
        <v>-3.3434480000000003E-2</v>
      </c>
      <c r="Z3504">
        <v>-1.1018740000000001E-2</v>
      </c>
      <c r="AA3504">
        <v>0.99938020000000005</v>
      </c>
      <c r="AB3504">
        <v>31</v>
      </c>
      <c r="AC3504">
        <v>-21.464299999999898</v>
      </c>
      <c r="AD3504">
        <v>-0.49785509999999999</v>
      </c>
      <c r="AE3504">
        <v>-185.73326</v>
      </c>
      <c r="AF3504">
        <v>-6.26369410721421</v>
      </c>
      <c r="AG3504">
        <v>-0.49785509999999999</v>
      </c>
      <c r="AH3504">
        <v>186.863132978979</v>
      </c>
      <c r="AI3504">
        <v>90.152565764453598</v>
      </c>
      <c r="AJ3504">
        <v>91.919848538047404</v>
      </c>
      <c r="AK3504">
        <v>186.96874656019099</v>
      </c>
      <c r="AL3504">
        <v>79.418025896050693</v>
      </c>
      <c r="AM3504">
        <v>78.688755243464797</v>
      </c>
      <c r="AN3504">
        <v>1.0000000054004501</v>
      </c>
    </row>
    <row r="3505" spans="1:40" x14ac:dyDescent="0.25">
      <c r="A3505" t="str">
        <f>"20190303170608052"</f>
        <v>20190303170608052</v>
      </c>
      <c r="B3505" t="str">
        <f>"1551603968047902"</f>
        <v>1551603968047902</v>
      </c>
      <c r="C3505" t="s">
        <v>40</v>
      </c>
      <c r="D3505">
        <v>6.0612500000000002</v>
      </c>
      <c r="E3505">
        <v>0.41746159999999999</v>
      </c>
      <c r="F3505" t="s">
        <v>87</v>
      </c>
      <c r="G3505">
        <v>-211.66720000000001</v>
      </c>
      <c r="H3505">
        <v>0.90108109999999997</v>
      </c>
      <c r="I3505">
        <v>-20.63185</v>
      </c>
      <c r="J3505">
        <v>-189.76070000000001</v>
      </c>
      <c r="K3505">
        <v>1.118023</v>
      </c>
      <c r="L3505">
        <v>164.94820000000001</v>
      </c>
      <c r="M3505">
        <v>-0.14984829999999999</v>
      </c>
      <c r="N3505">
        <v>-1.3758039999999999E-2</v>
      </c>
      <c r="O3505">
        <v>-0.98861330000000003</v>
      </c>
      <c r="P3505">
        <v>-0.33424169999999997</v>
      </c>
      <c r="Q3505">
        <v>0.17348729999999901</v>
      </c>
      <c r="R3505">
        <v>-0.9263827</v>
      </c>
      <c r="S3505">
        <v>-0.3665466</v>
      </c>
      <c r="T3505">
        <v>-3.625751E-3</v>
      </c>
      <c r="U3505">
        <v>-3.1042179999999999</v>
      </c>
      <c r="V3505">
        <v>0.19304760000000001</v>
      </c>
      <c r="W3505">
        <v>0.185303</v>
      </c>
      <c r="X3505">
        <v>0.96353279999999997</v>
      </c>
      <c r="Y3505">
        <v>-3.2893140000000001E-2</v>
      </c>
      <c r="Z3505">
        <v>-1.2492690000000001E-2</v>
      </c>
      <c r="AA3505">
        <v>0.99938079999999996</v>
      </c>
      <c r="AB3505">
        <v>31</v>
      </c>
      <c r="AC3505">
        <v>-21.906499999999902</v>
      </c>
      <c r="AD3505">
        <v>-0.21694189999999999</v>
      </c>
      <c r="AE3505">
        <v>-185.58005</v>
      </c>
      <c r="AF3505">
        <v>-6.1523715931254097</v>
      </c>
      <c r="AG3505">
        <v>-0.21694189999999999</v>
      </c>
      <c r="AH3505">
        <v>186.76697753255701</v>
      </c>
      <c r="AI3505">
        <v>90.066516636306105</v>
      </c>
      <c r="AJ3505">
        <v>91.886722740839303</v>
      </c>
      <c r="AK3505">
        <v>186.86840994843001</v>
      </c>
      <c r="AL3505">
        <v>79.321201720085398</v>
      </c>
      <c r="AM3505">
        <v>78.670569145858593</v>
      </c>
      <c r="AN3505">
        <v>1.0000000171753001</v>
      </c>
    </row>
    <row r="3506" spans="1:40" x14ac:dyDescent="0.25">
      <c r="A3506" t="str">
        <f>"20190303170608065"</f>
        <v>20190303170608065</v>
      </c>
      <c r="B3506" t="str">
        <f>"1551603968058638"</f>
        <v>1551603968058638</v>
      </c>
      <c r="C3506" t="s">
        <v>40</v>
      </c>
      <c r="D3506">
        <v>6.0694030000000003</v>
      </c>
      <c r="E3506">
        <v>0.41708319999999999</v>
      </c>
      <c r="F3506" t="s">
        <v>87</v>
      </c>
      <c r="G3506">
        <v>-211.6669</v>
      </c>
      <c r="H3506">
        <v>1.3281700000000001</v>
      </c>
      <c r="I3506">
        <v>-20.631989999999998</v>
      </c>
      <c r="J3506">
        <v>-189.7885</v>
      </c>
      <c r="K3506">
        <v>1.1180289999999999</v>
      </c>
      <c r="L3506">
        <v>164.77809999999999</v>
      </c>
      <c r="M3506">
        <v>-0.15189639999999999</v>
      </c>
      <c r="N3506">
        <v>-1.375754E-2</v>
      </c>
      <c r="O3506">
        <v>-0.98830070000000003</v>
      </c>
      <c r="P3506">
        <v>-0.33636529999999998</v>
      </c>
      <c r="Q3506">
        <v>0.17498</v>
      </c>
      <c r="R3506">
        <v>-0.92533279999999996</v>
      </c>
      <c r="S3506">
        <v>-0.36657709999999999</v>
      </c>
      <c r="T3506">
        <v>3.5165550000000002E-3</v>
      </c>
      <c r="U3506">
        <v>-3.1054840000000001</v>
      </c>
      <c r="V3506">
        <v>0.1933146</v>
      </c>
      <c r="W3506">
        <v>0.1867896</v>
      </c>
      <c r="X3506">
        <v>0.96319219999999905</v>
      </c>
      <c r="Y3506">
        <v>-3.5005729999999999E-2</v>
      </c>
      <c r="Z3506">
        <v>-1.474286E-2</v>
      </c>
      <c r="AA3506">
        <v>0.99927840000000001</v>
      </c>
      <c r="AB3506">
        <v>31</v>
      </c>
      <c r="AC3506">
        <v>-21.878399999999999</v>
      </c>
      <c r="AD3506">
        <v>0.210140999999999</v>
      </c>
      <c r="AE3506">
        <v>-185.41009</v>
      </c>
      <c r="AF3506">
        <v>-6.5412977421747502</v>
      </c>
      <c r="AG3506">
        <v>0.210140999999999</v>
      </c>
      <c r="AH3506">
        <v>186.581587960614</v>
      </c>
      <c r="AI3506">
        <v>89.935509205841399</v>
      </c>
      <c r="AJ3506">
        <v>92.007890051588703</v>
      </c>
      <c r="AK3506">
        <v>186.69633553258601</v>
      </c>
      <c r="AL3506">
        <v>79.234512670235105</v>
      </c>
      <c r="AM3506">
        <v>78.651398153911899</v>
      </c>
      <c r="AN3506">
        <v>1.0000000516910701</v>
      </c>
    </row>
    <row r="3507" spans="1:40" x14ac:dyDescent="0.25">
      <c r="A3507" t="str">
        <f>"20190303170608086"</f>
        <v>20190303170608086</v>
      </c>
      <c r="B3507" t="str">
        <f>"1551603968078157"</f>
        <v>1551603968078157</v>
      </c>
      <c r="C3507" t="s">
        <v>40</v>
      </c>
      <c r="D3507">
        <v>6.0506789999999997</v>
      </c>
      <c r="E3507">
        <v>0.41649150000000001</v>
      </c>
      <c r="F3507" t="s">
        <v>88</v>
      </c>
      <c r="G3507">
        <v>-210.72890000000001</v>
      </c>
      <c r="H3507">
        <v>1.6624380000000001</v>
      </c>
      <c r="I3507">
        <v>-10.508570000000001</v>
      </c>
      <c r="J3507">
        <v>-189.83709999999999</v>
      </c>
      <c r="K3507">
        <v>1.1180239999999999</v>
      </c>
      <c r="L3507">
        <v>164.48660000000001</v>
      </c>
      <c r="M3507">
        <v>-0.15540619999999999</v>
      </c>
      <c r="N3507">
        <v>-1.375647E-2</v>
      </c>
      <c r="O3507">
        <v>-0.9877551</v>
      </c>
      <c r="P3507">
        <v>-0.33969080000000001</v>
      </c>
      <c r="Q3507">
        <v>0.17591950000000001</v>
      </c>
      <c r="R3507">
        <v>-0.9239387</v>
      </c>
      <c r="S3507">
        <v>-0.37098690000000001</v>
      </c>
      <c r="T3507">
        <v>9.6412900000000003E-3</v>
      </c>
      <c r="U3507">
        <v>-3.105423</v>
      </c>
      <c r="V3507">
        <v>0.19339029999999999</v>
      </c>
      <c r="W3507">
        <v>0.18772639999999999</v>
      </c>
      <c r="X3507">
        <v>0.96299480000000004</v>
      </c>
      <c r="Y3507">
        <v>-3.7158219999999999E-2</v>
      </c>
      <c r="Z3507">
        <v>-1.6665039999999999E-2</v>
      </c>
      <c r="AA3507">
        <v>0.99917040000000001</v>
      </c>
      <c r="AB3507">
        <v>31</v>
      </c>
      <c r="AC3507">
        <v>-20.8918</v>
      </c>
      <c r="AD3507">
        <v>0.54441399999999995</v>
      </c>
      <c r="AE3507">
        <v>-174.99517</v>
      </c>
      <c r="AF3507">
        <v>-6.55990900215994</v>
      </c>
      <c r="AG3507">
        <v>0.54441399999999995</v>
      </c>
      <c r="AH3507">
        <v>176.11403027507501</v>
      </c>
      <c r="AI3507">
        <v>89.823007234716599</v>
      </c>
      <c r="AJ3507">
        <v>92.133171450990204</v>
      </c>
      <c r="AK3507">
        <v>176.23700080417299</v>
      </c>
      <c r="AL3507">
        <v>79.179870825100195</v>
      </c>
      <c r="AM3507">
        <v>78.644802814777407</v>
      </c>
      <c r="AN3507">
        <v>0.99999999710904497</v>
      </c>
    </row>
    <row r="3508" spans="1:40" x14ac:dyDescent="0.25">
      <c r="A3508" t="str">
        <f>"20190303170608098"</f>
        <v>20190303170608098</v>
      </c>
      <c r="B3508" t="str">
        <f>"1551603968087918"</f>
        <v>1551603968087918</v>
      </c>
      <c r="C3508" t="s">
        <v>40</v>
      </c>
      <c r="D3508">
        <v>6.0016889999999998</v>
      </c>
      <c r="E3508">
        <v>0.41649150000000001</v>
      </c>
      <c r="F3508" t="s">
        <v>88</v>
      </c>
      <c r="G3508">
        <v>-211.00749999999999</v>
      </c>
      <c r="H3508">
        <v>1.9448840000000001</v>
      </c>
      <c r="I3508">
        <v>-9.6628609999999995</v>
      </c>
      <c r="J3508">
        <v>-189.8655</v>
      </c>
      <c r="K3508">
        <v>1.1180219999999901</v>
      </c>
      <c r="L3508">
        <v>164.31890000000001</v>
      </c>
      <c r="M3508">
        <v>-0.15742500000000001</v>
      </c>
      <c r="N3508">
        <v>-1.3755760000000001E-2</v>
      </c>
      <c r="O3508">
        <v>-0.98743510000000001</v>
      </c>
      <c r="P3508">
        <v>-0.34155259999999998</v>
      </c>
      <c r="Q3508">
        <v>0.1752793</v>
      </c>
      <c r="R3508">
        <v>-0.92337369999999996</v>
      </c>
      <c r="S3508">
        <v>-0.37750240000000002</v>
      </c>
      <c r="T3508">
        <v>1.47444E-2</v>
      </c>
      <c r="U3508">
        <v>-3.105362</v>
      </c>
      <c r="V3508">
        <v>0.19333790000000001</v>
      </c>
      <c r="W3508">
        <v>0.18708849999999999</v>
      </c>
      <c r="X3508">
        <v>0.96312949999999997</v>
      </c>
      <c r="Y3508">
        <v>-3.7136120000000002E-2</v>
      </c>
      <c r="Z3508">
        <v>-1.8264559999999999E-2</v>
      </c>
      <c r="AA3508">
        <v>0.99914329999999996</v>
      </c>
      <c r="AB3508">
        <v>31</v>
      </c>
      <c r="AC3508">
        <v>-21.141999999999999</v>
      </c>
      <c r="AD3508">
        <v>0.82686199999999999</v>
      </c>
      <c r="AE3508">
        <v>-173.98176100000001</v>
      </c>
      <c r="AF3508">
        <v>-6.5131973615222902</v>
      </c>
      <c r="AG3508">
        <v>0.82686199999999999</v>
      </c>
      <c r="AH3508">
        <v>175.13665586880899</v>
      </c>
      <c r="AI3508">
        <v>89.729681807267198</v>
      </c>
      <c r="AJ3508">
        <v>92.129804411895606</v>
      </c>
      <c r="AK3508">
        <v>175.25967496702299</v>
      </c>
      <c r="AL3508">
        <v>79.217079539963905</v>
      </c>
      <c r="AM3508">
        <v>78.649346117464106</v>
      </c>
      <c r="AN3508">
        <v>1.0000000420894499</v>
      </c>
    </row>
    <row r="3509" spans="1:40" x14ac:dyDescent="0.25">
      <c r="A3509" t="str">
        <f>"20190303170608112"</f>
        <v>20190303170608112</v>
      </c>
      <c r="B3509" t="str">
        <f>"1551603968108414"</f>
        <v>1551603968108414</v>
      </c>
      <c r="C3509" t="s">
        <v>40</v>
      </c>
      <c r="D3509">
        <v>5.9899480000000001</v>
      </c>
      <c r="E3509">
        <v>0.41173320000000002</v>
      </c>
      <c r="F3509" t="s">
        <v>88</v>
      </c>
      <c r="G3509">
        <v>-211.07</v>
      </c>
      <c r="H3509">
        <v>1.811453</v>
      </c>
      <c r="I3509">
        <v>-7.2466160000000004</v>
      </c>
      <c r="J3509">
        <v>-189.8939</v>
      </c>
      <c r="K3509">
        <v>1.1180270000000001</v>
      </c>
      <c r="L3509">
        <v>164.15389999999999</v>
      </c>
      <c r="M3509">
        <v>-0.1594121</v>
      </c>
      <c r="N3509">
        <v>-1.375506E-2</v>
      </c>
      <c r="O3509">
        <v>-0.9871164</v>
      </c>
      <c r="P3509">
        <v>-0.34275450000000002</v>
      </c>
      <c r="Q3509">
        <v>0.17390810000000001</v>
      </c>
      <c r="R3509">
        <v>-0.9231878</v>
      </c>
      <c r="S3509">
        <v>-0.38371280000000002</v>
      </c>
      <c r="T3509">
        <v>1.254809E-2</v>
      </c>
      <c r="U3509">
        <v>-3.1046140000000002</v>
      </c>
      <c r="V3509">
        <v>0.19259899999999999</v>
      </c>
      <c r="W3509">
        <v>0.18572849999999999</v>
      </c>
      <c r="X3509">
        <v>0.96354070000000003</v>
      </c>
      <c r="Y3509">
        <v>-3.7147760000000002E-2</v>
      </c>
      <c r="Z3509">
        <v>-1.75674E-2</v>
      </c>
      <c r="AA3509">
        <v>0.99915529999999997</v>
      </c>
      <c r="AB3509">
        <v>31</v>
      </c>
      <c r="AC3509">
        <v>-21.176099999999899</v>
      </c>
      <c r="AD3509">
        <v>0.69342599999999899</v>
      </c>
      <c r="AE3509">
        <v>-171.40051599999899</v>
      </c>
      <c r="AF3509">
        <v>-6.42054385633101</v>
      </c>
      <c r="AG3509">
        <v>0.69342599999999899</v>
      </c>
      <c r="AH3509">
        <v>172.58151423858999</v>
      </c>
      <c r="AI3509">
        <v>89.769948108854607</v>
      </c>
      <c r="AJ3509">
        <v>92.130590228182996</v>
      </c>
      <c r="AK3509">
        <v>172.70229668395601</v>
      </c>
      <c r="AL3509">
        <v>79.296392219864501</v>
      </c>
      <c r="AM3509">
        <v>78.696307928980701</v>
      </c>
      <c r="AN3509">
        <v>1.00000006553486</v>
      </c>
    </row>
    <row r="3510" spans="1:40" x14ac:dyDescent="0.25">
      <c r="A3510" t="str">
        <f>"20190303170608130"</f>
        <v>20190303170608130</v>
      </c>
      <c r="B3510" t="str">
        <f>"1551603968118173"</f>
        <v>1551603968118173</v>
      </c>
      <c r="C3510" t="s">
        <v>40</v>
      </c>
      <c r="D3510">
        <v>5.9875480000000003</v>
      </c>
      <c r="E3510">
        <v>0.41139199999999998</v>
      </c>
      <c r="F3510" t="s">
        <v>87</v>
      </c>
      <c r="G3510">
        <v>-210.78569999999999</v>
      </c>
      <c r="H3510">
        <v>2.1248040000000001</v>
      </c>
      <c r="I3510">
        <v>-20.632259999999999</v>
      </c>
      <c r="J3510">
        <v>-189.94120000000001</v>
      </c>
      <c r="K3510">
        <v>1.1180190000000001</v>
      </c>
      <c r="L3510">
        <v>163.88249999999999</v>
      </c>
      <c r="M3510">
        <v>-0.16267879999999901</v>
      </c>
      <c r="N3510">
        <v>-1.3753919999999999E-2</v>
      </c>
      <c r="O3510">
        <v>-0.98658319999999999</v>
      </c>
      <c r="P3510">
        <v>-0.34537089999999998</v>
      </c>
      <c r="Q3510">
        <v>0.17164949999999901</v>
      </c>
      <c r="R3510">
        <v>-0.92263499999999998</v>
      </c>
      <c r="S3510">
        <v>-0.35224909999999998</v>
      </c>
      <c r="T3510">
        <v>1.697481E-2</v>
      </c>
      <c r="U3510">
        <v>-3.1156009999999998</v>
      </c>
      <c r="V3510">
        <v>0.1920529</v>
      </c>
      <c r="W3510">
        <v>0.1834818</v>
      </c>
      <c r="X3510">
        <v>0.96407989999999999</v>
      </c>
      <c r="Y3510">
        <v>-5.0834490000000003E-2</v>
      </c>
      <c r="Z3510">
        <v>-1.8946089999999999E-2</v>
      </c>
      <c r="AA3510">
        <v>0.99852730000000001</v>
      </c>
      <c r="AB3510">
        <v>31</v>
      </c>
      <c r="AC3510">
        <v>-20.844499999999901</v>
      </c>
      <c r="AD3510">
        <v>1.006785</v>
      </c>
      <c r="AE3510">
        <v>-184.51476</v>
      </c>
      <c r="AF3510">
        <v>-9.4524226092897798</v>
      </c>
      <c r="AG3510">
        <v>1.006785</v>
      </c>
      <c r="AH3510">
        <v>185.44221310758499</v>
      </c>
      <c r="AI3510">
        <v>89.689341632563199</v>
      </c>
      <c r="AJ3510">
        <v>92.917974276090405</v>
      </c>
      <c r="AK3510">
        <v>185.68569226372699</v>
      </c>
      <c r="AL3510">
        <v>79.4273687953213</v>
      </c>
      <c r="AM3510">
        <v>78.733680164562401</v>
      </c>
      <c r="AN3510">
        <v>0.99999997045682898</v>
      </c>
    </row>
    <row r="3511" spans="1:40" x14ac:dyDescent="0.25">
      <c r="A3511" t="str">
        <f>"20190303170608143"</f>
        <v>20190303170608143</v>
      </c>
      <c r="B3511" t="str">
        <f>"1551603968138670"</f>
        <v>1551603968138670</v>
      </c>
      <c r="C3511" t="s">
        <v>40</v>
      </c>
      <c r="D3511">
        <v>6.0116170000000002</v>
      </c>
      <c r="E3511">
        <v>0.41162349999999998</v>
      </c>
      <c r="F3511" t="s">
        <v>87</v>
      </c>
      <c r="G3511">
        <v>-211.17959999999999</v>
      </c>
      <c r="H3511">
        <v>1.6892130000000001</v>
      </c>
      <c r="I3511">
        <v>-20.632110000000001</v>
      </c>
      <c r="J3511">
        <v>-189.97069999999999</v>
      </c>
      <c r="K3511">
        <v>1.11802</v>
      </c>
      <c r="L3511">
        <v>163.715</v>
      </c>
      <c r="M3511">
        <v>-0.1646946</v>
      </c>
      <c r="N3511">
        <v>-1.37532E-2</v>
      </c>
      <c r="O3511">
        <v>-0.98624889999999998</v>
      </c>
      <c r="P3511">
        <v>-0.34713329999999998</v>
      </c>
      <c r="Q3511">
        <v>0.1710306</v>
      </c>
      <c r="R3511">
        <v>-0.92208840000000003</v>
      </c>
      <c r="S3511">
        <v>-0.35861209999999999</v>
      </c>
      <c r="T3511">
        <v>9.6446280000000006E-3</v>
      </c>
      <c r="U3511">
        <v>-3.1155400000000002</v>
      </c>
      <c r="V3511">
        <v>0.19189990000000001</v>
      </c>
      <c r="W3511">
        <v>0.1828668</v>
      </c>
      <c r="X3511">
        <v>0.96422730000000001</v>
      </c>
      <c r="Y3511">
        <v>-5.0854539999999997E-2</v>
      </c>
      <c r="Z3511">
        <v>-1.6643080000000001E-2</v>
      </c>
      <c r="AA3511">
        <v>0.99856739999999999</v>
      </c>
      <c r="AB3511">
        <v>31</v>
      </c>
      <c r="AC3511">
        <v>-21.2089</v>
      </c>
      <c r="AD3511">
        <v>0.57119299999999995</v>
      </c>
      <c r="AE3511">
        <v>-184.34710999999999</v>
      </c>
      <c r="AF3511">
        <v>-9.4445213542662394</v>
      </c>
      <c r="AG3511">
        <v>0.57119299999999995</v>
      </c>
      <c r="AH3511">
        <v>185.32086473826499</v>
      </c>
      <c r="AI3511">
        <v>89.823633308528898</v>
      </c>
      <c r="AJ3511">
        <v>92.917445161503593</v>
      </c>
      <c r="AK3511">
        <v>185.56224872638501</v>
      </c>
      <c r="AL3511">
        <v>79.463213131668994</v>
      </c>
      <c r="AM3511">
        <v>78.744103221006995</v>
      </c>
      <c r="AN3511">
        <v>1.0000000621137599</v>
      </c>
    </row>
    <row r="3512" spans="1:40" x14ac:dyDescent="0.25">
      <c r="A3512" t="str">
        <f>"20190303170608156"</f>
        <v>20190303170608156</v>
      </c>
      <c r="B3512" t="str">
        <f>"1551603968148430"</f>
        <v>1551603968148430</v>
      </c>
      <c r="C3512" t="s">
        <v>40</v>
      </c>
      <c r="D3512">
        <v>6.02379</v>
      </c>
      <c r="E3512">
        <v>0.41162349999999998</v>
      </c>
      <c r="F3512" t="s">
        <v>87</v>
      </c>
      <c r="G3512">
        <v>-211.65790000000001</v>
      </c>
      <c r="H3512">
        <v>1.371143</v>
      </c>
      <c r="I3512">
        <v>-20.632000000000001</v>
      </c>
      <c r="J3512">
        <v>-190.0018</v>
      </c>
      <c r="K3512">
        <v>1.1180239999999999</v>
      </c>
      <c r="L3512">
        <v>163.54220000000001</v>
      </c>
      <c r="M3512">
        <v>-0.1667757</v>
      </c>
      <c r="N3512">
        <v>-1.3752469999999999E-2</v>
      </c>
      <c r="O3512">
        <v>-0.98589890000000002</v>
      </c>
      <c r="P3512">
        <v>-0.34951459999999901</v>
      </c>
      <c r="Q3512">
        <v>0.17139399999999999</v>
      </c>
      <c r="R3512">
        <v>-0.92112059999999996</v>
      </c>
      <c r="S3512">
        <v>-0.36642459999999999</v>
      </c>
      <c r="T3512">
        <v>4.276752E-3</v>
      </c>
      <c r="U3512">
        <v>-3.114716</v>
      </c>
      <c r="V3512">
        <v>0.19237019999999999</v>
      </c>
      <c r="W3512">
        <v>0.1832249</v>
      </c>
      <c r="X3512">
        <v>0.96406559999999997</v>
      </c>
      <c r="Y3512">
        <v>-5.0457429999999998E-2</v>
      </c>
      <c r="Z3512">
        <v>-1.495642E-2</v>
      </c>
      <c r="AA3512">
        <v>0.99861420000000001</v>
      </c>
      <c r="AB3512">
        <v>31</v>
      </c>
      <c r="AC3512">
        <v>-21.656099999999999</v>
      </c>
      <c r="AD3512">
        <v>0.25311899999999998</v>
      </c>
      <c r="AE3512">
        <v>-184.17420000000001</v>
      </c>
      <c r="AF3512">
        <v>-9.3659246858150293</v>
      </c>
      <c r="AG3512">
        <v>0.25311899999999998</v>
      </c>
      <c r="AH3512">
        <v>185.206031029044</v>
      </c>
      <c r="AI3512">
        <v>89.921794486839801</v>
      </c>
      <c r="AJ3512">
        <v>92.894998634442999</v>
      </c>
      <c r="AK3512">
        <v>185.44287137547201</v>
      </c>
      <c r="AL3512">
        <v>79.442342977146893</v>
      </c>
      <c r="AM3512">
        <v>78.715380684680198</v>
      </c>
      <c r="AN3512">
        <v>1.0000000694657001</v>
      </c>
    </row>
    <row r="3513" spans="1:40" x14ac:dyDescent="0.25">
      <c r="A3513" t="str">
        <f>"20190303170608178"</f>
        <v>20190303170608178</v>
      </c>
      <c r="B3513" t="str">
        <f>"1551603968167949"</f>
        <v>1551603968167949</v>
      </c>
      <c r="C3513" t="s">
        <v>40</v>
      </c>
      <c r="D3513">
        <v>6.2484479999999998</v>
      </c>
      <c r="E3513">
        <v>0.44624160000000002</v>
      </c>
      <c r="F3513" t="s">
        <v>88</v>
      </c>
      <c r="G3513">
        <v>-210.83670000000001</v>
      </c>
      <c r="H3513">
        <v>1.420428</v>
      </c>
      <c r="I3513">
        <v>-9.6628609999999995</v>
      </c>
      <c r="J3513">
        <v>-190.05549999999999</v>
      </c>
      <c r="K3513">
        <v>1.1180369999999999</v>
      </c>
      <c r="L3513">
        <v>163.2475</v>
      </c>
      <c r="M3513">
        <v>-0.170323799999999</v>
      </c>
      <c r="N3513">
        <v>-1.375114E-2</v>
      </c>
      <c r="O3513">
        <v>-0.9852921</v>
      </c>
      <c r="P3513">
        <v>-0.354964</v>
      </c>
      <c r="Q3513">
        <v>0.17323669999999999</v>
      </c>
      <c r="R3513">
        <v>-0.91868919999999998</v>
      </c>
      <c r="S3513">
        <v>-0.37455749999999999</v>
      </c>
      <c r="T3513">
        <v>5.4365400000000001E-3</v>
      </c>
      <c r="U3513">
        <v>-3.113785</v>
      </c>
      <c r="V3513">
        <v>0.1946851</v>
      </c>
      <c r="W3513">
        <v>0.18504010000000001</v>
      </c>
      <c r="X3513">
        <v>0.96325380000000005</v>
      </c>
      <c r="Y3513">
        <v>-5.1447020000000003E-2</v>
      </c>
      <c r="Z3513">
        <v>-1.5310809999999999E-2</v>
      </c>
      <c r="AA3513">
        <v>0.99855830000000001</v>
      </c>
      <c r="AB3513">
        <v>31</v>
      </c>
      <c r="AC3513">
        <v>-20.781199999999998</v>
      </c>
      <c r="AD3513">
        <v>0.30239099999999902</v>
      </c>
      <c r="AE3513">
        <v>-172.91036099999999</v>
      </c>
      <c r="AF3513">
        <v>-8.9760200319390897</v>
      </c>
      <c r="AG3513">
        <v>0.30239099999999902</v>
      </c>
      <c r="AH3513">
        <v>173.92268224463899</v>
      </c>
      <c r="AI3513">
        <v>89.900515086521295</v>
      </c>
      <c r="AJ3513">
        <v>92.954371342783702</v>
      </c>
      <c r="AK3513">
        <v>174.15441359638399</v>
      </c>
      <c r="AL3513">
        <v>79.336529730517995</v>
      </c>
      <c r="AM3513">
        <v>78.5737633914014</v>
      </c>
      <c r="AN3513">
        <v>1.00000000499223</v>
      </c>
    </row>
    <row r="3514" spans="1:40" x14ac:dyDescent="0.25">
      <c r="A3514" t="str">
        <f>"20190303170608200"</f>
        <v>20190303170608200</v>
      </c>
      <c r="B3514" t="str">
        <f>"1551603968188445"</f>
        <v>1551603968188445</v>
      </c>
      <c r="C3514" t="s">
        <v>40</v>
      </c>
      <c r="D3514">
        <v>5.7559699999999996</v>
      </c>
      <c r="E3514">
        <v>0.52772220000000003</v>
      </c>
      <c r="F3514" t="s">
        <v>84</v>
      </c>
      <c r="G3514">
        <v>-197.89189999999999</v>
      </c>
      <c r="H3514" s="1">
        <v>-5.2171469999999998E-6</v>
      </c>
      <c r="I3514">
        <v>126.6143</v>
      </c>
      <c r="J3514">
        <v>-190.1103</v>
      </c>
      <c r="K3514">
        <v>1.1180460000000001</v>
      </c>
      <c r="L3514">
        <v>162.95269999999999</v>
      </c>
      <c r="M3514">
        <v>-0.17387339999999901</v>
      </c>
      <c r="N3514">
        <v>-1.374971E-2</v>
      </c>
      <c r="O3514">
        <v>-0.98467199999999999</v>
      </c>
      <c r="P3514">
        <v>-0.36143320000000001</v>
      </c>
      <c r="Q3514">
        <v>0.17358999999999999</v>
      </c>
      <c r="R3514">
        <v>-0.91609660000000004</v>
      </c>
      <c r="S3514">
        <v>-0.64866639999999998</v>
      </c>
      <c r="T3514">
        <v>-9.2547180000000007E-2</v>
      </c>
      <c r="U3514">
        <v>-3.032349</v>
      </c>
      <c r="V3514">
        <v>0.19802529999999999</v>
      </c>
      <c r="W3514">
        <v>0.1853593</v>
      </c>
      <c r="X3514">
        <v>0.96251120000000001</v>
      </c>
      <c r="Y3514">
        <v>3.591544E-2</v>
      </c>
      <c r="Z3514">
        <v>1.5976239999999999E-2</v>
      </c>
      <c r="AA3514">
        <v>0.99922710000000003</v>
      </c>
      <c r="AB3514">
        <v>31</v>
      </c>
      <c r="AC3514">
        <v>-7.7815999999999903</v>
      </c>
      <c r="AD3514">
        <v>-1.1180512171469901</v>
      </c>
      <c r="AE3514">
        <v>-36.338399999999901</v>
      </c>
      <c r="AF3514">
        <v>1.3429539975511899</v>
      </c>
      <c r="AG3514">
        <v>-1.1180512171469901</v>
      </c>
      <c r="AH3514">
        <v>37.1043447718558</v>
      </c>
      <c r="AI3514">
        <v>91.724821143962401</v>
      </c>
      <c r="AJ3514">
        <v>87.927142405857893</v>
      </c>
      <c r="AK3514">
        <v>37.145470314863999</v>
      </c>
      <c r="AL3514">
        <v>79.3179183722239</v>
      </c>
      <c r="AM3514">
        <v>78.374290967311893</v>
      </c>
      <c r="AN3514">
        <v>0.99999994983100804</v>
      </c>
    </row>
    <row r="3515" spans="1:40" x14ac:dyDescent="0.25">
      <c r="A3515" t="str">
        <f>"20190303170608221"</f>
        <v>20190303170608221</v>
      </c>
      <c r="B3515" t="str">
        <f>"1551603968207966"</f>
        <v>1551603968207966</v>
      </c>
      <c r="C3515" t="s">
        <v>40</v>
      </c>
      <c r="D3515">
        <v>5.7410730000000001</v>
      </c>
      <c r="E3515">
        <v>0.54161380000000003</v>
      </c>
      <c r="F3515" t="s">
        <v>84</v>
      </c>
      <c r="G3515">
        <v>-200.10310000000001</v>
      </c>
      <c r="H3515" s="1">
        <v>-9.8415360000000007E-6</v>
      </c>
      <c r="I3515">
        <v>141.0265</v>
      </c>
      <c r="J3515">
        <v>-190.1653</v>
      </c>
      <c r="K3515">
        <v>1.118044</v>
      </c>
      <c r="L3515">
        <v>162.66299999999899</v>
      </c>
      <c r="M3515">
        <v>-0.1773632</v>
      </c>
      <c r="N3515">
        <v>-1.374833E-2</v>
      </c>
      <c r="O3515">
        <v>-0.98404959999999997</v>
      </c>
      <c r="P3515">
        <v>-0.36589569999999999</v>
      </c>
      <c r="Q3515">
        <v>0.172123</v>
      </c>
      <c r="R3515">
        <v>-0.91460079999999999</v>
      </c>
      <c r="S3515">
        <v>-1.275452</v>
      </c>
      <c r="T3515">
        <v>-0.14270639999999901</v>
      </c>
      <c r="U3515">
        <v>-2.7986149999999999</v>
      </c>
      <c r="V3515">
        <v>0.1992467</v>
      </c>
      <c r="W3515">
        <v>0.1838844</v>
      </c>
      <c r="X3515">
        <v>0.96254209999999996</v>
      </c>
      <c r="Y3515">
        <v>0.24639159999999999</v>
      </c>
      <c r="Z3515">
        <v>3.3430290000000001E-2</v>
      </c>
      <c r="AA3515">
        <v>0.96859360000000005</v>
      </c>
      <c r="AB3515">
        <v>31</v>
      </c>
      <c r="AC3515">
        <v>-9.93780000000001</v>
      </c>
      <c r="AD3515">
        <v>-1.118053841536</v>
      </c>
      <c r="AE3515">
        <v>-21.636499999999899</v>
      </c>
      <c r="AF3515">
        <v>5.9292554968811197</v>
      </c>
      <c r="AG3515">
        <v>-1.118053841536</v>
      </c>
      <c r="AH3515">
        <v>23.005436022441</v>
      </c>
      <c r="AI3515">
        <v>92.694443999763394</v>
      </c>
      <c r="AJ3515">
        <v>75.547526421990696</v>
      </c>
      <c r="AK3515">
        <v>23.7835279494548</v>
      </c>
      <c r="AL3515">
        <v>79.403902635524304</v>
      </c>
      <c r="AM3515">
        <v>78.304919394614899</v>
      </c>
      <c r="AN3515">
        <v>1.0000000071483299</v>
      </c>
    </row>
    <row r="3516" spans="1:40" x14ac:dyDescent="0.25">
      <c r="A3516" t="str">
        <f>"20190303170608235"</f>
        <v>20190303170608235</v>
      </c>
      <c r="B3516" t="str">
        <f>"1551603968228463"</f>
        <v>1551603968228463</v>
      </c>
      <c r="C3516" t="s">
        <v>40</v>
      </c>
      <c r="D3516">
        <v>5.7223709999999999</v>
      </c>
      <c r="E3516">
        <v>0.54818109999999998</v>
      </c>
      <c r="F3516" t="s">
        <v>84</v>
      </c>
      <c r="G3516">
        <v>-201.20679999999999</v>
      </c>
      <c r="H3516" s="1">
        <v>-9.3432980000000003E-6</v>
      </c>
      <c r="I3516">
        <v>140.85509999999999</v>
      </c>
      <c r="J3516">
        <v>-190.20160000000001</v>
      </c>
      <c r="K3516">
        <v>1.118044</v>
      </c>
      <c r="L3516">
        <v>162.47479999999999</v>
      </c>
      <c r="M3516">
        <v>-0.17962990000000001</v>
      </c>
      <c r="N3516">
        <v>-1.374738E-2</v>
      </c>
      <c r="O3516">
        <v>-0.98363820000000002</v>
      </c>
      <c r="P3516">
        <v>-0.36803180000000002</v>
      </c>
      <c r="Q3516">
        <v>0.1709531</v>
      </c>
      <c r="R3516">
        <v>-0.91396250000000001</v>
      </c>
      <c r="S3516">
        <v>-1.3921969999999999</v>
      </c>
      <c r="T3516">
        <v>-0.14097309999999999</v>
      </c>
      <c r="U3516">
        <v>-2.7497099999999999</v>
      </c>
      <c r="V3516">
        <v>0.19922880000000001</v>
      </c>
      <c r="W3516">
        <v>0.18271860000000001</v>
      </c>
      <c r="X3516">
        <v>0.96276779999999995</v>
      </c>
      <c r="Y3516">
        <v>0.2837288</v>
      </c>
      <c r="Z3516">
        <v>3.298276E-2</v>
      </c>
      <c r="AA3516">
        <v>0.9583372</v>
      </c>
      <c r="AB3516">
        <v>31</v>
      </c>
      <c r="AC3516">
        <v>-11.005199999999901</v>
      </c>
      <c r="AD3516">
        <v>-1.118053343298</v>
      </c>
      <c r="AE3516">
        <v>-21.619699999999899</v>
      </c>
      <c r="AF3516">
        <v>6.9275323622353397</v>
      </c>
      <c r="AG3516">
        <v>-1.118053343298</v>
      </c>
      <c r="AH3516">
        <v>23.195754068624399</v>
      </c>
      <c r="AI3516">
        <v>92.644328165022898</v>
      </c>
      <c r="AJ3516">
        <v>73.371471701295405</v>
      </c>
      <c r="AK3516">
        <v>24.233938077010599</v>
      </c>
      <c r="AL3516">
        <v>79.471849424391806</v>
      </c>
      <c r="AM3516">
        <v>78.308607067512995</v>
      </c>
      <c r="AN3516">
        <v>1.00000001912611</v>
      </c>
    </row>
    <row r="3517" spans="1:40" x14ac:dyDescent="0.25">
      <c r="A3517" t="str">
        <f>"20190303170608256"</f>
        <v>20190303170608256</v>
      </c>
      <c r="B3517" t="str">
        <f>"1551603968247982"</f>
        <v>1551603968247982</v>
      </c>
      <c r="C3517" t="s">
        <v>40</v>
      </c>
      <c r="D3517">
        <v>5.7124560000000004</v>
      </c>
      <c r="E3517">
        <v>0.55177089999999995</v>
      </c>
      <c r="F3517" t="s">
        <v>84</v>
      </c>
      <c r="G3517">
        <v>-201.5291</v>
      </c>
      <c r="H3517" s="1">
        <v>-9.2979169999999994E-6</v>
      </c>
      <c r="I3517">
        <v>141.14279999999999</v>
      </c>
      <c r="J3517">
        <v>-190.25829999999999</v>
      </c>
      <c r="K3517">
        <v>1.1180349999999999</v>
      </c>
      <c r="L3517">
        <v>162.18530000000001</v>
      </c>
      <c r="M3517">
        <v>-0.18311820000000001</v>
      </c>
      <c r="N3517">
        <v>-1.374587E-2</v>
      </c>
      <c r="O3517">
        <v>-0.9829947</v>
      </c>
      <c r="P3517">
        <v>-0.37164520000000001</v>
      </c>
      <c r="Q3517">
        <v>0.16897809999999999</v>
      </c>
      <c r="R3517">
        <v>-0.91286730000000005</v>
      </c>
      <c r="S3517">
        <v>-1.4476469999999999</v>
      </c>
      <c r="T3517">
        <v>-0.14288699999999999</v>
      </c>
      <c r="U3517">
        <v>-2.7262270000000002</v>
      </c>
      <c r="V3517">
        <v>0.19953950000000001</v>
      </c>
      <c r="W3517">
        <v>0.1807455</v>
      </c>
      <c r="X3517">
        <v>0.96307580000000004</v>
      </c>
      <c r="Y3517">
        <v>0.29892740000000001</v>
      </c>
      <c r="Z3517">
        <v>3.3637529999999999E-2</v>
      </c>
      <c r="AA3517">
        <v>0.95368280000000005</v>
      </c>
      <c r="AB3517">
        <v>31</v>
      </c>
      <c r="AC3517">
        <v>-11.270799999999999</v>
      </c>
      <c r="AD3517">
        <v>-1.118044297917</v>
      </c>
      <c r="AE3517">
        <v>-21.0425</v>
      </c>
      <c r="AF3517">
        <v>7.2107370360896104</v>
      </c>
      <c r="AG3517">
        <v>-1.118044297917</v>
      </c>
      <c r="AH3517">
        <v>22.700906739675201</v>
      </c>
      <c r="AI3517">
        <v>92.687488873833999</v>
      </c>
      <c r="AJ3517">
        <v>72.378021955662504</v>
      </c>
      <c r="AK3517">
        <v>23.844830015313001</v>
      </c>
      <c r="AL3517">
        <v>79.586813633526006</v>
      </c>
      <c r="AM3517">
        <v>78.294518570326304</v>
      </c>
      <c r="AN3517">
        <v>0.99999997218806902</v>
      </c>
    </row>
    <row r="3518" spans="1:40" x14ac:dyDescent="0.25">
      <c r="A3518" t="str">
        <f>"20190303170608277"</f>
        <v>20190303170608277</v>
      </c>
      <c r="B3518" t="str">
        <f>"1551603968268478"</f>
        <v>1551603968268478</v>
      </c>
      <c r="C3518" t="s">
        <v>40</v>
      </c>
      <c r="D3518">
        <v>5.7126739999999998</v>
      </c>
      <c r="E3518">
        <v>0.55368269999999997</v>
      </c>
      <c r="F3518" t="s">
        <v>84</v>
      </c>
      <c r="G3518">
        <v>-201.56129999999999</v>
      </c>
      <c r="H3518" s="1">
        <v>-9.3968059999999993E-6</v>
      </c>
      <c r="I3518">
        <v>141.5634</v>
      </c>
      <c r="J3518">
        <v>-190.31440000000001</v>
      </c>
      <c r="K3518">
        <v>1.118036</v>
      </c>
      <c r="L3518">
        <v>161.90379999999999</v>
      </c>
      <c r="M3518">
        <v>-0.18651029999999999</v>
      </c>
      <c r="N3518">
        <v>-1.3744350000000001E-2</v>
      </c>
      <c r="O3518">
        <v>-0.98235700000000004</v>
      </c>
      <c r="P3518">
        <v>-0.37606850000000003</v>
      </c>
      <c r="Q3518">
        <v>0.16988929999999999</v>
      </c>
      <c r="R3518">
        <v>-0.91088429999999998</v>
      </c>
      <c r="S3518">
        <v>-1.4848330000000001</v>
      </c>
      <c r="T3518">
        <v>-0.146873</v>
      </c>
      <c r="U3518">
        <v>-2.709015</v>
      </c>
      <c r="V3518">
        <v>0.20092560000000001</v>
      </c>
      <c r="W3518">
        <v>0.1816412</v>
      </c>
      <c r="X3518">
        <v>0.962619</v>
      </c>
      <c r="Y3518">
        <v>0.3082223</v>
      </c>
      <c r="Z3518">
        <v>3.496958E-2</v>
      </c>
      <c r="AA3518">
        <v>0.95067140000000006</v>
      </c>
      <c r="AB3518">
        <v>31</v>
      </c>
      <c r="AC3518">
        <v>-11.246899999999901</v>
      </c>
      <c r="AD3518">
        <v>-1.118045396806</v>
      </c>
      <c r="AE3518">
        <v>-20.340399999999899</v>
      </c>
      <c r="AF3518">
        <v>7.2387115264718602</v>
      </c>
      <c r="AG3518">
        <v>-1.118045396806</v>
      </c>
      <c r="AH3518">
        <v>22.030303828910998</v>
      </c>
      <c r="AI3518">
        <v>92.760339164966993</v>
      </c>
      <c r="AJ3518">
        <v>71.810524441133694</v>
      </c>
      <c r="AK3518">
        <v>23.216012940789899</v>
      </c>
      <c r="AL3518">
        <v>79.534630121159907</v>
      </c>
      <c r="AM3518">
        <v>78.210037171741604</v>
      </c>
      <c r="AN3518">
        <v>0.999999980716899</v>
      </c>
    </row>
    <row r="3519" spans="1:40" x14ac:dyDescent="0.25">
      <c r="A3519" t="str">
        <f>"20190303170608299"</f>
        <v>20190303170608299</v>
      </c>
      <c r="B3519" t="str">
        <f>"1551603968287998"</f>
        <v>1551603968287998</v>
      </c>
      <c r="C3519" t="s">
        <v>40</v>
      </c>
      <c r="D3519">
        <v>5.7172710000000002</v>
      </c>
      <c r="E3519">
        <v>0.55491550000000001</v>
      </c>
      <c r="F3519" t="s">
        <v>84</v>
      </c>
      <c r="G3519">
        <v>-202.05410000000001</v>
      </c>
      <c r="H3519" s="1">
        <v>-9.0509740000000008E-6</v>
      </c>
      <c r="I3519">
        <v>140.95609999999999</v>
      </c>
      <c r="J3519">
        <v>-190.37379999999999</v>
      </c>
      <c r="K3519">
        <v>1.1180540000000001</v>
      </c>
      <c r="L3519">
        <v>161.6112</v>
      </c>
      <c r="M3519">
        <v>-0.19003690000000001</v>
      </c>
      <c r="N3519">
        <v>-1.374269E-2</v>
      </c>
      <c r="O3519">
        <v>-0.98168069999999996</v>
      </c>
      <c r="P3519">
        <v>-0.38026840000000001</v>
      </c>
      <c r="Q3519">
        <v>0.171865299999999</v>
      </c>
      <c r="R3519">
        <v>-0.9087674</v>
      </c>
      <c r="S3519">
        <v>-1.5111540000000001</v>
      </c>
      <c r="T3519">
        <v>-0.14391679999999901</v>
      </c>
      <c r="U3519">
        <v>-2.6964260000000002</v>
      </c>
      <c r="V3519">
        <v>0.2019968</v>
      </c>
      <c r="W3519">
        <v>0.1836023</v>
      </c>
      <c r="X3519">
        <v>0.96202259999999995</v>
      </c>
      <c r="Y3519">
        <v>0.31377709999999998</v>
      </c>
      <c r="Z3519">
        <v>3.4024609999999997E-2</v>
      </c>
      <c r="AA3519">
        <v>0.94888689999999998</v>
      </c>
      <c r="AB3519">
        <v>31</v>
      </c>
      <c r="AC3519">
        <v>-11.680300000000001</v>
      </c>
      <c r="AD3519">
        <v>-1.1180630509739999</v>
      </c>
      <c r="AE3519">
        <v>-20.655100000000001</v>
      </c>
      <c r="AF3519">
        <v>7.5250999603368003</v>
      </c>
      <c r="AG3519">
        <v>-1.1180630509739999</v>
      </c>
      <c r="AH3519">
        <v>22.4486882915321</v>
      </c>
      <c r="AI3519">
        <v>92.703654578643807</v>
      </c>
      <c r="AJ3519">
        <v>71.468160701077693</v>
      </c>
      <c r="AK3519">
        <v>23.702759341675499</v>
      </c>
      <c r="AL3519">
        <v>79.420345625923005</v>
      </c>
      <c r="AM3519">
        <v>78.141814985997598</v>
      </c>
      <c r="AN3519">
        <v>0.99999999734314404</v>
      </c>
    </row>
    <row r="3520" spans="1:40" x14ac:dyDescent="0.25">
      <c r="A3520" t="str">
        <f>"20190303170608321"</f>
        <v>20190303170608321</v>
      </c>
      <c r="B3520" t="str">
        <f>"1551603968308494"</f>
        <v>1551603968308494</v>
      </c>
      <c r="C3520" t="s">
        <v>40</v>
      </c>
      <c r="D3520">
        <v>5.7389270000000003</v>
      </c>
      <c r="E3520">
        <v>0.55576429999999999</v>
      </c>
      <c r="F3520" t="s">
        <v>84</v>
      </c>
      <c r="G3520">
        <v>-202.8828</v>
      </c>
      <c r="H3520" s="1">
        <v>-8.4023299999999996E-6</v>
      </c>
      <c r="I3520">
        <v>139.6807</v>
      </c>
      <c r="J3520">
        <v>-190.43350000000001</v>
      </c>
      <c r="K3520">
        <v>1.1180669999999999</v>
      </c>
      <c r="L3520">
        <v>161.32239999999999</v>
      </c>
      <c r="M3520">
        <v>-0.19351879999999999</v>
      </c>
      <c r="N3520">
        <v>-1.3741089999999999E-2</v>
      </c>
      <c r="O3520">
        <v>-0.98100039999999999</v>
      </c>
      <c r="P3520">
        <v>-0.38359290000000001</v>
      </c>
      <c r="Q3520">
        <v>0.17240150000000001</v>
      </c>
      <c r="R3520">
        <v>-0.90726759999999995</v>
      </c>
      <c r="S3520">
        <v>-1.5320590000000001</v>
      </c>
      <c r="T3520">
        <v>-0.13693629999999901</v>
      </c>
      <c r="U3520">
        <v>-2.6859739999999999</v>
      </c>
      <c r="V3520">
        <v>0.20212720000000001</v>
      </c>
      <c r="W3520">
        <v>0.184137</v>
      </c>
      <c r="X3520">
        <v>0.961893</v>
      </c>
      <c r="Y3520">
        <v>0.31761060000000002</v>
      </c>
      <c r="Z3520">
        <v>3.1763390000000002E-2</v>
      </c>
      <c r="AA3520">
        <v>0.94768909999999995</v>
      </c>
      <c r="AB3520">
        <v>31</v>
      </c>
      <c r="AC3520">
        <v>-12.4492999999999</v>
      </c>
      <c r="AD3520">
        <v>-1.1180754023299999</v>
      </c>
      <c r="AE3520">
        <v>-21.641699999999901</v>
      </c>
      <c r="AF3520">
        <v>8.00938724851299</v>
      </c>
      <c r="AG3520">
        <v>-1.1180754023299999</v>
      </c>
      <c r="AH3520">
        <v>23.5946027938644</v>
      </c>
      <c r="AI3520">
        <v>92.569254976458794</v>
      </c>
      <c r="AJ3520">
        <v>71.249784773693193</v>
      </c>
      <c r="AK3520">
        <v>24.942045980676301</v>
      </c>
      <c r="AL3520">
        <v>79.389178125432693</v>
      </c>
      <c r="AM3520">
        <v>78.132823438127005</v>
      </c>
      <c r="AN3520">
        <v>0.99999999159891995</v>
      </c>
    </row>
    <row r="3521" spans="1:40" x14ac:dyDescent="0.25">
      <c r="A3521" t="str">
        <f>"20190303170608332"</f>
        <v>20190303170608332</v>
      </c>
      <c r="B3521" t="str">
        <f>"1551603968318254"</f>
        <v>1551603968318254</v>
      </c>
      <c r="C3521" t="s">
        <v>40</v>
      </c>
      <c r="D3521">
        <v>5.7416210000000003</v>
      </c>
      <c r="E3521">
        <v>0.55606080000000002</v>
      </c>
      <c r="F3521" t="s">
        <v>84</v>
      </c>
      <c r="G3521">
        <v>-203.26560000000001</v>
      </c>
      <c r="H3521" s="1">
        <v>-8.0920240000000004E-6</v>
      </c>
      <c r="I3521">
        <v>139.13069999999999</v>
      </c>
      <c r="J3521">
        <v>-190.46770000000001</v>
      </c>
      <c r="K3521">
        <v>1.118069</v>
      </c>
      <c r="L3521">
        <v>161.15989999999999</v>
      </c>
      <c r="M3521">
        <v>-0.1954776</v>
      </c>
      <c r="N3521">
        <v>-1.37401E-2</v>
      </c>
      <c r="O3521">
        <v>-0.98061189999999998</v>
      </c>
      <c r="P3521">
        <v>-0.38543670000000002</v>
      </c>
      <c r="Q3521">
        <v>0.17189009999999999</v>
      </c>
      <c r="R3521">
        <v>-0.90658309999999998</v>
      </c>
      <c r="S3521">
        <v>-1.548325</v>
      </c>
      <c r="T3521">
        <v>-0.13490750000000001</v>
      </c>
      <c r="U3521">
        <v>-2.6776580000000001</v>
      </c>
      <c r="V3521">
        <v>0.2021377</v>
      </c>
      <c r="W3521">
        <v>0.18362709999999999</v>
      </c>
      <c r="X3521">
        <v>0.96198830000000002</v>
      </c>
      <c r="Y3521">
        <v>0.3213162</v>
      </c>
      <c r="Z3521">
        <v>3.1118010000000002E-2</v>
      </c>
      <c r="AA3521">
        <v>0.94646050000000004</v>
      </c>
      <c r="AB3521">
        <v>30</v>
      </c>
      <c r="AC3521">
        <v>-12.797899999999901</v>
      </c>
      <c r="AD3521">
        <v>-1.118077092024</v>
      </c>
      <c r="AE3521">
        <v>-22.029199999999999</v>
      </c>
      <c r="AF3521">
        <v>8.2284883656215904</v>
      </c>
      <c r="AG3521">
        <v>-1.118077092024</v>
      </c>
      <c r="AH3521">
        <v>24.059735824808399</v>
      </c>
      <c r="AI3521">
        <v>92.517699888172899</v>
      </c>
      <c r="AJ3521">
        <v>71.119186855923999</v>
      </c>
      <c r="AK3521">
        <v>25.452485244597302</v>
      </c>
      <c r="AL3521">
        <v>79.418900415533201</v>
      </c>
      <c r="AM3521">
        <v>78.133366803128098</v>
      </c>
      <c r="AN3521">
        <v>1.00000002547629</v>
      </c>
    </row>
    <row r="3522" spans="1:40" x14ac:dyDescent="0.25">
      <c r="A3522" t="str">
        <f>"20190303170608345"</f>
        <v>20190303170608345</v>
      </c>
      <c r="B3522" t="str">
        <f>"1551603968338750"</f>
        <v>1551603968338750</v>
      </c>
      <c r="C3522" t="s">
        <v>40</v>
      </c>
      <c r="D3522">
        <v>5.7321160000000004</v>
      </c>
      <c r="E3522">
        <v>0.55656649999999996</v>
      </c>
      <c r="F3522" t="s">
        <v>84</v>
      </c>
      <c r="G3522">
        <v>-203.25139999999999</v>
      </c>
      <c r="H3522" s="1">
        <v>-8.1178239999999994E-6</v>
      </c>
      <c r="I3522">
        <v>139.19739999999999</v>
      </c>
      <c r="J3522">
        <v>-190.5042</v>
      </c>
      <c r="K3522">
        <v>1.1180669999999999</v>
      </c>
      <c r="L3522">
        <v>160.9873</v>
      </c>
      <c r="M3522">
        <v>-0.1975595</v>
      </c>
      <c r="N3522">
        <v>-1.373899E-2</v>
      </c>
      <c r="O3522">
        <v>-0.98019460000000003</v>
      </c>
      <c r="P3522">
        <v>-0.38718609999999998</v>
      </c>
      <c r="Q3522">
        <v>0.17144429999999999</v>
      </c>
      <c r="R3522">
        <v>-0.90592150000000005</v>
      </c>
      <c r="S3522">
        <v>-1.5560909999999999</v>
      </c>
      <c r="T3522">
        <v>-0.13609660000000001</v>
      </c>
      <c r="U3522">
        <v>-2.6733699999999998</v>
      </c>
      <c r="V3522">
        <v>0.20193040000000001</v>
      </c>
      <c r="W3522">
        <v>0.1831846</v>
      </c>
      <c r="X3522">
        <v>0.96211619999999998</v>
      </c>
      <c r="Y3522">
        <v>0.32201200000000002</v>
      </c>
      <c r="Z3522">
        <v>3.1516420000000003E-2</v>
      </c>
      <c r="AA3522">
        <v>0.94621089999999997</v>
      </c>
      <c r="AB3522">
        <v>30</v>
      </c>
      <c r="AC3522">
        <v>-12.7471999999999</v>
      </c>
      <c r="AD3522">
        <v>-1.1180751178239901</v>
      </c>
      <c r="AE3522">
        <v>-21.789899999999999</v>
      </c>
      <c r="AF3522">
        <v>8.1746728444077696</v>
      </c>
      <c r="AG3522">
        <v>-1.1180751178239901</v>
      </c>
      <c r="AH3522">
        <v>23.832178394813699</v>
      </c>
      <c r="AI3522">
        <v>92.540920050099601</v>
      </c>
      <c r="AJ3522">
        <v>71.0675248473609</v>
      </c>
      <c r="AK3522">
        <v>25.219993955677701</v>
      </c>
      <c r="AL3522">
        <v>79.444691363344802</v>
      </c>
      <c r="AM3522">
        <v>78.146723311186904</v>
      </c>
      <c r="AN3522">
        <v>1.0000000332118699</v>
      </c>
    </row>
    <row r="3523" spans="1:40" x14ac:dyDescent="0.25">
      <c r="A3523" t="str">
        <f>"20190303170608358"</f>
        <v>20190303170608358</v>
      </c>
      <c r="B3523" t="str">
        <f>"1551603968348510"</f>
        <v>1551603968348510</v>
      </c>
      <c r="C3523" t="s">
        <v>40</v>
      </c>
      <c r="D3523">
        <v>5.7334779999999999</v>
      </c>
      <c r="E3523">
        <v>0.55676440000000005</v>
      </c>
      <c r="F3523" t="s">
        <v>84</v>
      </c>
      <c r="G3523">
        <v>-203.2773</v>
      </c>
      <c r="H3523" s="1">
        <v>-8.1126040000000002E-6</v>
      </c>
      <c r="I3523">
        <v>139.21209999999999</v>
      </c>
      <c r="J3523">
        <v>-190.54239999999999</v>
      </c>
      <c r="K3523">
        <v>1.1180669999999999</v>
      </c>
      <c r="L3523">
        <v>160.80860000000001</v>
      </c>
      <c r="M3523">
        <v>-0.19971530000000001</v>
      </c>
      <c r="N3523">
        <v>-1.3737640000000001E-2</v>
      </c>
      <c r="O3523">
        <v>-0.97975780000000001</v>
      </c>
      <c r="P3523">
        <v>-0.38965640000000001</v>
      </c>
      <c r="Q3523">
        <v>0.171155</v>
      </c>
      <c r="R3523">
        <v>-0.90491659999999996</v>
      </c>
      <c r="S3523">
        <v>-1.5652919999999999</v>
      </c>
      <c r="T3523">
        <v>-0.137015</v>
      </c>
      <c r="U3523">
        <v>-2.6684570000000001</v>
      </c>
      <c r="V3523">
        <v>0.20242560000000001</v>
      </c>
      <c r="W3523">
        <v>0.1828912</v>
      </c>
      <c r="X3523">
        <v>0.96206789999999998</v>
      </c>
      <c r="Y3523">
        <v>0.3231115</v>
      </c>
      <c r="Z3523">
        <v>3.1826239999999999E-2</v>
      </c>
      <c r="AA3523">
        <v>0.94582560000000004</v>
      </c>
      <c r="AB3523">
        <v>30</v>
      </c>
      <c r="AC3523">
        <v>-12.7349</v>
      </c>
      <c r="AD3523">
        <v>-1.1180751126039901</v>
      </c>
      <c r="AE3523">
        <v>-21.596499999999999</v>
      </c>
      <c r="AF3523">
        <v>8.1485302312322396</v>
      </c>
      <c r="AG3523">
        <v>-1.1180751126039901</v>
      </c>
      <c r="AH3523">
        <v>23.6578781802809</v>
      </c>
      <c r="AI3523">
        <v>92.558498314234598</v>
      </c>
      <c r="AJ3523">
        <v>70.994653342263504</v>
      </c>
      <c r="AK3523">
        <v>25.046832871238198</v>
      </c>
      <c r="AL3523">
        <v>79.461790251638305</v>
      </c>
      <c r="AM3523">
        <v>78.117900857435004</v>
      </c>
      <c r="AN3523">
        <v>0.99999997939160401</v>
      </c>
    </row>
    <row r="3524" spans="1:40" x14ac:dyDescent="0.25">
      <c r="A3524" t="str">
        <f>"20190303170608372"</f>
        <v>20190303170608372</v>
      </c>
      <c r="B3524" t="str">
        <f>"1551603968358270"</f>
        <v>1551603968358270</v>
      </c>
      <c r="C3524" t="s">
        <v>40</v>
      </c>
      <c r="D3524">
        <v>5.7398829999999998</v>
      </c>
      <c r="E3524">
        <v>0.55688329999999997</v>
      </c>
      <c r="F3524" t="s">
        <v>84</v>
      </c>
      <c r="G3524">
        <v>-203.2859</v>
      </c>
      <c r="H3524" s="1">
        <v>-8.1193560000000002E-6</v>
      </c>
      <c r="I3524">
        <v>139.24449999999999</v>
      </c>
      <c r="J3524">
        <v>-190.58070000000001</v>
      </c>
      <c r="K3524">
        <v>1.118069</v>
      </c>
      <c r="L3524">
        <v>160.63200000000001</v>
      </c>
      <c r="M3524">
        <v>-0.20184589999999999</v>
      </c>
      <c r="N3524">
        <v>-1.373659E-2</v>
      </c>
      <c r="O3524">
        <v>-0.97932110000000006</v>
      </c>
      <c r="P3524">
        <v>-0.39204250000000002</v>
      </c>
      <c r="Q3524">
        <v>0.17109929999999901</v>
      </c>
      <c r="R3524">
        <v>-0.90389600000000003</v>
      </c>
      <c r="S3524">
        <v>-1.5740510000000001</v>
      </c>
      <c r="T3524">
        <v>-0.138102799999999</v>
      </c>
      <c r="U3524">
        <v>-2.6635589999999998</v>
      </c>
      <c r="V3524">
        <v>0.20286850000000001</v>
      </c>
      <c r="W3524">
        <v>0.18283160000000001</v>
      </c>
      <c r="X3524">
        <v>0.96198589999999995</v>
      </c>
      <c r="Y3524">
        <v>0.32411309999999999</v>
      </c>
      <c r="Z3524">
        <v>3.2192909999999998E-2</v>
      </c>
      <c r="AA3524">
        <v>0.94547049999999999</v>
      </c>
      <c r="AB3524">
        <v>30</v>
      </c>
      <c r="AC3524">
        <v>-12.7051999999999</v>
      </c>
      <c r="AD3524">
        <v>-1.118077119356</v>
      </c>
      <c r="AE3524">
        <v>-21.387499999999999</v>
      </c>
      <c r="AF3524">
        <v>8.1098745730115702</v>
      </c>
      <c r="AG3524">
        <v>-1.118077119356</v>
      </c>
      <c r="AH3524">
        <v>23.464538354571701</v>
      </c>
      <c r="AI3524">
        <v>92.578610263224405</v>
      </c>
      <c r="AJ3524">
        <v>70.933694095283002</v>
      </c>
      <c r="AK3524">
        <v>24.851654315718601</v>
      </c>
      <c r="AL3524">
        <v>79.4652633012373</v>
      </c>
      <c r="AM3524">
        <v>78.091658586651803</v>
      </c>
      <c r="AN3524">
        <v>0.99999994702480799</v>
      </c>
    </row>
    <row r="3525" spans="1:40" x14ac:dyDescent="0.25">
      <c r="A3525" t="str">
        <f>"20190303170608389"</f>
        <v>20190303170608389</v>
      </c>
      <c r="B3525" t="str">
        <f>"1551603968378765"</f>
        <v>1551603968378765</v>
      </c>
      <c r="C3525" t="s">
        <v>40</v>
      </c>
      <c r="D3525">
        <v>5.7488979999999996</v>
      </c>
      <c r="E3525">
        <v>0.55715349999999997</v>
      </c>
      <c r="F3525" t="s">
        <v>84</v>
      </c>
      <c r="G3525">
        <v>-203.37</v>
      </c>
      <c r="H3525" s="1">
        <v>-8.0545079999999906E-6</v>
      </c>
      <c r="I3525">
        <v>139.13650000000001</v>
      </c>
      <c r="J3525">
        <v>-190.62960000000001</v>
      </c>
      <c r="K3525">
        <v>1.118082</v>
      </c>
      <c r="L3525">
        <v>160.40899999999999</v>
      </c>
      <c r="M3525">
        <v>-0.20453660000000001</v>
      </c>
      <c r="N3525">
        <v>-1.373533E-2</v>
      </c>
      <c r="O3525">
        <v>-0.97876249999999998</v>
      </c>
      <c r="P3525">
        <v>-0.39549889999999999</v>
      </c>
      <c r="Q3525">
        <v>0.1713421</v>
      </c>
      <c r="R3525">
        <v>-0.90234270000000005</v>
      </c>
      <c r="S3525">
        <v>-1.582031</v>
      </c>
      <c r="T3525">
        <v>-0.13830599999999901</v>
      </c>
      <c r="U3525">
        <v>-2.6589969999999998</v>
      </c>
      <c r="V3525">
        <v>0.2039183</v>
      </c>
      <c r="W3525">
        <v>0.1830637</v>
      </c>
      <c r="X3525">
        <v>0.96171980000000001</v>
      </c>
      <c r="Y3525">
        <v>0.32432060000000001</v>
      </c>
      <c r="Z3525">
        <v>3.226863E-2</v>
      </c>
      <c r="AA3525">
        <v>0.94539669999999998</v>
      </c>
      <c r="AB3525">
        <v>30</v>
      </c>
      <c r="AC3525">
        <v>-12.7403999999999</v>
      </c>
      <c r="AD3525">
        <v>-1.1180900545079999</v>
      </c>
      <c r="AE3525">
        <v>-21.272499999999901</v>
      </c>
      <c r="AF3525">
        <v>8.1031114889008293</v>
      </c>
      <c r="AG3525">
        <v>-1.1180900545079999</v>
      </c>
      <c r="AH3525">
        <v>23.381274275553899</v>
      </c>
      <c r="AI3525">
        <v>92.587058555574203</v>
      </c>
      <c r="AJ3525">
        <v>70.885517348128303</v>
      </c>
      <c r="AK3525">
        <v>24.770840274811501</v>
      </c>
      <c r="AL3525">
        <v>79.451737034937906</v>
      </c>
      <c r="AM3525">
        <v>78.028592133964693</v>
      </c>
      <c r="AN3525">
        <v>0.99999998252230904</v>
      </c>
    </row>
    <row r="3526" spans="1:40" x14ac:dyDescent="0.25">
      <c r="A3526" t="str">
        <f>"20190303170608410"</f>
        <v>20190303170608410</v>
      </c>
      <c r="B3526" t="str">
        <f>"1551603968398288"</f>
        <v>1551603968398288</v>
      </c>
      <c r="C3526" t="s">
        <v>40</v>
      </c>
      <c r="D3526">
        <v>5.7210929999999998</v>
      </c>
      <c r="E3526">
        <v>0.55730489999999999</v>
      </c>
      <c r="F3526" t="s">
        <v>84</v>
      </c>
      <c r="G3526">
        <v>-203.54830000000001</v>
      </c>
      <c r="H3526" s="1">
        <v>-7.9183890000000002E-6</v>
      </c>
      <c r="I3526">
        <v>138.9119</v>
      </c>
      <c r="J3526">
        <v>-190.69290000000001</v>
      </c>
      <c r="K3526">
        <v>1.1180890000000001</v>
      </c>
      <c r="L3526">
        <v>160.12430000000001</v>
      </c>
      <c r="M3526">
        <v>-0.2079715</v>
      </c>
      <c r="N3526">
        <v>-1.373363E-2</v>
      </c>
      <c r="O3526">
        <v>-0.97803850000000003</v>
      </c>
      <c r="P3526">
        <v>-0.39902080000000001</v>
      </c>
      <c r="Q3526">
        <v>0.17156080000000001</v>
      </c>
      <c r="R3526">
        <v>-0.90074969999999999</v>
      </c>
      <c r="S3526">
        <v>-1.5939030000000001</v>
      </c>
      <c r="T3526">
        <v>-0.1379493</v>
      </c>
      <c r="U3526">
        <v>-2.652298</v>
      </c>
      <c r="V3526">
        <v>0.20430780000000001</v>
      </c>
      <c r="W3526">
        <v>0.18327840000000001</v>
      </c>
      <c r="X3526">
        <v>0.96159629999999996</v>
      </c>
      <c r="Y3526">
        <v>0.32516489999999998</v>
      </c>
      <c r="Z3526">
        <v>3.2165390000000002E-2</v>
      </c>
      <c r="AA3526">
        <v>0.94511009999999995</v>
      </c>
      <c r="AB3526">
        <v>30</v>
      </c>
      <c r="AC3526">
        <v>-12.855399999999999</v>
      </c>
      <c r="AD3526">
        <v>-1.1180969183889999</v>
      </c>
      <c r="AE3526">
        <v>-21.212399999999999</v>
      </c>
      <c r="AF3526">
        <v>8.1457189236718008</v>
      </c>
      <c r="AG3526">
        <v>-1.1180969183889999</v>
      </c>
      <c r="AH3526">
        <v>23.374811335181999</v>
      </c>
      <c r="AI3526">
        <v>92.586251784692806</v>
      </c>
      <c r="AJ3526">
        <v>70.787434547013206</v>
      </c>
      <c r="AK3526">
        <v>24.7787143019514</v>
      </c>
      <c r="AL3526">
        <v>79.439224606789097</v>
      </c>
      <c r="AM3526">
        <v>78.004891591903402</v>
      </c>
      <c r="AN3526">
        <v>1.0000000466105401</v>
      </c>
    </row>
    <row r="3527" spans="1:40" x14ac:dyDescent="0.25">
      <c r="A3527" t="str">
        <f>"20190303170608434"</f>
        <v>20190303170608434</v>
      </c>
      <c r="B3527" t="str">
        <f>"1551603968428542"</f>
        <v>1551603968428542</v>
      </c>
      <c r="C3527" t="s">
        <v>40</v>
      </c>
      <c r="D3527">
        <v>5.7394869999999996</v>
      </c>
      <c r="E3527">
        <v>0.55744559999999999</v>
      </c>
      <c r="F3527" t="s">
        <v>84</v>
      </c>
      <c r="G3527">
        <v>-203.76060000000001</v>
      </c>
      <c r="H3527" s="1">
        <v>-7.7433560000000007E-6</v>
      </c>
      <c r="I3527">
        <v>138.60239999999999</v>
      </c>
      <c r="J3527">
        <v>-190.76060000000001</v>
      </c>
      <c r="K3527">
        <v>1.118093</v>
      </c>
      <c r="L3527">
        <v>159.82470000000001</v>
      </c>
      <c r="M3527">
        <v>-0.21158560000000001</v>
      </c>
      <c r="N3527">
        <v>-1.373224E-2</v>
      </c>
      <c r="O3527">
        <v>-0.97726310000000005</v>
      </c>
      <c r="P3527">
        <v>-0.40185130000000002</v>
      </c>
      <c r="Q3527">
        <v>0.17109679999999999</v>
      </c>
      <c r="R3527">
        <v>-0.89957869999999995</v>
      </c>
      <c r="S3527">
        <v>-1.6061399999999999</v>
      </c>
      <c r="T3527">
        <v>-0.1374243</v>
      </c>
      <c r="U3527">
        <v>-2.6452330000000002</v>
      </c>
      <c r="V3527">
        <v>0.2037513</v>
      </c>
      <c r="W3527">
        <v>0.18282229999999999</v>
      </c>
      <c r="X3527">
        <v>0.96180109999999996</v>
      </c>
      <c r="Y3527">
        <v>0.32598690000000002</v>
      </c>
      <c r="Z3527">
        <v>3.2008040000000001E-2</v>
      </c>
      <c r="AA3527">
        <v>0.94483229999999996</v>
      </c>
      <c r="AB3527">
        <v>30</v>
      </c>
      <c r="AC3527">
        <v>-13</v>
      </c>
      <c r="AD3527">
        <v>-1.118100743356</v>
      </c>
      <c r="AE3527">
        <v>-21.222300000000001</v>
      </c>
      <c r="AF3527">
        <v>8.1983137441286509</v>
      </c>
      <c r="AG3527">
        <v>-1.118100743356</v>
      </c>
      <c r="AH3527">
        <v>23.445275002951799</v>
      </c>
      <c r="AI3527">
        <v>92.577540161719199</v>
      </c>
      <c r="AJ3527">
        <v>70.726354541301205</v>
      </c>
      <c r="AK3527">
        <v>24.862490170606399</v>
      </c>
      <c r="AL3527">
        <v>79.465805540389795</v>
      </c>
      <c r="AM3527">
        <v>78.0390956648192</v>
      </c>
      <c r="AN3527">
        <v>0.99999997079509395</v>
      </c>
    </row>
    <row r="3528" spans="1:40" x14ac:dyDescent="0.25">
      <c r="A3528" t="str">
        <f>"20190303170608447"</f>
        <v>20190303170608447</v>
      </c>
      <c r="B3528" t="str">
        <f>"1551603968438302"</f>
        <v>1551603968438302</v>
      </c>
      <c r="C3528" t="s">
        <v>40</v>
      </c>
      <c r="D3528">
        <v>5.7480229999999999</v>
      </c>
      <c r="E3528">
        <v>0.55752069999999998</v>
      </c>
      <c r="F3528" t="s">
        <v>84</v>
      </c>
      <c r="G3528">
        <v>-203.73490000000001</v>
      </c>
      <c r="H3528" s="1">
        <v>-7.7609469999999906E-6</v>
      </c>
      <c r="I3528">
        <v>138.6283</v>
      </c>
      <c r="J3528">
        <v>-190.80179999999999</v>
      </c>
      <c r="K3528">
        <v>1.11809</v>
      </c>
      <c r="L3528">
        <v>159.64449999999999</v>
      </c>
      <c r="M3528">
        <v>-0.2137608</v>
      </c>
      <c r="N3528">
        <v>-1.3731500000000001E-2</v>
      </c>
      <c r="O3528">
        <v>-0.97678980000000004</v>
      </c>
      <c r="P3528">
        <v>-0.40372809999999998</v>
      </c>
      <c r="Q3528">
        <v>0.170573</v>
      </c>
      <c r="R3528">
        <v>-0.89883789999999997</v>
      </c>
      <c r="S3528">
        <v>-1.615707</v>
      </c>
      <c r="T3528">
        <v>-0.13923820000000001</v>
      </c>
      <c r="U3528">
        <v>-2.639618</v>
      </c>
      <c r="V3528">
        <v>0.20359060000000001</v>
      </c>
      <c r="W3528">
        <v>0.1823023</v>
      </c>
      <c r="X3528">
        <v>0.96193390000000001</v>
      </c>
      <c r="Y3528">
        <v>0.32725650000000001</v>
      </c>
      <c r="Z3528">
        <v>3.2613549999999998E-2</v>
      </c>
      <c r="AA3528">
        <v>0.94437260000000001</v>
      </c>
      <c r="AB3528">
        <v>30</v>
      </c>
      <c r="AC3528">
        <v>-12.9331</v>
      </c>
      <c r="AD3528">
        <v>-1.118097760947</v>
      </c>
      <c r="AE3528">
        <v>-21.016200000000001</v>
      </c>
      <c r="AF3528">
        <v>8.1245663510989807</v>
      </c>
      <c r="AG3528">
        <v>-1.118097760947</v>
      </c>
      <c r="AH3528">
        <v>23.2474633651814</v>
      </c>
      <c r="AI3528">
        <v>92.599594663556203</v>
      </c>
      <c r="AJ3528">
        <v>70.736406325876203</v>
      </c>
      <c r="AK3528">
        <v>24.651638361616001</v>
      </c>
      <c r="AL3528">
        <v>79.496109394512601</v>
      </c>
      <c r="AM3528">
        <v>78.049860483148706</v>
      </c>
      <c r="AN3528">
        <v>1.0000000444814201</v>
      </c>
    </row>
    <row r="3529" spans="1:40" x14ac:dyDescent="0.25">
      <c r="A3529" t="str">
        <f>"20190303170608459"</f>
        <v>20190303170608459</v>
      </c>
      <c r="B3529" t="str">
        <f>"1551603968448062"</f>
        <v>1551603968448062</v>
      </c>
      <c r="C3529" t="s">
        <v>40</v>
      </c>
      <c r="D3529">
        <v>5.7575640000000003</v>
      </c>
      <c r="E3529">
        <v>0.55753560000000002</v>
      </c>
      <c r="F3529" t="s">
        <v>84</v>
      </c>
      <c r="G3529">
        <v>-203.63409999999999</v>
      </c>
      <c r="H3529" s="1">
        <v>-7.8482000000000005E-6</v>
      </c>
      <c r="I3529">
        <v>138.78870000000001</v>
      </c>
      <c r="J3529">
        <v>-190.84309999999999</v>
      </c>
      <c r="K3529">
        <v>1.1180920000000001</v>
      </c>
      <c r="L3529">
        <v>159.46619999999999</v>
      </c>
      <c r="M3529">
        <v>-0.21591270000000001</v>
      </c>
      <c r="N3529">
        <v>-1.373074E-2</v>
      </c>
      <c r="O3529">
        <v>-0.97631650000000003</v>
      </c>
      <c r="P3529">
        <v>-0.40568710000000002</v>
      </c>
      <c r="Q3529">
        <v>0.170131</v>
      </c>
      <c r="R3529">
        <v>-0.89803899999999903</v>
      </c>
      <c r="S3529">
        <v>-1.6218870000000001</v>
      </c>
      <c r="T3529">
        <v>-0.14131779999999999</v>
      </c>
      <c r="U3529">
        <v>-2.6359859999999999</v>
      </c>
      <c r="V3529">
        <v>0.20354559999999999</v>
      </c>
      <c r="W3529">
        <v>0.18186250000000001</v>
      </c>
      <c r="X3529">
        <v>0.96202659999999995</v>
      </c>
      <c r="Y3529">
        <v>0.32734790000000002</v>
      </c>
      <c r="Z3529">
        <v>3.3298179999999997E-2</v>
      </c>
      <c r="AA3529">
        <v>0.94431699999999996</v>
      </c>
      <c r="AB3529">
        <v>30</v>
      </c>
      <c r="AC3529">
        <v>-12.790999999999899</v>
      </c>
      <c r="AD3529">
        <v>-1.1180998482</v>
      </c>
      <c r="AE3529">
        <v>-20.677499999999899</v>
      </c>
      <c r="AF3529">
        <v>8.0073498227606397</v>
      </c>
      <c r="AG3529">
        <v>-1.1180998482</v>
      </c>
      <c r="AH3529">
        <v>22.903245409737298</v>
      </c>
      <c r="AI3529">
        <v>92.638504238279594</v>
      </c>
      <c r="AJ3529">
        <v>70.729537080980094</v>
      </c>
      <c r="AK3529">
        <v>24.288401527339399</v>
      </c>
      <c r="AL3529">
        <v>79.521735791284996</v>
      </c>
      <c r="AM3529">
        <v>78.053544108614901</v>
      </c>
      <c r="AN3529">
        <v>0.99999997964658405</v>
      </c>
    </row>
    <row r="3530" spans="1:40" x14ac:dyDescent="0.25">
      <c r="A3530" t="str">
        <f>"20190303170608472"</f>
        <v>20190303170608472</v>
      </c>
      <c r="B3530" t="str">
        <f>"1551603968458798"</f>
        <v>1551603968458798</v>
      </c>
      <c r="C3530" t="s">
        <v>40</v>
      </c>
      <c r="D3530">
        <v>5.7460040000000001</v>
      </c>
      <c r="E3530">
        <v>0.55757650000000003</v>
      </c>
      <c r="F3530" t="s">
        <v>84</v>
      </c>
      <c r="G3530">
        <v>-203.61</v>
      </c>
      <c r="H3530" s="1">
        <v>-7.8675780000000005E-6</v>
      </c>
      <c r="I3530">
        <v>138.82220000000001</v>
      </c>
      <c r="J3530">
        <v>-190.88200000000001</v>
      </c>
      <c r="K3530">
        <v>1.1180939999999999</v>
      </c>
      <c r="L3530">
        <v>159.30019999999999</v>
      </c>
      <c r="M3530">
        <v>-0.21791749999999999</v>
      </c>
      <c r="N3530">
        <v>-1.3729979999999999E-2</v>
      </c>
      <c r="O3530">
        <v>-0.97587069999999998</v>
      </c>
      <c r="P3530">
        <v>-0.40732109999999999</v>
      </c>
      <c r="Q3530">
        <v>0.16975770000000001</v>
      </c>
      <c r="R3530">
        <v>-0.89736959999999999</v>
      </c>
      <c r="S3530">
        <v>-1.627869</v>
      </c>
      <c r="T3530">
        <v>-0.14256540000000001</v>
      </c>
      <c r="U3530">
        <v>-2.6322480000000001</v>
      </c>
      <c r="V3530">
        <v>0.2033008</v>
      </c>
      <c r="W3530">
        <v>0.1814935</v>
      </c>
      <c r="X3530">
        <v>0.96214809999999995</v>
      </c>
      <c r="Y3530">
        <v>0.32755099999999998</v>
      </c>
      <c r="Z3530">
        <v>3.3713939999999998E-2</v>
      </c>
      <c r="AA3530">
        <v>0.94423179999999995</v>
      </c>
      <c r="AB3530">
        <v>30</v>
      </c>
      <c r="AC3530">
        <v>-12.728</v>
      </c>
      <c r="AD3530">
        <v>-1.1181018675779999</v>
      </c>
      <c r="AE3530">
        <v>-20.477999999999899</v>
      </c>
      <c r="AF3530">
        <v>7.9420384756984896</v>
      </c>
      <c r="AG3530">
        <v>-1.1181018675779999</v>
      </c>
      <c r="AH3530">
        <v>22.71083951104</v>
      </c>
      <c r="AI3530">
        <v>92.660759084708602</v>
      </c>
      <c r="AJ3530">
        <v>70.725137963625301</v>
      </c>
      <c r="AK3530">
        <v>24.085438717863799</v>
      </c>
      <c r="AL3530">
        <v>79.543236331682607</v>
      </c>
      <c r="AM3530">
        <v>78.068963414091797</v>
      </c>
      <c r="AN3530">
        <v>1.00000003607824</v>
      </c>
    </row>
    <row r="3531" spans="1:40" x14ac:dyDescent="0.25">
      <c r="A3531" t="str">
        <f>"20190303170608488"</f>
        <v>20190303170608488</v>
      </c>
      <c r="B3531" t="str">
        <f>"1551603968478827"</f>
        <v>1551603968478827</v>
      </c>
      <c r="C3531" t="s">
        <v>40</v>
      </c>
      <c r="D3531">
        <v>5.7558360000000004</v>
      </c>
      <c r="E3531">
        <v>0.55763969999999996</v>
      </c>
      <c r="F3531" t="s">
        <v>84</v>
      </c>
      <c r="G3531">
        <v>-203.541</v>
      </c>
      <c r="H3531" s="1">
        <v>-7.9224959999999998E-6</v>
      </c>
      <c r="I3531">
        <v>138.91650000000001</v>
      </c>
      <c r="J3531">
        <v>-190.9316</v>
      </c>
      <c r="K3531">
        <v>1.118101</v>
      </c>
      <c r="L3531">
        <v>159.09030000000001</v>
      </c>
      <c r="M3531">
        <v>-0.22045210000000001</v>
      </c>
      <c r="N3531">
        <v>-1.372905E-2</v>
      </c>
      <c r="O3531">
        <v>-0.97530119999999998</v>
      </c>
      <c r="P3531">
        <v>-0.40881089999999998</v>
      </c>
      <c r="Q3531">
        <v>0.16963789999999901</v>
      </c>
      <c r="R3531">
        <v>-0.89671429999999996</v>
      </c>
      <c r="S3531">
        <v>-1.6328579999999999</v>
      </c>
      <c r="T3531">
        <v>-0.14422090000000001</v>
      </c>
      <c r="U3531">
        <v>-2.6292420000000001</v>
      </c>
      <c r="V3531">
        <v>0.2023894</v>
      </c>
      <c r="W3531">
        <v>0.18138470000000001</v>
      </c>
      <c r="X3531">
        <v>0.96236069999999996</v>
      </c>
      <c r="Y3531">
        <v>0.32686279999999901</v>
      </c>
      <c r="Z3531">
        <v>3.4256090000000003E-2</v>
      </c>
      <c r="AA3531">
        <v>0.94445080000000003</v>
      </c>
      <c r="AB3531">
        <v>30</v>
      </c>
      <c r="AC3531">
        <v>-12.6093999999999</v>
      </c>
      <c r="AD3531">
        <v>-1.1181089224959999</v>
      </c>
      <c r="AE3531">
        <v>-20.1738</v>
      </c>
      <c r="AF3531">
        <v>7.8340418832810297</v>
      </c>
      <c r="AG3531">
        <v>-1.1181089224959999</v>
      </c>
      <c r="AH3531">
        <v>22.407920194474801</v>
      </c>
      <c r="AI3531">
        <v>92.696769860929393</v>
      </c>
      <c r="AJ3531">
        <v>70.729842687652095</v>
      </c>
      <c r="AK3531">
        <v>23.764201380090899</v>
      </c>
      <c r="AL3531">
        <v>79.549574920844805</v>
      </c>
      <c r="AM3531">
        <v>78.123477217607999</v>
      </c>
      <c r="AN3531">
        <v>0.99999999776546999</v>
      </c>
    </row>
    <row r="3532" spans="1:40" x14ac:dyDescent="0.25">
      <c r="A3532" t="str">
        <f>"20190303170608511"</f>
        <v>20190303170608511</v>
      </c>
      <c r="B3532" t="str">
        <f>"1551603968498346"</f>
        <v>1551603968498346</v>
      </c>
      <c r="C3532" t="s">
        <v>40</v>
      </c>
      <c r="D3532">
        <v>5.7326940000000004</v>
      </c>
      <c r="E3532">
        <v>0.55769939999999996</v>
      </c>
      <c r="F3532" t="s">
        <v>84</v>
      </c>
      <c r="G3532">
        <v>-203.4958</v>
      </c>
      <c r="H3532" s="1">
        <v>-7.9461539999999994E-6</v>
      </c>
      <c r="I3532">
        <v>138.93809999999999</v>
      </c>
      <c r="J3532">
        <v>-191.00190000000001</v>
      </c>
      <c r="K3532">
        <v>1.118112</v>
      </c>
      <c r="L3532">
        <v>158.79669999999999</v>
      </c>
      <c r="M3532">
        <v>-0.22399769999999999</v>
      </c>
      <c r="N3532">
        <v>-1.3727799999999899E-2</v>
      </c>
      <c r="O3532">
        <v>-0.97449300000000005</v>
      </c>
      <c r="P3532">
        <v>-0.4115085</v>
      </c>
      <c r="Q3532">
        <v>0.17011589999999999</v>
      </c>
      <c r="R3532">
        <v>-0.89538909999999905</v>
      </c>
      <c r="S3532">
        <v>-1.6375729999999999</v>
      </c>
      <c r="T3532">
        <v>-0.14572969999999999</v>
      </c>
      <c r="U3532">
        <v>-2.6265559999999999</v>
      </c>
      <c r="V3532">
        <v>0.2018064</v>
      </c>
      <c r="W3532">
        <v>0.18186859999999999</v>
      </c>
      <c r="X3532">
        <v>0.96239180000000002</v>
      </c>
      <c r="Y3532">
        <v>0.32507049999999998</v>
      </c>
      <c r="Z3532">
        <v>3.4742290000000002E-2</v>
      </c>
      <c r="AA3532">
        <v>0.94505139999999999</v>
      </c>
      <c r="AB3532">
        <v>30</v>
      </c>
      <c r="AC3532">
        <v>-12.493899999999901</v>
      </c>
      <c r="AD3532">
        <v>-1.1181199461539999</v>
      </c>
      <c r="AE3532">
        <v>-19.858599999999999</v>
      </c>
      <c r="AF3532">
        <v>7.7101543598100903</v>
      </c>
      <c r="AG3532">
        <v>-1.1181199461539999</v>
      </c>
      <c r="AH3532">
        <v>22.1025600093847</v>
      </c>
      <c r="AI3532">
        <v>92.734656763656801</v>
      </c>
      <c r="AJ3532">
        <v>70.769422359404004</v>
      </c>
      <c r="AK3532">
        <v>23.4354396467089</v>
      </c>
      <c r="AL3532">
        <v>79.521380508844899</v>
      </c>
      <c r="AM3532">
        <v>78.157092940179496</v>
      </c>
      <c r="AN3532">
        <v>0.99999999372707904</v>
      </c>
    </row>
    <row r="3533" spans="1:40" x14ac:dyDescent="0.25">
      <c r="A3533" t="str">
        <f>"20190303170608523"</f>
        <v>20190303170608523</v>
      </c>
      <c r="B3533" t="str">
        <f>"1551603968518842"</f>
        <v>1551603968518842</v>
      </c>
      <c r="C3533" t="s">
        <v>40</v>
      </c>
      <c r="D3533">
        <v>5.690537</v>
      </c>
      <c r="E3533">
        <v>0.5577145</v>
      </c>
      <c r="F3533" t="s">
        <v>84</v>
      </c>
      <c r="G3533">
        <v>-203.69399999999999</v>
      </c>
      <c r="H3533" s="1">
        <v>-7.7635049999999998E-6</v>
      </c>
      <c r="I3533">
        <v>138.5864</v>
      </c>
      <c r="J3533">
        <v>-191.04349999999999</v>
      </c>
      <c r="K3533">
        <v>1.1181140000000001</v>
      </c>
      <c r="L3533">
        <v>158.62469999999999</v>
      </c>
      <c r="M3533">
        <v>-0.22607569999999999</v>
      </c>
      <c r="N3533">
        <v>-1.3727100000000001E-2</v>
      </c>
      <c r="O3533">
        <v>-0.97401329999999997</v>
      </c>
      <c r="P3533">
        <v>-0.41331200000000001</v>
      </c>
      <c r="Q3533">
        <v>0.17018220000000001</v>
      </c>
      <c r="R3533">
        <v>-0.8945459</v>
      </c>
      <c r="S3533">
        <v>-1.64627099999999</v>
      </c>
      <c r="T3533">
        <v>-0.14502950000000001</v>
      </c>
      <c r="U3533">
        <v>-2.621445</v>
      </c>
      <c r="V3533">
        <v>0.2016947</v>
      </c>
      <c r="W3533">
        <v>0.18193609999999999</v>
      </c>
      <c r="X3533">
        <v>0.96240250000000005</v>
      </c>
      <c r="Y3533">
        <v>0.3261366</v>
      </c>
      <c r="Z3533">
        <v>3.4523459999999999E-2</v>
      </c>
      <c r="AA3533">
        <v>0.94469199999999998</v>
      </c>
      <c r="AB3533">
        <v>30</v>
      </c>
      <c r="AC3533">
        <v>-12.650499999999999</v>
      </c>
      <c r="AD3533">
        <v>-1.118121763505</v>
      </c>
      <c r="AE3533">
        <v>-20.0382999999999</v>
      </c>
      <c r="AF3533">
        <v>7.77500539190385</v>
      </c>
      <c r="AG3533">
        <v>-1.118121763505</v>
      </c>
      <c r="AH3533">
        <v>22.329931500111499</v>
      </c>
      <c r="AI3533">
        <v>92.707401642330495</v>
      </c>
      <c r="AJ3533">
        <v>70.802516053010194</v>
      </c>
      <c r="AK3533">
        <v>23.671221893299698</v>
      </c>
      <c r="AL3533">
        <v>79.517447856089007</v>
      </c>
      <c r="AM3533">
        <v>78.163590916904397</v>
      </c>
      <c r="AN3533">
        <v>1.00000003424877</v>
      </c>
    </row>
    <row r="3534" spans="1:40" x14ac:dyDescent="0.25">
      <c r="A3534" t="str">
        <f>"20190303170608535"</f>
        <v>20190303170608535</v>
      </c>
      <c r="B3534" t="str">
        <f>"1551603968528602"</f>
        <v>1551603968528602</v>
      </c>
      <c r="C3534" t="s">
        <v>40</v>
      </c>
      <c r="D3534">
        <v>5.7000710000000003</v>
      </c>
      <c r="E3534">
        <v>0.55769959999999996</v>
      </c>
      <c r="F3534" t="s">
        <v>84</v>
      </c>
      <c r="G3534">
        <v>-203.7371</v>
      </c>
      <c r="H3534" s="1">
        <v>-7.719672E-6</v>
      </c>
      <c r="I3534">
        <v>138.4966</v>
      </c>
      <c r="J3534">
        <v>-191.0839</v>
      </c>
      <c r="K3534">
        <v>1.118109</v>
      </c>
      <c r="L3534">
        <v>158.46029999999999</v>
      </c>
      <c r="M3534">
        <v>-0.22806170000000001</v>
      </c>
      <c r="N3534">
        <v>-1.372634E-2</v>
      </c>
      <c r="O3534">
        <v>-0.97355000000000003</v>
      </c>
      <c r="P3534">
        <v>-0.4150548</v>
      </c>
      <c r="Q3534">
        <v>0.17001720000000001</v>
      </c>
      <c r="R3534">
        <v>-0.8937697</v>
      </c>
      <c r="S3534">
        <v>-1.6512450000000001</v>
      </c>
      <c r="T3534">
        <v>-0.14545169999999999</v>
      </c>
      <c r="U3534">
        <v>-2.6183779999999999</v>
      </c>
      <c r="V3534">
        <v>0.201598</v>
      </c>
      <c r="W3534">
        <v>0.18177299999999999</v>
      </c>
      <c r="X3534">
        <v>0.96245349999999996</v>
      </c>
      <c r="Y3534">
        <v>0.32598939999999998</v>
      </c>
      <c r="Z3534">
        <v>3.4664720000000003E-2</v>
      </c>
      <c r="AA3534">
        <v>0.94473770000000001</v>
      </c>
      <c r="AB3534">
        <v>30</v>
      </c>
      <c r="AC3534">
        <v>-12.653199999999901</v>
      </c>
      <c r="AD3534">
        <v>-1.1181167196719899</v>
      </c>
      <c r="AE3534">
        <v>-19.9636999999999</v>
      </c>
      <c r="AF3534">
        <v>7.7489575118797296</v>
      </c>
      <c r="AG3534">
        <v>-1.1181167196719899</v>
      </c>
      <c r="AH3534">
        <v>22.2736266387627</v>
      </c>
      <c r="AI3534">
        <v>92.714466547933995</v>
      </c>
      <c r="AJ3534">
        <v>70.817299561490003</v>
      </c>
      <c r="AK3534">
        <v>23.609552540502001</v>
      </c>
      <c r="AL3534">
        <v>79.526950459160901</v>
      </c>
      <c r="AM3534">
        <v>78.169715009201894</v>
      </c>
      <c r="AN3534">
        <v>0.99999995839762401</v>
      </c>
    </row>
    <row r="3535" spans="1:40" x14ac:dyDescent="0.25">
      <c r="A3535" t="str">
        <f>"20190303170608548"</f>
        <v>20190303170608548</v>
      </c>
      <c r="B3535" t="str">
        <f>"1551603968538361"</f>
        <v>1551603968538361</v>
      </c>
      <c r="C3535" t="s">
        <v>40</v>
      </c>
      <c r="D3535">
        <v>5.7132069999999997</v>
      </c>
      <c r="E3535">
        <v>0.55771610000000005</v>
      </c>
      <c r="F3535" t="s">
        <v>84</v>
      </c>
      <c r="G3535">
        <v>-203.74870000000001</v>
      </c>
      <c r="H3535" s="1">
        <v>-7.7029530000000004E-6</v>
      </c>
      <c r="I3535">
        <v>138.45650000000001</v>
      </c>
      <c r="J3535">
        <v>-191.12180000000001</v>
      </c>
      <c r="K3535">
        <v>1.1181110000000001</v>
      </c>
      <c r="L3535">
        <v>158.30670000000001</v>
      </c>
      <c r="M3535">
        <v>-0.22991710000000001</v>
      </c>
      <c r="N3535">
        <v>-1.372554E-2</v>
      </c>
      <c r="O3535">
        <v>-0.97311349999999996</v>
      </c>
      <c r="P3535">
        <v>-0.41668519999999998</v>
      </c>
      <c r="Q3535">
        <v>0.16925319999999999</v>
      </c>
      <c r="R3535">
        <v>-0.89315580000000006</v>
      </c>
      <c r="S3535">
        <v>-1.6558839999999999</v>
      </c>
      <c r="T3535">
        <v>-0.1461895</v>
      </c>
      <c r="U3535">
        <v>-2.6154169999999999</v>
      </c>
      <c r="V3535">
        <v>0.2014794</v>
      </c>
      <c r="W3535">
        <v>0.18101329999999999</v>
      </c>
      <c r="X3535">
        <v>0.96262159999999997</v>
      </c>
      <c r="Y3535">
        <v>0.32586169999999998</v>
      </c>
      <c r="Z3535">
        <v>3.4909740000000002E-2</v>
      </c>
      <c r="AA3535">
        <v>0.94477270000000002</v>
      </c>
      <c r="AB3535">
        <v>30</v>
      </c>
      <c r="AC3535">
        <v>-12.626899999999999</v>
      </c>
      <c r="AD3535">
        <v>-1.118118702953</v>
      </c>
      <c r="AE3535">
        <v>-19.850200000000001</v>
      </c>
      <c r="AF3535">
        <v>7.7068251209628</v>
      </c>
      <c r="AG3535">
        <v>-1.118118702953</v>
      </c>
      <c r="AH3535">
        <v>22.1716476106131</v>
      </c>
      <c r="AI3535">
        <v>92.727191350782505</v>
      </c>
      <c r="AJ3535">
        <v>70.832639836662295</v>
      </c>
      <c r="AK3535">
        <v>23.499517030105199</v>
      </c>
      <c r="AL3535">
        <v>79.571213350524502</v>
      </c>
      <c r="AM3535">
        <v>78.1784854025003</v>
      </c>
      <c r="AN3535">
        <v>1.0000000540939</v>
      </c>
    </row>
    <row r="3536" spans="1:40" x14ac:dyDescent="0.25">
      <c r="A3536" t="str">
        <f>"20190303170608560"</f>
        <v>20190303170608560</v>
      </c>
      <c r="B3536" t="str">
        <f>"1551603968548122"</f>
        <v>1551603968548122</v>
      </c>
      <c r="C3536" t="s">
        <v>40</v>
      </c>
      <c r="D3536">
        <v>5.7069260000000002</v>
      </c>
      <c r="E3536">
        <v>0.55773280000000003</v>
      </c>
      <c r="F3536" t="s">
        <v>84</v>
      </c>
      <c r="G3536">
        <v>-203.5855</v>
      </c>
      <c r="H3536" s="1">
        <v>-7.83807E-6</v>
      </c>
      <c r="I3536">
        <v>138.6962</v>
      </c>
      <c r="J3536">
        <v>-191.16399999999999</v>
      </c>
      <c r="K3536">
        <v>1.1181140000000001</v>
      </c>
      <c r="L3536">
        <v>158.1369</v>
      </c>
      <c r="M3536">
        <v>-0.23196890000000001</v>
      </c>
      <c r="N3536">
        <v>-1.372453E-2</v>
      </c>
      <c r="O3536">
        <v>-0.97262649999999995</v>
      </c>
      <c r="P3536">
        <v>-0.41893049999999998</v>
      </c>
      <c r="Q3536">
        <v>0.16824229999999901</v>
      </c>
      <c r="R3536">
        <v>-0.89229599999999898</v>
      </c>
      <c r="S3536">
        <v>-1.6604159999999999</v>
      </c>
      <c r="T3536">
        <v>-0.14895549999999999</v>
      </c>
      <c r="U3536">
        <v>-2.6125029999999998</v>
      </c>
      <c r="V3536">
        <v>0.20181859999999999</v>
      </c>
      <c r="W3536">
        <v>0.18000169999999999</v>
      </c>
      <c r="X3536">
        <v>0.96274020000000005</v>
      </c>
      <c r="Y3536">
        <v>0.32549319999999998</v>
      </c>
      <c r="Z3536">
        <v>3.581442E-2</v>
      </c>
      <c r="AA3536">
        <v>0.94486590000000004</v>
      </c>
      <c r="AB3536">
        <v>30</v>
      </c>
      <c r="AC3536">
        <v>-12.421499999999901</v>
      </c>
      <c r="AD3536">
        <v>-1.11812183807</v>
      </c>
      <c r="AE3536">
        <v>-19.4407</v>
      </c>
      <c r="AF3536">
        <v>7.55480865867783</v>
      </c>
      <c r="AG3536">
        <v>-1.11812183807</v>
      </c>
      <c r="AH3536">
        <v>21.740923035753099</v>
      </c>
      <c r="AI3536">
        <v>92.781236407402204</v>
      </c>
      <c r="AJ3536">
        <v>70.838041805140506</v>
      </c>
      <c r="AK3536">
        <v>23.043286761235699</v>
      </c>
      <c r="AL3536">
        <v>79.630141446971805</v>
      </c>
      <c r="AM3536">
        <v>78.160562228199495</v>
      </c>
      <c r="AN3536">
        <v>1.00000002600244</v>
      </c>
    </row>
    <row r="3537" spans="1:40" x14ac:dyDescent="0.25">
      <c r="A3537" t="str">
        <f>"20190303170608579"</f>
        <v>20190303170608579</v>
      </c>
      <c r="B3537" t="str">
        <f>"1551603968568618"</f>
        <v>1551603968568618</v>
      </c>
      <c r="C3537" t="s">
        <v>40</v>
      </c>
      <c r="D3537">
        <v>5.6952720000000001</v>
      </c>
      <c r="E3537">
        <v>0.55777200000000005</v>
      </c>
      <c r="F3537" t="s">
        <v>84</v>
      </c>
      <c r="G3537">
        <v>-203.41970000000001</v>
      </c>
      <c r="H3537" s="1">
        <v>-7.9823389999999998E-6</v>
      </c>
      <c r="I3537">
        <v>138.96250000000001</v>
      </c>
      <c r="J3537">
        <v>-191.22389999999999</v>
      </c>
      <c r="K3537">
        <v>1.1181270000000001</v>
      </c>
      <c r="L3537">
        <v>157.89930000000001</v>
      </c>
      <c r="M3537">
        <v>-0.2348402</v>
      </c>
      <c r="N3537">
        <v>-1.3722959999999999E-2</v>
      </c>
      <c r="O3537">
        <v>-0.97193719999999995</v>
      </c>
      <c r="P3537">
        <v>-0.42234090000000002</v>
      </c>
      <c r="Q3537">
        <v>0.16806769999999999</v>
      </c>
      <c r="R3537">
        <v>-0.8907195</v>
      </c>
      <c r="S3537">
        <v>-1.667038</v>
      </c>
      <c r="T3537">
        <v>-0.15208940000000001</v>
      </c>
      <c r="U3537">
        <v>-2.608139</v>
      </c>
      <c r="V3537">
        <v>0.20264969999999999</v>
      </c>
      <c r="W3537">
        <v>0.1798197</v>
      </c>
      <c r="X3537">
        <v>0.9625996</v>
      </c>
      <c r="Y3537">
        <v>0.32509949999999999</v>
      </c>
      <c r="Z3537">
        <v>3.6841649999999997E-2</v>
      </c>
      <c r="AA3537">
        <v>0.94496190000000002</v>
      </c>
      <c r="AB3537">
        <v>30</v>
      </c>
      <c r="AC3537">
        <v>-12.1958</v>
      </c>
      <c r="AD3537">
        <v>-1.1181349823389899</v>
      </c>
      <c r="AE3537">
        <v>-18.936800000000002</v>
      </c>
      <c r="AF3537">
        <v>7.3889183612280203</v>
      </c>
      <c r="AG3537">
        <v>-1.1181349823389899</v>
      </c>
      <c r="AH3537">
        <v>21.219155922994599</v>
      </c>
      <c r="AI3537">
        <v>92.848906084806003</v>
      </c>
      <c r="AJ3537">
        <v>70.800899524103698</v>
      </c>
      <c r="AK3537">
        <v>22.496642382186302</v>
      </c>
      <c r="AL3537">
        <v>79.640742060469805</v>
      </c>
      <c r="AM3537">
        <v>78.111504248492395</v>
      </c>
      <c r="AN3537">
        <v>1.00000000766917</v>
      </c>
    </row>
    <row r="3538" spans="1:40" x14ac:dyDescent="0.25">
      <c r="A3538" t="str">
        <f>"20190303170608602"</f>
        <v>20190303170608602</v>
      </c>
      <c r="B3538" t="str">
        <f>"1551603968588138"</f>
        <v>1551603968588138</v>
      </c>
      <c r="C3538" t="s">
        <v>40</v>
      </c>
      <c r="D3538">
        <v>5.6801779999999997</v>
      </c>
      <c r="E3538">
        <v>0.55781599999999998</v>
      </c>
      <c r="F3538" t="s">
        <v>84</v>
      </c>
      <c r="G3538">
        <v>-203.54179999999999</v>
      </c>
      <c r="H3538" s="1">
        <v>-7.8873910000000005E-6</v>
      </c>
      <c r="I3538">
        <v>138.8032</v>
      </c>
      <c r="J3538">
        <v>-191.29990000000001</v>
      </c>
      <c r="K3538">
        <v>1.118128</v>
      </c>
      <c r="L3538">
        <v>157.60159999999999</v>
      </c>
      <c r="M3538">
        <v>-0.23844460000000001</v>
      </c>
      <c r="N3538">
        <v>-1.3721199999999999E-2</v>
      </c>
      <c r="O3538">
        <v>-0.97105929999999996</v>
      </c>
      <c r="P3538">
        <v>-0.42680289999999999</v>
      </c>
      <c r="Q3538">
        <v>0.1705721</v>
      </c>
      <c r="R3538">
        <v>-0.88811269999999998</v>
      </c>
      <c r="S3538">
        <v>-1.677902</v>
      </c>
      <c r="T3538">
        <v>-0.1523082</v>
      </c>
      <c r="U3538">
        <v>-2.6012119999999999</v>
      </c>
      <c r="V3538">
        <v>0.20404</v>
      </c>
      <c r="W3538">
        <v>0.1823033</v>
      </c>
      <c r="X3538">
        <v>0.96183839999999998</v>
      </c>
      <c r="Y3538">
        <v>0.3255227</v>
      </c>
      <c r="Z3538">
        <v>3.6924190000000003E-2</v>
      </c>
      <c r="AA3538">
        <v>0.94481300000000001</v>
      </c>
      <c r="AB3538">
        <v>30</v>
      </c>
      <c r="AC3538">
        <v>-12.2418999999999</v>
      </c>
      <c r="AD3538">
        <v>-1.1181358873909999</v>
      </c>
      <c r="AE3538">
        <v>-18.798399999999901</v>
      </c>
      <c r="AF3538">
        <v>7.3875768634693797</v>
      </c>
      <c r="AG3538">
        <v>-1.1181358873909999</v>
      </c>
      <c r="AH3538">
        <v>21.122890373368399</v>
      </c>
      <c r="AI3538">
        <v>92.860516696145694</v>
      </c>
      <c r="AJ3538">
        <v>70.723087832440001</v>
      </c>
      <c r="AK3538">
        <v>22.405423841152398</v>
      </c>
      <c r="AL3538">
        <v>79.496050238076705</v>
      </c>
      <c r="AM3538">
        <v>78.023088156451806</v>
      </c>
      <c r="AN3538">
        <v>0.99999996125272395</v>
      </c>
    </row>
    <row r="3539" spans="1:40" x14ac:dyDescent="0.25">
      <c r="A3539" t="str">
        <f>"20190303170608624"</f>
        <v>20190303170608624</v>
      </c>
      <c r="B3539" t="str">
        <f>"1551603968618394"</f>
        <v>1551603968618394</v>
      </c>
      <c r="C3539" t="s">
        <v>40</v>
      </c>
      <c r="D3539">
        <v>5.6911389999999997</v>
      </c>
      <c r="E3539">
        <v>0.55787180000000003</v>
      </c>
      <c r="F3539" t="s">
        <v>84</v>
      </c>
      <c r="G3539">
        <v>-204.3683</v>
      </c>
      <c r="H3539" s="1">
        <v>-7.1872920000000004E-6</v>
      </c>
      <c r="I3539">
        <v>137.5728</v>
      </c>
      <c r="J3539">
        <v>-191.37350000000001</v>
      </c>
      <c r="K3539">
        <v>1.1181080000000001</v>
      </c>
      <c r="L3539">
        <v>157.31739999999999</v>
      </c>
      <c r="M3539">
        <v>-0.2419047</v>
      </c>
      <c r="N3539">
        <v>-1.371985E-2</v>
      </c>
      <c r="O3539">
        <v>-0.97020320000000004</v>
      </c>
      <c r="P3539">
        <v>-0.43314429999999998</v>
      </c>
      <c r="Q3539">
        <v>0.17223620000000001</v>
      </c>
      <c r="R3539">
        <v>-0.88471509999999998</v>
      </c>
      <c r="S3539">
        <v>-1.691727</v>
      </c>
      <c r="T3539">
        <v>-0.14474429999999999</v>
      </c>
      <c r="U3539">
        <v>-2.5927579999999999</v>
      </c>
      <c r="V3539">
        <v>0.20759079999999999</v>
      </c>
      <c r="W3539">
        <v>0.1839229</v>
      </c>
      <c r="X3539">
        <v>0.96076969999999995</v>
      </c>
      <c r="Y3539">
        <v>0.32714890000000002</v>
      </c>
      <c r="Z3539">
        <v>3.4474789999999998E-2</v>
      </c>
      <c r="AA3539">
        <v>0.94434370000000001</v>
      </c>
      <c r="AB3539">
        <v>30</v>
      </c>
      <c r="AC3539">
        <v>-12.9947999999999</v>
      </c>
      <c r="AD3539">
        <v>-1.1181151872920001</v>
      </c>
      <c r="AE3539">
        <v>-19.744599999999899</v>
      </c>
      <c r="AF3539">
        <v>7.8145348815307498</v>
      </c>
      <c r="AG3539">
        <v>-1.1181151872920001</v>
      </c>
      <c r="AH3539">
        <v>22.252080911951701</v>
      </c>
      <c r="AI3539">
        <v>92.714313538393498</v>
      </c>
      <c r="AJ3539">
        <v>70.649632641902102</v>
      </c>
      <c r="AK3539">
        <v>23.610850088439399</v>
      </c>
      <c r="AL3539">
        <v>79.401658341028806</v>
      </c>
      <c r="AM3539">
        <v>77.8076892817828</v>
      </c>
      <c r="AN3539">
        <v>0.99999999491356895</v>
      </c>
    </row>
    <row r="3540" spans="1:40" x14ac:dyDescent="0.25">
      <c r="A3540" t="str">
        <f>"20190303170608645"</f>
        <v>20190303170608645</v>
      </c>
      <c r="B3540" t="str">
        <f>"1551603968638890"</f>
        <v>1551603968638890</v>
      </c>
      <c r="C3540" t="s">
        <v>40</v>
      </c>
      <c r="D3540">
        <v>5.6722419999999998</v>
      </c>
      <c r="E3540">
        <v>0.55793549999999903</v>
      </c>
      <c r="F3540" t="s">
        <v>84</v>
      </c>
      <c r="G3540">
        <v>-204.9008</v>
      </c>
      <c r="H3540" s="1">
        <v>-6.7518460000000003E-6</v>
      </c>
      <c r="I3540">
        <v>136.8801</v>
      </c>
      <c r="J3540">
        <v>-191.45099999999999</v>
      </c>
      <c r="K3540">
        <v>1.1180650000000001</v>
      </c>
      <c r="L3540">
        <v>157.0231</v>
      </c>
      <c r="M3540">
        <v>-0.24554580000000001</v>
      </c>
      <c r="N3540">
        <v>-1.371934E-2</v>
      </c>
      <c r="O3540">
        <v>-0.96928789999999998</v>
      </c>
      <c r="P3540">
        <v>-0.4401273</v>
      </c>
      <c r="Q3540">
        <v>0.171149</v>
      </c>
      <c r="R3540">
        <v>-0.88147379999999997</v>
      </c>
      <c r="S3540">
        <v>-1.7088779999999999</v>
      </c>
      <c r="T3540">
        <v>-0.14124909999999999</v>
      </c>
      <c r="U3540">
        <v>-2.5818020000000002</v>
      </c>
      <c r="V3540">
        <v>0.2115419</v>
      </c>
      <c r="W3540">
        <v>0.1827829</v>
      </c>
      <c r="X3540">
        <v>0.96012520000000001</v>
      </c>
      <c r="Y3540">
        <v>0.3298296</v>
      </c>
      <c r="Z3540">
        <v>3.3361300000000003E-2</v>
      </c>
      <c r="AA3540">
        <v>0.94345080000000003</v>
      </c>
      <c r="AB3540">
        <v>30</v>
      </c>
      <c r="AC3540">
        <v>-13.4498</v>
      </c>
      <c r="AD3540">
        <v>-1.1180717518459999</v>
      </c>
      <c r="AE3540">
        <v>-20.143000000000001</v>
      </c>
      <c r="AF3540">
        <v>8.0742552153001395</v>
      </c>
      <c r="AG3540">
        <v>-1.1180717518459999</v>
      </c>
      <c r="AH3540">
        <v>22.7805129828288</v>
      </c>
      <c r="AI3540">
        <v>92.648636291170604</v>
      </c>
      <c r="AJ3540">
        <v>70.483793283345904</v>
      </c>
      <c r="AK3540">
        <v>24.194946858484901</v>
      </c>
      <c r="AL3540">
        <v>79.468101802602803</v>
      </c>
      <c r="AM3540">
        <v>77.574689441096893</v>
      </c>
      <c r="AN3540">
        <v>0.99999998183152905</v>
      </c>
    </row>
    <row r="3541" spans="1:40" x14ac:dyDescent="0.25">
      <c r="A3541" t="str">
        <f>"20190303170608668"</f>
        <v>20190303170608668</v>
      </c>
      <c r="B3541" t="str">
        <f>"1551603968658410"</f>
        <v>1551603968658410</v>
      </c>
      <c r="C3541" t="s">
        <v>40</v>
      </c>
      <c r="D3541">
        <v>5.7001039999999996</v>
      </c>
      <c r="E3541">
        <v>0.55799659999999995</v>
      </c>
      <c r="F3541" t="s">
        <v>84</v>
      </c>
      <c r="G3541">
        <v>-204.56469999999999</v>
      </c>
      <c r="H3541" s="1">
        <v>-7.0843089999999997E-6</v>
      </c>
      <c r="I3541">
        <v>137.4973</v>
      </c>
      <c r="J3541">
        <v>-191.5282</v>
      </c>
      <c r="K3541">
        <v>1.118009</v>
      </c>
      <c r="L3541">
        <v>156.7347</v>
      </c>
      <c r="M3541">
        <v>-0.24917420000000001</v>
      </c>
      <c r="N3541">
        <v>-1.371991E-2</v>
      </c>
      <c r="O3541">
        <v>-0.96836149999999999</v>
      </c>
      <c r="P3541">
        <v>-0.4472178</v>
      </c>
      <c r="Q3541">
        <v>0.16697509999999999</v>
      </c>
      <c r="R3541">
        <v>-0.87870099999999995</v>
      </c>
      <c r="S3541">
        <v>-1.726089</v>
      </c>
      <c r="T3541">
        <v>-0.1471671</v>
      </c>
      <c r="U3541">
        <v>-2.5700989999999999</v>
      </c>
      <c r="V3541">
        <v>0.21548030000000001</v>
      </c>
      <c r="W3541">
        <v>0.178557299999999</v>
      </c>
      <c r="X3541">
        <v>0.96004460000000003</v>
      </c>
      <c r="Y3541">
        <v>0.332592</v>
      </c>
      <c r="Z3541">
        <v>3.532068E-2</v>
      </c>
      <c r="AA3541">
        <v>0.94240919999999895</v>
      </c>
      <c r="AB3541">
        <v>30</v>
      </c>
      <c r="AC3541">
        <v>-13.036499999999901</v>
      </c>
      <c r="AD3541">
        <v>-1.1180160843089999</v>
      </c>
      <c r="AE3541">
        <v>-19.237400000000001</v>
      </c>
      <c r="AF3541">
        <v>7.8132333180000204</v>
      </c>
      <c r="AG3541">
        <v>-1.1180160843089999</v>
      </c>
      <c r="AH3541">
        <v>21.8286511044763</v>
      </c>
      <c r="AI3541">
        <v>92.760770872949294</v>
      </c>
      <c r="AJ3541">
        <v>70.305945251926403</v>
      </c>
      <c r="AK3541">
        <v>23.211776836063901</v>
      </c>
      <c r="AL3541">
        <v>79.714262654562106</v>
      </c>
      <c r="AM3541">
        <v>77.349711445530104</v>
      </c>
      <c r="AN3541">
        <v>1.0000000515302601</v>
      </c>
    </row>
    <row r="3542" spans="1:40" x14ac:dyDescent="0.25">
      <c r="A3542" t="str">
        <f>"20190303170608689"</f>
        <v>20190303170608689</v>
      </c>
      <c r="B3542" t="str">
        <f>"1551603968678906"</f>
        <v>1551603968678906</v>
      </c>
      <c r="C3542" t="s">
        <v>40</v>
      </c>
      <c r="D3542">
        <v>5.6943859999999997</v>
      </c>
      <c r="E3542">
        <v>0.55805190000000005</v>
      </c>
      <c r="F3542" t="s">
        <v>84</v>
      </c>
      <c r="G3542">
        <v>-203.703</v>
      </c>
      <c r="H3542" s="1">
        <v>-7.8626330000000002E-6</v>
      </c>
      <c r="I3542">
        <v>138.92009999999999</v>
      </c>
      <c r="J3542">
        <v>-191.60290000000001</v>
      </c>
      <c r="K3542">
        <v>1.1179349999999999</v>
      </c>
      <c r="L3542">
        <v>156.46</v>
      </c>
      <c r="M3542">
        <v>-0.25272020000000001</v>
      </c>
      <c r="N3542">
        <v>-1.372115E-2</v>
      </c>
      <c r="O3542">
        <v>-0.96744229999999998</v>
      </c>
      <c r="P3542">
        <v>-0.45309650000000001</v>
      </c>
      <c r="Q3542">
        <v>0.16278010000000001</v>
      </c>
      <c r="R3542">
        <v>-0.87647399999999998</v>
      </c>
      <c r="S3542">
        <v>-1.7465820000000001</v>
      </c>
      <c r="T3542">
        <v>-0.1603897</v>
      </c>
      <c r="U3542">
        <v>-2.5556640000000002</v>
      </c>
      <c r="V3542">
        <v>0.2181978</v>
      </c>
      <c r="W3542">
        <v>0.17431340000000001</v>
      </c>
      <c r="X3542">
        <v>0.96021069999999997</v>
      </c>
      <c r="Y3542">
        <v>0.33665929999999999</v>
      </c>
      <c r="Z3542">
        <v>3.9674479999999998E-2</v>
      </c>
      <c r="AA3542">
        <v>0.94079040000000003</v>
      </c>
      <c r="AB3542">
        <v>30</v>
      </c>
      <c r="AC3542">
        <v>-12.1000999999999</v>
      </c>
      <c r="AD3542">
        <v>-1.1179428626329999</v>
      </c>
      <c r="AE3542">
        <v>-17.539899999999999</v>
      </c>
      <c r="AF3542">
        <v>7.2541779243892597</v>
      </c>
      <c r="AG3542">
        <v>-1.1179428626329999</v>
      </c>
      <c r="AH3542">
        <v>19.9736853028372</v>
      </c>
      <c r="AI3542">
        <v>93.011472770981399</v>
      </c>
      <c r="AJ3542">
        <v>70.039648960069599</v>
      </c>
      <c r="AK3542">
        <v>21.2795911187123</v>
      </c>
      <c r="AL3542">
        <v>79.961295434076305</v>
      </c>
      <c r="AM3542">
        <v>77.197544188024295</v>
      </c>
      <c r="AN3542">
        <v>1.0000000148694399</v>
      </c>
    </row>
    <row r="3543" spans="1:40" x14ac:dyDescent="0.25">
      <c r="A3543" t="str">
        <f>"20190303170608712"</f>
        <v>20190303170608712</v>
      </c>
      <c r="B3543" t="str">
        <f>"1551603968698426"</f>
        <v>1551603968698426</v>
      </c>
      <c r="C3543" t="s">
        <v>40</v>
      </c>
      <c r="D3543">
        <v>5.6751199999999997</v>
      </c>
      <c r="E3543">
        <v>0.55807549999999995</v>
      </c>
      <c r="F3543" t="s">
        <v>84</v>
      </c>
      <c r="G3543">
        <v>-203.095</v>
      </c>
      <c r="H3543" s="1">
        <v>-8.3827530000000002E-6</v>
      </c>
      <c r="I3543">
        <v>139.9091</v>
      </c>
      <c r="J3543">
        <v>-191.68459999999999</v>
      </c>
      <c r="K3543">
        <v>1.1178269999999999</v>
      </c>
      <c r="L3543">
        <v>156.1645</v>
      </c>
      <c r="M3543">
        <v>-0.25671119999999997</v>
      </c>
      <c r="N3543">
        <v>-1.372458E-2</v>
      </c>
      <c r="O3543">
        <v>-0.96639079999999999</v>
      </c>
      <c r="P3543">
        <v>-0.4575747</v>
      </c>
      <c r="Q3543">
        <v>0.16126489999999999</v>
      </c>
      <c r="R3543">
        <v>-0.87442509999999996</v>
      </c>
      <c r="S3543">
        <v>-1.7651669999999999</v>
      </c>
      <c r="T3543">
        <v>-0.17171339999999999</v>
      </c>
      <c r="U3543">
        <v>-2.5421749999999999</v>
      </c>
      <c r="V3543">
        <v>0.21911120000000001</v>
      </c>
      <c r="W3543">
        <v>0.17273829999999901</v>
      </c>
      <c r="X3543">
        <v>0.96028729999999995</v>
      </c>
      <c r="Y3543">
        <v>0.33965020000000001</v>
      </c>
      <c r="Z3543">
        <v>4.3401479999999999E-2</v>
      </c>
      <c r="AA3543">
        <v>0.93954990000000005</v>
      </c>
      <c r="AB3543">
        <v>30</v>
      </c>
      <c r="AC3543">
        <v>-11.410399999999999</v>
      </c>
      <c r="AD3543">
        <v>-1.1178353827529901</v>
      </c>
      <c r="AE3543">
        <v>-16.255400000000002</v>
      </c>
      <c r="AF3543">
        <v>6.8329607685356901</v>
      </c>
      <c r="AG3543">
        <v>-1.1178353827529901</v>
      </c>
      <c r="AH3543">
        <v>18.581136085911201</v>
      </c>
      <c r="AI3543">
        <v>93.231657976078793</v>
      </c>
      <c r="AJ3543">
        <v>69.809685917094896</v>
      </c>
      <c r="AK3543">
        <v>19.829208936577299</v>
      </c>
      <c r="AL3543">
        <v>80.0529317513531</v>
      </c>
      <c r="AM3543">
        <v>77.146719767598597</v>
      </c>
      <c r="AN3543">
        <v>0.99999996839680905</v>
      </c>
    </row>
    <row r="3544" spans="1:40" x14ac:dyDescent="0.25">
      <c r="A3544" t="str">
        <f>"20190303170608735"</f>
        <v>20190303170608735</v>
      </c>
      <c r="B3544" t="str">
        <f>"1551603968728682"</f>
        <v>1551603968728682</v>
      </c>
      <c r="C3544" t="s">
        <v>40</v>
      </c>
      <c r="D3544">
        <v>5.6841759999999999</v>
      </c>
      <c r="E3544">
        <v>0.5581062</v>
      </c>
      <c r="F3544" t="s">
        <v>84</v>
      </c>
      <c r="G3544">
        <v>-203.1026</v>
      </c>
      <c r="H3544" s="1">
        <v>-8.3860329999999993E-6</v>
      </c>
      <c r="I3544">
        <v>139.9323</v>
      </c>
      <c r="J3544">
        <v>-191.77080000000001</v>
      </c>
      <c r="K3544">
        <v>1.117677</v>
      </c>
      <c r="L3544">
        <v>155.85839999999999</v>
      </c>
      <c r="M3544">
        <v>-0.26110879999999997</v>
      </c>
      <c r="N3544">
        <v>-1.3732350000000001E-2</v>
      </c>
      <c r="O3544">
        <v>-0.96521179999999995</v>
      </c>
      <c r="P3544">
        <v>-0.46265640000000002</v>
      </c>
      <c r="Q3544">
        <v>0.16323869999999999</v>
      </c>
      <c r="R3544">
        <v>-0.87137960000000003</v>
      </c>
      <c r="S3544">
        <v>-1.780518</v>
      </c>
      <c r="T3544">
        <v>-0.1743141</v>
      </c>
      <c r="U3544">
        <v>-2.5312190000000001</v>
      </c>
      <c r="V3544">
        <v>0.22051560000000001</v>
      </c>
      <c r="W3544">
        <v>0.17460680000000001</v>
      </c>
      <c r="X3544">
        <v>0.95962769999999997</v>
      </c>
      <c r="Y3544">
        <v>0.34106829999999999</v>
      </c>
      <c r="Z3544">
        <v>4.4262509999999998E-2</v>
      </c>
      <c r="AA3544">
        <v>0.93899589999999999</v>
      </c>
      <c r="AB3544">
        <v>30</v>
      </c>
      <c r="AC3544">
        <v>-11.3317999999999</v>
      </c>
      <c r="AD3544">
        <v>-1.1176853860330001</v>
      </c>
      <c r="AE3544">
        <v>-15.9260999999999</v>
      </c>
      <c r="AF3544">
        <v>6.7576846760592204</v>
      </c>
      <c r="AG3544">
        <v>-1.1176853860330001</v>
      </c>
      <c r="AH3544">
        <v>18.272870870451499</v>
      </c>
      <c r="AI3544">
        <v>93.283400514124494</v>
      </c>
      <c r="AJ3544">
        <v>69.704566275380202</v>
      </c>
      <c r="AK3544">
        <v>19.514439081136601</v>
      </c>
      <c r="AL3544">
        <v>79.944222817570804</v>
      </c>
      <c r="AM3544">
        <v>77.058507601322106</v>
      </c>
      <c r="AN3544">
        <v>0.99999999352844504</v>
      </c>
    </row>
    <row r="3545" spans="1:40" x14ac:dyDescent="0.25">
      <c r="A3545" t="str">
        <f>"20190303170608756"</f>
        <v>20190303170608756</v>
      </c>
      <c r="B3545" t="str">
        <f>"1551603968748201"</f>
        <v>1551603968748201</v>
      </c>
      <c r="C3545" t="s">
        <v>40</v>
      </c>
      <c r="D3545">
        <v>5.6908000000000003</v>
      </c>
      <c r="E3545">
        <v>0.55809129999999996</v>
      </c>
      <c r="F3545" t="s">
        <v>84</v>
      </c>
      <c r="G3545">
        <v>-203.74109999999999</v>
      </c>
      <c r="H3545" s="1">
        <v>-7.8922340000000001E-6</v>
      </c>
      <c r="I3545">
        <v>139.06309999999999</v>
      </c>
      <c r="J3545">
        <v>-191.8501</v>
      </c>
      <c r="K3545">
        <v>1.1174930000000001</v>
      </c>
      <c r="L3545">
        <v>155.58240000000001</v>
      </c>
      <c r="M3545">
        <v>-0.26537539999999998</v>
      </c>
      <c r="N3545">
        <v>-1.3744009999999999E-2</v>
      </c>
      <c r="O3545">
        <v>-0.96404719999999999</v>
      </c>
      <c r="P3545">
        <v>-0.46963129999999997</v>
      </c>
      <c r="Q3545">
        <v>0.16654369999999999</v>
      </c>
      <c r="R3545">
        <v>-0.8670118</v>
      </c>
      <c r="S3545">
        <v>-1.7963709999999999</v>
      </c>
      <c r="T3545">
        <v>-0.16772889999999999</v>
      </c>
      <c r="U3545">
        <v>-2.5204469999999999</v>
      </c>
      <c r="V3545">
        <v>0.2242623</v>
      </c>
      <c r="W3545">
        <v>0.17775679999999999</v>
      </c>
      <c r="X3545">
        <v>0.95818000000000003</v>
      </c>
      <c r="Y3545">
        <v>0.34278340000000002</v>
      </c>
      <c r="Z3545">
        <v>4.2122409999999999E-2</v>
      </c>
      <c r="AA3545">
        <v>0.93846960000000001</v>
      </c>
      <c r="AB3545">
        <v>30</v>
      </c>
      <c r="AC3545">
        <v>-11.890999999999901</v>
      </c>
      <c r="AD3545">
        <v>-1.117500892234</v>
      </c>
      <c r="AE3545">
        <v>-16.519300000000001</v>
      </c>
      <c r="AF3545">
        <v>7.0590594442689403</v>
      </c>
      <c r="AG3545">
        <v>-1.117500892234</v>
      </c>
      <c r="AH3545">
        <v>19.025416282056799</v>
      </c>
      <c r="AI3545">
        <v>93.152031866960996</v>
      </c>
      <c r="AJ3545">
        <v>69.643478486170693</v>
      </c>
      <c r="AK3545">
        <v>20.323523148987199</v>
      </c>
      <c r="AL3545">
        <v>79.760872923361006</v>
      </c>
      <c r="AM3545">
        <v>76.827026700968005</v>
      </c>
      <c r="AN3545">
        <v>0.99999998577376403</v>
      </c>
    </row>
    <row r="3546" spans="1:40" x14ac:dyDescent="0.25">
      <c r="A3546" t="str">
        <f>"20190303170608779"</f>
        <v>20190303170608779</v>
      </c>
      <c r="B3546" t="str">
        <f>"1551603968768684"</f>
        <v>1551603968768684</v>
      </c>
      <c r="C3546" t="s">
        <v>40</v>
      </c>
      <c r="D3546">
        <v>5.668177</v>
      </c>
      <c r="E3546">
        <v>0.55804750000000003</v>
      </c>
      <c r="F3546" t="s">
        <v>84</v>
      </c>
      <c r="G3546">
        <v>-204.7456</v>
      </c>
      <c r="H3546" s="1">
        <v>-7.1086010000000002E-6</v>
      </c>
      <c r="I3546">
        <v>137.8005</v>
      </c>
      <c r="J3546">
        <v>-191.93459999999999</v>
      </c>
      <c r="K3546">
        <v>1.1172359999999999</v>
      </c>
      <c r="L3546">
        <v>155.29470000000001</v>
      </c>
      <c r="M3546">
        <v>-0.27018690000000001</v>
      </c>
      <c r="N3546">
        <v>-1.376116E-2</v>
      </c>
      <c r="O3546">
        <v>-0.9627097</v>
      </c>
      <c r="P3546">
        <v>-0.4780025</v>
      </c>
      <c r="Q3546">
        <v>0.16744629999999999</v>
      </c>
      <c r="R3546">
        <v>-0.86225039999999997</v>
      </c>
      <c r="S3546">
        <v>-1.8173680000000001</v>
      </c>
      <c r="T3546">
        <v>-0.157489299999999</v>
      </c>
      <c r="U3546">
        <v>-2.5060120000000001</v>
      </c>
      <c r="V3546">
        <v>0.2289361</v>
      </c>
      <c r="W3546">
        <v>0.17846579999999901</v>
      </c>
      <c r="X3546">
        <v>0.95694210000000002</v>
      </c>
      <c r="Y3546">
        <v>0.34590009999999999</v>
      </c>
      <c r="Z3546">
        <v>3.8799350000000003E-2</v>
      </c>
      <c r="AA3546">
        <v>0.93746879999999999</v>
      </c>
      <c r="AB3546">
        <v>30</v>
      </c>
      <c r="AC3546">
        <v>-12.811</v>
      </c>
      <c r="AD3546">
        <v>-1.117243108601</v>
      </c>
      <c r="AE3546">
        <v>-17.494199999999999</v>
      </c>
      <c r="AF3546">
        <v>7.5871466883477803</v>
      </c>
      <c r="AG3546">
        <v>-1.117243108601</v>
      </c>
      <c r="AH3546">
        <v>20.251355559848001</v>
      </c>
      <c r="AI3546">
        <v>92.957392521374203</v>
      </c>
      <c r="AJ3546">
        <v>69.461596704298103</v>
      </c>
      <c r="AK3546">
        <v>21.654801524041101</v>
      </c>
      <c r="AL3546">
        <v>79.719590068900203</v>
      </c>
      <c r="AM3546">
        <v>76.545601523116403</v>
      </c>
      <c r="AN3546">
        <v>0.99999998120262901</v>
      </c>
    </row>
    <row r="3547" spans="1:40" x14ac:dyDescent="0.25">
      <c r="A3547" t="str">
        <f>"20190303170608803"</f>
        <v>20190303170608803</v>
      </c>
      <c r="B3547" t="str">
        <f>"1551603968798940"</f>
        <v>1551603968798940</v>
      </c>
      <c r="C3547" t="s">
        <v>40</v>
      </c>
      <c r="D3547">
        <v>5.6804769999999998</v>
      </c>
      <c r="E3547">
        <v>0.55798029999999998</v>
      </c>
      <c r="F3547" t="s">
        <v>84</v>
      </c>
      <c r="G3547">
        <v>-205.26939999999999</v>
      </c>
      <c r="H3547" s="1">
        <v>-6.7203419999999997E-6</v>
      </c>
      <c r="I3547">
        <v>137.2851</v>
      </c>
      <c r="J3547">
        <v>-192.02879999999999</v>
      </c>
      <c r="K3547">
        <v>1.116903</v>
      </c>
      <c r="L3547">
        <v>154.98159999999999</v>
      </c>
      <c r="M3547">
        <v>-0.27588240000000003</v>
      </c>
      <c r="N3547">
        <v>-1.3785530000000001E-2</v>
      </c>
      <c r="O3547">
        <v>-0.96109290000000003</v>
      </c>
      <c r="P3547">
        <v>-0.48505939999999997</v>
      </c>
      <c r="Q3547">
        <v>0.1679591</v>
      </c>
      <c r="R3547">
        <v>-0.85820049999999903</v>
      </c>
      <c r="S3547">
        <v>-1.8421780000000001</v>
      </c>
      <c r="T3547">
        <v>-0.15434539999999999</v>
      </c>
      <c r="U3547">
        <v>-2.4880070000000001</v>
      </c>
      <c r="V3547">
        <v>0.23130519999999999</v>
      </c>
      <c r="W3547">
        <v>0.1787801</v>
      </c>
      <c r="X3547">
        <v>0.95631359999999999</v>
      </c>
      <c r="Y3547">
        <v>0.34964990000000001</v>
      </c>
      <c r="Z3547">
        <v>3.779383E-2</v>
      </c>
      <c r="AA3547">
        <v>0.9361178</v>
      </c>
      <c r="AB3547">
        <v>30</v>
      </c>
      <c r="AC3547">
        <v>-13.240600000000001</v>
      </c>
      <c r="AD3547">
        <v>-1.116909720342</v>
      </c>
      <c r="AE3547">
        <v>-17.696499999999901</v>
      </c>
      <c r="AF3547">
        <v>7.8240551838826997</v>
      </c>
      <c r="AG3547">
        <v>-1.116909720342</v>
      </c>
      <c r="AH3547">
        <v>20.610150692403501</v>
      </c>
      <c r="AI3547">
        <v>92.900373983501893</v>
      </c>
      <c r="AJ3547">
        <v>69.212164195129702</v>
      </c>
      <c r="AK3547">
        <v>22.073550652475799</v>
      </c>
      <c r="AL3547">
        <v>79.701288485121296</v>
      </c>
      <c r="AM3547">
        <v>76.402909780888393</v>
      </c>
      <c r="AN3547">
        <v>1.000000060624</v>
      </c>
    </row>
    <row r="3548" spans="1:40" x14ac:dyDescent="0.25">
      <c r="A3548" t="str">
        <f>"20190303170608825"</f>
        <v>20190303170608825</v>
      </c>
      <c r="B3548" t="str">
        <f>"1551603968818460"</f>
        <v>1551603968818460</v>
      </c>
      <c r="C3548" t="s">
        <v>40</v>
      </c>
      <c r="D3548">
        <v>5.6608729999999996</v>
      </c>
      <c r="E3548">
        <v>0.55798099999999995</v>
      </c>
      <c r="F3548" t="s">
        <v>84</v>
      </c>
      <c r="G3548">
        <v>-205.75069999999999</v>
      </c>
      <c r="H3548" s="1">
        <v>-6.3491220000000001E-6</v>
      </c>
      <c r="I3548">
        <v>136.79179999999999</v>
      </c>
      <c r="J3548">
        <v>-192.114</v>
      </c>
      <c r="K3548">
        <v>1.1165860000000001</v>
      </c>
      <c r="L3548">
        <v>154.70590000000001</v>
      </c>
      <c r="M3548">
        <v>-0.28135490000000002</v>
      </c>
      <c r="N3548">
        <v>-1.3811500000000001E-2</v>
      </c>
      <c r="O3548">
        <v>-0.95950460000000004</v>
      </c>
      <c r="P3548">
        <v>-0.493062</v>
      </c>
      <c r="Q3548">
        <v>0.17054449999999999</v>
      </c>
      <c r="R3548">
        <v>-0.853114699999999</v>
      </c>
      <c r="S3548">
        <v>-1.864471</v>
      </c>
      <c r="T3548">
        <v>-0.15176129999999999</v>
      </c>
      <c r="U3548">
        <v>-2.4715579999999999</v>
      </c>
      <c r="V3548">
        <v>0.23511360000000001</v>
      </c>
      <c r="W3548">
        <v>0.18115400000000001</v>
      </c>
      <c r="X3548">
        <v>0.95493709999999998</v>
      </c>
      <c r="Y3548">
        <v>0.35270629999999997</v>
      </c>
      <c r="Z3548">
        <v>3.696207E-2</v>
      </c>
      <c r="AA3548">
        <v>0.93500380000000005</v>
      </c>
      <c r="AB3548">
        <v>30</v>
      </c>
      <c r="AC3548">
        <v>-13.6366999999999</v>
      </c>
      <c r="AD3548">
        <v>-1.116592349122</v>
      </c>
      <c r="AE3548">
        <v>-17.914100000000001</v>
      </c>
      <c r="AF3548">
        <v>8.0252821682646207</v>
      </c>
      <c r="AG3548">
        <v>-1.116592349122</v>
      </c>
      <c r="AH3548">
        <v>20.9758200086298</v>
      </c>
      <c r="AI3548">
        <v>92.846272747895796</v>
      </c>
      <c r="AJ3548">
        <v>69.063307941045906</v>
      </c>
      <c r="AK3548">
        <v>22.486372704124999</v>
      </c>
      <c r="AL3548">
        <v>79.563015967481405</v>
      </c>
      <c r="AM3548">
        <v>76.168398282500107</v>
      </c>
      <c r="AN3548">
        <v>1.0000000207886801</v>
      </c>
    </row>
    <row r="3549" spans="1:40" x14ac:dyDescent="0.25">
      <c r="A3549" t="str">
        <f>"20190303170608846"</f>
        <v>20190303170608846</v>
      </c>
      <c r="B3549" t="str">
        <f>"1551603968838957"</f>
        <v>1551603968838957</v>
      </c>
      <c r="C3549" t="s">
        <v>40</v>
      </c>
      <c r="D3549">
        <v>5.691783</v>
      </c>
      <c r="E3549">
        <v>0.55792980000000003</v>
      </c>
      <c r="F3549" t="s">
        <v>84</v>
      </c>
      <c r="G3549">
        <v>-206.6866</v>
      </c>
      <c r="H3549" s="1">
        <v>-5.6045180000000004E-6</v>
      </c>
      <c r="I3549">
        <v>135.76159999999999</v>
      </c>
      <c r="J3549">
        <v>-192.20349999999999</v>
      </c>
      <c r="K3549">
        <v>1.116296</v>
      </c>
      <c r="L3549">
        <v>154.4237</v>
      </c>
      <c r="M3549">
        <v>-0.2873155</v>
      </c>
      <c r="N3549">
        <v>-1.383915E-2</v>
      </c>
      <c r="O3549">
        <v>-0.95773600000000003</v>
      </c>
      <c r="P3549">
        <v>-0.50270669999999995</v>
      </c>
      <c r="Q3549">
        <v>0.17124519999999999</v>
      </c>
      <c r="R3549">
        <v>-0.84732600000000002</v>
      </c>
      <c r="S3549">
        <v>-1.887939</v>
      </c>
      <c r="T3549">
        <v>-0.1446588</v>
      </c>
      <c r="U3549">
        <v>-2.4543149999999998</v>
      </c>
      <c r="V3549">
        <v>0.24019560000000001</v>
      </c>
      <c r="W3549">
        <v>0.18163460000000001</v>
      </c>
      <c r="X3549">
        <v>0.95357999999999998</v>
      </c>
      <c r="Y3549">
        <v>0.35573490000000002</v>
      </c>
      <c r="Z3549">
        <v>3.4653330000000003E-2</v>
      </c>
      <c r="AA3549">
        <v>0.9339442</v>
      </c>
      <c r="AB3549">
        <v>30</v>
      </c>
      <c r="AC3549">
        <v>-14.4831</v>
      </c>
      <c r="AD3549">
        <v>-1.1163016045180001</v>
      </c>
      <c r="AE3549">
        <v>-18.662099999999999</v>
      </c>
      <c r="AF3549">
        <v>8.4909299361227593</v>
      </c>
      <c r="AG3549">
        <v>-1.1163016045180001</v>
      </c>
      <c r="AH3549">
        <v>21.987595038792598</v>
      </c>
      <c r="AI3549">
        <v>92.711553118893704</v>
      </c>
      <c r="AJ3549">
        <v>68.884979520984501</v>
      </c>
      <c r="AK3549">
        <v>23.596532712293399</v>
      </c>
      <c r="AL3549">
        <v>79.5350141893298</v>
      </c>
      <c r="AM3549">
        <v>75.861977003021806</v>
      </c>
      <c r="AN3549">
        <v>0.99999993528825704</v>
      </c>
    </row>
    <row r="3550" spans="1:40" x14ac:dyDescent="0.25">
      <c r="A3550" t="str">
        <f>"20190303170608867"</f>
        <v>20190303170608867</v>
      </c>
      <c r="B3550" t="str">
        <f>"1551603968858232"</f>
        <v>1551603968858232</v>
      </c>
      <c r="C3550" t="s">
        <v>40</v>
      </c>
      <c r="D3550">
        <v>5.7012900000000002</v>
      </c>
      <c r="E3550">
        <v>0.55787589999999998</v>
      </c>
      <c r="F3550" t="s">
        <v>84</v>
      </c>
      <c r="G3550">
        <v>-206.9667</v>
      </c>
      <c r="H3550" s="1">
        <v>-5.4397060000000004E-6</v>
      </c>
      <c r="I3550">
        <v>135.63460000000001</v>
      </c>
      <c r="J3550">
        <v>-192.29089999999999</v>
      </c>
      <c r="K3550">
        <v>1.1160319999999999</v>
      </c>
      <c r="L3550">
        <v>154.15459999999999</v>
      </c>
      <c r="M3550">
        <v>-0.29332219999999998</v>
      </c>
      <c r="N3550">
        <v>-1.386335E-2</v>
      </c>
      <c r="O3550">
        <v>-0.95591309999999996</v>
      </c>
      <c r="P3550">
        <v>-0.5124706</v>
      </c>
      <c r="Q3550">
        <v>0.16992670000000001</v>
      </c>
      <c r="R3550">
        <v>-0.84172369999999996</v>
      </c>
      <c r="S3550">
        <v>-1.913071</v>
      </c>
      <c r="T3550">
        <v>-0.14465459999999999</v>
      </c>
      <c r="U3550">
        <v>-2.4347690000000002</v>
      </c>
      <c r="V3550">
        <v>0.24526480000000001</v>
      </c>
      <c r="W3550">
        <v>0.18011189999999999</v>
      </c>
      <c r="X3550">
        <v>0.95257800000000004</v>
      </c>
      <c r="Y3550">
        <v>0.35946640000000002</v>
      </c>
      <c r="Z3550">
        <v>3.4674040000000003E-2</v>
      </c>
      <c r="AA3550">
        <v>0.93251360000000005</v>
      </c>
      <c r="AB3550">
        <v>30</v>
      </c>
      <c r="AC3550">
        <v>-14.675800000000001</v>
      </c>
      <c r="AD3550">
        <v>-1.116037439706</v>
      </c>
      <c r="AE3550">
        <v>-18.5199999999999</v>
      </c>
      <c r="AF3550">
        <v>8.5781536542424206</v>
      </c>
      <c r="AG3550">
        <v>-1.116037439706</v>
      </c>
      <c r="AH3550">
        <v>21.9613755680693</v>
      </c>
      <c r="AI3550">
        <v>92.710092970445999</v>
      </c>
      <c r="AJ3550">
        <v>68.664292130347604</v>
      </c>
      <c r="AK3550">
        <v>23.603649644163202</v>
      </c>
      <c r="AL3550">
        <v>79.623722085209806</v>
      </c>
      <c r="AM3550">
        <v>75.561390651754706</v>
      </c>
      <c r="AN3550">
        <v>0.99999998236232401</v>
      </c>
    </row>
    <row r="3551" spans="1:40" x14ac:dyDescent="0.25">
      <c r="A3551" t="str">
        <f>"20190303170608890"</f>
        <v>20190303170608890</v>
      </c>
      <c r="B3551" t="str">
        <f>"1551603968878728"</f>
        <v>1551603968878728</v>
      </c>
      <c r="C3551" t="s">
        <v>40</v>
      </c>
      <c r="D3551">
        <v>5.7098610000000001</v>
      </c>
      <c r="E3551">
        <v>0.5578419</v>
      </c>
      <c r="F3551" t="s">
        <v>84</v>
      </c>
      <c r="G3551">
        <v>-206.80019999999999</v>
      </c>
      <c r="H3551" s="1">
        <v>-5.6695910000000003E-6</v>
      </c>
      <c r="I3551">
        <v>136.1225</v>
      </c>
      <c r="J3551">
        <v>-192.3861</v>
      </c>
      <c r="K3551">
        <v>1.1157619999999999</v>
      </c>
      <c r="L3551">
        <v>153.8691</v>
      </c>
      <c r="M3551">
        <v>-0.30004999999999998</v>
      </c>
      <c r="N3551">
        <v>-1.3890019999999999E-2</v>
      </c>
      <c r="O3551">
        <v>-0.95382259999999996</v>
      </c>
      <c r="P3551">
        <v>-0.51988069999999997</v>
      </c>
      <c r="Q3551">
        <v>0.1674358</v>
      </c>
      <c r="R3551">
        <v>-0.83766909999999895</v>
      </c>
      <c r="S3551">
        <v>-1.9411320000000001</v>
      </c>
      <c r="T3551">
        <v>-0.149309</v>
      </c>
      <c r="U3551">
        <v>-2.4124300000000001</v>
      </c>
      <c r="V3551">
        <v>0.2468988</v>
      </c>
      <c r="W3551">
        <v>0.17746909999999999</v>
      </c>
      <c r="X3551">
        <v>0.9526519</v>
      </c>
      <c r="Y3551">
        <v>0.36364990000000003</v>
      </c>
      <c r="Z3551">
        <v>3.6214690000000001E-2</v>
      </c>
      <c r="AA3551">
        <v>0.93083150000000003</v>
      </c>
      <c r="AB3551">
        <v>30</v>
      </c>
      <c r="AC3551">
        <v>-14.4140999999999</v>
      </c>
      <c r="AD3551">
        <v>-1.1157676695909999</v>
      </c>
      <c r="AE3551">
        <v>-17.746600000000001</v>
      </c>
      <c r="AF3551">
        <v>8.4044208016353892</v>
      </c>
      <c r="AG3551">
        <v>-1.1157676695909999</v>
      </c>
      <c r="AH3551">
        <v>21.2036033126201</v>
      </c>
      <c r="AI3551">
        <v>92.800617859102999</v>
      </c>
      <c r="AJ3551">
        <v>68.378231047209198</v>
      </c>
      <c r="AK3551">
        <v>22.835761864724802</v>
      </c>
      <c r="AL3551">
        <v>79.777623087058402</v>
      </c>
      <c r="AM3551">
        <v>75.470336702116398</v>
      </c>
      <c r="AN3551">
        <v>0.99999997073492897</v>
      </c>
    </row>
    <row r="3552" spans="1:40" x14ac:dyDescent="0.25">
      <c r="A3552" t="str">
        <f>"20190303170608914"</f>
        <v>20190303170608914</v>
      </c>
      <c r="B3552" t="str">
        <f>"1551603968908008"</f>
        <v>1551603968908008</v>
      </c>
      <c r="C3552" t="s">
        <v>40</v>
      </c>
      <c r="D3552">
        <v>5.729959</v>
      </c>
      <c r="E3552">
        <v>0.55777379999999999</v>
      </c>
      <c r="F3552" t="s">
        <v>84</v>
      </c>
      <c r="G3552">
        <v>-206.45240000000001</v>
      </c>
      <c r="H3552" s="1">
        <v>-6.0184099999999997E-6</v>
      </c>
      <c r="I3552">
        <v>136.73079999999999</v>
      </c>
      <c r="J3552">
        <v>-192.49109999999999</v>
      </c>
      <c r="K3552">
        <v>1.1154660000000001</v>
      </c>
      <c r="L3552">
        <v>153.56280000000001</v>
      </c>
      <c r="M3552">
        <v>-0.30765700000000001</v>
      </c>
      <c r="N3552">
        <v>-1.3922199999999999E-2</v>
      </c>
      <c r="O3552">
        <v>-0.95139569999999996</v>
      </c>
      <c r="P3552">
        <v>-0.52646419999999905</v>
      </c>
      <c r="Q3552">
        <v>0.16803219999999999</v>
      </c>
      <c r="R3552">
        <v>-0.83342729999999998</v>
      </c>
      <c r="S3552">
        <v>-1.9643550000000001</v>
      </c>
      <c r="T3552">
        <v>-0.1558166</v>
      </c>
      <c r="U3552">
        <v>-2.3933559999999998</v>
      </c>
      <c r="V3552">
        <v>0.24696770000000001</v>
      </c>
      <c r="W3552">
        <v>0.17792149999999901</v>
      </c>
      <c r="X3552">
        <v>0.95254970000000005</v>
      </c>
      <c r="Y3552">
        <v>0.36518859999999997</v>
      </c>
      <c r="Z3552">
        <v>3.8326619999999999E-2</v>
      </c>
      <c r="AA3552">
        <v>0.93014430000000003</v>
      </c>
      <c r="AB3552">
        <v>30</v>
      </c>
      <c r="AC3552">
        <v>-13.9613</v>
      </c>
      <c r="AD3552">
        <v>-1.11547201841</v>
      </c>
      <c r="AE3552">
        <v>-16.832000000000001</v>
      </c>
      <c r="AF3552">
        <v>8.0839888627260308</v>
      </c>
      <c r="AG3552">
        <v>-1.11547201841</v>
      </c>
      <c r="AH3552">
        <v>20.258439443286999</v>
      </c>
      <c r="AI3552">
        <v>92.927597279353805</v>
      </c>
      <c r="AJ3552">
        <v>68.245874119861995</v>
      </c>
      <c r="AK3552">
        <v>21.840318734713101</v>
      </c>
      <c r="AL3552">
        <v>79.751283781679803</v>
      </c>
      <c r="AM3552">
        <v>75.464960430869596</v>
      </c>
      <c r="AN3552">
        <v>1.0000000179878099</v>
      </c>
    </row>
    <row r="3553" spans="1:40" x14ac:dyDescent="0.25">
      <c r="A3553" t="str">
        <f>"20190303170608936"</f>
        <v>20190303170608936</v>
      </c>
      <c r="B3553" t="str">
        <f>"1551603968928505"</f>
        <v>1551603968928505</v>
      </c>
      <c r="C3553" t="s">
        <v>40</v>
      </c>
      <c r="D3553">
        <v>5.7480310000000001</v>
      </c>
      <c r="E3553">
        <v>0.55773930000000005</v>
      </c>
      <c r="F3553" t="s">
        <v>84</v>
      </c>
      <c r="G3553">
        <v>-206.82130000000001</v>
      </c>
      <c r="H3553" s="1">
        <v>-5.7471079999999998E-6</v>
      </c>
      <c r="I3553">
        <v>136.39400000000001</v>
      </c>
      <c r="J3553">
        <v>-192.58799999999999</v>
      </c>
      <c r="K3553">
        <v>1.115194</v>
      </c>
      <c r="L3553">
        <v>153.2878</v>
      </c>
      <c r="M3553">
        <v>-0.31483909999999998</v>
      </c>
      <c r="N3553">
        <v>-1.3954940000000001E-2</v>
      </c>
      <c r="O3553">
        <v>-0.94904259999999996</v>
      </c>
      <c r="P3553">
        <v>-0.53304869999999904</v>
      </c>
      <c r="Q3553">
        <v>0.1698846</v>
      </c>
      <c r="R3553">
        <v>-0.82885390000000003</v>
      </c>
      <c r="S3553">
        <v>-1.9842679999999999</v>
      </c>
      <c r="T3553">
        <v>-0.1544566</v>
      </c>
      <c r="U3553">
        <v>-2.377319</v>
      </c>
      <c r="V3553">
        <v>0.2475793</v>
      </c>
      <c r="W3553">
        <v>0.1796246</v>
      </c>
      <c r="X3553">
        <v>0.95207109999999995</v>
      </c>
      <c r="Y3553">
        <v>0.36584470000000002</v>
      </c>
      <c r="Z3553">
        <v>3.785935E-2</v>
      </c>
      <c r="AA3553">
        <v>0.92990550000000005</v>
      </c>
      <c r="AB3553">
        <v>30</v>
      </c>
      <c r="AC3553">
        <v>-14.2333</v>
      </c>
      <c r="AD3553">
        <v>-1.115199747108</v>
      </c>
      <c r="AE3553">
        <v>-16.893799999999999</v>
      </c>
      <c r="AF3553">
        <v>8.1691560242899097</v>
      </c>
      <c r="AG3553">
        <v>-1.115199747108</v>
      </c>
      <c r="AH3553">
        <v>20.463976465212401</v>
      </c>
      <c r="AI3553">
        <v>92.897383874053205</v>
      </c>
      <c r="AJ3553">
        <v>68.238268804870998</v>
      </c>
      <c r="AK3553">
        <v>22.0624820315827</v>
      </c>
      <c r="AL3553">
        <v>79.652104817384597</v>
      </c>
      <c r="AM3553">
        <v>75.423483158547697</v>
      </c>
      <c r="AN3553">
        <v>0.99999994308442797</v>
      </c>
    </row>
    <row r="3554" spans="1:40" x14ac:dyDescent="0.25">
      <c r="A3554" t="str">
        <f>"20190303170608957"</f>
        <v>20190303170608957</v>
      </c>
      <c r="B3554" t="str">
        <f>"1551603968948029"</f>
        <v>1551603968948029</v>
      </c>
      <c r="C3554" t="s">
        <v>40</v>
      </c>
      <c r="D3554">
        <v>5.7101160000000002</v>
      </c>
      <c r="E3554">
        <v>0.55474049999999997</v>
      </c>
      <c r="F3554" t="s">
        <v>84</v>
      </c>
      <c r="G3554">
        <v>-207.54130000000001</v>
      </c>
      <c r="H3554" s="1">
        <v>-5.1917660000000003E-6</v>
      </c>
      <c r="I3554">
        <v>135.65600000000001</v>
      </c>
      <c r="J3554">
        <v>-192.685</v>
      </c>
      <c r="K3554">
        <v>1.114919</v>
      </c>
      <c r="L3554">
        <v>153.02019999999999</v>
      </c>
      <c r="M3554">
        <v>-0.32216620000000001</v>
      </c>
      <c r="N3554">
        <v>-1.39907E-2</v>
      </c>
      <c r="O3554">
        <v>-0.94657979999999997</v>
      </c>
      <c r="P3554">
        <v>-0.54028569999999998</v>
      </c>
      <c r="Q3554">
        <v>0.1707717</v>
      </c>
      <c r="R3554">
        <v>-0.82397129999999996</v>
      </c>
      <c r="S3554">
        <v>-2.0030670000000002</v>
      </c>
      <c r="T3554">
        <v>-0.14938699999999999</v>
      </c>
      <c r="U3554">
        <v>-2.3618619999999999</v>
      </c>
      <c r="V3554">
        <v>0.24875749999999999</v>
      </c>
      <c r="W3554">
        <v>0.18034919999999999</v>
      </c>
      <c r="X3554">
        <v>0.951627</v>
      </c>
      <c r="Y3554">
        <v>0.36600339999999998</v>
      </c>
      <c r="Z3554">
        <v>3.618031E-2</v>
      </c>
      <c r="AA3554">
        <v>0.92990989999999996</v>
      </c>
      <c r="AB3554">
        <v>30</v>
      </c>
      <c r="AC3554">
        <v>-14.856299999999999</v>
      </c>
      <c r="AD3554">
        <v>-1.114924191766</v>
      </c>
      <c r="AE3554">
        <v>-17.364199999999901</v>
      </c>
      <c r="AF3554">
        <v>8.4492318231316901</v>
      </c>
      <c r="AG3554">
        <v>-1.114924191766</v>
      </c>
      <c r="AH3554">
        <v>21.174473063044601</v>
      </c>
      <c r="AI3554">
        <v>92.799791953387199</v>
      </c>
      <c r="AJ3554">
        <v>68.246560056252505</v>
      </c>
      <c r="AK3554">
        <v>22.825224727305699</v>
      </c>
      <c r="AL3554">
        <v>79.609900020893093</v>
      </c>
      <c r="AM3554">
        <v>75.350550376073599</v>
      </c>
      <c r="AN3554">
        <v>1.0000000374379401</v>
      </c>
    </row>
    <row r="3555" spans="1:40" x14ac:dyDescent="0.25">
      <c r="A3555" t="str">
        <f>"20190303170608981"</f>
        <v>20190303170608981</v>
      </c>
      <c r="B3555" t="str">
        <f>"1551603968968521"</f>
        <v>1551603968968521</v>
      </c>
      <c r="C3555" t="s">
        <v>40</v>
      </c>
      <c r="D3555">
        <v>5.737781</v>
      </c>
      <c r="E3555">
        <v>0.55449469999999901</v>
      </c>
      <c r="F3555" t="s">
        <v>84</v>
      </c>
      <c r="G3555">
        <v>-204.07550000000001</v>
      </c>
      <c r="H3555" s="1">
        <v>-7.9257680000000004E-6</v>
      </c>
      <c r="I3555">
        <v>139.58179999999999</v>
      </c>
      <c r="J3555">
        <v>-192.79589999999999</v>
      </c>
      <c r="K3555">
        <v>1.1145860000000001</v>
      </c>
      <c r="L3555">
        <v>152.72290000000001</v>
      </c>
      <c r="M3555">
        <v>-0.33072370000000001</v>
      </c>
      <c r="N3555">
        <v>-1.4035600000000001E-2</v>
      </c>
      <c r="O3555">
        <v>-0.94362330000000005</v>
      </c>
      <c r="P3555">
        <v>-0.54950330000000003</v>
      </c>
      <c r="Q3555">
        <v>0.17064689999999999</v>
      </c>
      <c r="R3555">
        <v>-0.81787909999999997</v>
      </c>
      <c r="S3555">
        <v>-2.0057830000000001</v>
      </c>
      <c r="T3555">
        <v>-0.19633020000000001</v>
      </c>
      <c r="U3555">
        <v>-2.366409</v>
      </c>
      <c r="V3555">
        <v>0.25097180000000002</v>
      </c>
      <c r="W3555">
        <v>0.18001809999999999</v>
      </c>
      <c r="X3555">
        <v>0.95110810000000001</v>
      </c>
      <c r="Y3555">
        <v>0.35683199999999998</v>
      </c>
      <c r="Z3555">
        <v>5.1102950000000001E-2</v>
      </c>
      <c r="AA3555">
        <v>0.93276979999999998</v>
      </c>
      <c r="AB3555">
        <v>30</v>
      </c>
      <c r="AC3555">
        <v>-11.2796</v>
      </c>
      <c r="AD3555">
        <v>-1.114593925768</v>
      </c>
      <c r="AE3555">
        <v>-13.1411</v>
      </c>
      <c r="AF3555">
        <v>6.2722593116593002</v>
      </c>
      <c r="AG3555">
        <v>-1.114593925768</v>
      </c>
      <c r="AH3555">
        <v>16.065720097208299</v>
      </c>
      <c r="AI3555">
        <v>93.697684128394499</v>
      </c>
      <c r="AJ3555">
        <v>68.673700739317795</v>
      </c>
      <c r="AK3555">
        <v>17.282676839364299</v>
      </c>
      <c r="AL3555">
        <v>79.629185807127499</v>
      </c>
      <c r="AM3555">
        <v>75.218122111653202</v>
      </c>
      <c r="AN3555">
        <v>0.99999998930422995</v>
      </c>
    </row>
    <row r="3556" spans="1:40" x14ac:dyDescent="0.25">
      <c r="A3556" t="str">
        <f>"20190303170609005"</f>
        <v>20190303170609005</v>
      </c>
      <c r="B3556" t="str">
        <f>"1551603968998777"</f>
        <v>1551603968998777</v>
      </c>
      <c r="C3556" t="s">
        <v>40</v>
      </c>
      <c r="D3556">
        <v>5.7601170000000002</v>
      </c>
      <c r="E3556">
        <v>0.55403579999999997</v>
      </c>
      <c r="F3556" t="s">
        <v>84</v>
      </c>
      <c r="G3556">
        <v>-204.51840000000001</v>
      </c>
      <c r="H3556" s="1">
        <v>-7.6488950000000002E-6</v>
      </c>
      <c r="I3556">
        <v>139.2234</v>
      </c>
      <c r="J3556">
        <v>-192.9067</v>
      </c>
      <c r="K3556">
        <v>1.1142190000000001</v>
      </c>
      <c r="L3556">
        <v>152.43520000000001</v>
      </c>
      <c r="M3556">
        <v>-0.33949069999999998</v>
      </c>
      <c r="N3556">
        <v>-1.4086019999999999E-2</v>
      </c>
      <c r="O3556">
        <v>-0.94050409999999995</v>
      </c>
      <c r="P3556">
        <v>-0.55780180000000001</v>
      </c>
      <c r="Q3556">
        <v>0.17163599999999901</v>
      </c>
      <c r="R3556">
        <v>-0.81203369999999997</v>
      </c>
      <c r="S3556">
        <v>-2.0337070000000002</v>
      </c>
      <c r="T3556">
        <v>-0.1933666</v>
      </c>
      <c r="U3556">
        <v>-2.3419650000000001</v>
      </c>
      <c r="V3556">
        <v>0.25205149999999998</v>
      </c>
      <c r="W3556">
        <v>0.180814</v>
      </c>
      <c r="X3556">
        <v>0.95067159999999995</v>
      </c>
      <c r="Y3556">
        <v>0.35933199999999998</v>
      </c>
      <c r="Z3556">
        <v>5.0120089999999999E-2</v>
      </c>
      <c r="AA3556">
        <v>0.93186290000000005</v>
      </c>
      <c r="AB3556">
        <v>30</v>
      </c>
      <c r="AC3556">
        <v>-11.611700000000001</v>
      </c>
      <c r="AD3556">
        <v>-1.1142266488949999</v>
      </c>
      <c r="AE3556">
        <v>-13.2118</v>
      </c>
      <c r="AF3556">
        <v>6.4104816275807703</v>
      </c>
      <c r="AG3556">
        <v>-1.1142266488949999</v>
      </c>
      <c r="AH3556">
        <v>16.304012561236199</v>
      </c>
      <c r="AI3556">
        <v>93.639171157365297</v>
      </c>
      <c r="AJ3556">
        <v>68.536027379785907</v>
      </c>
      <c r="AK3556">
        <v>17.5543898019728</v>
      </c>
      <c r="AL3556">
        <v>79.582824218349103</v>
      </c>
      <c r="AM3556">
        <v>75.150816912442906</v>
      </c>
      <c r="AN3556">
        <v>1.0000000761473999</v>
      </c>
    </row>
    <row r="3557" spans="1:40" x14ac:dyDescent="0.25">
      <c r="A3557" t="str">
        <f>"20190303170609036"</f>
        <v>20190303170609036</v>
      </c>
      <c r="B3557" t="str">
        <f>"1551603969028056"</f>
        <v>1551603969028056</v>
      </c>
      <c r="C3557" t="s">
        <v>40</v>
      </c>
      <c r="D3557">
        <v>5.7308779999999997</v>
      </c>
      <c r="E3557">
        <v>0.55357679999999998</v>
      </c>
      <c r="F3557" t="s">
        <v>84</v>
      </c>
      <c r="G3557">
        <v>-204.77799999999999</v>
      </c>
      <c r="H3557" s="1">
        <v>-7.4925329999999899E-6</v>
      </c>
      <c r="I3557">
        <v>139.04130000000001</v>
      </c>
      <c r="J3557">
        <v>-193.0684</v>
      </c>
      <c r="K3557">
        <v>1.1136999999999999</v>
      </c>
      <c r="L3557">
        <v>152.0324</v>
      </c>
      <c r="M3557">
        <v>-0.3526241</v>
      </c>
      <c r="N3557">
        <v>-1.417056E-2</v>
      </c>
      <c r="O3557">
        <v>-0.93565790000000004</v>
      </c>
      <c r="P3557">
        <v>-0.56752409999999998</v>
      </c>
      <c r="Q3557">
        <v>0.17507210000000001</v>
      </c>
      <c r="R3557">
        <v>-0.80452860000000004</v>
      </c>
      <c r="S3557">
        <v>-2.0577999999999999</v>
      </c>
      <c r="T3557">
        <v>-0.1931436</v>
      </c>
      <c r="U3557">
        <v>-2.3217469999999998</v>
      </c>
      <c r="V3557">
        <v>0.25072129999999998</v>
      </c>
      <c r="W3557">
        <v>0.18403539999999999</v>
      </c>
      <c r="X3557">
        <v>0.9504051</v>
      </c>
      <c r="Y3557">
        <v>0.35572110000000001</v>
      </c>
      <c r="Z3557">
        <v>4.9860700000000001E-2</v>
      </c>
      <c r="AA3557">
        <v>0.93326120000000001</v>
      </c>
      <c r="AB3557">
        <v>30</v>
      </c>
      <c r="AC3557">
        <v>-11.709599999999901</v>
      </c>
      <c r="AD3557">
        <v>-1.1137074925329999</v>
      </c>
      <c r="AE3557">
        <v>-12.9910999999999</v>
      </c>
      <c r="AF3557">
        <v>6.3500947653275901</v>
      </c>
      <c r="AG3557">
        <v>-1.1137074925329999</v>
      </c>
      <c r="AH3557">
        <v>16.2201734438827</v>
      </c>
      <c r="AI3557">
        <v>93.658327287098103</v>
      </c>
      <c r="AJ3557">
        <v>68.619972782854603</v>
      </c>
      <c r="AK3557">
        <v>17.4544571516047</v>
      </c>
      <c r="AL3557">
        <v>79.395100964521504</v>
      </c>
      <c r="AM3557">
        <v>75.221785500063405</v>
      </c>
      <c r="AN3557">
        <v>1.0000000264164199</v>
      </c>
    </row>
    <row r="3558" spans="1:40" x14ac:dyDescent="0.25">
      <c r="A3558" t="str">
        <f>"20190303170609058"</f>
        <v>20190303170609058</v>
      </c>
      <c r="B3558" t="str">
        <f>"1551603969048552"</f>
        <v>1551603969048552</v>
      </c>
      <c r="C3558" t="s">
        <v>40</v>
      </c>
      <c r="D3558">
        <v>5.724329</v>
      </c>
      <c r="E3558">
        <v>0.55349649999999995</v>
      </c>
      <c r="F3558" t="s">
        <v>84</v>
      </c>
      <c r="G3558">
        <v>-205.57499999999999</v>
      </c>
      <c r="H3558" s="1">
        <v>-6.8846540000000003E-6</v>
      </c>
      <c r="I3558">
        <v>138.22239999999999</v>
      </c>
      <c r="J3558">
        <v>-193.1765</v>
      </c>
      <c r="K3558">
        <v>1.1133729999999999</v>
      </c>
      <c r="L3558">
        <v>151.77289999999999</v>
      </c>
      <c r="M3558">
        <v>-0.36154510000000001</v>
      </c>
      <c r="N3558">
        <v>-1.4226549999999999E-2</v>
      </c>
      <c r="O3558">
        <v>-0.93224609999999997</v>
      </c>
      <c r="P3558">
        <v>-0.57612989999999997</v>
      </c>
      <c r="Q3558">
        <v>0.17538119999999999</v>
      </c>
      <c r="R3558">
        <v>-0.79832069999999999</v>
      </c>
      <c r="S3558">
        <v>-2.0828700000000002</v>
      </c>
      <c r="T3558">
        <v>-0.18547939999999999</v>
      </c>
      <c r="U3558">
        <v>-2.299957</v>
      </c>
      <c r="V3558">
        <v>0.252027</v>
      </c>
      <c r="W3558">
        <v>0.18417220000000001</v>
      </c>
      <c r="X3558">
        <v>0.95003320000000002</v>
      </c>
      <c r="Y3558">
        <v>0.35687600000000003</v>
      </c>
      <c r="Z3558">
        <v>4.7324900000000003E-2</v>
      </c>
      <c r="AA3558">
        <v>0.93295220000000001</v>
      </c>
      <c r="AB3558">
        <v>29</v>
      </c>
      <c r="AC3558">
        <v>-12.398499999999901</v>
      </c>
      <c r="AD3558">
        <v>-1.113379884654</v>
      </c>
      <c r="AE3558">
        <v>-13.5505</v>
      </c>
      <c r="AF3558">
        <v>6.6356264014473201</v>
      </c>
      <c r="AG3558">
        <v>-1.113379884654</v>
      </c>
      <c r="AH3558">
        <v>17.0540811586384</v>
      </c>
      <c r="AI3558">
        <v>93.481695355658303</v>
      </c>
      <c r="AJ3558">
        <v>68.7393286162838</v>
      </c>
      <c r="AK3558">
        <v>18.3333803940397</v>
      </c>
      <c r="AL3558">
        <v>79.387126789241904</v>
      </c>
      <c r="AM3558">
        <v>75.142660299796603</v>
      </c>
      <c r="AN3558">
        <v>1.0000000445420301</v>
      </c>
    </row>
    <row r="3559" spans="1:40" x14ac:dyDescent="0.25">
      <c r="A3559" t="str">
        <f>"20190303170609080"</f>
        <v>20190303170609080</v>
      </c>
      <c r="B3559" t="str">
        <f>"1551603969068072"</f>
        <v>1551603969068072</v>
      </c>
      <c r="C3559" t="s">
        <v>40</v>
      </c>
      <c r="D3559">
        <v>5.7597480000000001</v>
      </c>
      <c r="E3559">
        <v>0.55327700000000002</v>
      </c>
      <c r="F3559" t="s">
        <v>84</v>
      </c>
      <c r="G3559">
        <v>-205.864</v>
      </c>
      <c r="H3559" s="1">
        <v>-6.7080890000000001E-6</v>
      </c>
      <c r="I3559">
        <v>138.0712</v>
      </c>
      <c r="J3559">
        <v>-193.29810000000001</v>
      </c>
      <c r="K3559">
        <v>1.113003</v>
      </c>
      <c r="L3559">
        <v>151.49019999999999</v>
      </c>
      <c r="M3559">
        <v>-0.3717473</v>
      </c>
      <c r="N3559">
        <v>-1.428953E-2</v>
      </c>
      <c r="O3559">
        <v>-0.92822420000000005</v>
      </c>
      <c r="P3559">
        <v>-0.58705719999999995</v>
      </c>
      <c r="Q3559">
        <v>0.17279659999999999</v>
      </c>
      <c r="R3559">
        <v>-0.79088899999999995</v>
      </c>
      <c r="S3559">
        <v>-2.1083829999999999</v>
      </c>
      <c r="T3559">
        <v>-0.1850193</v>
      </c>
      <c r="U3559">
        <v>-2.276932</v>
      </c>
      <c r="V3559">
        <v>0.25458579999999997</v>
      </c>
      <c r="W3559">
        <v>0.18137159999999999</v>
      </c>
      <c r="X3559">
        <v>0.94988969999999995</v>
      </c>
      <c r="Y3559">
        <v>0.35697190000000001</v>
      </c>
      <c r="Z3559">
        <v>4.7076949999999999E-2</v>
      </c>
      <c r="AA3559">
        <v>0.93292810000000004</v>
      </c>
      <c r="AB3559">
        <v>29</v>
      </c>
      <c r="AC3559">
        <v>-12.565899999999999</v>
      </c>
      <c r="AD3559">
        <v>-1.113009708089</v>
      </c>
      <c r="AE3559">
        <v>-13.418999999999899</v>
      </c>
      <c r="AF3559">
        <v>6.6517944295867499</v>
      </c>
      <c r="AG3559">
        <v>-1.113009708089</v>
      </c>
      <c r="AH3559">
        <v>17.066370705838501</v>
      </c>
      <c r="AI3559">
        <v>93.477257774056397</v>
      </c>
      <c r="AJ3559">
        <v>68.706136081137501</v>
      </c>
      <c r="AK3559">
        <v>18.350644915448701</v>
      </c>
      <c r="AL3559">
        <v>79.550338331908605</v>
      </c>
      <c r="AM3559">
        <v>74.996419555371503</v>
      </c>
      <c r="AN3559">
        <v>1.0000000145071399</v>
      </c>
    </row>
    <row r="3560" spans="1:40" x14ac:dyDescent="0.25">
      <c r="A3560" t="str">
        <f>"20190303170609103"</f>
        <v>20190303170609103</v>
      </c>
      <c r="B3560" t="str">
        <f>"1551603969098328"</f>
        <v>1551603969098328</v>
      </c>
      <c r="C3560" t="s">
        <v>40</v>
      </c>
      <c r="D3560">
        <v>5.7496720000000003</v>
      </c>
      <c r="E3560">
        <v>0.55302299999999904</v>
      </c>
      <c r="F3560" t="s">
        <v>84</v>
      </c>
      <c r="G3560">
        <v>-205.67500000000001</v>
      </c>
      <c r="H3560" s="1">
        <v>-6.9300999999999999E-6</v>
      </c>
      <c r="I3560">
        <v>138.50309999999999</v>
      </c>
      <c r="J3560">
        <v>-193.4171</v>
      </c>
      <c r="K3560">
        <v>1.112617</v>
      </c>
      <c r="L3560">
        <v>151.2226</v>
      </c>
      <c r="M3560">
        <v>-0.38192419999999999</v>
      </c>
      <c r="N3560">
        <v>-1.4361260000000001E-2</v>
      </c>
      <c r="O3560">
        <v>-0.92408230000000002</v>
      </c>
      <c r="P3560">
        <v>-0.59802809999999995</v>
      </c>
      <c r="Q3560">
        <v>0.17275769999999999</v>
      </c>
      <c r="R3560">
        <v>-0.78263509999999903</v>
      </c>
      <c r="S3560">
        <v>-2.140717</v>
      </c>
      <c r="T3560">
        <v>-0.1925075</v>
      </c>
      <c r="U3560">
        <v>-2.2462620000000002</v>
      </c>
      <c r="V3560">
        <v>0.25756370000000001</v>
      </c>
      <c r="W3560">
        <v>0.1810959</v>
      </c>
      <c r="X3560">
        <v>0.94913919999999996</v>
      </c>
      <c r="Y3560">
        <v>0.36001470000000002</v>
      </c>
      <c r="Z3560">
        <v>4.9410849999999999E-2</v>
      </c>
      <c r="AA3560">
        <v>0.9316373</v>
      </c>
      <c r="AB3560">
        <v>29</v>
      </c>
      <c r="AC3560">
        <v>-12.257899999999999</v>
      </c>
      <c r="AD3560">
        <v>-1.1126239301</v>
      </c>
      <c r="AE3560">
        <v>-12.7195</v>
      </c>
      <c r="AF3560">
        <v>6.4445226900271404</v>
      </c>
      <c r="AG3560">
        <v>-1.1126239301</v>
      </c>
      <c r="AH3560">
        <v>16.372193248261901</v>
      </c>
      <c r="AI3560">
        <v>93.618314351599594</v>
      </c>
      <c r="AJ3560">
        <v>68.514105949692095</v>
      </c>
      <c r="AK3560">
        <v>17.6300458442551</v>
      </c>
      <c r="AL3560">
        <v>79.566400647488805</v>
      </c>
      <c r="AM3560">
        <v>74.817524816306701</v>
      </c>
      <c r="AN3560">
        <v>1.00000000276556</v>
      </c>
    </row>
    <row r="3561" spans="1:40" x14ac:dyDescent="0.25">
      <c r="A3561" t="str">
        <f>"20190303170609126"</f>
        <v>20190303170609126</v>
      </c>
      <c r="B3561" t="str">
        <f>"1551603969118825"</f>
        <v>1551603969118825</v>
      </c>
      <c r="C3561" t="s">
        <v>40</v>
      </c>
      <c r="D3561">
        <v>5.7582700000000004</v>
      </c>
      <c r="E3561">
        <v>0.55292330000000001</v>
      </c>
      <c r="F3561" t="s">
        <v>84</v>
      </c>
      <c r="G3561">
        <v>-205.92850000000001</v>
      </c>
      <c r="H3561" s="1">
        <v>-6.8052319999999997E-6</v>
      </c>
      <c r="I3561">
        <v>138.4641</v>
      </c>
      <c r="J3561">
        <v>-193.5478</v>
      </c>
      <c r="K3561">
        <v>1.112182</v>
      </c>
      <c r="L3561">
        <v>150.93969999999999</v>
      </c>
      <c r="M3561">
        <v>-0.39330520000000002</v>
      </c>
      <c r="N3561">
        <v>-1.445346E-2</v>
      </c>
      <c r="O3561">
        <v>-0.91929439999999996</v>
      </c>
      <c r="P3561">
        <v>-0.60931250000000003</v>
      </c>
      <c r="Q3561">
        <v>0.17313110000000001</v>
      </c>
      <c r="R3561">
        <v>-0.77379830000000005</v>
      </c>
      <c r="S3561">
        <v>-2.1727289999999999</v>
      </c>
      <c r="T3561">
        <v>-0.1932188</v>
      </c>
      <c r="U3561">
        <v>-2.2156370000000001</v>
      </c>
      <c r="V3561">
        <v>0.25984370000000001</v>
      </c>
      <c r="W3561">
        <v>0.18123040000000001</v>
      </c>
      <c r="X3561">
        <v>0.94849190000000005</v>
      </c>
      <c r="Y3561">
        <v>0.36178900000000003</v>
      </c>
      <c r="Z3561">
        <v>4.9518989999999999E-2</v>
      </c>
      <c r="AA3561">
        <v>0.93094390000000005</v>
      </c>
      <c r="AB3561">
        <v>29</v>
      </c>
      <c r="AC3561">
        <v>-12.380699999999999</v>
      </c>
      <c r="AD3561">
        <v>-1.1121888052319999</v>
      </c>
      <c r="AE3561">
        <v>-12.475599999999901</v>
      </c>
      <c r="AF3561">
        <v>6.4496408076524796</v>
      </c>
      <c r="AG3561">
        <v>-1.1121888052319999</v>
      </c>
      <c r="AH3561">
        <v>16.2746832033659</v>
      </c>
      <c r="AI3561">
        <v>93.635203363159704</v>
      </c>
      <c r="AJ3561">
        <v>68.381626264147499</v>
      </c>
      <c r="AK3561">
        <v>17.5413837497541</v>
      </c>
      <c r="AL3561">
        <v>79.558565153767205</v>
      </c>
      <c r="AM3561">
        <v>74.679450463737894</v>
      </c>
      <c r="AN3561">
        <v>1.00000004533972</v>
      </c>
    </row>
    <row r="3562" spans="1:40" x14ac:dyDescent="0.25">
      <c r="A3562" t="str">
        <f>"20190303170609148"</f>
        <v>20190303170609148</v>
      </c>
      <c r="B3562" t="str">
        <f>"1551603969138344"</f>
        <v>1551603969138344</v>
      </c>
      <c r="C3562" t="s">
        <v>40</v>
      </c>
      <c r="D3562">
        <v>5.7851269999999904</v>
      </c>
      <c r="E3562">
        <v>0.55103959999999996</v>
      </c>
      <c r="F3562" t="s">
        <v>84</v>
      </c>
      <c r="G3562">
        <v>-206.31610000000001</v>
      </c>
      <c r="H3562" s="1">
        <v>-6.5755830000000004E-6</v>
      </c>
      <c r="I3562">
        <v>138.28360000000001</v>
      </c>
      <c r="J3562">
        <v>-193.6739</v>
      </c>
      <c r="K3562">
        <v>1.111774</v>
      </c>
      <c r="L3562">
        <v>150.67619999999999</v>
      </c>
      <c r="M3562">
        <v>-0.40442139999999999</v>
      </c>
      <c r="N3562">
        <v>-1.4547630000000001E-2</v>
      </c>
      <c r="O3562">
        <v>-0.91445730000000003</v>
      </c>
      <c r="P3562">
        <v>-0.61849580000000004</v>
      </c>
      <c r="Q3562">
        <v>0.174013</v>
      </c>
      <c r="R3562">
        <v>-0.76627860000000003</v>
      </c>
      <c r="S3562">
        <v>-2.2038730000000002</v>
      </c>
      <c r="T3562">
        <v>-0.19196859999999999</v>
      </c>
      <c r="U3562">
        <v>-2.1844939999999999</v>
      </c>
      <c r="V3562">
        <v>0.25993939999999999</v>
      </c>
      <c r="W3562">
        <v>0.1819385</v>
      </c>
      <c r="X3562">
        <v>0.94833000000000001</v>
      </c>
      <c r="Y3562">
        <v>0.36371720000000002</v>
      </c>
      <c r="Z3562">
        <v>4.9007439999999999E-2</v>
      </c>
      <c r="AA3562">
        <v>0.93021940000000003</v>
      </c>
      <c r="AB3562">
        <v>29</v>
      </c>
      <c r="AC3562">
        <v>-12.642200000000001</v>
      </c>
      <c r="AD3562">
        <v>-1.1117805755829999</v>
      </c>
      <c r="AE3562">
        <v>-12.3925999999999</v>
      </c>
      <c r="AF3562">
        <v>6.5238808626112998</v>
      </c>
      <c r="AG3562">
        <v>-1.1117805755829999</v>
      </c>
      <c r="AH3562">
        <v>16.3824042946341</v>
      </c>
      <c r="AI3562">
        <v>93.607663428314197</v>
      </c>
      <c r="AJ3562">
        <v>68.286322862632204</v>
      </c>
      <c r="AK3562">
        <v>17.668623263589001</v>
      </c>
      <c r="AL3562">
        <v>79.517307110384607</v>
      </c>
      <c r="AM3562">
        <v>74.671579808959507</v>
      </c>
      <c r="AN3562">
        <v>0.99999994917730295</v>
      </c>
    </row>
    <row r="3563" spans="1:40" x14ac:dyDescent="0.25">
      <c r="A3563" t="str">
        <f>"20190303170609170"</f>
        <v>20190303170609170</v>
      </c>
      <c r="B3563" t="str">
        <f>"1551603969158840"</f>
        <v>1551603969158840</v>
      </c>
      <c r="C3563" t="s">
        <v>40</v>
      </c>
      <c r="D3563">
        <v>5.9176669999999998</v>
      </c>
      <c r="E3563">
        <v>0.58018729999999996</v>
      </c>
      <c r="F3563" t="s">
        <v>84</v>
      </c>
      <c r="G3563">
        <v>-204.90690000000001</v>
      </c>
      <c r="H3563" s="1">
        <v>-7.6410509999999997E-6</v>
      </c>
      <c r="I3563">
        <v>139.6832</v>
      </c>
      <c r="J3563">
        <v>-193.8013</v>
      </c>
      <c r="K3563">
        <v>1.111399</v>
      </c>
      <c r="L3563">
        <v>150.41899999999899</v>
      </c>
      <c r="M3563">
        <v>-0.41571999999999998</v>
      </c>
      <c r="N3563">
        <v>-1.46421E-2</v>
      </c>
      <c r="O3563">
        <v>-0.90937500000000004</v>
      </c>
      <c r="P3563">
        <v>-0.62910189999999999</v>
      </c>
      <c r="Q3563">
        <v>0.17546110000000001</v>
      </c>
      <c r="R3563">
        <v>-0.75726150000000003</v>
      </c>
      <c r="S3563">
        <v>-2.220291</v>
      </c>
      <c r="T3563">
        <v>-0.2197508</v>
      </c>
      <c r="U3563">
        <v>-2.1728360000000002</v>
      </c>
      <c r="V3563">
        <v>0.26173950000000001</v>
      </c>
      <c r="W3563">
        <v>0.18318229999999999</v>
      </c>
      <c r="X3563">
        <v>0.94759519999999997</v>
      </c>
      <c r="Y3563">
        <v>0.35774420000000001</v>
      </c>
      <c r="Z3563">
        <v>5.7454610000000003E-2</v>
      </c>
      <c r="AA3563">
        <v>0.9320505</v>
      </c>
      <c r="AB3563">
        <v>29</v>
      </c>
      <c r="AC3563">
        <v>-11.105600000000001</v>
      </c>
      <c r="AD3563">
        <v>-1.111406641051</v>
      </c>
      <c r="AE3563">
        <v>-10.7357999999999</v>
      </c>
      <c r="AF3563">
        <v>5.6076397758519301</v>
      </c>
      <c r="AG3563">
        <v>-1.111406641051</v>
      </c>
      <c r="AH3563">
        <v>14.3071567037049</v>
      </c>
      <c r="AI3563">
        <v>94.136709028466598</v>
      </c>
      <c r="AJ3563">
        <v>68.597478412592494</v>
      </c>
      <c r="AK3563">
        <v>15.4069978101464</v>
      </c>
      <c r="AL3563">
        <v>79.444824971683602</v>
      </c>
      <c r="AM3563">
        <v>74.559077497031296</v>
      </c>
      <c r="AN3563">
        <v>0.99999999197828904</v>
      </c>
    </row>
    <row r="3564" spans="1:40" x14ac:dyDescent="0.25">
      <c r="A3564" t="str">
        <f>"20190303170609188"</f>
        <v>20190303170609188</v>
      </c>
      <c r="B3564" t="str">
        <f>"1551603969178360"</f>
        <v>1551603969178360</v>
      </c>
      <c r="C3564" t="s">
        <v>40</v>
      </c>
      <c r="D3564">
        <v>5.7695980000000002</v>
      </c>
      <c r="E3564">
        <v>0.59959259999999903</v>
      </c>
      <c r="F3564" t="s">
        <v>84</v>
      </c>
      <c r="G3564">
        <v>-209.85310000000001</v>
      </c>
      <c r="H3564" s="1">
        <v>-4.5622969999999996E-6</v>
      </c>
      <c r="I3564">
        <v>137.30850000000001</v>
      </c>
      <c r="J3564">
        <v>-193.91</v>
      </c>
      <c r="K3564">
        <v>1.111094</v>
      </c>
      <c r="L3564">
        <v>150.2063</v>
      </c>
      <c r="M3564">
        <v>-0.42538969999999998</v>
      </c>
      <c r="N3564">
        <v>-1.4718200000000001E-2</v>
      </c>
      <c r="O3564">
        <v>-0.90489070000000005</v>
      </c>
      <c r="P3564">
        <v>-0.63805780000000001</v>
      </c>
      <c r="Q3564">
        <v>0.17624529999999999</v>
      </c>
      <c r="R3564">
        <v>-0.74954659999999995</v>
      </c>
      <c r="S3564">
        <v>-2.4282379999999999</v>
      </c>
      <c r="T3564">
        <v>-0.16812839999999901</v>
      </c>
      <c r="U3564">
        <v>-1.9833069999999999</v>
      </c>
      <c r="V3564">
        <v>0.26313950000000003</v>
      </c>
      <c r="W3564">
        <v>0.1838053</v>
      </c>
      <c r="X3564">
        <v>0.94708669999999995</v>
      </c>
      <c r="Y3564">
        <v>0.4308843</v>
      </c>
      <c r="Z3564">
        <v>4.1742019999999998E-2</v>
      </c>
      <c r="AA3564">
        <v>0.9014413</v>
      </c>
      <c r="AB3564">
        <v>29</v>
      </c>
      <c r="AC3564">
        <v>-15.943099999999999</v>
      </c>
      <c r="AD3564">
        <v>-1.111098562297</v>
      </c>
      <c r="AE3564">
        <v>-12.897799999999901</v>
      </c>
      <c r="AF3564">
        <v>8.9149681299608599</v>
      </c>
      <c r="AG3564">
        <v>-1.111098562297</v>
      </c>
      <c r="AH3564">
        <v>18.401108003146099</v>
      </c>
      <c r="AI3564">
        <v>93.110426373236507</v>
      </c>
      <c r="AJ3564">
        <v>64.150741545597299</v>
      </c>
      <c r="AK3564">
        <v>20.4771084999031</v>
      </c>
      <c r="AL3564">
        <v>79.408513254080106</v>
      </c>
      <c r="AM3564">
        <v>74.472527061589204</v>
      </c>
      <c r="AN3564">
        <v>1.00000000104261</v>
      </c>
    </row>
    <row r="3565" spans="1:40" x14ac:dyDescent="0.25">
      <c r="A3565" t="str">
        <f>"20190303170609206"</f>
        <v>20190303170609206</v>
      </c>
      <c r="B3565" t="str">
        <f>"1551603969198856"</f>
        <v>1551603969198856</v>
      </c>
      <c r="C3565" t="s">
        <v>40</v>
      </c>
      <c r="D3565">
        <v>5.9339060000000003</v>
      </c>
      <c r="E3565">
        <v>0.61400679999999996</v>
      </c>
      <c r="F3565" t="s">
        <v>41</v>
      </c>
      <c r="G3565">
        <v>-217.79910000000001</v>
      </c>
      <c r="H3565" s="1">
        <v>-2.578693E-6</v>
      </c>
      <c r="I3565">
        <v>133.04179999999999</v>
      </c>
      <c r="J3565">
        <v>-194.02099999999999</v>
      </c>
      <c r="K3565">
        <v>1.110787</v>
      </c>
      <c r="L3565">
        <v>149.99520000000001</v>
      </c>
      <c r="M3565">
        <v>-0.43528349999999999</v>
      </c>
      <c r="N3565">
        <v>-1.479406E-2</v>
      </c>
      <c r="O3565">
        <v>-0.90017190000000002</v>
      </c>
      <c r="P3565">
        <v>-0.6479374</v>
      </c>
      <c r="Q3565">
        <v>0.17669370000000001</v>
      </c>
      <c r="R3565">
        <v>-0.74091640000000003</v>
      </c>
      <c r="S3565">
        <v>-2.567596</v>
      </c>
      <c r="T3565">
        <v>-0.11942029999999999</v>
      </c>
      <c r="U3565">
        <v>-1.8448329999999999</v>
      </c>
      <c r="V3565">
        <v>0.2655073</v>
      </c>
      <c r="W3565">
        <v>0.18407000000000001</v>
      </c>
      <c r="X3565">
        <v>0.94637420000000005</v>
      </c>
      <c r="Y3565">
        <v>0.47664810000000002</v>
      </c>
      <c r="Z3565">
        <v>2.6473E-2</v>
      </c>
      <c r="AA3565">
        <v>0.87869549999999996</v>
      </c>
      <c r="AB3565">
        <v>29</v>
      </c>
      <c r="AC3565">
        <v>-23.778099999999998</v>
      </c>
      <c r="AD3565">
        <v>-1.110789578693</v>
      </c>
      <c r="AE3565">
        <v>-16.953399999999998</v>
      </c>
      <c r="AF3565">
        <v>14.006112874879699</v>
      </c>
      <c r="AG3565">
        <v>-1.110789578693</v>
      </c>
      <c r="AH3565">
        <v>25.576986754373301</v>
      </c>
      <c r="AI3565">
        <v>92.181447522528103</v>
      </c>
      <c r="AJ3565">
        <v>61.2946200395779</v>
      </c>
      <c r="AK3565">
        <v>29.1819687955661</v>
      </c>
      <c r="AL3565">
        <v>79.393083886223806</v>
      </c>
      <c r="AM3565">
        <v>74.328422749385098</v>
      </c>
      <c r="AN3565">
        <v>1.0000000088394601</v>
      </c>
    </row>
    <row r="3566" spans="1:40" x14ac:dyDescent="0.25">
      <c r="A3566" t="str">
        <f>"20190303170609232"</f>
        <v>20190303170609232</v>
      </c>
      <c r="B3566" t="str">
        <f>"1551603969228137"</f>
        <v>1551603969228137</v>
      </c>
      <c r="C3566" t="s">
        <v>40</v>
      </c>
      <c r="D3566">
        <v>5.7977999999999996</v>
      </c>
      <c r="E3566">
        <v>0.66569959999999995</v>
      </c>
      <c r="F3566" t="s">
        <v>41</v>
      </c>
      <c r="G3566">
        <v>-224.11930000000001</v>
      </c>
      <c r="H3566" s="1">
        <v>-4.40197799999999E-6</v>
      </c>
      <c r="I3566">
        <v>130.5411</v>
      </c>
      <c r="J3566">
        <v>-194.18450000000001</v>
      </c>
      <c r="K3566">
        <v>1.110368</v>
      </c>
      <c r="L3566">
        <v>149.696</v>
      </c>
      <c r="M3566">
        <v>-0.4498741</v>
      </c>
      <c r="N3566">
        <v>-1.4909210000000001E-2</v>
      </c>
      <c r="O3566">
        <v>-0.89296759999999997</v>
      </c>
      <c r="P3566">
        <v>-0.66152610000000001</v>
      </c>
      <c r="Q3566">
        <v>0.17661160000000001</v>
      </c>
      <c r="R3566">
        <v>-0.72882939999999996</v>
      </c>
      <c r="S3566">
        <v>-2.677826</v>
      </c>
      <c r="T3566">
        <v>-9.8826529999999996E-2</v>
      </c>
      <c r="U3566">
        <v>-1.73082</v>
      </c>
      <c r="V3566">
        <v>0.26778170000000001</v>
      </c>
      <c r="W3566">
        <v>0.18377289999999999</v>
      </c>
      <c r="X3566">
        <v>0.94579089999999999</v>
      </c>
      <c r="Y3566">
        <v>0.50548609999999905</v>
      </c>
      <c r="Z3566">
        <v>1.9960530000000001E-2</v>
      </c>
      <c r="AA3566">
        <v>0.86260380000000003</v>
      </c>
      <c r="AB3566">
        <v>29</v>
      </c>
      <c r="AC3566">
        <v>-29.934799999999999</v>
      </c>
      <c r="AD3566">
        <v>-1.1103724019779999</v>
      </c>
      <c r="AE3566">
        <v>-19.154900000000001</v>
      </c>
      <c r="AF3566">
        <v>18.0978585955672</v>
      </c>
      <c r="AG3566">
        <v>-1.1103724019779999</v>
      </c>
      <c r="AH3566">
        <v>30.545174931095701</v>
      </c>
      <c r="AI3566">
        <v>91.791312712614598</v>
      </c>
      <c r="AJ3566">
        <v>59.353477303330799</v>
      </c>
      <c r="AK3566">
        <v>35.521445975459102</v>
      </c>
      <c r="AL3566">
        <v>79.410401497235497</v>
      </c>
      <c r="AM3566">
        <v>74.191595369592306</v>
      </c>
      <c r="AN3566">
        <v>0.99999997207605396</v>
      </c>
    </row>
    <row r="3567" spans="1:40" x14ac:dyDescent="0.25">
      <c r="A3567" t="str">
        <f>"20190303170609251"</f>
        <v>20190303170609251</v>
      </c>
      <c r="B3567" t="str">
        <f>"1551603969238873"</f>
        <v>1551603969238873</v>
      </c>
      <c r="C3567" t="s">
        <v>40</v>
      </c>
      <c r="D3567">
        <v>5.8055580000000004</v>
      </c>
      <c r="E3567">
        <v>0.66606319999999997</v>
      </c>
      <c r="F3567" t="s">
        <v>89</v>
      </c>
      <c r="G3567">
        <v>-260.52730000000003</v>
      </c>
      <c r="H3567">
        <v>0.47328900000000002</v>
      </c>
      <c r="I3567">
        <v>118.98990000000001</v>
      </c>
      <c r="J3567">
        <v>-194.31180000000001</v>
      </c>
      <c r="K3567">
        <v>1.1100810000000001</v>
      </c>
      <c r="L3567">
        <v>149.47120000000001</v>
      </c>
      <c r="M3567">
        <v>-0.46119199999999999</v>
      </c>
      <c r="N3567">
        <v>-1.499853E-2</v>
      </c>
      <c r="O3567">
        <v>-0.88717389999999996</v>
      </c>
      <c r="P3567">
        <v>-0.67292929999999995</v>
      </c>
      <c r="Q3567">
        <v>0.17674479999999901</v>
      </c>
      <c r="R3567">
        <v>-0.71828119999999995</v>
      </c>
      <c r="S3567">
        <v>-3.008575</v>
      </c>
      <c r="T3567">
        <v>-2.889013E-2</v>
      </c>
      <c r="U3567">
        <v>-1.392487</v>
      </c>
      <c r="V3567">
        <v>0.27081660000000002</v>
      </c>
      <c r="W3567">
        <v>0.18371009999999999</v>
      </c>
      <c r="X3567">
        <v>0.94493859999999996</v>
      </c>
      <c r="Y3567">
        <v>0.61138819999999905</v>
      </c>
      <c r="Z3567">
        <v>-1.8424870000000001E-3</v>
      </c>
      <c r="AA3567">
        <v>0.791328699999999</v>
      </c>
      <c r="AB3567">
        <v>29</v>
      </c>
      <c r="AC3567">
        <v>-66.215500000000006</v>
      </c>
      <c r="AD3567">
        <v>-0.63679199999999903</v>
      </c>
      <c r="AE3567">
        <v>-30.481300000000001</v>
      </c>
      <c r="AF3567">
        <v>44.688536237401799</v>
      </c>
      <c r="AG3567">
        <v>-0.63679199999999903</v>
      </c>
      <c r="AH3567">
        <v>57.582340206210503</v>
      </c>
      <c r="AI3567">
        <v>90.500550395993798</v>
      </c>
      <c r="AJ3567">
        <v>52.185655458789199</v>
      </c>
      <c r="AK3567">
        <v>72.891677705459699</v>
      </c>
      <c r="AL3567">
        <v>79.4140622362291</v>
      </c>
      <c r="AM3567">
        <v>74.007854452143604</v>
      </c>
      <c r="AN3567">
        <v>0.999999994723765</v>
      </c>
    </row>
    <row r="3568" spans="1:40" x14ac:dyDescent="0.25">
      <c r="A3568" t="str">
        <f>"20190303170609271"</f>
        <v>20190303170609271</v>
      </c>
      <c r="B3568" t="str">
        <f>"1551603969258036"</f>
        <v>1551603969258036</v>
      </c>
      <c r="C3568" t="s">
        <v>40</v>
      </c>
      <c r="D3568">
        <v>5.8315390000000003</v>
      </c>
      <c r="E3568">
        <v>0.66585609999999995</v>
      </c>
      <c r="F3568" t="s">
        <v>89</v>
      </c>
      <c r="G3568">
        <v>-266.3374</v>
      </c>
      <c r="H3568">
        <v>0.34253879999999998</v>
      </c>
      <c r="I3568">
        <v>117.52889999999999</v>
      </c>
      <c r="J3568">
        <v>-194.45179999999999</v>
      </c>
      <c r="K3568">
        <v>1.109785</v>
      </c>
      <c r="L3568">
        <v>149.23220000000001</v>
      </c>
      <c r="M3568">
        <v>-0.47356179999999898</v>
      </c>
      <c r="N3568">
        <v>-1.5094120000000001E-2</v>
      </c>
      <c r="O3568">
        <v>-0.88063130000000001</v>
      </c>
      <c r="P3568">
        <v>-0.68472749999999905</v>
      </c>
      <c r="Q3568">
        <v>0.1764223</v>
      </c>
      <c r="R3568">
        <v>-0.70712350000000002</v>
      </c>
      <c r="S3568">
        <v>-3.0315249999999998</v>
      </c>
      <c r="T3568">
        <v>-3.2305479999999998E-2</v>
      </c>
      <c r="U3568">
        <v>-1.3444370000000001</v>
      </c>
      <c r="V3568">
        <v>0.27332779999999901</v>
      </c>
      <c r="W3568">
        <v>0.1832085</v>
      </c>
      <c r="X3568">
        <v>0.94431279999999995</v>
      </c>
      <c r="Y3568">
        <v>0.61301589999999995</v>
      </c>
      <c r="Z3568">
        <v>-6.8595050000000001E-4</v>
      </c>
      <c r="AA3568">
        <v>0.7900703</v>
      </c>
      <c r="AB3568">
        <v>29</v>
      </c>
      <c r="AC3568">
        <v>-71.885599999999997</v>
      </c>
      <c r="AD3568">
        <v>-0.76724619999999999</v>
      </c>
      <c r="AE3568">
        <v>-31.703299999999999</v>
      </c>
      <c r="AF3568">
        <v>48.292131827034503</v>
      </c>
      <c r="AG3568">
        <v>-0.76724619999999999</v>
      </c>
      <c r="AH3568">
        <v>61.962339826578599</v>
      </c>
      <c r="AI3568">
        <v>90.559563730411796</v>
      </c>
      <c r="AJ3568">
        <v>52.067905985893297</v>
      </c>
      <c r="AK3568">
        <v>78.562396984279403</v>
      </c>
      <c r="AL3568">
        <v>79.443298626312796</v>
      </c>
      <c r="AM3568">
        <v>73.857111496176103</v>
      </c>
      <c r="AN3568">
        <v>1.0000000524844599</v>
      </c>
    </row>
    <row r="3569" spans="1:40" x14ac:dyDescent="0.25">
      <c r="A3569" t="str">
        <f>"20190303170609299"</f>
        <v>20190303170609299</v>
      </c>
      <c r="B3569" t="str">
        <f>"1551603969288292"</f>
        <v>1551603969288292</v>
      </c>
      <c r="C3569" t="s">
        <v>40</v>
      </c>
      <c r="D3569">
        <v>5.8655949999999999</v>
      </c>
      <c r="E3569">
        <v>0.66552789999999995</v>
      </c>
      <c r="F3569" t="s">
        <v>89</v>
      </c>
      <c r="G3569">
        <v>-269.13639999999998</v>
      </c>
      <c r="H3569">
        <v>0.2954774</v>
      </c>
      <c r="I3569">
        <v>117.52889999999999</v>
      </c>
      <c r="J3569">
        <v>-194.63509999999999</v>
      </c>
      <c r="K3569">
        <v>1.1094200000000001</v>
      </c>
      <c r="L3569">
        <v>148.93090000000001</v>
      </c>
      <c r="M3569">
        <v>-0.4896086</v>
      </c>
      <c r="N3569">
        <v>-1.5212969999999999E-2</v>
      </c>
      <c r="O3569">
        <v>-0.87180949999999902</v>
      </c>
      <c r="P3569">
        <v>-0.69863390000000003</v>
      </c>
      <c r="Q3569">
        <v>0.1755747</v>
      </c>
      <c r="R3569">
        <v>-0.69360239999999995</v>
      </c>
      <c r="S3569">
        <v>-3.0520019999999999</v>
      </c>
      <c r="T3569">
        <v>-3.3276800000000002E-2</v>
      </c>
      <c r="U3569">
        <v>-1.295563</v>
      </c>
      <c r="V3569">
        <v>0.27481929999999999</v>
      </c>
      <c r="W3569">
        <v>0.18219830000000001</v>
      </c>
      <c r="X3569">
        <v>0.94407529999999995</v>
      </c>
      <c r="Y3569">
        <v>0.61116890000000001</v>
      </c>
      <c r="Z3569">
        <v>-2.954686E-4</v>
      </c>
      <c r="AA3569">
        <v>0.79150019999999999</v>
      </c>
      <c r="AB3569">
        <v>29</v>
      </c>
      <c r="AC3569">
        <v>-74.501299999999901</v>
      </c>
      <c r="AD3569">
        <v>-0.81394259999999996</v>
      </c>
      <c r="AE3569">
        <v>-31.402000000000001</v>
      </c>
      <c r="AF3569">
        <v>49.576969314636301</v>
      </c>
      <c r="AG3569">
        <v>-0.81394259999999996</v>
      </c>
      <c r="AH3569">
        <v>63.853963193898799</v>
      </c>
      <c r="AI3569">
        <v>90.576862284595194</v>
      </c>
      <c r="AJ3569">
        <v>52.173814270326702</v>
      </c>
      <c r="AK3569">
        <v>80.844709193293994</v>
      </c>
      <c r="AL3569">
        <v>79.502169392855393</v>
      </c>
      <c r="AM3569">
        <v>73.769779053561095</v>
      </c>
      <c r="AN3569">
        <v>1.0000000201227299</v>
      </c>
    </row>
    <row r="3570" spans="1:40" x14ac:dyDescent="0.25">
      <c r="A3570" t="str">
        <f>"20190303170609318"</f>
        <v>20190303170609318</v>
      </c>
      <c r="B3570" t="str">
        <f>"1551603969308789"</f>
        <v>1551603969308789</v>
      </c>
      <c r="C3570" t="s">
        <v>40</v>
      </c>
      <c r="D3570">
        <v>5.8835519999999999</v>
      </c>
      <c r="E3570">
        <v>0.66515859999999905</v>
      </c>
      <c r="F3570" t="s">
        <v>43</v>
      </c>
      <c r="G3570">
        <v>-288.4692</v>
      </c>
      <c r="H3570">
        <v>-0.05</v>
      </c>
      <c r="I3570">
        <v>111.16719999999999</v>
      </c>
      <c r="J3570">
        <v>-194.7773</v>
      </c>
      <c r="K3570">
        <v>1.109164</v>
      </c>
      <c r="L3570">
        <v>148.70609999999999</v>
      </c>
      <c r="M3570">
        <v>-0.50189819999999996</v>
      </c>
      <c r="N3570">
        <v>-1.530013E-2</v>
      </c>
      <c r="O3570">
        <v>-0.86479150000000005</v>
      </c>
      <c r="P3570">
        <v>-0.70981369999999999</v>
      </c>
      <c r="Q3570">
        <v>0.17492439999999901</v>
      </c>
      <c r="R3570">
        <v>-0.68232429999999999</v>
      </c>
      <c r="S3570">
        <v>-3.075027</v>
      </c>
      <c r="T3570">
        <v>-3.7995220000000003E-2</v>
      </c>
      <c r="U3570">
        <v>-1.237549</v>
      </c>
      <c r="V3570">
        <v>0.27681030000000001</v>
      </c>
      <c r="W3570">
        <v>0.18140819999999999</v>
      </c>
      <c r="X3570">
        <v>0.94364570000000003</v>
      </c>
      <c r="Y3570">
        <v>0.61485440000000002</v>
      </c>
      <c r="Z3570">
        <v>1.298848E-3</v>
      </c>
      <c r="AA3570">
        <v>0.7886396</v>
      </c>
      <c r="AB3570">
        <v>29</v>
      </c>
      <c r="AC3570">
        <v>-93.691900000000004</v>
      </c>
      <c r="AD3570">
        <v>-1.1591639999999901</v>
      </c>
      <c r="AE3570">
        <v>-37.538899999999998</v>
      </c>
      <c r="AF3570">
        <v>62.182323162647201</v>
      </c>
      <c r="AG3570">
        <v>-1.1591639999999901</v>
      </c>
      <c r="AH3570">
        <v>79.485929787177497</v>
      </c>
      <c r="AI3570">
        <v>90.658074818083605</v>
      </c>
      <c r="AJ3570">
        <v>51.963713159582099</v>
      </c>
      <c r="AK3570">
        <v>100.925705393695</v>
      </c>
      <c r="AL3570">
        <v>79.5482062249759</v>
      </c>
      <c r="AM3570">
        <v>73.651405722217405</v>
      </c>
      <c r="AN3570">
        <v>1.0000000421709001</v>
      </c>
    </row>
    <row r="3571" spans="1:40" x14ac:dyDescent="0.25">
      <c r="A3571" t="str">
        <f>"20190303170609343"</f>
        <v>20190303170609343</v>
      </c>
      <c r="B3571" t="str">
        <f>"1551603969328309"</f>
        <v>1551603969328309</v>
      </c>
      <c r="C3571" t="s">
        <v>40</v>
      </c>
      <c r="D3571">
        <v>5.8879279999999996</v>
      </c>
      <c r="E3571">
        <v>0.66434649999999995</v>
      </c>
      <c r="F3571" t="s">
        <v>43</v>
      </c>
      <c r="G3571">
        <v>-268.97210000000001</v>
      </c>
      <c r="H3571">
        <v>-0.05</v>
      </c>
      <c r="I3571">
        <v>120.07810000000001</v>
      </c>
      <c r="J3571">
        <v>-194.9606</v>
      </c>
      <c r="K3571">
        <v>1.1088800000000001</v>
      </c>
      <c r="L3571">
        <v>148.42670000000001</v>
      </c>
      <c r="M3571">
        <v>-0.5174974</v>
      </c>
      <c r="N3571">
        <v>-1.5404370000000001E-2</v>
      </c>
      <c r="O3571">
        <v>-0.85554649999999999</v>
      </c>
      <c r="P3571">
        <v>-0.7237749</v>
      </c>
      <c r="Q3571">
        <v>0.17476340000000001</v>
      </c>
      <c r="R3571">
        <v>-0.6675392</v>
      </c>
      <c r="S3571">
        <v>-3.0916600000000001</v>
      </c>
      <c r="T3571">
        <v>-4.8301820000000002E-2</v>
      </c>
      <c r="U3571">
        <v>-1.192917</v>
      </c>
      <c r="V3571">
        <v>0.27931739999999999</v>
      </c>
      <c r="W3571">
        <v>0.18108079999999999</v>
      </c>
      <c r="X3571">
        <v>0.94296950000000002</v>
      </c>
      <c r="Y3571">
        <v>0.61186130000000005</v>
      </c>
      <c r="Z3571">
        <v>4.5916589999999997E-3</v>
      </c>
      <c r="AA3571">
        <v>0.79095179999999998</v>
      </c>
      <c r="AB3571">
        <v>29</v>
      </c>
      <c r="AC3571">
        <v>-74.011499999999998</v>
      </c>
      <c r="AD3571">
        <v>-1.1588799999999999</v>
      </c>
      <c r="AE3571">
        <v>-28.348600000000001</v>
      </c>
      <c r="AF3571">
        <v>48.645309203164203</v>
      </c>
      <c r="AG3571">
        <v>-1.1588799999999999</v>
      </c>
      <c r="AH3571">
        <v>62.548333328867599</v>
      </c>
      <c r="AI3571">
        <v>90.837908606472993</v>
      </c>
      <c r="AJ3571">
        <v>52.126953820820503</v>
      </c>
      <c r="AK3571">
        <v>79.246470663020602</v>
      </c>
      <c r="AL3571">
        <v>79.567280033606593</v>
      </c>
      <c r="AM3571">
        <v>73.500161503919898</v>
      </c>
      <c r="AN3571">
        <v>0.99999997200082402</v>
      </c>
    </row>
    <row r="3572" spans="1:40" x14ac:dyDescent="0.25">
      <c r="A3572" t="str">
        <f>"20190303170609362"</f>
        <v>20190303170609362</v>
      </c>
      <c r="B3572" t="str">
        <f>"1551603969348805"</f>
        <v>1551603969348805</v>
      </c>
      <c r="C3572" t="s">
        <v>40</v>
      </c>
      <c r="D3572">
        <v>6.003622</v>
      </c>
      <c r="E3572">
        <v>0.66321419999999998</v>
      </c>
      <c r="F3572" t="s">
        <v>41</v>
      </c>
      <c r="G3572">
        <v>-253.59950000000001</v>
      </c>
      <c r="H3572">
        <v>7.9985890000000004E-2</v>
      </c>
      <c r="I3572">
        <v>127.0167</v>
      </c>
      <c r="J3572">
        <v>-195.09880000000001</v>
      </c>
      <c r="K3572">
        <v>1.1087039999999999</v>
      </c>
      <c r="L3572">
        <v>148.22380000000001</v>
      </c>
      <c r="M3572">
        <v>-0.52905990000000003</v>
      </c>
      <c r="N3572">
        <v>-1.547721E-2</v>
      </c>
      <c r="O3572">
        <v>-0.84844330000000001</v>
      </c>
      <c r="P3572">
        <v>-0.73405830000000005</v>
      </c>
      <c r="Q3572">
        <v>0.17560970000000001</v>
      </c>
      <c r="R3572">
        <v>-0.65598749999999995</v>
      </c>
      <c r="S3572">
        <v>-3.1106410000000002</v>
      </c>
      <c r="T3572">
        <v>-5.4580209999999997E-2</v>
      </c>
      <c r="U3572">
        <v>-1.135742</v>
      </c>
      <c r="V3572">
        <v>0.2813988</v>
      </c>
      <c r="W3572">
        <v>0.18180489999999999</v>
      </c>
      <c r="X3572">
        <v>0.94221109999999997</v>
      </c>
      <c r="Y3572">
        <v>0.61547549999999995</v>
      </c>
      <c r="Z3572">
        <v>6.6723080000000001E-3</v>
      </c>
      <c r="AA3572">
        <v>0.78812780000000004</v>
      </c>
      <c r="AB3572">
        <v>29</v>
      </c>
      <c r="AC3572">
        <v>-58.500700000000002</v>
      </c>
      <c r="AD3572">
        <v>-1.02871811</v>
      </c>
      <c r="AE3572">
        <v>-21.207100000000001</v>
      </c>
      <c r="AF3572">
        <v>38.408806091161701</v>
      </c>
      <c r="AG3572">
        <v>-1.02871811</v>
      </c>
      <c r="AH3572">
        <v>48.9358861268814</v>
      </c>
      <c r="AI3572">
        <v>90.947384657334396</v>
      </c>
      <c r="AJ3572">
        <v>51.8723349747358</v>
      </c>
      <c r="AK3572">
        <v>62.217486266494298</v>
      </c>
      <c r="AL3572">
        <v>79.525092528968599</v>
      </c>
      <c r="AM3572">
        <v>73.371328555817101</v>
      </c>
      <c r="AN3572">
        <v>1.0000000316343201</v>
      </c>
    </row>
    <row r="3573" spans="1:40" x14ac:dyDescent="0.25">
      <c r="A3573" t="str">
        <f>"20190303170609384"</f>
        <v>20190303170609384</v>
      </c>
      <c r="B3573" t="str">
        <f>"1551603969378150"</f>
        <v>1551603969378150</v>
      </c>
      <c r="C3573" t="s">
        <v>40</v>
      </c>
      <c r="D3573">
        <v>5.903702</v>
      </c>
      <c r="E3573">
        <v>0.65161610000000003</v>
      </c>
      <c r="F3573" t="s">
        <v>41</v>
      </c>
      <c r="G3573">
        <v>-251.53270000000001</v>
      </c>
      <c r="H3573">
        <v>7.9986429999999997E-2</v>
      </c>
      <c r="I3573">
        <v>128.42519999999999</v>
      </c>
      <c r="J3573">
        <v>-195.26820000000001</v>
      </c>
      <c r="K3573">
        <v>1.1085179999999999</v>
      </c>
      <c r="L3573">
        <v>147.98339999999999</v>
      </c>
      <c r="M3573">
        <v>-0.54295839999999995</v>
      </c>
      <c r="N3573">
        <v>-1.555818E-2</v>
      </c>
      <c r="O3573">
        <v>-0.83961549999999996</v>
      </c>
      <c r="P3573">
        <v>-0.74647989999999997</v>
      </c>
      <c r="Q3573">
        <v>0.17700589999999999</v>
      </c>
      <c r="R3573">
        <v>-0.64143319999999904</v>
      </c>
      <c r="S3573">
        <v>-3.1217649999999999</v>
      </c>
      <c r="T3573">
        <v>-5.6905869999999997E-2</v>
      </c>
      <c r="U3573">
        <v>-1.0952</v>
      </c>
      <c r="V3573">
        <v>0.28425640000000002</v>
      </c>
      <c r="W3573">
        <v>0.1830534</v>
      </c>
      <c r="X3573">
        <v>0.94111089999999997</v>
      </c>
      <c r="Y3573">
        <v>0.61246679999999998</v>
      </c>
      <c r="Z3573">
        <v>7.4634590000000004E-3</v>
      </c>
      <c r="AA3573">
        <v>0.79046110000000003</v>
      </c>
      <c r="AB3573">
        <v>29</v>
      </c>
      <c r="AC3573">
        <v>-56.264499999999998</v>
      </c>
      <c r="AD3573">
        <v>-1.02853157</v>
      </c>
      <c r="AE3573">
        <v>-19.558199999999999</v>
      </c>
      <c r="AF3573">
        <v>36.614772628795897</v>
      </c>
      <c r="AG3573">
        <v>-1.02853157</v>
      </c>
      <c r="AH3573">
        <v>46.962333462804096</v>
      </c>
      <c r="AI3573">
        <v>90.989512866539599</v>
      </c>
      <c r="AJ3573">
        <v>52.057792045196898</v>
      </c>
      <c r="AK3573">
        <v>59.558040734400599</v>
      </c>
      <c r="AL3573">
        <v>79.452337374498399</v>
      </c>
      <c r="AM3573">
        <v>73.193401507349705</v>
      </c>
      <c r="AN3573">
        <v>0.99999998714566496</v>
      </c>
    </row>
    <row r="3574" spans="1:40" x14ac:dyDescent="0.25">
      <c r="A3574" t="str">
        <f>"20190303170609408"</f>
        <v>20190303170609408</v>
      </c>
      <c r="B3574" t="str">
        <f>"1551603969398646"</f>
        <v>1551603969398646</v>
      </c>
      <c r="C3574" t="s">
        <v>40</v>
      </c>
      <c r="D3574">
        <v>5.8908529999999999</v>
      </c>
      <c r="E3574">
        <v>0.64962200000000003</v>
      </c>
      <c r="F3574" t="s">
        <v>41</v>
      </c>
      <c r="G3574">
        <v>-240.66159999999999</v>
      </c>
      <c r="H3574" s="1">
        <v>-5.4010450000000002E-6</v>
      </c>
      <c r="I3574">
        <v>131.65270000000001</v>
      </c>
      <c r="J3574">
        <v>-195.44980000000001</v>
      </c>
      <c r="K3574">
        <v>1.108357</v>
      </c>
      <c r="L3574">
        <v>147.73509999999999</v>
      </c>
      <c r="M3574">
        <v>-0.55752749999999995</v>
      </c>
      <c r="N3574">
        <v>-1.5634229999999999E-2</v>
      </c>
      <c r="O3574">
        <v>-0.83001119999999995</v>
      </c>
      <c r="P3574">
        <v>-0.75912809999999997</v>
      </c>
      <c r="Q3574">
        <v>0.1774453</v>
      </c>
      <c r="R3574">
        <v>-0.62628909999999904</v>
      </c>
      <c r="S3574">
        <v>-3.0835110000000001</v>
      </c>
      <c r="T3574">
        <v>-7.530046E-2</v>
      </c>
      <c r="U3574">
        <v>-1.1093139999999999</v>
      </c>
      <c r="V3574">
        <v>0.28676800000000002</v>
      </c>
      <c r="W3574">
        <v>0.1833679</v>
      </c>
      <c r="X3574">
        <v>0.9402874</v>
      </c>
      <c r="Y3574">
        <v>0.59213349999999998</v>
      </c>
      <c r="Z3574">
        <v>1.315354E-2</v>
      </c>
      <c r="AA3574">
        <v>0.80573249999999996</v>
      </c>
      <c r="AB3574">
        <v>29</v>
      </c>
      <c r="AC3574">
        <v>-45.211799999999897</v>
      </c>
      <c r="AD3574">
        <v>-1.1083624010449999</v>
      </c>
      <c r="AE3574">
        <v>-16.0823999999999</v>
      </c>
      <c r="AF3574">
        <v>28.548182286401701</v>
      </c>
      <c r="AG3574">
        <v>-1.1083624010449999</v>
      </c>
      <c r="AH3574">
        <v>38.539548095459402</v>
      </c>
      <c r="AI3574">
        <v>91.323839425750194</v>
      </c>
      <c r="AJ3574">
        <v>53.4707905252112</v>
      </c>
      <c r="AK3574">
        <v>47.9742008424518</v>
      </c>
      <c r="AL3574">
        <v>79.434008092126604</v>
      </c>
      <c r="AM3574">
        <v>73.039389964929498</v>
      </c>
      <c r="AN3574">
        <v>1.00000003358658</v>
      </c>
    </row>
    <row r="3575" spans="1:40" x14ac:dyDescent="0.25">
      <c r="A3575" t="str">
        <f>"20190303170609434"</f>
        <v>20190303170609434</v>
      </c>
      <c r="B3575" t="str">
        <f>"1551603969428902"</f>
        <v>1551603969428902</v>
      </c>
      <c r="C3575" t="s">
        <v>40</v>
      </c>
      <c r="D3575">
        <v>5.8692449999999896</v>
      </c>
      <c r="E3575">
        <v>0.63787539999999998</v>
      </c>
      <c r="F3575" t="s">
        <v>41</v>
      </c>
      <c r="G3575">
        <v>-237.80350000000001</v>
      </c>
      <c r="H3575" s="1">
        <v>-2.4414780000000001E-6</v>
      </c>
      <c r="I3575">
        <v>133.19720000000001</v>
      </c>
      <c r="J3575">
        <v>-195.66249999999999</v>
      </c>
      <c r="K3575">
        <v>1.1082110000000001</v>
      </c>
      <c r="L3575">
        <v>147.45580000000001</v>
      </c>
      <c r="M3575">
        <v>-0.57412109999999905</v>
      </c>
      <c r="N3575">
        <v>-1.5711059999999999E-2</v>
      </c>
      <c r="O3575">
        <v>-0.81861949999999895</v>
      </c>
      <c r="P3575">
        <v>-0.77244109999999999</v>
      </c>
      <c r="Q3575">
        <v>0.178227</v>
      </c>
      <c r="R3575">
        <v>-0.60956529999999998</v>
      </c>
      <c r="S3575">
        <v>-3.0945279999999999</v>
      </c>
      <c r="T3575">
        <v>-8.0981139999999993E-2</v>
      </c>
      <c r="U3575">
        <v>-1.062195</v>
      </c>
      <c r="V3575">
        <v>0.28831709999999999</v>
      </c>
      <c r="W3575">
        <v>0.1840677</v>
      </c>
      <c r="X3575">
        <v>0.93967670000000003</v>
      </c>
      <c r="Y3575">
        <v>0.58771010000000001</v>
      </c>
      <c r="Z3575">
        <v>1.494583E-2</v>
      </c>
      <c r="AA3575">
        <v>0.80893349999999997</v>
      </c>
      <c r="AB3575">
        <v>29</v>
      </c>
      <c r="AC3575">
        <v>-42.140999999999998</v>
      </c>
      <c r="AD3575">
        <v>-1.108213441478</v>
      </c>
      <c r="AE3575">
        <v>-14.258599999999999</v>
      </c>
      <c r="AF3575">
        <v>26.2982134354218</v>
      </c>
      <c r="AG3575">
        <v>-1.108213441478</v>
      </c>
      <c r="AH3575">
        <v>35.848591818952798</v>
      </c>
      <c r="AI3575">
        <v>91.427854046694705</v>
      </c>
      <c r="AJ3575">
        <v>53.7365536166079</v>
      </c>
      <c r="AK3575">
        <v>44.474101478599501</v>
      </c>
      <c r="AL3575">
        <v>79.3932176954292</v>
      </c>
      <c r="AM3575">
        <v>72.942632993722498</v>
      </c>
      <c r="AN3575">
        <v>0.99999998442929405</v>
      </c>
    </row>
    <row r="3576" spans="1:40" x14ac:dyDescent="0.25">
      <c r="A3576" t="str">
        <f>"20190303170609450"</f>
        <v>20190303170609450</v>
      </c>
      <c r="B3576" t="str">
        <f>"1551603969438662"</f>
        <v>1551603969438662</v>
      </c>
      <c r="C3576" t="s">
        <v>40</v>
      </c>
      <c r="D3576">
        <v>5.8612409999999997</v>
      </c>
      <c r="E3576">
        <v>0.63751219999999997</v>
      </c>
      <c r="F3576" t="s">
        <v>41</v>
      </c>
      <c r="G3576">
        <v>-234.5624</v>
      </c>
      <c r="H3576" s="1">
        <v>-3.376563E-6</v>
      </c>
      <c r="I3576">
        <v>133.82810000000001</v>
      </c>
      <c r="J3576">
        <v>-195.79079999999999</v>
      </c>
      <c r="K3576">
        <v>1.1081490000000001</v>
      </c>
      <c r="L3576">
        <v>147.2927</v>
      </c>
      <c r="M3576">
        <v>-0.58389089999999999</v>
      </c>
      <c r="N3576">
        <v>-1.575145E-2</v>
      </c>
      <c r="O3576">
        <v>-0.81167959999999995</v>
      </c>
      <c r="P3576">
        <v>-0.77996169999999998</v>
      </c>
      <c r="Q3576">
        <v>0.1791392</v>
      </c>
      <c r="R3576">
        <v>-0.59964130000000004</v>
      </c>
      <c r="S3576">
        <v>-3.0583800000000001</v>
      </c>
      <c r="T3576">
        <v>-8.7129709999999999E-2</v>
      </c>
      <c r="U3576">
        <v>-1.071426</v>
      </c>
      <c r="V3576">
        <v>0.28895969999999999</v>
      </c>
      <c r="W3576">
        <v>0.184946</v>
      </c>
      <c r="X3576">
        <v>0.9393068</v>
      </c>
      <c r="Y3576">
        <v>0.57277009999999995</v>
      </c>
      <c r="Z3576">
        <v>1.6871810000000001E-2</v>
      </c>
      <c r="AA3576">
        <v>0.81954229999999995</v>
      </c>
      <c r="AB3576">
        <v>29</v>
      </c>
      <c r="AC3576">
        <v>-38.771599999999999</v>
      </c>
      <c r="AD3576">
        <v>-1.1081523765629999</v>
      </c>
      <c r="AE3576">
        <v>-13.4645999999999</v>
      </c>
      <c r="AF3576">
        <v>23.5939834307244</v>
      </c>
      <c r="AG3576">
        <v>-1.1081523765629999</v>
      </c>
      <c r="AH3576">
        <v>33.5470273674729</v>
      </c>
      <c r="AI3576">
        <v>91.547723066694303</v>
      </c>
      <c r="AJ3576">
        <v>54.8808694184495</v>
      </c>
      <c r="AK3576">
        <v>41.028125731173198</v>
      </c>
      <c r="AL3576">
        <v>79.342015879350498</v>
      </c>
      <c r="AM3576">
        <v>72.900490557863193</v>
      </c>
      <c r="AN3576">
        <v>0.99999999783316496</v>
      </c>
    </row>
    <row r="3577" spans="1:40" x14ac:dyDescent="0.25">
      <c r="A3577" t="str">
        <f>"20190303170609473"</f>
        <v>20190303170609473</v>
      </c>
      <c r="B3577" t="str">
        <f>"1551603969458182"</f>
        <v>1551603969458182</v>
      </c>
      <c r="C3577" t="s">
        <v>40</v>
      </c>
      <c r="D3577">
        <v>5.8284580000000004</v>
      </c>
      <c r="E3577">
        <v>0.63763959999999997</v>
      </c>
      <c r="F3577" t="s">
        <v>41</v>
      </c>
      <c r="G3577">
        <v>-234.9529</v>
      </c>
      <c r="H3577" s="1">
        <v>-3.1781039999999998E-6</v>
      </c>
      <c r="I3577">
        <v>134.0746</v>
      </c>
      <c r="J3577">
        <v>-195.97790000000001</v>
      </c>
      <c r="K3577">
        <v>1.1080719999999999</v>
      </c>
      <c r="L3577">
        <v>147.06209999999999</v>
      </c>
      <c r="M3577">
        <v>-0.59780089999999997</v>
      </c>
      <c r="N3577">
        <v>-1.580285E-2</v>
      </c>
      <c r="O3577">
        <v>-0.80148889999999995</v>
      </c>
      <c r="P3577">
        <v>-0.78997019999999996</v>
      </c>
      <c r="Q3577">
        <v>0.18073990000000001</v>
      </c>
      <c r="R3577">
        <v>-0.58590120000000001</v>
      </c>
      <c r="S3577">
        <v>-3.0697329999999998</v>
      </c>
      <c r="T3577">
        <v>-8.6862800000000004E-2</v>
      </c>
      <c r="U3577">
        <v>-1.0361020000000001</v>
      </c>
      <c r="V3577">
        <v>0.28899259999999999</v>
      </c>
      <c r="W3577">
        <v>0.18653710000000001</v>
      </c>
      <c r="X3577">
        <v>0.93898199999999998</v>
      </c>
      <c r="Y3577">
        <v>0.56801069999999998</v>
      </c>
      <c r="Z3577">
        <v>1.6757210000000002E-2</v>
      </c>
      <c r="AA3577">
        <v>0.82285049999999904</v>
      </c>
      <c r="AB3577">
        <v>29</v>
      </c>
      <c r="AC3577">
        <v>-38.975000000000001</v>
      </c>
      <c r="AD3577">
        <v>-1.1080751781039999</v>
      </c>
      <c r="AE3577">
        <v>-12.987499999999899</v>
      </c>
      <c r="AF3577">
        <v>23.459953865658601</v>
      </c>
      <c r="AG3577">
        <v>-1.1080751781039999</v>
      </c>
      <c r="AH3577">
        <v>33.688326788901101</v>
      </c>
      <c r="AI3577">
        <v>91.546148901311199</v>
      </c>
      <c r="AJ3577">
        <v>55.147330466430397</v>
      </c>
      <c r="AK3577">
        <v>41.0670260405468</v>
      </c>
      <c r="AL3577">
        <v>79.249238164910395</v>
      </c>
      <c r="AM3577">
        <v>72.893087065936498</v>
      </c>
      <c r="AN3577">
        <v>1.0000000044275801</v>
      </c>
    </row>
    <row r="3578" spans="1:40" x14ac:dyDescent="0.25">
      <c r="A3578" t="str">
        <f>"20190303170609496"</f>
        <v>20190303170609496</v>
      </c>
      <c r="B3578" t="str">
        <f>"1551603969488439"</f>
        <v>1551603969488439</v>
      </c>
      <c r="C3578" t="s">
        <v>40</v>
      </c>
      <c r="D3578">
        <v>5.588095</v>
      </c>
      <c r="E3578">
        <v>0.63099719999999904</v>
      </c>
      <c r="F3578" t="s">
        <v>41</v>
      </c>
      <c r="G3578">
        <v>-236.27979999999999</v>
      </c>
      <c r="H3578" s="1">
        <v>-2.6871909999999998E-6</v>
      </c>
      <c r="I3578">
        <v>134.2225</v>
      </c>
      <c r="J3578">
        <v>-196.1765</v>
      </c>
      <c r="K3578">
        <v>1.1080049999999999</v>
      </c>
      <c r="L3578">
        <v>146.82599999999999</v>
      </c>
      <c r="M3578">
        <v>-0.6121413</v>
      </c>
      <c r="N3578">
        <v>-1.5849200000000001E-2</v>
      </c>
      <c r="O3578">
        <v>-0.7905896</v>
      </c>
      <c r="P3578">
        <v>-0.80028299999999997</v>
      </c>
      <c r="Q3578">
        <v>0.181843</v>
      </c>
      <c r="R3578">
        <v>-0.57138469999999997</v>
      </c>
      <c r="S3578">
        <v>-3.087494</v>
      </c>
      <c r="T3578">
        <v>-8.4888699999999997E-2</v>
      </c>
      <c r="U3578">
        <v>-0.98362729999999998</v>
      </c>
      <c r="V3578">
        <v>0.289083799999999</v>
      </c>
      <c r="W3578">
        <v>0.18763650000000001</v>
      </c>
      <c r="X3578">
        <v>0.93873479999999998</v>
      </c>
      <c r="Y3578">
        <v>0.56726619999999905</v>
      </c>
      <c r="Z3578">
        <v>1.6185370000000001E-2</v>
      </c>
      <c r="AA3578">
        <v>0.82337549999999904</v>
      </c>
      <c r="AB3578">
        <v>29</v>
      </c>
      <c r="AC3578">
        <v>-40.103299999999898</v>
      </c>
      <c r="AD3578">
        <v>-1.1080076871909901</v>
      </c>
      <c r="AE3578">
        <v>-12.603499999999899</v>
      </c>
      <c r="AF3578">
        <v>23.976484429406</v>
      </c>
      <c r="AG3578">
        <v>-1.1080076871909901</v>
      </c>
      <c r="AH3578">
        <v>34.493452593865698</v>
      </c>
      <c r="AI3578">
        <v>91.510890402612503</v>
      </c>
      <c r="AJ3578">
        <v>55.196740440865398</v>
      </c>
      <c r="AK3578">
        <v>42.022586289681001</v>
      </c>
      <c r="AL3578">
        <v>79.185114520518795</v>
      </c>
      <c r="AM3578">
        <v>72.883760950123502</v>
      </c>
      <c r="AN3578">
        <v>0.99999996214286402</v>
      </c>
    </row>
    <row r="3579" spans="1:40" x14ac:dyDescent="0.25">
      <c r="A3579" t="str">
        <f>"20190303170609518"</f>
        <v>20190303170609518</v>
      </c>
      <c r="B3579" t="str">
        <f>"1551603969508935"</f>
        <v>1551603969508935</v>
      </c>
      <c r="C3579" t="s">
        <v>40</v>
      </c>
      <c r="D3579">
        <v>5.7615129999999999</v>
      </c>
      <c r="E3579">
        <v>0.63113039999999998</v>
      </c>
      <c r="F3579" t="s">
        <v>41</v>
      </c>
      <c r="G3579">
        <v>-232.11500000000001</v>
      </c>
      <c r="H3579" s="1">
        <v>-4.1081870000000002E-6</v>
      </c>
      <c r="I3579">
        <v>135.42619999999999</v>
      </c>
      <c r="J3579">
        <v>-196.36279999999999</v>
      </c>
      <c r="K3579">
        <v>1.1079639999999999</v>
      </c>
      <c r="L3579">
        <v>146.6121</v>
      </c>
      <c r="M3579">
        <v>-0.62519250000000004</v>
      </c>
      <c r="N3579">
        <v>-1.5886049999999999E-2</v>
      </c>
      <c r="O3579">
        <v>-0.78030900000000003</v>
      </c>
      <c r="P3579">
        <v>-0.80979319999999999</v>
      </c>
      <c r="Q3579">
        <v>0.18196100000000001</v>
      </c>
      <c r="R3579">
        <v>-0.55778609999999995</v>
      </c>
      <c r="S3579">
        <v>-3.074036</v>
      </c>
      <c r="T3579">
        <v>-9.4774839999999999E-2</v>
      </c>
      <c r="U3579">
        <v>-0.97508240000000002</v>
      </c>
      <c r="V3579">
        <v>0.28934520000000002</v>
      </c>
      <c r="W3579">
        <v>0.18775169999999999</v>
      </c>
      <c r="X3579">
        <v>0.93863129999999995</v>
      </c>
      <c r="Y3579">
        <v>0.55448699999999995</v>
      </c>
      <c r="Z3579">
        <v>1.9097920000000001E-2</v>
      </c>
      <c r="AA3579">
        <v>0.83197319999999997</v>
      </c>
      <c r="AB3579">
        <v>29</v>
      </c>
      <c r="AC3579">
        <v>-35.752200000000002</v>
      </c>
      <c r="AD3579">
        <v>-1.1079681081870001</v>
      </c>
      <c r="AE3579">
        <v>-11.1859</v>
      </c>
      <c r="AF3579">
        <v>20.888786481982699</v>
      </c>
      <c r="AG3579">
        <v>-1.1079681081870001</v>
      </c>
      <c r="AH3579">
        <v>31.057218067758999</v>
      </c>
      <c r="AI3579">
        <v>91.695589529362294</v>
      </c>
      <c r="AJ3579">
        <v>56.075602121412402</v>
      </c>
      <c r="AK3579">
        <v>37.444890013551401</v>
      </c>
      <c r="AL3579">
        <v>79.178395376555997</v>
      </c>
      <c r="AM3579">
        <v>72.867411119988901</v>
      </c>
      <c r="AN3579">
        <v>1.0000000314777999</v>
      </c>
    </row>
    <row r="3580" spans="1:40" x14ac:dyDescent="0.25">
      <c r="A3580" t="str">
        <f>"20190303170609540"</f>
        <v>20190303170609540</v>
      </c>
      <c r="B3580" t="str">
        <f>"1551603969528454"</f>
        <v>1551603969528454</v>
      </c>
      <c r="C3580" t="s">
        <v>40</v>
      </c>
      <c r="D3580">
        <v>5.5080619999999998</v>
      </c>
      <c r="E3580">
        <v>0.63006909999999905</v>
      </c>
      <c r="F3580" t="s">
        <v>41</v>
      </c>
      <c r="G3580">
        <v>-261.89139999999998</v>
      </c>
      <c r="H3580">
        <v>7.9986379999999996E-2</v>
      </c>
      <c r="I3580">
        <v>127.18</v>
      </c>
      <c r="J3580">
        <v>-196.5498</v>
      </c>
      <c r="K3580">
        <v>1.1079289999999999</v>
      </c>
      <c r="L3580">
        <v>146.40469999999999</v>
      </c>
      <c r="M3580">
        <v>-0.63791309999999901</v>
      </c>
      <c r="N3580">
        <v>-1.5917420000000002E-2</v>
      </c>
      <c r="O3580">
        <v>-0.76994379999999996</v>
      </c>
      <c r="P3580">
        <v>-0.81857000000000002</v>
      </c>
      <c r="Q3580">
        <v>0.18206919999999999</v>
      </c>
      <c r="R3580">
        <v>-0.544788099999999</v>
      </c>
      <c r="S3580">
        <v>-3.0853269999999999</v>
      </c>
      <c r="T3580">
        <v>-4.8401E-2</v>
      </c>
      <c r="U3580">
        <v>-0.91493230000000003</v>
      </c>
      <c r="V3580">
        <v>0.28892329999999999</v>
      </c>
      <c r="W3580">
        <v>0.1878843</v>
      </c>
      <c r="X3580">
        <v>0.93873470000000003</v>
      </c>
      <c r="Y3580">
        <v>0.55676749999999997</v>
      </c>
      <c r="Z3580">
        <v>5.3307500000000004E-3</v>
      </c>
      <c r="AA3580">
        <v>0.83065119999999903</v>
      </c>
      <c r="AB3580">
        <v>29</v>
      </c>
      <c r="AC3580">
        <v>-65.3415999999999</v>
      </c>
      <c r="AD3580">
        <v>-1.0279426199999999</v>
      </c>
      <c r="AE3580">
        <v>-19.224699999999899</v>
      </c>
      <c r="AF3580">
        <v>38.041828633198101</v>
      </c>
      <c r="AG3580">
        <v>-1.0279426199999999</v>
      </c>
      <c r="AH3580">
        <v>56.478495417759703</v>
      </c>
      <c r="AI3580">
        <v>90.864848262500502</v>
      </c>
      <c r="AJ3580">
        <v>56.037247708539397</v>
      </c>
      <c r="AK3580">
        <v>68.103288000224595</v>
      </c>
      <c r="AL3580">
        <v>79.170660068953396</v>
      </c>
      <c r="AM3580">
        <v>72.892707266899095</v>
      </c>
      <c r="AN3580">
        <v>1.0000000102267299</v>
      </c>
    </row>
    <row r="3581" spans="1:40" x14ac:dyDescent="0.25">
      <c r="A3581" t="str">
        <f>"20190303170609565"</f>
        <v>20190303170609565</v>
      </c>
      <c r="B3581" t="str">
        <f>"1551603969558242"</f>
        <v>1551603969558242</v>
      </c>
      <c r="C3581" t="s">
        <v>40</v>
      </c>
      <c r="D3581">
        <v>5.4379379999999999</v>
      </c>
      <c r="E3581">
        <v>0.62865280000000001</v>
      </c>
      <c r="F3581" t="s">
        <v>41</v>
      </c>
      <c r="G3581">
        <v>-261.48200000000003</v>
      </c>
      <c r="H3581">
        <v>7.9986459999999995E-2</v>
      </c>
      <c r="I3581">
        <v>128.095</v>
      </c>
      <c r="J3581">
        <v>-196.7705</v>
      </c>
      <c r="K3581">
        <v>1.10791</v>
      </c>
      <c r="L3581">
        <v>146.16820000000001</v>
      </c>
      <c r="M3581">
        <v>-0.65246150000000003</v>
      </c>
      <c r="N3581">
        <v>-1.5948270000000001E-2</v>
      </c>
      <c r="O3581">
        <v>-0.75765400000000005</v>
      </c>
      <c r="P3581">
        <v>-0.82810149999999905</v>
      </c>
      <c r="Q3581">
        <v>0.18314939999999999</v>
      </c>
      <c r="R3581">
        <v>-0.52981540000000005</v>
      </c>
      <c r="S3581">
        <v>-3.094986</v>
      </c>
      <c r="T3581">
        <v>-4.8996810000000002E-2</v>
      </c>
      <c r="U3581">
        <v>-0.87272640000000001</v>
      </c>
      <c r="V3581">
        <v>0.28797420000000001</v>
      </c>
      <c r="W3581">
        <v>0.18901100000000001</v>
      </c>
      <c r="X3581">
        <v>0.93880019999999997</v>
      </c>
      <c r="Y3581">
        <v>0.55209819999999998</v>
      </c>
      <c r="Z3581">
        <v>5.5870629999999998E-3</v>
      </c>
      <c r="AA3581">
        <v>0.83376039999999996</v>
      </c>
      <c r="AB3581">
        <v>29</v>
      </c>
      <c r="AC3581">
        <v>-64.711500000000001</v>
      </c>
      <c r="AD3581">
        <v>-1.02792354</v>
      </c>
      <c r="AE3581">
        <v>-18.0732</v>
      </c>
      <c r="AF3581">
        <v>37.232882242088401</v>
      </c>
      <c r="AG3581">
        <v>-1.02792354</v>
      </c>
      <c r="AH3581">
        <v>55.909022157067902</v>
      </c>
      <c r="AI3581">
        <v>90.876717926727693</v>
      </c>
      <c r="AJ3581">
        <v>56.338178468287801</v>
      </c>
      <c r="AK3581">
        <v>67.180078188528697</v>
      </c>
      <c r="AL3581">
        <v>79.104927703594697</v>
      </c>
      <c r="AM3581">
        <v>72.946758945785007</v>
      </c>
      <c r="AN3581">
        <v>1.00000005675333</v>
      </c>
    </row>
    <row r="3582" spans="1:40" x14ac:dyDescent="0.25">
      <c r="A3582" t="str">
        <f>"20190303170609585"</f>
        <v>20190303170609585</v>
      </c>
      <c r="B3582" t="str">
        <f>"1551603969578738"</f>
        <v>1551603969578738</v>
      </c>
      <c r="C3582" t="s">
        <v>40</v>
      </c>
      <c r="D3582">
        <v>5.4131539999999996</v>
      </c>
      <c r="E3582">
        <v>0.62768230000000003</v>
      </c>
      <c r="F3582" t="s">
        <v>41</v>
      </c>
      <c r="G3582">
        <v>-266.47710000000001</v>
      </c>
      <c r="H3582">
        <v>7.9986489999999993E-2</v>
      </c>
      <c r="I3582">
        <v>127.6242</v>
      </c>
      <c r="J3582">
        <v>-196.9579</v>
      </c>
      <c r="K3582">
        <v>1.107904</v>
      </c>
      <c r="L3582">
        <v>145.97470000000001</v>
      </c>
      <c r="M3582">
        <v>-0.66442199999999996</v>
      </c>
      <c r="N3582">
        <v>-1.5969939999999998E-2</v>
      </c>
      <c r="O3582">
        <v>-0.74718709999999999</v>
      </c>
      <c r="P3582">
        <v>-0.83573379999999997</v>
      </c>
      <c r="Q3582">
        <v>0.1847703</v>
      </c>
      <c r="R3582">
        <v>-0.51711649999999998</v>
      </c>
      <c r="S3582">
        <v>-3.1044770000000002</v>
      </c>
      <c r="T3582">
        <v>-4.5779939999999998E-2</v>
      </c>
      <c r="U3582">
        <v>-0.82588200000000001</v>
      </c>
      <c r="V3582">
        <v>0.28716720000000001</v>
      </c>
      <c r="W3582">
        <v>0.19067149999999999</v>
      </c>
      <c r="X3582">
        <v>0.93871159999999998</v>
      </c>
      <c r="Y3582">
        <v>0.55122340000000003</v>
      </c>
      <c r="Z3582">
        <v>4.7495039999999999E-3</v>
      </c>
      <c r="AA3582">
        <v>0.83434419999999898</v>
      </c>
      <c r="AB3582">
        <v>28</v>
      </c>
      <c r="AC3582">
        <v>-69.519199999999998</v>
      </c>
      <c r="AD3582">
        <v>-1.02791751</v>
      </c>
      <c r="AE3582">
        <v>-18.3505</v>
      </c>
      <c r="AF3582">
        <v>39.748315626559297</v>
      </c>
      <c r="AG3582">
        <v>-1.02791751</v>
      </c>
      <c r="AH3582">
        <v>59.896734824419497</v>
      </c>
      <c r="AI3582">
        <v>90.819236064908097</v>
      </c>
      <c r="AJ3582">
        <v>56.431188604300203</v>
      </c>
      <c r="AK3582">
        <v>71.8930041950034</v>
      </c>
      <c r="AL3582">
        <v>79.008025742706195</v>
      </c>
      <c r="AM3582">
        <v>72.990273304541901</v>
      </c>
      <c r="AN3582">
        <v>1.00000004482132</v>
      </c>
    </row>
    <row r="3583" spans="1:40" x14ac:dyDescent="0.25">
      <c r="A3583" t="str">
        <f>"20190303170609608"</f>
        <v>20190303170609608</v>
      </c>
      <c r="B3583" t="str">
        <f>"1551603969598258"</f>
        <v>1551603969598258</v>
      </c>
      <c r="C3583" t="s">
        <v>40</v>
      </c>
      <c r="D3583">
        <v>5.4247370000000004</v>
      </c>
      <c r="E3583">
        <v>0.61545109999999903</v>
      </c>
      <c r="F3583" t="s">
        <v>41</v>
      </c>
      <c r="G3583">
        <v>-269.15269999999998</v>
      </c>
      <c r="H3583">
        <v>7.9985689999999998E-2</v>
      </c>
      <c r="I3583">
        <v>127.72239999999999</v>
      </c>
      <c r="J3583">
        <v>-197.1747</v>
      </c>
      <c r="K3583">
        <v>1.1079030000000001</v>
      </c>
      <c r="L3583">
        <v>145.7587</v>
      </c>
      <c r="M3583">
        <v>-0.67781979999999997</v>
      </c>
      <c r="N3583">
        <v>-1.599043E-2</v>
      </c>
      <c r="O3583">
        <v>-0.73505410000000004</v>
      </c>
      <c r="P3583">
        <v>-0.84474090000000002</v>
      </c>
      <c r="Q3583">
        <v>0.18543680000000001</v>
      </c>
      <c r="R3583">
        <v>-0.50202230000000003</v>
      </c>
      <c r="S3583">
        <v>-3.112549</v>
      </c>
      <c r="T3583">
        <v>-4.4316889999999998E-2</v>
      </c>
      <c r="U3583">
        <v>-0.78691099999999903</v>
      </c>
      <c r="V3583">
        <v>0.28697450000000002</v>
      </c>
      <c r="W3583">
        <v>0.19136049999999999</v>
      </c>
      <c r="X3583">
        <v>0.93863030000000003</v>
      </c>
      <c r="Y3583">
        <v>0.54646249999999996</v>
      </c>
      <c r="Z3583">
        <v>4.3989550000000004E-3</v>
      </c>
      <c r="AA3583">
        <v>0.837471999999999</v>
      </c>
      <c r="AB3583">
        <v>28</v>
      </c>
      <c r="AC3583">
        <v>-71.977999999999895</v>
      </c>
      <c r="AD3583">
        <v>-1.0279173100000001</v>
      </c>
      <c r="AE3583">
        <v>-18.036300000000001</v>
      </c>
      <c r="AF3583">
        <v>40.6797604560794</v>
      </c>
      <c r="AG3583">
        <v>-1.0279173100000001</v>
      </c>
      <c r="AH3583">
        <v>62.041800997894903</v>
      </c>
      <c r="AI3583">
        <v>90.793802947344602</v>
      </c>
      <c r="AJ3583">
        <v>56.747821315366103</v>
      </c>
      <c r="AK3583">
        <v>74.196257289856504</v>
      </c>
      <c r="AL3583">
        <v>78.967808175950793</v>
      </c>
      <c r="AM3583">
        <v>72.999641680974605</v>
      </c>
      <c r="AN3583">
        <v>1.00000002234429</v>
      </c>
    </row>
    <row r="3584" spans="1:40" x14ac:dyDescent="0.25">
      <c r="A3584" t="str">
        <f>"20190303170609630"</f>
        <v>20190303170609630</v>
      </c>
      <c r="B3584" t="str">
        <f>"1551603969618754"</f>
        <v>1551603969618754</v>
      </c>
      <c r="C3584" t="s">
        <v>40</v>
      </c>
      <c r="D3584">
        <v>5.4014129999999998</v>
      </c>
      <c r="E3584">
        <v>0.61415019999999998</v>
      </c>
      <c r="F3584" t="s">
        <v>41</v>
      </c>
      <c r="G3584">
        <v>-302.26889999999997</v>
      </c>
      <c r="H3584" s="1">
        <v>-4.1224929999999999E-6</v>
      </c>
      <c r="I3584">
        <v>117.9183</v>
      </c>
      <c r="J3584">
        <v>-197.3767</v>
      </c>
      <c r="K3584">
        <v>1.107907</v>
      </c>
      <c r="L3584">
        <v>145.56399999999999</v>
      </c>
      <c r="M3584">
        <v>-0.68991959999999997</v>
      </c>
      <c r="N3584">
        <v>-1.6006070000000001E-2</v>
      </c>
      <c r="O3584">
        <v>-0.72370900000000005</v>
      </c>
      <c r="P3584">
        <v>-0.85284150000000003</v>
      </c>
      <c r="Q3584">
        <v>0.1847261</v>
      </c>
      <c r="R3584">
        <v>-0.48840309999999998</v>
      </c>
      <c r="S3584">
        <v>-3.0744630000000002</v>
      </c>
      <c r="T3584">
        <v>-3.2411099999999998E-2</v>
      </c>
      <c r="U3584">
        <v>-0.81445310000000004</v>
      </c>
      <c r="V3584">
        <v>0.28655160000000002</v>
      </c>
      <c r="W3584">
        <v>0.19068470000000001</v>
      </c>
      <c r="X3584">
        <v>0.93889699999999998</v>
      </c>
      <c r="Y3584">
        <v>0.52289399999999997</v>
      </c>
      <c r="Z3584">
        <v>8.9324679999999896E-4</v>
      </c>
      <c r="AA3584">
        <v>0.85239719999999997</v>
      </c>
      <c r="AB3584">
        <v>28</v>
      </c>
      <c r="AC3584">
        <v>-104.89219999999899</v>
      </c>
      <c r="AD3584">
        <v>-1.1079111224930001</v>
      </c>
      <c r="AE3584">
        <v>-27.645699999999898</v>
      </c>
      <c r="AF3584">
        <v>56.839472721502098</v>
      </c>
      <c r="AG3584">
        <v>-1.1079111224930001</v>
      </c>
      <c r="AH3584">
        <v>92.376826856338596</v>
      </c>
      <c r="AI3584">
        <v>90.585236199093302</v>
      </c>
      <c r="AJ3584">
        <v>58.396009303288899</v>
      </c>
      <c r="AK3584">
        <v>108.468572712835</v>
      </c>
      <c r="AL3584">
        <v>79.007255087222504</v>
      </c>
      <c r="AM3584">
        <v>73.027797654489405</v>
      </c>
      <c r="AN3584">
        <v>1.0000000254428201</v>
      </c>
    </row>
    <row r="3585" spans="1:40" x14ac:dyDescent="0.25">
      <c r="A3585" t="str">
        <f>"20190303170609651"</f>
        <v>20190303170609651</v>
      </c>
      <c r="B3585" t="str">
        <f>"1551603969638274"</f>
        <v>1551603969638274</v>
      </c>
      <c r="C3585" t="s">
        <v>40</v>
      </c>
      <c r="D3585">
        <v>5.4313779999999996</v>
      </c>
      <c r="E3585">
        <v>0.61282119999999995</v>
      </c>
      <c r="F3585" t="s">
        <v>41</v>
      </c>
      <c r="G3585">
        <v>-273.16719999999998</v>
      </c>
      <c r="H3585">
        <v>7.9986039999999994E-2</v>
      </c>
      <c r="I3585">
        <v>126.5241</v>
      </c>
      <c r="J3585">
        <v>-197.57650000000001</v>
      </c>
      <c r="K3585">
        <v>1.1079129999999999</v>
      </c>
      <c r="L3585">
        <v>145.3777</v>
      </c>
      <c r="M3585">
        <v>-0.70152309999999996</v>
      </c>
      <c r="N3585">
        <v>-1.601874E-2</v>
      </c>
      <c r="O3585">
        <v>-0.71246669999999901</v>
      </c>
      <c r="P3585">
        <v>-0.85991260000000003</v>
      </c>
      <c r="Q3585">
        <v>0.18367130000000001</v>
      </c>
      <c r="R3585">
        <v>-0.47625089999999998</v>
      </c>
      <c r="S3585">
        <v>-3.0831300000000001</v>
      </c>
      <c r="T3585">
        <v>-4.1815520000000002E-2</v>
      </c>
      <c r="U3585">
        <v>-0.77453609999999995</v>
      </c>
      <c r="V3585">
        <v>0.2848234</v>
      </c>
      <c r="W3585">
        <v>0.18971279999999999</v>
      </c>
      <c r="X3585">
        <v>0.93961939999999999</v>
      </c>
      <c r="Y3585">
        <v>0.5200456</v>
      </c>
      <c r="Z3585">
        <v>3.6992499999999998E-3</v>
      </c>
      <c r="AA3585">
        <v>0.85413050000000001</v>
      </c>
      <c r="AB3585">
        <v>28</v>
      </c>
      <c r="AC3585">
        <v>-75.590699999999899</v>
      </c>
      <c r="AD3585">
        <v>-1.0279269599999901</v>
      </c>
      <c r="AE3585">
        <v>-18.8536</v>
      </c>
      <c r="AF3585">
        <v>40.627760304694696</v>
      </c>
      <c r="AG3585">
        <v>-1.0279269599999901</v>
      </c>
      <c r="AH3585">
        <v>66.4581412328791</v>
      </c>
      <c r="AI3585">
        <v>90.756069928685605</v>
      </c>
      <c r="AJ3585">
        <v>58.5613637319125</v>
      </c>
      <c r="AK3585">
        <v>77.899653897434803</v>
      </c>
      <c r="AL3585">
        <v>79.063975611982499</v>
      </c>
      <c r="AM3585">
        <v>73.136561064132195</v>
      </c>
      <c r="AN3585">
        <v>0.99999996626387899</v>
      </c>
    </row>
    <row r="3586" spans="1:40" x14ac:dyDescent="0.25">
      <c r="A3586" t="str">
        <f>"20190303170609689"</f>
        <v>20190303170609689</v>
      </c>
      <c r="B3586" t="str">
        <f>"1551603969678290"</f>
        <v>1551603969678290</v>
      </c>
      <c r="C3586" t="s">
        <v>40</v>
      </c>
      <c r="D3586">
        <v>5.3769210000000003</v>
      </c>
      <c r="E3586">
        <v>0.61157059999999996</v>
      </c>
      <c r="F3586" t="s">
        <v>41</v>
      </c>
      <c r="G3586">
        <v>-263.52100000000002</v>
      </c>
      <c r="H3586">
        <v>3.0545940000000001E-2</v>
      </c>
      <c r="I3586">
        <v>129.61619999999999</v>
      </c>
      <c r="J3586">
        <v>-197.93960000000001</v>
      </c>
      <c r="K3586">
        <v>1.1079380000000001</v>
      </c>
      <c r="L3586">
        <v>145.054</v>
      </c>
      <c r="M3586">
        <v>-0.72175480000000003</v>
      </c>
      <c r="N3586">
        <v>-1.603605E-2</v>
      </c>
      <c r="O3586">
        <v>-0.69196299999999999</v>
      </c>
      <c r="P3586">
        <v>-0.87195319999999898</v>
      </c>
      <c r="Q3586">
        <v>0.18571509999999999</v>
      </c>
      <c r="R3586">
        <v>-0.45299850000000003</v>
      </c>
      <c r="S3586">
        <v>-3.0904240000000001</v>
      </c>
      <c r="T3586">
        <v>-5.0489779999999998E-2</v>
      </c>
      <c r="U3586">
        <v>-0.73864750000000001</v>
      </c>
      <c r="V3586">
        <v>0.28272709999999901</v>
      </c>
      <c r="W3586">
        <v>0.19186039999999999</v>
      </c>
      <c r="X3586">
        <v>0.93981650000000005</v>
      </c>
      <c r="Y3586">
        <v>0.50517699999999999</v>
      </c>
      <c r="Z3586">
        <v>6.1472999999999996E-3</v>
      </c>
      <c r="AA3586">
        <v>0.86299380000000003</v>
      </c>
      <c r="AB3586">
        <v>28</v>
      </c>
      <c r="AC3586">
        <v>-65.581399999999903</v>
      </c>
      <c r="AD3586">
        <v>-1.07739205999999</v>
      </c>
      <c r="AE3586">
        <v>-15.437799999999999</v>
      </c>
      <c r="AF3586">
        <v>34.2332459946415</v>
      </c>
      <c r="AG3586">
        <v>-1.07739205999999</v>
      </c>
      <c r="AH3586">
        <v>58.008705436014502</v>
      </c>
      <c r="AI3586">
        <v>90.916386256451105</v>
      </c>
      <c r="AJ3586">
        <v>59.453453730426901</v>
      </c>
      <c r="AK3586">
        <v>67.365316085823395</v>
      </c>
      <c r="AL3586">
        <v>78.938625484854697</v>
      </c>
      <c r="AM3586">
        <v>73.257019312123404</v>
      </c>
      <c r="AN3586">
        <v>1.0000000399174001</v>
      </c>
    </row>
    <row r="3587" spans="1:40" x14ac:dyDescent="0.25">
      <c r="A3587" t="str">
        <f>"20190303170609707"</f>
        <v>20190303170609707</v>
      </c>
      <c r="B3587" t="str">
        <f>"1551603969698786"</f>
        <v>1551603969698786</v>
      </c>
      <c r="C3587" t="s">
        <v>40</v>
      </c>
      <c r="D3587">
        <v>5.3700929999999998</v>
      </c>
      <c r="E3587">
        <v>0.61132969999999998</v>
      </c>
      <c r="F3587" t="s">
        <v>41</v>
      </c>
      <c r="G3587">
        <v>-270.14359999999999</v>
      </c>
      <c r="H3587">
        <v>6.5296629999999994E-2</v>
      </c>
      <c r="I3587">
        <v>129.60079999999999</v>
      </c>
      <c r="J3587">
        <v>-198.12700000000001</v>
      </c>
      <c r="K3587">
        <v>1.1079600000000001</v>
      </c>
      <c r="L3587">
        <v>144.89420000000001</v>
      </c>
      <c r="M3587">
        <v>-0.73177590000000003</v>
      </c>
      <c r="N3587">
        <v>-1.6042509999999999E-2</v>
      </c>
      <c r="O3587">
        <v>-0.68135649999999903</v>
      </c>
      <c r="P3587">
        <v>-0.87764869999999995</v>
      </c>
      <c r="Q3587">
        <v>0.1878976</v>
      </c>
      <c r="R3587">
        <v>-0.44093900000000003</v>
      </c>
      <c r="S3587">
        <v>-3.1048740000000001</v>
      </c>
      <c r="T3587">
        <v>-4.4835090000000001E-2</v>
      </c>
      <c r="U3587">
        <v>-0.66450500000000001</v>
      </c>
      <c r="V3587">
        <v>0.28170770000000001</v>
      </c>
      <c r="W3587">
        <v>0.1940907</v>
      </c>
      <c r="X3587">
        <v>0.93966459999999996</v>
      </c>
      <c r="Y3587">
        <v>0.51308860000000001</v>
      </c>
      <c r="Z3587">
        <v>4.7849169999999996E-3</v>
      </c>
      <c r="AA3587">
        <v>0.85832229999999998</v>
      </c>
      <c r="AB3587">
        <v>28</v>
      </c>
      <c r="AC3587">
        <v>-72.016599999999897</v>
      </c>
      <c r="AD3587">
        <v>-1.0426633700000001</v>
      </c>
      <c r="AE3587">
        <v>-15.2934</v>
      </c>
      <c r="AF3587">
        <v>37.874915271359498</v>
      </c>
      <c r="AG3587">
        <v>-1.0426633700000001</v>
      </c>
      <c r="AH3587">
        <v>63.115734270261598</v>
      </c>
      <c r="AI3587">
        <v>90.811547587254296</v>
      </c>
      <c r="AJ3587">
        <v>59.032589283006203</v>
      </c>
      <c r="AK3587">
        <v>73.615163289841803</v>
      </c>
      <c r="AL3587">
        <v>78.808390216080099</v>
      </c>
      <c r="AM3587">
        <v>73.311478967029103</v>
      </c>
      <c r="AN3587">
        <v>0.99999999427946995</v>
      </c>
    </row>
    <row r="3588" spans="1:40" x14ac:dyDescent="0.25">
      <c r="A3588" t="str">
        <f>"20190303170609729"</f>
        <v>20190303170609729</v>
      </c>
      <c r="B3588" t="str">
        <f>"1551603969718305"</f>
        <v>1551603969718305</v>
      </c>
      <c r="C3588" t="s">
        <v>40</v>
      </c>
      <c r="D3588">
        <v>5.3849039999999997</v>
      </c>
      <c r="E3588">
        <v>0.60145749999999998</v>
      </c>
      <c r="F3588" t="s">
        <v>41</v>
      </c>
      <c r="G3588">
        <v>-276.13729999999998</v>
      </c>
      <c r="H3588">
        <v>7.9986509999999997E-2</v>
      </c>
      <c r="I3588">
        <v>129.23820000000001</v>
      </c>
      <c r="J3588">
        <v>-198.3374</v>
      </c>
      <c r="K3588">
        <v>1.1079810000000001</v>
      </c>
      <c r="L3588">
        <v>144.72040000000001</v>
      </c>
      <c r="M3588">
        <v>-0.74270360000000002</v>
      </c>
      <c r="N3588">
        <v>-1.6048119999999999E-2</v>
      </c>
      <c r="O3588">
        <v>-0.66942829999999998</v>
      </c>
      <c r="P3588">
        <v>-0.88421819999999896</v>
      </c>
      <c r="Q3588">
        <v>0.1875938</v>
      </c>
      <c r="R3588">
        <v>-0.42774669999999998</v>
      </c>
      <c r="S3588">
        <v>-3.1131129999999998</v>
      </c>
      <c r="T3588">
        <v>-4.1022780000000002E-2</v>
      </c>
      <c r="U3588">
        <v>-0.62477109999999902</v>
      </c>
      <c r="V3588">
        <v>0.28059810000000002</v>
      </c>
      <c r="W3588">
        <v>0.19384750000000001</v>
      </c>
      <c r="X3588">
        <v>0.94004670000000001</v>
      </c>
      <c r="Y3588">
        <v>0.51017729999999994</v>
      </c>
      <c r="Z3588">
        <v>3.8071149999999998E-3</v>
      </c>
      <c r="AA3588">
        <v>0.86006090000000002</v>
      </c>
      <c r="AB3588">
        <v>28</v>
      </c>
      <c r="AC3588">
        <v>-77.799899999999894</v>
      </c>
      <c r="AD3588">
        <v>-1.02799449</v>
      </c>
      <c r="AE3588">
        <v>-15.482200000000001</v>
      </c>
      <c r="AF3588">
        <v>40.581172077517401</v>
      </c>
      <c r="AG3588">
        <v>-1.02799449</v>
      </c>
      <c r="AH3588">
        <v>68.143806883892196</v>
      </c>
      <c r="AI3588">
        <v>90.742590905861903</v>
      </c>
      <c r="AJ3588">
        <v>59.225248712454402</v>
      </c>
      <c r="AK3588">
        <v>79.318766483637006</v>
      </c>
      <c r="AL3588">
        <v>78.822594073567799</v>
      </c>
      <c r="AM3588">
        <v>73.379962508653193</v>
      </c>
      <c r="AN3588">
        <v>0.99999997258037399</v>
      </c>
    </row>
    <row r="3589" spans="1:40" x14ac:dyDescent="0.25">
      <c r="A3589" t="str">
        <f>"20190303170609752"</f>
        <v>20190303170609752</v>
      </c>
      <c r="B3589" t="str">
        <f>"1551603969748561"</f>
        <v>1551603969748561</v>
      </c>
      <c r="C3589" t="s">
        <v>40</v>
      </c>
      <c r="D3589">
        <v>5.3924289999999999</v>
      </c>
      <c r="E3589">
        <v>0.59952369999999899</v>
      </c>
      <c r="F3589" t="s">
        <v>41</v>
      </c>
      <c r="G3589">
        <v>-251.38910000000001</v>
      </c>
      <c r="H3589" s="1">
        <v>-4.7547030000000003E-6</v>
      </c>
      <c r="I3589">
        <v>133.53700000000001</v>
      </c>
      <c r="J3589">
        <v>-198.56720000000001</v>
      </c>
      <c r="K3589">
        <v>1.1079969999999999</v>
      </c>
      <c r="L3589">
        <v>144.53710000000001</v>
      </c>
      <c r="M3589">
        <v>-0.7542565</v>
      </c>
      <c r="N3589">
        <v>-1.6052549999999999E-2</v>
      </c>
      <c r="O3589">
        <v>-0.65638369999999902</v>
      </c>
      <c r="P3589">
        <v>-0.89122959999999996</v>
      </c>
      <c r="Q3589">
        <v>0.18594350000000001</v>
      </c>
      <c r="R3589">
        <v>-0.41368500000000002</v>
      </c>
      <c r="S3589">
        <v>-3.091278</v>
      </c>
      <c r="T3589">
        <v>-6.4561489999999999E-2</v>
      </c>
      <c r="U3589">
        <v>-0.65164180000000005</v>
      </c>
      <c r="V3589">
        <v>0.27926790000000001</v>
      </c>
      <c r="W3589">
        <v>0.19226979999999999</v>
      </c>
      <c r="X3589">
        <v>0.94076660000000001</v>
      </c>
      <c r="Y3589">
        <v>0.48659039999999998</v>
      </c>
      <c r="Z3589">
        <v>1.0024399999999999E-2</v>
      </c>
      <c r="AA3589">
        <v>0.87357269999999898</v>
      </c>
      <c r="AB3589">
        <v>28</v>
      </c>
      <c r="AC3589">
        <v>-52.821899999999999</v>
      </c>
      <c r="AD3589">
        <v>-1.1080017547030001</v>
      </c>
      <c r="AE3589">
        <v>-11.0001</v>
      </c>
      <c r="AF3589">
        <v>26.3668153549607</v>
      </c>
      <c r="AG3589">
        <v>-1.1080017547030001</v>
      </c>
      <c r="AH3589">
        <v>47.0477691731815</v>
      </c>
      <c r="AI3589">
        <v>91.176934818171006</v>
      </c>
      <c r="AJ3589">
        <v>60.732575400428502</v>
      </c>
      <c r="AK3589">
        <v>53.9437596393131</v>
      </c>
      <c r="AL3589">
        <v>78.914723322026902</v>
      </c>
      <c r="AM3589">
        <v>73.466403817971695</v>
      </c>
      <c r="AN3589">
        <v>1.0000000158190001</v>
      </c>
    </row>
    <row r="3590" spans="1:40" x14ac:dyDescent="0.25">
      <c r="A3590" t="str">
        <f>"20190303170609774"</f>
        <v>20190303170609774</v>
      </c>
      <c r="B3590" t="str">
        <f>"1551603969768082"</f>
        <v>1551603969768082</v>
      </c>
      <c r="C3590" t="s">
        <v>40</v>
      </c>
      <c r="D3590">
        <v>5.3988079999999998</v>
      </c>
      <c r="E3590">
        <v>0.59934919999999903</v>
      </c>
      <c r="F3590" t="s">
        <v>41</v>
      </c>
      <c r="G3590">
        <v>-247.97540000000001</v>
      </c>
      <c r="H3590" s="1">
        <v>-1.9761049999999999E-6</v>
      </c>
      <c r="I3590">
        <v>134.72630000000001</v>
      </c>
      <c r="J3590">
        <v>-198.8064</v>
      </c>
      <c r="K3590">
        <v>1.1080159999999999</v>
      </c>
      <c r="L3590">
        <v>144.35299999999901</v>
      </c>
      <c r="M3590">
        <v>-0.76589149999999995</v>
      </c>
      <c r="N3590">
        <v>-1.6055679999999999E-2</v>
      </c>
      <c r="O3590">
        <v>-0.64276949999999999</v>
      </c>
      <c r="P3590">
        <v>-0.89859389999999995</v>
      </c>
      <c r="Q3590">
        <v>0.18540899999999999</v>
      </c>
      <c r="R3590">
        <v>-0.39768389999999998</v>
      </c>
      <c r="S3590">
        <v>-3.0953369999999998</v>
      </c>
      <c r="T3590">
        <v>-6.9414139999999999E-2</v>
      </c>
      <c r="U3590">
        <v>-0.61462399999999995</v>
      </c>
      <c r="V3590">
        <v>0.27928059999999899</v>
      </c>
      <c r="W3590">
        <v>0.1917565</v>
      </c>
      <c r="X3590">
        <v>0.94086760000000003</v>
      </c>
      <c r="Y3590">
        <v>0.48117130000000002</v>
      </c>
      <c r="Z3590">
        <v>1.129018E-2</v>
      </c>
      <c r="AA3590">
        <v>0.8765539</v>
      </c>
      <c r="AB3590">
        <v>28</v>
      </c>
      <c r="AC3590">
        <v>-49.168999999999997</v>
      </c>
      <c r="AD3590">
        <v>-1.108017976105</v>
      </c>
      <c r="AE3590">
        <v>-9.6266999999999694</v>
      </c>
      <c r="AF3590">
        <v>24.222600564388198</v>
      </c>
      <c r="AG3590">
        <v>-1.108017976105</v>
      </c>
      <c r="AH3590">
        <v>43.830080176245197</v>
      </c>
      <c r="AI3590">
        <v>91.267509556362</v>
      </c>
      <c r="AJ3590">
        <v>61.072859020941699</v>
      </c>
      <c r="AK3590">
        <v>50.090298563627599</v>
      </c>
      <c r="AL3590">
        <v>78.944690971426695</v>
      </c>
      <c r="AM3590">
        <v>73.467371010715596</v>
      </c>
      <c r="AN3590">
        <v>1.00000002477918</v>
      </c>
    </row>
    <row r="3591" spans="1:40" x14ac:dyDescent="0.25">
      <c r="A3591" t="str">
        <f>"20190303170609798"</f>
        <v>20190303170609798</v>
      </c>
      <c r="B3591" t="str">
        <f>"1551603969788577"</f>
        <v>1551603969788577</v>
      </c>
      <c r="C3591" t="s">
        <v>40</v>
      </c>
      <c r="D3591">
        <v>5.3848539999999998</v>
      </c>
      <c r="E3591">
        <v>0.620726</v>
      </c>
      <c r="F3591" t="s">
        <v>41</v>
      </c>
      <c r="G3591">
        <v>-246.27119999999999</v>
      </c>
      <c r="H3591" s="1">
        <v>-2.2755749999999998E-6</v>
      </c>
      <c r="I3591">
        <v>135.78049999999999</v>
      </c>
      <c r="J3591">
        <v>-199.0412</v>
      </c>
      <c r="K3591">
        <v>1.108053</v>
      </c>
      <c r="L3591">
        <v>144.1789</v>
      </c>
      <c r="M3591">
        <v>-0.77692669999999997</v>
      </c>
      <c r="N3591">
        <v>-1.6057439999999999E-2</v>
      </c>
      <c r="O3591">
        <v>-0.62938669999999997</v>
      </c>
      <c r="P3591">
        <v>-0.90505570000000002</v>
      </c>
      <c r="Q3591">
        <v>0.18724950000000001</v>
      </c>
      <c r="R3591">
        <v>-0.38185380000000002</v>
      </c>
      <c r="S3591">
        <v>-3.105286</v>
      </c>
      <c r="T3591">
        <v>-7.2489860000000003E-2</v>
      </c>
      <c r="U3591">
        <v>-0.56083680000000002</v>
      </c>
      <c r="V3591">
        <v>0.27927780000000002</v>
      </c>
      <c r="W3591">
        <v>0.1936117</v>
      </c>
      <c r="X3591">
        <v>0.9404884</v>
      </c>
      <c r="Y3591">
        <v>0.48114200000000001</v>
      </c>
      <c r="Z3591">
        <v>1.2126E-2</v>
      </c>
      <c r="AA3591">
        <v>0.87655879999999997</v>
      </c>
      <c r="AB3591">
        <v>28</v>
      </c>
      <c r="AC3591">
        <v>-47.229999999999897</v>
      </c>
      <c r="AD3591">
        <v>-1.1080552755749999</v>
      </c>
      <c r="AE3591">
        <v>-8.3984000000000094</v>
      </c>
      <c r="AF3591">
        <v>23.191604190965599</v>
      </c>
      <c r="AG3591">
        <v>-1.1080552755749999</v>
      </c>
      <c r="AH3591">
        <v>41.963101749588198</v>
      </c>
      <c r="AI3591">
        <v>91.323916688548195</v>
      </c>
      <c r="AJ3591">
        <v>61.072037672907499</v>
      </c>
      <c r="AK3591">
        <v>47.958108802270701</v>
      </c>
      <c r="AL3591">
        <v>78.836365684783402</v>
      </c>
      <c r="AM3591">
        <v>73.461225993211301</v>
      </c>
      <c r="AN3591">
        <v>1.0000000052421401</v>
      </c>
    </row>
    <row r="3592" spans="1:40" x14ac:dyDescent="0.25">
      <c r="A3592" t="str">
        <f>"20190303170609821"</f>
        <v>20190303170609821</v>
      </c>
      <c r="B3592" t="str">
        <f>"1551603969808097"</f>
        <v>1551603969808097</v>
      </c>
      <c r="C3592" t="s">
        <v>40</v>
      </c>
      <c r="D3592">
        <v>5.37758</v>
      </c>
      <c r="E3592">
        <v>0.62441930000000001</v>
      </c>
      <c r="F3592" t="s">
        <v>84</v>
      </c>
      <c r="G3592">
        <v>-281.2944</v>
      </c>
      <c r="H3592" s="1">
        <v>-2.4200940000000002E-6</v>
      </c>
      <c r="I3592">
        <v>135.23339999999999</v>
      </c>
      <c r="J3592">
        <v>-199.28809999999999</v>
      </c>
      <c r="K3592">
        <v>1.1081000000000001</v>
      </c>
      <c r="L3592">
        <v>144.00229999999999</v>
      </c>
      <c r="M3592">
        <v>-0.78814450000000003</v>
      </c>
      <c r="N3592">
        <v>-1.605794E-2</v>
      </c>
      <c r="O3592">
        <v>-0.61528079999999996</v>
      </c>
      <c r="P3592">
        <v>-0.91108219999999995</v>
      </c>
      <c r="Q3592">
        <v>0.18781709999999999</v>
      </c>
      <c r="R3592">
        <v>-0.36695230000000001</v>
      </c>
      <c r="S3592">
        <v>-3.1777500000000001</v>
      </c>
      <c r="T3592">
        <v>-4.2808289999999999E-2</v>
      </c>
      <c r="U3592">
        <v>-0.34559630000000002</v>
      </c>
      <c r="V3592">
        <v>0.277684599999999</v>
      </c>
      <c r="W3592">
        <v>0.19425680000000001</v>
      </c>
      <c r="X3592">
        <v>0.94082710000000003</v>
      </c>
      <c r="Y3592">
        <v>0.52643359999999995</v>
      </c>
      <c r="Z3592">
        <v>4.964535E-3</v>
      </c>
      <c r="AA3592">
        <v>0.85020169999999995</v>
      </c>
      <c r="AB3592">
        <v>28</v>
      </c>
      <c r="AC3592">
        <v>-82.006299999999996</v>
      </c>
      <c r="AD3592">
        <v>-1.108102420094</v>
      </c>
      <c r="AE3592">
        <v>-8.7689000000000004</v>
      </c>
      <c r="AF3592">
        <v>43.543494834608602</v>
      </c>
      <c r="AG3592">
        <v>-1.108102420094</v>
      </c>
      <c r="AH3592">
        <v>70.024537037827301</v>
      </c>
      <c r="AI3592">
        <v>90.769907958747893</v>
      </c>
      <c r="AJ3592">
        <v>58.125330717275297</v>
      </c>
      <c r="AK3592">
        <v>82.466354477126401</v>
      </c>
      <c r="AL3592">
        <v>78.798689222309307</v>
      </c>
      <c r="AM3592">
        <v>73.556063827441307</v>
      </c>
      <c r="AN3592">
        <v>1.0000000367588999</v>
      </c>
    </row>
    <row r="3593" spans="1:40" x14ac:dyDescent="0.25">
      <c r="A3593" t="str">
        <f>"20190303170609842"</f>
        <v>20190303170609842</v>
      </c>
      <c r="B3593" t="str">
        <f>"1551603969828594"</f>
        <v>1551603969828594</v>
      </c>
      <c r="C3593" t="s">
        <v>40</v>
      </c>
      <c r="D3593">
        <v>5.4375720000000003</v>
      </c>
      <c r="E3593">
        <v>0.62426599999999999</v>
      </c>
      <c r="F3593" t="s">
        <v>84</v>
      </c>
      <c r="G3593">
        <v>-307.12580000000003</v>
      </c>
      <c r="H3593" s="1">
        <v>-7.648533E-6</v>
      </c>
      <c r="I3593">
        <v>135.07480000000001</v>
      </c>
      <c r="J3593">
        <v>-199.50200000000001</v>
      </c>
      <c r="K3593">
        <v>1.1081319999999999</v>
      </c>
      <c r="L3593">
        <v>143.85480000000001</v>
      </c>
      <c r="M3593">
        <v>-0.79754590000000003</v>
      </c>
      <c r="N3593">
        <v>-1.6057180000000001E-2</v>
      </c>
      <c r="O3593">
        <v>-0.60304480000000005</v>
      </c>
      <c r="P3593">
        <v>-0.91589240000000005</v>
      </c>
      <c r="Q3593">
        <v>0.18755849999999999</v>
      </c>
      <c r="R3593">
        <v>-0.35491309999999998</v>
      </c>
      <c r="S3593">
        <v>-3.193085</v>
      </c>
      <c r="T3593">
        <v>-3.2811159999999999E-2</v>
      </c>
      <c r="U3593">
        <v>-0.2643433</v>
      </c>
      <c r="V3593">
        <v>0.2755687</v>
      </c>
      <c r="W3593">
        <v>0.19409299999999999</v>
      </c>
      <c r="X3593">
        <v>0.94148279999999995</v>
      </c>
      <c r="Y3593">
        <v>0.53518069999999995</v>
      </c>
      <c r="Z3593">
        <v>2.5776660000000002E-3</v>
      </c>
      <c r="AA3593">
        <v>0.84473369999999903</v>
      </c>
      <c r="AB3593">
        <v>28</v>
      </c>
      <c r="AC3593">
        <v>-107.6238</v>
      </c>
      <c r="AD3593">
        <v>-1.108139648533</v>
      </c>
      <c r="AE3593">
        <v>-8.7799999999999994</v>
      </c>
      <c r="AF3593">
        <v>57.900878288955802</v>
      </c>
      <c r="AG3593">
        <v>-1.108139648533</v>
      </c>
      <c r="AH3593">
        <v>91.131791712689306</v>
      </c>
      <c r="AI3593">
        <v>90.588029187462396</v>
      </c>
      <c r="AJ3593">
        <v>57.570032034579299</v>
      </c>
      <c r="AK3593">
        <v>107.975659946481</v>
      </c>
      <c r="AL3593">
        <v>78.808256307464504</v>
      </c>
      <c r="AM3593">
        <v>73.685432395381994</v>
      </c>
      <c r="AN3593">
        <v>1.0000000318822599</v>
      </c>
    </row>
    <row r="3594" spans="1:40" x14ac:dyDescent="0.25">
      <c r="A3594" t="str">
        <f>"20190303170609864"</f>
        <v>20190303170609864</v>
      </c>
      <c r="B3594" t="str">
        <f>"1551603969848114"</f>
        <v>1551603969848114</v>
      </c>
      <c r="C3594" t="s">
        <v>40</v>
      </c>
      <c r="D3594">
        <v>5.3869939999999996</v>
      </c>
      <c r="E3594">
        <v>0.62442690000000001</v>
      </c>
      <c r="F3594" t="s">
        <v>84</v>
      </c>
      <c r="G3594">
        <v>-305.98610000000002</v>
      </c>
      <c r="H3594" s="1">
        <v>-7.9032299999999995E-6</v>
      </c>
      <c r="I3594">
        <v>136.44999999999999</v>
      </c>
      <c r="J3594">
        <v>-199.74119999999999</v>
      </c>
      <c r="K3594">
        <v>1.108158</v>
      </c>
      <c r="L3594">
        <v>143.69560000000001</v>
      </c>
      <c r="M3594">
        <v>-0.80771709999999997</v>
      </c>
      <c r="N3594">
        <v>-1.6054889999999999E-2</v>
      </c>
      <c r="O3594">
        <v>-0.58935170000000003</v>
      </c>
      <c r="P3594">
        <v>-0.92175189999999996</v>
      </c>
      <c r="Q3594">
        <v>0.18674109999999999</v>
      </c>
      <c r="R3594">
        <v>-0.33985500000000002</v>
      </c>
      <c r="S3594">
        <v>-3.196167</v>
      </c>
      <c r="T3594">
        <v>-3.3261300000000001E-2</v>
      </c>
      <c r="U3594">
        <v>-0.2222595</v>
      </c>
      <c r="V3594">
        <v>0.27499170000000001</v>
      </c>
      <c r="W3594">
        <v>0.1933193</v>
      </c>
      <c r="X3594">
        <v>0.94181060000000005</v>
      </c>
      <c r="Y3594">
        <v>0.53189090000000006</v>
      </c>
      <c r="Z3594">
        <v>2.8067949999999999E-3</v>
      </c>
      <c r="AA3594">
        <v>0.84680820000000001</v>
      </c>
      <c r="AB3594">
        <v>28</v>
      </c>
      <c r="AC3594">
        <v>-106.2449</v>
      </c>
      <c r="AD3594">
        <v>-1.10816590323</v>
      </c>
      <c r="AE3594">
        <v>-7.24560000000002</v>
      </c>
      <c r="AF3594">
        <v>56.764384760581898</v>
      </c>
      <c r="AG3594">
        <v>-1.10816590323</v>
      </c>
      <c r="AH3594">
        <v>90.087881835839596</v>
      </c>
      <c r="AI3594">
        <v>90.596270182791102</v>
      </c>
      <c r="AJ3594">
        <v>57.784966081609198</v>
      </c>
      <c r="AK3594">
        <v>106.485913916276</v>
      </c>
      <c r="AL3594">
        <v>78.853441486149194</v>
      </c>
      <c r="AM3594">
        <v>73.7231482966789</v>
      </c>
      <c r="AN3594">
        <v>0.99999999654687</v>
      </c>
    </row>
    <row r="3595" spans="1:40" x14ac:dyDescent="0.25">
      <c r="A3595" t="str">
        <f>"20190303170609887"</f>
        <v>20190303170609887</v>
      </c>
      <c r="B3595" t="str">
        <f>"1551603969878370"</f>
        <v>1551603969878370</v>
      </c>
      <c r="C3595" t="s">
        <v>40</v>
      </c>
      <c r="D3595">
        <v>5.4763669999999998</v>
      </c>
      <c r="E3595">
        <v>0.62233099999999997</v>
      </c>
      <c r="F3595" t="s">
        <v>84</v>
      </c>
      <c r="G3595">
        <v>-290.23340000000002</v>
      </c>
      <c r="H3595" s="1">
        <v>-8.6559849999999903E-6</v>
      </c>
      <c r="I3595">
        <v>138.90539999999999</v>
      </c>
      <c r="J3595">
        <v>-199.9905</v>
      </c>
      <c r="K3595">
        <v>1.108201</v>
      </c>
      <c r="L3595">
        <v>143.53630000000001</v>
      </c>
      <c r="M3595">
        <v>-0.8179419</v>
      </c>
      <c r="N3595">
        <v>-1.6050700000000001E-2</v>
      </c>
      <c r="O3595">
        <v>-0.5750769</v>
      </c>
      <c r="P3595">
        <v>-0.92761159999999998</v>
      </c>
      <c r="Q3595">
        <v>0.18517439999999999</v>
      </c>
      <c r="R3595">
        <v>-0.3244185</v>
      </c>
      <c r="S3595">
        <v>-3.2001650000000001</v>
      </c>
      <c r="T3595">
        <v>-3.9189219999999997E-2</v>
      </c>
      <c r="U3595">
        <v>-0.1694031</v>
      </c>
      <c r="V3595">
        <v>0.27428780000000003</v>
      </c>
      <c r="W3595">
        <v>0.19180330000000001</v>
      </c>
      <c r="X3595">
        <v>0.94232570000000004</v>
      </c>
      <c r="Y3595">
        <v>0.53101549999999997</v>
      </c>
      <c r="Z3595">
        <v>4.4517089999999999E-3</v>
      </c>
      <c r="AA3595">
        <v>0.84735039999999995</v>
      </c>
      <c r="AB3595">
        <v>28</v>
      </c>
      <c r="AC3595">
        <v>-90.242900000000006</v>
      </c>
      <c r="AD3595">
        <v>-1.1082096559849901</v>
      </c>
      <c r="AE3595">
        <v>-4.63090000000002</v>
      </c>
      <c r="AF3595">
        <v>48.107761950487799</v>
      </c>
      <c r="AG3595">
        <v>-1.1082096559849901</v>
      </c>
      <c r="AH3595">
        <v>76.474922504752797</v>
      </c>
      <c r="AI3595">
        <v>90.702755072715306</v>
      </c>
      <c r="AJ3595">
        <v>57.827403965855702</v>
      </c>
      <c r="AK3595">
        <v>90.354848572914904</v>
      </c>
      <c r="AL3595">
        <v>78.941958693913094</v>
      </c>
      <c r="AM3595">
        <v>73.771023057413004</v>
      </c>
      <c r="AN3595">
        <v>1.00000001400011</v>
      </c>
    </row>
    <row r="3596" spans="1:40" x14ac:dyDescent="0.25">
      <c r="A3596" t="str">
        <f>"20190303170609909"</f>
        <v>20190303170609909</v>
      </c>
      <c r="B3596" t="str">
        <f>"1551603969898866"</f>
        <v>1551603969898866</v>
      </c>
      <c r="C3596" t="s">
        <v>40</v>
      </c>
      <c r="D3596">
        <v>5.3802580000000004</v>
      </c>
      <c r="E3596">
        <v>0.62114419999999904</v>
      </c>
      <c r="F3596" t="s">
        <v>41</v>
      </c>
      <c r="G3596">
        <v>-272.85789999999997</v>
      </c>
      <c r="H3596" s="1">
        <v>-3.2892690000000002E-6</v>
      </c>
      <c r="I3596">
        <v>140.52950000000001</v>
      </c>
      <c r="J3596">
        <v>-200.2269</v>
      </c>
      <c r="K3596">
        <v>1.108244</v>
      </c>
      <c r="L3596">
        <v>143.39060000000001</v>
      </c>
      <c r="M3596">
        <v>-0.82730519999999996</v>
      </c>
      <c r="N3596">
        <v>-1.6045469999999999E-2</v>
      </c>
      <c r="O3596">
        <v>-0.56152360000000001</v>
      </c>
      <c r="P3596">
        <v>-0.93178340000000004</v>
      </c>
      <c r="Q3596">
        <v>0.18618370000000001</v>
      </c>
      <c r="R3596">
        <v>-0.3116334</v>
      </c>
      <c r="S3596">
        <v>-3.1976779999999998</v>
      </c>
      <c r="T3596">
        <v>-4.863191E-2</v>
      </c>
      <c r="U3596">
        <v>-0.1319427</v>
      </c>
      <c r="V3596">
        <v>0.27161220000000003</v>
      </c>
      <c r="W3596">
        <v>0.19292680000000001</v>
      </c>
      <c r="X3596">
        <v>0.94287120000000002</v>
      </c>
      <c r="Y3596">
        <v>0.52689280000000005</v>
      </c>
      <c r="Z3596">
        <v>6.8847880000000002E-3</v>
      </c>
      <c r="AA3596">
        <v>0.84990390000000005</v>
      </c>
      <c r="AB3596">
        <v>28</v>
      </c>
      <c r="AC3596">
        <v>-72.630999999999901</v>
      </c>
      <c r="AD3596">
        <v>-1.1082472892690001</v>
      </c>
      <c r="AE3596">
        <v>-2.8610999999999902</v>
      </c>
      <c r="AF3596">
        <v>38.413032348351699</v>
      </c>
      <c r="AG3596">
        <v>-1.1082472892690001</v>
      </c>
      <c r="AH3596">
        <v>61.688179031208101</v>
      </c>
      <c r="AI3596">
        <v>90.873711134657697</v>
      </c>
      <c r="AJ3596">
        <v>58.089609791467304</v>
      </c>
      <c r="AK3596">
        <v>72.678887570160796</v>
      </c>
      <c r="AL3596">
        <v>78.876361808773098</v>
      </c>
      <c r="AM3596">
        <v>73.929935661083704</v>
      </c>
      <c r="AN3596">
        <v>1.00000001856825</v>
      </c>
    </row>
    <row r="3597" spans="1:40" x14ac:dyDescent="0.25">
      <c r="A3597" t="str">
        <f>"20190303170609932"</f>
        <v>20190303170609932</v>
      </c>
      <c r="B3597" t="str">
        <f>"1551603969918385"</f>
        <v>1551603969918385</v>
      </c>
      <c r="C3597" t="s">
        <v>40</v>
      </c>
      <c r="D3597">
        <v>5.4474830000000001</v>
      </c>
      <c r="E3597">
        <v>0.62007000000000001</v>
      </c>
      <c r="F3597" t="s">
        <v>84</v>
      </c>
      <c r="G3597">
        <v>-280.58640000000003</v>
      </c>
      <c r="H3597" s="1">
        <v>-4.320219E-6</v>
      </c>
      <c r="I3597">
        <v>140.98419999999999</v>
      </c>
      <c r="J3597">
        <v>-200.4684</v>
      </c>
      <c r="K3597">
        <v>1.1082920000000001</v>
      </c>
      <c r="L3597">
        <v>143.24719999999999</v>
      </c>
      <c r="M3597">
        <v>-0.83654329999999999</v>
      </c>
      <c r="N3597">
        <v>-1.6038980000000001E-2</v>
      </c>
      <c r="O3597">
        <v>-0.54766630000000005</v>
      </c>
      <c r="P3597">
        <v>-0.93567040000000001</v>
      </c>
      <c r="Q3597">
        <v>0.1879449</v>
      </c>
      <c r="R3597">
        <v>-0.29866039999999999</v>
      </c>
      <c r="S3597">
        <v>-3.1964419999999998</v>
      </c>
      <c r="T3597">
        <v>-4.408252E-2</v>
      </c>
      <c r="U3597">
        <v>-9.5718380000000006E-2</v>
      </c>
      <c r="V3597">
        <v>0.26883849999999998</v>
      </c>
      <c r="W3597">
        <v>0.19480359999999999</v>
      </c>
      <c r="X3597">
        <v>0.94328020000000001</v>
      </c>
      <c r="Y3597">
        <v>0.52234919999999996</v>
      </c>
      <c r="Z3597">
        <v>5.8002100000000001E-3</v>
      </c>
      <c r="AA3597">
        <v>0.85271200000000003</v>
      </c>
      <c r="AB3597">
        <v>28</v>
      </c>
      <c r="AC3597">
        <v>-80.117999999999995</v>
      </c>
      <c r="AD3597">
        <v>-1.1082963202189999</v>
      </c>
      <c r="AE3597">
        <v>-2.2629999999999999</v>
      </c>
      <c r="AF3597">
        <v>41.9821984619606</v>
      </c>
      <c r="AG3597">
        <v>-1.1082963202189999</v>
      </c>
      <c r="AH3597">
        <v>68.257264582218994</v>
      </c>
      <c r="AI3597">
        <v>90.792374683723196</v>
      </c>
      <c r="AJ3597">
        <v>58.406059886178497</v>
      </c>
      <c r="AK3597">
        <v>80.142295179760794</v>
      </c>
      <c r="AL3597">
        <v>78.766749985261995</v>
      </c>
      <c r="AM3597">
        <v>74.092243413435199</v>
      </c>
      <c r="AN3597">
        <v>1.00000005868362</v>
      </c>
    </row>
    <row r="3598" spans="1:40" x14ac:dyDescent="0.25">
      <c r="A3598" t="str">
        <f>"20190303170609954"</f>
        <v>20190303170609954</v>
      </c>
      <c r="B3598" t="str">
        <f>"1551603969948642"</f>
        <v>1551603969948642</v>
      </c>
      <c r="C3598" t="s">
        <v>40</v>
      </c>
      <c r="D3598">
        <v>5.4673550000000004</v>
      </c>
      <c r="E3598">
        <v>0.6180949</v>
      </c>
      <c r="F3598" t="s">
        <v>84</v>
      </c>
      <c r="G3598">
        <v>-291.6003</v>
      </c>
      <c r="H3598" s="1">
        <v>-9.3003389999999997E-6</v>
      </c>
      <c r="I3598">
        <v>141.5608</v>
      </c>
      <c r="J3598">
        <v>-200.72239999999999</v>
      </c>
      <c r="K3598">
        <v>1.1083419999999999</v>
      </c>
      <c r="L3598">
        <v>143.10220000000001</v>
      </c>
      <c r="M3598">
        <v>-0.84590109999999996</v>
      </c>
      <c r="N3598">
        <v>-1.6030510000000001E-2</v>
      </c>
      <c r="O3598">
        <v>-0.53309899999999999</v>
      </c>
      <c r="P3598">
        <v>-0.94032689999999997</v>
      </c>
      <c r="Q3598">
        <v>0.18852569999999999</v>
      </c>
      <c r="R3598">
        <v>-0.28327269999999999</v>
      </c>
      <c r="S3598">
        <v>-3.1952060000000002</v>
      </c>
      <c r="T3598">
        <v>-3.8858530000000002E-2</v>
      </c>
      <c r="U3598">
        <v>-5.9127810000000003E-2</v>
      </c>
      <c r="V3598">
        <v>0.26790720000000001</v>
      </c>
      <c r="W3598">
        <v>0.19543859999999999</v>
      </c>
      <c r="X3598">
        <v>0.94341370000000002</v>
      </c>
      <c r="Y3598">
        <v>0.51733770000000001</v>
      </c>
      <c r="Z3598">
        <v>4.5845490000000003E-3</v>
      </c>
      <c r="AA3598">
        <v>0.855769</v>
      </c>
      <c r="AB3598">
        <v>28</v>
      </c>
      <c r="AC3598">
        <v>-90.877899999999997</v>
      </c>
      <c r="AD3598">
        <v>-1.108351300339</v>
      </c>
      <c r="AE3598">
        <v>-1.5414000000000101</v>
      </c>
      <c r="AF3598">
        <v>47.142089573438902</v>
      </c>
      <c r="AG3598">
        <v>-1.108351300339</v>
      </c>
      <c r="AH3598">
        <v>77.693858674367505</v>
      </c>
      <c r="AI3598">
        <v>90.698750879636094</v>
      </c>
      <c r="AJ3598">
        <v>58.751994954454702</v>
      </c>
      <c r="AK3598">
        <v>90.884216053546297</v>
      </c>
      <c r="AL3598">
        <v>78.729653047034503</v>
      </c>
      <c r="AM3598">
        <v>74.146706308752201</v>
      </c>
      <c r="AN3598">
        <v>0.99999996176474404</v>
      </c>
    </row>
    <row r="3599" spans="1:40" x14ac:dyDescent="0.25">
      <c r="A3599" t="str">
        <f>"20190303170609976"</f>
        <v>20190303170609976</v>
      </c>
      <c r="B3599" t="str">
        <f>"1551603969968162"</f>
        <v>1551603969968162</v>
      </c>
      <c r="C3599" t="s">
        <v>40</v>
      </c>
      <c r="D3599">
        <v>5.4556779999999998</v>
      </c>
      <c r="E3599">
        <v>0.60354580000000002</v>
      </c>
      <c r="F3599" t="s">
        <v>84</v>
      </c>
      <c r="G3599">
        <v>-285.88209999999998</v>
      </c>
      <c r="H3599" s="1">
        <v>-7.3121659999999902E-6</v>
      </c>
      <c r="I3599">
        <v>142.46129999999999</v>
      </c>
      <c r="J3599">
        <v>-200.9759</v>
      </c>
      <c r="K3599">
        <v>1.1084020000000001</v>
      </c>
      <c r="L3599">
        <v>142.9631</v>
      </c>
      <c r="M3599">
        <v>-0.85489139999999997</v>
      </c>
      <c r="N3599">
        <v>-1.6020039999999999E-2</v>
      </c>
      <c r="O3599">
        <v>-0.51855989999999996</v>
      </c>
      <c r="P3599">
        <v>-0.94480330000000001</v>
      </c>
      <c r="Q3599">
        <v>0.18846789999999999</v>
      </c>
      <c r="R3599">
        <v>-0.26800559999999901</v>
      </c>
      <c r="S3599">
        <v>-3.191452</v>
      </c>
      <c r="T3599">
        <v>-4.1536570000000002E-2</v>
      </c>
      <c r="U3599">
        <v>-2.401733E-2</v>
      </c>
      <c r="V3599">
        <v>0.26703480000000002</v>
      </c>
      <c r="W3599">
        <v>0.19543630000000001</v>
      </c>
      <c r="X3599">
        <v>0.94366150000000004</v>
      </c>
      <c r="Y3599">
        <v>0.51208589999999998</v>
      </c>
      <c r="Z3599">
        <v>5.2798200000000002E-3</v>
      </c>
      <c r="AA3599">
        <v>0.85891799999999996</v>
      </c>
      <c r="AB3599">
        <v>28</v>
      </c>
      <c r="AC3599">
        <v>-84.906199999999899</v>
      </c>
      <c r="AD3599">
        <v>-1.1084093121659999</v>
      </c>
      <c r="AE3599">
        <v>-0.50180000000000202</v>
      </c>
      <c r="AF3599">
        <v>43.598125267650801</v>
      </c>
      <c r="AG3599">
        <v>-1.1084093121659999</v>
      </c>
      <c r="AH3599">
        <v>72.842717963950903</v>
      </c>
      <c r="AI3599">
        <v>90.748040542408006</v>
      </c>
      <c r="AJ3599">
        <v>59.098460745680903</v>
      </c>
      <c r="AK3599">
        <v>84.900451461890199</v>
      </c>
      <c r="AL3599">
        <v>78.729787617323296</v>
      </c>
      <c r="AM3599">
        <v>74.199690179381307</v>
      </c>
      <c r="AN3599">
        <v>0.999999979175489</v>
      </c>
    </row>
    <row r="3600" spans="1:40" x14ac:dyDescent="0.25">
      <c r="A3600" t="str">
        <f>"20190303170610000"</f>
        <v>20190303170610000</v>
      </c>
      <c r="B3600" t="str">
        <f>"1551603969988658"</f>
        <v>1551603969988658</v>
      </c>
      <c r="C3600" t="s">
        <v>40</v>
      </c>
      <c r="D3600">
        <v>5.4504739999999998</v>
      </c>
      <c r="E3600">
        <v>0.60204650000000004</v>
      </c>
      <c r="F3600" t="s">
        <v>41</v>
      </c>
      <c r="G3600">
        <v>-251.24039999999999</v>
      </c>
      <c r="H3600" s="1">
        <v>-4.1967010000000002E-6</v>
      </c>
      <c r="I3600">
        <v>141.5488</v>
      </c>
      <c r="J3600">
        <v>-201.23519999999999</v>
      </c>
      <c r="K3600">
        <v>1.108468</v>
      </c>
      <c r="L3600">
        <v>142.82650000000001</v>
      </c>
      <c r="M3600">
        <v>-0.86372939999999998</v>
      </c>
      <c r="N3600">
        <v>-1.6007589999999999E-2</v>
      </c>
      <c r="O3600">
        <v>-0.50370190000000004</v>
      </c>
      <c r="P3600">
        <v>-0.94888019999999995</v>
      </c>
      <c r="Q3600">
        <v>0.18805040000000001</v>
      </c>
      <c r="R3600">
        <v>-0.25350289999999998</v>
      </c>
      <c r="S3600">
        <v>-3.1639400000000002</v>
      </c>
      <c r="T3600">
        <v>-6.9769620000000004E-2</v>
      </c>
      <c r="U3600">
        <v>-8.9019780000000007E-2</v>
      </c>
      <c r="V3600">
        <v>0.26516790000000001</v>
      </c>
      <c r="W3600">
        <v>0.19511129999999999</v>
      </c>
      <c r="X3600">
        <v>0.94425510000000001</v>
      </c>
      <c r="Y3600">
        <v>0.47907699999999998</v>
      </c>
      <c r="Z3600">
        <v>1.1425080000000001E-2</v>
      </c>
      <c r="AA3600">
        <v>0.87769850000000005</v>
      </c>
      <c r="AB3600">
        <v>28</v>
      </c>
      <c r="AC3600">
        <v>-50.005200000000002</v>
      </c>
      <c r="AD3600">
        <v>-1.1084721967010001</v>
      </c>
      <c r="AE3600">
        <v>-1.27770000000001</v>
      </c>
      <c r="AF3600">
        <v>24.075387092130001</v>
      </c>
      <c r="AG3600">
        <v>-1.1084721967010001</v>
      </c>
      <c r="AH3600">
        <v>43.8186338034985</v>
      </c>
      <c r="AI3600">
        <v>91.270084497436699</v>
      </c>
      <c r="AJ3600">
        <v>61.214170443957997</v>
      </c>
      <c r="AK3600">
        <v>50.009255569862901</v>
      </c>
      <c r="AL3600">
        <v>78.748775231930097</v>
      </c>
      <c r="AM3600">
        <v>74.314073162194106</v>
      </c>
      <c r="AN3600">
        <v>1.0000000642270499</v>
      </c>
    </row>
    <row r="3601" spans="1:40" x14ac:dyDescent="0.25">
      <c r="A3601" t="str">
        <f>"20190303170610023"</f>
        <v>20190303170610023</v>
      </c>
      <c r="B3601" t="str">
        <f>"1551603970008177"</f>
        <v>1551603970008177</v>
      </c>
      <c r="C3601" t="s">
        <v>40</v>
      </c>
      <c r="D3601">
        <v>5.4352159999999996</v>
      </c>
      <c r="E3601">
        <v>0.60057209999999905</v>
      </c>
      <c r="F3601" t="s">
        <v>41</v>
      </c>
      <c r="G3601">
        <v>-251.54660000000001</v>
      </c>
      <c r="H3601" s="1">
        <v>-4.1741859999999998E-6</v>
      </c>
      <c r="I3601">
        <v>142.0093</v>
      </c>
      <c r="J3601">
        <v>-201.49539999999999</v>
      </c>
      <c r="K3601">
        <v>1.1085400000000001</v>
      </c>
      <c r="L3601">
        <v>142.69489999999999</v>
      </c>
      <c r="M3601">
        <v>-0.872245099999999</v>
      </c>
      <c r="N3601">
        <v>-1.5993500000000001E-2</v>
      </c>
      <c r="O3601">
        <v>-0.4888074</v>
      </c>
      <c r="P3601">
        <v>-0.95238999999999996</v>
      </c>
      <c r="Q3601">
        <v>0.1876681</v>
      </c>
      <c r="R3601">
        <v>-0.24027970000000001</v>
      </c>
      <c r="S3601">
        <v>-3.161667</v>
      </c>
      <c r="T3601">
        <v>-6.9658520000000002E-2</v>
      </c>
      <c r="U3601">
        <v>-5.1345830000000002E-2</v>
      </c>
      <c r="V3601">
        <v>0.26208510000000002</v>
      </c>
      <c r="W3601">
        <v>0.19486439999999999</v>
      </c>
      <c r="X3601">
        <v>0.94516630000000001</v>
      </c>
      <c r="Y3601">
        <v>0.47444639999999999</v>
      </c>
      <c r="Z3601">
        <v>1.13191E-2</v>
      </c>
      <c r="AA3601">
        <v>0.88021159999999998</v>
      </c>
      <c r="AB3601">
        <v>28</v>
      </c>
      <c r="AC3601">
        <v>-50.051200000000001</v>
      </c>
      <c r="AD3601">
        <v>-1.10854417418599</v>
      </c>
      <c r="AE3601">
        <v>-0.68559999999999299</v>
      </c>
      <c r="AF3601">
        <v>23.858737517453999</v>
      </c>
      <c r="AG3601">
        <v>-1.10854417418599</v>
      </c>
      <c r="AH3601">
        <v>43.976100093355299</v>
      </c>
      <c r="AI3601">
        <v>91.269294197827705</v>
      </c>
      <c r="AJ3601">
        <v>61.518454380541598</v>
      </c>
      <c r="AK3601">
        <v>50.043637013447501</v>
      </c>
      <c r="AL3601">
        <v>78.763198062077095</v>
      </c>
      <c r="AM3601">
        <v>74.501841460660899</v>
      </c>
      <c r="AN3601">
        <v>1.0000000343425199</v>
      </c>
    </row>
    <row r="3602" spans="1:40" x14ac:dyDescent="0.25">
      <c r="A3602" t="str">
        <f>"20190303170610045"</f>
        <v>20190303170610045</v>
      </c>
      <c r="B3602" t="str">
        <f>"1551603970038434"</f>
        <v>1551603970038434</v>
      </c>
      <c r="C3602" t="s">
        <v>40</v>
      </c>
      <c r="D3602">
        <v>5.4313000000000002</v>
      </c>
      <c r="E3602">
        <v>0.5936148</v>
      </c>
      <c r="F3602" t="s">
        <v>41</v>
      </c>
      <c r="G3602">
        <v>-251.79679999999999</v>
      </c>
      <c r="H3602" s="1">
        <v>-4.1619750000000001E-6</v>
      </c>
      <c r="I3602">
        <v>142.4203</v>
      </c>
      <c r="J3602">
        <v>-201.73580000000001</v>
      </c>
      <c r="K3602">
        <v>1.1085940000000001</v>
      </c>
      <c r="L3602">
        <v>142.57859999999999</v>
      </c>
      <c r="M3602">
        <v>-0.87980460000000005</v>
      </c>
      <c r="N3602">
        <v>-1.5979159999999999E-2</v>
      </c>
      <c r="O3602">
        <v>-0.47506710000000002</v>
      </c>
      <c r="P3602">
        <v>-0.95539660000000004</v>
      </c>
      <c r="Q3602">
        <v>0.1888947</v>
      </c>
      <c r="R3602">
        <v>-0.22701640000000001</v>
      </c>
      <c r="S3602">
        <v>-3.159348</v>
      </c>
      <c r="T3602">
        <v>-6.9625850000000003E-2</v>
      </c>
      <c r="U3602">
        <v>-1.724243E-2</v>
      </c>
      <c r="V3602">
        <v>0.2602894</v>
      </c>
      <c r="W3602">
        <v>0.19617329999999999</v>
      </c>
      <c r="X3602">
        <v>0.94539169999999995</v>
      </c>
      <c r="Y3602">
        <v>0.47012549999999997</v>
      </c>
      <c r="Z3602">
        <v>1.1231069999999999E-2</v>
      </c>
      <c r="AA3602">
        <v>0.88252809999999904</v>
      </c>
      <c r="AB3602">
        <v>28</v>
      </c>
      <c r="AC3602">
        <v>-50.0609999999999</v>
      </c>
      <c r="AD3602">
        <v>-1.1085981619750001</v>
      </c>
      <c r="AE3602">
        <v>-0.158299999999996</v>
      </c>
      <c r="AF3602">
        <v>23.6344872626238</v>
      </c>
      <c r="AG3602">
        <v>-1.1085981619750001</v>
      </c>
      <c r="AH3602">
        <v>44.103102145299999</v>
      </c>
      <c r="AI3602">
        <v>91.269220188512406</v>
      </c>
      <c r="AJ3602">
        <v>61.813511241177402</v>
      </c>
      <c r="AK3602">
        <v>50.048991966778203</v>
      </c>
      <c r="AL3602">
        <v>78.686727347756502</v>
      </c>
      <c r="AM3602">
        <v>74.606470375051401</v>
      </c>
      <c r="AN3602">
        <v>1.00000000090707</v>
      </c>
    </row>
    <row r="3603" spans="1:40" x14ac:dyDescent="0.25">
      <c r="A3603" t="str">
        <f>"20190303170610077"</f>
        <v>20190303170610077</v>
      </c>
      <c r="B3603" t="str">
        <f>"1551603970068690"</f>
        <v>1551603970068690</v>
      </c>
      <c r="C3603" t="s">
        <v>40</v>
      </c>
      <c r="D3603">
        <v>5.4195679999999999</v>
      </c>
      <c r="E3603">
        <v>0.5919008</v>
      </c>
      <c r="F3603" t="s">
        <v>41</v>
      </c>
      <c r="G3603">
        <v>-248.24019999999999</v>
      </c>
      <c r="H3603" s="1">
        <v>-1.4153959999999999E-6</v>
      </c>
      <c r="I3603">
        <v>142.16489999999999</v>
      </c>
      <c r="J3603">
        <v>-202.1259</v>
      </c>
      <c r="K3603">
        <v>1.1087049999999901</v>
      </c>
      <c r="L3603">
        <v>142.3998</v>
      </c>
      <c r="M3603">
        <v>-0.89145919999999901</v>
      </c>
      <c r="N3603">
        <v>-1.5954800000000002E-2</v>
      </c>
      <c r="O3603">
        <v>-0.45282020000000001</v>
      </c>
      <c r="P3603">
        <v>-0.95989740000000001</v>
      </c>
      <c r="Q3603">
        <v>0.1915248</v>
      </c>
      <c r="R3603">
        <v>-0.204733</v>
      </c>
      <c r="S3603">
        <v>-3.1482239999999999</v>
      </c>
      <c r="T3603">
        <v>-7.5049039999999997E-2</v>
      </c>
      <c r="U3603">
        <v>-2.7999880000000001E-2</v>
      </c>
      <c r="V3603">
        <v>0.25832690000000003</v>
      </c>
      <c r="W3603">
        <v>0.19889889999999999</v>
      </c>
      <c r="X3603">
        <v>0.94536050000000005</v>
      </c>
      <c r="Y3603">
        <v>0.4447179</v>
      </c>
      <c r="Z3603">
        <v>1.189145E-2</v>
      </c>
      <c r="AA3603">
        <v>0.89559169999999999</v>
      </c>
      <c r="AB3603">
        <v>28</v>
      </c>
      <c r="AC3603">
        <v>-46.114299999999901</v>
      </c>
      <c r="AD3603">
        <v>-1.10870641539599</v>
      </c>
      <c r="AE3603">
        <v>-0.23490000000000999</v>
      </c>
      <c r="AF3603">
        <v>20.662768665850798</v>
      </c>
      <c r="AG3603">
        <v>-1.10870641539599</v>
      </c>
      <c r="AH3603">
        <v>41.196814241943997</v>
      </c>
      <c r="AI3603">
        <v>91.3780505432686</v>
      </c>
      <c r="AJ3603">
        <v>63.363383290480598</v>
      </c>
      <c r="AK3603">
        <v>46.101591540197902</v>
      </c>
      <c r="AL3603">
        <v>78.5274231096259</v>
      </c>
      <c r="AM3603">
        <v>74.716605536951704</v>
      </c>
      <c r="AN3603">
        <v>1.0000000173225301</v>
      </c>
    </row>
    <row r="3604" spans="1:40" x14ac:dyDescent="0.25">
      <c r="A3604" t="str">
        <f>"20190303170610110"</f>
        <v>20190303170610110</v>
      </c>
      <c r="B3604" t="str">
        <f>"1551603970098946"</f>
        <v>1551603970098946</v>
      </c>
      <c r="C3604" t="s">
        <v>40</v>
      </c>
      <c r="D3604">
        <v>5.419333</v>
      </c>
      <c r="E3604">
        <v>0.58265429999999996</v>
      </c>
      <c r="F3604" t="s">
        <v>41</v>
      </c>
      <c r="G3604">
        <v>-255.0385</v>
      </c>
      <c r="H3604" s="1">
        <v>-2.9879339999999999E-6</v>
      </c>
      <c r="I3604">
        <v>142.91290000000001</v>
      </c>
      <c r="J3604">
        <v>-202.49510000000001</v>
      </c>
      <c r="K3604">
        <v>1.108806</v>
      </c>
      <c r="L3604">
        <v>142.24100000000001</v>
      </c>
      <c r="M3604">
        <v>-0.90183959999999996</v>
      </c>
      <c r="N3604">
        <v>-1.5933059999999999E-2</v>
      </c>
      <c r="O3604">
        <v>-0.43177720000000003</v>
      </c>
      <c r="P3604">
        <v>-0.96329849999999995</v>
      </c>
      <c r="Q3604">
        <v>0.1930105</v>
      </c>
      <c r="R3604">
        <v>-0.1865571</v>
      </c>
      <c r="S3604">
        <v>-3.1449739999999999</v>
      </c>
      <c r="T3604">
        <v>-6.5898419999999999E-2</v>
      </c>
      <c r="U3604">
        <v>3.0502319999999999E-2</v>
      </c>
      <c r="V3604">
        <v>0.2538707</v>
      </c>
      <c r="W3604">
        <v>0.2005604</v>
      </c>
      <c r="X3604">
        <v>0.94621619999999995</v>
      </c>
      <c r="Y3604">
        <v>0.44039220000000001</v>
      </c>
      <c r="Z3604">
        <v>9.8869490000000008E-3</v>
      </c>
      <c r="AA3604">
        <v>0.89775099999999997</v>
      </c>
      <c r="AB3604">
        <v>28</v>
      </c>
      <c r="AC3604">
        <v>-52.543399999999899</v>
      </c>
      <c r="AD3604">
        <v>-1.108808987934</v>
      </c>
      <c r="AE3604">
        <v>0.67189999999999295</v>
      </c>
      <c r="AF3604">
        <v>23.2855764756765</v>
      </c>
      <c r="AG3604">
        <v>-1.108808987934</v>
      </c>
      <c r="AH3604">
        <v>47.080622212366002</v>
      </c>
      <c r="AI3604">
        <v>91.209356988887393</v>
      </c>
      <c r="AJ3604">
        <v>63.683489014410497</v>
      </c>
      <c r="AK3604">
        <v>52.536011621361503</v>
      </c>
      <c r="AL3604">
        <v>78.430267829731307</v>
      </c>
      <c r="AM3604">
        <v>74.981197810135995</v>
      </c>
      <c r="AN3604">
        <v>0.99999995175454304</v>
      </c>
    </row>
    <row r="3605" spans="1:40" x14ac:dyDescent="0.25">
      <c r="A3605" t="str">
        <f>"20190303170610132"</f>
        <v>20190303170610132</v>
      </c>
      <c r="B3605" t="str">
        <f>"1551603970118466"</f>
        <v>1551603970118466</v>
      </c>
      <c r="C3605" t="s">
        <v>40</v>
      </c>
      <c r="D3605">
        <v>5.4453050000000003</v>
      </c>
      <c r="E3605">
        <v>0.58183869999999904</v>
      </c>
      <c r="F3605" t="s">
        <v>41</v>
      </c>
      <c r="G3605">
        <v>-249.8794</v>
      </c>
      <c r="H3605" s="1">
        <v>-8.0301109999999895E-7</v>
      </c>
      <c r="I3605">
        <v>142.5061</v>
      </c>
      <c r="J3605">
        <v>-202.7567</v>
      </c>
      <c r="K3605">
        <v>1.1088629999999999</v>
      </c>
      <c r="L3605">
        <v>142.13470000000001</v>
      </c>
      <c r="M3605">
        <v>-0.90882169999999896</v>
      </c>
      <c r="N3605">
        <v>-1.5918620000000001E-2</v>
      </c>
      <c r="O3605">
        <v>-0.41688130000000001</v>
      </c>
      <c r="P3605">
        <v>-0.96559470000000003</v>
      </c>
      <c r="Q3605">
        <v>0.1932527</v>
      </c>
      <c r="R3605">
        <v>-0.174014</v>
      </c>
      <c r="S3605">
        <v>-3.1323850000000002</v>
      </c>
      <c r="T3605">
        <v>-7.3298929999999998E-2</v>
      </c>
      <c r="U3605">
        <v>1.7532349999999999E-2</v>
      </c>
      <c r="V3605">
        <v>0.2505597</v>
      </c>
      <c r="W3605">
        <v>0.20093079999999999</v>
      </c>
      <c r="X3605">
        <v>0.94701990000000003</v>
      </c>
      <c r="Y3605">
        <v>0.42181829999999998</v>
      </c>
      <c r="Z3605">
        <v>1.102438E-2</v>
      </c>
      <c r="AA3605">
        <v>0.90661329999999996</v>
      </c>
      <c r="AB3605">
        <v>28</v>
      </c>
      <c r="AC3605">
        <v>-47.122700000000002</v>
      </c>
      <c r="AD3605">
        <v>-1.1088638030111</v>
      </c>
      <c r="AE3605">
        <v>0.37139999999999401</v>
      </c>
      <c r="AF3605">
        <v>19.973578791506998</v>
      </c>
      <c r="AG3605">
        <v>-1.1088638030111</v>
      </c>
      <c r="AH3605">
        <v>42.6530869523354</v>
      </c>
      <c r="AI3605">
        <v>91.348706215419895</v>
      </c>
      <c r="AJ3605">
        <v>64.907256671995995</v>
      </c>
      <c r="AK3605">
        <v>47.111137273872401</v>
      </c>
      <c r="AL3605">
        <v>78.4086052856278</v>
      </c>
      <c r="AM3605">
        <v>75.180420225584697</v>
      </c>
      <c r="AN3605">
        <v>1.00000002032437</v>
      </c>
    </row>
    <row r="3606" spans="1:40" x14ac:dyDescent="0.25">
      <c r="A3606" t="str">
        <f>"20190303170610155"</f>
        <v>20190303170610155</v>
      </c>
      <c r="B3606" t="str">
        <f>"1551603970148722"</f>
        <v>1551603970148722</v>
      </c>
      <c r="C3606" t="s">
        <v>40</v>
      </c>
      <c r="D3606">
        <v>5.4395419999999897</v>
      </c>
      <c r="E3606">
        <v>0.57531299999999996</v>
      </c>
      <c r="F3606" t="s">
        <v>41</v>
      </c>
      <c r="G3606">
        <v>-247.86859999999999</v>
      </c>
      <c r="H3606" s="1">
        <v>-1.770278E-6</v>
      </c>
      <c r="I3606">
        <v>142.89949999999999</v>
      </c>
      <c r="J3606">
        <v>-203.03389999999999</v>
      </c>
      <c r="K3606">
        <v>1.1089209999999901</v>
      </c>
      <c r="L3606">
        <v>142.0274</v>
      </c>
      <c r="M3606">
        <v>-0.91590260000000001</v>
      </c>
      <c r="N3606">
        <v>-1.5904149999999999E-2</v>
      </c>
      <c r="O3606">
        <v>-0.40108569999999999</v>
      </c>
      <c r="P3606">
        <v>-0.96796070000000001</v>
      </c>
      <c r="Q3606">
        <v>0.19390760000000001</v>
      </c>
      <c r="R3606">
        <v>-0.1595376</v>
      </c>
      <c r="S3606">
        <v>-3.131866</v>
      </c>
      <c r="T3606">
        <v>-7.6982259999999997E-2</v>
      </c>
      <c r="U3606">
        <v>5.3100590000000003E-2</v>
      </c>
      <c r="V3606">
        <v>0.24828049999999999</v>
      </c>
      <c r="W3606">
        <v>0.20167579999999999</v>
      </c>
      <c r="X3606">
        <v>0.94746169999999996</v>
      </c>
      <c r="Y3606">
        <v>0.41639409999999999</v>
      </c>
      <c r="Z3606">
        <v>1.1564939999999999E-2</v>
      </c>
      <c r="AA3606">
        <v>0.90911070000000005</v>
      </c>
      <c r="AB3606">
        <v>27</v>
      </c>
      <c r="AC3606">
        <v>-44.834699999999998</v>
      </c>
      <c r="AD3606">
        <v>-1.10892277027799</v>
      </c>
      <c r="AE3606">
        <v>0.872099999999989</v>
      </c>
      <c r="AF3606">
        <v>18.772209494844699</v>
      </c>
      <c r="AG3606">
        <v>-1.10892277027799</v>
      </c>
      <c r="AH3606">
        <v>40.694690905502497</v>
      </c>
      <c r="AI3606">
        <v>91.417439099026495</v>
      </c>
      <c r="AJ3606">
        <v>65.236415840002707</v>
      </c>
      <c r="AK3606">
        <v>44.829492824737301</v>
      </c>
      <c r="AL3606">
        <v>78.365027661382001</v>
      </c>
      <c r="AM3606">
        <v>75.315923811625495</v>
      </c>
      <c r="AN3606">
        <v>1.0000000039763799</v>
      </c>
    </row>
    <row r="3607" spans="1:40" x14ac:dyDescent="0.25">
      <c r="A3607" t="str">
        <f>"20190303170610178"</f>
        <v>20190303170610178</v>
      </c>
      <c r="B3607" t="str">
        <f>"1551603970168242"</f>
        <v>1551603970168242</v>
      </c>
      <c r="C3607" t="s">
        <v>40</v>
      </c>
      <c r="D3607">
        <v>5.4556719999999999</v>
      </c>
      <c r="E3607">
        <v>0.57389519999999905</v>
      </c>
      <c r="F3607" t="s">
        <v>41</v>
      </c>
      <c r="G3607">
        <v>-240.56049999999999</v>
      </c>
      <c r="H3607" s="1">
        <v>-4.6103989999999997E-6</v>
      </c>
      <c r="I3607">
        <v>142.57660000000001</v>
      </c>
      <c r="J3607">
        <v>-203.2972</v>
      </c>
      <c r="K3607">
        <v>1.108968</v>
      </c>
      <c r="L3607">
        <v>141.93049999999999</v>
      </c>
      <c r="M3607">
        <v>-0.92232769999999997</v>
      </c>
      <c r="N3607">
        <v>-1.589136E-2</v>
      </c>
      <c r="O3607">
        <v>-0.38608199999999998</v>
      </c>
      <c r="P3607">
        <v>-0.96986159999999999</v>
      </c>
      <c r="Q3607">
        <v>0.1952759</v>
      </c>
      <c r="R3607">
        <v>-0.14572589999999999</v>
      </c>
      <c r="S3607">
        <v>-3.1253510000000002</v>
      </c>
      <c r="T3607">
        <v>-9.2355489999999998E-2</v>
      </c>
      <c r="U3607">
        <v>4.5745849999999998E-2</v>
      </c>
      <c r="V3607">
        <v>0.246226</v>
      </c>
      <c r="W3607">
        <v>0.203122</v>
      </c>
      <c r="X3607">
        <v>0.94768889999999995</v>
      </c>
      <c r="Y3607">
        <v>0.39929609999999999</v>
      </c>
      <c r="Z3607">
        <v>1.400172E-2</v>
      </c>
      <c r="AA3607">
        <v>0.9167151</v>
      </c>
      <c r="AB3607">
        <v>27</v>
      </c>
      <c r="AC3607">
        <v>-37.263300000000001</v>
      </c>
      <c r="AD3607">
        <v>-1.1089726103990001</v>
      </c>
      <c r="AE3607">
        <v>0.64610000000001799</v>
      </c>
      <c r="AF3607">
        <v>14.971239944992099</v>
      </c>
      <c r="AG3607">
        <v>-1.1089726103990001</v>
      </c>
      <c r="AH3607">
        <v>34.093644113996497</v>
      </c>
      <c r="AI3607">
        <v>91.705897271519405</v>
      </c>
      <c r="AJ3607">
        <v>66.292706540005199</v>
      </c>
      <c r="AK3607">
        <v>37.252441728200701</v>
      </c>
      <c r="AL3607">
        <v>78.280415485665003</v>
      </c>
      <c r="AM3607">
        <v>75.435587722470999</v>
      </c>
      <c r="AN3607">
        <v>1.0000000205716</v>
      </c>
    </row>
    <row r="3608" spans="1:40" x14ac:dyDescent="0.25">
      <c r="A3608" t="str">
        <f>"20190303170610200"</f>
        <v>20190303170610200</v>
      </c>
      <c r="B3608" t="str">
        <f>"1551603970188739"</f>
        <v>1551603970188739</v>
      </c>
      <c r="C3608" t="s">
        <v>40</v>
      </c>
      <c r="D3608">
        <v>5.4523510000000002</v>
      </c>
      <c r="E3608">
        <v>0.56872210000000001</v>
      </c>
      <c r="F3608" t="s">
        <v>41</v>
      </c>
      <c r="G3608">
        <v>-240.54990000000001</v>
      </c>
      <c r="H3608" s="1">
        <v>-4.6644099999999996E-6</v>
      </c>
      <c r="I3608">
        <v>142.86070000000001</v>
      </c>
      <c r="J3608">
        <v>-203.55439999999999</v>
      </c>
      <c r="K3608">
        <v>1.109013</v>
      </c>
      <c r="L3608">
        <v>141.84049999999999</v>
      </c>
      <c r="M3608">
        <v>-0.92832740000000002</v>
      </c>
      <c r="N3608">
        <v>-1.5879310000000001E-2</v>
      </c>
      <c r="O3608">
        <v>-0.37142449999999999</v>
      </c>
      <c r="P3608">
        <v>-0.97168160000000003</v>
      </c>
      <c r="Q3608">
        <v>0.195544</v>
      </c>
      <c r="R3608">
        <v>-0.1326561</v>
      </c>
      <c r="S3608">
        <v>-3.123672</v>
      </c>
      <c r="T3608">
        <v>-9.2988609999999999E-2</v>
      </c>
      <c r="U3608">
        <v>7.8002929999999998E-2</v>
      </c>
      <c r="V3608">
        <v>0.24393419999999999</v>
      </c>
      <c r="W3608">
        <v>0.2034782</v>
      </c>
      <c r="X3608">
        <v>0.94820499999999996</v>
      </c>
      <c r="Y3608">
        <v>0.3942387</v>
      </c>
      <c r="Z3608">
        <v>1.3858820000000001E-2</v>
      </c>
      <c r="AA3608">
        <v>0.91890360000000004</v>
      </c>
      <c r="AB3608">
        <v>27</v>
      </c>
      <c r="AC3608">
        <v>-36.9955</v>
      </c>
      <c r="AD3608">
        <v>-1.10901766441</v>
      </c>
      <c r="AE3608">
        <v>1.02020000000001</v>
      </c>
      <c r="AF3608">
        <v>14.676787412273701</v>
      </c>
      <c r="AG3608">
        <v>-1.10901766441</v>
      </c>
      <c r="AH3608">
        <v>33.938815660228897</v>
      </c>
      <c r="AI3608">
        <v>91.717935090081696</v>
      </c>
      <c r="AJ3608">
        <v>66.614006946347203</v>
      </c>
      <c r="AK3608">
        <v>36.9929887592778</v>
      </c>
      <c r="AL3608">
        <v>78.259571150279598</v>
      </c>
      <c r="AM3608">
        <v>75.572989245827898</v>
      </c>
      <c r="AN3608">
        <v>0.99999999691493902</v>
      </c>
    </row>
    <row r="3609" spans="1:40" x14ac:dyDescent="0.25">
      <c r="A3609" t="str">
        <f>"20190303170610223"</f>
        <v>20190303170610223</v>
      </c>
      <c r="B3609" t="str">
        <f>"1551603970208258"</f>
        <v>1551603970208258</v>
      </c>
      <c r="C3609" t="s">
        <v>40</v>
      </c>
      <c r="D3609">
        <v>5.4419399999999998</v>
      </c>
      <c r="E3609">
        <v>0.56760069999999996</v>
      </c>
      <c r="F3609" t="s">
        <v>41</v>
      </c>
      <c r="G3609">
        <v>-235.80690000000001</v>
      </c>
      <c r="H3609" s="1">
        <v>-2.5884219999999998E-6</v>
      </c>
      <c r="I3609">
        <v>142.65029999999999</v>
      </c>
      <c r="J3609">
        <v>-203.83019999999999</v>
      </c>
      <c r="K3609">
        <v>1.109059</v>
      </c>
      <c r="L3609">
        <v>141.74889999999999</v>
      </c>
      <c r="M3609">
        <v>-0.93446700000000005</v>
      </c>
      <c r="N3609">
        <v>-1.5866169999999999E-2</v>
      </c>
      <c r="O3609">
        <v>-0.35569659999999997</v>
      </c>
      <c r="P3609">
        <v>-0.97340669999999996</v>
      </c>
      <c r="Q3609">
        <v>0.19515009999999999</v>
      </c>
      <c r="R3609">
        <v>-0.1199837</v>
      </c>
      <c r="S3609">
        <v>-3.11972</v>
      </c>
      <c r="T3609">
        <v>-0.1072726</v>
      </c>
      <c r="U3609">
        <v>7.8338619999999998E-2</v>
      </c>
      <c r="V3609">
        <v>0.2402599</v>
      </c>
      <c r="W3609">
        <v>0.2032214</v>
      </c>
      <c r="X3609">
        <v>0.94919770000000003</v>
      </c>
      <c r="Y3609">
        <v>0.37871199999999999</v>
      </c>
      <c r="Z3609">
        <v>1.5815349999999999E-2</v>
      </c>
      <c r="AA3609">
        <v>0.92537939999999996</v>
      </c>
      <c r="AB3609">
        <v>27</v>
      </c>
      <c r="AC3609">
        <v>-31.976700000000001</v>
      </c>
      <c r="AD3609">
        <v>-1.1090615884219901</v>
      </c>
      <c r="AE3609">
        <v>0.90139999999999498</v>
      </c>
      <c r="AF3609">
        <v>12.2031995647743</v>
      </c>
      <c r="AG3609">
        <v>-1.1090615884219901</v>
      </c>
      <c r="AH3609">
        <v>29.528768655485401</v>
      </c>
      <c r="AI3609">
        <v>91.988014460079896</v>
      </c>
      <c r="AJ3609">
        <v>67.546416625598596</v>
      </c>
      <c r="AK3609">
        <v>31.9702404672502</v>
      </c>
      <c r="AL3609">
        <v>78.274598908599899</v>
      </c>
      <c r="AM3609">
        <v>75.795691031818194</v>
      </c>
      <c r="AN3609">
        <v>1.0000000153256201</v>
      </c>
    </row>
    <row r="3610" spans="1:40" x14ac:dyDescent="0.25">
      <c r="A3610" t="str">
        <f>"20190303170610248"</f>
        <v>20190303170610248</v>
      </c>
      <c r="B3610" t="str">
        <f>"1551603970238514"</f>
        <v>1551603970238514</v>
      </c>
      <c r="C3610" t="s">
        <v>40</v>
      </c>
      <c r="D3610">
        <v>5.4377599999999999</v>
      </c>
      <c r="E3610">
        <v>0.56287149999999997</v>
      </c>
      <c r="F3610" t="s">
        <v>41</v>
      </c>
      <c r="G3610">
        <v>-235.64330000000001</v>
      </c>
      <c r="H3610" s="1">
        <v>-2.7221600000000001E-6</v>
      </c>
      <c r="I3610">
        <v>142.88919999999999</v>
      </c>
      <c r="J3610">
        <v>-204.12129999999999</v>
      </c>
      <c r="K3610">
        <v>1.1091169999999999</v>
      </c>
      <c r="L3610">
        <v>141.6584</v>
      </c>
      <c r="M3610">
        <v>-0.94060540000000004</v>
      </c>
      <c r="N3610">
        <v>-1.5850159999999999E-2</v>
      </c>
      <c r="O3610">
        <v>-0.33913169999999998</v>
      </c>
      <c r="P3610">
        <v>-0.97529659999999996</v>
      </c>
      <c r="Q3610">
        <v>0.1942479</v>
      </c>
      <c r="R3610">
        <v>-0.1051875</v>
      </c>
      <c r="S3610">
        <v>-3.1175229999999998</v>
      </c>
      <c r="T3610">
        <v>-0.1086825</v>
      </c>
      <c r="U3610">
        <v>0.11174009999999999</v>
      </c>
      <c r="V3610">
        <v>0.23790230000000001</v>
      </c>
      <c r="W3610">
        <v>0.20241880000000001</v>
      </c>
      <c r="X3610">
        <v>0.94996270000000005</v>
      </c>
      <c r="Y3610">
        <v>0.37227169999999998</v>
      </c>
      <c r="Z3610">
        <v>1.5643629999999999E-2</v>
      </c>
      <c r="AA3610">
        <v>0.92799200000000004</v>
      </c>
      <c r="AB3610">
        <v>27</v>
      </c>
      <c r="AC3610">
        <v>-31.521999999999998</v>
      </c>
      <c r="AD3610">
        <v>-1.10911972216</v>
      </c>
      <c r="AE3610">
        <v>1.2307999999999799</v>
      </c>
      <c r="AF3610">
        <v>11.834665464686701</v>
      </c>
      <c r="AG3610">
        <v>-1.10911972216</v>
      </c>
      <c r="AH3610">
        <v>29.199936768017601</v>
      </c>
      <c r="AI3610">
        <v>92.016107627845003</v>
      </c>
      <c r="AJ3610">
        <v>67.9374035741358</v>
      </c>
      <c r="AK3610">
        <v>31.526588151516801</v>
      </c>
      <c r="AL3610">
        <v>78.321560407957406</v>
      </c>
      <c r="AM3610">
        <v>75.940392672668693</v>
      </c>
      <c r="AN3610">
        <v>1.00000000316501</v>
      </c>
    </row>
    <row r="3611" spans="1:40" x14ac:dyDescent="0.25">
      <c r="A3611" t="str">
        <f>"20190303170610269"</f>
        <v>20190303170610269</v>
      </c>
      <c r="B3611" t="str">
        <f>"1551603970258035"</f>
        <v>1551603970258035</v>
      </c>
      <c r="C3611" t="s">
        <v>40</v>
      </c>
      <c r="D3611">
        <v>5.4298419999999998</v>
      </c>
      <c r="E3611">
        <v>0.56177069999999996</v>
      </c>
      <c r="F3611" t="s">
        <v>41</v>
      </c>
      <c r="G3611">
        <v>-234.09219999999999</v>
      </c>
      <c r="H3611" s="1">
        <v>-3.3723010000000001E-6</v>
      </c>
      <c r="I3611">
        <v>142.83179999999999</v>
      </c>
      <c r="J3611">
        <v>-204.38329999999999</v>
      </c>
      <c r="K3611">
        <v>1.109181</v>
      </c>
      <c r="L3611">
        <v>141.58150000000001</v>
      </c>
      <c r="M3611">
        <v>-0.94583830000000002</v>
      </c>
      <c r="N3611">
        <v>-1.5832720000000002E-2</v>
      </c>
      <c r="O3611">
        <v>-0.32425179999999998</v>
      </c>
      <c r="P3611">
        <v>-0.97696780000000005</v>
      </c>
      <c r="Q3611">
        <v>0.1932044</v>
      </c>
      <c r="R3611">
        <v>-9.0587409999999993E-2</v>
      </c>
      <c r="S3611">
        <v>-3.1120760000000001</v>
      </c>
      <c r="T3611">
        <v>-0.11516709999999999</v>
      </c>
      <c r="U3611">
        <v>0.1218414</v>
      </c>
      <c r="V3611">
        <v>0.23712730000000001</v>
      </c>
      <c r="W3611">
        <v>0.20142450000000001</v>
      </c>
      <c r="X3611">
        <v>0.95036770000000004</v>
      </c>
      <c r="Y3611">
        <v>0.36063460000000003</v>
      </c>
      <c r="Z3611">
        <v>1.6174640000000001E-2</v>
      </c>
      <c r="AA3611">
        <v>0.93256689999999998</v>
      </c>
      <c r="AB3611">
        <v>27</v>
      </c>
      <c r="AC3611">
        <v>-29.7089</v>
      </c>
      <c r="AD3611">
        <v>-1.109184372301</v>
      </c>
      <c r="AE3611">
        <v>1.25029999999998</v>
      </c>
      <c r="AF3611">
        <v>10.802071350071</v>
      </c>
      <c r="AG3611">
        <v>-1.109184372301</v>
      </c>
      <c r="AH3611">
        <v>27.659388822475702</v>
      </c>
      <c r="AI3611">
        <v>92.139230331976094</v>
      </c>
      <c r="AJ3611">
        <v>68.667413605943906</v>
      </c>
      <c r="AK3611">
        <v>29.714589437794299</v>
      </c>
      <c r="AL3611">
        <v>78.379727426723207</v>
      </c>
      <c r="AM3611">
        <v>75.990123156350407</v>
      </c>
      <c r="AN3611">
        <v>0.99999997540441399</v>
      </c>
    </row>
    <row r="3612" spans="1:40" x14ac:dyDescent="0.25">
      <c r="A3612" t="str">
        <f>"20190303170610291"</f>
        <v>20190303170610291</v>
      </c>
      <c r="B3612" t="str">
        <f>"1551603970278530"</f>
        <v>1551603970278530</v>
      </c>
      <c r="C3612" t="s">
        <v>40</v>
      </c>
      <c r="D3612">
        <v>5.4322010000000001</v>
      </c>
      <c r="E3612">
        <v>0.56108179999999996</v>
      </c>
      <c r="F3612" t="s">
        <v>41</v>
      </c>
      <c r="G3612">
        <v>-232.8434</v>
      </c>
      <c r="H3612" s="1">
        <v>-3.9141149999999997E-6</v>
      </c>
      <c r="I3612">
        <v>143.03100000000001</v>
      </c>
      <c r="J3612">
        <v>-204.64449999999999</v>
      </c>
      <c r="K3612">
        <v>1.1092569999999999</v>
      </c>
      <c r="L3612">
        <v>141.50919999999999</v>
      </c>
      <c r="M3612">
        <v>-0.95078209999999996</v>
      </c>
      <c r="N3612">
        <v>-1.5812369999999999E-2</v>
      </c>
      <c r="O3612">
        <v>-0.30945650000000002</v>
      </c>
      <c r="P3612">
        <v>-0.97801210000000005</v>
      </c>
      <c r="Q3612">
        <v>0.1931997</v>
      </c>
      <c r="R3612">
        <v>-7.8524280000000002E-2</v>
      </c>
      <c r="S3612">
        <v>-3.1093600000000001</v>
      </c>
      <c r="T3612">
        <v>-0.12118180000000001</v>
      </c>
      <c r="U3612">
        <v>0.15837100000000001</v>
      </c>
      <c r="V3612">
        <v>0.23398060000000001</v>
      </c>
      <c r="W3612">
        <v>0.2015469</v>
      </c>
      <c r="X3612">
        <v>0.95112140000000001</v>
      </c>
      <c r="Y3612">
        <v>0.35700880000000002</v>
      </c>
      <c r="Z3612">
        <v>1.675492E-2</v>
      </c>
      <c r="AA3612">
        <v>0.93395070000000002</v>
      </c>
      <c r="AB3612">
        <v>27</v>
      </c>
      <c r="AC3612">
        <v>-28.198899999999998</v>
      </c>
      <c r="AD3612">
        <v>-1.1092609141149901</v>
      </c>
      <c r="AE3612">
        <v>1.52180000000001</v>
      </c>
      <c r="AF3612">
        <v>10.1588312174094</v>
      </c>
      <c r="AG3612">
        <v>-1.1092609141149901</v>
      </c>
      <c r="AH3612">
        <v>26.302789756226002</v>
      </c>
      <c r="AI3612">
        <v>92.252881438492906</v>
      </c>
      <c r="AJ3612">
        <v>68.882124018708296</v>
      </c>
      <c r="AK3612">
        <v>28.2182398536766</v>
      </c>
      <c r="AL3612">
        <v>78.372567825742607</v>
      </c>
      <c r="AM3612">
        <v>76.179391478140104</v>
      </c>
      <c r="AN3612">
        <v>0.99999999580696497</v>
      </c>
    </row>
    <row r="3613" spans="1:40" x14ac:dyDescent="0.25">
      <c r="A3613" t="str">
        <f>"20190303170610312"</f>
        <v>20190303170610312</v>
      </c>
      <c r="B3613" t="str">
        <f>"1551603970298050"</f>
        <v>1551603970298050</v>
      </c>
      <c r="C3613" t="s">
        <v>40</v>
      </c>
      <c r="D3613">
        <v>5.4460639999999998</v>
      </c>
      <c r="E3613">
        <v>0.55455619999999906</v>
      </c>
      <c r="F3613" t="s">
        <v>41</v>
      </c>
      <c r="G3613">
        <v>-232.94290000000001</v>
      </c>
      <c r="H3613" s="1">
        <v>-3.9201349999999999E-6</v>
      </c>
      <c r="I3613">
        <v>143.2559</v>
      </c>
      <c r="J3613">
        <v>-204.8948</v>
      </c>
      <c r="K3613">
        <v>1.109354</v>
      </c>
      <c r="L3613">
        <v>141.44390000000001</v>
      </c>
      <c r="M3613">
        <v>-0.95525800000000005</v>
      </c>
      <c r="N3613">
        <v>-1.5789890000000001E-2</v>
      </c>
      <c r="O3613">
        <v>-0.29535240000000001</v>
      </c>
      <c r="P3613">
        <v>-0.97869499999999998</v>
      </c>
      <c r="Q3613">
        <v>0.1935973</v>
      </c>
      <c r="R3613">
        <v>-6.8384940000000005E-2</v>
      </c>
      <c r="S3613">
        <v>-3.1068880000000001</v>
      </c>
      <c r="T3613">
        <v>-0.1217859</v>
      </c>
      <c r="U3613">
        <v>0.19177250000000001</v>
      </c>
      <c r="V3613">
        <v>0.22969000000000001</v>
      </c>
      <c r="W3613">
        <v>0.2021125</v>
      </c>
      <c r="X3613">
        <v>0.95204679999999997</v>
      </c>
      <c r="Y3613">
        <v>0.3532325</v>
      </c>
      <c r="Z3613">
        <v>1.646245E-2</v>
      </c>
      <c r="AA3613">
        <v>0.93539070000000002</v>
      </c>
      <c r="AB3613">
        <v>27</v>
      </c>
      <c r="AC3613">
        <v>-28.048100000000002</v>
      </c>
      <c r="AD3613">
        <v>-1.1093579201349999</v>
      </c>
      <c r="AE3613">
        <v>1.8119999999999801</v>
      </c>
      <c r="AF3613">
        <v>10.0006691982534</v>
      </c>
      <c r="AG3613">
        <v>-1.1093579201349999</v>
      </c>
      <c r="AH3613">
        <v>26.2204169099514</v>
      </c>
      <c r="AI3613">
        <v>92.263791609371793</v>
      </c>
      <c r="AJ3613">
        <v>69.122763180095205</v>
      </c>
      <c r="AK3613">
        <v>28.084770291735101</v>
      </c>
      <c r="AL3613">
        <v>78.339480866613101</v>
      </c>
      <c r="AM3613">
        <v>76.436071527813397</v>
      </c>
      <c r="AN3613">
        <v>1.00000003407324</v>
      </c>
    </row>
    <row r="3614" spans="1:40" x14ac:dyDescent="0.25">
      <c r="A3614" t="str">
        <f>"20190303170610335"</f>
        <v>20190303170610335</v>
      </c>
      <c r="B3614" t="str">
        <f>"1551603970328307"</f>
        <v>1551603970328307</v>
      </c>
      <c r="C3614" t="s">
        <v>40</v>
      </c>
      <c r="D3614">
        <v>5.4486850000000002</v>
      </c>
      <c r="E3614">
        <v>0.55237809999999998</v>
      </c>
      <c r="F3614" t="s">
        <v>41</v>
      </c>
      <c r="G3614">
        <v>-230.76990000000001</v>
      </c>
      <c r="H3614" s="1">
        <v>-4.59275699999999E-6</v>
      </c>
      <c r="I3614">
        <v>142.87880000000001</v>
      </c>
      <c r="J3614">
        <v>-205.1788</v>
      </c>
      <c r="K3614">
        <v>1.109488</v>
      </c>
      <c r="L3614">
        <v>141.37450000000001</v>
      </c>
      <c r="M3614">
        <v>-0.96001990000000004</v>
      </c>
      <c r="N3614">
        <v>-1.5757299999999998E-2</v>
      </c>
      <c r="O3614">
        <v>-0.27948810000000002</v>
      </c>
      <c r="P3614">
        <v>-0.97951049999999995</v>
      </c>
      <c r="Q3614">
        <v>0.19360869999999999</v>
      </c>
      <c r="R3614">
        <v>-5.545216E-2</v>
      </c>
      <c r="S3614">
        <v>-3.1036380000000001</v>
      </c>
      <c r="T3614">
        <v>-0.1330645</v>
      </c>
      <c r="U3614">
        <v>0.1721191</v>
      </c>
      <c r="V3614">
        <v>0.22641530000000001</v>
      </c>
      <c r="W3614">
        <v>0.20227220000000001</v>
      </c>
      <c r="X3614">
        <v>0.95279700000000001</v>
      </c>
      <c r="Y3614">
        <v>0.3317464</v>
      </c>
      <c r="Z3614">
        <v>1.7154079999999999E-2</v>
      </c>
      <c r="AA3614">
        <v>0.94321259999999996</v>
      </c>
      <c r="AB3614">
        <v>27</v>
      </c>
      <c r="AC3614">
        <v>-25.591100000000001</v>
      </c>
      <c r="AD3614">
        <v>-1.1094925927570001</v>
      </c>
      <c r="AE3614">
        <v>1.5043</v>
      </c>
      <c r="AF3614">
        <v>8.5815582991964092</v>
      </c>
      <c r="AG3614">
        <v>-1.1094925927570001</v>
      </c>
      <c r="AH3614">
        <v>24.105375487538499</v>
      </c>
      <c r="AI3614">
        <v>92.482846312289297</v>
      </c>
      <c r="AJ3614">
        <v>70.404176362784796</v>
      </c>
      <c r="AK3614">
        <v>25.611388952009399</v>
      </c>
      <c r="AL3614">
        <v>78.330137674090196</v>
      </c>
      <c r="AM3614">
        <v>76.632608701055105</v>
      </c>
      <c r="AN3614">
        <v>1.0000000270879601</v>
      </c>
    </row>
    <row r="3615" spans="1:40" x14ac:dyDescent="0.25">
      <c r="A3615" t="str">
        <f>"20190303170610357"</f>
        <v>20190303170610357</v>
      </c>
      <c r="B3615" t="str">
        <f>"1551603970348802"</f>
        <v>1551603970348802</v>
      </c>
      <c r="C3615" t="s">
        <v>40</v>
      </c>
      <c r="D3615">
        <v>5.4514969999999998</v>
      </c>
      <c r="E3615">
        <v>0.54605729999999997</v>
      </c>
      <c r="F3615" t="s">
        <v>41</v>
      </c>
      <c r="G3615">
        <v>-230.87809999999999</v>
      </c>
      <c r="H3615" s="1">
        <v>-4.5763690000000001E-6</v>
      </c>
      <c r="I3615">
        <v>142.994</v>
      </c>
      <c r="J3615">
        <v>-205.44730000000001</v>
      </c>
      <c r="K3615">
        <v>1.1096509999999999</v>
      </c>
      <c r="L3615">
        <v>141.31319999999999</v>
      </c>
      <c r="M3615">
        <v>-0.96420939999999999</v>
      </c>
      <c r="N3615">
        <v>-1.5716790000000001E-2</v>
      </c>
      <c r="O3615">
        <v>-0.26467629999999998</v>
      </c>
      <c r="P3615">
        <v>-0.98021919999999996</v>
      </c>
      <c r="Q3615">
        <v>0.19335179999999999</v>
      </c>
      <c r="R3615">
        <v>-4.2255899999999999E-2</v>
      </c>
      <c r="S3615">
        <v>-3.10025</v>
      </c>
      <c r="T3615">
        <v>-0.13384460000000001</v>
      </c>
      <c r="U3615">
        <v>0.19537350000000001</v>
      </c>
      <c r="V3615">
        <v>0.2244959</v>
      </c>
      <c r="W3615">
        <v>0.20212830000000001</v>
      </c>
      <c r="X3615">
        <v>0.95328159999999895</v>
      </c>
      <c r="Y3615">
        <v>0.3243296</v>
      </c>
      <c r="Z3615">
        <v>1.669021E-2</v>
      </c>
      <c r="AA3615">
        <v>0.94579690000000005</v>
      </c>
      <c r="AB3615">
        <v>27</v>
      </c>
      <c r="AC3615">
        <v>-25.430799999999898</v>
      </c>
      <c r="AD3615">
        <v>-1.1096555763689999</v>
      </c>
      <c r="AE3615">
        <v>1.6808000000000001</v>
      </c>
      <c r="AF3615">
        <v>8.3367996778120705</v>
      </c>
      <c r="AG3615">
        <v>-1.1096555763689999</v>
      </c>
      <c r="AH3615">
        <v>24.033159642154601</v>
      </c>
      <c r="AI3615">
        <v>92.4977649782344</v>
      </c>
      <c r="AJ3615">
        <v>70.868985433550606</v>
      </c>
      <c r="AK3615">
        <v>25.4622529787021</v>
      </c>
      <c r="AL3615">
        <v>78.338556512568204</v>
      </c>
      <c r="AM3615">
        <v>76.748412377826199</v>
      </c>
      <c r="AN3615">
        <v>1.0000000338381201</v>
      </c>
    </row>
    <row r="3616" spans="1:40" x14ac:dyDescent="0.25">
      <c r="A3616" t="str">
        <f>"20190303170610379"</f>
        <v>20190303170610379</v>
      </c>
      <c r="B3616" t="str">
        <f>"1551603970368789"</f>
        <v>1551603970368789</v>
      </c>
      <c r="C3616" t="s">
        <v>40</v>
      </c>
      <c r="D3616">
        <v>5.4725199999999896</v>
      </c>
      <c r="E3616">
        <v>0.54475580000000001</v>
      </c>
      <c r="F3616" t="s">
        <v>41</v>
      </c>
      <c r="G3616">
        <v>-229.1908</v>
      </c>
      <c r="H3616" s="1">
        <v>-1.152494E-6</v>
      </c>
      <c r="I3616">
        <v>142.70959999999999</v>
      </c>
      <c r="J3616">
        <v>-205.7157</v>
      </c>
      <c r="K3616">
        <v>1.1098629999999901</v>
      </c>
      <c r="L3616">
        <v>141.256</v>
      </c>
      <c r="M3616">
        <v>-0.96808819999999995</v>
      </c>
      <c r="N3616">
        <v>-1.5666340000000001E-2</v>
      </c>
      <c r="O3616">
        <v>-0.2501197</v>
      </c>
      <c r="P3616">
        <v>-0.98079130000000003</v>
      </c>
      <c r="Q3616">
        <v>0.1928581</v>
      </c>
      <c r="R3616">
        <v>-2.923535E-2</v>
      </c>
      <c r="S3616">
        <v>-3.0969540000000002</v>
      </c>
      <c r="T3616">
        <v>-0.14473639999999999</v>
      </c>
      <c r="U3616">
        <v>0.18214420000000001</v>
      </c>
      <c r="V3616">
        <v>0.22269259999999999</v>
      </c>
      <c r="W3616">
        <v>0.20175699999999999</v>
      </c>
      <c r="X3616">
        <v>0.95378300000000005</v>
      </c>
      <c r="Y3616">
        <v>0.306004</v>
      </c>
      <c r="Z3616">
        <v>1.7203199999999998E-2</v>
      </c>
      <c r="AA3616">
        <v>0.95187480000000002</v>
      </c>
      <c r="AB3616">
        <v>27</v>
      </c>
      <c r="AC3616">
        <v>-23.475100000000001</v>
      </c>
      <c r="AD3616">
        <v>-1.1098641524939901</v>
      </c>
      <c r="AE3616">
        <v>1.45359999999999</v>
      </c>
      <c r="AF3616">
        <v>7.2635174371396101</v>
      </c>
      <c r="AG3616">
        <v>-1.1098641524939901</v>
      </c>
      <c r="AH3616">
        <v>22.315447446348099</v>
      </c>
      <c r="AI3616">
        <v>92.7076748434026</v>
      </c>
      <c r="AJ3616">
        <v>71.970304259288994</v>
      </c>
      <c r="AK3616">
        <v>23.4940349605458</v>
      </c>
      <c r="AL3616">
        <v>78.360276918848697</v>
      </c>
      <c r="AM3616">
        <v>76.857817902961202</v>
      </c>
      <c r="AN3616">
        <v>0.99999994611637799</v>
      </c>
    </row>
    <row r="3617" spans="1:40" x14ac:dyDescent="0.25">
      <c r="A3617" t="str">
        <f>"20190303170610401"</f>
        <v>20190303170610401</v>
      </c>
      <c r="B3617" t="str">
        <f>"1551603970388309"</f>
        <v>1551603970388309</v>
      </c>
      <c r="C3617" t="s">
        <v>40</v>
      </c>
      <c r="D3617">
        <v>5.4644570000000003</v>
      </c>
      <c r="E3617">
        <v>0.54341329999999999</v>
      </c>
      <c r="F3617" t="s">
        <v>41</v>
      </c>
      <c r="G3617">
        <v>-228.52959999999999</v>
      </c>
      <c r="H3617" s="1">
        <v>-1.4638329999999999E-6</v>
      </c>
      <c r="I3617">
        <v>142.81370000000001</v>
      </c>
      <c r="J3617">
        <v>-205.98150000000001</v>
      </c>
      <c r="K3617">
        <v>1.1101270000000001</v>
      </c>
      <c r="L3617">
        <v>141.20310000000001</v>
      </c>
      <c r="M3617">
        <v>-0.97162630000000005</v>
      </c>
      <c r="N3617">
        <v>-1.560634E-2</v>
      </c>
      <c r="O3617">
        <v>-0.23600560000000001</v>
      </c>
      <c r="P3617">
        <v>-0.98125180000000001</v>
      </c>
      <c r="Q3617">
        <v>0.19188540000000001</v>
      </c>
      <c r="R3617">
        <v>-1.8026899999999998E-2</v>
      </c>
      <c r="S3617">
        <v>-3.0946500000000001</v>
      </c>
      <c r="T3617">
        <v>-0.1505502</v>
      </c>
      <c r="U3617">
        <v>0.21130370000000001</v>
      </c>
      <c r="V3617">
        <v>0.2195916</v>
      </c>
      <c r="W3617">
        <v>0.20096020000000001</v>
      </c>
      <c r="X3617">
        <v>0.95466980000000001</v>
      </c>
      <c r="Y3617">
        <v>0.30108960000000001</v>
      </c>
      <c r="Z3617">
        <v>1.7370690000000001E-2</v>
      </c>
      <c r="AA3617">
        <v>0.9534376</v>
      </c>
      <c r="AB3617">
        <v>27</v>
      </c>
      <c r="AC3617">
        <v>-22.548099999999899</v>
      </c>
      <c r="AD3617">
        <v>-1.110128463833</v>
      </c>
      <c r="AE3617">
        <v>1.6106</v>
      </c>
      <c r="AF3617">
        <v>6.8706487327753401</v>
      </c>
      <c r="AG3617">
        <v>-1.110128463833</v>
      </c>
      <c r="AH3617">
        <v>21.479039765591001</v>
      </c>
      <c r="AI3617">
        <v>92.818230301337593</v>
      </c>
      <c r="AJ3617">
        <v>72.261726375216497</v>
      </c>
      <c r="AK3617">
        <v>22.578470906313299</v>
      </c>
      <c r="AL3617">
        <v>78.406884886937405</v>
      </c>
      <c r="AM3617">
        <v>77.046235351444906</v>
      </c>
      <c r="AN3617">
        <v>0.99999994990331798</v>
      </c>
    </row>
    <row r="3618" spans="1:40" x14ac:dyDescent="0.25">
      <c r="A3618" t="str">
        <f>"20190303170610427"</f>
        <v>20190303170610427</v>
      </c>
      <c r="B3618" t="str">
        <f>"1551603970418565"</f>
        <v>1551603970418565</v>
      </c>
      <c r="C3618" t="s">
        <v>40</v>
      </c>
      <c r="D3618">
        <v>5.4316409999999999</v>
      </c>
      <c r="E3618">
        <v>0.53577859999999999</v>
      </c>
      <c r="F3618" t="s">
        <v>41</v>
      </c>
      <c r="G3618">
        <v>-228.17609999999999</v>
      </c>
      <c r="H3618" s="1">
        <v>-1.639219E-6</v>
      </c>
      <c r="I3618">
        <v>142.90280000000001</v>
      </c>
      <c r="J3618">
        <v>-206.2884</v>
      </c>
      <c r="K3618">
        <v>1.1104940000000001</v>
      </c>
      <c r="L3618">
        <v>141.14680000000001</v>
      </c>
      <c r="M3618">
        <v>-0.97533190000000003</v>
      </c>
      <c r="N3618">
        <v>-1.5523759999999999E-2</v>
      </c>
      <c r="O3618">
        <v>-0.2201969</v>
      </c>
      <c r="P3618">
        <v>-0.98145970000000005</v>
      </c>
      <c r="Q3618">
        <v>0.1915538</v>
      </c>
      <c r="R3618">
        <v>-6.6312159999999997E-3</v>
      </c>
      <c r="S3618">
        <v>-3.091904</v>
      </c>
      <c r="T3618">
        <v>-0.15465090000000001</v>
      </c>
      <c r="U3618">
        <v>0.23678589999999999</v>
      </c>
      <c r="V3618">
        <v>0.21498819999999999</v>
      </c>
      <c r="W3618">
        <v>0.20087240000000001</v>
      </c>
      <c r="X3618">
        <v>0.95573549999999996</v>
      </c>
      <c r="Y3618">
        <v>0.29345860000000001</v>
      </c>
      <c r="Z3618">
        <v>1.7126619999999999E-2</v>
      </c>
      <c r="AA3618">
        <v>0.95581839999999996</v>
      </c>
      <c r="AB3618">
        <v>27</v>
      </c>
      <c r="AC3618">
        <v>-21.887699999999899</v>
      </c>
      <c r="AD3618">
        <v>-1.110495639219</v>
      </c>
      <c r="AE3618">
        <v>1.756</v>
      </c>
      <c r="AF3618">
        <v>6.5164069028853797</v>
      </c>
      <c r="AG3618">
        <v>-1.110495639219</v>
      </c>
      <c r="AH3618">
        <v>20.910151063220201</v>
      </c>
      <c r="AI3618">
        <v>92.902577345561596</v>
      </c>
      <c r="AJ3618">
        <v>72.690958233700897</v>
      </c>
      <c r="AK3618">
        <v>21.930143113426901</v>
      </c>
      <c r="AL3618">
        <v>78.412020721798797</v>
      </c>
      <c r="AM3618">
        <v>77.322600105095006</v>
      </c>
      <c r="AN3618">
        <v>0.999999996590625</v>
      </c>
    </row>
    <row r="3619" spans="1:40" x14ac:dyDescent="0.25">
      <c r="A3619" t="str">
        <f>"20190303170610447"</f>
        <v>20190303170610447</v>
      </c>
      <c r="B3619" t="str">
        <f>"1551603970438086"</f>
        <v>1551603970438086</v>
      </c>
      <c r="C3619" t="s">
        <v>40</v>
      </c>
      <c r="D3619">
        <v>5.5078909999999999</v>
      </c>
      <c r="E3619">
        <v>0.53477109999999894</v>
      </c>
      <c r="F3619" t="s">
        <v>41</v>
      </c>
      <c r="G3619">
        <v>-225.43629999999999</v>
      </c>
      <c r="H3619" s="1">
        <v>-2.6966550000000002E-6</v>
      </c>
      <c r="I3619">
        <v>142.45959999999999</v>
      </c>
      <c r="J3619">
        <v>-206.54230000000001</v>
      </c>
      <c r="K3619">
        <v>1.1108229999999999</v>
      </c>
      <c r="L3619">
        <v>141.1036</v>
      </c>
      <c r="M3619">
        <v>-0.97810589999999997</v>
      </c>
      <c r="N3619">
        <v>-1.544768E-2</v>
      </c>
      <c r="O3619">
        <v>-0.20753350000000001</v>
      </c>
      <c r="P3619">
        <v>-0.98129900000000003</v>
      </c>
      <c r="Q3619">
        <v>0.19247230000000001</v>
      </c>
      <c r="R3619">
        <v>2.6048310000000002E-3</v>
      </c>
      <c r="S3619">
        <v>-3.0930939999999998</v>
      </c>
      <c r="T3619">
        <v>-0.17938599999999999</v>
      </c>
      <c r="U3619">
        <v>0.21208189999999999</v>
      </c>
      <c r="V3619">
        <v>0.2114028</v>
      </c>
      <c r="W3619">
        <v>0.2019859</v>
      </c>
      <c r="X3619">
        <v>0.95630040000000005</v>
      </c>
      <c r="Y3619">
        <v>0.27322449999999998</v>
      </c>
      <c r="Z3619">
        <v>1.8776959999999999E-2</v>
      </c>
      <c r="AA3619">
        <v>0.96176700000000004</v>
      </c>
      <c r="AB3619">
        <v>27</v>
      </c>
      <c r="AC3619">
        <v>-18.893999999999899</v>
      </c>
      <c r="AD3619">
        <v>-1.1108256966550001</v>
      </c>
      <c r="AE3619">
        <v>1.3559999999999901</v>
      </c>
      <c r="AF3619">
        <v>5.2300904519875502</v>
      </c>
      <c r="AG3619">
        <v>-1.1108256966550001</v>
      </c>
      <c r="AH3619">
        <v>18.1387135766395</v>
      </c>
      <c r="AI3619">
        <v>93.367591793847396</v>
      </c>
      <c r="AJ3619">
        <v>73.915689034290807</v>
      </c>
      <c r="AK3619">
        <v>18.910333420637599</v>
      </c>
      <c r="AL3619">
        <v>78.346886288702905</v>
      </c>
      <c r="AM3619">
        <v>77.534491362028902</v>
      </c>
      <c r="AN3619">
        <v>0.99999995134340303</v>
      </c>
    </row>
    <row r="3620" spans="1:40" x14ac:dyDescent="0.25">
      <c r="A3620" t="str">
        <f>"20190303170610470"</f>
        <v>20190303170610470</v>
      </c>
      <c r="B3620" t="str">
        <f>"1551603970458581"</f>
        <v>1551603970458581</v>
      </c>
      <c r="C3620" t="s">
        <v>40</v>
      </c>
      <c r="D3620">
        <v>5.517881</v>
      </c>
      <c r="E3620">
        <v>0.53506549999999997</v>
      </c>
      <c r="F3620" t="s">
        <v>41</v>
      </c>
      <c r="G3620">
        <v>-227.0625</v>
      </c>
      <c r="H3620" s="1">
        <v>-2.0514489999999998E-6</v>
      </c>
      <c r="I3620">
        <v>142.6567</v>
      </c>
      <c r="J3620">
        <v>-206.82</v>
      </c>
      <c r="K3620">
        <v>1.1111770000000001</v>
      </c>
      <c r="L3620">
        <v>141.0598</v>
      </c>
      <c r="M3620">
        <v>-0.98086379999999995</v>
      </c>
      <c r="N3620">
        <v>-1.5362209999999999E-2</v>
      </c>
      <c r="O3620">
        <v>-0.1940885</v>
      </c>
      <c r="P3620">
        <v>-0.98091980000000001</v>
      </c>
      <c r="Q3620">
        <v>0.19394900000000001</v>
      </c>
      <c r="R3620">
        <v>1.341816E-2</v>
      </c>
      <c r="S3620">
        <v>-3.0893549999999999</v>
      </c>
      <c r="T3620">
        <v>-0.16723640000000001</v>
      </c>
      <c r="U3620">
        <v>0.2338257</v>
      </c>
      <c r="V3620">
        <v>0.20860989999999999</v>
      </c>
      <c r="W3620">
        <v>0.2036309</v>
      </c>
      <c r="X3620">
        <v>0.95656490000000005</v>
      </c>
      <c r="Y3620">
        <v>0.26695099999999999</v>
      </c>
      <c r="Z3620">
        <v>1.6733359999999999E-2</v>
      </c>
      <c r="AA3620">
        <v>0.9635648</v>
      </c>
      <c r="AB3620">
        <v>27</v>
      </c>
      <c r="AC3620">
        <v>-20.2425</v>
      </c>
      <c r="AD3620">
        <v>-1.1111790514489901</v>
      </c>
      <c r="AE3620">
        <v>1.5969</v>
      </c>
      <c r="AF3620">
        <v>5.4794171139641596</v>
      </c>
      <c r="AG3620">
        <v>-1.1111790514489901</v>
      </c>
      <c r="AH3620">
        <v>19.489137864243599</v>
      </c>
      <c r="AI3620">
        <v>93.141654253273003</v>
      </c>
      <c r="AJ3620">
        <v>74.296546553812206</v>
      </c>
      <c r="AK3620">
        <v>20.2752367553298</v>
      </c>
      <c r="AL3620">
        <v>78.250635279199102</v>
      </c>
      <c r="AM3620">
        <v>77.697425652704496</v>
      </c>
      <c r="AN3620">
        <v>1.00000002086241</v>
      </c>
    </row>
    <row r="3621" spans="1:40" x14ac:dyDescent="0.25">
      <c r="A3621" t="str">
        <f>"20190303170610490"</f>
        <v>20190303170610490</v>
      </c>
      <c r="B3621" t="str">
        <f>"1551603970478101"</f>
        <v>1551603970478101</v>
      </c>
      <c r="C3621" t="s">
        <v>40</v>
      </c>
      <c r="D3621">
        <v>5.5055509999999996</v>
      </c>
      <c r="E3621">
        <v>0.53582689999999999</v>
      </c>
      <c r="F3621" t="s">
        <v>41</v>
      </c>
      <c r="G3621">
        <v>-228.4308</v>
      </c>
      <c r="H3621" s="1">
        <v>-1.53911399999999E-6</v>
      </c>
      <c r="I3621">
        <v>142.93719999999999</v>
      </c>
      <c r="J3621">
        <v>-207.0676</v>
      </c>
      <c r="K3621">
        <v>1.111491</v>
      </c>
      <c r="L3621">
        <v>141.02369999999999</v>
      </c>
      <c r="M3621">
        <v>-0.98308859999999998</v>
      </c>
      <c r="N3621">
        <v>-1.528681E-2</v>
      </c>
      <c r="O3621">
        <v>-0.18249099999999999</v>
      </c>
      <c r="P3621">
        <v>-0.98073180000000004</v>
      </c>
      <c r="Q3621">
        <v>0.19419040000000001</v>
      </c>
      <c r="R3621">
        <v>2.1329999999999998E-2</v>
      </c>
      <c r="S3621">
        <v>-3.0860750000000001</v>
      </c>
      <c r="T3621">
        <v>-0.1586795</v>
      </c>
      <c r="U3621">
        <v>0.26809690000000003</v>
      </c>
      <c r="V3621">
        <v>0.2048567</v>
      </c>
      <c r="W3621">
        <v>0.20405470000000001</v>
      </c>
      <c r="X3621">
        <v>0.95728539999999995</v>
      </c>
      <c r="Y3621">
        <v>0.26634989999999997</v>
      </c>
      <c r="Z3621">
        <v>1.542052E-2</v>
      </c>
      <c r="AA3621">
        <v>0.96375299999999997</v>
      </c>
      <c r="AB3621">
        <v>27</v>
      </c>
      <c r="AC3621">
        <v>-21.363199999999999</v>
      </c>
      <c r="AD3621">
        <v>-1.111492539114</v>
      </c>
      <c r="AE3621">
        <v>1.91349999999999</v>
      </c>
      <c r="AF3621">
        <v>5.7649264754841996</v>
      </c>
      <c r="AG3621">
        <v>-1.111492539114</v>
      </c>
      <c r="AH3621">
        <v>20.599818085567598</v>
      </c>
      <c r="AI3621">
        <v>92.9744180949385</v>
      </c>
      <c r="AJ3621">
        <v>74.365549598487604</v>
      </c>
      <c r="AK3621">
        <v>21.420137676745298</v>
      </c>
      <c r="AL3621">
        <v>78.225831865246406</v>
      </c>
      <c r="AM3621">
        <v>77.921031327788796</v>
      </c>
      <c r="AN3621">
        <v>0.99999996259006896</v>
      </c>
    </row>
    <row r="3622" spans="1:40" x14ac:dyDescent="0.25">
      <c r="A3622" t="str">
        <f>"20190303170610516"</f>
        <v>20190303170610516</v>
      </c>
      <c r="B3622" t="str">
        <f>"1551603970508357"</f>
        <v>1551603970508357</v>
      </c>
      <c r="C3622" t="s">
        <v>40</v>
      </c>
      <c r="D3622">
        <v>5.5038839999999896</v>
      </c>
      <c r="E3622">
        <v>0.53629769999999999</v>
      </c>
      <c r="F3622" t="s">
        <v>41</v>
      </c>
      <c r="G3622">
        <v>-230.38839999999999</v>
      </c>
      <c r="H3622" s="1">
        <v>-4.7949779999999996E-6</v>
      </c>
      <c r="I3622">
        <v>143.28700000000001</v>
      </c>
      <c r="J3622">
        <v>-207.37469999999999</v>
      </c>
      <c r="K3622">
        <v>1.1118950000000001</v>
      </c>
      <c r="L3622">
        <v>140.98249999999999</v>
      </c>
      <c r="M3622">
        <v>-0.98555369999999998</v>
      </c>
      <c r="N3622">
        <v>-1.518775E-2</v>
      </c>
      <c r="O3622">
        <v>-0.16868089999999999</v>
      </c>
      <c r="P3622">
        <v>-0.98050320000000002</v>
      </c>
      <c r="Q3622">
        <v>0.19405449999999999</v>
      </c>
      <c r="R3622">
        <v>3.0931190000000001E-2</v>
      </c>
      <c r="S3622">
        <v>-3.081512</v>
      </c>
      <c r="T3622">
        <v>-0.14686879999999999</v>
      </c>
      <c r="U3622">
        <v>0.29907230000000001</v>
      </c>
      <c r="V3622">
        <v>0.20058400000000001</v>
      </c>
      <c r="W3622">
        <v>0.2041308</v>
      </c>
      <c r="X3622">
        <v>0.95817359999999896</v>
      </c>
      <c r="Y3622">
        <v>0.26264860000000001</v>
      </c>
      <c r="Z3622">
        <v>1.36863E-2</v>
      </c>
      <c r="AA3622">
        <v>0.9647945</v>
      </c>
      <c r="AB3622">
        <v>27</v>
      </c>
      <c r="AC3622">
        <v>-23.0137</v>
      </c>
      <c r="AD3622">
        <v>-1.1118997949779901</v>
      </c>
      <c r="AE3622">
        <v>2.3045000000000102</v>
      </c>
      <c r="AF3622">
        <v>6.1397002176006898</v>
      </c>
      <c r="AG3622">
        <v>-1.1118997949779901</v>
      </c>
      <c r="AH3622">
        <v>22.2436753358567</v>
      </c>
      <c r="AI3622">
        <v>92.758684721558495</v>
      </c>
      <c r="AJ3622">
        <v>74.569427876723793</v>
      </c>
      <c r="AK3622">
        <v>23.102236522966301</v>
      </c>
      <c r="AL3622">
        <v>78.221378188861607</v>
      </c>
      <c r="AM3622">
        <v>78.176447202065006</v>
      </c>
      <c r="AN3622">
        <v>0.99999998615079899</v>
      </c>
    </row>
    <row r="3623" spans="1:40" x14ac:dyDescent="0.25">
      <c r="A3623" t="str">
        <f>"20190303170610536"</f>
        <v>20190303170610536</v>
      </c>
      <c r="B3623" t="str">
        <f>"1551603970528853"</f>
        <v>1551603970528853</v>
      </c>
      <c r="C3623" t="s">
        <v>40</v>
      </c>
      <c r="D3623">
        <v>5.4660270000000004</v>
      </c>
      <c r="E3623">
        <v>0.53579390000000005</v>
      </c>
      <c r="F3623" t="s">
        <v>41</v>
      </c>
      <c r="G3623">
        <v>-232.1191</v>
      </c>
      <c r="H3623" s="1">
        <v>-4.2758459999999998E-6</v>
      </c>
      <c r="I3623">
        <v>143.6807</v>
      </c>
      <c r="J3623">
        <v>-207.63159999999999</v>
      </c>
      <c r="K3623">
        <v>1.1122650000000001</v>
      </c>
      <c r="L3623">
        <v>140.95079999999999</v>
      </c>
      <c r="M3623">
        <v>-0.9873786</v>
      </c>
      <c r="N3623">
        <v>-1.5097940000000001E-2</v>
      </c>
      <c r="O3623">
        <v>-0.15765599999999999</v>
      </c>
      <c r="P3623">
        <v>-0.98010200000000003</v>
      </c>
      <c r="Q3623">
        <v>0.19456590000000001</v>
      </c>
      <c r="R3623">
        <v>3.9297329999999998E-2</v>
      </c>
      <c r="S3623">
        <v>-3.0764309999999999</v>
      </c>
      <c r="T3623">
        <v>-0.1382408</v>
      </c>
      <c r="U3623">
        <v>0.33547969999999999</v>
      </c>
      <c r="V3623">
        <v>0.19785459999999999</v>
      </c>
      <c r="W3623">
        <v>0.2047978</v>
      </c>
      <c r="X3623">
        <v>0.95859870000000003</v>
      </c>
      <c r="Y3623">
        <v>0.26337329999999998</v>
      </c>
      <c r="Z3623">
        <v>1.2570339999999999E-2</v>
      </c>
      <c r="AA3623">
        <v>0.96461209999999997</v>
      </c>
      <c r="AB3623">
        <v>27</v>
      </c>
      <c r="AC3623">
        <v>-24.487500000000001</v>
      </c>
      <c r="AD3623">
        <v>-1.112269275846</v>
      </c>
      <c r="AE3623">
        <v>2.72990000000001</v>
      </c>
      <c r="AF3623">
        <v>6.5434595163853997</v>
      </c>
      <c r="AG3623">
        <v>-1.112269275846</v>
      </c>
      <c r="AH3623">
        <v>23.702455667640301</v>
      </c>
      <c r="AI3623">
        <v>92.589966811054396</v>
      </c>
      <c r="AJ3623">
        <v>74.566942100685907</v>
      </c>
      <c r="AK3623">
        <v>24.614231860064599</v>
      </c>
      <c r="AL3623">
        <v>78.182337583136004</v>
      </c>
      <c r="AM3623">
        <v>78.337925812778295</v>
      </c>
      <c r="AN3623">
        <v>1.0000000246338401</v>
      </c>
    </row>
    <row r="3624" spans="1:40" x14ac:dyDescent="0.25">
      <c r="A3624" t="str">
        <f>"20190303170610559"</f>
        <v>20190303170610559</v>
      </c>
      <c r="B3624" t="str">
        <f>"1551603970548372"</f>
        <v>1551603970548372</v>
      </c>
      <c r="C3624" t="s">
        <v>40</v>
      </c>
      <c r="D3624">
        <v>5.7414290000000001</v>
      </c>
      <c r="E3624">
        <v>0.53534950000000003</v>
      </c>
      <c r="F3624" t="s">
        <v>41</v>
      </c>
      <c r="G3624">
        <v>-232.70150000000001</v>
      </c>
      <c r="H3624" s="1">
        <v>-4.1074130000000004E-6</v>
      </c>
      <c r="I3624">
        <v>143.8485</v>
      </c>
      <c r="J3624">
        <v>-207.8974</v>
      </c>
      <c r="K3624">
        <v>1.1127</v>
      </c>
      <c r="L3624">
        <v>140.92060000000001</v>
      </c>
      <c r="M3624">
        <v>-0.98905410000000005</v>
      </c>
      <c r="N3624">
        <v>-1.5000289999999999E-2</v>
      </c>
      <c r="O3624">
        <v>-0.1467888</v>
      </c>
      <c r="P3624">
        <v>-0.9795547</v>
      </c>
      <c r="Q3624">
        <v>0.19525899999999999</v>
      </c>
      <c r="R3624">
        <v>4.8443090000000001E-2</v>
      </c>
      <c r="S3624">
        <v>-3.0737299999999999</v>
      </c>
      <c r="T3624">
        <v>-0.1363713</v>
      </c>
      <c r="U3624">
        <v>0.35528559999999998</v>
      </c>
      <c r="V3624">
        <v>0.19603619999999999</v>
      </c>
      <c r="W3624">
        <v>0.20563699999999999</v>
      </c>
      <c r="X3624">
        <v>0.95879259999999999</v>
      </c>
      <c r="Y3624">
        <v>0.2590134</v>
      </c>
      <c r="Z3624">
        <v>1.196293E-2</v>
      </c>
      <c r="AA3624">
        <v>0.96579959999999998</v>
      </c>
      <c r="AB3624">
        <v>27</v>
      </c>
      <c r="AC3624">
        <v>-24.804099999999998</v>
      </c>
      <c r="AD3624">
        <v>-1.112704107413</v>
      </c>
      <c r="AE3624">
        <v>2.92789999999999</v>
      </c>
      <c r="AF3624">
        <v>6.5246015893851403</v>
      </c>
      <c r="AG3624">
        <v>-1.112704107413</v>
      </c>
      <c r="AH3624">
        <v>24.0577779723662</v>
      </c>
      <c r="AI3624">
        <v>92.555918317393704</v>
      </c>
      <c r="AJ3624">
        <v>74.826067702478397</v>
      </c>
      <c r="AK3624">
        <v>24.951657606229801</v>
      </c>
      <c r="AL3624">
        <v>78.133209146856998</v>
      </c>
      <c r="AM3624">
        <v>78.444484812081498</v>
      </c>
      <c r="AN3624">
        <v>1.0000000086470999</v>
      </c>
    </row>
    <row r="3625" spans="1:40" x14ac:dyDescent="0.25">
      <c r="A3625" t="str">
        <f>"20190303170610580"</f>
        <v>20190303170610580</v>
      </c>
      <c r="B3625" t="str">
        <f>"1551603970568870"</f>
        <v>1551603970568870</v>
      </c>
      <c r="C3625" t="s">
        <v>40</v>
      </c>
      <c r="D3625">
        <v>5.5430830000000002</v>
      </c>
      <c r="E3625">
        <v>0.53513489999999997</v>
      </c>
      <c r="F3625" t="s">
        <v>41</v>
      </c>
      <c r="G3625">
        <v>-232.80779999999999</v>
      </c>
      <c r="H3625" s="1">
        <v>-4.0923239999999996E-6</v>
      </c>
      <c r="I3625">
        <v>143.9674</v>
      </c>
      <c r="J3625">
        <v>-208.1635</v>
      </c>
      <c r="K3625">
        <v>1.113165</v>
      </c>
      <c r="L3625">
        <v>140.89269999999999</v>
      </c>
      <c r="M3625">
        <v>-0.9905292</v>
      </c>
      <c r="N3625">
        <v>-1.4899239999999999E-2</v>
      </c>
      <c r="O3625">
        <v>-0.13649220000000001</v>
      </c>
      <c r="P3625">
        <v>-0.97939350000000003</v>
      </c>
      <c r="Q3625">
        <v>0.1940644</v>
      </c>
      <c r="R3625">
        <v>5.5924460000000002E-2</v>
      </c>
      <c r="S3625">
        <v>-3.0713810000000001</v>
      </c>
      <c r="T3625">
        <v>-0.137192799999999</v>
      </c>
      <c r="U3625">
        <v>0.37567139999999999</v>
      </c>
      <c r="V3625">
        <v>0.1931514</v>
      </c>
      <c r="W3625">
        <v>0.2046307</v>
      </c>
      <c r="X3625">
        <v>0.95959309999999998</v>
      </c>
      <c r="Y3625">
        <v>0.2553742</v>
      </c>
      <c r="Z3625">
        <v>1.163397E-2</v>
      </c>
      <c r="AA3625">
        <v>0.96677230000000003</v>
      </c>
      <c r="AB3625">
        <v>27</v>
      </c>
      <c r="AC3625">
        <v>-24.644299999999902</v>
      </c>
      <c r="AD3625">
        <v>-1.1131690923240001</v>
      </c>
      <c r="AE3625">
        <v>3.0747</v>
      </c>
      <c r="AF3625">
        <v>6.3971937154304204</v>
      </c>
      <c r="AG3625">
        <v>-1.1131690923240001</v>
      </c>
      <c r="AH3625">
        <v>23.945779851311201</v>
      </c>
      <c r="AI3625">
        <v>92.5715390270135</v>
      </c>
      <c r="AJ3625">
        <v>75.042555907903505</v>
      </c>
      <c r="AK3625">
        <v>24.810554317634899</v>
      </c>
      <c r="AL3625">
        <v>78.1921191870683</v>
      </c>
      <c r="AM3625">
        <v>78.619308759380601</v>
      </c>
      <c r="AN3625">
        <v>1.0000000521360199</v>
      </c>
    </row>
    <row r="3626" spans="1:40" x14ac:dyDescent="0.25">
      <c r="A3626" t="str">
        <f>"20190303170610602"</f>
        <v>20190303170610602</v>
      </c>
      <c r="B3626" t="str">
        <f>"1551603970588389"</f>
        <v>1551603970588389</v>
      </c>
      <c r="C3626" t="s">
        <v>40</v>
      </c>
      <c r="D3626">
        <v>5.5397439999999998</v>
      </c>
      <c r="E3626">
        <v>0.52738699999999905</v>
      </c>
      <c r="F3626" t="s">
        <v>41</v>
      </c>
      <c r="G3626">
        <v>-231.85079999999999</v>
      </c>
      <c r="H3626" s="1">
        <v>-4.4124100000000002E-6</v>
      </c>
      <c r="I3626">
        <v>143.9359</v>
      </c>
      <c r="J3626">
        <v>-208.42250000000001</v>
      </c>
      <c r="K3626">
        <v>1.1136459999999999</v>
      </c>
      <c r="L3626">
        <v>140.86770000000001</v>
      </c>
      <c r="M3626">
        <v>-0.99178500000000003</v>
      </c>
      <c r="N3626">
        <v>-1.479982E-2</v>
      </c>
      <c r="O3626">
        <v>-0.12705739999999999</v>
      </c>
      <c r="P3626">
        <v>-0.97972300000000001</v>
      </c>
      <c r="Q3626">
        <v>0.1907721</v>
      </c>
      <c r="R3626">
        <v>6.123054E-2</v>
      </c>
      <c r="S3626">
        <v>-3.0691989999999998</v>
      </c>
      <c r="T3626">
        <v>-0.1442348</v>
      </c>
      <c r="U3626">
        <v>0.39431759999999999</v>
      </c>
      <c r="V3626">
        <v>0.18898209999999999</v>
      </c>
      <c r="W3626">
        <v>0.20156370000000001</v>
      </c>
      <c r="X3626">
        <v>0.96107120000000001</v>
      </c>
      <c r="Y3626">
        <v>0.25200450000000002</v>
      </c>
      <c r="Z3626">
        <v>1.1839010000000001E-2</v>
      </c>
      <c r="AA3626">
        <v>0.9676536</v>
      </c>
      <c r="AB3626">
        <v>27</v>
      </c>
      <c r="AC3626">
        <v>-23.428299999999901</v>
      </c>
      <c r="AD3626">
        <v>-1.11365041241</v>
      </c>
      <c r="AE3626">
        <v>3.0681999999999898</v>
      </c>
      <c r="AF3626">
        <v>6.0070484996740996</v>
      </c>
      <c r="AG3626">
        <v>-1.11365041241</v>
      </c>
      <c r="AH3626">
        <v>22.7978566249346</v>
      </c>
      <c r="AI3626">
        <v>92.704450473443899</v>
      </c>
      <c r="AJ3626">
        <v>75.238545829523702</v>
      </c>
      <c r="AK3626">
        <v>23.602269289404699</v>
      </c>
      <c r="AL3626">
        <v>78.371585200850902</v>
      </c>
      <c r="AM3626">
        <v>78.875464800612605</v>
      </c>
      <c r="AN3626">
        <v>1.0000000053737601</v>
      </c>
    </row>
    <row r="3627" spans="1:40" x14ac:dyDescent="0.25">
      <c r="A3627" t="str">
        <f>"20190303170610627"</f>
        <v>20190303170610627</v>
      </c>
      <c r="B3627" t="str">
        <f>"1551603970618646"</f>
        <v>1551603970618646</v>
      </c>
      <c r="C3627" t="s">
        <v>40</v>
      </c>
      <c r="D3627">
        <v>5.5709970000000002</v>
      </c>
      <c r="E3627">
        <v>0.52606469999999905</v>
      </c>
      <c r="F3627" t="s">
        <v>41</v>
      </c>
      <c r="G3627">
        <v>-226.1</v>
      </c>
      <c r="H3627" s="1">
        <v>-2.5170729999999999E-6</v>
      </c>
      <c r="I3627">
        <v>142.85480000000001</v>
      </c>
      <c r="J3627">
        <v>-208.72669999999999</v>
      </c>
      <c r="K3627">
        <v>1.1142179999999999</v>
      </c>
      <c r="L3627">
        <v>140.8407</v>
      </c>
      <c r="M3627">
        <v>-0.99304840000000005</v>
      </c>
      <c r="N3627">
        <v>-1.46833E-2</v>
      </c>
      <c r="O3627">
        <v>-0.1167874</v>
      </c>
      <c r="P3627">
        <v>-0.97978940000000003</v>
      </c>
      <c r="Q3627">
        <v>0.18830910000000001</v>
      </c>
      <c r="R3627">
        <v>6.7472899999999905E-2</v>
      </c>
      <c r="S3627">
        <v>-3.0782470000000002</v>
      </c>
      <c r="T3627">
        <v>-0.1939235</v>
      </c>
      <c r="U3627">
        <v>0.34603879999999998</v>
      </c>
      <c r="V3627">
        <v>0.1848737</v>
      </c>
      <c r="W3627">
        <v>0.1993405</v>
      </c>
      <c r="X3627">
        <v>0.96233310000000005</v>
      </c>
      <c r="Y3627">
        <v>0.22633200000000001</v>
      </c>
      <c r="Z3627">
        <v>1.4386970000000001E-2</v>
      </c>
      <c r="AA3627">
        <v>0.97394389999999997</v>
      </c>
      <c r="AB3627">
        <v>27</v>
      </c>
      <c r="AC3627">
        <v>-17.3733</v>
      </c>
      <c r="AD3627">
        <v>-1.114220517073</v>
      </c>
      <c r="AE3627">
        <v>2.0141000000000102</v>
      </c>
      <c r="AF3627">
        <v>4.0132274682875897</v>
      </c>
      <c r="AG3627">
        <v>-1.114220517073</v>
      </c>
      <c r="AH3627">
        <v>16.9503456335819</v>
      </c>
      <c r="AI3627">
        <v>93.659992972891601</v>
      </c>
      <c r="AJ3627">
        <v>76.679719552563597</v>
      </c>
      <c r="AK3627">
        <v>17.454560984762001</v>
      </c>
      <c r="AL3627">
        <v>78.501603580196701</v>
      </c>
      <c r="AM3627">
        <v>79.125402746075395</v>
      </c>
      <c r="AN3627">
        <v>0.99999995762377403</v>
      </c>
    </row>
    <row r="3628" spans="1:40" x14ac:dyDescent="0.25">
      <c r="A3628" t="str">
        <f>"20190303170610649"</f>
        <v>20190303170610649</v>
      </c>
      <c r="B3628" t="str">
        <f>"1551603970639142"</f>
        <v>1551603970639142</v>
      </c>
      <c r="C3628" t="s">
        <v>40</v>
      </c>
      <c r="D3628">
        <v>5.5630889999999997</v>
      </c>
      <c r="E3628">
        <v>0.52520599999999995</v>
      </c>
      <c r="F3628" t="s">
        <v>41</v>
      </c>
      <c r="G3628">
        <v>-225.4581</v>
      </c>
      <c r="H3628" s="1">
        <v>-2.770824E-6</v>
      </c>
      <c r="I3628">
        <v>142.77350000000001</v>
      </c>
      <c r="J3628">
        <v>-209.0001</v>
      </c>
      <c r="K3628">
        <v>1.114717</v>
      </c>
      <c r="L3628">
        <v>140.8185</v>
      </c>
      <c r="M3628">
        <v>-0.99401799999999996</v>
      </c>
      <c r="N3628">
        <v>-1.458188E-2</v>
      </c>
      <c r="O3628">
        <v>-0.108239</v>
      </c>
      <c r="P3628">
        <v>-0.97959289999999999</v>
      </c>
      <c r="Q3628">
        <v>0.18752269999999999</v>
      </c>
      <c r="R3628">
        <v>7.2338979999999997E-2</v>
      </c>
      <c r="S3628">
        <v>-3.0767669999999998</v>
      </c>
      <c r="T3628">
        <v>-0.20489669999999999</v>
      </c>
      <c r="U3628">
        <v>0.35543819999999998</v>
      </c>
      <c r="V3628">
        <v>0.18111969999999999</v>
      </c>
      <c r="W3628">
        <v>0.19875029999999999</v>
      </c>
      <c r="X3628">
        <v>0.96316869999999999</v>
      </c>
      <c r="Y3628">
        <v>0.22088559999999999</v>
      </c>
      <c r="Z3628">
        <v>1.4545860000000001E-2</v>
      </c>
      <c r="AA3628">
        <v>0.97519120000000004</v>
      </c>
      <c r="AB3628">
        <v>27</v>
      </c>
      <c r="AC3628">
        <v>-16.457999999999998</v>
      </c>
      <c r="AD3628">
        <v>-1.114719770824</v>
      </c>
      <c r="AE3628">
        <v>1.9550000000000101</v>
      </c>
      <c r="AF3628">
        <v>3.70832325448804</v>
      </c>
      <c r="AG3628">
        <v>-1.114719770824</v>
      </c>
      <c r="AH3628">
        <v>16.076930352155301</v>
      </c>
      <c r="AI3628">
        <v>93.865176536084206</v>
      </c>
      <c r="AJ3628">
        <v>77.011262774461699</v>
      </c>
      <c r="AK3628">
        <v>16.536685008649599</v>
      </c>
      <c r="AL3628">
        <v>78.536110346315695</v>
      </c>
      <c r="AM3628">
        <v>79.350145141655403</v>
      </c>
      <c r="AN3628">
        <v>0.99999998606893403</v>
      </c>
    </row>
    <row r="3629" spans="1:40" x14ac:dyDescent="0.25">
      <c r="A3629" t="str">
        <f>"20190303170610672"</f>
        <v>20190303170610672</v>
      </c>
      <c r="B3629" t="str">
        <f>"1551603970658661"</f>
        <v>1551603970658661</v>
      </c>
      <c r="C3629" t="s">
        <v>40</v>
      </c>
      <c r="D3629">
        <v>5.5687419999999896</v>
      </c>
      <c r="E3629">
        <v>0.5201287</v>
      </c>
      <c r="F3629" t="s">
        <v>41</v>
      </c>
      <c r="G3629">
        <v>-225.52850000000001</v>
      </c>
      <c r="H3629" s="1">
        <v>-2.7375839999999998E-6</v>
      </c>
      <c r="I3629">
        <v>142.762</v>
      </c>
      <c r="J3629">
        <v>-209.25299999999999</v>
      </c>
      <c r="K3629">
        <v>1.1151169999999999</v>
      </c>
      <c r="L3629">
        <v>140.79939999999999</v>
      </c>
      <c r="M3629">
        <v>-0.99480119999999905</v>
      </c>
      <c r="N3629">
        <v>-1.449378E-2</v>
      </c>
      <c r="O3629">
        <v>-0.10079920000000001</v>
      </c>
      <c r="P3629">
        <v>-0.97935289999999997</v>
      </c>
      <c r="Q3629">
        <v>0.18723090000000001</v>
      </c>
      <c r="R3629">
        <v>7.6241959999999998E-2</v>
      </c>
      <c r="S3629">
        <v>-3.0755309999999998</v>
      </c>
      <c r="T3629">
        <v>-0.20742260000000001</v>
      </c>
      <c r="U3629">
        <v>0.36166379999999998</v>
      </c>
      <c r="V3629">
        <v>0.17754449999999999</v>
      </c>
      <c r="W3629">
        <v>0.1986134</v>
      </c>
      <c r="X3629">
        <v>0.96386240000000001</v>
      </c>
      <c r="Y3629">
        <v>0.21558550000000001</v>
      </c>
      <c r="Z3629">
        <v>1.4120809999999999E-2</v>
      </c>
      <c r="AA3629">
        <v>0.97638290000000005</v>
      </c>
      <c r="AB3629">
        <v>27</v>
      </c>
      <c r="AC3629">
        <v>-16.275500000000001</v>
      </c>
      <c r="AD3629">
        <v>-1.1151197375839901</v>
      </c>
      <c r="AE3629">
        <v>1.9625999999999999</v>
      </c>
      <c r="AF3629">
        <v>3.5767817349823701</v>
      </c>
      <c r="AG3629">
        <v>-1.1151197375839901</v>
      </c>
      <c r="AH3629">
        <v>15.9210710259641</v>
      </c>
      <c r="AI3629">
        <v>93.909355599789095</v>
      </c>
      <c r="AJ3629">
        <v>77.338317608192199</v>
      </c>
      <c r="AK3629">
        <v>16.355958003817602</v>
      </c>
      <c r="AL3629">
        <v>78.544114193114396</v>
      </c>
      <c r="AM3629">
        <v>79.563047836071704</v>
      </c>
      <c r="AN3629">
        <v>1.0000000291367801</v>
      </c>
    </row>
    <row r="3630" spans="1:40" x14ac:dyDescent="0.25">
      <c r="A3630" t="str">
        <f>"20190303170610692"</f>
        <v>20190303170610692</v>
      </c>
      <c r="B3630" t="str">
        <f>"1551603970678181"</f>
        <v>1551603970678181</v>
      </c>
      <c r="C3630" t="s">
        <v>40</v>
      </c>
      <c r="D3630">
        <v>5.6373899999999999</v>
      </c>
      <c r="E3630">
        <v>0.51884220000000003</v>
      </c>
      <c r="F3630" t="s">
        <v>41</v>
      </c>
      <c r="G3630">
        <v>-227.1807</v>
      </c>
      <c r="H3630" s="1">
        <v>-2.020992E-6</v>
      </c>
      <c r="I3630">
        <v>142.73269999999999</v>
      </c>
      <c r="J3630">
        <v>-209.5119</v>
      </c>
      <c r="K3630">
        <v>1.1154900000000001</v>
      </c>
      <c r="L3630">
        <v>140.78139999999999</v>
      </c>
      <c r="M3630">
        <v>-0.99550119999999997</v>
      </c>
      <c r="N3630">
        <v>-1.440952E-2</v>
      </c>
      <c r="O3630">
        <v>-9.3647300000000003E-2</v>
      </c>
      <c r="P3630">
        <v>-0.97937890000000005</v>
      </c>
      <c r="Q3630">
        <v>0.18590619999999999</v>
      </c>
      <c r="R3630">
        <v>7.909476E-2</v>
      </c>
      <c r="S3630">
        <v>-3.0739899999999998</v>
      </c>
      <c r="T3630">
        <v>-0.1912055</v>
      </c>
      <c r="U3630">
        <v>0.33151249999999999</v>
      </c>
      <c r="V3630">
        <v>0.173239</v>
      </c>
      <c r="W3630">
        <v>0.19743740000000001</v>
      </c>
      <c r="X3630">
        <v>0.96488689999999999</v>
      </c>
      <c r="Y3630">
        <v>0.1992921</v>
      </c>
      <c r="Z3630">
        <v>1.207514E-2</v>
      </c>
      <c r="AA3630">
        <v>0.97986569999999995</v>
      </c>
      <c r="AB3630">
        <v>27</v>
      </c>
      <c r="AC3630">
        <v>-17.668800000000001</v>
      </c>
      <c r="AD3630">
        <v>-1.1154920209919901</v>
      </c>
      <c r="AE3630">
        <v>1.9513</v>
      </c>
      <c r="AF3630">
        <v>3.5834194474251602</v>
      </c>
      <c r="AG3630">
        <v>-1.1154920209919901</v>
      </c>
      <c r="AH3630">
        <v>17.340102311856999</v>
      </c>
      <c r="AI3630">
        <v>93.604814136066807</v>
      </c>
      <c r="AJ3630">
        <v>78.323901325928304</v>
      </c>
      <c r="AK3630">
        <v>17.741599859391201</v>
      </c>
      <c r="AL3630">
        <v>78.612855029460704</v>
      </c>
      <c r="AM3630">
        <v>79.821372817424106</v>
      </c>
      <c r="AN3630">
        <v>1.00000000391568</v>
      </c>
    </row>
    <row r="3631" spans="1:40" x14ac:dyDescent="0.25">
      <c r="A3631" t="str">
        <f>"20190303170610715"</f>
        <v>20190303170610715</v>
      </c>
      <c r="B3631" t="str">
        <f>"1551603970708437"</f>
        <v>1551603970708437</v>
      </c>
      <c r="C3631" t="s">
        <v>40</v>
      </c>
      <c r="D3631">
        <v>5.5577569999999996</v>
      </c>
      <c r="E3631">
        <v>0.51803589999999999</v>
      </c>
      <c r="F3631" t="s">
        <v>41</v>
      </c>
      <c r="G3631">
        <v>-226.63210000000001</v>
      </c>
      <c r="H3631" s="1">
        <v>-2.2261679999999999E-6</v>
      </c>
      <c r="I3631">
        <v>142.61930000000001</v>
      </c>
      <c r="J3631">
        <v>-209.79349999999999</v>
      </c>
      <c r="K3631">
        <v>1.115875</v>
      </c>
      <c r="L3631">
        <v>140.76339999999999</v>
      </c>
      <c r="M3631">
        <v>-0.99615989999999999</v>
      </c>
      <c r="N3631">
        <v>-1.432135E-2</v>
      </c>
      <c r="O3631">
        <v>-8.6373809999999995E-2</v>
      </c>
      <c r="P3631">
        <v>-0.97982420000000003</v>
      </c>
      <c r="Q3631">
        <v>0.18331919999999999</v>
      </c>
      <c r="R3631">
        <v>7.9617069999999998E-2</v>
      </c>
      <c r="S3631">
        <v>-3.0745239999999998</v>
      </c>
      <c r="T3631">
        <v>-0.20032549999999999</v>
      </c>
      <c r="U3631">
        <v>0.33007809999999999</v>
      </c>
      <c r="V3631">
        <v>0.1665141</v>
      </c>
      <c r="W3631">
        <v>0.19502949999999999</v>
      </c>
      <c r="X3631">
        <v>0.96655919999999895</v>
      </c>
      <c r="Y3631">
        <v>0.19163379999999999</v>
      </c>
      <c r="Z3631">
        <v>1.197148E-2</v>
      </c>
      <c r="AA3631">
        <v>0.98139350000000003</v>
      </c>
      <c r="AB3631">
        <v>27</v>
      </c>
      <c r="AC3631">
        <v>-16.8386</v>
      </c>
      <c r="AD3631">
        <v>-1.1158772261679999</v>
      </c>
      <c r="AE3631">
        <v>1.8559000000000201</v>
      </c>
      <c r="AF3631">
        <v>3.2892541987181998</v>
      </c>
      <c r="AG3631">
        <v>-1.1158772261679999</v>
      </c>
      <c r="AH3631">
        <v>16.543559847188899</v>
      </c>
      <c r="AI3631">
        <v>93.784939947457104</v>
      </c>
      <c r="AJ3631">
        <v>78.754878935099299</v>
      </c>
      <c r="AK3631">
        <v>16.9042523521506</v>
      </c>
      <c r="AL3631">
        <v>78.753553883885502</v>
      </c>
      <c r="AM3631">
        <v>80.225309285431294</v>
      </c>
      <c r="AN3631">
        <v>1.00000006923684</v>
      </c>
    </row>
    <row r="3632" spans="1:40" x14ac:dyDescent="0.25">
      <c r="A3632" t="str">
        <f>"20190303170610738"</f>
        <v>20190303170610738</v>
      </c>
      <c r="B3632" t="str">
        <f>"1551603970728935"</f>
        <v>1551603970728935</v>
      </c>
      <c r="C3632" t="s">
        <v>40</v>
      </c>
      <c r="D3632">
        <v>5.5184009999999999</v>
      </c>
      <c r="E3632">
        <v>0.51740450000000004</v>
      </c>
      <c r="F3632" t="s">
        <v>41</v>
      </c>
      <c r="G3632">
        <v>-226.67429999999999</v>
      </c>
      <c r="H3632" s="1">
        <v>-2.1938589999999998E-6</v>
      </c>
      <c r="I3632">
        <v>142.5659</v>
      </c>
      <c r="J3632">
        <v>-210.07130000000001</v>
      </c>
      <c r="K3632">
        <v>1.116242</v>
      </c>
      <c r="L3632">
        <v>140.74709999999999</v>
      </c>
      <c r="M3632">
        <v>-0.99671940000000003</v>
      </c>
      <c r="N3632">
        <v>-1.42375E-2</v>
      </c>
      <c r="O3632">
        <v>-7.9673430000000003E-2</v>
      </c>
      <c r="P3632">
        <v>-0.98018159999999999</v>
      </c>
      <c r="Q3632">
        <v>0.18151039999999999</v>
      </c>
      <c r="R3632">
        <v>7.9360719999999996E-2</v>
      </c>
      <c r="S3632">
        <v>-3.0731199999999999</v>
      </c>
      <c r="T3632">
        <v>-0.20314489999999999</v>
      </c>
      <c r="U3632">
        <v>0.32815549999999999</v>
      </c>
      <c r="V3632">
        <v>0.15957440000000001</v>
      </c>
      <c r="W3632">
        <v>0.19338669999999999</v>
      </c>
      <c r="X3632">
        <v>0.96805870000000005</v>
      </c>
      <c r="Y3632">
        <v>0.18448100000000001</v>
      </c>
      <c r="Z3632">
        <v>1.150994E-2</v>
      </c>
      <c r="AA3632">
        <v>0.98276870000000005</v>
      </c>
      <c r="AB3632">
        <v>27</v>
      </c>
      <c r="AC3632">
        <v>-16.602999999999899</v>
      </c>
      <c r="AD3632">
        <v>-1.116244193859</v>
      </c>
      <c r="AE3632">
        <v>1.81880000000001</v>
      </c>
      <c r="AF3632">
        <v>3.1220244308667602</v>
      </c>
      <c r="AG3632">
        <v>-1.116244193859</v>
      </c>
      <c r="AH3632">
        <v>16.332336039374599</v>
      </c>
      <c r="AI3632">
        <v>93.840513249865694</v>
      </c>
      <c r="AJ3632">
        <v>79.178118937298393</v>
      </c>
      <c r="AK3632">
        <v>16.6654804356283</v>
      </c>
      <c r="AL3632">
        <v>78.849505805044899</v>
      </c>
      <c r="AM3632">
        <v>80.639562315828698</v>
      </c>
      <c r="AN3632">
        <v>1.0000000257589601</v>
      </c>
    </row>
    <row r="3633" spans="1:40" x14ac:dyDescent="0.25">
      <c r="A3633" t="str">
        <f>"20190303170610759"</f>
        <v>20190303170610759</v>
      </c>
      <c r="B3633" t="str">
        <f>"1551603970748453"</f>
        <v>1551603970748453</v>
      </c>
      <c r="C3633" t="s">
        <v>40</v>
      </c>
      <c r="D3633">
        <v>5.5992389999999999</v>
      </c>
      <c r="E3633">
        <v>0.51696690000000001</v>
      </c>
      <c r="F3633" t="s">
        <v>41</v>
      </c>
      <c r="G3633">
        <v>-226.5428</v>
      </c>
      <c r="H3633" s="1">
        <v>-2.2290600000000001E-6</v>
      </c>
      <c r="I3633">
        <v>142.4862</v>
      </c>
      <c r="J3633">
        <v>-210.32579999999999</v>
      </c>
      <c r="K3633">
        <v>1.1165830000000001</v>
      </c>
      <c r="L3633">
        <v>140.73349999999999</v>
      </c>
      <c r="M3633">
        <v>-0.99716380000000004</v>
      </c>
      <c r="N3633">
        <v>-1.4164919999999999E-2</v>
      </c>
      <c r="O3633">
        <v>-7.3918250000000005E-2</v>
      </c>
      <c r="P3633">
        <v>-0.98020680000000004</v>
      </c>
      <c r="Q3633">
        <v>0.18158379999999999</v>
      </c>
      <c r="R3633">
        <v>7.8882350000000004E-2</v>
      </c>
      <c r="S3633">
        <v>-3.0729519999999999</v>
      </c>
      <c r="T3633">
        <v>-0.20824870000000001</v>
      </c>
      <c r="U3633">
        <v>0.324447599999999</v>
      </c>
      <c r="V3633">
        <v>0.1533389</v>
      </c>
      <c r="W3633">
        <v>0.19359960000000001</v>
      </c>
      <c r="X3633">
        <v>0.96902339999999998</v>
      </c>
      <c r="Y3633">
        <v>0.17763409999999999</v>
      </c>
      <c r="Z3633">
        <v>1.1207079999999999E-2</v>
      </c>
      <c r="AA3633">
        <v>0.98403280000000004</v>
      </c>
      <c r="AB3633">
        <v>27</v>
      </c>
      <c r="AC3633">
        <v>-16.216999999999999</v>
      </c>
      <c r="AD3633">
        <v>-1.11658522906</v>
      </c>
      <c r="AE3633">
        <v>1.7526999999999999</v>
      </c>
      <c r="AF3633">
        <v>2.9330126040878</v>
      </c>
      <c r="AG3633">
        <v>-1.11658522906</v>
      </c>
      <c r="AH3633">
        <v>15.9682302150621</v>
      </c>
      <c r="AI3633">
        <v>93.934315928360107</v>
      </c>
      <c r="AJ3633">
        <v>79.592037523464697</v>
      </c>
      <c r="AK3633">
        <v>16.273711983156002</v>
      </c>
      <c r="AL3633">
        <v>78.837072122692902</v>
      </c>
      <c r="AM3633">
        <v>81.008036722696502</v>
      </c>
      <c r="AN3633">
        <v>0.99999998656046396</v>
      </c>
    </row>
    <row r="3634" spans="1:40" x14ac:dyDescent="0.25">
      <c r="A3634" t="str">
        <f>"20190303170610781"</f>
        <v>20190303170610781</v>
      </c>
      <c r="B3634" t="str">
        <f>"1551603970768950"</f>
        <v>1551603970768950</v>
      </c>
      <c r="C3634" t="s">
        <v>40</v>
      </c>
      <c r="D3634">
        <v>5.590541</v>
      </c>
      <c r="E3634">
        <v>0.51681739999999998</v>
      </c>
      <c r="F3634" t="s">
        <v>41</v>
      </c>
      <c r="G3634">
        <v>-226.98070000000001</v>
      </c>
      <c r="H3634" s="1">
        <v>-2.0329430000000002E-6</v>
      </c>
      <c r="I3634">
        <v>142.45509999999999</v>
      </c>
      <c r="J3634">
        <v>-210.5873</v>
      </c>
      <c r="K3634">
        <v>1.116943</v>
      </c>
      <c r="L3634">
        <v>140.72059999999999</v>
      </c>
      <c r="M3634">
        <v>-0.99756049999999996</v>
      </c>
      <c r="N3634">
        <v>-1.4095150000000001E-2</v>
      </c>
      <c r="O3634">
        <v>-6.8371459999999995E-2</v>
      </c>
      <c r="P3634">
        <v>-0.98004290000000005</v>
      </c>
      <c r="Q3634">
        <v>0.1835262</v>
      </c>
      <c r="R3634">
        <v>7.6383339999999994E-2</v>
      </c>
      <c r="S3634">
        <v>-3.0731660000000001</v>
      </c>
      <c r="T3634">
        <v>-0.20603369999999999</v>
      </c>
      <c r="U3634">
        <v>0.31768800000000003</v>
      </c>
      <c r="V3634">
        <v>0.14528959999999999</v>
      </c>
      <c r="W3634">
        <v>0.1956949</v>
      </c>
      <c r="X3634">
        <v>0.96984250000000005</v>
      </c>
      <c r="Y3634">
        <v>0.1700487</v>
      </c>
      <c r="Z3634">
        <v>1.048992E-2</v>
      </c>
      <c r="AA3634">
        <v>0.98537980000000003</v>
      </c>
      <c r="AB3634">
        <v>27</v>
      </c>
      <c r="AC3634">
        <v>-16.3934</v>
      </c>
      <c r="AD3634">
        <v>-1.116945032943</v>
      </c>
      <c r="AE3634">
        <v>1.7344999999999899</v>
      </c>
      <c r="AF3634">
        <v>2.8383618175024101</v>
      </c>
      <c r="AG3634">
        <v>-1.116945032943</v>
      </c>
      <c r="AH3634">
        <v>16.162230696666999</v>
      </c>
      <c r="AI3634">
        <v>93.893927491138996</v>
      </c>
      <c r="AJ3634">
        <v>80.039459301590099</v>
      </c>
      <c r="AK3634">
        <v>16.447539788854598</v>
      </c>
      <c r="AL3634">
        <v>78.714679641223995</v>
      </c>
      <c r="AM3634">
        <v>81.480026071414301</v>
      </c>
      <c r="AN3634">
        <v>1.00000001828021</v>
      </c>
    </row>
    <row r="3635" spans="1:40" x14ac:dyDescent="0.25">
      <c r="A3635" t="str">
        <f>"20190303170610815"</f>
        <v>20190303170610815</v>
      </c>
      <c r="B3635" t="str">
        <f>"1551603970807991"</f>
        <v>1551603970807991</v>
      </c>
      <c r="C3635" t="s">
        <v>40</v>
      </c>
      <c r="D3635">
        <v>5.5580100000000003</v>
      </c>
      <c r="E3635">
        <v>0.51610059999999902</v>
      </c>
      <c r="F3635" t="s">
        <v>41</v>
      </c>
      <c r="G3635">
        <v>-228.52420000000001</v>
      </c>
      <c r="H3635" s="1">
        <v>-1.387251E-6</v>
      </c>
      <c r="I3635">
        <v>142.517</v>
      </c>
      <c r="J3635">
        <v>-210.99770000000001</v>
      </c>
      <c r="K3635">
        <v>1.11747</v>
      </c>
      <c r="L3635">
        <v>140.70240000000001</v>
      </c>
      <c r="M3635">
        <v>-0.99807330000000005</v>
      </c>
      <c r="N3635">
        <v>-1.3994690000000001E-2</v>
      </c>
      <c r="O3635">
        <v>-6.0449490000000002E-2</v>
      </c>
      <c r="P3635">
        <v>-0.97974430000000001</v>
      </c>
      <c r="Q3635">
        <v>0.18491179999999999</v>
      </c>
      <c r="R3635">
        <v>7.6868329999999999E-2</v>
      </c>
      <c r="S3635">
        <v>-3.0729519999999999</v>
      </c>
      <c r="T3635">
        <v>-0.19135579999999999</v>
      </c>
      <c r="U3635">
        <v>0.30778499999999998</v>
      </c>
      <c r="V3635">
        <v>0.13780220000000001</v>
      </c>
      <c r="W3635">
        <v>0.19723969999999999</v>
      </c>
      <c r="X3635">
        <v>0.97062199999999998</v>
      </c>
      <c r="Y3635">
        <v>0.1591882</v>
      </c>
      <c r="Z3635">
        <v>8.9666699999999995E-3</v>
      </c>
      <c r="AA3635">
        <v>0.98720750000000002</v>
      </c>
      <c r="AB3635">
        <v>27</v>
      </c>
      <c r="AC3635">
        <v>-17.526499999999999</v>
      </c>
      <c r="AD3635">
        <v>-1.117471387251</v>
      </c>
      <c r="AE3635">
        <v>1.81459999999998</v>
      </c>
      <c r="AF3635">
        <v>2.8593519319707599</v>
      </c>
      <c r="AG3635">
        <v>-1.117471387251</v>
      </c>
      <c r="AH3635">
        <v>17.315097013850199</v>
      </c>
      <c r="AI3635">
        <v>93.643391893550501</v>
      </c>
      <c r="AJ3635">
        <v>80.623009806792197</v>
      </c>
      <c r="AK3635">
        <v>17.585142034434401</v>
      </c>
      <c r="AL3635">
        <v>78.624409648181398</v>
      </c>
      <c r="AM3635">
        <v>81.919543489527399</v>
      </c>
      <c r="AN3635">
        <v>1.0000000062324601</v>
      </c>
    </row>
    <row r="3636" spans="1:40" x14ac:dyDescent="0.25">
      <c r="A3636" t="str">
        <f>"20190303170610839"</f>
        <v>20190303170610839</v>
      </c>
      <c r="B3636" t="str">
        <f>"1551603970828485"</f>
        <v>1551603970828485</v>
      </c>
      <c r="C3636" t="s">
        <v>40</v>
      </c>
      <c r="D3636">
        <v>5.5756129999999997</v>
      </c>
      <c r="E3636">
        <v>0.51586509999999997</v>
      </c>
      <c r="F3636" t="s">
        <v>41</v>
      </c>
      <c r="G3636">
        <v>-230.4401</v>
      </c>
      <c r="H3636" s="1">
        <v>-4.6618470000000002E-6</v>
      </c>
      <c r="I3636">
        <v>142.63570000000001</v>
      </c>
      <c r="J3636">
        <v>-211.27</v>
      </c>
      <c r="K3636">
        <v>1.1177649999999999</v>
      </c>
      <c r="L3636">
        <v>140.69159999999999</v>
      </c>
      <c r="M3636">
        <v>-0.99835439999999998</v>
      </c>
      <c r="N3636">
        <v>-1.3934510000000001E-2</v>
      </c>
      <c r="O3636">
        <v>-5.5626780000000001E-2</v>
      </c>
      <c r="P3636">
        <v>-0.98006130000000002</v>
      </c>
      <c r="Q3636">
        <v>0.18384200000000001</v>
      </c>
      <c r="R3636">
        <v>7.5379829999999995E-2</v>
      </c>
      <c r="S3636">
        <v>-3.0713810000000001</v>
      </c>
      <c r="T3636">
        <v>-0.17653139999999901</v>
      </c>
      <c r="U3636">
        <v>0.30541990000000002</v>
      </c>
      <c r="V3636">
        <v>0.1314806</v>
      </c>
      <c r="W3636">
        <v>0.1962766</v>
      </c>
      <c r="X3636">
        <v>0.97169360000000005</v>
      </c>
      <c r="Y3636">
        <v>0.15379309999999999</v>
      </c>
      <c r="Z3636">
        <v>7.8956970000000001E-3</v>
      </c>
      <c r="AA3636">
        <v>0.98807149999999999</v>
      </c>
      <c r="AB3636">
        <v>27</v>
      </c>
      <c r="AC3636">
        <v>-19.170099999999898</v>
      </c>
      <c r="AD3636">
        <v>-1.1177696618470001</v>
      </c>
      <c r="AE3636">
        <v>1.9441000000000199</v>
      </c>
      <c r="AF3636">
        <v>2.9974765654749702</v>
      </c>
      <c r="AG3636">
        <v>-1.1177696618470001</v>
      </c>
      <c r="AH3636">
        <v>18.968424611347402</v>
      </c>
      <c r="AI3636">
        <v>93.331179297622796</v>
      </c>
      <c r="AJ3636">
        <v>81.020117285672995</v>
      </c>
      <c r="AK3636">
        <v>19.236304401154801</v>
      </c>
      <c r="AL3636">
        <v>78.680691934210898</v>
      </c>
      <c r="AM3636">
        <v>82.294066378140897</v>
      </c>
      <c r="AN3636">
        <v>1.0000000520824299</v>
      </c>
    </row>
    <row r="3637" spans="1:40" x14ac:dyDescent="0.25">
      <c r="A3637" t="str">
        <f>"20190303170610860"</f>
        <v>20190303170610860</v>
      </c>
      <c r="B3637" t="str">
        <f>"1551603970848005"</f>
        <v>1551603970848005</v>
      </c>
      <c r="C3637" t="s">
        <v>40</v>
      </c>
      <c r="D3637">
        <v>5.5597649999999996</v>
      </c>
      <c r="E3637">
        <v>0.51573829999999998</v>
      </c>
      <c r="F3637" t="s">
        <v>41</v>
      </c>
      <c r="G3637">
        <v>-230.80240000000001</v>
      </c>
      <c r="H3637" s="1">
        <v>-4.5342830000000001E-6</v>
      </c>
      <c r="I3637">
        <v>142.61160000000001</v>
      </c>
      <c r="J3637">
        <v>-211.53870000000001</v>
      </c>
      <c r="K3637">
        <v>1.118004</v>
      </c>
      <c r="L3637">
        <v>140.68170000000001</v>
      </c>
      <c r="M3637">
        <v>-0.99859260000000005</v>
      </c>
      <c r="N3637">
        <v>-1.3880490000000001E-2</v>
      </c>
      <c r="O3637">
        <v>-5.118851E-2</v>
      </c>
      <c r="P3637">
        <v>-0.98032969999999997</v>
      </c>
      <c r="Q3637">
        <v>0.18267159999999999</v>
      </c>
      <c r="R3637">
        <v>7.4729710000000005E-2</v>
      </c>
      <c r="S3637">
        <v>-3.0708009999999999</v>
      </c>
      <c r="T3637">
        <v>-0.1757309</v>
      </c>
      <c r="U3637">
        <v>0.30186459999999998</v>
      </c>
      <c r="V3637">
        <v>0.12638350000000001</v>
      </c>
      <c r="W3637">
        <v>0.1951861</v>
      </c>
      <c r="X3637">
        <v>0.97258909999999998</v>
      </c>
      <c r="Y3637">
        <v>0.14830260000000001</v>
      </c>
      <c r="Z3637">
        <v>7.4751929999999998E-3</v>
      </c>
      <c r="AA3637">
        <v>0.98891379999999995</v>
      </c>
      <c r="AB3637">
        <v>27</v>
      </c>
      <c r="AC3637">
        <v>-19.2637</v>
      </c>
      <c r="AD3637">
        <v>-1.118008534283</v>
      </c>
      <c r="AE3637">
        <v>1.9298999999999999</v>
      </c>
      <c r="AF3637">
        <v>2.90386060111897</v>
      </c>
      <c r="AG3637">
        <v>-1.118008534283</v>
      </c>
      <c r="AH3637">
        <v>19.076027071017599</v>
      </c>
      <c r="AI3637">
        <v>93.316042395332602</v>
      </c>
      <c r="AJ3637">
        <v>81.344561068845593</v>
      </c>
      <c r="AK3637">
        <v>19.328144201853899</v>
      </c>
      <c r="AL3637">
        <v>78.744404534276697</v>
      </c>
      <c r="AM3637">
        <v>82.5961630722839</v>
      </c>
      <c r="AN3637">
        <v>0.99999998007213398</v>
      </c>
    </row>
    <row r="3638" spans="1:40" x14ac:dyDescent="0.25">
      <c r="A3638" t="str">
        <f>"20190303170610881"</f>
        <v>20190303170610881</v>
      </c>
      <c r="B3638" t="str">
        <f>"1551603970868501"</f>
        <v>1551603970868501</v>
      </c>
      <c r="C3638" t="s">
        <v>40</v>
      </c>
      <c r="D3638">
        <v>5.5596870000000003</v>
      </c>
      <c r="E3638">
        <v>0.51560189999999995</v>
      </c>
      <c r="F3638" t="s">
        <v>41</v>
      </c>
      <c r="G3638">
        <v>-231.06010000000001</v>
      </c>
      <c r="H3638" s="1">
        <v>-4.4425509999999997E-6</v>
      </c>
      <c r="I3638">
        <v>142.58879999999999</v>
      </c>
      <c r="J3638">
        <v>-211.7816</v>
      </c>
      <c r="K3638">
        <v>1.118225</v>
      </c>
      <c r="L3638">
        <v>140.67359999999999</v>
      </c>
      <c r="M3638">
        <v>-0.99877689999999997</v>
      </c>
      <c r="N3638">
        <v>-1.383498E-2</v>
      </c>
      <c r="O3638">
        <v>-4.7471010000000001E-2</v>
      </c>
      <c r="P3638">
        <v>-0.9802052</v>
      </c>
      <c r="Q3638">
        <v>0.18389630000000001</v>
      </c>
      <c r="R3638">
        <v>7.3349999999999999E-2</v>
      </c>
      <c r="S3638">
        <v>-3.0700989999999999</v>
      </c>
      <c r="T3638">
        <v>-0.1758275</v>
      </c>
      <c r="U3638">
        <v>0.29992679999999999</v>
      </c>
      <c r="V3638">
        <v>0.1212765</v>
      </c>
      <c r="W3638">
        <v>0.19647439999999999</v>
      </c>
      <c r="X3638">
        <v>0.97297990000000001</v>
      </c>
      <c r="Y3638">
        <v>0.14403560000000001</v>
      </c>
      <c r="Z3638">
        <v>7.1673910000000004E-3</v>
      </c>
      <c r="AA3638">
        <v>0.9895465</v>
      </c>
      <c r="AB3638">
        <v>27</v>
      </c>
      <c r="AC3638">
        <v>-19.278500000000001</v>
      </c>
      <c r="AD3638">
        <v>-1.118229442551</v>
      </c>
      <c r="AE3638">
        <v>1.91519999999999</v>
      </c>
      <c r="AF3638">
        <v>2.8189063815861899</v>
      </c>
      <c r="AG3638">
        <v>-1.118229442551</v>
      </c>
      <c r="AH3638">
        <v>19.102195906142001</v>
      </c>
      <c r="AI3638">
        <v>93.314419110635299</v>
      </c>
      <c r="AJ3638">
        <v>81.605461425545201</v>
      </c>
      <c r="AK3638">
        <v>19.3414208038336</v>
      </c>
      <c r="AL3638">
        <v>78.669133553880997</v>
      </c>
      <c r="AM3638">
        <v>82.895045214730104</v>
      </c>
      <c r="AN3638">
        <v>1.0000000325558001</v>
      </c>
    </row>
    <row r="3639" spans="1:40" x14ac:dyDescent="0.25">
      <c r="A3639" t="str">
        <f>"20190303170610904"</f>
        <v>20190303170610904</v>
      </c>
      <c r="B3639" t="str">
        <f>"1551603970898758"</f>
        <v>1551603970898758</v>
      </c>
      <c r="C3639" t="s">
        <v>40</v>
      </c>
      <c r="D3639">
        <v>5.7087120000000002</v>
      </c>
      <c r="E3639">
        <v>0.51541579999999998</v>
      </c>
      <c r="F3639" t="s">
        <v>41</v>
      </c>
      <c r="G3639">
        <v>-232.0239</v>
      </c>
      <c r="H3639" s="1">
        <v>-4.1170709999999998E-6</v>
      </c>
      <c r="I3639">
        <v>142.60299999999901</v>
      </c>
      <c r="J3639">
        <v>-212.06129999999999</v>
      </c>
      <c r="K3639">
        <v>1.118482</v>
      </c>
      <c r="L3639">
        <v>140.6651</v>
      </c>
      <c r="M3639">
        <v>-0.99895809999999996</v>
      </c>
      <c r="N3639">
        <v>-1.3776139999999999E-2</v>
      </c>
      <c r="O3639">
        <v>-4.3513419999999997E-2</v>
      </c>
      <c r="P3639">
        <v>-0.97999219999999998</v>
      </c>
      <c r="Q3639">
        <v>0.18498400000000001</v>
      </c>
      <c r="R3639">
        <v>7.3462169999999993E-2</v>
      </c>
      <c r="S3639">
        <v>-3.0704959999999999</v>
      </c>
      <c r="T3639">
        <v>-0.16962099999999999</v>
      </c>
      <c r="U3639">
        <v>0.29266360000000002</v>
      </c>
      <c r="V3639">
        <v>0.1174023</v>
      </c>
      <c r="W3639">
        <v>0.19760659999999999</v>
      </c>
      <c r="X3639">
        <v>0.97322569999999997</v>
      </c>
      <c r="Y3639">
        <v>0.1378182</v>
      </c>
      <c r="Z3639">
        <v>6.5471879999999998E-3</v>
      </c>
      <c r="AA3639">
        <v>0.99043590000000004</v>
      </c>
      <c r="AB3639">
        <v>27</v>
      </c>
      <c r="AC3639">
        <v>-19.962599999999998</v>
      </c>
      <c r="AD3639">
        <v>-1.1184861170710001</v>
      </c>
      <c r="AE3639">
        <v>1.93789999999998</v>
      </c>
      <c r="AF3639">
        <v>2.79609167554122</v>
      </c>
      <c r="AG3639">
        <v>-1.1184861170710001</v>
      </c>
      <c r="AH3639">
        <v>19.7977859282399</v>
      </c>
      <c r="AI3639">
        <v>93.201809430679205</v>
      </c>
      <c r="AJ3639">
        <v>81.961139316404598</v>
      </c>
      <c r="AK3639">
        <v>20.025520405535701</v>
      </c>
      <c r="AL3639">
        <v>78.602965308971903</v>
      </c>
      <c r="AM3639">
        <v>83.121524392744405</v>
      </c>
      <c r="AN3639">
        <v>0.99999996577466899</v>
      </c>
    </row>
    <row r="3640" spans="1:40" x14ac:dyDescent="0.25">
      <c r="A3640" t="str">
        <f>"20190303170610927"</f>
        <v>20190303170610927</v>
      </c>
      <c r="B3640" t="str">
        <f>"1551603970918277"</f>
        <v>1551603970918277</v>
      </c>
      <c r="C3640" t="s">
        <v>40</v>
      </c>
      <c r="D3640">
        <v>5.6424269999999996</v>
      </c>
      <c r="E3640">
        <v>0.478126</v>
      </c>
      <c r="F3640" t="s">
        <v>41</v>
      </c>
      <c r="G3640">
        <v>-232.7895</v>
      </c>
      <c r="H3640" s="1">
        <v>-3.8623180000000003E-6</v>
      </c>
      <c r="I3640">
        <v>142.63570000000001</v>
      </c>
      <c r="J3640">
        <v>-212.3366</v>
      </c>
      <c r="K3640">
        <v>1.1187100000000001</v>
      </c>
      <c r="L3640">
        <v>140.65729999999999</v>
      </c>
      <c r="M3640">
        <v>-0.99910779999999999</v>
      </c>
      <c r="N3640">
        <v>-1.369192E-2</v>
      </c>
      <c r="O3640">
        <v>-3.9954759999999999E-2</v>
      </c>
      <c r="P3640">
        <v>-0.9802284</v>
      </c>
      <c r="Q3640">
        <v>0.18469720000000001</v>
      </c>
      <c r="R3640">
        <v>7.0988699999999905E-2</v>
      </c>
      <c r="S3640">
        <v>-3.0706630000000001</v>
      </c>
      <c r="T3640">
        <v>-0.165691899999999</v>
      </c>
      <c r="U3640">
        <v>0.2919312</v>
      </c>
      <c r="V3640">
        <v>0.1113437</v>
      </c>
      <c r="W3640">
        <v>0.19735559999999999</v>
      </c>
      <c r="X3640">
        <v>0.97398839999999998</v>
      </c>
      <c r="Y3640">
        <v>0.13407279999999999</v>
      </c>
      <c r="Z3640">
        <v>6.1320339999999997E-3</v>
      </c>
      <c r="AA3640">
        <v>0.99095250000000001</v>
      </c>
      <c r="AB3640">
        <v>27</v>
      </c>
      <c r="AC3640">
        <v>-20.4529</v>
      </c>
      <c r="AD3640">
        <v>-1.118713862318</v>
      </c>
      <c r="AE3640">
        <v>1.9784000000000199</v>
      </c>
      <c r="AF3640">
        <v>2.7858298479370802</v>
      </c>
      <c r="AG3640">
        <v>-1.118713862318</v>
      </c>
      <c r="AH3640">
        <v>20.297349099308502</v>
      </c>
      <c r="AI3640">
        <v>93.125494389678806</v>
      </c>
      <c r="AJ3640">
        <v>82.184930355206106</v>
      </c>
      <c r="AK3640">
        <v>20.518156571841502</v>
      </c>
      <c r="AL3640">
        <v>78.617636169929597</v>
      </c>
      <c r="AM3640">
        <v>83.478413259640206</v>
      </c>
      <c r="AN3640">
        <v>1.0000000278578001</v>
      </c>
    </row>
    <row r="3641" spans="1:40" x14ac:dyDescent="0.25">
      <c r="A3641" t="str">
        <f>"20190303170610949"</f>
        <v>20190303170610949</v>
      </c>
      <c r="B3641" t="str">
        <f>"1551603970938775"</f>
        <v>1551603970938775</v>
      </c>
      <c r="C3641" t="s">
        <v>40</v>
      </c>
      <c r="D3641">
        <v>5.6461790000000001</v>
      </c>
      <c r="E3641">
        <v>0.47260489999999999</v>
      </c>
      <c r="F3641" t="s">
        <v>41</v>
      </c>
      <c r="G3641">
        <v>-234.7396</v>
      </c>
      <c r="H3641" s="1">
        <v>-2.4936109999999998E-6</v>
      </c>
      <c r="I3641">
        <v>140.57320000000001</v>
      </c>
      <c r="J3641">
        <v>-212.59690000000001</v>
      </c>
      <c r="K3641">
        <v>1.1188959999999999</v>
      </c>
      <c r="L3641">
        <v>140.6506</v>
      </c>
      <c r="M3641">
        <v>-0.99922940000000005</v>
      </c>
      <c r="N3641">
        <v>-1.360433E-2</v>
      </c>
      <c r="O3641">
        <v>-3.6817040000000002E-2</v>
      </c>
      <c r="P3641">
        <v>-0.98049830000000004</v>
      </c>
      <c r="Q3641">
        <v>0.1838101</v>
      </c>
      <c r="R3641">
        <v>6.9549979999999997E-2</v>
      </c>
      <c r="S3641">
        <v>-3.0904389999999999</v>
      </c>
      <c r="T3641">
        <v>-0.1543235</v>
      </c>
      <c r="U3641">
        <v>-1.159668E-2</v>
      </c>
      <c r="V3641">
        <v>0.1067439</v>
      </c>
      <c r="W3641">
        <v>0.19647390000000001</v>
      </c>
      <c r="X3641">
        <v>0.97468140000000003</v>
      </c>
      <c r="Y3641">
        <v>3.2993740000000001E-2</v>
      </c>
      <c r="Z3641">
        <v>2.3841190000000001E-3</v>
      </c>
      <c r="AA3641">
        <v>0.99945269999999997</v>
      </c>
      <c r="AB3641">
        <v>27</v>
      </c>
      <c r="AC3641">
        <v>-22.142699999999898</v>
      </c>
      <c r="AD3641">
        <v>-1.11889849361099</v>
      </c>
      <c r="AE3641">
        <v>-7.7399999999982996E-2</v>
      </c>
      <c r="AF3641">
        <v>0.73607713908618899</v>
      </c>
      <c r="AG3641">
        <v>-1.11889849361099</v>
      </c>
      <c r="AH3641">
        <v>22.074171201855101</v>
      </c>
      <c r="AI3641">
        <v>92.900123415110599</v>
      </c>
      <c r="AJ3641">
        <v>88.090143818660195</v>
      </c>
      <c r="AK3641">
        <v>22.114763793504501</v>
      </c>
      <c r="AL3641">
        <v>78.669162885840393</v>
      </c>
      <c r="AM3641">
        <v>83.750062386827196</v>
      </c>
      <c r="AN3641">
        <v>1.00000004253718</v>
      </c>
    </row>
    <row r="3642" spans="1:40" x14ac:dyDescent="0.25">
      <c r="A3642" t="str">
        <f>"20190303170610970"</f>
        <v>20190303170610970</v>
      </c>
      <c r="B3642" t="str">
        <f>"1551603970958293"</f>
        <v>1551603970958293</v>
      </c>
      <c r="C3642" t="s">
        <v>40</v>
      </c>
      <c r="D3642">
        <v>5.5381419999999997</v>
      </c>
      <c r="E3642">
        <v>0.47008369999999999</v>
      </c>
      <c r="F3642" t="s">
        <v>41</v>
      </c>
      <c r="G3642">
        <v>-236.047</v>
      </c>
      <c r="H3642" s="1">
        <v>-1.8329799999999999E-6</v>
      </c>
      <c r="I3642">
        <v>140.19810000000001</v>
      </c>
      <c r="J3642">
        <v>-212.85400000000001</v>
      </c>
      <c r="K3642">
        <v>1.1190580000000001</v>
      </c>
      <c r="L3642">
        <v>140.64449999999999</v>
      </c>
      <c r="M3642">
        <v>-0.99933249999999996</v>
      </c>
      <c r="N3642">
        <v>-1.349263E-2</v>
      </c>
      <c r="O3642">
        <v>-3.3953070000000002E-2</v>
      </c>
      <c r="P3642">
        <v>-0.98072969999999904</v>
      </c>
      <c r="Q3642">
        <v>0.18251500000000001</v>
      </c>
      <c r="R3642">
        <v>6.969881E-2</v>
      </c>
      <c r="S3642">
        <v>-3.091583</v>
      </c>
      <c r="T3642">
        <v>-0.14751230000000001</v>
      </c>
      <c r="U3642">
        <v>-5.9646610000000003E-2</v>
      </c>
      <c r="V3642">
        <v>0.10400180000000001</v>
      </c>
      <c r="W3642">
        <v>0.1951398</v>
      </c>
      <c r="X3642">
        <v>0.97524569999999999</v>
      </c>
      <c r="Y3642">
        <v>1.463014E-2</v>
      </c>
      <c r="Z3642">
        <v>1.6081800000000001E-3</v>
      </c>
      <c r="AA3642">
        <v>0.99989170000000005</v>
      </c>
      <c r="AB3642">
        <v>27</v>
      </c>
      <c r="AC3642">
        <v>-23.192999999999898</v>
      </c>
      <c r="AD3642">
        <v>-1.1190598329799999</v>
      </c>
      <c r="AE3642">
        <v>-0.44639999999998198</v>
      </c>
      <c r="AF3642">
        <v>0.34060988573268403</v>
      </c>
      <c r="AG3642">
        <v>-1.1190598329799999</v>
      </c>
      <c r="AH3642">
        <v>23.1409298210306</v>
      </c>
      <c r="AI3642">
        <v>92.768279730634603</v>
      </c>
      <c r="AJ3642">
        <v>89.156727930949799</v>
      </c>
      <c r="AK3642">
        <v>23.170475674571598</v>
      </c>
      <c r="AL3642">
        <v>78.747110087758699</v>
      </c>
      <c r="AM3642">
        <v>83.912889690041496</v>
      </c>
      <c r="AN3642">
        <v>1.0000000456578799</v>
      </c>
    </row>
    <row r="3643" spans="1:40" x14ac:dyDescent="0.25">
      <c r="A3643" t="str">
        <f>"20190303170610996"</f>
        <v>20190303170610996</v>
      </c>
      <c r="B3643" t="str">
        <f>"1551603970988239"</f>
        <v>1551603970988239</v>
      </c>
      <c r="C3643" t="s">
        <v>40</v>
      </c>
      <c r="D3643">
        <v>5.3537780000000001</v>
      </c>
      <c r="E3643">
        <v>0.46873100000000001</v>
      </c>
      <c r="F3643" t="s">
        <v>41</v>
      </c>
      <c r="G3643">
        <v>-237.0266</v>
      </c>
      <c r="H3643" s="1">
        <v>-1.3659689999999999E-6</v>
      </c>
      <c r="I3643">
        <v>140.02250000000001</v>
      </c>
      <c r="J3643">
        <v>-213.13820000000001</v>
      </c>
      <c r="K3643">
        <v>1.1192359999999999</v>
      </c>
      <c r="L3643">
        <v>140.63829999999999</v>
      </c>
      <c r="M3643">
        <v>-0.99942770000000003</v>
      </c>
      <c r="N3643">
        <v>-1.333383E-2</v>
      </c>
      <c r="O3643">
        <v>-3.1093470000000002E-2</v>
      </c>
      <c r="P3643">
        <v>-0.98108050000000002</v>
      </c>
      <c r="Q3643">
        <v>0.18027940000000001</v>
      </c>
      <c r="R3643">
        <v>7.0575739999999998E-2</v>
      </c>
      <c r="S3643">
        <v>-3.0912480000000002</v>
      </c>
      <c r="T3643">
        <v>-0.14310789999999901</v>
      </c>
      <c r="U3643">
        <v>-7.9544069999999995E-2</v>
      </c>
      <c r="V3643">
        <v>0.101981</v>
      </c>
      <c r="W3643">
        <v>0.19281960000000001</v>
      </c>
      <c r="X3643">
        <v>0.97592029999999996</v>
      </c>
      <c r="Y3643">
        <v>5.3506379999999996E-3</v>
      </c>
      <c r="Z3643">
        <v>1.183124E-3</v>
      </c>
      <c r="AA3643">
        <v>0.99998500000000001</v>
      </c>
      <c r="AB3643">
        <v>27</v>
      </c>
      <c r="AC3643">
        <v>-23.888399999999901</v>
      </c>
      <c r="AD3643">
        <v>-1.119237365969</v>
      </c>
      <c r="AE3643">
        <v>-0.61579999999997803</v>
      </c>
      <c r="AF3643">
        <v>0.12705824016985801</v>
      </c>
      <c r="AG3643">
        <v>-1.119237365969</v>
      </c>
      <c r="AH3643">
        <v>23.843690066184099</v>
      </c>
      <c r="AI3643">
        <v>92.687488004414504</v>
      </c>
      <c r="AJ3643">
        <v>89.694685177163294</v>
      </c>
      <c r="AK3643">
        <v>23.870282613534801</v>
      </c>
      <c r="AL3643">
        <v>78.882620983729595</v>
      </c>
      <c r="AM3643">
        <v>84.034399150486195</v>
      </c>
      <c r="AN3643">
        <v>0.99999997722862499</v>
      </c>
    </row>
    <row r="3644" spans="1:40" x14ac:dyDescent="0.25">
      <c r="A3644" t="str">
        <f>"20190303170611016"</f>
        <v>20190303170611016</v>
      </c>
      <c r="B3644" t="str">
        <f>"1551603971008735"</f>
        <v>1551603971008735</v>
      </c>
      <c r="C3644" t="s">
        <v>40</v>
      </c>
      <c r="D3644">
        <v>5.6024589999999996</v>
      </c>
      <c r="E3644">
        <v>0.46857739999999998</v>
      </c>
      <c r="F3644" t="s">
        <v>41</v>
      </c>
      <c r="G3644">
        <v>-236.78790000000001</v>
      </c>
      <c r="H3644" s="1">
        <v>-1.455721E-6</v>
      </c>
      <c r="I3644">
        <v>139.97499999999999</v>
      </c>
      <c r="J3644">
        <v>-213.39769999999999</v>
      </c>
      <c r="K3644">
        <v>1.119405</v>
      </c>
      <c r="L3644">
        <v>140.63299999999899</v>
      </c>
      <c r="M3644">
        <v>-0.99950019999999995</v>
      </c>
      <c r="N3644">
        <v>-1.3159590000000001E-2</v>
      </c>
      <c r="O3644">
        <v>-2.8750589999999999E-2</v>
      </c>
      <c r="P3644">
        <v>-0.98105229999999999</v>
      </c>
      <c r="Q3644">
        <v>0.180286</v>
      </c>
      <c r="R3644">
        <v>7.0948150000000001E-2</v>
      </c>
      <c r="S3644">
        <v>-3.0909580000000001</v>
      </c>
      <c r="T3644">
        <v>-0.1462812</v>
      </c>
      <c r="U3644">
        <v>-8.6685180000000001E-2</v>
      </c>
      <c r="V3644">
        <v>9.9967089999999995E-2</v>
      </c>
      <c r="W3644">
        <v>0.19271479999999999</v>
      </c>
      <c r="X3644">
        <v>0.97614939999999994</v>
      </c>
      <c r="Y3644">
        <v>7.018762E-4</v>
      </c>
      <c r="Z3644">
        <v>1.002338E-3</v>
      </c>
      <c r="AA3644">
        <v>0.99999919999999998</v>
      </c>
      <c r="AB3644">
        <v>27</v>
      </c>
      <c r="AC3644">
        <v>-23.3902</v>
      </c>
      <c r="AD3644">
        <v>-1.1194064557209999</v>
      </c>
      <c r="AE3644">
        <v>-0.65799999999998704</v>
      </c>
      <c r="AF3644">
        <v>1.4778376756081599E-2</v>
      </c>
      <c r="AG3644">
        <v>-1.1194064557209999</v>
      </c>
      <c r="AH3644">
        <v>23.3460197262131</v>
      </c>
      <c r="AI3644">
        <v>92.745143254849694</v>
      </c>
      <c r="AJ3644">
        <v>89.9637309265986</v>
      </c>
      <c r="AK3644">
        <v>23.372845917223302</v>
      </c>
      <c r="AL3644">
        <v>78.888740971537004</v>
      </c>
      <c r="AM3644">
        <v>84.152745559494306</v>
      </c>
      <c r="AN3644">
        <v>1.0000000321712299</v>
      </c>
    </row>
    <row r="3645" spans="1:40" x14ac:dyDescent="0.25">
      <c r="A3645" t="str">
        <f>"20190303170611040"</f>
        <v>20190303170611040</v>
      </c>
      <c r="B3645" t="str">
        <f>"1551603971028257"</f>
        <v>1551603971028257</v>
      </c>
      <c r="C3645" t="s">
        <v>40</v>
      </c>
      <c r="D3645">
        <v>5.579167</v>
      </c>
      <c r="E3645">
        <v>0.46835579999999999</v>
      </c>
      <c r="F3645" t="s">
        <v>41</v>
      </c>
      <c r="G3645">
        <v>-237.3835</v>
      </c>
      <c r="H3645" s="1">
        <v>-1.2034869999999899E-6</v>
      </c>
      <c r="I3645">
        <v>139.9872</v>
      </c>
      <c r="J3645">
        <v>-213.67679999999999</v>
      </c>
      <c r="K3645">
        <v>1.119567</v>
      </c>
      <c r="L3645">
        <v>140.6277</v>
      </c>
      <c r="M3645">
        <v>-0.99956610000000001</v>
      </c>
      <c r="N3645">
        <v>-1.293001E-2</v>
      </c>
      <c r="O3645">
        <v>-2.6468220000000001E-2</v>
      </c>
      <c r="P3645">
        <v>-0.98096709999999998</v>
      </c>
      <c r="Q3645">
        <v>0.18042430000000001</v>
      </c>
      <c r="R3645">
        <v>7.1768830000000006E-2</v>
      </c>
      <c r="S3645">
        <v>-3.0904690000000001</v>
      </c>
      <c r="T3645">
        <v>-0.1442312</v>
      </c>
      <c r="U3645">
        <v>-8.3206180000000005E-2</v>
      </c>
      <c r="V3645">
        <v>9.8458019999999993E-2</v>
      </c>
      <c r="W3645">
        <v>0.19268389999999999</v>
      </c>
      <c r="X3645">
        <v>0.97630879999999998</v>
      </c>
      <c r="Y3645">
        <v>-4.5784560000000001E-4</v>
      </c>
      <c r="Z3645">
        <v>8.7839869999999998E-4</v>
      </c>
      <c r="AA3645">
        <v>0.99999950000000004</v>
      </c>
      <c r="AB3645">
        <v>27</v>
      </c>
      <c r="AC3645">
        <v>-23.706700000000001</v>
      </c>
      <c r="AD3645">
        <v>-1.119568203487</v>
      </c>
      <c r="AE3645">
        <v>-0.64050000000000296</v>
      </c>
      <c r="AF3645">
        <v>-1.27206509617645E-2</v>
      </c>
      <c r="AG3645">
        <v>-1.119568203487</v>
      </c>
      <c r="AH3645">
        <v>23.662611710455501</v>
      </c>
      <c r="AI3645">
        <v>92.708860822331005</v>
      </c>
      <c r="AJ3645">
        <v>90.030801314388896</v>
      </c>
      <c r="AK3645">
        <v>23.689085835823299</v>
      </c>
      <c r="AL3645">
        <v>78.890544527098001</v>
      </c>
      <c r="AM3645">
        <v>84.241349874420607</v>
      </c>
      <c r="AN3645">
        <v>0.99999996998948404</v>
      </c>
    </row>
    <row r="3646" spans="1:40" x14ac:dyDescent="0.25">
      <c r="A3646" t="str">
        <f>"20190303170611064"</f>
        <v>20190303170611064</v>
      </c>
      <c r="B3646" t="str">
        <f>"1551603971058514"</f>
        <v>1551603971058514</v>
      </c>
      <c r="C3646" t="s">
        <v>40</v>
      </c>
      <c r="D3646">
        <v>5.6573379999999904</v>
      </c>
      <c r="E3646">
        <v>0.4685568</v>
      </c>
      <c r="F3646" t="s">
        <v>41</v>
      </c>
      <c r="G3646">
        <v>-237.8708</v>
      </c>
      <c r="H3646" s="1">
        <v>-9.9955200000000008E-7</v>
      </c>
      <c r="I3646">
        <v>140.00640000000001</v>
      </c>
      <c r="J3646">
        <v>-213.96129999999999</v>
      </c>
      <c r="K3646">
        <v>1.119688</v>
      </c>
      <c r="L3646">
        <v>140.62270000000001</v>
      </c>
      <c r="M3646">
        <v>-0.99962410000000002</v>
      </c>
      <c r="N3646">
        <v>-1.2653309999999999E-2</v>
      </c>
      <c r="O3646">
        <v>-2.4332360000000001E-2</v>
      </c>
      <c r="P3646">
        <v>-0.98077460000000005</v>
      </c>
      <c r="Q3646">
        <v>0.18077009999999999</v>
      </c>
      <c r="R3646">
        <v>7.3509420000000006E-2</v>
      </c>
      <c r="S3646">
        <v>-3.0903019999999999</v>
      </c>
      <c r="T3646">
        <v>-0.1430024</v>
      </c>
      <c r="U3646">
        <v>-7.9345700000000005E-2</v>
      </c>
      <c r="V3646">
        <v>9.8027459999999997E-2</v>
      </c>
      <c r="W3646">
        <v>0.19279850000000001</v>
      </c>
      <c r="X3646">
        <v>0.97632949999999996</v>
      </c>
      <c r="Y3646">
        <v>-1.3452640000000001E-3</v>
      </c>
      <c r="Z3646">
        <v>7.7761499999999995E-4</v>
      </c>
      <c r="AA3646">
        <v>0.99999879999999997</v>
      </c>
      <c r="AB3646">
        <v>27</v>
      </c>
      <c r="AC3646">
        <v>-23.909500000000001</v>
      </c>
      <c r="AD3646">
        <v>-1.1196889995520001</v>
      </c>
      <c r="AE3646">
        <v>-0.61629999999999496</v>
      </c>
      <c r="AF3646">
        <v>-3.4221507732379398E-2</v>
      </c>
      <c r="AG3646">
        <v>-1.1196889995520001</v>
      </c>
      <c r="AH3646">
        <v>23.8651138028426</v>
      </c>
      <c r="AI3646">
        <v>92.686196194366801</v>
      </c>
      <c r="AJ3646">
        <v>90.082159533531794</v>
      </c>
      <c r="AK3646">
        <v>23.891390319316599</v>
      </c>
      <c r="AL3646">
        <v>78.883852944917095</v>
      </c>
      <c r="AM3646">
        <v>84.266485234228298</v>
      </c>
      <c r="AN3646">
        <v>0.999999968543275</v>
      </c>
    </row>
    <row r="3647" spans="1:40" x14ac:dyDescent="0.25">
      <c r="A3647" t="str">
        <f>"20190303170611082"</f>
        <v>20190303170611082</v>
      </c>
      <c r="B3647" t="str">
        <f>"1551603971068570"</f>
        <v>1551603971068570</v>
      </c>
      <c r="C3647" t="s">
        <v>40</v>
      </c>
      <c r="D3647">
        <v>5.6951179999999999</v>
      </c>
      <c r="E3647">
        <v>0.46853840000000002</v>
      </c>
      <c r="F3647" t="s">
        <v>41</v>
      </c>
      <c r="G3647">
        <v>-238.86019999999999</v>
      </c>
      <c r="H3647" s="1">
        <v>-5.8993079999999998E-7</v>
      </c>
      <c r="I3647">
        <v>140.06209999999999</v>
      </c>
      <c r="J3647">
        <v>-214.19</v>
      </c>
      <c r="K3647">
        <v>1.119742</v>
      </c>
      <c r="L3647">
        <v>140.6189</v>
      </c>
      <c r="M3647">
        <v>-0.99966500000000003</v>
      </c>
      <c r="N3647">
        <v>-1.2399149999999999E-2</v>
      </c>
      <c r="O3647">
        <v>-2.2719659999999999E-2</v>
      </c>
      <c r="P3647">
        <v>-0.98084890000000002</v>
      </c>
      <c r="Q3647">
        <v>0.1805464</v>
      </c>
      <c r="R3647">
        <v>7.3065430000000001E-2</v>
      </c>
      <c r="S3647">
        <v>-3.0896300000000001</v>
      </c>
      <c r="T3647">
        <v>-0.13893939999999999</v>
      </c>
      <c r="U3647">
        <v>-6.9549559999999996E-2</v>
      </c>
      <c r="V3647">
        <v>9.596594E-2</v>
      </c>
      <c r="W3647">
        <v>0.1923559</v>
      </c>
      <c r="X3647">
        <v>0.97662159999999998</v>
      </c>
      <c r="Y3647">
        <v>2.0422649999999999E-4</v>
      </c>
      <c r="Z3647">
        <v>7.4516079999999998E-4</v>
      </c>
      <c r="AA3647">
        <v>0.99999970000000005</v>
      </c>
      <c r="AB3647">
        <v>27</v>
      </c>
      <c r="AC3647">
        <v>-24.670199999999902</v>
      </c>
      <c r="AD3647">
        <v>-1.1197425899308</v>
      </c>
      <c r="AE3647">
        <v>-0.55680000000000895</v>
      </c>
      <c r="AF3647">
        <v>3.8773989312553799E-3</v>
      </c>
      <c r="AG3647">
        <v>-1.1197425899308</v>
      </c>
      <c r="AH3647">
        <v>24.6257762559956</v>
      </c>
      <c r="AI3647">
        <v>92.603465661109695</v>
      </c>
      <c r="AJ3647">
        <v>89.990978615654399</v>
      </c>
      <c r="AK3647">
        <v>24.6512209578407</v>
      </c>
      <c r="AL3647">
        <v>78.909696161741095</v>
      </c>
      <c r="AM3647">
        <v>84.387951131797905</v>
      </c>
      <c r="AN3647">
        <v>1.00000000174572</v>
      </c>
    </row>
    <row r="3648" spans="1:40" x14ac:dyDescent="0.25">
      <c r="A3648" t="str">
        <f>"20190303170611105"</f>
        <v>20190303170611105</v>
      </c>
      <c r="B3648" t="str">
        <f>"1551603971089066"</f>
        <v>1551603971089066</v>
      </c>
      <c r="C3648" t="s">
        <v>40</v>
      </c>
      <c r="D3648">
        <v>5.6674600000000002</v>
      </c>
      <c r="E3648">
        <v>0.4686012</v>
      </c>
      <c r="F3648" t="s">
        <v>41</v>
      </c>
      <c r="G3648">
        <v>-238.86089999999999</v>
      </c>
      <c r="H3648" s="1">
        <v>-5.9031829999999998E-7</v>
      </c>
      <c r="I3648">
        <v>140.06469999999999</v>
      </c>
      <c r="J3648">
        <v>-214.45529999999999</v>
      </c>
      <c r="K3648">
        <v>1.119764</v>
      </c>
      <c r="L3648">
        <v>140.61490000000001</v>
      </c>
      <c r="M3648">
        <v>-0.99970809999999999</v>
      </c>
      <c r="N3648">
        <v>-1.210659E-2</v>
      </c>
      <c r="O3648">
        <v>-2.0915099999999999E-2</v>
      </c>
      <c r="P3648">
        <v>-0.98066909999999896</v>
      </c>
      <c r="Q3648">
        <v>0.1820253</v>
      </c>
      <c r="R3648">
        <v>7.1798870000000001E-2</v>
      </c>
      <c r="S3648">
        <v>-3.0895540000000001</v>
      </c>
      <c r="T3648">
        <v>-0.14022660000000001</v>
      </c>
      <c r="U3648">
        <v>-6.9396970000000002E-2</v>
      </c>
      <c r="V3648">
        <v>9.2909400000000003E-2</v>
      </c>
      <c r="W3648">
        <v>0.19357050000000001</v>
      </c>
      <c r="X3648">
        <v>0.97667720000000002</v>
      </c>
      <c r="Y3648">
        <v>-1.549421E-3</v>
      </c>
      <c r="Z3648">
        <v>6.5091779999999896E-4</v>
      </c>
      <c r="AA3648">
        <v>0.99999859999999896</v>
      </c>
      <c r="AB3648">
        <v>27</v>
      </c>
      <c r="AC3648">
        <v>-24.4056</v>
      </c>
      <c r="AD3648">
        <v>-1.1197645903183</v>
      </c>
      <c r="AE3648">
        <v>-0.55020000000001801</v>
      </c>
      <c r="AF3648">
        <v>-3.9513589999582099E-2</v>
      </c>
      <c r="AG3648">
        <v>-1.1197645903183</v>
      </c>
      <c r="AH3648">
        <v>24.360513480784402</v>
      </c>
      <c r="AI3648">
        <v>92.631823487738004</v>
      </c>
      <c r="AJ3648">
        <v>90.092935641799301</v>
      </c>
      <c r="AK3648">
        <v>24.3862676748411</v>
      </c>
      <c r="AL3648">
        <v>78.838772001326305</v>
      </c>
      <c r="AM3648">
        <v>84.565916341815907</v>
      </c>
      <c r="AN3648">
        <v>1.0000000240392199</v>
      </c>
    </row>
    <row r="3649" spans="1:40" x14ac:dyDescent="0.25">
      <c r="A3649" t="str">
        <f>"20190303170611128"</f>
        <v>20190303170611128</v>
      </c>
      <c r="B3649" t="str">
        <f>"1551603971118345"</f>
        <v>1551603971118345</v>
      </c>
      <c r="C3649" t="s">
        <v>40</v>
      </c>
      <c r="D3649">
        <v>5.7252660000000004</v>
      </c>
      <c r="E3649">
        <v>0.46881909999999999</v>
      </c>
      <c r="F3649" t="s">
        <v>41</v>
      </c>
      <c r="G3649">
        <v>-239.99170000000001</v>
      </c>
      <c r="H3649" s="1">
        <v>-4.3521180000000003E-6</v>
      </c>
      <c r="I3649">
        <v>140.02930000000001</v>
      </c>
      <c r="J3649">
        <v>-214.7379</v>
      </c>
      <c r="K3649">
        <v>1.1197349999999999</v>
      </c>
      <c r="L3649">
        <v>140.61109999999999</v>
      </c>
      <c r="M3649">
        <v>-0.99974980000000002</v>
      </c>
      <c r="N3649">
        <v>-1.1764749999999999E-2</v>
      </c>
      <c r="O3649">
        <v>-1.902067E-2</v>
      </c>
      <c r="P3649">
        <v>-0.98028459999999995</v>
      </c>
      <c r="Q3649">
        <v>0.1845936</v>
      </c>
      <c r="R3649">
        <v>7.0480150000000005E-2</v>
      </c>
      <c r="S3649">
        <v>-3.0894780000000002</v>
      </c>
      <c r="T3649">
        <v>-0.1354735</v>
      </c>
      <c r="U3649">
        <v>-7.0846560000000003E-2</v>
      </c>
      <c r="V3649">
        <v>8.9729550000000005E-2</v>
      </c>
      <c r="W3649">
        <v>0.19581560000000001</v>
      </c>
      <c r="X3649">
        <v>0.97652689999999998</v>
      </c>
      <c r="Y3649">
        <v>-3.9094179999999996E-3</v>
      </c>
      <c r="Z3649">
        <v>5.0109109999999998E-4</v>
      </c>
      <c r="AA3649">
        <v>0.99999229999999995</v>
      </c>
      <c r="AB3649">
        <v>27</v>
      </c>
      <c r="AC3649">
        <v>-25.253799999999998</v>
      </c>
      <c r="AD3649">
        <v>-1.1197393521179999</v>
      </c>
      <c r="AE3649">
        <v>-0.58179999999998699</v>
      </c>
      <c r="AF3649">
        <v>-0.101118564446841</v>
      </c>
      <c r="AG3649">
        <v>-1.1197393521179999</v>
      </c>
      <c r="AH3649">
        <v>25.210760004379601</v>
      </c>
      <c r="AI3649">
        <v>92.543108049221999</v>
      </c>
      <c r="AJ3649">
        <v>90.229808062267196</v>
      </c>
      <c r="AK3649">
        <v>25.235817030149502</v>
      </c>
      <c r="AL3649">
        <v>78.707626981134297</v>
      </c>
      <c r="AM3649">
        <v>84.750038794240794</v>
      </c>
      <c r="AN3649">
        <v>0.99999996388508505</v>
      </c>
    </row>
    <row r="3650" spans="1:40" x14ac:dyDescent="0.25">
      <c r="A3650" t="str">
        <f>"20190303170611150"</f>
        <v>20190303170611150</v>
      </c>
      <c r="B3650" t="str">
        <f>"1551603971138841"</f>
        <v>1551603971138841</v>
      </c>
      <c r="C3650" t="s">
        <v>40</v>
      </c>
      <c r="D3650">
        <v>5.6361420000000004</v>
      </c>
      <c r="E3650">
        <v>0.4688138</v>
      </c>
      <c r="F3650" t="s">
        <v>41</v>
      </c>
      <c r="G3650">
        <v>-242.7056</v>
      </c>
      <c r="H3650" s="1">
        <v>-3.203166E-6</v>
      </c>
      <c r="I3650">
        <v>139.96039999999999</v>
      </c>
      <c r="J3650">
        <v>-215.0018</v>
      </c>
      <c r="K3650">
        <v>1.119688</v>
      </c>
      <c r="L3650">
        <v>140.60810000000001</v>
      </c>
      <c r="M3650">
        <v>-0.99978579999999995</v>
      </c>
      <c r="N3650">
        <v>-1.144442E-2</v>
      </c>
      <c r="O3650">
        <v>-1.7244410000000002E-2</v>
      </c>
      <c r="P3650">
        <v>-0.97986799999999996</v>
      </c>
      <c r="Q3650">
        <v>0.18706829999999999</v>
      </c>
      <c r="R3650">
        <v>6.9744669999999995E-2</v>
      </c>
      <c r="S3650">
        <v>-3.0887910000000001</v>
      </c>
      <c r="T3650">
        <v>-0.1236657</v>
      </c>
      <c r="U3650">
        <v>-7.1868899999999999E-2</v>
      </c>
      <c r="V3650">
        <v>8.7258699999999995E-2</v>
      </c>
      <c r="W3650">
        <v>0.19798009999999999</v>
      </c>
      <c r="X3650">
        <v>0.97631440000000003</v>
      </c>
      <c r="Y3650">
        <v>-6.0178599999999999E-3</v>
      </c>
      <c r="Z3650">
        <v>3.3782750000000002E-4</v>
      </c>
      <c r="AA3650">
        <v>0.99998180000000003</v>
      </c>
      <c r="AB3650">
        <v>27</v>
      </c>
      <c r="AC3650">
        <v>-27.703800000000001</v>
      </c>
      <c r="AD3650">
        <v>-1.119691203166</v>
      </c>
      <c r="AE3650">
        <v>-0.64770000000001404</v>
      </c>
      <c r="AF3650">
        <v>-0.169559876327397</v>
      </c>
      <c r="AG3650">
        <v>-1.119691203166</v>
      </c>
      <c r="AH3650">
        <v>27.665682884785198</v>
      </c>
      <c r="AI3650">
        <v>92.317578214288204</v>
      </c>
      <c r="AJ3650">
        <v>90.351155027993002</v>
      </c>
      <c r="AK3650">
        <v>27.6888509769474</v>
      </c>
      <c r="AL3650">
        <v>78.581134474500402</v>
      </c>
      <c r="AM3650">
        <v>84.892724591114103</v>
      </c>
      <c r="AN3650">
        <v>1.0000000041845301</v>
      </c>
    </row>
    <row r="3651" spans="1:40" x14ac:dyDescent="0.25">
      <c r="A3651" t="str">
        <f>"20190303170611172"</f>
        <v>20190303170611172</v>
      </c>
      <c r="B3651" t="str">
        <f>"1551603971158362"</f>
        <v>1551603971158362</v>
      </c>
      <c r="C3651" t="s">
        <v>40</v>
      </c>
      <c r="D3651">
        <v>5.6639720000000002</v>
      </c>
      <c r="E3651">
        <v>0.46865980000000002</v>
      </c>
      <c r="F3651" t="s">
        <v>41</v>
      </c>
      <c r="G3651">
        <v>-245.19479999999999</v>
      </c>
      <c r="H3651" s="1">
        <v>-2.1149369999999998E-6</v>
      </c>
      <c r="I3651">
        <v>139.88390000000001</v>
      </c>
      <c r="J3651">
        <v>-215.2672</v>
      </c>
      <c r="K3651">
        <v>1.1196349999999999</v>
      </c>
      <c r="L3651">
        <v>140.60550000000001</v>
      </c>
      <c r="M3651">
        <v>-0.99981929999999997</v>
      </c>
      <c r="N3651">
        <v>-1.1119489999999999E-2</v>
      </c>
      <c r="O3651">
        <v>-1.542087E-2</v>
      </c>
      <c r="P3651">
        <v>-0.97965809999999998</v>
      </c>
      <c r="Q3651">
        <v>0.1883659</v>
      </c>
      <c r="R3651">
        <v>6.9198369999999995E-2</v>
      </c>
      <c r="S3651">
        <v>-3.0887910000000001</v>
      </c>
      <c r="T3651">
        <v>-0.11454589999999901</v>
      </c>
      <c r="U3651">
        <v>-7.4081419999999995E-2</v>
      </c>
      <c r="V3651">
        <v>8.4936990000000004E-2</v>
      </c>
      <c r="W3651">
        <v>0.1989629</v>
      </c>
      <c r="X3651">
        <v>0.97631939999999995</v>
      </c>
      <c r="Y3651">
        <v>-8.5543709999999999E-3</v>
      </c>
      <c r="Z3651">
        <v>1.939977E-4</v>
      </c>
      <c r="AA3651">
        <v>0.99996339999999995</v>
      </c>
      <c r="AB3651">
        <v>27</v>
      </c>
      <c r="AC3651">
        <v>-29.927599999999899</v>
      </c>
      <c r="AD3651">
        <v>-1.1196371149369999</v>
      </c>
      <c r="AE3651">
        <v>-0.72159999999999502</v>
      </c>
      <c r="AF3651">
        <v>-0.25961289140062499</v>
      </c>
      <c r="AG3651">
        <v>-1.1196371149369999</v>
      </c>
      <c r="AH3651">
        <v>29.8933542065969</v>
      </c>
      <c r="AI3651">
        <v>92.144894579170696</v>
      </c>
      <c r="AJ3651">
        <v>90.497580463325207</v>
      </c>
      <c r="AK3651">
        <v>29.915441027061402</v>
      </c>
      <c r="AL3651">
        <v>78.523681768453699</v>
      </c>
      <c r="AM3651">
        <v>85.027949812286707</v>
      </c>
      <c r="AN3651">
        <v>1.00000004933151</v>
      </c>
    </row>
    <row r="3652" spans="1:40" x14ac:dyDescent="0.25">
      <c r="A3652" t="str">
        <f>"20190303170611195"</f>
        <v>20190303170611195</v>
      </c>
      <c r="B3652" t="str">
        <f>"1551603971188618"</f>
        <v>1551603971188618</v>
      </c>
      <c r="C3652" t="s">
        <v>40</v>
      </c>
      <c r="D3652">
        <v>5.7039200000000001</v>
      </c>
      <c r="E3652">
        <v>0.46866239999999998</v>
      </c>
      <c r="F3652" t="s">
        <v>41</v>
      </c>
      <c r="G3652">
        <v>-246.53399999999999</v>
      </c>
      <c r="H3652" s="1">
        <v>-1.5251849999999901E-6</v>
      </c>
      <c r="I3652">
        <v>139.82660000000001</v>
      </c>
      <c r="J3652">
        <v>-215.53919999999999</v>
      </c>
      <c r="K3652">
        <v>1.1195550000000001</v>
      </c>
      <c r="L3652">
        <v>140.60339999999999</v>
      </c>
      <c r="M3652">
        <v>-0.99985100000000005</v>
      </c>
      <c r="N3652">
        <v>-1.0773629999999999E-2</v>
      </c>
      <c r="O3652">
        <v>-1.349243E-2</v>
      </c>
      <c r="P3652">
        <v>-0.97992610000000002</v>
      </c>
      <c r="Q3652">
        <v>0.187005</v>
      </c>
      <c r="R3652">
        <v>6.9097850000000002E-2</v>
      </c>
      <c r="S3652">
        <v>-3.0890049999999998</v>
      </c>
      <c r="T3652">
        <v>-0.1106145</v>
      </c>
      <c r="U3652">
        <v>-7.6950069999999995E-2</v>
      </c>
      <c r="V3652">
        <v>8.2962350000000004E-2</v>
      </c>
      <c r="W3652">
        <v>0.1972691</v>
      </c>
      <c r="X3652">
        <v>0.9768327</v>
      </c>
      <c r="Y3652">
        <v>-1.1406660000000001E-2</v>
      </c>
      <c r="Z3652" s="1">
        <v>7.1953490000000001E-5</v>
      </c>
      <c r="AA3652">
        <v>0.99993489999999996</v>
      </c>
      <c r="AB3652">
        <v>27</v>
      </c>
      <c r="AC3652">
        <v>-30.994800000000001</v>
      </c>
      <c r="AD3652">
        <v>-1.1195565251849999</v>
      </c>
      <c r="AE3652">
        <v>-0.77679999999997995</v>
      </c>
      <c r="AF3652">
        <v>-0.35804301996036902</v>
      </c>
      <c r="AG3652">
        <v>-1.1195565251849999</v>
      </c>
      <c r="AH3652">
        <v>30.962088612715501</v>
      </c>
      <c r="AI3652">
        <v>92.070714523902197</v>
      </c>
      <c r="AJ3652">
        <v>90.662534102143994</v>
      </c>
      <c r="AK3652">
        <v>30.984391762286901</v>
      </c>
      <c r="AL3652">
        <v>78.622691165765303</v>
      </c>
      <c r="AM3652">
        <v>85.145522021818906</v>
      </c>
      <c r="AN3652">
        <v>0.99999998656081102</v>
      </c>
    </row>
    <row r="3653" spans="1:40" x14ac:dyDescent="0.25">
      <c r="A3653" t="str">
        <f>"20190303170611218"</f>
        <v>20190303170611218</v>
      </c>
      <c r="B3653" t="str">
        <f>"1551603971208138"</f>
        <v>1551603971208138</v>
      </c>
      <c r="C3653" t="s">
        <v>40</v>
      </c>
      <c r="D3653">
        <v>5.6992399999999996</v>
      </c>
      <c r="E3653">
        <v>0.4686032</v>
      </c>
      <c r="F3653" t="s">
        <v>41</v>
      </c>
      <c r="G3653">
        <v>-245.8186</v>
      </c>
      <c r="H3653" s="1">
        <v>-1.835022E-6</v>
      </c>
      <c r="I3653">
        <v>139.83760000000001</v>
      </c>
      <c r="J3653">
        <v>-215.82320000000001</v>
      </c>
      <c r="K3653">
        <v>1.1194519999999999</v>
      </c>
      <c r="L3653">
        <v>140.6018</v>
      </c>
      <c r="M3653">
        <v>-0.99988089999999996</v>
      </c>
      <c r="N3653">
        <v>-1.040549E-2</v>
      </c>
      <c r="O3653">
        <v>-1.1405200000000001E-2</v>
      </c>
      <c r="P3653">
        <v>-0.98020830000000003</v>
      </c>
      <c r="Q3653">
        <v>0.1854278</v>
      </c>
      <c r="R3653">
        <v>6.9340250000000006E-2</v>
      </c>
      <c r="S3653">
        <v>-3.0887760000000002</v>
      </c>
      <c r="T3653">
        <v>-0.1142051</v>
      </c>
      <c r="U3653">
        <v>-7.8109739999999997E-2</v>
      </c>
      <c r="V3653">
        <v>8.1179490000000007E-2</v>
      </c>
      <c r="W3653">
        <v>0.1953339</v>
      </c>
      <c r="X3653">
        <v>0.97737130000000005</v>
      </c>
      <c r="Y3653">
        <v>-1.386824E-2</v>
      </c>
      <c r="Z3653" s="1">
        <v>-2.562607E-5</v>
      </c>
      <c r="AA3653">
        <v>0.99990389999999996</v>
      </c>
      <c r="AB3653">
        <v>27</v>
      </c>
      <c r="AC3653">
        <v>-29.995399999999901</v>
      </c>
      <c r="AD3653">
        <v>-1.119453835022</v>
      </c>
      <c r="AE3653">
        <v>-0.764199999999988</v>
      </c>
      <c r="AF3653">
        <v>-0.421441637994179</v>
      </c>
      <c r="AG3653">
        <v>-1.119453835022</v>
      </c>
      <c r="AH3653">
        <v>29.960461934407</v>
      </c>
      <c r="AI3653">
        <v>92.139613895921698</v>
      </c>
      <c r="AJ3653">
        <v>90.805903285919399</v>
      </c>
      <c r="AK3653">
        <v>29.984330395492101</v>
      </c>
      <c r="AL3653">
        <v>78.735770815330696</v>
      </c>
      <c r="AM3653">
        <v>85.251967985690996</v>
      </c>
      <c r="AN3653">
        <v>1.0000000500747701</v>
      </c>
    </row>
    <row r="3654" spans="1:40" x14ac:dyDescent="0.25">
      <c r="A3654" t="str">
        <f>"20190303170611240"</f>
        <v>20190303170611240</v>
      </c>
      <c r="B3654" t="str">
        <f>"1551603971228633"</f>
        <v>1551603971228633</v>
      </c>
      <c r="C3654" t="s">
        <v>40</v>
      </c>
      <c r="D3654">
        <v>5.6981619999999999</v>
      </c>
      <c r="E3654">
        <v>0.4685993</v>
      </c>
      <c r="F3654" t="s">
        <v>41</v>
      </c>
      <c r="G3654">
        <v>-244.6748</v>
      </c>
      <c r="H3654" s="1">
        <v>-2.3365239999999998E-6</v>
      </c>
      <c r="I3654">
        <v>139.87819999999999</v>
      </c>
      <c r="J3654">
        <v>-216.0873</v>
      </c>
      <c r="K3654">
        <v>1.119353</v>
      </c>
      <c r="L3654">
        <v>140.60079999999999</v>
      </c>
      <c r="M3654">
        <v>-0.9999053</v>
      </c>
      <c r="N3654">
        <v>-1.00614E-2</v>
      </c>
      <c r="O3654">
        <v>-9.3925959999999996E-3</v>
      </c>
      <c r="P3654">
        <v>-0.98028519999999997</v>
      </c>
      <c r="Q3654">
        <v>0.18519740000000001</v>
      </c>
      <c r="R3654">
        <v>6.887153E-2</v>
      </c>
      <c r="S3654">
        <v>-3.08873</v>
      </c>
      <c r="T3654">
        <v>-0.1198443</v>
      </c>
      <c r="U3654">
        <v>-7.7453610000000006E-2</v>
      </c>
      <c r="V3654">
        <v>7.8763979999999997E-2</v>
      </c>
      <c r="W3654">
        <v>0.19476750000000001</v>
      </c>
      <c r="X3654">
        <v>0.97768189999999999</v>
      </c>
      <c r="Y3654">
        <v>-1.566613E-2</v>
      </c>
      <c r="Z3654">
        <v>-1.128675E-4</v>
      </c>
      <c r="AA3654">
        <v>0.99987729999999997</v>
      </c>
      <c r="AB3654">
        <v>27</v>
      </c>
      <c r="AC3654">
        <v>-28.587499999999999</v>
      </c>
      <c r="AD3654">
        <v>-1.1193553365240001</v>
      </c>
      <c r="AE3654">
        <v>-0.72259999999999902</v>
      </c>
      <c r="AF3654">
        <v>-0.45334909337066398</v>
      </c>
      <c r="AG3654">
        <v>-1.1193553365240001</v>
      </c>
      <c r="AH3654">
        <v>28.549283990046099</v>
      </c>
      <c r="AI3654">
        <v>92.245010108846202</v>
      </c>
      <c r="AJ3654">
        <v>90.909753349918404</v>
      </c>
      <c r="AK3654">
        <v>28.574815801928999</v>
      </c>
      <c r="AL3654">
        <v>78.768858321101902</v>
      </c>
      <c r="AM3654">
        <v>85.394086417380095</v>
      </c>
      <c r="AN3654">
        <v>1.00000002059465</v>
      </c>
    </row>
    <row r="3655" spans="1:40" x14ac:dyDescent="0.25">
      <c r="A3655" t="str">
        <f>"20190303170611264"</f>
        <v>20190303170611264</v>
      </c>
      <c r="B3655" t="str">
        <f>"1551603971258890"</f>
        <v>1551603971258890</v>
      </c>
      <c r="C3655" t="s">
        <v>40</v>
      </c>
      <c r="D3655">
        <v>5.7497179999999997</v>
      </c>
      <c r="E3655">
        <v>0.4685298</v>
      </c>
      <c r="F3655" t="s">
        <v>41</v>
      </c>
      <c r="G3655">
        <v>-244.72900000000001</v>
      </c>
      <c r="H3655" s="1">
        <v>-2.3121790000000001E-6</v>
      </c>
      <c r="I3655">
        <v>139.8741</v>
      </c>
      <c r="J3655">
        <v>-216.37700000000001</v>
      </c>
      <c r="K3655">
        <v>1.1192420000000001</v>
      </c>
      <c r="L3655">
        <v>140.60040000000001</v>
      </c>
      <c r="M3655">
        <v>-0.99992780000000003</v>
      </c>
      <c r="N3655">
        <v>-9.6759819999999996E-3</v>
      </c>
      <c r="O3655">
        <v>-7.1117929999999999E-3</v>
      </c>
      <c r="P3655">
        <v>-0.98019290000000003</v>
      </c>
      <c r="Q3655">
        <v>0.185754</v>
      </c>
      <c r="R3655">
        <v>6.8682690000000005E-2</v>
      </c>
      <c r="S3655">
        <v>-3.0886230000000001</v>
      </c>
      <c r="T3655">
        <v>-0.1207076</v>
      </c>
      <c r="U3655">
        <v>-7.8353880000000001E-2</v>
      </c>
      <c r="V3655">
        <v>7.6371480000000005E-2</v>
      </c>
      <c r="W3655">
        <v>0.1949448</v>
      </c>
      <c r="X3655">
        <v>0.97783640000000005</v>
      </c>
      <c r="Y3655">
        <v>-1.8235620000000001E-2</v>
      </c>
      <c r="Z3655">
        <v>-2.354318E-4</v>
      </c>
      <c r="AA3655">
        <v>0.99983370000000005</v>
      </c>
      <c r="AB3655">
        <v>27</v>
      </c>
      <c r="AC3655">
        <v>-28.352</v>
      </c>
      <c r="AD3655">
        <v>-1.1192443121789999</v>
      </c>
      <c r="AE3655">
        <v>-0.72630000000000905</v>
      </c>
      <c r="AF3655">
        <v>-0.52382282003018499</v>
      </c>
      <c r="AG3655">
        <v>-1.1192443121789999</v>
      </c>
      <c r="AH3655">
        <v>28.312355084271001</v>
      </c>
      <c r="AI3655">
        <v>92.263451579442801</v>
      </c>
      <c r="AJ3655">
        <v>91.059940540841396</v>
      </c>
      <c r="AK3655">
        <v>28.3393110112962</v>
      </c>
      <c r="AL3655">
        <v>78.758501606490796</v>
      </c>
      <c r="AM3655">
        <v>85.534121543235401</v>
      </c>
      <c r="AN3655">
        <v>1.0000000515846901</v>
      </c>
    </row>
    <row r="3656" spans="1:40" x14ac:dyDescent="0.25">
      <c r="A3656" t="str">
        <f>"20190303170611287"</f>
        <v>20190303170611287</v>
      </c>
      <c r="B3656" t="str">
        <f>"1551603971278410"</f>
        <v>1551603971278410</v>
      </c>
      <c r="C3656" t="s">
        <v>40</v>
      </c>
      <c r="D3656">
        <v>5.6607539999999998</v>
      </c>
      <c r="E3656">
        <v>0.46849950000000001</v>
      </c>
      <c r="F3656" t="s">
        <v>41</v>
      </c>
      <c r="G3656">
        <v>-245.79259999999999</v>
      </c>
      <c r="H3656" s="1">
        <v>-1.8481590000000001E-6</v>
      </c>
      <c r="I3656">
        <v>139.8451</v>
      </c>
      <c r="J3656">
        <v>-216.6652</v>
      </c>
      <c r="K3656">
        <v>1.119132</v>
      </c>
      <c r="L3656">
        <v>140.60079999999999</v>
      </c>
      <c r="M3656">
        <v>-0.99994550000000004</v>
      </c>
      <c r="N3656">
        <v>-9.2960630000000002E-3</v>
      </c>
      <c r="O3656">
        <v>-4.7777690000000003E-3</v>
      </c>
      <c r="P3656">
        <v>-0.9802942</v>
      </c>
      <c r="Q3656">
        <v>0.18498249999999999</v>
      </c>
      <c r="R3656">
        <v>6.9318210000000005E-2</v>
      </c>
      <c r="S3656">
        <v>-3.08847</v>
      </c>
      <c r="T3656">
        <v>-0.1175144</v>
      </c>
      <c r="U3656">
        <v>-7.9299930000000005E-2</v>
      </c>
      <c r="V3656">
        <v>7.4745039999999999E-2</v>
      </c>
      <c r="W3656">
        <v>0.19379879999999999</v>
      </c>
      <c r="X3656">
        <v>0.9781898</v>
      </c>
      <c r="Y3656">
        <v>-2.0874150000000001E-2</v>
      </c>
      <c r="Z3656">
        <v>-3.5670530000000002E-4</v>
      </c>
      <c r="AA3656">
        <v>0.99978199999999995</v>
      </c>
      <c r="AB3656">
        <v>27</v>
      </c>
      <c r="AC3656">
        <v>-29.127399999999898</v>
      </c>
      <c r="AD3656">
        <v>-1.1191338481590001</v>
      </c>
      <c r="AE3656">
        <v>-0.75569999999999005</v>
      </c>
      <c r="AF3656">
        <v>-0.61561319980976303</v>
      </c>
      <c r="AG3656">
        <v>-1.1191338481590001</v>
      </c>
      <c r="AH3656">
        <v>29.087766238186099</v>
      </c>
      <c r="AI3656">
        <v>92.202840190481098</v>
      </c>
      <c r="AJ3656">
        <v>91.212426317034897</v>
      </c>
      <c r="AK3656">
        <v>29.1157961407418</v>
      </c>
      <c r="AL3656">
        <v>78.825439082024303</v>
      </c>
      <c r="AM3656">
        <v>85.630429315576094</v>
      </c>
      <c r="AN3656">
        <v>1.00000004035504</v>
      </c>
    </row>
    <row r="3657" spans="1:40" x14ac:dyDescent="0.25">
      <c r="A3657" t="str">
        <f>"20190303170611308"</f>
        <v>20190303170611308</v>
      </c>
      <c r="B3657" t="str">
        <f>"1551603971298906"</f>
        <v>1551603971298906</v>
      </c>
      <c r="C3657" t="s">
        <v>40</v>
      </c>
      <c r="D3657">
        <v>5.8359170000000002</v>
      </c>
      <c r="E3657">
        <v>0.46858070000000002</v>
      </c>
      <c r="F3657" t="s">
        <v>41</v>
      </c>
      <c r="G3657">
        <v>-245.6867</v>
      </c>
      <c r="H3657" s="1">
        <v>-1.898856E-6</v>
      </c>
      <c r="I3657">
        <v>139.86490000000001</v>
      </c>
      <c r="J3657">
        <v>-216.92679999999999</v>
      </c>
      <c r="K3657">
        <v>1.119046</v>
      </c>
      <c r="L3657">
        <v>140.60169999999999</v>
      </c>
      <c r="M3657">
        <v>-0.99995630000000002</v>
      </c>
      <c r="N3657">
        <v>-8.9712179999999996E-3</v>
      </c>
      <c r="O3657">
        <v>-2.6254199999999998E-3</v>
      </c>
      <c r="P3657">
        <v>-0.98031029999999997</v>
      </c>
      <c r="Q3657">
        <v>0.1843186</v>
      </c>
      <c r="R3657">
        <v>7.0839730000000004E-2</v>
      </c>
      <c r="S3657">
        <v>-3.0883180000000001</v>
      </c>
      <c r="T3657">
        <v>-0.1190927</v>
      </c>
      <c r="U3657">
        <v>-7.830811E-2</v>
      </c>
      <c r="V3657">
        <v>7.4174610000000002E-2</v>
      </c>
      <c r="W3657">
        <v>0.1928126</v>
      </c>
      <c r="X3657">
        <v>0.97842810000000002</v>
      </c>
      <c r="Y3657">
        <v>-2.2703669999999999E-2</v>
      </c>
      <c r="Z3657">
        <v>-4.617809E-4</v>
      </c>
      <c r="AA3657">
        <v>0.99974220000000003</v>
      </c>
      <c r="AB3657">
        <v>27</v>
      </c>
      <c r="AC3657">
        <v>-28.759899999999998</v>
      </c>
      <c r="AD3657">
        <v>-1.119047898856</v>
      </c>
      <c r="AE3657">
        <v>-0.73679999999998802</v>
      </c>
      <c r="AF3657">
        <v>-0.66028859056121603</v>
      </c>
      <c r="AG3657">
        <v>-1.119047898856</v>
      </c>
      <c r="AH3657">
        <v>28.718284722649699</v>
      </c>
      <c r="AI3657">
        <v>92.230891784874601</v>
      </c>
      <c r="AJ3657">
        <v>91.317108095582896</v>
      </c>
      <c r="AK3657">
        <v>28.747662976908799</v>
      </c>
      <c r="AL3657">
        <v>78.883030646889395</v>
      </c>
      <c r="AM3657">
        <v>85.664700893777905</v>
      </c>
      <c r="AN3657">
        <v>1.0000000591785001</v>
      </c>
    </row>
    <row r="3658" spans="1:40" x14ac:dyDescent="0.25">
      <c r="A3658" t="str">
        <f>"20190303170611330"</f>
        <v>20190303170611330</v>
      </c>
      <c r="B3658" t="str">
        <f>"1551603971318426"</f>
        <v>1551603971318426</v>
      </c>
      <c r="C3658" t="s">
        <v>40</v>
      </c>
      <c r="D3658">
        <v>5.0599499999999997</v>
      </c>
      <c r="E3658">
        <v>0.4707749</v>
      </c>
      <c r="F3658" t="s">
        <v>41</v>
      </c>
      <c r="G3658">
        <v>-245.7757</v>
      </c>
      <c r="H3658" s="1">
        <v>-1.8760689999999999E-6</v>
      </c>
      <c r="I3658">
        <v>139.92269999999999</v>
      </c>
      <c r="J3658">
        <v>-217.18960000000001</v>
      </c>
      <c r="K3658">
        <v>1.1189800000000001</v>
      </c>
      <c r="L3658">
        <v>140.60329999999999</v>
      </c>
      <c r="M3658">
        <v>-0.99996260000000003</v>
      </c>
      <c r="N3658">
        <v>-8.65159699999999E-3</v>
      </c>
      <c r="O3658">
        <v>-4.3949720000000002E-4</v>
      </c>
      <c r="P3658">
        <v>-0.97992480000000004</v>
      </c>
      <c r="Q3658">
        <v>0.18530379999999999</v>
      </c>
      <c r="R3658">
        <v>7.3554839999999996E-2</v>
      </c>
      <c r="S3658">
        <v>-3.0880130000000001</v>
      </c>
      <c r="T3658">
        <v>-0.1197841</v>
      </c>
      <c r="U3658">
        <v>-7.2677610000000004E-2</v>
      </c>
      <c r="V3658">
        <v>7.4765559999999995E-2</v>
      </c>
      <c r="W3658">
        <v>0.19347510000000001</v>
      </c>
      <c r="X3658">
        <v>0.97825229999999996</v>
      </c>
      <c r="Y3658">
        <v>-2.3068479999999999E-2</v>
      </c>
      <c r="Z3658">
        <v>-5.3379610000000004E-4</v>
      </c>
      <c r="AA3658">
        <v>0.99973369999999995</v>
      </c>
      <c r="AB3658">
        <v>27</v>
      </c>
      <c r="AC3658">
        <v>-28.586099999999899</v>
      </c>
      <c r="AD3658">
        <v>-1.11898187606899</v>
      </c>
      <c r="AE3658">
        <v>-0.68059999999999798</v>
      </c>
      <c r="AF3658">
        <v>-0.66701448509095496</v>
      </c>
      <c r="AG3658">
        <v>-1.11898187606899</v>
      </c>
      <c r="AH3658">
        <v>28.542685948545198</v>
      </c>
      <c r="AI3658">
        <v>92.244450678935294</v>
      </c>
      <c r="AJ3658">
        <v>91.338702331292893</v>
      </c>
      <c r="AK3658">
        <v>28.572398392847099</v>
      </c>
      <c r="AL3658">
        <v>78.844343440149899</v>
      </c>
      <c r="AM3658">
        <v>85.6295125346916</v>
      </c>
      <c r="AN3658">
        <v>1.0000000328687</v>
      </c>
    </row>
    <row r="3659" spans="1:40" x14ac:dyDescent="0.25">
      <c r="A3659" t="str">
        <f>"20190303170611373"</f>
        <v>20190303170611373</v>
      </c>
      <c r="B3659" t="str">
        <f>"1551603971368202"</f>
        <v>1551603971368202</v>
      </c>
      <c r="C3659" t="s">
        <v>40</v>
      </c>
      <c r="D3659">
        <v>5.1906179999999997</v>
      </c>
      <c r="E3659">
        <v>0.47419070000000002</v>
      </c>
      <c r="F3659" t="s">
        <v>42</v>
      </c>
      <c r="G3659">
        <v>-218.06319999999999</v>
      </c>
      <c r="H3659">
        <v>0.99139739999999998</v>
      </c>
      <c r="I3659">
        <v>140.58619999999999</v>
      </c>
      <c r="J3659">
        <v>-217.72649999999999</v>
      </c>
      <c r="K3659">
        <v>1.118881</v>
      </c>
      <c r="L3659">
        <v>140.60820000000001</v>
      </c>
      <c r="M3659">
        <v>-0.99995990000000001</v>
      </c>
      <c r="N3659">
        <v>-8.0103840000000006E-3</v>
      </c>
      <c r="O3659">
        <v>4.0420739999999997E-3</v>
      </c>
      <c r="P3659">
        <v>-0.97882159999999996</v>
      </c>
      <c r="Q3659">
        <v>0.1880067</v>
      </c>
      <c r="R3659">
        <v>8.1006439999999999E-2</v>
      </c>
      <c r="S3659">
        <v>-3.1532290000000001</v>
      </c>
      <c r="T3659">
        <v>-0.46042870000000002</v>
      </c>
      <c r="U3659">
        <v>-6.2637330000000005E-2</v>
      </c>
      <c r="V3659">
        <v>7.7855649999999998E-2</v>
      </c>
      <c r="W3659">
        <v>0.19552520000000001</v>
      </c>
      <c r="X3659">
        <v>0.97760340000000001</v>
      </c>
      <c r="Y3659">
        <v>-2.3599510000000001E-2</v>
      </c>
      <c r="Z3659">
        <v>-2.363619E-3</v>
      </c>
      <c r="AA3659">
        <v>0.99971869999999996</v>
      </c>
      <c r="AB3659">
        <v>28</v>
      </c>
      <c r="AC3659">
        <v>-0.33670000000000699</v>
      </c>
      <c r="AD3659">
        <v>-0.1274836</v>
      </c>
      <c r="AE3659">
        <v>-2.2000000000019702E-2</v>
      </c>
      <c r="AF3659">
        <v>-2.0442665766475899E-2</v>
      </c>
      <c r="AG3659">
        <v>-0.1274836</v>
      </c>
      <c r="AH3659">
        <v>0.29456022685698802</v>
      </c>
      <c r="AI3659">
        <v>113.35248822480899</v>
      </c>
      <c r="AJ3659">
        <v>93.969997685778793</v>
      </c>
      <c r="AK3659">
        <v>0.32161420692910903</v>
      </c>
      <c r="AL3659">
        <v>78.724594137799102</v>
      </c>
      <c r="AM3659">
        <v>85.446614517078899</v>
      </c>
      <c r="AN3659">
        <v>1.0000000068817601</v>
      </c>
    </row>
    <row r="3660" spans="1:40" x14ac:dyDescent="0.25">
      <c r="A3660" t="str">
        <f>"20190303170611395"</f>
        <v>20190303170611395</v>
      </c>
      <c r="B3660" t="str">
        <f>"1551603971388697"</f>
        <v>1551603971388697</v>
      </c>
      <c r="C3660" t="s">
        <v>40</v>
      </c>
      <c r="D3660">
        <v>5.8433199999999896</v>
      </c>
      <c r="E3660">
        <v>0.47729640000000001</v>
      </c>
      <c r="F3660" t="s">
        <v>42</v>
      </c>
      <c r="G3660">
        <v>-218.56819999999999</v>
      </c>
      <c r="H3660">
        <v>1.0035909999999999</v>
      </c>
      <c r="I3660">
        <v>140.60570000000001</v>
      </c>
      <c r="J3660">
        <v>-218.01179999999999</v>
      </c>
      <c r="K3660">
        <v>1.1188359999999999</v>
      </c>
      <c r="L3660">
        <v>140.61179999999999</v>
      </c>
      <c r="M3660">
        <v>-0.99995020000000001</v>
      </c>
      <c r="N3660">
        <v>-7.68782199999999E-3</v>
      </c>
      <c r="O3660">
        <v>6.3836250000000004E-3</v>
      </c>
      <c r="P3660">
        <v>-0.97882840000000004</v>
      </c>
      <c r="Q3660">
        <v>0.18675990000000001</v>
      </c>
      <c r="R3660">
        <v>8.3760399999999999E-2</v>
      </c>
      <c r="S3660">
        <v>-3.1485439999999998</v>
      </c>
      <c r="T3660">
        <v>-0.43121359999999997</v>
      </c>
      <c r="U3660">
        <v>-9.7961430000000002E-3</v>
      </c>
      <c r="V3660">
        <v>7.8309710000000005E-2</v>
      </c>
      <c r="W3660">
        <v>0.19396250000000001</v>
      </c>
      <c r="X3660">
        <v>0.97787840000000004</v>
      </c>
      <c r="Y3660">
        <v>-9.3497159999999992E-3</v>
      </c>
      <c r="Z3660">
        <v>-1.4947440000000001E-3</v>
      </c>
      <c r="AA3660">
        <v>0.99995520000000004</v>
      </c>
      <c r="AB3660">
        <v>28</v>
      </c>
      <c r="AC3660">
        <v>-0.55639999999999601</v>
      </c>
      <c r="AD3660">
        <v>-0.115245</v>
      </c>
      <c r="AE3660">
        <v>-6.0999999999751201E-3</v>
      </c>
      <c r="AF3660">
        <v>-9.2548329814777404E-3</v>
      </c>
      <c r="AG3660">
        <v>-0.115245</v>
      </c>
      <c r="AH3660">
        <v>0.53346610893955604</v>
      </c>
      <c r="AI3660">
        <v>102.188528711589</v>
      </c>
      <c r="AJ3660">
        <v>90.993895718738003</v>
      </c>
      <c r="AK3660">
        <v>0.54585085082431195</v>
      </c>
      <c r="AL3660">
        <v>78.815878046907898</v>
      </c>
      <c r="AM3660">
        <v>85.421453943392294</v>
      </c>
      <c r="AN3660">
        <v>1.0000000136365399</v>
      </c>
    </row>
    <row r="3661" spans="1:40" x14ac:dyDescent="0.25">
      <c r="A3661" t="str">
        <f>"20190303170611417"</f>
        <v>20190303170611417</v>
      </c>
      <c r="B3661" t="str">
        <f>"1551603971408220"</f>
        <v>1551603971408220</v>
      </c>
      <c r="C3661" t="s">
        <v>40</v>
      </c>
      <c r="D3661">
        <v>5.6087470000000001</v>
      </c>
      <c r="E3661">
        <v>0.47843639999999998</v>
      </c>
      <c r="F3661" t="s">
        <v>42</v>
      </c>
      <c r="G3661">
        <v>-218.833</v>
      </c>
      <c r="H3661">
        <v>1.032413</v>
      </c>
      <c r="I3661">
        <v>140.61920000000001</v>
      </c>
      <c r="J3661">
        <v>-218.30189999999999</v>
      </c>
      <c r="K3661">
        <v>1.118806</v>
      </c>
      <c r="L3661">
        <v>140.61600000000001</v>
      </c>
      <c r="M3661">
        <v>-0.99993500000000002</v>
      </c>
      <c r="N3661">
        <v>-7.3707769999999898E-3</v>
      </c>
      <c r="O3661">
        <v>8.7027579999999997E-3</v>
      </c>
      <c r="P3661">
        <v>-0.97884819999999995</v>
      </c>
      <c r="Q3661">
        <v>0.18618309999999999</v>
      </c>
      <c r="R3661">
        <v>8.4806549999999994E-2</v>
      </c>
      <c r="S3661">
        <v>-3.125229</v>
      </c>
      <c r="T3661">
        <v>-0.32886179999999998</v>
      </c>
      <c r="U3661">
        <v>2.8137209999999999E-2</v>
      </c>
      <c r="V3661">
        <v>7.7071760000000003E-2</v>
      </c>
      <c r="W3661">
        <v>0.19308539999999999</v>
      </c>
      <c r="X3661">
        <v>0.97815030000000003</v>
      </c>
      <c r="Y3661">
        <v>3.3944200000000002E-4</v>
      </c>
      <c r="Z3661">
        <v>-8.3017009999999903E-4</v>
      </c>
      <c r="AA3661">
        <v>0.99999959999999999</v>
      </c>
      <c r="AB3661">
        <v>28</v>
      </c>
      <c r="AC3661">
        <v>-0.53110000000000901</v>
      </c>
      <c r="AD3661">
        <v>-8.63929999999999E-2</v>
      </c>
      <c r="AE3661">
        <v>3.19999999999254E-3</v>
      </c>
      <c r="AF3661">
        <v>-1.38561799970433E-3</v>
      </c>
      <c r="AG3661">
        <v>-8.63929999999999E-2</v>
      </c>
      <c r="AH3661">
        <v>0.51741691883949403</v>
      </c>
      <c r="AI3661">
        <v>99.479186910992993</v>
      </c>
      <c r="AJ3661">
        <v>90.153435016773699</v>
      </c>
      <c r="AK3661">
        <v>0.52458167932896504</v>
      </c>
      <c r="AL3661">
        <v>78.867100565050507</v>
      </c>
      <c r="AM3661">
        <v>85.494780367116206</v>
      </c>
      <c r="AN3661">
        <v>1.00000001863637</v>
      </c>
    </row>
    <row r="3662" spans="1:40" x14ac:dyDescent="0.25">
      <c r="A3662" t="str">
        <f>"20190303170611440"</f>
        <v>20190303170611440</v>
      </c>
      <c r="B3662" t="str">
        <f>"1551603971428713"</f>
        <v>1551603971428713</v>
      </c>
      <c r="C3662" t="s">
        <v>40</v>
      </c>
      <c r="D3662">
        <v>5.6730090000000004</v>
      </c>
      <c r="E3662">
        <v>0.48186839999999997</v>
      </c>
      <c r="F3662" t="s">
        <v>42</v>
      </c>
      <c r="G3662">
        <v>-219.0932</v>
      </c>
      <c r="H3662">
        <v>1.042621</v>
      </c>
      <c r="I3662">
        <v>140.62639999999999</v>
      </c>
      <c r="J3662">
        <v>-218.57669999999999</v>
      </c>
      <c r="K3662">
        <v>1.1188009999999999</v>
      </c>
      <c r="L3662">
        <v>140.6206</v>
      </c>
      <c r="M3662">
        <v>-0.99991640000000004</v>
      </c>
      <c r="N3662">
        <v>-7.0751149999999999E-3</v>
      </c>
      <c r="O3662">
        <v>1.0822089999999999E-2</v>
      </c>
      <c r="P3662">
        <v>-0.97872119999999996</v>
      </c>
      <c r="Q3662">
        <v>0.18660450000000001</v>
      </c>
      <c r="R3662">
        <v>8.5344379999999997E-2</v>
      </c>
      <c r="S3662">
        <v>-3.1184229999999999</v>
      </c>
      <c r="T3662">
        <v>-0.30024339999999999</v>
      </c>
      <c r="U3662">
        <v>4.0649409999999997E-2</v>
      </c>
      <c r="V3662">
        <v>7.5519610000000001E-2</v>
      </c>
      <c r="W3662">
        <v>0.1932304</v>
      </c>
      <c r="X3662">
        <v>0.97824270000000002</v>
      </c>
      <c r="Y3662">
        <v>2.2437389999999998E-3</v>
      </c>
      <c r="Z3662">
        <v>-8.4735349999999997E-4</v>
      </c>
      <c r="AA3662">
        <v>0.99999709999999997</v>
      </c>
      <c r="AB3662">
        <v>28</v>
      </c>
      <c r="AC3662">
        <v>-0.51650000000000695</v>
      </c>
      <c r="AD3662">
        <v>-7.6179999999999901E-2</v>
      </c>
      <c r="AE3662">
        <v>5.7999999999935803E-3</v>
      </c>
      <c r="AF3662">
        <v>2.0544224148319999E-4</v>
      </c>
      <c r="AG3662">
        <v>-7.6179999999999901E-2</v>
      </c>
      <c r="AH3662">
        <v>0.50553641440027697</v>
      </c>
      <c r="AI3662">
        <v>98.569504675455093</v>
      </c>
      <c r="AJ3662">
        <v>89.976715875676902</v>
      </c>
      <c r="AK3662">
        <v>0.51124407174186703</v>
      </c>
      <c r="AL3662">
        <v>78.858632889103006</v>
      </c>
      <c r="AM3662">
        <v>85.585564083946295</v>
      </c>
      <c r="AN3662">
        <v>0.999999989541001</v>
      </c>
    </row>
    <row r="3663" spans="1:40" x14ac:dyDescent="0.25">
      <c r="A3663" t="str">
        <f>"20190303170611463"</f>
        <v>20190303170611463</v>
      </c>
      <c r="B3663" t="str">
        <f>"1551603971458969"</f>
        <v>1551603971458969</v>
      </c>
      <c r="C3663" t="s">
        <v>40</v>
      </c>
      <c r="D3663">
        <v>5.6781689999999996</v>
      </c>
      <c r="E3663">
        <v>0.48361229999999999</v>
      </c>
      <c r="F3663" t="s">
        <v>51</v>
      </c>
      <c r="G3663">
        <v>-726.28859999999997</v>
      </c>
      <c r="H3663">
        <v>-0.1</v>
      </c>
      <c r="I3663">
        <v>154.34</v>
      </c>
      <c r="J3663">
        <v>-218.87379999999999</v>
      </c>
      <c r="K3663">
        <v>1.1188119999999999</v>
      </c>
      <c r="L3663">
        <v>140.626</v>
      </c>
      <c r="M3663">
        <v>-0.99989249999999996</v>
      </c>
      <c r="N3663">
        <v>-6.7636550000000004E-3</v>
      </c>
      <c r="O3663">
        <v>1.301916E-2</v>
      </c>
      <c r="P3663">
        <v>-0.97860380000000002</v>
      </c>
      <c r="Q3663">
        <v>0.18692130000000001</v>
      </c>
      <c r="R3663">
        <v>8.5996100000000006E-2</v>
      </c>
      <c r="S3663">
        <v>-3.059418</v>
      </c>
      <c r="T3663">
        <v>-7.3443650000000003E-3</v>
      </c>
      <c r="U3663">
        <v>8.2672120000000002E-2</v>
      </c>
      <c r="V3663">
        <v>7.3997190000000004E-2</v>
      </c>
      <c r="W3663">
        <v>0.19325800000000001</v>
      </c>
      <c r="X3663">
        <v>0.97835360000000005</v>
      </c>
      <c r="Y3663">
        <v>1.3995290000000001E-2</v>
      </c>
      <c r="Z3663">
        <v>1.209367E-4</v>
      </c>
      <c r="AA3663">
        <v>0.99990210000000002</v>
      </c>
      <c r="AB3663">
        <v>28</v>
      </c>
      <c r="AC3663">
        <v>-507.41480000000001</v>
      </c>
      <c r="AD3663">
        <v>-1.218812</v>
      </c>
      <c r="AE3663">
        <v>13.714</v>
      </c>
      <c r="AF3663">
        <v>7.1065319459177498</v>
      </c>
      <c r="AG3663">
        <v>-1.218812</v>
      </c>
      <c r="AH3663">
        <v>507.54741579388599</v>
      </c>
      <c r="AI3663">
        <v>90.137574939750493</v>
      </c>
      <c r="AJ3663">
        <v>89.197813505927002</v>
      </c>
      <c r="AK3663">
        <v>507.598628424114</v>
      </c>
      <c r="AL3663">
        <v>78.857021293398603</v>
      </c>
      <c r="AM3663">
        <v>85.674703115683698</v>
      </c>
      <c r="AN3663">
        <v>1.0000000026624201</v>
      </c>
    </row>
    <row r="3664" spans="1:40" x14ac:dyDescent="0.25">
      <c r="A3664" t="str">
        <f>"20190303170611486"</f>
        <v>20190303170611486</v>
      </c>
      <c r="B3664" t="str">
        <f>"1551603971478490"</f>
        <v>1551603971478490</v>
      </c>
      <c r="C3664" t="s">
        <v>40</v>
      </c>
      <c r="D3664">
        <v>6.2650160000000001</v>
      </c>
      <c r="E3664">
        <v>0.48271330000000001</v>
      </c>
      <c r="F3664" t="s">
        <v>41</v>
      </c>
      <c r="G3664">
        <v>-340.84899999999999</v>
      </c>
      <c r="H3664" s="1">
        <v>-4.8507570000000001E-6</v>
      </c>
      <c r="I3664">
        <v>144.48509999999999</v>
      </c>
      <c r="J3664">
        <v>-219.15899999999999</v>
      </c>
      <c r="K3664">
        <v>1.1188290000000001</v>
      </c>
      <c r="L3664">
        <v>140.6318</v>
      </c>
      <c r="M3664">
        <v>-0.99986620000000004</v>
      </c>
      <c r="N3664">
        <v>-6.474881E-3</v>
      </c>
      <c r="O3664">
        <v>1.5022870000000001E-2</v>
      </c>
      <c r="P3664">
        <v>-0.97842960000000001</v>
      </c>
      <c r="Q3664">
        <v>0.1876871</v>
      </c>
      <c r="R3664">
        <v>8.6308389999999999E-2</v>
      </c>
      <c r="S3664">
        <v>-3.0624389999999999</v>
      </c>
      <c r="T3664">
        <v>-2.8090239999999999E-2</v>
      </c>
      <c r="U3664">
        <v>9.6893309999999996E-2</v>
      </c>
      <c r="V3664">
        <v>7.2326230000000005E-2</v>
      </c>
      <c r="W3664">
        <v>0.1937567</v>
      </c>
      <c r="X3664">
        <v>0.97837989999999997</v>
      </c>
      <c r="Y3664">
        <v>1.6603070000000001E-2</v>
      </c>
      <c r="Z3664" s="1">
        <v>8.9400499999999999E-5</v>
      </c>
      <c r="AA3664">
        <v>0.99986209999999998</v>
      </c>
      <c r="AB3664">
        <v>28</v>
      </c>
      <c r="AC3664">
        <v>-121.689999999999</v>
      </c>
      <c r="AD3664">
        <v>-1.1188338507569999</v>
      </c>
      <c r="AE3664">
        <v>3.8532999999999902</v>
      </c>
      <c r="AF3664">
        <v>2.0245228257096799</v>
      </c>
      <c r="AG3664">
        <v>-1.1188338507569999</v>
      </c>
      <c r="AH3664">
        <v>121.72387632236401</v>
      </c>
      <c r="AI3664">
        <v>90.526550669068897</v>
      </c>
      <c r="AJ3664">
        <v>89.047139124983204</v>
      </c>
      <c r="AK3664">
        <v>121.745852285815</v>
      </c>
      <c r="AL3664">
        <v>78.827897218493604</v>
      </c>
      <c r="AM3664">
        <v>85.772129360306906</v>
      </c>
      <c r="AN3664">
        <v>0.99999998553245595</v>
      </c>
    </row>
    <row r="3665" spans="1:40" x14ac:dyDescent="0.25">
      <c r="A3665" t="str">
        <f>"20190303170611508"</f>
        <v>20190303170611508</v>
      </c>
      <c r="B3665" t="str">
        <f>"1551603971498987"</f>
        <v>1551603971498987</v>
      </c>
      <c r="C3665" t="s">
        <v>40</v>
      </c>
      <c r="D3665">
        <v>5.8940299999999999</v>
      </c>
      <c r="E3665">
        <v>0.48229339999999998</v>
      </c>
      <c r="F3665" t="s">
        <v>71</v>
      </c>
      <c r="G3665">
        <v>-472.98480000000001</v>
      </c>
      <c r="H3665" s="1">
        <v>-6.1153749999999999E-6</v>
      </c>
      <c r="I3665">
        <v>148.21180000000001</v>
      </c>
      <c r="J3665">
        <v>-219.45330000000001</v>
      </c>
      <c r="K3665">
        <v>1.1188359999999999</v>
      </c>
      <c r="L3665">
        <v>140.63829999999999</v>
      </c>
      <c r="M3665">
        <v>-0.99983619999999995</v>
      </c>
      <c r="N3665">
        <v>-6.1950549999999997E-3</v>
      </c>
      <c r="O3665">
        <v>1.7006799999999999E-2</v>
      </c>
      <c r="P3665">
        <v>-0.97821499999999995</v>
      </c>
      <c r="Q3665">
        <v>0.18809880000000001</v>
      </c>
      <c r="R3665">
        <v>8.783146E-2</v>
      </c>
      <c r="S3665">
        <v>-3.0606840000000002</v>
      </c>
      <c r="T3665">
        <v>-1.349115E-2</v>
      </c>
      <c r="U3665">
        <v>9.1400149999999999E-2</v>
      </c>
      <c r="V3665">
        <v>7.1887519999999996E-2</v>
      </c>
      <c r="W3665">
        <v>0.1939041</v>
      </c>
      <c r="X3665">
        <v>0.97838309999999995</v>
      </c>
      <c r="Y3665">
        <v>1.2845219999999999E-2</v>
      </c>
      <c r="Z3665" s="1">
        <v>9.8508559999999998E-5</v>
      </c>
      <c r="AA3665">
        <v>0.99991750000000001</v>
      </c>
      <c r="AB3665">
        <v>29</v>
      </c>
      <c r="AC3665">
        <v>-253.53149999999999</v>
      </c>
      <c r="AD3665">
        <v>-1.1188421153749999</v>
      </c>
      <c r="AE3665">
        <v>7.5735000000000197</v>
      </c>
      <c r="AF3665">
        <v>3.2604990141515602</v>
      </c>
      <c r="AG3665">
        <v>-1.1188421153749999</v>
      </c>
      <c r="AH3665">
        <v>253.61870001714999</v>
      </c>
      <c r="AI3665">
        <v>90.252738534667401</v>
      </c>
      <c r="AJ3665">
        <v>89.263451228824806</v>
      </c>
      <c r="AK3665">
        <v>253.64212516829599</v>
      </c>
      <c r="AL3665">
        <v>78.819289321123705</v>
      </c>
      <c r="AM3665">
        <v>85.797695947032395</v>
      </c>
      <c r="AN3665">
        <v>1.0000000529470801</v>
      </c>
    </row>
    <row r="3666" spans="1:40" x14ac:dyDescent="0.25">
      <c r="A3666" t="str">
        <f>"20190303170611531"</f>
        <v>20190303170611531</v>
      </c>
      <c r="B3666" t="str">
        <f>"1551603971518505"</f>
        <v>1551603971518505</v>
      </c>
      <c r="C3666" t="s">
        <v>40</v>
      </c>
      <c r="D3666">
        <v>5.82897</v>
      </c>
      <c r="E3666">
        <v>0.48180060000000002</v>
      </c>
      <c r="F3666" t="s">
        <v>41</v>
      </c>
      <c r="G3666">
        <v>-397.29349999999999</v>
      </c>
      <c r="H3666" s="1">
        <v>-2.847039E-6</v>
      </c>
      <c r="I3666">
        <v>146.01900000000001</v>
      </c>
      <c r="J3666">
        <v>-219.738</v>
      </c>
      <c r="K3666">
        <v>1.118838</v>
      </c>
      <c r="L3666">
        <v>140.64500000000001</v>
      </c>
      <c r="M3666">
        <v>-0.99980469999999999</v>
      </c>
      <c r="N3666">
        <v>-5.9325899999999997E-3</v>
      </c>
      <c r="O3666">
        <v>1.8858989999999999E-2</v>
      </c>
      <c r="P3666">
        <v>-0.97814900000000005</v>
      </c>
      <c r="Q3666">
        <v>0.18787580000000001</v>
      </c>
      <c r="R3666">
        <v>8.9036649999999995E-2</v>
      </c>
      <c r="S3666">
        <v>-3.062195</v>
      </c>
      <c r="T3666">
        <v>-1.9265060000000001E-2</v>
      </c>
      <c r="U3666">
        <v>9.2651369999999997E-2</v>
      </c>
      <c r="V3666">
        <v>7.1260790000000004E-2</v>
      </c>
      <c r="W3666">
        <v>0.19343250000000001</v>
      </c>
      <c r="X3666">
        <v>0.97852220000000001</v>
      </c>
      <c r="Y3666">
        <v>1.1386169999999999E-2</v>
      </c>
      <c r="Z3666" s="1">
        <v>6.2857749999999996E-5</v>
      </c>
      <c r="AA3666">
        <v>0.99993520000000002</v>
      </c>
      <c r="AB3666">
        <v>29</v>
      </c>
      <c r="AC3666">
        <v>-177.55549999999999</v>
      </c>
      <c r="AD3666">
        <v>-1.1188408470389899</v>
      </c>
      <c r="AE3666">
        <v>5.3739999999999899</v>
      </c>
      <c r="AF3666">
        <v>2.0243880774469898</v>
      </c>
      <c r="AG3666">
        <v>-1.1188408470389899</v>
      </c>
      <c r="AH3666">
        <v>177.61822498958799</v>
      </c>
      <c r="AI3666">
        <v>90.360885531653196</v>
      </c>
      <c r="AJ3666">
        <v>89.347004672663203</v>
      </c>
      <c r="AK3666">
        <v>177.63328460730901</v>
      </c>
      <c r="AL3666">
        <v>78.846830459108503</v>
      </c>
      <c r="AM3666">
        <v>85.834793042320797</v>
      </c>
      <c r="AN3666">
        <v>0.99999996407025604</v>
      </c>
    </row>
    <row r="3667" spans="1:40" x14ac:dyDescent="0.25">
      <c r="A3667" t="str">
        <f>"20190303170611551"</f>
        <v>20190303170611551</v>
      </c>
      <c r="B3667" t="str">
        <f>"1551603971539002"</f>
        <v>1551603971539002</v>
      </c>
      <c r="C3667" t="s">
        <v>40</v>
      </c>
      <c r="D3667">
        <v>5.7643230000000001</v>
      </c>
      <c r="E3667">
        <v>0.48101509999999997</v>
      </c>
      <c r="F3667" t="s">
        <v>41</v>
      </c>
      <c r="G3667">
        <v>-345.96660000000003</v>
      </c>
      <c r="H3667" s="1">
        <v>-2.9941269999999898E-6</v>
      </c>
      <c r="I3667">
        <v>144.43260000000001</v>
      </c>
      <c r="J3667">
        <v>-220.00659999999999</v>
      </c>
      <c r="K3667">
        <v>1.1188229999999999</v>
      </c>
      <c r="L3667">
        <v>140.65180000000001</v>
      </c>
      <c r="M3667">
        <v>-0.99977249999999995</v>
      </c>
      <c r="N3667">
        <v>-5.6878859999999996E-3</v>
      </c>
      <c r="O3667">
        <v>2.05586E-2</v>
      </c>
      <c r="P3667">
        <v>-0.97822569999999998</v>
      </c>
      <c r="Q3667">
        <v>0.1870589</v>
      </c>
      <c r="R3667">
        <v>8.9910790000000004E-2</v>
      </c>
      <c r="S3667">
        <v>-3.0638429999999999</v>
      </c>
      <c r="T3667">
        <v>-2.7156710000000001E-2</v>
      </c>
      <c r="U3667">
        <v>9.1934199999999994E-2</v>
      </c>
      <c r="V3667">
        <v>7.0453089999999996E-2</v>
      </c>
      <c r="W3667">
        <v>0.192384</v>
      </c>
      <c r="X3667">
        <v>0.97878739999999997</v>
      </c>
      <c r="Y3667">
        <v>9.4361559999999994E-3</v>
      </c>
      <c r="Z3667" s="1">
        <v>3.4207640000000002E-6</v>
      </c>
      <c r="AA3667">
        <v>0.9999555</v>
      </c>
      <c r="AB3667">
        <v>29</v>
      </c>
      <c r="AC3667">
        <v>-125.96</v>
      </c>
      <c r="AD3667">
        <v>-1.11882599412699</v>
      </c>
      <c r="AE3667">
        <v>3.7807999999999899</v>
      </c>
      <c r="AF3667">
        <v>1.1903040057126599</v>
      </c>
      <c r="AG3667">
        <v>-1.11882599412699</v>
      </c>
      <c r="AH3667">
        <v>126.00117450955899</v>
      </c>
      <c r="AI3667">
        <v>90.508721153473104</v>
      </c>
      <c r="AJ3667">
        <v>89.458756098890902</v>
      </c>
      <c r="AK3667">
        <v>126.01176362951</v>
      </c>
      <c r="AL3667">
        <v>78.908055575792602</v>
      </c>
      <c r="AM3667">
        <v>85.882951878838895</v>
      </c>
      <c r="AN3667">
        <v>1.0000000078726501</v>
      </c>
    </row>
    <row r="3668" spans="1:40" x14ac:dyDescent="0.25">
      <c r="A3668" t="str">
        <f>"20190303170611574"</f>
        <v>20190303170611574</v>
      </c>
      <c r="B3668" t="str">
        <f>"1551603971558522"</f>
        <v>1551603971558522</v>
      </c>
      <c r="C3668" t="s">
        <v>40</v>
      </c>
      <c r="D3668">
        <v>5.6066919999999998</v>
      </c>
      <c r="E3668">
        <v>0.48090450000000001</v>
      </c>
      <c r="F3668" t="s">
        <v>84</v>
      </c>
      <c r="G3668">
        <v>-311.35000000000002</v>
      </c>
      <c r="H3668" s="1">
        <v>-9.9627330000000006E-6</v>
      </c>
      <c r="I3668">
        <v>143.2927</v>
      </c>
      <c r="J3668">
        <v>-220.2963</v>
      </c>
      <c r="K3668">
        <v>1.1188039999999999</v>
      </c>
      <c r="L3668">
        <v>140.65960000000001</v>
      </c>
      <c r="M3668">
        <v>-0.99973540000000005</v>
      </c>
      <c r="N3668">
        <v>-5.4309029999999999E-3</v>
      </c>
      <c r="O3668">
        <v>2.2354059999999999E-2</v>
      </c>
      <c r="P3668">
        <v>-0.97820910000000005</v>
      </c>
      <c r="Q3668">
        <v>0.18701000000000001</v>
      </c>
      <c r="R3668">
        <v>9.0191439999999998E-2</v>
      </c>
      <c r="S3668">
        <v>-3.0658259999999999</v>
      </c>
      <c r="T3668">
        <v>-3.7552240000000001E-2</v>
      </c>
      <c r="U3668">
        <v>8.8638309999999998E-2</v>
      </c>
      <c r="V3668">
        <v>6.8965979999999996E-2</v>
      </c>
      <c r="W3668">
        <v>0.1920925</v>
      </c>
      <c r="X3668">
        <v>0.9789506</v>
      </c>
      <c r="Y3668">
        <v>6.5471749999999997E-3</v>
      </c>
      <c r="Z3668" s="1">
        <v>-9.4436810000000004E-5</v>
      </c>
      <c r="AA3668">
        <v>0.99997849999999999</v>
      </c>
      <c r="AB3668">
        <v>29</v>
      </c>
      <c r="AC3668">
        <v>-91.053700000000006</v>
      </c>
      <c r="AD3668">
        <v>-1.118813962733</v>
      </c>
      <c r="AE3668">
        <v>2.6330999999999798</v>
      </c>
      <c r="AF3668">
        <v>0.59690214710384504</v>
      </c>
      <c r="AG3668">
        <v>-1.118813962733</v>
      </c>
      <c r="AH3668">
        <v>91.0760686686653</v>
      </c>
      <c r="AI3668">
        <v>90.703793195592297</v>
      </c>
      <c r="AJ3668">
        <v>89.624495384404497</v>
      </c>
      <c r="AK3668">
        <v>91.084896228715394</v>
      </c>
      <c r="AL3668">
        <v>78.925075272746099</v>
      </c>
      <c r="AM3668">
        <v>85.970233952422504</v>
      </c>
      <c r="AN3668">
        <v>1.00000005609698</v>
      </c>
    </row>
    <row r="3669" spans="1:40" x14ac:dyDescent="0.25">
      <c r="A3669" t="str">
        <f>"20190303170611597"</f>
        <v>20190303170611597</v>
      </c>
      <c r="B3669" t="str">
        <f>"1551603971588777"</f>
        <v>1551603971588777</v>
      </c>
      <c r="C3669" t="s">
        <v>40</v>
      </c>
      <c r="D3669">
        <v>5.8262010000000002</v>
      </c>
      <c r="E3669">
        <v>0.48076039999999998</v>
      </c>
      <c r="F3669" t="s">
        <v>84</v>
      </c>
      <c r="G3669">
        <v>-303.05950000000001</v>
      </c>
      <c r="H3669" s="1">
        <v>-9.5062349999999996E-6</v>
      </c>
      <c r="I3669">
        <v>143.0506</v>
      </c>
      <c r="J3669">
        <v>-220.607</v>
      </c>
      <c r="K3669">
        <v>1.1187769999999999</v>
      </c>
      <c r="L3669">
        <v>140.66839999999999</v>
      </c>
      <c r="M3669">
        <v>-0.99969249999999998</v>
      </c>
      <c r="N3669">
        <v>-5.1677609999999999E-3</v>
      </c>
      <c r="O3669">
        <v>2.4255869999999999E-2</v>
      </c>
      <c r="P3669">
        <v>-0.97772530000000002</v>
      </c>
      <c r="Q3669">
        <v>0.18885589999999999</v>
      </c>
      <c r="R3669">
        <v>9.1578740000000006E-2</v>
      </c>
      <c r="S3669">
        <v>-3.066589</v>
      </c>
      <c r="T3669">
        <v>-4.1454909999999998E-2</v>
      </c>
      <c r="U3669">
        <v>8.8592530000000003E-2</v>
      </c>
      <c r="V3669">
        <v>6.8502339999999995E-2</v>
      </c>
      <c r="W3669">
        <v>0.19368189999999999</v>
      </c>
      <c r="X3669">
        <v>0.97866989999999998</v>
      </c>
      <c r="Y3669">
        <v>4.6232419999999996E-3</v>
      </c>
      <c r="Z3669">
        <v>-1.5923040000000001E-4</v>
      </c>
      <c r="AA3669">
        <v>0.99998929999999997</v>
      </c>
      <c r="AB3669">
        <v>29</v>
      </c>
      <c r="AC3669">
        <v>-82.452500000000001</v>
      </c>
      <c r="AD3669">
        <v>-1.118786506235</v>
      </c>
      <c r="AE3669">
        <v>2.3822000000000099</v>
      </c>
      <c r="AF3669">
        <v>0.38144524771143501</v>
      </c>
      <c r="AG3669">
        <v>-1.118786506235</v>
      </c>
      <c r="AH3669">
        <v>82.470852164453206</v>
      </c>
      <c r="AI3669">
        <v>90.777209474166796</v>
      </c>
      <c r="AJ3669">
        <v>89.734996712279496</v>
      </c>
      <c r="AK3669">
        <v>82.479322502398304</v>
      </c>
      <c r="AL3669">
        <v>78.832265983784495</v>
      </c>
      <c r="AM3669">
        <v>85.996092312926606</v>
      </c>
      <c r="AN3669">
        <v>1.00000001106954</v>
      </c>
    </row>
    <row r="3670" spans="1:40" x14ac:dyDescent="0.25">
      <c r="A3670" t="str">
        <f>"20190303170611640"</f>
        <v>20190303170611640</v>
      </c>
      <c r="B3670" t="str">
        <f>"1551603971628793"</f>
        <v>1551603971628793</v>
      </c>
      <c r="C3670" t="s">
        <v>40</v>
      </c>
      <c r="D3670">
        <v>5.8163999999999998</v>
      </c>
      <c r="E3670">
        <v>0.48081040000000003</v>
      </c>
      <c r="F3670" t="s">
        <v>84</v>
      </c>
      <c r="G3670">
        <v>-305.09559999999999</v>
      </c>
      <c r="H3670" s="1">
        <v>-9.8508439999999993E-6</v>
      </c>
      <c r="I3670">
        <v>143.1883</v>
      </c>
      <c r="J3670">
        <v>-221.1789</v>
      </c>
      <c r="K3670">
        <v>1.1187199999999999</v>
      </c>
      <c r="L3670">
        <v>140.68629999999999</v>
      </c>
      <c r="M3670">
        <v>-0.9996043</v>
      </c>
      <c r="N3670">
        <v>-4.7211179999999998E-3</v>
      </c>
      <c r="O3670">
        <v>2.7731599999999999E-2</v>
      </c>
      <c r="P3670">
        <v>-0.97673589999999999</v>
      </c>
      <c r="Q3670">
        <v>0.19078110000000001</v>
      </c>
      <c r="R3670">
        <v>9.7926059999999995E-2</v>
      </c>
      <c r="S3670">
        <v>-3.067612</v>
      </c>
      <c r="T3670">
        <v>-4.0620919999999998E-2</v>
      </c>
      <c r="U3670">
        <v>9.1491699999999995E-2</v>
      </c>
      <c r="V3670">
        <v>7.1476780000000004E-2</v>
      </c>
      <c r="W3670">
        <v>0.1951552</v>
      </c>
      <c r="X3670">
        <v>0.97816440000000004</v>
      </c>
      <c r="Y3670">
        <v>2.0815149999999999E-3</v>
      </c>
      <c r="Z3670">
        <v>-2.1743629999999999E-4</v>
      </c>
      <c r="AA3670">
        <v>0.99999780000000005</v>
      </c>
      <c r="AB3670">
        <v>29</v>
      </c>
      <c r="AC3670">
        <v>-83.916699999999906</v>
      </c>
      <c r="AD3670">
        <v>-1.118729850844</v>
      </c>
      <c r="AE3670">
        <v>2.5019999999999998</v>
      </c>
      <c r="AF3670">
        <v>0.17383666292921099</v>
      </c>
      <c r="AG3670">
        <v>-1.118729850844</v>
      </c>
      <c r="AH3670">
        <v>83.938905623687404</v>
      </c>
      <c r="AI3670">
        <v>90.763585920313403</v>
      </c>
      <c r="AJ3670">
        <v>89.881341163589397</v>
      </c>
      <c r="AK3670">
        <v>83.946540446684594</v>
      </c>
      <c r="AL3670">
        <v>78.746210346383606</v>
      </c>
      <c r="AM3670">
        <v>85.820690251460704</v>
      </c>
      <c r="AN3670">
        <v>1.0000000377967799</v>
      </c>
    </row>
    <row r="3671" spans="1:40" x14ac:dyDescent="0.25">
      <c r="A3671" t="str">
        <f>"20190303170611665"</f>
        <v>20190303170611665</v>
      </c>
      <c r="B3671" t="str">
        <f>"1551603971659050"</f>
        <v>1551603971659050</v>
      </c>
      <c r="C3671" t="s">
        <v>40</v>
      </c>
      <c r="D3671">
        <v>5.708272</v>
      </c>
      <c r="E3671">
        <v>0.50473869999999998</v>
      </c>
      <c r="F3671" t="s">
        <v>84</v>
      </c>
      <c r="G3671">
        <v>-317.70510000000002</v>
      </c>
      <c r="H3671" s="1">
        <v>-7.5752769999999997E-6</v>
      </c>
      <c r="I3671">
        <v>144.12180000000001</v>
      </c>
      <c r="J3671">
        <v>-221.51310000000001</v>
      </c>
      <c r="K3671">
        <v>1.1186720000000001</v>
      </c>
      <c r="L3671">
        <v>140.69759999999999</v>
      </c>
      <c r="M3671">
        <v>-0.99954679999999996</v>
      </c>
      <c r="N3671">
        <v>-4.4885999999999997E-3</v>
      </c>
      <c r="O3671">
        <v>2.9770540000000002E-2</v>
      </c>
      <c r="P3671">
        <v>-0.97636489999999998</v>
      </c>
      <c r="Q3671">
        <v>0.1905927</v>
      </c>
      <c r="R3671">
        <v>0.1019138</v>
      </c>
      <c r="S3671">
        <v>-3.0674440000000001</v>
      </c>
      <c r="T3671">
        <v>-3.5551310000000003E-2</v>
      </c>
      <c r="U3671">
        <v>0.1091766</v>
      </c>
      <c r="V3671">
        <v>7.3482389999999995E-2</v>
      </c>
      <c r="W3671">
        <v>0.19472919999999999</v>
      </c>
      <c r="X3671">
        <v>0.97810070000000005</v>
      </c>
      <c r="Y3671">
        <v>5.8019789999999996E-3</v>
      </c>
      <c r="Z3671">
        <v>-1.645796E-4</v>
      </c>
      <c r="AA3671">
        <v>0.99998310000000001</v>
      </c>
      <c r="AB3671">
        <v>30</v>
      </c>
      <c r="AC3671">
        <v>-96.191999999999993</v>
      </c>
      <c r="AD3671">
        <v>-1.11867957527699</v>
      </c>
      <c r="AE3671">
        <v>3.4242000000000101</v>
      </c>
      <c r="AF3671">
        <v>0.55889043967782304</v>
      </c>
      <c r="AG3671">
        <v>-1.11867957527699</v>
      </c>
      <c r="AH3671">
        <v>96.238304589010696</v>
      </c>
      <c r="AI3671">
        <v>90.665968205766404</v>
      </c>
      <c r="AJ3671">
        <v>89.667266546705207</v>
      </c>
      <c r="AK3671">
        <v>96.246428882753406</v>
      </c>
      <c r="AL3671">
        <v>78.771095933417897</v>
      </c>
      <c r="AM3671">
        <v>85.703574837658493</v>
      </c>
      <c r="AN3671">
        <v>1.0000000511566101</v>
      </c>
    </row>
    <row r="3672" spans="1:40" x14ac:dyDescent="0.25">
      <c r="A3672" t="str">
        <f>"20190303170611687"</f>
        <v>20190303170611687</v>
      </c>
      <c r="B3672" t="str">
        <f>"1551603971678569"</f>
        <v>1551603971678569</v>
      </c>
      <c r="C3672" t="s">
        <v>40</v>
      </c>
      <c r="D3672">
        <v>5.7421360000000004</v>
      </c>
      <c r="E3672">
        <v>0.5064225</v>
      </c>
      <c r="F3672" t="s">
        <v>41</v>
      </c>
      <c r="G3672">
        <v>-266.68490000000003</v>
      </c>
      <c r="H3672" s="1">
        <v>-2.9124639999999999E-6</v>
      </c>
      <c r="I3672">
        <v>145.28360000000001</v>
      </c>
      <c r="J3672">
        <v>-221.8074</v>
      </c>
      <c r="K3672">
        <v>1.1186210000000001</v>
      </c>
      <c r="L3672">
        <v>140.7081</v>
      </c>
      <c r="M3672">
        <v>-0.99949219999999905</v>
      </c>
      <c r="N3672">
        <v>-4.3048599999999998E-3</v>
      </c>
      <c r="O3672">
        <v>3.1576670000000001E-2</v>
      </c>
      <c r="P3672">
        <v>-0.97616069999999999</v>
      </c>
      <c r="Q3672">
        <v>0.19007859999999999</v>
      </c>
      <c r="R3672">
        <v>0.1047887</v>
      </c>
      <c r="S3672">
        <v>-3.0550229999999998</v>
      </c>
      <c r="T3672">
        <v>-7.5657489999999994E-2</v>
      </c>
      <c r="U3672">
        <v>0.31016539999999998</v>
      </c>
      <c r="V3672">
        <v>7.4599650000000003E-2</v>
      </c>
      <c r="W3672">
        <v>0.19402800000000001</v>
      </c>
      <c r="X3672">
        <v>0.97815540000000001</v>
      </c>
      <c r="Y3672">
        <v>6.9523039999999994E-2</v>
      </c>
      <c r="Z3672">
        <v>3.6476130000000001E-4</v>
      </c>
      <c r="AA3672">
        <v>0.99758029999999998</v>
      </c>
      <c r="AB3672">
        <v>30</v>
      </c>
      <c r="AC3672">
        <v>-44.877499999999998</v>
      </c>
      <c r="AD3672">
        <v>-1.1186239124639901</v>
      </c>
      <c r="AE3672">
        <v>4.5754999999999999</v>
      </c>
      <c r="AF3672">
        <v>3.1541837867497802</v>
      </c>
      <c r="AG3672">
        <v>-1.1186239124639901</v>
      </c>
      <c r="AH3672">
        <v>44.971946797122598</v>
      </c>
      <c r="AI3672">
        <v>91.421380574480096</v>
      </c>
      <c r="AJ3672">
        <v>85.988033187255496</v>
      </c>
      <c r="AK3672">
        <v>45.096299111361198</v>
      </c>
      <c r="AL3672">
        <v>78.812052111199307</v>
      </c>
      <c r="AM3672">
        <v>85.638743165041006</v>
      </c>
      <c r="AN3672">
        <v>0.99999997955664099</v>
      </c>
    </row>
    <row r="3673" spans="1:40" x14ac:dyDescent="0.25">
      <c r="A3673" t="str">
        <f>"20190303170611708"</f>
        <v>20190303170611708</v>
      </c>
      <c r="B3673" t="str">
        <f>"1551603971699066"</f>
        <v>1551603971699066</v>
      </c>
      <c r="C3673" t="s">
        <v>40</v>
      </c>
      <c r="D3673">
        <v>5.7500169999999997</v>
      </c>
      <c r="E3673">
        <v>0.50700129999999999</v>
      </c>
      <c r="F3673" t="s">
        <v>41</v>
      </c>
      <c r="G3673">
        <v>-267.1198</v>
      </c>
      <c r="H3673" s="1">
        <v>-2.8238080000000002E-6</v>
      </c>
      <c r="I3673">
        <v>145.6516</v>
      </c>
      <c r="J3673">
        <v>-222.0976</v>
      </c>
      <c r="K3673">
        <v>1.1185799999999999</v>
      </c>
      <c r="L3673">
        <v>140.71899999999999</v>
      </c>
      <c r="M3673">
        <v>-0.99943470000000001</v>
      </c>
      <c r="N3673">
        <v>-4.1424519999999996E-3</v>
      </c>
      <c r="O3673">
        <v>3.336621E-2</v>
      </c>
      <c r="P3673">
        <v>-0.975943</v>
      </c>
      <c r="Q3673">
        <v>0.18974530000000001</v>
      </c>
      <c r="R3673">
        <v>0.1073875</v>
      </c>
      <c r="S3673">
        <v>-3.052155</v>
      </c>
      <c r="T3673">
        <v>-7.5348499999999999E-2</v>
      </c>
      <c r="U3673">
        <v>0.33299260000000003</v>
      </c>
      <c r="V3673">
        <v>7.5459219999999994E-2</v>
      </c>
      <c r="W3673">
        <v>0.19352939999999999</v>
      </c>
      <c r="X3673">
        <v>0.97818830000000001</v>
      </c>
      <c r="Y3673">
        <v>7.5207679999999999E-2</v>
      </c>
      <c r="Z3673">
        <v>3.98911E-4</v>
      </c>
      <c r="AA3673">
        <v>0.99716780000000005</v>
      </c>
      <c r="AB3673">
        <v>30</v>
      </c>
      <c r="AC3673">
        <v>-45.022199999999998</v>
      </c>
      <c r="AD3673">
        <v>-1.118582823808</v>
      </c>
      <c r="AE3673">
        <v>4.9325999999999999</v>
      </c>
      <c r="AF3673">
        <v>3.4255310808636001</v>
      </c>
      <c r="AG3673">
        <v>-1.118582823808</v>
      </c>
      <c r="AH3673">
        <v>45.134184440179197</v>
      </c>
      <c r="AI3673">
        <v>91.415629327469006</v>
      </c>
      <c r="AJ3673">
        <v>85.659766130430398</v>
      </c>
      <c r="AK3673">
        <v>45.277810192187999</v>
      </c>
      <c r="AL3673">
        <v>78.841172385134101</v>
      </c>
      <c r="AM3673">
        <v>85.588835858018598</v>
      </c>
      <c r="AN3673">
        <v>1.00000003640212</v>
      </c>
    </row>
    <row r="3674" spans="1:40" x14ac:dyDescent="0.25">
      <c r="A3674" t="str">
        <f>"20190303170611730"</f>
        <v>20190303170611730</v>
      </c>
      <c r="B3674" t="str">
        <f>"1551603971718586"</f>
        <v>1551603971718586</v>
      </c>
      <c r="C3674" t="s">
        <v>40</v>
      </c>
      <c r="D3674">
        <v>5.727538</v>
      </c>
      <c r="E3674">
        <v>0.50688239999999996</v>
      </c>
      <c r="F3674" t="s">
        <v>41</v>
      </c>
      <c r="G3674">
        <v>-271.09089999999998</v>
      </c>
      <c r="H3674" s="1">
        <v>-5.084485E-6</v>
      </c>
      <c r="I3674">
        <v>146.26660000000001</v>
      </c>
      <c r="J3674">
        <v>-222.38079999999999</v>
      </c>
      <c r="K3674">
        <v>1.1185419999999999</v>
      </c>
      <c r="L3674">
        <v>140.73009999999999</v>
      </c>
      <c r="M3674">
        <v>-0.99937500000000001</v>
      </c>
      <c r="N3674">
        <v>-4.0009820000000001E-3</v>
      </c>
      <c r="O3674">
        <v>3.5124059999999999E-2</v>
      </c>
      <c r="P3674">
        <v>-0.97558409999999995</v>
      </c>
      <c r="Q3674">
        <v>0.19027079999999999</v>
      </c>
      <c r="R3674">
        <v>0.1096924</v>
      </c>
      <c r="S3674">
        <v>-3.0495000000000001</v>
      </c>
      <c r="T3674">
        <v>-6.9624420000000006E-2</v>
      </c>
      <c r="U3674">
        <v>0.34530640000000001</v>
      </c>
      <c r="V3674">
        <v>7.6064980000000004E-2</v>
      </c>
      <c r="W3674">
        <v>0.19390969999999999</v>
      </c>
      <c r="X3674">
        <v>0.97806599999999999</v>
      </c>
      <c r="Y3674">
        <v>7.7526709999999999E-2</v>
      </c>
      <c r="Z3674">
        <v>3.7910379999999999E-4</v>
      </c>
      <c r="AA3674">
        <v>0.99699020000000005</v>
      </c>
      <c r="AB3674">
        <v>30</v>
      </c>
      <c r="AC3674">
        <v>-48.710099999999898</v>
      </c>
      <c r="AD3674">
        <v>-1.1185470844849901</v>
      </c>
      <c r="AE3674">
        <v>5.53650000000001</v>
      </c>
      <c r="AF3674">
        <v>3.8201848679554802</v>
      </c>
      <c r="AG3674">
        <v>-1.1185470844849901</v>
      </c>
      <c r="AH3674">
        <v>48.849079001790301</v>
      </c>
      <c r="AI3674">
        <v>91.307739088798598</v>
      </c>
      <c r="AJ3674">
        <v>85.528351975301206</v>
      </c>
      <c r="AK3674">
        <v>49.010993453802897</v>
      </c>
      <c r="AL3674">
        <v>78.818961392959807</v>
      </c>
      <c r="AM3674">
        <v>85.553012268099394</v>
      </c>
      <c r="AN3674">
        <v>0.99999997664624496</v>
      </c>
    </row>
    <row r="3675" spans="1:40" x14ac:dyDescent="0.25">
      <c r="A3675" t="str">
        <f>"20190303170611752"</f>
        <v>20190303170611752</v>
      </c>
      <c r="B3675" t="str">
        <f>"1551603971748841"</f>
        <v>1551603971748841</v>
      </c>
      <c r="C3675" t="s">
        <v>40</v>
      </c>
      <c r="D3675">
        <v>5.7576199999999904</v>
      </c>
      <c r="E3675">
        <v>0.50674180000000002</v>
      </c>
      <c r="F3675" t="s">
        <v>41</v>
      </c>
      <c r="G3675">
        <v>-274.16269999999997</v>
      </c>
      <c r="H3675" s="1">
        <v>-4.1127810000000004E-6</v>
      </c>
      <c r="I3675">
        <v>146.68190000000001</v>
      </c>
      <c r="J3675">
        <v>-222.69200000000001</v>
      </c>
      <c r="K3675">
        <v>1.1185</v>
      </c>
      <c r="L3675">
        <v>140.74289999999999</v>
      </c>
      <c r="M3675">
        <v>-0.99930540000000001</v>
      </c>
      <c r="N3675">
        <v>-3.8638019999999999E-3</v>
      </c>
      <c r="O3675">
        <v>3.7065479999999998E-2</v>
      </c>
      <c r="P3675">
        <v>-0.97523389999999999</v>
      </c>
      <c r="Q3675">
        <v>0.19096850000000001</v>
      </c>
      <c r="R3675">
        <v>0.111579399999999</v>
      </c>
      <c r="S3675">
        <v>-3.0485380000000002</v>
      </c>
      <c r="T3675">
        <v>-6.5851809999999997E-2</v>
      </c>
      <c r="U3675">
        <v>0.35040280000000001</v>
      </c>
      <c r="V3675">
        <v>7.6075530000000002E-2</v>
      </c>
      <c r="W3675">
        <v>0.19446820000000001</v>
      </c>
      <c r="X3675">
        <v>0.97795430000000005</v>
      </c>
      <c r="Y3675">
        <v>7.7272419999999994E-2</v>
      </c>
      <c r="Z3675">
        <v>3.2699950000000003E-4</v>
      </c>
      <c r="AA3675">
        <v>0.99700999999999995</v>
      </c>
      <c r="AB3675">
        <v>30</v>
      </c>
      <c r="AC3675">
        <v>-51.470699999999901</v>
      </c>
      <c r="AD3675">
        <v>-1.118504112781</v>
      </c>
      <c r="AE3675">
        <v>5.9390000000000196</v>
      </c>
      <c r="AF3675">
        <v>4.0252426348853501</v>
      </c>
      <c r="AG3675">
        <v>-1.118504112781</v>
      </c>
      <c r="AH3675">
        <v>51.631402714863903</v>
      </c>
      <c r="AI3675">
        <v>91.237265682654694</v>
      </c>
      <c r="AJ3675">
        <v>85.542173008311394</v>
      </c>
      <c r="AK3675">
        <v>51.800148417011997</v>
      </c>
      <c r="AL3675">
        <v>78.786340888210106</v>
      </c>
      <c r="AM3675">
        <v>85.551892000176494</v>
      </c>
      <c r="AN3675">
        <v>0.99999998998225503</v>
      </c>
    </row>
    <row r="3676" spans="1:40" x14ac:dyDescent="0.25">
      <c r="A3676" t="str">
        <f>"20190303170611776"</f>
        <v>20190303170611776</v>
      </c>
      <c r="B3676" t="str">
        <f>"1551603971768362"</f>
        <v>1551603971768362</v>
      </c>
      <c r="C3676" t="s">
        <v>40</v>
      </c>
      <c r="D3676">
        <v>5.7489239999999997</v>
      </c>
      <c r="E3676">
        <v>0.50632169999999999</v>
      </c>
      <c r="F3676" t="s">
        <v>41</v>
      </c>
      <c r="G3676">
        <v>-270.67290000000003</v>
      </c>
      <c r="H3676" s="1">
        <v>-5.2363430000000003E-6</v>
      </c>
      <c r="I3676">
        <v>146.32079999999999</v>
      </c>
      <c r="J3676">
        <v>-223.01490000000001</v>
      </c>
      <c r="K3676">
        <v>1.1184609999999999</v>
      </c>
      <c r="L3676">
        <v>140.7568</v>
      </c>
      <c r="M3676">
        <v>-0.99922880000000003</v>
      </c>
      <c r="N3676">
        <v>-3.739432E-3</v>
      </c>
      <c r="O3676">
        <v>3.9088009999999999E-2</v>
      </c>
      <c r="P3676">
        <v>-0.97519129999999998</v>
      </c>
      <c r="Q3676">
        <v>0.19066659999999999</v>
      </c>
      <c r="R3676">
        <v>0.1124653</v>
      </c>
      <c r="S3676">
        <v>-3.0495299999999999</v>
      </c>
      <c r="T3676">
        <v>-7.1089150000000004E-2</v>
      </c>
      <c r="U3676">
        <v>0.35452270000000002</v>
      </c>
      <c r="V3676">
        <v>7.4991349999999998E-2</v>
      </c>
      <c r="W3676">
        <v>0.19404489999999999</v>
      </c>
      <c r="X3676">
        <v>0.97812209999999999</v>
      </c>
      <c r="Y3676">
        <v>7.6545660000000001E-2</v>
      </c>
      <c r="Z3676">
        <v>2.7114350000000001E-4</v>
      </c>
      <c r="AA3676">
        <v>0.99706600000000001</v>
      </c>
      <c r="AB3676">
        <v>30</v>
      </c>
      <c r="AC3676">
        <v>-47.658000000000001</v>
      </c>
      <c r="AD3676">
        <v>-1.118466236343</v>
      </c>
      <c r="AE3676">
        <v>5.5639999999999903</v>
      </c>
      <c r="AF3676">
        <v>3.6948707395493599</v>
      </c>
      <c r="AG3676">
        <v>-1.118466236343</v>
      </c>
      <c r="AH3676">
        <v>47.813084971650603</v>
      </c>
      <c r="AI3676">
        <v>91.336063546788907</v>
      </c>
      <c r="AJ3676">
        <v>85.581113576989196</v>
      </c>
      <c r="AK3676">
        <v>47.968678645654798</v>
      </c>
      <c r="AL3676">
        <v>78.811065104842697</v>
      </c>
      <c r="AM3676">
        <v>85.615783908136706</v>
      </c>
      <c r="AN3676">
        <v>0.99999998414962099</v>
      </c>
    </row>
    <row r="3677" spans="1:40" x14ac:dyDescent="0.25">
      <c r="A3677" t="str">
        <f>"20190303170611799"</f>
        <v>20190303170611799</v>
      </c>
      <c r="B3677" t="str">
        <f>"1551603971788857"</f>
        <v>1551603971788857</v>
      </c>
      <c r="C3677" t="s">
        <v>40</v>
      </c>
      <c r="D3677">
        <v>5.7009860000000003</v>
      </c>
      <c r="E3677">
        <v>0.50598509999999997</v>
      </c>
      <c r="F3677" t="s">
        <v>41</v>
      </c>
      <c r="G3677">
        <v>-265.92579999999998</v>
      </c>
      <c r="H3677" s="1">
        <v>-3.345001E-6</v>
      </c>
      <c r="I3677">
        <v>145.73599999999999</v>
      </c>
      <c r="J3677">
        <v>-223.3391</v>
      </c>
      <c r="K3677">
        <v>1.1184210000000001</v>
      </c>
      <c r="L3677">
        <v>140.7714</v>
      </c>
      <c r="M3677">
        <v>-0.99914749999999997</v>
      </c>
      <c r="N3677">
        <v>-3.631254E-3</v>
      </c>
      <c r="O3677">
        <v>4.1122440000000003E-2</v>
      </c>
      <c r="P3677">
        <v>-0.97517089999999995</v>
      </c>
      <c r="Q3677">
        <v>0.19026860000000001</v>
      </c>
      <c r="R3677">
        <v>0.11331330000000001</v>
      </c>
      <c r="S3677">
        <v>-3.0510410000000001</v>
      </c>
      <c r="T3677">
        <v>-7.9524869999999998E-2</v>
      </c>
      <c r="U3677">
        <v>0.35403440000000003</v>
      </c>
      <c r="V3677">
        <v>7.3855030000000002E-2</v>
      </c>
      <c r="W3677">
        <v>0.19354150000000001</v>
      </c>
      <c r="X3677">
        <v>0.97830830000000002</v>
      </c>
      <c r="Y3677">
        <v>7.4299560000000001E-2</v>
      </c>
      <c r="Z3677">
        <v>1.81981E-4</v>
      </c>
      <c r="AA3677">
        <v>0.99723600000000001</v>
      </c>
      <c r="AB3677">
        <v>31</v>
      </c>
      <c r="AC3677">
        <v>-42.586699999999901</v>
      </c>
      <c r="AD3677">
        <v>-1.1184243450010001</v>
      </c>
      <c r="AE3677">
        <v>4.9645999999999901</v>
      </c>
      <c r="AF3677">
        <v>3.2069376779792398</v>
      </c>
      <c r="AG3677">
        <v>-1.1184243450010001</v>
      </c>
      <c r="AH3677">
        <v>42.7257606830211</v>
      </c>
      <c r="AI3677">
        <v>91.495274400189203</v>
      </c>
      <c r="AJ3677">
        <v>85.707505403693304</v>
      </c>
      <c r="AK3677">
        <v>42.860540689878498</v>
      </c>
      <c r="AL3677">
        <v>78.840465377095796</v>
      </c>
      <c r="AM3677">
        <v>85.682782092372506</v>
      </c>
      <c r="AN3677">
        <v>1.00000000376372</v>
      </c>
    </row>
    <row r="3678" spans="1:40" x14ac:dyDescent="0.25">
      <c r="A3678" t="str">
        <f>"20190303170611823"</f>
        <v>20190303170611823</v>
      </c>
      <c r="B3678" t="str">
        <f>"1551603971819114"</f>
        <v>1551603971819114</v>
      </c>
      <c r="C3678" t="s">
        <v>40</v>
      </c>
      <c r="D3678">
        <v>5.6688470000000004</v>
      </c>
      <c r="E3678">
        <v>0.50582119999999997</v>
      </c>
      <c r="F3678" t="s">
        <v>41</v>
      </c>
      <c r="G3678">
        <v>-262.76830000000001</v>
      </c>
      <c r="H3678" s="1">
        <v>-4.3508610000000001E-6</v>
      </c>
      <c r="I3678">
        <v>145.34889999999999</v>
      </c>
      <c r="J3678">
        <v>-223.6611</v>
      </c>
      <c r="K3678">
        <v>1.118387</v>
      </c>
      <c r="L3678">
        <v>140.78659999999999</v>
      </c>
      <c r="M3678">
        <v>-0.99906269999999997</v>
      </c>
      <c r="N3678">
        <v>-3.5385780000000001E-3</v>
      </c>
      <c r="O3678">
        <v>4.3145650000000001E-2</v>
      </c>
      <c r="P3678">
        <v>-0.97500989999999998</v>
      </c>
      <c r="Q3678">
        <v>0.19045339999999999</v>
      </c>
      <c r="R3678">
        <v>0.1143839</v>
      </c>
      <c r="S3678">
        <v>-3.0521240000000001</v>
      </c>
      <c r="T3678">
        <v>-8.6574789999999999E-2</v>
      </c>
      <c r="U3678">
        <v>0.35433959999999998</v>
      </c>
      <c r="V3678">
        <v>7.2958770000000006E-2</v>
      </c>
      <c r="W3678">
        <v>0.193636</v>
      </c>
      <c r="X3678">
        <v>0.97835680000000003</v>
      </c>
      <c r="Y3678">
        <v>7.2336849999999994E-2</v>
      </c>
      <c r="Z3678" s="1">
        <v>8.4544359999999994E-5</v>
      </c>
      <c r="AA3678">
        <v>0.9973803</v>
      </c>
      <c r="AB3678">
        <v>31</v>
      </c>
      <c r="AC3678">
        <v>-39.107199999999999</v>
      </c>
      <c r="AD3678">
        <v>-1.1183913508609999</v>
      </c>
      <c r="AE3678">
        <v>4.5622999999999898</v>
      </c>
      <c r="AF3678">
        <v>2.86842122554759</v>
      </c>
      <c r="AG3678">
        <v>-1.1183913508609999</v>
      </c>
      <c r="AH3678">
        <v>39.235968941990301</v>
      </c>
      <c r="AI3678">
        <v>91.628386961672007</v>
      </c>
      <c r="AJ3678">
        <v>85.818720006411198</v>
      </c>
      <c r="AK3678">
        <v>39.356573762939298</v>
      </c>
      <c r="AL3678">
        <v>78.834945977167095</v>
      </c>
      <c r="AM3678">
        <v>85.735189385770397</v>
      </c>
      <c r="AN3678">
        <v>0.999999955361075</v>
      </c>
    </row>
    <row r="3679" spans="1:40" x14ac:dyDescent="0.25">
      <c r="A3679" t="str">
        <f>"20190303170611841"</f>
        <v>20190303170611841</v>
      </c>
      <c r="B3679" t="str">
        <f>"1551603971828874"</f>
        <v>1551603971828874</v>
      </c>
      <c r="C3679" t="s">
        <v>40</v>
      </c>
      <c r="D3679">
        <v>5.7437069999999997</v>
      </c>
      <c r="E3679">
        <v>0.50570539999999997</v>
      </c>
      <c r="F3679" t="s">
        <v>41</v>
      </c>
      <c r="G3679">
        <v>-261.5421</v>
      </c>
      <c r="H3679" s="1">
        <v>-4.7448629999999997E-6</v>
      </c>
      <c r="I3679">
        <v>145.21770000000001</v>
      </c>
      <c r="J3679">
        <v>-223.9314</v>
      </c>
      <c r="K3679">
        <v>1.118358</v>
      </c>
      <c r="L3679">
        <v>140.7998</v>
      </c>
      <c r="M3679">
        <v>-0.99898830000000005</v>
      </c>
      <c r="N3679">
        <v>-3.471717E-3</v>
      </c>
      <c r="O3679">
        <v>4.4837040000000002E-2</v>
      </c>
      <c r="P3679">
        <v>-0.97474769999999999</v>
      </c>
      <c r="Q3679">
        <v>0.19131429999999999</v>
      </c>
      <c r="R3679">
        <v>0.11517860000000001</v>
      </c>
      <c r="S3679">
        <v>-3.0526279999999999</v>
      </c>
      <c r="T3679">
        <v>-9.0125440000000001E-2</v>
      </c>
      <c r="U3679">
        <v>0.35708620000000002</v>
      </c>
      <c r="V3679">
        <v>7.2116100000000002E-2</v>
      </c>
      <c r="W3679">
        <v>0.1944322</v>
      </c>
      <c r="X3679">
        <v>0.97826139999999995</v>
      </c>
      <c r="Y3679">
        <v>7.1514579999999994E-2</v>
      </c>
      <c r="Z3679" s="1">
        <v>1.392711E-5</v>
      </c>
      <c r="AA3679">
        <v>0.99743959999999998</v>
      </c>
      <c r="AB3679">
        <v>31</v>
      </c>
      <c r="AC3679">
        <v>-37.610700000000001</v>
      </c>
      <c r="AD3679">
        <v>-1.118362744863</v>
      </c>
      <c r="AE3679">
        <v>4.4179000000000004</v>
      </c>
      <c r="AF3679">
        <v>2.72471797213489</v>
      </c>
      <c r="AG3679">
        <v>-1.118362744863</v>
      </c>
      <c r="AH3679">
        <v>37.738048506768898</v>
      </c>
      <c r="AI3679">
        <v>91.693052467479802</v>
      </c>
      <c r="AJ3679">
        <v>85.870363776238705</v>
      </c>
      <c r="AK3679">
        <v>37.852808724796297</v>
      </c>
      <c r="AL3679">
        <v>78.788443667992695</v>
      </c>
      <c r="AM3679">
        <v>85.783859469552098</v>
      </c>
      <c r="AN3679">
        <v>0.99999998950300495</v>
      </c>
    </row>
    <row r="3680" spans="1:40" x14ac:dyDescent="0.25">
      <c r="A3680" t="str">
        <f>"20190303170611868"</f>
        <v>20190303170611868</v>
      </c>
      <c r="B3680" t="str">
        <f>"1551603971858154"</f>
        <v>1551603971858154</v>
      </c>
      <c r="C3680" t="s">
        <v>40</v>
      </c>
      <c r="D3680">
        <v>5.6725589999999997</v>
      </c>
      <c r="E3680">
        <v>0.50546250000000004</v>
      </c>
      <c r="F3680" t="s">
        <v>41</v>
      </c>
      <c r="G3680">
        <v>-262.36939999999998</v>
      </c>
      <c r="H3680" s="1">
        <v>-4.4804180000000004E-6</v>
      </c>
      <c r="I3680">
        <v>145.31399999999999</v>
      </c>
      <c r="J3680">
        <v>-224.29759999999999</v>
      </c>
      <c r="K3680">
        <v>1.1183339999999999</v>
      </c>
      <c r="L3680">
        <v>140.8184</v>
      </c>
      <c r="M3680">
        <v>-0.99888469999999996</v>
      </c>
      <c r="N3680">
        <v>-3.394116E-3</v>
      </c>
      <c r="O3680">
        <v>4.7093780000000002E-2</v>
      </c>
      <c r="P3680">
        <v>-0.97460659999999999</v>
      </c>
      <c r="Q3680">
        <v>0.1910461</v>
      </c>
      <c r="R3680">
        <v>0.11680450000000001</v>
      </c>
      <c r="S3680">
        <v>-3.0528110000000002</v>
      </c>
      <c r="T3680">
        <v>-8.8822360000000003E-2</v>
      </c>
      <c r="U3680">
        <v>0.35853580000000002</v>
      </c>
      <c r="V3680">
        <v>7.1535550000000003E-2</v>
      </c>
      <c r="W3680">
        <v>0.19408980000000001</v>
      </c>
      <c r="X3680">
        <v>0.97837200000000002</v>
      </c>
      <c r="Y3680">
        <v>6.9723599999999997E-2</v>
      </c>
      <c r="Z3680" s="1">
        <v>-7.5103249999999898E-5</v>
      </c>
      <c r="AA3680">
        <v>0.99756630000000002</v>
      </c>
      <c r="AB3680">
        <v>31</v>
      </c>
      <c r="AC3680">
        <v>-38.071800000000003</v>
      </c>
      <c r="AD3680">
        <v>-1.1183384804180001</v>
      </c>
      <c r="AE3680">
        <v>4.4955999999999898</v>
      </c>
      <c r="AF3680">
        <v>2.69536290357527</v>
      </c>
      <c r="AG3680">
        <v>-1.1183384804180001</v>
      </c>
      <c r="AH3680">
        <v>38.208758431120799</v>
      </c>
      <c r="AI3680">
        <v>91.672367434007398</v>
      </c>
      <c r="AJ3680">
        <v>85.964864661576101</v>
      </c>
      <c r="AK3680">
        <v>38.3200323980356</v>
      </c>
      <c r="AL3680">
        <v>78.808442595994904</v>
      </c>
      <c r="AM3680">
        <v>85.818150491342493</v>
      </c>
      <c r="AN3680">
        <v>0.99999997788092099</v>
      </c>
    </row>
    <row r="3681" spans="1:40" x14ac:dyDescent="0.25">
      <c r="A3681" t="str">
        <f>"20190303170611909"</f>
        <v>20190303170611909</v>
      </c>
      <c r="B3681" t="str">
        <f>"1551603971898170"</f>
        <v>1551603971898170</v>
      </c>
      <c r="C3681" t="s">
        <v>40</v>
      </c>
      <c r="D3681">
        <v>5.6837309999999999</v>
      </c>
      <c r="E3681">
        <v>0.50518750000000001</v>
      </c>
      <c r="F3681" t="s">
        <v>41</v>
      </c>
      <c r="G3681">
        <v>-263.83080000000001</v>
      </c>
      <c r="H3681" s="1">
        <v>-4.0160869999999998E-6</v>
      </c>
      <c r="I3681">
        <v>145.5</v>
      </c>
      <c r="J3681">
        <v>-224.89259999999999</v>
      </c>
      <c r="K3681">
        <v>1.1183289999999999</v>
      </c>
      <c r="L3681">
        <v>140.8503</v>
      </c>
      <c r="M3681">
        <v>-0.9987123</v>
      </c>
      <c r="N3681">
        <v>-3.2936660000000002E-3</v>
      </c>
      <c r="O3681">
        <v>5.0626600000000001E-2</v>
      </c>
      <c r="P3681">
        <v>-0.97507849999999996</v>
      </c>
      <c r="Q3681">
        <v>0.18711079999999999</v>
      </c>
      <c r="R3681">
        <v>0.11921229999999999</v>
      </c>
      <c r="S3681">
        <v>-3.0517880000000002</v>
      </c>
      <c r="T3681">
        <v>-8.6330889999999993E-2</v>
      </c>
      <c r="U3681">
        <v>0.36140440000000001</v>
      </c>
      <c r="V3681">
        <v>7.0424020000000004E-2</v>
      </c>
      <c r="W3681">
        <v>0.19006819999999999</v>
      </c>
      <c r="X3681">
        <v>0.97924180000000005</v>
      </c>
      <c r="Y3681">
        <v>6.7161659999999998E-2</v>
      </c>
      <c r="Z3681">
        <v>-2.0157559999999999E-4</v>
      </c>
      <c r="AA3681">
        <v>0.99774209999999997</v>
      </c>
      <c r="AB3681">
        <v>32</v>
      </c>
      <c r="AC3681">
        <v>-38.938200000000002</v>
      </c>
      <c r="AD3681">
        <v>-1.118333016087</v>
      </c>
      <c r="AE3681">
        <v>4.6496999999999904</v>
      </c>
      <c r="AF3681">
        <v>2.6702465228408001</v>
      </c>
      <c r="AG3681">
        <v>-1.118333016087</v>
      </c>
      <c r="AH3681">
        <v>39.091874136498298</v>
      </c>
      <c r="AI3681">
        <v>91.634852533946599</v>
      </c>
      <c r="AJ3681">
        <v>86.092370215223895</v>
      </c>
      <c r="AK3681">
        <v>39.198922290433501</v>
      </c>
      <c r="AL3681">
        <v>79.043235513591796</v>
      </c>
      <c r="AM3681">
        <v>85.886547898524299</v>
      </c>
      <c r="AN3681">
        <v>0.99999998305572002</v>
      </c>
    </row>
    <row r="3682" spans="1:40" x14ac:dyDescent="0.25">
      <c r="A3682" t="str">
        <f>"20190303170611931"</f>
        <v>20190303170611931</v>
      </c>
      <c r="B3682" t="str">
        <f>"1551603971918666"</f>
        <v>1551603971918666</v>
      </c>
      <c r="C3682" t="s">
        <v>40</v>
      </c>
      <c r="D3682">
        <v>5.6622750000000002</v>
      </c>
      <c r="E3682">
        <v>0.50505699999999998</v>
      </c>
      <c r="F3682" t="s">
        <v>41</v>
      </c>
      <c r="G3682">
        <v>-260.56670000000003</v>
      </c>
      <c r="H3682" s="1">
        <v>-5.0602670000000002E-6</v>
      </c>
      <c r="I3682">
        <v>145.12459999999999</v>
      </c>
      <c r="J3682">
        <v>-225.19839999999999</v>
      </c>
      <c r="K3682">
        <v>1.1183379999999901</v>
      </c>
      <c r="L3682">
        <v>140.86750000000001</v>
      </c>
      <c r="M3682">
        <v>-0.9986237</v>
      </c>
      <c r="N3682">
        <v>-3.2525750000000002E-3</v>
      </c>
      <c r="O3682">
        <v>5.2347459999999998E-2</v>
      </c>
      <c r="P3682">
        <v>-0.97532249999999998</v>
      </c>
      <c r="Q3682">
        <v>0.18503030000000001</v>
      </c>
      <c r="R3682">
        <v>0.12045690000000001</v>
      </c>
      <c r="S3682">
        <v>-3.0503390000000001</v>
      </c>
      <c r="T3682">
        <v>-9.5623970000000003E-2</v>
      </c>
      <c r="U3682">
        <v>0.36547849999999998</v>
      </c>
      <c r="V3682">
        <v>6.9942489999999996E-2</v>
      </c>
      <c r="W3682">
        <v>0.18795690000000001</v>
      </c>
      <c r="X3682">
        <v>0.97968379999999999</v>
      </c>
      <c r="Y3682">
        <v>6.6810359999999999E-2</v>
      </c>
      <c r="Z3682">
        <v>-3.1083700000000001E-4</v>
      </c>
      <c r="AA3682">
        <v>0.99776569999999998</v>
      </c>
      <c r="AB3682">
        <v>32</v>
      </c>
      <c r="AC3682">
        <v>-35.368299999999998</v>
      </c>
      <c r="AD3682">
        <v>-1.1183430602669999</v>
      </c>
      <c r="AE3682">
        <v>4.2570999999999799</v>
      </c>
      <c r="AF3682">
        <v>2.3974500352588999</v>
      </c>
      <c r="AG3682">
        <v>-1.1183430602669999</v>
      </c>
      <c r="AH3682">
        <v>35.507662401217097</v>
      </c>
      <c r="AI3682">
        <v>91.799886063524596</v>
      </c>
      <c r="AJ3682">
        <v>86.137295773805505</v>
      </c>
      <c r="AK3682">
        <v>35.606074581043302</v>
      </c>
      <c r="AL3682">
        <v>79.166425358326293</v>
      </c>
      <c r="AM3682">
        <v>85.916415367320397</v>
      </c>
      <c r="AN3682">
        <v>1.0000000480737199</v>
      </c>
    </row>
    <row r="3683" spans="1:40" x14ac:dyDescent="0.25">
      <c r="A3683" t="str">
        <f>"20190303170611953"</f>
        <v>20190303170611953</v>
      </c>
      <c r="B3683" t="str">
        <f>"1551603971938186"</f>
        <v>1551603971938186</v>
      </c>
      <c r="C3683" t="s">
        <v>40</v>
      </c>
      <c r="D3683">
        <v>5.7441089999999999</v>
      </c>
      <c r="E3683">
        <v>0.50497099999999995</v>
      </c>
      <c r="F3683" t="s">
        <v>41</v>
      </c>
      <c r="G3683">
        <v>-259.03609999999998</v>
      </c>
      <c r="H3683" s="1">
        <v>-1.8146280000000001E-6</v>
      </c>
      <c r="I3683">
        <v>144.9486</v>
      </c>
      <c r="J3683">
        <v>-225.51840000000001</v>
      </c>
      <c r="K3683">
        <v>1.1183689999999999</v>
      </c>
      <c r="L3683">
        <v>140.88579999999999</v>
      </c>
      <c r="M3683">
        <v>-0.99853329999999996</v>
      </c>
      <c r="N3683">
        <v>-3.2158730000000002E-3</v>
      </c>
      <c r="O3683">
        <v>5.4046799999999999E-2</v>
      </c>
      <c r="P3683">
        <v>-0.97553970000000001</v>
      </c>
      <c r="Q3683">
        <v>0.18353539999999999</v>
      </c>
      <c r="R3683">
        <v>0.1209838</v>
      </c>
      <c r="S3683">
        <v>-3.0495760000000001</v>
      </c>
      <c r="T3683">
        <v>-0.1007888</v>
      </c>
      <c r="U3683">
        <v>0.3678131</v>
      </c>
      <c r="V3683">
        <v>6.8758699999999895E-2</v>
      </c>
      <c r="W3683">
        <v>0.18643960000000001</v>
      </c>
      <c r="X3683">
        <v>0.98005739999999997</v>
      </c>
      <c r="Y3683">
        <v>6.5894969999999997E-2</v>
      </c>
      <c r="Z3683">
        <v>-4.128243E-4</v>
      </c>
      <c r="AA3683">
        <v>0.99782649999999995</v>
      </c>
      <c r="AB3683">
        <v>32</v>
      </c>
      <c r="AC3683">
        <v>-33.517699999999898</v>
      </c>
      <c r="AD3683">
        <v>-1.118370814628</v>
      </c>
      <c r="AE3683">
        <v>4.06280000000001</v>
      </c>
      <c r="AF3683">
        <v>2.2428672150773599</v>
      </c>
      <c r="AG3683">
        <v>-1.118370814628</v>
      </c>
      <c r="AH3683">
        <v>33.651370079383597</v>
      </c>
      <c r="AI3683">
        <v>91.899258652783899</v>
      </c>
      <c r="AJ3683">
        <v>86.186870108942202</v>
      </c>
      <c r="AK3683">
        <v>33.7445686717599</v>
      </c>
      <c r="AL3683">
        <v>79.254924154048396</v>
      </c>
      <c r="AM3683">
        <v>85.986828286748604</v>
      </c>
      <c r="AN3683">
        <v>0.99999999528430406</v>
      </c>
    </row>
    <row r="3684" spans="1:40" x14ac:dyDescent="0.25">
      <c r="A3684" t="str">
        <f>"20190303170611977"</f>
        <v>20190303170611977</v>
      </c>
      <c r="B3684" t="str">
        <f>"1551603971968442"</f>
        <v>1551603971968442</v>
      </c>
      <c r="C3684" t="s">
        <v>40</v>
      </c>
      <c r="D3684">
        <v>5.6645450000000004</v>
      </c>
      <c r="E3684">
        <v>0.50485179999999996</v>
      </c>
      <c r="F3684" t="s">
        <v>41</v>
      </c>
      <c r="G3684">
        <v>-257.5566</v>
      </c>
      <c r="H3684" s="1">
        <v>-2.3978900000000001E-6</v>
      </c>
      <c r="I3684">
        <v>144.7552</v>
      </c>
      <c r="J3684">
        <v>-225.8544</v>
      </c>
      <c r="K3684">
        <v>1.1184320000000001</v>
      </c>
      <c r="L3684">
        <v>140.90559999999999</v>
      </c>
      <c r="M3684">
        <v>-0.99844270000000002</v>
      </c>
      <c r="N3684">
        <v>-3.183455E-3</v>
      </c>
      <c r="O3684">
        <v>5.569756E-2</v>
      </c>
      <c r="P3684">
        <v>-0.97568049999999995</v>
      </c>
      <c r="Q3684">
        <v>0.18299589999999999</v>
      </c>
      <c r="R3684">
        <v>0.1206665</v>
      </c>
      <c r="S3684">
        <v>-3.0495760000000001</v>
      </c>
      <c r="T3684">
        <v>-0.1064532</v>
      </c>
      <c r="U3684">
        <v>0.3683167</v>
      </c>
      <c r="V3684">
        <v>6.6776589999999997E-2</v>
      </c>
      <c r="W3684">
        <v>0.18588869999999999</v>
      </c>
      <c r="X3684">
        <v>0.98029909999999998</v>
      </c>
      <c r="Y3684">
        <v>6.4408229999999997E-2</v>
      </c>
      <c r="Z3684">
        <v>-5.3474709999999995E-4</v>
      </c>
      <c r="AA3684">
        <v>0.99792349999999996</v>
      </c>
      <c r="AB3684">
        <v>32</v>
      </c>
      <c r="AC3684">
        <v>-31.702200000000001</v>
      </c>
      <c r="AD3684">
        <v>-1.11843439788999</v>
      </c>
      <c r="AE3684">
        <v>3.8496000000000001</v>
      </c>
      <c r="AF3684">
        <v>2.07533467425782</v>
      </c>
      <c r="AG3684">
        <v>-1.11843439788999</v>
      </c>
      <c r="AH3684">
        <v>31.828363063878601</v>
      </c>
      <c r="AI3684">
        <v>92.008258833891503</v>
      </c>
      <c r="AJ3684">
        <v>86.269370442578307</v>
      </c>
      <c r="AK3684">
        <v>31.915554277477799</v>
      </c>
      <c r="AL3684">
        <v>79.287050309647498</v>
      </c>
      <c r="AM3684">
        <v>86.103112361591698</v>
      </c>
      <c r="AN3684">
        <v>1.00000002361026</v>
      </c>
    </row>
    <row r="3685" spans="1:40" x14ac:dyDescent="0.25">
      <c r="A3685" t="str">
        <f>"20190303170611999"</f>
        <v>20190303170611999</v>
      </c>
      <c r="B3685" t="str">
        <f>"1551603971988938"</f>
        <v>1551603971988938</v>
      </c>
      <c r="C3685" t="s">
        <v>40</v>
      </c>
      <c r="D3685">
        <v>5.6854209999999998</v>
      </c>
      <c r="E3685">
        <v>0.46219159999999998</v>
      </c>
      <c r="F3685" t="s">
        <v>41</v>
      </c>
      <c r="G3685">
        <v>-257.45530000000002</v>
      </c>
      <c r="H3685" s="1">
        <v>-2.4265719999999998E-6</v>
      </c>
      <c r="I3685">
        <v>144.6996</v>
      </c>
      <c r="J3685">
        <v>-226.18350000000001</v>
      </c>
      <c r="K3685">
        <v>1.118509</v>
      </c>
      <c r="L3685">
        <v>140.92529999999999</v>
      </c>
      <c r="M3685">
        <v>-0.99836000000000003</v>
      </c>
      <c r="N3685">
        <v>-3.1570650000000001E-3</v>
      </c>
      <c r="O3685">
        <v>5.7160490000000001E-2</v>
      </c>
      <c r="P3685">
        <v>-0.97576339999999995</v>
      </c>
      <c r="Q3685">
        <v>0.18251909999999999</v>
      </c>
      <c r="R3685">
        <v>0.1207158</v>
      </c>
      <c r="S3685">
        <v>-3.049744</v>
      </c>
      <c r="T3685">
        <v>-0.1079384</v>
      </c>
      <c r="U3685">
        <v>0.36616520000000002</v>
      </c>
      <c r="V3685">
        <v>6.5339739999999993E-2</v>
      </c>
      <c r="W3685">
        <v>0.18540609999999999</v>
      </c>
      <c r="X3685">
        <v>0.98048729999999995</v>
      </c>
      <c r="Y3685">
        <v>6.224739E-2</v>
      </c>
      <c r="Z3685">
        <v>-6.367489E-4</v>
      </c>
      <c r="AA3685">
        <v>0.99806050000000002</v>
      </c>
      <c r="AB3685">
        <v>32</v>
      </c>
      <c r="AC3685">
        <v>-31.271799999999999</v>
      </c>
      <c r="AD3685">
        <v>-1.118511426572</v>
      </c>
      <c r="AE3685">
        <v>3.77430000000001</v>
      </c>
      <c r="AF3685">
        <v>1.9781143453885699</v>
      </c>
      <c r="AG3685">
        <v>-1.118511426572</v>
      </c>
      <c r="AH3685">
        <v>31.396822583883001</v>
      </c>
      <c r="AI3685">
        <v>92.036264582493104</v>
      </c>
      <c r="AJ3685">
        <v>86.394921931242706</v>
      </c>
      <c r="AK3685">
        <v>31.478952850096999</v>
      </c>
      <c r="AL3685">
        <v>79.315190437902601</v>
      </c>
      <c r="AM3685">
        <v>86.187442436483195</v>
      </c>
      <c r="AN3685">
        <v>1.00000002450088</v>
      </c>
    </row>
    <row r="3686" spans="1:40" x14ac:dyDescent="0.25">
      <c r="A3686" t="str">
        <f>"20190303170612020"</f>
        <v>20190303170612020</v>
      </c>
      <c r="B3686" t="str">
        <f>"1551603972008458"</f>
        <v>1551603972008458</v>
      </c>
      <c r="C3686" t="s">
        <v>40</v>
      </c>
      <c r="D3686">
        <v>5.6200839999999896</v>
      </c>
      <c r="E3686">
        <v>0.45120090000000002</v>
      </c>
      <c r="F3686" t="s">
        <v>84</v>
      </c>
      <c r="G3686">
        <v>-295.72430000000003</v>
      </c>
      <c r="H3686" s="1">
        <v>-8.9468009999999999E-6</v>
      </c>
      <c r="I3686">
        <v>141.6054</v>
      </c>
      <c r="J3686">
        <v>-226.4846</v>
      </c>
      <c r="K3686">
        <v>1.1186049999999901</v>
      </c>
      <c r="L3686">
        <v>140.94370000000001</v>
      </c>
      <c r="M3686">
        <v>-0.9982917</v>
      </c>
      <c r="N3686">
        <v>-3.1370949999999999E-3</v>
      </c>
      <c r="O3686">
        <v>5.8341829999999997E-2</v>
      </c>
      <c r="P3686">
        <v>-0.97590080000000001</v>
      </c>
      <c r="Q3686">
        <v>0.18284249999999999</v>
      </c>
      <c r="R3686">
        <v>0.119107199999999</v>
      </c>
      <c r="S3686">
        <v>-3.080063</v>
      </c>
      <c r="T3686">
        <v>-4.9540760000000003E-2</v>
      </c>
      <c r="U3686">
        <v>3.0120850000000001E-2</v>
      </c>
      <c r="V3686">
        <v>6.2519690000000003E-2</v>
      </c>
      <c r="W3686">
        <v>0.18573500000000001</v>
      </c>
      <c r="X3686">
        <v>0.98060890000000001</v>
      </c>
      <c r="Y3686">
        <v>-4.856477E-2</v>
      </c>
      <c r="Z3686">
        <v>-1.2214540000000001E-3</v>
      </c>
      <c r="AA3686">
        <v>0.99881929999999997</v>
      </c>
      <c r="AB3686">
        <v>32</v>
      </c>
      <c r="AC3686">
        <v>-69.239699999999999</v>
      </c>
      <c r="AD3686">
        <v>-1.1186139468009999</v>
      </c>
      <c r="AE3686">
        <v>0.66169999999999596</v>
      </c>
      <c r="AF3686">
        <v>-3.3781363036607299</v>
      </c>
      <c r="AG3686">
        <v>-1.1186139468009999</v>
      </c>
      <c r="AH3686">
        <v>69.142320492784904</v>
      </c>
      <c r="AI3686">
        <v>90.925770601578705</v>
      </c>
      <c r="AJ3686">
        <v>92.797117062903993</v>
      </c>
      <c r="AK3686">
        <v>69.233832662760193</v>
      </c>
      <c r="AL3686">
        <v>79.296012582856207</v>
      </c>
      <c r="AM3686">
        <v>86.351988423529093</v>
      </c>
      <c r="AN3686">
        <v>1.0000000083109499</v>
      </c>
    </row>
    <row r="3687" spans="1:40" x14ac:dyDescent="0.25">
      <c r="A3687" t="str">
        <f>"20190303170612041"</f>
        <v>20190303170612041</v>
      </c>
      <c r="B3687" t="str">
        <f>"1551603972038713"</f>
        <v>1551603972038713</v>
      </c>
      <c r="C3687" t="s">
        <v>40</v>
      </c>
      <c r="D3687">
        <v>5.489744</v>
      </c>
      <c r="E3687">
        <v>0.38413940000000002</v>
      </c>
      <c r="F3687" t="s">
        <v>41</v>
      </c>
      <c r="G3687">
        <v>-357.221</v>
      </c>
      <c r="H3687" s="1">
        <v>-1.403594E-6</v>
      </c>
      <c r="I3687">
        <v>138.32480000000001</v>
      </c>
      <c r="J3687">
        <v>-226.79429999999999</v>
      </c>
      <c r="K3687">
        <v>1.1187199999999999</v>
      </c>
      <c r="L3687">
        <v>140.96279999999999</v>
      </c>
      <c r="M3687">
        <v>-0.99823019999999996</v>
      </c>
      <c r="N3687">
        <v>-3.1203089999999999E-3</v>
      </c>
      <c r="O3687">
        <v>5.9386689999999999E-2</v>
      </c>
      <c r="P3687">
        <v>-0.97610160000000001</v>
      </c>
      <c r="Q3687">
        <v>0.183286</v>
      </c>
      <c r="R3687">
        <v>0.1167557</v>
      </c>
      <c r="S3687">
        <v>-3.0865779999999998</v>
      </c>
      <c r="T3687">
        <v>-2.6409390000000001E-2</v>
      </c>
      <c r="U3687">
        <v>-6.1828609999999999E-2</v>
      </c>
      <c r="V3687">
        <v>5.9079479999999997E-2</v>
      </c>
      <c r="W3687">
        <v>0.18619050000000001</v>
      </c>
      <c r="X3687">
        <v>0.98073580000000005</v>
      </c>
      <c r="Y3687">
        <v>-7.9362310000000005E-2</v>
      </c>
      <c r="Z3687">
        <v>-7.8588979999999996E-4</v>
      </c>
      <c r="AA3687">
        <v>0.99684550000000005</v>
      </c>
      <c r="AB3687">
        <v>32</v>
      </c>
      <c r="AC3687">
        <v>-130.42670000000001</v>
      </c>
      <c r="AD3687">
        <v>-1.1187214035940001</v>
      </c>
      <c r="AE3687">
        <v>-2.6379999999999701</v>
      </c>
      <c r="AF3687">
        <v>-10.3782283168054</v>
      </c>
      <c r="AG3687">
        <v>-1.1187214035940001</v>
      </c>
      <c r="AH3687">
        <v>130.030276069959</v>
      </c>
      <c r="AI3687">
        <v>90.491372163067197</v>
      </c>
      <c r="AJ3687">
        <v>94.563328296686194</v>
      </c>
      <c r="AK3687">
        <v>130.44857935372201</v>
      </c>
      <c r="AL3687">
        <v>79.269450928332105</v>
      </c>
      <c r="AM3687">
        <v>86.552670769000301</v>
      </c>
      <c r="AN3687">
        <v>0.99999999832448005</v>
      </c>
    </row>
    <row r="3688" spans="1:40" x14ac:dyDescent="0.25">
      <c r="A3688" t="str">
        <f>"20190303170612068"</f>
        <v>20190303170612068</v>
      </c>
      <c r="B3688" t="str">
        <f>"1551603972058234"</f>
        <v>1551603972058234</v>
      </c>
      <c r="C3688" t="s">
        <v>40</v>
      </c>
      <c r="D3688">
        <v>5.537096</v>
      </c>
      <c r="E3688">
        <v>0.38064419999999999</v>
      </c>
      <c r="F3688" t="s">
        <v>90</v>
      </c>
      <c r="G3688">
        <v>-330.08859999999999</v>
      </c>
      <c r="H3688">
        <v>5.0123819999999997</v>
      </c>
      <c r="I3688">
        <v>121.29559999999999</v>
      </c>
      <c r="J3688">
        <v>-227.18510000000001</v>
      </c>
      <c r="K3688">
        <v>1.118886</v>
      </c>
      <c r="L3688">
        <v>140.9871</v>
      </c>
      <c r="M3688">
        <v>-0.99816760000000004</v>
      </c>
      <c r="N3688">
        <v>-3.1041739999999999E-3</v>
      </c>
      <c r="O3688">
        <v>6.043051E-2</v>
      </c>
      <c r="P3688">
        <v>-0.97643049999999998</v>
      </c>
      <c r="Q3688">
        <v>0.1839404</v>
      </c>
      <c r="R3688">
        <v>0.112913899999999</v>
      </c>
      <c r="S3688">
        <v>-3.122452</v>
      </c>
      <c r="T3688">
        <v>0.11770029999999999</v>
      </c>
      <c r="U3688">
        <v>-0.59451290000000001</v>
      </c>
      <c r="V3688">
        <v>5.4122400000000001E-2</v>
      </c>
      <c r="W3688">
        <v>0.18686459999999999</v>
      </c>
      <c r="X3688">
        <v>0.98089369999999998</v>
      </c>
      <c r="Y3688">
        <v>-0.24585850000000001</v>
      </c>
      <c r="Z3688">
        <v>6.6505660000000001E-3</v>
      </c>
      <c r="AA3688">
        <v>0.96928289999999995</v>
      </c>
      <c r="AB3688">
        <v>33</v>
      </c>
      <c r="AC3688">
        <v>-102.903499999999</v>
      </c>
      <c r="AD3688">
        <v>3.8934959999999998</v>
      </c>
      <c r="AE3688">
        <v>-19.691500000000001</v>
      </c>
      <c r="AF3688">
        <v>-25.838369087832501</v>
      </c>
      <c r="AG3688">
        <v>3.8934959999999998</v>
      </c>
      <c r="AH3688">
        <v>101.38544390451599</v>
      </c>
      <c r="AI3688">
        <v>87.868811819267705</v>
      </c>
      <c r="AJ3688">
        <v>104.297635124989</v>
      </c>
      <c r="AK3688">
        <v>104.698561900041</v>
      </c>
      <c r="AL3688">
        <v>79.230138252919105</v>
      </c>
      <c r="AM3688">
        <v>86.841814875663204</v>
      </c>
      <c r="AN3688">
        <v>1.0000000318072999</v>
      </c>
    </row>
    <row r="3689" spans="1:40" x14ac:dyDescent="0.25">
      <c r="A3689" t="str">
        <f>"20190303170612090"</f>
        <v>20190303170612090</v>
      </c>
      <c r="B3689" t="str">
        <f>"1551603972078730"</f>
        <v>1551603972078730</v>
      </c>
      <c r="C3689" t="s">
        <v>40</v>
      </c>
      <c r="D3689">
        <v>5.5206489999999997</v>
      </c>
      <c r="E3689">
        <v>0.37890699999999999</v>
      </c>
      <c r="F3689" t="s">
        <v>90</v>
      </c>
      <c r="G3689">
        <v>-326.17680000000001</v>
      </c>
      <c r="H3689">
        <v>5.0122049999999998</v>
      </c>
      <c r="I3689">
        <v>120.88209999999999</v>
      </c>
      <c r="J3689">
        <v>-227.499</v>
      </c>
      <c r="K3689">
        <v>1.1190290000000001</v>
      </c>
      <c r="L3689">
        <v>141.0068</v>
      </c>
      <c r="M3689">
        <v>-0.99812889999999999</v>
      </c>
      <c r="N3689">
        <v>-3.0946480000000002E-3</v>
      </c>
      <c r="O3689">
        <v>6.1067669999999998E-2</v>
      </c>
      <c r="P3689">
        <v>-0.97701800000000005</v>
      </c>
      <c r="Q3689">
        <v>0.18357470000000001</v>
      </c>
      <c r="R3689">
        <v>0.10833479999999999</v>
      </c>
      <c r="S3689">
        <v>-3.1226349999999998</v>
      </c>
      <c r="T3689">
        <v>0.1228125</v>
      </c>
      <c r="U3689">
        <v>-0.63420100000000001</v>
      </c>
      <c r="V3689">
        <v>4.8823829999999999E-2</v>
      </c>
      <c r="W3689">
        <v>0.1865193</v>
      </c>
      <c r="X3689">
        <v>0.98123740000000004</v>
      </c>
      <c r="Y3689">
        <v>-0.2582796</v>
      </c>
      <c r="Z3689">
        <v>7.1879709999999996E-3</v>
      </c>
      <c r="AA3689">
        <v>0.96604350000000005</v>
      </c>
      <c r="AB3689">
        <v>33</v>
      </c>
      <c r="AC3689">
        <v>-98.677800000000005</v>
      </c>
      <c r="AD3689">
        <v>3.893176</v>
      </c>
      <c r="AE3689">
        <v>-20.124700000000001</v>
      </c>
      <c r="AF3689">
        <v>-26.074225532847599</v>
      </c>
      <c r="AG3689">
        <v>3.893176</v>
      </c>
      <c r="AH3689">
        <v>97.119517624586805</v>
      </c>
      <c r="AI3689">
        <v>87.782876534721495</v>
      </c>
      <c r="AJ3689">
        <v>105.028139450685</v>
      </c>
      <c r="AK3689">
        <v>100.634103365296</v>
      </c>
      <c r="AL3689">
        <v>79.250276476726299</v>
      </c>
      <c r="AM3689">
        <v>87.151459757031006</v>
      </c>
      <c r="AN3689">
        <v>1.0000000254035499</v>
      </c>
    </row>
    <row r="3690" spans="1:40" x14ac:dyDescent="0.25">
      <c r="A3690" t="str">
        <f>"20190303170612109"</f>
        <v>20190303170612109</v>
      </c>
      <c r="B3690" t="str">
        <f>"1551603972098249"</f>
        <v>1551603972098249</v>
      </c>
      <c r="C3690" t="s">
        <v>40</v>
      </c>
      <c r="D3690">
        <v>5.5114390000000002</v>
      </c>
      <c r="E3690">
        <v>0.37835730000000001</v>
      </c>
      <c r="F3690" t="s">
        <v>90</v>
      </c>
      <c r="G3690">
        <v>-325.26710000000003</v>
      </c>
      <c r="H3690">
        <v>5.056705</v>
      </c>
      <c r="I3690">
        <v>120.2354</v>
      </c>
      <c r="J3690">
        <v>-227.80760000000001</v>
      </c>
      <c r="K3690">
        <v>1.119151</v>
      </c>
      <c r="L3690">
        <v>141.02610000000001</v>
      </c>
      <c r="M3690">
        <v>-0.99809979999999998</v>
      </c>
      <c r="N3690">
        <v>-3.087748E-3</v>
      </c>
      <c r="O3690">
        <v>6.1540999999999998E-2</v>
      </c>
      <c r="P3690">
        <v>-0.97734520000000003</v>
      </c>
      <c r="Q3690">
        <v>0.1840717</v>
      </c>
      <c r="R3690">
        <v>0.1044707</v>
      </c>
      <c r="S3690">
        <v>-3.1204830000000001</v>
      </c>
      <c r="T3690">
        <v>0.1256795</v>
      </c>
      <c r="U3690">
        <v>-0.66296390000000005</v>
      </c>
      <c r="V3690">
        <v>4.4422280000000001E-2</v>
      </c>
      <c r="W3690">
        <v>0.1870327</v>
      </c>
      <c r="X3690">
        <v>0.98134880000000002</v>
      </c>
      <c r="Y3690">
        <v>-0.26737379999999999</v>
      </c>
      <c r="Z3690">
        <v>7.5460419999999898E-3</v>
      </c>
      <c r="AA3690">
        <v>0.96356330000000001</v>
      </c>
      <c r="AB3690">
        <v>33</v>
      </c>
      <c r="AC3690">
        <v>-97.459500000000006</v>
      </c>
      <c r="AD3690">
        <v>3.937554</v>
      </c>
      <c r="AE3690">
        <v>-20.790700000000001</v>
      </c>
      <c r="AF3690">
        <v>-26.707378233428699</v>
      </c>
      <c r="AG3690">
        <v>3.937554</v>
      </c>
      <c r="AH3690">
        <v>95.845642049950001</v>
      </c>
      <c r="AI3690">
        <v>87.733727119271293</v>
      </c>
      <c r="AJ3690">
        <v>105.570489854519</v>
      </c>
      <c r="AK3690">
        <v>99.574974183142402</v>
      </c>
      <c r="AL3690">
        <v>79.220333835625695</v>
      </c>
      <c r="AM3690">
        <v>87.4081867070513</v>
      </c>
      <c r="AN3690">
        <v>1.00000001854556</v>
      </c>
    </row>
    <row r="3691" spans="1:40" x14ac:dyDescent="0.25">
      <c r="A3691" t="str">
        <f>"20190303170612132"</f>
        <v>20190303170612132</v>
      </c>
      <c r="B3691" t="str">
        <f>"1551603972128506"</f>
        <v>1551603972128506</v>
      </c>
      <c r="C3691" t="s">
        <v>40</v>
      </c>
      <c r="D3691">
        <v>5.5151539999999999</v>
      </c>
      <c r="E3691">
        <v>0.37822090000000003</v>
      </c>
      <c r="F3691" t="s">
        <v>90</v>
      </c>
      <c r="G3691">
        <v>-324.79419999999999</v>
      </c>
      <c r="H3691">
        <v>5.0230959999999998</v>
      </c>
      <c r="I3691">
        <v>119.85809999999999</v>
      </c>
      <c r="J3691">
        <v>-228.13329999999999</v>
      </c>
      <c r="K3691">
        <v>1.119283</v>
      </c>
      <c r="L3691">
        <v>141.04660000000001</v>
      </c>
      <c r="M3691">
        <v>-0.99807860000000004</v>
      </c>
      <c r="N3691">
        <v>-3.0828209999999999E-3</v>
      </c>
      <c r="O3691">
        <v>6.1883510000000003E-2</v>
      </c>
      <c r="P3691">
        <v>-0.97746379999999999</v>
      </c>
      <c r="Q3691">
        <v>0.18542700000000001</v>
      </c>
      <c r="R3691">
        <v>0.1009026</v>
      </c>
      <c r="S3691">
        <v>-3.1186370000000001</v>
      </c>
      <c r="T3691">
        <v>0.12553300000000001</v>
      </c>
      <c r="U3691">
        <v>-0.68066409999999999</v>
      </c>
      <c r="V3691">
        <v>4.0458910000000001E-2</v>
      </c>
      <c r="W3691">
        <v>0.18840170000000001</v>
      </c>
      <c r="X3691">
        <v>0.98125830000000003</v>
      </c>
      <c r="Y3691">
        <v>-0.27303830000000001</v>
      </c>
      <c r="Z3691">
        <v>7.6554880000000002E-3</v>
      </c>
      <c r="AA3691">
        <v>0.96197270000000001</v>
      </c>
      <c r="AB3691">
        <v>33</v>
      </c>
      <c r="AC3691">
        <v>-96.660899999999998</v>
      </c>
      <c r="AD3691">
        <v>3.903813</v>
      </c>
      <c r="AE3691">
        <v>-21.188500000000001</v>
      </c>
      <c r="AF3691">
        <v>-27.087477272221101</v>
      </c>
      <c r="AG3691">
        <v>3.903813</v>
      </c>
      <c r="AH3691">
        <v>95.016536402207194</v>
      </c>
      <c r="AI3691">
        <v>87.7373405118053</v>
      </c>
      <c r="AJ3691">
        <v>105.911882108726</v>
      </c>
      <c r="AK3691">
        <v>98.879286864256997</v>
      </c>
      <c r="AL3691">
        <v>79.140475950040297</v>
      </c>
      <c r="AM3691">
        <v>87.638937186648704</v>
      </c>
      <c r="AN3691">
        <v>0.99999998764008402</v>
      </c>
    </row>
    <row r="3692" spans="1:40" x14ac:dyDescent="0.25">
      <c r="A3692" t="str">
        <f>"20190303170612155"</f>
        <v>20190303170612155</v>
      </c>
      <c r="B3692" t="str">
        <f>"1551603972149002"</f>
        <v>1551603972149002</v>
      </c>
      <c r="C3692" t="s">
        <v>40</v>
      </c>
      <c r="D3692">
        <v>5.5207439999999997</v>
      </c>
      <c r="E3692">
        <v>0.37814930000000002</v>
      </c>
      <c r="F3692" t="s">
        <v>90</v>
      </c>
      <c r="G3692">
        <v>-324.76069999999999</v>
      </c>
      <c r="H3692">
        <v>5.0116319999999996</v>
      </c>
      <c r="I3692">
        <v>119.5407</v>
      </c>
      <c r="J3692">
        <v>-228.4871</v>
      </c>
      <c r="K3692">
        <v>1.1194249999999999</v>
      </c>
      <c r="L3692">
        <v>141.06880000000001</v>
      </c>
      <c r="M3692">
        <v>-0.99806550000000005</v>
      </c>
      <c r="N3692">
        <v>-3.079671E-3</v>
      </c>
      <c r="O3692">
        <v>6.2097050000000001E-2</v>
      </c>
      <c r="P3692">
        <v>-0.97757450000000001</v>
      </c>
      <c r="Q3692">
        <v>0.18701860000000001</v>
      </c>
      <c r="R3692">
        <v>9.6812029999999993E-2</v>
      </c>
      <c r="S3692">
        <v>-3.116959</v>
      </c>
      <c r="T3692">
        <v>0.12555730000000001</v>
      </c>
      <c r="U3692">
        <v>-0.69372559999999905</v>
      </c>
      <c r="V3692">
        <v>3.6100989999999999E-2</v>
      </c>
      <c r="W3692">
        <v>0.1900068</v>
      </c>
      <c r="X3692">
        <v>0.98111879999999996</v>
      </c>
      <c r="Y3692">
        <v>-0.27719050000000001</v>
      </c>
      <c r="Z3692">
        <v>7.7429619999999999E-3</v>
      </c>
      <c r="AA3692">
        <v>0.96078379999999997</v>
      </c>
      <c r="AB3692">
        <v>33</v>
      </c>
      <c r="AC3692">
        <v>-96.273600000000002</v>
      </c>
      <c r="AD3692">
        <v>3.892207</v>
      </c>
      <c r="AE3692">
        <v>-21.528099999999998</v>
      </c>
      <c r="AF3692">
        <v>-27.422200612534301</v>
      </c>
      <c r="AG3692">
        <v>3.892207</v>
      </c>
      <c r="AH3692">
        <v>94.603700290275</v>
      </c>
      <c r="AI3692">
        <v>87.737098370361494</v>
      </c>
      <c r="AJ3692">
        <v>106.16496745899801</v>
      </c>
      <c r="AK3692">
        <v>98.5747760351354</v>
      </c>
      <c r="AL3692">
        <v>79.046818768011505</v>
      </c>
      <c r="AM3692">
        <v>87.892710221964705</v>
      </c>
      <c r="AN3692">
        <v>0.99999998261932899</v>
      </c>
    </row>
    <row r="3693" spans="1:40" x14ac:dyDescent="0.25">
      <c r="A3693" t="str">
        <f>"20190303170612177"</f>
        <v>20190303170612177</v>
      </c>
      <c r="B3693" t="str">
        <f>"1551603972168522"</f>
        <v>1551603972168522</v>
      </c>
      <c r="C3693" t="s">
        <v>40</v>
      </c>
      <c r="D3693">
        <v>5.4972719999999997</v>
      </c>
      <c r="E3693">
        <v>0.3782431</v>
      </c>
      <c r="F3693" t="s">
        <v>90</v>
      </c>
      <c r="G3693">
        <v>-324.15069999999997</v>
      </c>
      <c r="H3693">
        <v>5.1182290000000004</v>
      </c>
      <c r="I3693">
        <v>119.3447</v>
      </c>
      <c r="J3693">
        <v>-228.81909999999999</v>
      </c>
      <c r="K3693">
        <v>1.1195409999999999</v>
      </c>
      <c r="L3693">
        <v>141.08949999999999</v>
      </c>
      <c r="M3693">
        <v>-0.99806150000000005</v>
      </c>
      <c r="N3693">
        <v>-3.0786699999999999E-3</v>
      </c>
      <c r="O3693">
        <v>6.2159430000000002E-2</v>
      </c>
      <c r="P3693">
        <v>-0.97777970000000003</v>
      </c>
      <c r="Q3693">
        <v>0.18824879999999999</v>
      </c>
      <c r="R3693">
        <v>9.2246359999999999E-2</v>
      </c>
      <c r="S3693">
        <v>-3.113937</v>
      </c>
      <c r="T3693">
        <v>0.1301649</v>
      </c>
      <c r="U3693">
        <v>-0.70713809999999999</v>
      </c>
      <c r="V3693">
        <v>3.1417189999999998E-2</v>
      </c>
      <c r="W3693">
        <v>0.19124910000000001</v>
      </c>
      <c r="X3693">
        <v>0.98103859999999998</v>
      </c>
      <c r="Y3693">
        <v>-0.2813618</v>
      </c>
      <c r="Z3693">
        <v>8.1219280000000005E-3</v>
      </c>
      <c r="AA3693">
        <v>0.95956739999999996</v>
      </c>
      <c r="AB3693">
        <v>33</v>
      </c>
      <c r="AC3693">
        <v>-95.331599999999895</v>
      </c>
      <c r="AD3693">
        <v>3.998688</v>
      </c>
      <c r="AE3693">
        <v>-21.744799999999898</v>
      </c>
      <c r="AF3693">
        <v>-27.582407969846301</v>
      </c>
      <c r="AG3693">
        <v>3.998688</v>
      </c>
      <c r="AH3693">
        <v>93.638998753945899</v>
      </c>
      <c r="AI3693">
        <v>87.654299374586799</v>
      </c>
      <c r="AJ3693">
        <v>106.41292342046</v>
      </c>
      <c r="AK3693">
        <v>97.6987247755971</v>
      </c>
      <c r="AL3693">
        <v>78.974310739109498</v>
      </c>
      <c r="AM3693">
        <v>88.165762889664805</v>
      </c>
      <c r="AN3693">
        <v>0.99999999638413295</v>
      </c>
    </row>
    <row r="3694" spans="1:40" x14ac:dyDescent="0.25">
      <c r="A3694" t="str">
        <f>"20190303170612199"</f>
        <v>20190303170612199</v>
      </c>
      <c r="B3694" t="str">
        <f>"1551603972189019"</f>
        <v>1551603972189019</v>
      </c>
      <c r="C3694" t="s">
        <v>40</v>
      </c>
      <c r="D3694">
        <v>5.5243779999999996</v>
      </c>
      <c r="E3694">
        <v>0.37850329999999999</v>
      </c>
      <c r="F3694" t="s">
        <v>90</v>
      </c>
      <c r="G3694">
        <v>-323.81880000000001</v>
      </c>
      <c r="H3694">
        <v>5.1712759999999998</v>
      </c>
      <c r="I3694">
        <v>119.07989999999999</v>
      </c>
      <c r="J3694">
        <v>-229.14320000000001</v>
      </c>
      <c r="K3694">
        <v>1.1196489999999999</v>
      </c>
      <c r="L3694">
        <v>141.1097</v>
      </c>
      <c r="M3694">
        <v>-0.99806519999999999</v>
      </c>
      <c r="N3694">
        <v>-3.0792660000000002E-3</v>
      </c>
      <c r="O3694">
        <v>6.2100790000000003E-2</v>
      </c>
      <c r="P3694">
        <v>-0.97813830000000002</v>
      </c>
      <c r="Q3694">
        <v>0.18861900000000001</v>
      </c>
      <c r="R3694">
        <v>8.7570250000000002E-2</v>
      </c>
      <c r="S3694">
        <v>-3.1106259999999999</v>
      </c>
      <c r="T3694">
        <v>0.13266789999999901</v>
      </c>
      <c r="U3694">
        <v>-0.7206726</v>
      </c>
      <c r="V3694">
        <v>2.6734440000000002E-2</v>
      </c>
      <c r="W3694">
        <v>0.19163060000000001</v>
      </c>
      <c r="X3694">
        <v>0.9811029</v>
      </c>
      <c r="Y3694">
        <v>-0.28547519999999998</v>
      </c>
      <c r="Z3694">
        <v>8.3647080000000002E-3</v>
      </c>
      <c r="AA3694">
        <v>0.95834960000000002</v>
      </c>
      <c r="AB3694">
        <v>34</v>
      </c>
      <c r="AC3694">
        <v>-94.675600000000003</v>
      </c>
      <c r="AD3694">
        <v>4.0516269999999999</v>
      </c>
      <c r="AE3694">
        <v>-22.029800000000002</v>
      </c>
      <c r="AF3694">
        <v>-27.8184067109895</v>
      </c>
      <c r="AG3694">
        <v>4.0516269999999999</v>
      </c>
      <c r="AH3694">
        <v>92.963280759284302</v>
      </c>
      <c r="AI3694">
        <v>87.609075509328093</v>
      </c>
      <c r="AJ3694">
        <v>106.659328717512</v>
      </c>
      <c r="AK3694">
        <v>97.120806230254701</v>
      </c>
      <c r="AL3694">
        <v>78.952040075453496</v>
      </c>
      <c r="AM3694">
        <v>88.439112124987901</v>
      </c>
      <c r="AN3694">
        <v>0.99999995876344006</v>
      </c>
    </row>
    <row r="3695" spans="1:40" x14ac:dyDescent="0.25">
      <c r="A3695" t="str">
        <f>"20190303170612221"</f>
        <v>20190303170612221</v>
      </c>
      <c r="B3695" t="str">
        <f>"1551603972208538"</f>
        <v>1551603972208538</v>
      </c>
      <c r="C3695" t="s">
        <v>40</v>
      </c>
      <c r="D3695">
        <v>5.5549879999999998</v>
      </c>
      <c r="E3695">
        <v>0.37876290000000001</v>
      </c>
      <c r="F3695" t="s">
        <v>90</v>
      </c>
      <c r="G3695">
        <v>-323.5102</v>
      </c>
      <c r="H3695">
        <v>5.1202480000000001</v>
      </c>
      <c r="I3695">
        <v>118.8338</v>
      </c>
      <c r="J3695">
        <v>-229.47309999999999</v>
      </c>
      <c r="K3695">
        <v>1.1197549999999901</v>
      </c>
      <c r="L3695">
        <v>141.1302</v>
      </c>
      <c r="M3695">
        <v>-0.99807520000000005</v>
      </c>
      <c r="N3695">
        <v>-3.0813630000000002E-3</v>
      </c>
      <c r="O3695">
        <v>6.1938960000000001E-2</v>
      </c>
      <c r="P3695">
        <v>-0.97860360000000002</v>
      </c>
      <c r="Q3695">
        <v>0.18835460000000001</v>
      </c>
      <c r="R3695">
        <v>8.2811179999999998E-2</v>
      </c>
      <c r="S3695">
        <v>-3.1073300000000001</v>
      </c>
      <c r="T3695">
        <v>0.13173209999999999</v>
      </c>
      <c r="U3695">
        <v>-0.73350519999999997</v>
      </c>
      <c r="V3695">
        <v>2.206572E-2</v>
      </c>
      <c r="W3695">
        <v>0.19137599999999999</v>
      </c>
      <c r="X3695">
        <v>0.98126880000000005</v>
      </c>
      <c r="Y3695">
        <v>-0.28929450000000001</v>
      </c>
      <c r="Z3695">
        <v>8.3750059999999904E-3</v>
      </c>
      <c r="AA3695">
        <v>0.95720349999999998</v>
      </c>
      <c r="AB3695">
        <v>34</v>
      </c>
      <c r="AC3695">
        <v>-94.037099999999995</v>
      </c>
      <c r="AD3695">
        <v>4.0004929999999996</v>
      </c>
      <c r="AE3695">
        <v>-22.296399999999998</v>
      </c>
      <c r="AF3695">
        <v>-28.030148201767499</v>
      </c>
      <c r="AG3695">
        <v>4.0004929999999996</v>
      </c>
      <c r="AH3695">
        <v>92.317336463528903</v>
      </c>
      <c r="AI3695">
        <v>87.625593623336599</v>
      </c>
      <c r="AJ3695">
        <v>106.889770227288</v>
      </c>
      <c r="AK3695">
        <v>96.561813177759404</v>
      </c>
      <c r="AL3695">
        <v>78.966903830076404</v>
      </c>
      <c r="AM3695">
        <v>88.711811081342304</v>
      </c>
      <c r="AN3695">
        <v>1.0000000636142701</v>
      </c>
    </row>
    <row r="3696" spans="1:40" x14ac:dyDescent="0.25">
      <c r="A3696" t="str">
        <f>"20190303170612244"</f>
        <v>20190303170612244</v>
      </c>
      <c r="B3696" t="str">
        <f>"1551603972238794"</f>
        <v>1551603972238794</v>
      </c>
      <c r="C3696" t="s">
        <v>40</v>
      </c>
      <c r="D3696">
        <v>5.5439220000000002</v>
      </c>
      <c r="E3696">
        <v>0.3790521</v>
      </c>
      <c r="F3696" t="s">
        <v>90</v>
      </c>
      <c r="G3696">
        <v>-323.36110000000002</v>
      </c>
      <c r="H3696">
        <v>5.0112180000000004</v>
      </c>
      <c r="I3696">
        <v>118.57170000000001</v>
      </c>
      <c r="J3696">
        <v>-229.828</v>
      </c>
      <c r="K3696">
        <v>1.1198509999999999</v>
      </c>
      <c r="L3696">
        <v>141.15199999999999</v>
      </c>
      <c r="M3696">
        <v>-0.99809159999999997</v>
      </c>
      <c r="N3696">
        <v>-3.084996E-3</v>
      </c>
      <c r="O3696">
        <v>6.167537E-2</v>
      </c>
      <c r="P3696">
        <v>-0.97908770000000001</v>
      </c>
      <c r="Q3696">
        <v>0.188164</v>
      </c>
      <c r="R3696">
        <v>7.734278E-2</v>
      </c>
      <c r="S3696">
        <v>-3.103958</v>
      </c>
      <c r="T3696">
        <v>0.12865270000000001</v>
      </c>
      <c r="U3696">
        <v>-0.74578859999999902</v>
      </c>
      <c r="V3696">
        <v>1.679081E-2</v>
      </c>
      <c r="W3696">
        <v>0.19119439999999999</v>
      </c>
      <c r="X3696">
        <v>0.98140859999999996</v>
      </c>
      <c r="Y3696">
        <v>-0.2928674</v>
      </c>
      <c r="Z3696">
        <v>8.233588E-3</v>
      </c>
      <c r="AA3696">
        <v>0.95611760000000001</v>
      </c>
      <c r="AB3696">
        <v>34</v>
      </c>
      <c r="AC3696">
        <v>-93.533100000000005</v>
      </c>
      <c r="AD3696">
        <v>3.8913669999999998</v>
      </c>
      <c r="AE3696">
        <v>-22.580300000000001</v>
      </c>
      <c r="AF3696">
        <v>-28.259806760023501</v>
      </c>
      <c r="AG3696">
        <v>3.8913669999999998</v>
      </c>
      <c r="AH3696">
        <v>91.812214499169698</v>
      </c>
      <c r="AI3696">
        <v>87.680302734396605</v>
      </c>
      <c r="AJ3696">
        <v>107.108369532821</v>
      </c>
      <c r="AK3696">
        <v>96.1417814817476</v>
      </c>
      <c r="AL3696">
        <v>78.977504170359595</v>
      </c>
      <c r="AM3696">
        <v>89.019828544097905</v>
      </c>
      <c r="AN3696">
        <v>1.0000000350228799</v>
      </c>
    </row>
    <row r="3697" spans="1:40" x14ac:dyDescent="0.25">
      <c r="A3697" t="str">
        <f>"20190303170612270"</f>
        <v>20190303170612270</v>
      </c>
      <c r="B3697" t="str">
        <f>"1551603972258314"</f>
        <v>1551603972258314</v>
      </c>
      <c r="C3697" t="s">
        <v>40</v>
      </c>
      <c r="D3697">
        <v>5.4923129999999896</v>
      </c>
      <c r="E3697">
        <v>0.37918069999999998</v>
      </c>
      <c r="F3697" t="s">
        <v>90</v>
      </c>
      <c r="G3697">
        <v>-326.64609999999999</v>
      </c>
      <c r="H3697">
        <v>5.0107249999999999</v>
      </c>
      <c r="I3697">
        <v>117.42010000000001</v>
      </c>
      <c r="J3697">
        <v>-230.2116</v>
      </c>
      <c r="K3697">
        <v>1.119931</v>
      </c>
      <c r="L3697">
        <v>141.1755</v>
      </c>
      <c r="M3697">
        <v>-0.99811380000000005</v>
      </c>
      <c r="N3697">
        <v>-3.0902099999999999E-3</v>
      </c>
      <c r="O3697">
        <v>6.1315559999999998E-2</v>
      </c>
      <c r="P3697">
        <v>-0.97949560000000002</v>
      </c>
      <c r="Q3697">
        <v>0.18826670000000001</v>
      </c>
      <c r="R3697">
        <v>7.1723830000000002E-2</v>
      </c>
      <c r="S3697">
        <v>-3.1001430000000001</v>
      </c>
      <c r="T3697">
        <v>0.1245868</v>
      </c>
      <c r="U3697">
        <v>-0.759903</v>
      </c>
      <c r="V3697">
        <v>1.147258E-2</v>
      </c>
      <c r="W3697">
        <v>0.19130430000000001</v>
      </c>
      <c r="X3697">
        <v>0.98146369999999905</v>
      </c>
      <c r="Y3697">
        <v>-0.29691279999999998</v>
      </c>
      <c r="Z3697">
        <v>8.028149E-3</v>
      </c>
      <c r="AA3697">
        <v>0.95487089999999997</v>
      </c>
      <c r="AB3697">
        <v>34</v>
      </c>
      <c r="AC3697">
        <v>-96.4345</v>
      </c>
      <c r="AD3697">
        <v>3.8907940000000001</v>
      </c>
      <c r="AE3697">
        <v>-23.755399999999899</v>
      </c>
      <c r="AF3697">
        <v>-29.578270784046701</v>
      </c>
      <c r="AG3697">
        <v>3.8907940000000001</v>
      </c>
      <c r="AH3697">
        <v>94.651205577103298</v>
      </c>
      <c r="AI3697">
        <v>87.753123829483201</v>
      </c>
      <c r="AJ3697">
        <v>107.353897266909</v>
      </c>
      <c r="AK3697">
        <v>99.241438410191904</v>
      </c>
      <c r="AL3697">
        <v>78.971088277037197</v>
      </c>
      <c r="AM3697">
        <v>89.330285493332994</v>
      </c>
      <c r="AN3697">
        <v>0.99999997485401704</v>
      </c>
    </row>
    <row r="3698" spans="1:40" x14ac:dyDescent="0.25">
      <c r="A3698" t="str">
        <f>"20190303170612292"</f>
        <v>20190303170612292</v>
      </c>
      <c r="B3698" t="str">
        <f>"1551603972278810"</f>
        <v>1551603972278810</v>
      </c>
      <c r="C3698" t="s">
        <v>40</v>
      </c>
      <c r="D3698">
        <v>5.4727309999999996</v>
      </c>
      <c r="E3698">
        <v>0.37949300000000002</v>
      </c>
      <c r="F3698" t="s">
        <v>90</v>
      </c>
      <c r="G3698">
        <v>-328.61959999999999</v>
      </c>
      <c r="H3698">
        <v>5.010345</v>
      </c>
      <c r="I3698">
        <v>116.52930000000001</v>
      </c>
      <c r="J3698">
        <v>-230.56299999999999</v>
      </c>
      <c r="K3698">
        <v>1.119977</v>
      </c>
      <c r="L3698">
        <v>141.1968</v>
      </c>
      <c r="M3698">
        <v>-0.99813620000000003</v>
      </c>
      <c r="N3698">
        <v>-3.0958420000000001E-3</v>
      </c>
      <c r="O3698">
        <v>6.094724E-2</v>
      </c>
      <c r="P3698">
        <v>-0.9799196</v>
      </c>
      <c r="Q3698">
        <v>0.18855939999999999</v>
      </c>
      <c r="R3698">
        <v>6.4831840000000002E-2</v>
      </c>
      <c r="S3698">
        <v>-3.096069</v>
      </c>
      <c r="T3698">
        <v>0.1223987</v>
      </c>
      <c r="U3698">
        <v>-0.77540589999999998</v>
      </c>
      <c r="V3698">
        <v>4.9027719999999997E-3</v>
      </c>
      <c r="W3698">
        <v>0.1916011</v>
      </c>
      <c r="X3698">
        <v>0.98146060000000002</v>
      </c>
      <c r="Y3698">
        <v>-0.30135849999999997</v>
      </c>
      <c r="Z3698">
        <v>7.9511530000000007E-3</v>
      </c>
      <c r="AA3698">
        <v>0.95347769999999998</v>
      </c>
      <c r="AB3698">
        <v>34</v>
      </c>
      <c r="AC3698">
        <v>-98.056600000000003</v>
      </c>
      <c r="AD3698">
        <v>3.890368</v>
      </c>
      <c r="AE3698">
        <v>-24.667499999999901</v>
      </c>
      <c r="AF3698">
        <v>-30.5527199461966</v>
      </c>
      <c r="AG3698">
        <v>3.890368</v>
      </c>
      <c r="AH3698">
        <v>96.228430425676393</v>
      </c>
      <c r="AI3698">
        <v>87.793319722845993</v>
      </c>
      <c r="AJ3698">
        <v>107.614747846288</v>
      </c>
      <c r="AK3698">
        <v>101.037193555024</v>
      </c>
      <c r="AL3698">
        <v>78.953762271044994</v>
      </c>
      <c r="AM3698">
        <v>89.713787994169607</v>
      </c>
      <c r="AN3698">
        <v>0.99999996402342595</v>
      </c>
    </row>
    <row r="3699" spans="1:40" x14ac:dyDescent="0.25">
      <c r="A3699" t="str">
        <f>"20190303170612312"</f>
        <v>20190303170612312</v>
      </c>
      <c r="B3699" t="str">
        <f>"1551603972298338"</f>
        <v>1551603972298338</v>
      </c>
      <c r="C3699" t="s">
        <v>40</v>
      </c>
      <c r="D3699">
        <v>5.4576609999999999</v>
      </c>
      <c r="E3699">
        <v>0.37983339999999999</v>
      </c>
      <c r="F3699" t="s">
        <v>53</v>
      </c>
      <c r="G3699">
        <v>-330.06580000000002</v>
      </c>
      <c r="H3699">
        <v>4.9428229999999997</v>
      </c>
      <c r="I3699">
        <v>115.65989999999999</v>
      </c>
      <c r="J3699">
        <v>-230.87809999999999</v>
      </c>
      <c r="K3699">
        <v>1.1200079999999999</v>
      </c>
      <c r="L3699">
        <v>141.2157</v>
      </c>
      <c r="M3699">
        <v>-0.99815750000000003</v>
      </c>
      <c r="N3699">
        <v>-3.101627E-3</v>
      </c>
      <c r="O3699">
        <v>6.0597430000000001E-2</v>
      </c>
      <c r="P3699">
        <v>-0.98026029999999997</v>
      </c>
      <c r="Q3699">
        <v>0.18912109999999999</v>
      </c>
      <c r="R3699">
        <v>5.7646410000000002E-2</v>
      </c>
      <c r="S3699">
        <v>-3.0911249999999999</v>
      </c>
      <c r="T3699">
        <v>0.1187599</v>
      </c>
      <c r="U3699">
        <v>-0.79331969999999996</v>
      </c>
      <c r="V3699">
        <v>-1.964281E-3</v>
      </c>
      <c r="W3699">
        <v>0.19216459999999999</v>
      </c>
      <c r="X3699">
        <v>0.98136069999999997</v>
      </c>
      <c r="Y3699">
        <v>-0.30658259999999998</v>
      </c>
      <c r="Z3699">
        <v>7.78841E-3</v>
      </c>
      <c r="AA3699">
        <v>0.9518122</v>
      </c>
      <c r="AB3699">
        <v>35</v>
      </c>
      <c r="AC3699">
        <v>-99.187700000000007</v>
      </c>
      <c r="AD3699">
        <v>3.8228149999999999</v>
      </c>
      <c r="AE3699">
        <v>-25.555800000000001</v>
      </c>
      <c r="AF3699">
        <v>-31.475539723783399</v>
      </c>
      <c r="AG3699">
        <v>3.8228149999999999</v>
      </c>
      <c r="AH3699">
        <v>97.321232376904305</v>
      </c>
      <c r="AI3699">
        <v>87.859605984511006</v>
      </c>
      <c r="AJ3699">
        <v>107.92219503945699</v>
      </c>
      <c r="AK3699">
        <v>102.35597582353</v>
      </c>
      <c r="AL3699">
        <v>78.920864720317397</v>
      </c>
      <c r="AM3699">
        <v>90.114682461585701</v>
      </c>
      <c r="AN3699">
        <v>0.99999995769874706</v>
      </c>
    </row>
    <row r="3700" spans="1:40" x14ac:dyDescent="0.25">
      <c r="A3700" t="str">
        <f>"20190303170612335"</f>
        <v>20190303170612335</v>
      </c>
      <c r="B3700" t="str">
        <f>"1551603972328586"</f>
        <v>1551603972328586</v>
      </c>
      <c r="C3700" t="s">
        <v>40</v>
      </c>
      <c r="D3700">
        <v>5.492826</v>
      </c>
      <c r="E3700">
        <v>0.38045370000000001</v>
      </c>
      <c r="F3700" t="s">
        <v>53</v>
      </c>
      <c r="G3700">
        <v>-329.61369999999999</v>
      </c>
      <c r="H3700">
        <v>4.849075</v>
      </c>
      <c r="I3700">
        <v>115.23309999999999</v>
      </c>
      <c r="J3700">
        <v>-231.23769999999999</v>
      </c>
      <c r="K3700">
        <v>1.1200410000000001</v>
      </c>
      <c r="L3700">
        <v>141.2372</v>
      </c>
      <c r="M3700">
        <v>-0.99818240000000003</v>
      </c>
      <c r="N3700">
        <v>-3.1112000000000002E-3</v>
      </c>
      <c r="O3700">
        <v>6.0186759999999999E-2</v>
      </c>
      <c r="P3700">
        <v>-0.9805488</v>
      </c>
      <c r="Q3700">
        <v>0.18945310000000001</v>
      </c>
      <c r="R3700">
        <v>5.1305320000000001E-2</v>
      </c>
      <c r="S3700">
        <v>-3.085693</v>
      </c>
      <c r="T3700">
        <v>0.11654150000000001</v>
      </c>
      <c r="U3700">
        <v>-0.812011699999999</v>
      </c>
      <c r="V3700">
        <v>-7.9230109999999902E-3</v>
      </c>
      <c r="W3700">
        <v>0.19250239999999999</v>
      </c>
      <c r="X3700">
        <v>0.98126449999999998</v>
      </c>
      <c r="Y3700">
        <v>-0.31199559999999998</v>
      </c>
      <c r="Z3700">
        <v>7.7190519999999997E-3</v>
      </c>
      <c r="AA3700">
        <v>0.95005220000000001</v>
      </c>
      <c r="AB3700">
        <v>35</v>
      </c>
      <c r="AC3700">
        <v>-98.376000000000005</v>
      </c>
      <c r="AD3700">
        <v>3.7290339999999902</v>
      </c>
      <c r="AE3700">
        <v>-26.004100000000001</v>
      </c>
      <c r="AF3700">
        <v>-31.835163024020101</v>
      </c>
      <c r="AG3700">
        <v>3.7290339999999902</v>
      </c>
      <c r="AH3700">
        <v>96.502940502385002</v>
      </c>
      <c r="AI3700">
        <v>87.898391201497006</v>
      </c>
      <c r="AJ3700">
        <v>108.25710334755399</v>
      </c>
      <c r="AK3700">
        <v>101.68677802421399</v>
      </c>
      <c r="AL3700">
        <v>78.901142264278107</v>
      </c>
      <c r="AM3700">
        <v>90.462612503209797</v>
      </c>
      <c r="AN3700">
        <v>0.99999998353465702</v>
      </c>
    </row>
    <row r="3701" spans="1:40" x14ac:dyDescent="0.25">
      <c r="A3701" t="str">
        <f>"20190303170612355"</f>
        <v>20190303170612355</v>
      </c>
      <c r="B3701" t="str">
        <f>"1551603972349083"</f>
        <v>1551603972349083</v>
      </c>
      <c r="C3701" t="s">
        <v>40</v>
      </c>
      <c r="D3701">
        <v>5.4696999999999996</v>
      </c>
      <c r="E3701">
        <v>0.38091920000000001</v>
      </c>
      <c r="F3701" t="s">
        <v>53</v>
      </c>
      <c r="G3701">
        <v>-329.2921</v>
      </c>
      <c r="H3701">
        <v>4.752033</v>
      </c>
      <c r="I3701">
        <v>114.9293</v>
      </c>
      <c r="J3701">
        <v>-231.56800000000001</v>
      </c>
      <c r="K3701">
        <v>1.1200749999999999</v>
      </c>
      <c r="L3701">
        <v>141.2568</v>
      </c>
      <c r="M3701">
        <v>-0.99820520000000001</v>
      </c>
      <c r="N3701">
        <v>-3.1262920000000001E-3</v>
      </c>
      <c r="O3701">
        <v>5.9806110000000003E-2</v>
      </c>
      <c r="P3701">
        <v>-0.98066549999999997</v>
      </c>
      <c r="Q3701">
        <v>0.19089990000000001</v>
      </c>
      <c r="R3701">
        <v>4.3042039999999997E-2</v>
      </c>
      <c r="S3701">
        <v>-3.0807190000000002</v>
      </c>
      <c r="T3701">
        <v>0.11411200000000001</v>
      </c>
      <c r="U3701">
        <v>-0.82655330000000005</v>
      </c>
      <c r="V3701">
        <v>-1.5816730000000001E-2</v>
      </c>
      <c r="W3701">
        <v>0.1939565</v>
      </c>
      <c r="X3701">
        <v>0.98088260000000005</v>
      </c>
      <c r="Y3701">
        <v>-0.31620350000000003</v>
      </c>
      <c r="Z3701">
        <v>7.612321E-3</v>
      </c>
      <c r="AA3701">
        <v>0.94866090000000003</v>
      </c>
      <c r="AB3701">
        <v>35</v>
      </c>
      <c r="AC3701">
        <v>-97.724100000000007</v>
      </c>
      <c r="AD3701">
        <v>3.631958</v>
      </c>
      <c r="AE3701">
        <v>-26.327500000000001</v>
      </c>
      <c r="AF3701">
        <v>-32.083582743886801</v>
      </c>
      <c r="AG3701">
        <v>3.631958</v>
      </c>
      <c r="AH3701">
        <v>95.851183262280898</v>
      </c>
      <c r="AI3701">
        <v>87.942124576366496</v>
      </c>
      <c r="AJ3701">
        <v>108.50657183580699</v>
      </c>
      <c r="AK3701">
        <v>101.143446319457</v>
      </c>
      <c r="AL3701">
        <v>78.816228139672205</v>
      </c>
      <c r="AM3701">
        <v>90.923814269060102</v>
      </c>
      <c r="AN3701">
        <v>0.99999998391145095</v>
      </c>
    </row>
    <row r="3702" spans="1:40" x14ac:dyDescent="0.25">
      <c r="A3702" t="str">
        <f>"20190303170612390"</f>
        <v>20190303170612390</v>
      </c>
      <c r="B3702" t="str">
        <f>"1551603972378363"</f>
        <v>1551603972378363</v>
      </c>
      <c r="C3702" t="s">
        <v>40</v>
      </c>
      <c r="D3702">
        <v>5.4769040000000002</v>
      </c>
      <c r="E3702">
        <v>0.39230340000000002</v>
      </c>
      <c r="F3702" t="s">
        <v>53</v>
      </c>
      <c r="G3702">
        <v>-328.78210000000001</v>
      </c>
      <c r="H3702">
        <v>4.7631739999999896</v>
      </c>
      <c r="I3702">
        <v>114.4479</v>
      </c>
      <c r="J3702">
        <v>-232.09469999999999</v>
      </c>
      <c r="K3702">
        <v>1.1201129999999999</v>
      </c>
      <c r="L3702">
        <v>141.2878</v>
      </c>
      <c r="M3702">
        <v>-0.9982413</v>
      </c>
      <c r="N3702">
        <v>-3.1650799999999998E-3</v>
      </c>
      <c r="O3702">
        <v>5.9197859999999998E-2</v>
      </c>
      <c r="P3702">
        <v>-0.98081030000000002</v>
      </c>
      <c r="Q3702">
        <v>0.19166739999999999</v>
      </c>
      <c r="R3702">
        <v>3.5708810000000001E-2</v>
      </c>
      <c r="S3702">
        <v>-3.0739290000000001</v>
      </c>
      <c r="T3702">
        <v>0.1151958</v>
      </c>
      <c r="U3702">
        <v>-0.84770199999999996</v>
      </c>
      <c r="V3702">
        <v>-2.2562349999999998E-2</v>
      </c>
      <c r="W3702">
        <v>0.19475490000000001</v>
      </c>
      <c r="X3702">
        <v>0.98059240000000003</v>
      </c>
      <c r="Y3702">
        <v>-0.32221169999999999</v>
      </c>
      <c r="Z3702">
        <v>7.7695239999999999E-3</v>
      </c>
      <c r="AA3702">
        <v>0.94663580000000003</v>
      </c>
      <c r="AB3702">
        <v>35</v>
      </c>
      <c r="AC3702">
        <v>-96.687399999999997</v>
      </c>
      <c r="AD3702">
        <v>3.6430609999999999</v>
      </c>
      <c r="AE3702">
        <v>-26.8399</v>
      </c>
      <c r="AF3702">
        <v>-32.473740958205902</v>
      </c>
      <c r="AG3702">
        <v>3.6430609999999999</v>
      </c>
      <c r="AH3702">
        <v>94.803999396978099</v>
      </c>
      <c r="AI3702">
        <v>87.918001761401698</v>
      </c>
      <c r="AJ3702">
        <v>108.90815550661701</v>
      </c>
      <c r="AK3702">
        <v>100.277684690725</v>
      </c>
      <c r="AL3702">
        <v>78.769594026280302</v>
      </c>
      <c r="AM3702">
        <v>91.318080148283698</v>
      </c>
      <c r="AN3702">
        <v>0.99999999282464602</v>
      </c>
    </row>
    <row r="3703" spans="1:40" x14ac:dyDescent="0.25">
      <c r="A3703" t="str">
        <f>"20190303170612410"</f>
        <v>20190303170612410</v>
      </c>
      <c r="B3703" t="str">
        <f>"1551603972398859"</f>
        <v>1551603972398859</v>
      </c>
      <c r="C3703" t="s">
        <v>40</v>
      </c>
      <c r="D3703">
        <v>5.4653289999999997</v>
      </c>
      <c r="E3703">
        <v>0.39356259999999998</v>
      </c>
      <c r="F3703" t="s">
        <v>53</v>
      </c>
      <c r="G3703">
        <v>-330.68150000000003</v>
      </c>
      <c r="H3703">
        <v>3.4696340000000001</v>
      </c>
      <c r="I3703">
        <v>116.24079999999999</v>
      </c>
      <c r="J3703">
        <v>-232.42769999999999</v>
      </c>
      <c r="K3703">
        <v>1.1201270000000001</v>
      </c>
      <c r="L3703">
        <v>141.3073</v>
      </c>
      <c r="M3703">
        <v>-0.99826409999999999</v>
      </c>
      <c r="N3703">
        <v>-3.1940369999999998E-3</v>
      </c>
      <c r="O3703">
        <v>5.8809809999999997E-2</v>
      </c>
      <c r="P3703">
        <v>-0.98092239999999997</v>
      </c>
      <c r="Q3703">
        <v>0.1917287</v>
      </c>
      <c r="R3703">
        <v>3.211464E-2</v>
      </c>
      <c r="S3703">
        <v>-3.0728300000000002</v>
      </c>
      <c r="T3703">
        <v>7.3232050000000007E-2</v>
      </c>
      <c r="U3703">
        <v>-0.78068539999999997</v>
      </c>
      <c r="V3703">
        <v>-2.5784350000000001E-2</v>
      </c>
      <c r="W3703">
        <v>0.19484099999999999</v>
      </c>
      <c r="X3703">
        <v>0.98049589999999998</v>
      </c>
      <c r="Y3703">
        <v>-0.30272120000000002</v>
      </c>
      <c r="Z3703">
        <v>4.6253079999999999E-3</v>
      </c>
      <c r="AA3703">
        <v>0.95306789999999997</v>
      </c>
      <c r="AB3703">
        <v>35</v>
      </c>
      <c r="AC3703">
        <v>-98.253799999999998</v>
      </c>
      <c r="AD3703">
        <v>2.349507</v>
      </c>
      <c r="AE3703">
        <v>-25.066500000000001</v>
      </c>
      <c r="AF3703">
        <v>-30.784903825398501</v>
      </c>
      <c r="AG3703">
        <v>2.349507</v>
      </c>
      <c r="AH3703">
        <v>96.557738433464195</v>
      </c>
      <c r="AI3703">
        <v>88.671954482776101</v>
      </c>
      <c r="AJ3703">
        <v>107.683518653357</v>
      </c>
      <c r="AK3703">
        <v>101.373701412483</v>
      </c>
      <c r="AL3703">
        <v>78.764564922357394</v>
      </c>
      <c r="AM3703">
        <v>91.506374504663896</v>
      </c>
      <c r="AN3703">
        <v>1.00000002895136</v>
      </c>
    </row>
    <row r="3704" spans="1:40" x14ac:dyDescent="0.25">
      <c r="A3704" t="str">
        <f>"20190303170612433"</f>
        <v>20190303170612433</v>
      </c>
      <c r="B3704" t="str">
        <f>"1551603972429115"</f>
        <v>1551603972429115</v>
      </c>
      <c r="C3704" t="s">
        <v>40</v>
      </c>
      <c r="D3704">
        <v>5.4798679999999997</v>
      </c>
      <c r="E3704">
        <v>0.3947213</v>
      </c>
      <c r="F3704" t="s">
        <v>53</v>
      </c>
      <c r="G3704">
        <v>-330.74689999999998</v>
      </c>
      <c r="H3704">
        <v>3.209349</v>
      </c>
      <c r="I3704">
        <v>116.30240000000001</v>
      </c>
      <c r="J3704">
        <v>-232.77869999999999</v>
      </c>
      <c r="K3704">
        <v>1.120142</v>
      </c>
      <c r="L3704">
        <v>141.32759999999999</v>
      </c>
      <c r="M3704">
        <v>-0.99828859999999997</v>
      </c>
      <c r="N3704">
        <v>-3.224523E-3</v>
      </c>
      <c r="O3704">
        <v>5.8391699999999901E-2</v>
      </c>
      <c r="P3704">
        <v>-0.98095750000000004</v>
      </c>
      <c r="Q3704">
        <v>0.1919854</v>
      </c>
      <c r="R3704">
        <v>2.9400849999999999E-2</v>
      </c>
      <c r="S3704">
        <v>-3.071167</v>
      </c>
      <c r="T3704">
        <v>6.5260769999999996E-2</v>
      </c>
      <c r="U3704">
        <v>-0.78106690000000001</v>
      </c>
      <c r="V3704">
        <v>-2.8094170000000002E-2</v>
      </c>
      <c r="W3704">
        <v>0.19512389999999999</v>
      </c>
      <c r="X3704">
        <v>0.98037609999999997</v>
      </c>
      <c r="Y3704">
        <v>-0.3025757</v>
      </c>
      <c r="Z3704">
        <v>4.0765510000000003E-3</v>
      </c>
      <c r="AA3704">
        <v>0.95311670000000004</v>
      </c>
      <c r="AB3704">
        <v>35</v>
      </c>
      <c r="AC3704">
        <v>-97.968199999999996</v>
      </c>
      <c r="AD3704">
        <v>2.089207</v>
      </c>
      <c r="AE3704">
        <v>-25.025199999999899</v>
      </c>
      <c r="AF3704">
        <v>-30.689957451159799</v>
      </c>
      <c r="AG3704">
        <v>2.089207</v>
      </c>
      <c r="AH3704">
        <v>96.298657172043406</v>
      </c>
      <c r="AI3704">
        <v>88.8158230722252</v>
      </c>
      <c r="AJ3704">
        <v>107.67685104284099</v>
      </c>
      <c r="AK3704">
        <v>101.09238174749601</v>
      </c>
      <c r="AL3704">
        <v>78.748037947918405</v>
      </c>
      <c r="AM3704">
        <v>91.641448589508599</v>
      </c>
      <c r="AN3704">
        <v>0.99999995809520303</v>
      </c>
    </row>
    <row r="3705" spans="1:40" x14ac:dyDescent="0.25">
      <c r="A3705" t="str">
        <f>"20190303170612456"</f>
        <v>20190303170612456</v>
      </c>
      <c r="B3705" t="str">
        <f>"1551603972448634"</f>
        <v>1551603972448634</v>
      </c>
      <c r="C3705" t="s">
        <v>40</v>
      </c>
      <c r="D3705">
        <v>5.5173079999999999</v>
      </c>
      <c r="E3705">
        <v>0.39477830000000003</v>
      </c>
      <c r="F3705" t="s">
        <v>53</v>
      </c>
      <c r="G3705">
        <v>-330.86259999999999</v>
      </c>
      <c r="H3705">
        <v>3.248656</v>
      </c>
      <c r="I3705">
        <v>116.4117</v>
      </c>
      <c r="J3705">
        <v>-233.15280000000001</v>
      </c>
      <c r="K3705">
        <v>1.1201570000000001</v>
      </c>
      <c r="L3705">
        <v>141.34909999999999</v>
      </c>
      <c r="M3705">
        <v>-0.99831579999999998</v>
      </c>
      <c r="N3705">
        <v>-3.2586619999999998E-3</v>
      </c>
      <c r="O3705">
        <v>5.7921100000000003E-2</v>
      </c>
      <c r="P3705">
        <v>-0.98104630000000004</v>
      </c>
      <c r="Q3705">
        <v>0.1917539</v>
      </c>
      <c r="R3705">
        <v>2.7906130000000001E-2</v>
      </c>
      <c r="S3705">
        <v>-3.0685579999999999</v>
      </c>
      <c r="T3705">
        <v>6.6591020000000001E-2</v>
      </c>
      <c r="U3705">
        <v>-0.77949519999999906</v>
      </c>
      <c r="V3705">
        <v>-2.9142029999999999E-2</v>
      </c>
      <c r="W3705">
        <v>0.19492329999999999</v>
      </c>
      <c r="X3705">
        <v>0.98038550000000002</v>
      </c>
      <c r="Y3705">
        <v>-0.30185849999999997</v>
      </c>
      <c r="Z3705">
        <v>4.1485990000000002E-3</v>
      </c>
      <c r="AA3705">
        <v>0.95334370000000002</v>
      </c>
      <c r="AB3705">
        <v>36</v>
      </c>
      <c r="AC3705">
        <v>-97.709799999999902</v>
      </c>
      <c r="AD3705">
        <v>2.1284990000000001</v>
      </c>
      <c r="AE3705">
        <v>-24.9374</v>
      </c>
      <c r="AF3705">
        <v>-30.541416393263699</v>
      </c>
      <c r="AG3705">
        <v>2.1284990000000001</v>
      </c>
      <c r="AH3705">
        <v>96.0585543050761</v>
      </c>
      <c r="AI3705">
        <v>88.790281906787797</v>
      </c>
      <c r="AJ3705">
        <v>107.637845078536</v>
      </c>
      <c r="AK3705">
        <v>100.819415186168</v>
      </c>
      <c r="AL3705">
        <v>78.759757424148603</v>
      </c>
      <c r="AM3705">
        <v>91.7026198473379</v>
      </c>
      <c r="AN3705">
        <v>1.0000000397028199</v>
      </c>
    </row>
    <row r="3706" spans="1:40" x14ac:dyDescent="0.25">
      <c r="A3706" t="str">
        <f>"20190303170612480"</f>
        <v>20190303170612480</v>
      </c>
      <c r="B3706" t="str">
        <f>"1551603972468154"</f>
        <v>1551603972468154</v>
      </c>
      <c r="C3706" t="s">
        <v>40</v>
      </c>
      <c r="D3706">
        <v>5.5908179999999996</v>
      </c>
      <c r="E3706">
        <v>0.42283559999999998</v>
      </c>
      <c r="F3706" t="s">
        <v>53</v>
      </c>
      <c r="G3706">
        <v>-330.85500000000002</v>
      </c>
      <c r="H3706">
        <v>3.3602180000000001</v>
      </c>
      <c r="I3706">
        <v>116.4046</v>
      </c>
      <c r="J3706">
        <v>-233.5341</v>
      </c>
      <c r="K3706">
        <v>1.120182</v>
      </c>
      <c r="L3706">
        <v>141.3708</v>
      </c>
      <c r="M3706">
        <v>-0.99834590000000001</v>
      </c>
      <c r="N3706">
        <v>-3.2965379999999999E-3</v>
      </c>
      <c r="O3706">
        <v>5.740025E-2</v>
      </c>
      <c r="P3706">
        <v>-0.98103700000000005</v>
      </c>
      <c r="Q3706">
        <v>0.1917276</v>
      </c>
      <c r="R3706">
        <v>2.8410580000000001E-2</v>
      </c>
      <c r="S3706">
        <v>-3.0664980000000002</v>
      </c>
      <c r="T3706">
        <v>7.0307250000000002E-2</v>
      </c>
      <c r="U3706">
        <v>-0.78291319999999998</v>
      </c>
      <c r="V3706">
        <v>-2.8142940000000002E-2</v>
      </c>
      <c r="W3706">
        <v>0.19493260000000001</v>
      </c>
      <c r="X3706">
        <v>0.98041279999999997</v>
      </c>
      <c r="Y3706">
        <v>-0.30250300000000002</v>
      </c>
      <c r="Z3706">
        <v>4.3889840000000003E-3</v>
      </c>
      <c r="AA3706">
        <v>0.95313829999999999</v>
      </c>
      <c r="AB3706">
        <v>36</v>
      </c>
      <c r="AC3706">
        <v>-97.320899999999995</v>
      </c>
      <c r="AD3706">
        <v>2.2400359999999999</v>
      </c>
      <c r="AE3706">
        <v>-24.966200000000001</v>
      </c>
      <c r="AF3706">
        <v>-30.496151522189098</v>
      </c>
      <c r="AG3706">
        <v>2.2400359999999999</v>
      </c>
      <c r="AH3706">
        <v>95.6798067337578</v>
      </c>
      <c r="AI3706">
        <v>88.722163168351898</v>
      </c>
      <c r="AJ3706">
        <v>107.678709631063</v>
      </c>
      <c r="AK3706">
        <v>100.447291827877</v>
      </c>
      <c r="AL3706">
        <v>78.759213711526499</v>
      </c>
      <c r="AM3706">
        <v>91.644234977397801</v>
      </c>
      <c r="AN3706">
        <v>1.00000000100922</v>
      </c>
    </row>
    <row r="3707" spans="1:40" x14ac:dyDescent="0.25">
      <c r="A3707" t="str">
        <f>"20190303170612502"</f>
        <v>20190303170612502</v>
      </c>
      <c r="B3707" t="str">
        <f>"1551603972488650"</f>
        <v>1551603972488650</v>
      </c>
      <c r="C3707" t="s">
        <v>40</v>
      </c>
      <c r="D3707">
        <v>5.4635569999999998</v>
      </c>
      <c r="E3707">
        <v>0.44291429999999998</v>
      </c>
      <c r="F3707" t="s">
        <v>53</v>
      </c>
      <c r="G3707">
        <v>-356.2783</v>
      </c>
      <c r="H3707">
        <v>1.6650349999999901</v>
      </c>
      <c r="I3707">
        <v>119.0003</v>
      </c>
      <c r="J3707">
        <v>-233.88589999999999</v>
      </c>
      <c r="K3707">
        <v>1.1202190000000001</v>
      </c>
      <c r="L3707">
        <v>141.39070000000001</v>
      </c>
      <c r="M3707">
        <v>-0.99837640000000005</v>
      </c>
      <c r="N3707">
        <v>-3.3350649999999999E-3</v>
      </c>
      <c r="O3707">
        <v>5.6864499999999998E-2</v>
      </c>
      <c r="P3707">
        <v>-0.98106780000000005</v>
      </c>
      <c r="Q3707">
        <v>0.1911843</v>
      </c>
      <c r="R3707">
        <v>3.0900259999999999E-2</v>
      </c>
      <c r="S3707">
        <v>-3.0715479999999999</v>
      </c>
      <c r="T3707">
        <v>1.3634800000000001E-2</v>
      </c>
      <c r="U3707">
        <v>-0.55979919999999905</v>
      </c>
      <c r="V3707">
        <v>-2.515293E-2</v>
      </c>
      <c r="W3707">
        <v>0.19442799999999999</v>
      </c>
      <c r="X3707">
        <v>0.98059430000000003</v>
      </c>
      <c r="Y3707">
        <v>-0.23495060000000001</v>
      </c>
      <c r="Z3707">
        <v>5.6073880000000003E-4</v>
      </c>
      <c r="AA3707">
        <v>0.97200719999999996</v>
      </c>
      <c r="AB3707">
        <v>36</v>
      </c>
      <c r="AC3707">
        <v>-122.39239999999999</v>
      </c>
      <c r="AD3707">
        <v>0.54481599999999897</v>
      </c>
      <c r="AE3707">
        <v>-22.3904</v>
      </c>
      <c r="AF3707">
        <v>-29.3134286629633</v>
      </c>
      <c r="AG3707">
        <v>0.54481599999999897</v>
      </c>
      <c r="AH3707">
        <v>120.918811018246</v>
      </c>
      <c r="AI3707">
        <v>89.749114644865401</v>
      </c>
      <c r="AJ3707">
        <v>103.62689528638001</v>
      </c>
      <c r="AK3707">
        <v>124.42239662745099</v>
      </c>
      <c r="AL3707">
        <v>78.788689669123798</v>
      </c>
      <c r="AM3707">
        <v>91.469354637674201</v>
      </c>
      <c r="AN3707">
        <v>1.00000004913203</v>
      </c>
    </row>
    <row r="3708" spans="1:40" x14ac:dyDescent="0.25">
      <c r="A3708" t="str">
        <f>"20190303170612523"</f>
        <v>20190303170612523</v>
      </c>
      <c r="B3708" t="str">
        <f>"1551603972518906"</f>
        <v>1551603972518906</v>
      </c>
      <c r="C3708" t="s">
        <v>40</v>
      </c>
      <c r="D3708">
        <v>5.3103360000000004</v>
      </c>
      <c r="E3708">
        <v>0.45602189999999998</v>
      </c>
      <c r="F3708" t="s">
        <v>48</v>
      </c>
      <c r="G3708">
        <v>-356.7047</v>
      </c>
      <c r="H3708">
        <v>0.48310380000000003</v>
      </c>
      <c r="I3708">
        <v>125.6951</v>
      </c>
      <c r="J3708">
        <v>-234.22730000000001</v>
      </c>
      <c r="K3708">
        <v>1.120276</v>
      </c>
      <c r="L3708">
        <v>141.40960000000001</v>
      </c>
      <c r="M3708">
        <v>-0.99840989999999996</v>
      </c>
      <c r="N3708">
        <v>-3.3778480000000001E-3</v>
      </c>
      <c r="O3708">
        <v>5.6273469999999999E-2</v>
      </c>
      <c r="P3708">
        <v>-0.98133269999999995</v>
      </c>
      <c r="Q3708">
        <v>0.18952050000000001</v>
      </c>
      <c r="R3708">
        <v>3.2694399999999998E-2</v>
      </c>
      <c r="S3708">
        <v>-3.0733799999999998</v>
      </c>
      <c r="T3708">
        <v>-1.594222E-2</v>
      </c>
      <c r="U3708">
        <v>-0.39276119999999998</v>
      </c>
      <c r="V3708">
        <v>-2.282052E-2</v>
      </c>
      <c r="W3708">
        <v>0.19280700000000001</v>
      </c>
      <c r="X3708">
        <v>0.98097129999999999</v>
      </c>
      <c r="Y3708">
        <v>-0.1823785</v>
      </c>
      <c r="Z3708">
        <v>-8.8201740000000005E-4</v>
      </c>
      <c r="AA3708">
        <v>0.98322799999999999</v>
      </c>
      <c r="AB3708">
        <v>36</v>
      </c>
      <c r="AC3708">
        <v>-122.4774</v>
      </c>
      <c r="AD3708">
        <v>-0.63717219999999997</v>
      </c>
      <c r="AE3708">
        <v>-15.714499999999999</v>
      </c>
      <c r="AF3708">
        <v>-22.581263254175902</v>
      </c>
      <c r="AG3708">
        <v>-0.63717219999999997</v>
      </c>
      <c r="AH3708">
        <v>121.39577268776399</v>
      </c>
      <c r="AI3708">
        <v>90.295655235976795</v>
      </c>
      <c r="AJ3708">
        <v>100.537360446367</v>
      </c>
      <c r="AK3708">
        <v>123.47976783678401</v>
      </c>
      <c r="AL3708">
        <v>78.883357010926403</v>
      </c>
      <c r="AM3708">
        <v>91.332642140324396</v>
      </c>
      <c r="AN3708">
        <v>1.00000000340288</v>
      </c>
    </row>
    <row r="3709" spans="1:40" x14ac:dyDescent="0.25">
      <c r="A3709" t="str">
        <f>"20190303170612547"</f>
        <v>20190303170612547</v>
      </c>
      <c r="B3709" t="str">
        <f>"1551603972538426"</f>
        <v>1551603972538426</v>
      </c>
      <c r="C3709" t="s">
        <v>40</v>
      </c>
      <c r="D3709">
        <v>5.4776930000000004</v>
      </c>
      <c r="E3709">
        <v>0.45981450000000001</v>
      </c>
      <c r="F3709" t="s">
        <v>41</v>
      </c>
      <c r="G3709">
        <v>-331.548</v>
      </c>
      <c r="H3709" s="1">
        <v>-5.253154E-6</v>
      </c>
      <c r="I3709">
        <v>132.4152</v>
      </c>
      <c r="J3709">
        <v>-234.60759999999999</v>
      </c>
      <c r="K3709">
        <v>1.1203449999999999</v>
      </c>
      <c r="L3709">
        <v>141.43049999999999</v>
      </c>
      <c r="M3709">
        <v>-0.99845220000000001</v>
      </c>
      <c r="N3709">
        <v>-3.428441E-3</v>
      </c>
      <c r="O3709">
        <v>5.5511520000000002E-2</v>
      </c>
      <c r="P3709">
        <v>-0.98196269999999997</v>
      </c>
      <c r="Q3709">
        <v>0.18577360000000001</v>
      </c>
      <c r="R3709">
        <v>3.5180250000000003E-2</v>
      </c>
      <c r="S3709">
        <v>-3.0733640000000002</v>
      </c>
      <c r="T3709">
        <v>-3.5378220000000002E-2</v>
      </c>
      <c r="U3709">
        <v>-0.28404239999999997</v>
      </c>
      <c r="V3709">
        <v>-1.96554E-2</v>
      </c>
      <c r="W3709">
        <v>0.18911259999999999</v>
      </c>
      <c r="X3709">
        <v>0.98175869999999998</v>
      </c>
      <c r="Y3709">
        <v>-0.14714849999999999</v>
      </c>
      <c r="Z3709">
        <v>-1.5458220000000001E-3</v>
      </c>
      <c r="AA3709">
        <v>0.98911320000000003</v>
      </c>
      <c r="AB3709">
        <v>36</v>
      </c>
      <c r="AC3709">
        <v>-96.940399999999997</v>
      </c>
      <c r="AD3709">
        <v>-1.1203502531539999</v>
      </c>
      <c r="AE3709">
        <v>-9.0152999999999892</v>
      </c>
      <c r="AF3709">
        <v>-14.3808347050033</v>
      </c>
      <c r="AG3709">
        <v>-1.1203502531539999</v>
      </c>
      <c r="AH3709">
        <v>96.277715534850998</v>
      </c>
      <c r="AI3709">
        <v>90.659386433533101</v>
      </c>
      <c r="AJ3709">
        <v>98.495362705300394</v>
      </c>
      <c r="AK3709">
        <v>97.352257806956203</v>
      </c>
      <c r="AL3709">
        <v>79.098999218030002</v>
      </c>
      <c r="AM3709">
        <v>91.146942762120503</v>
      </c>
      <c r="AN3709">
        <v>1.0000000276268</v>
      </c>
    </row>
    <row r="3710" spans="1:40" x14ac:dyDescent="0.25">
      <c r="A3710" t="str">
        <f>"20190303170612569"</f>
        <v>20190303170612569</v>
      </c>
      <c r="B3710" t="str">
        <f>"1551603972558923"</f>
        <v>1551603972558923</v>
      </c>
      <c r="C3710" t="s">
        <v>40</v>
      </c>
      <c r="D3710">
        <v>5.4208930000000004</v>
      </c>
      <c r="E3710">
        <v>0.462038</v>
      </c>
      <c r="F3710" t="s">
        <v>84</v>
      </c>
      <c r="G3710">
        <v>-300.18860000000001</v>
      </c>
      <c r="H3710" s="1">
        <v>-6.9789360000000004E-6</v>
      </c>
      <c r="I3710">
        <v>136.16319999999999</v>
      </c>
      <c r="J3710">
        <v>-234.98159999999999</v>
      </c>
      <c r="K3710">
        <v>1.1204190000000001</v>
      </c>
      <c r="L3710">
        <v>141.45060000000001</v>
      </c>
      <c r="M3710">
        <v>-0.99849880000000002</v>
      </c>
      <c r="N3710">
        <v>-3.4806640000000001E-3</v>
      </c>
      <c r="O3710">
        <v>5.4663959999999998E-2</v>
      </c>
      <c r="P3710">
        <v>-0.98232759999999997</v>
      </c>
      <c r="Q3710">
        <v>0.18341440000000001</v>
      </c>
      <c r="R3710">
        <v>3.7303889999999999E-2</v>
      </c>
      <c r="S3710">
        <v>-3.0738979999999998</v>
      </c>
      <c r="T3710">
        <v>-5.2512879999999998E-2</v>
      </c>
      <c r="U3710">
        <v>-0.2468872</v>
      </c>
      <c r="V3710">
        <v>-1.6755699999999998E-2</v>
      </c>
      <c r="W3710">
        <v>0.1868069</v>
      </c>
      <c r="X3710">
        <v>0.98225370000000001</v>
      </c>
      <c r="Y3710">
        <v>-0.13440009999999999</v>
      </c>
      <c r="Z3710">
        <v>-2.1229069999999998E-3</v>
      </c>
      <c r="AA3710">
        <v>0.9909249</v>
      </c>
      <c r="AB3710">
        <v>36</v>
      </c>
      <c r="AC3710">
        <v>-65.206999999999994</v>
      </c>
      <c r="AD3710">
        <v>-1.120425978936</v>
      </c>
      <c r="AE3710">
        <v>-5.2874000000000096</v>
      </c>
      <c r="AF3710">
        <v>-8.8413951507262603</v>
      </c>
      <c r="AG3710">
        <v>-1.120425978936</v>
      </c>
      <c r="AH3710">
        <v>64.801462753588595</v>
      </c>
      <c r="AI3710">
        <v>90.981461791208801</v>
      </c>
      <c r="AJ3710">
        <v>97.769360353922593</v>
      </c>
      <c r="AK3710">
        <v>65.411430175392795</v>
      </c>
      <c r="AL3710">
        <v>79.233502599470199</v>
      </c>
      <c r="AM3710">
        <v>90.977280909505495</v>
      </c>
      <c r="AN3710">
        <v>0.99999995126689301</v>
      </c>
    </row>
    <row r="3711" spans="1:40" x14ac:dyDescent="0.25">
      <c r="A3711" t="str">
        <f>"20190303170612589"</f>
        <v>20190303170612589</v>
      </c>
      <c r="B3711" t="str">
        <f>"1551603972578221"</f>
        <v>1551603972578221</v>
      </c>
      <c r="C3711" t="s">
        <v>40</v>
      </c>
      <c r="D3711">
        <v>5.3714110000000002</v>
      </c>
      <c r="E3711">
        <v>0.46355000000000002</v>
      </c>
      <c r="F3711" t="s">
        <v>84</v>
      </c>
      <c r="G3711">
        <v>-286.8383</v>
      </c>
      <c r="H3711" s="1">
        <v>-6.3113470000000003E-6</v>
      </c>
      <c r="I3711">
        <v>137.68469999999999</v>
      </c>
      <c r="J3711">
        <v>-235.31389999999999</v>
      </c>
      <c r="K3711">
        <v>1.1204889999999901</v>
      </c>
      <c r="L3711">
        <v>141.4682</v>
      </c>
      <c r="M3711">
        <v>-0.99854330000000002</v>
      </c>
      <c r="N3711">
        <v>-3.527002E-3</v>
      </c>
      <c r="O3711">
        <v>5.3840680000000002E-2</v>
      </c>
      <c r="P3711">
        <v>-0.98215339999999995</v>
      </c>
      <c r="Q3711">
        <v>0.18367249999999999</v>
      </c>
      <c r="R3711">
        <v>4.0489740000000003E-2</v>
      </c>
      <c r="S3711">
        <v>-3.0748440000000001</v>
      </c>
      <c r="T3711">
        <v>-6.6435690000000006E-2</v>
      </c>
      <c r="U3711">
        <v>-0.2232971</v>
      </c>
      <c r="V3711">
        <v>-1.27872E-2</v>
      </c>
      <c r="W3711">
        <v>0.18711520000000001</v>
      </c>
      <c r="X3711">
        <v>0.98225469999999904</v>
      </c>
      <c r="Y3711">
        <v>-0.1259816</v>
      </c>
      <c r="Z3711">
        <v>-2.553704E-3</v>
      </c>
      <c r="AA3711">
        <v>0.9920293</v>
      </c>
      <c r="AB3711">
        <v>37</v>
      </c>
      <c r="AC3711">
        <v>-51.5244</v>
      </c>
      <c r="AD3711">
        <v>-1.12049531134699</v>
      </c>
      <c r="AE3711">
        <v>-3.7835000000000001</v>
      </c>
      <c r="AF3711">
        <v>-6.5490575098280797</v>
      </c>
      <c r="AG3711">
        <v>-1.12049531134699</v>
      </c>
      <c r="AH3711">
        <v>51.221863149315098</v>
      </c>
      <c r="AI3711">
        <v>91.243048525457993</v>
      </c>
      <c r="AJ3711">
        <v>97.286117060893105</v>
      </c>
      <c r="AK3711">
        <v>51.650991553860301</v>
      </c>
      <c r="AL3711">
        <v>79.2155212705851</v>
      </c>
      <c r="AM3711">
        <v>90.745846477001905</v>
      </c>
      <c r="AN3711">
        <v>0.999999953113483</v>
      </c>
    </row>
    <row r="3712" spans="1:40" x14ac:dyDescent="0.25">
      <c r="A3712" t="str">
        <f>"20190303170612613"</f>
        <v>20190303170612613</v>
      </c>
      <c r="B3712" t="str">
        <f>"1551603972598718"</f>
        <v>1551603972598718</v>
      </c>
      <c r="C3712" t="s">
        <v>40</v>
      </c>
      <c r="D3712">
        <v>5.4828539999999997</v>
      </c>
      <c r="E3712">
        <v>0.464694</v>
      </c>
      <c r="F3712" t="s">
        <v>84</v>
      </c>
      <c r="G3712">
        <v>-286.00819999999999</v>
      </c>
      <c r="H3712" s="1">
        <v>-5.9515630000000004E-6</v>
      </c>
      <c r="I3712">
        <v>138.1336</v>
      </c>
      <c r="J3712">
        <v>-235.69200000000001</v>
      </c>
      <c r="K3712">
        <v>1.120573</v>
      </c>
      <c r="L3712">
        <v>141.48769999999999</v>
      </c>
      <c r="M3712">
        <v>-0.99859739999999997</v>
      </c>
      <c r="N3712">
        <v>-3.57896E-3</v>
      </c>
      <c r="O3712">
        <v>5.2823540000000002E-2</v>
      </c>
      <c r="P3712">
        <v>-0.98176090000000005</v>
      </c>
      <c r="Q3712">
        <v>0.18510699999999999</v>
      </c>
      <c r="R3712">
        <v>4.3370180000000001E-2</v>
      </c>
      <c r="S3712">
        <v>-3.0755460000000001</v>
      </c>
      <c r="T3712">
        <v>-6.7978860000000002E-2</v>
      </c>
      <c r="U3712">
        <v>-0.20230100000000001</v>
      </c>
      <c r="V3712">
        <v>-8.9265149999999995E-3</v>
      </c>
      <c r="W3712">
        <v>0.18860550000000001</v>
      </c>
      <c r="X3712">
        <v>0.98201240000000001</v>
      </c>
      <c r="Y3712">
        <v>-0.11821130000000001</v>
      </c>
      <c r="Z3712">
        <v>-2.4940819999999999E-3</v>
      </c>
      <c r="AA3712">
        <v>0.99298529999999996</v>
      </c>
      <c r="AB3712">
        <v>37</v>
      </c>
      <c r="AC3712">
        <v>-50.316199999999903</v>
      </c>
      <c r="AD3712">
        <v>-1.120578951563</v>
      </c>
      <c r="AE3712">
        <v>-3.3540999999999799</v>
      </c>
      <c r="AF3712">
        <v>-6.0043492118680097</v>
      </c>
      <c r="AG3712">
        <v>-1.120578951563</v>
      </c>
      <c r="AH3712">
        <v>50.044062828199102</v>
      </c>
      <c r="AI3712">
        <v>91.273612569016194</v>
      </c>
      <c r="AJ3712">
        <v>96.841714363162893</v>
      </c>
      <c r="AK3712">
        <v>50.415435443894403</v>
      </c>
      <c r="AL3712">
        <v>79.128586438256093</v>
      </c>
      <c r="AM3712">
        <v>90.520805591792197</v>
      </c>
      <c r="AN3712">
        <v>1.00000003552702</v>
      </c>
    </row>
    <row r="3713" spans="1:40" x14ac:dyDescent="0.25">
      <c r="A3713" t="str">
        <f>"20190303170612648"</f>
        <v>20190303170612648</v>
      </c>
      <c r="B3713" t="str">
        <f>"1551603972638734"</f>
        <v>1551603972638734</v>
      </c>
      <c r="C3713" t="s">
        <v>40</v>
      </c>
      <c r="D3713">
        <v>5.4308439999999996</v>
      </c>
      <c r="E3713">
        <v>0.4658678</v>
      </c>
      <c r="F3713" t="s">
        <v>84</v>
      </c>
      <c r="G3713">
        <v>-290.80650000000003</v>
      </c>
      <c r="H3713" s="1">
        <v>-8.3503039999999996E-6</v>
      </c>
      <c r="I3713">
        <v>138.17519999999999</v>
      </c>
      <c r="J3713">
        <v>-236.2834</v>
      </c>
      <c r="K3713">
        <v>1.1206940000000001</v>
      </c>
      <c r="L3713">
        <v>141.51750000000001</v>
      </c>
      <c r="M3713">
        <v>-0.99868849999999998</v>
      </c>
      <c r="N3713">
        <v>-3.6610530000000001E-3</v>
      </c>
      <c r="O3713">
        <v>5.106989E-2</v>
      </c>
      <c r="P3713">
        <v>-0.98137790000000003</v>
      </c>
      <c r="Q3713">
        <v>0.1862316</v>
      </c>
      <c r="R3713">
        <v>4.7069680000000003E-2</v>
      </c>
      <c r="S3713">
        <v>-3.0756990000000002</v>
      </c>
      <c r="T3713">
        <v>-6.2534809999999996E-2</v>
      </c>
      <c r="U3713">
        <v>-0.1848602</v>
      </c>
      <c r="V3713">
        <v>-3.5429150000000002E-3</v>
      </c>
      <c r="W3713">
        <v>0.1898196</v>
      </c>
      <c r="X3713">
        <v>0.98181260000000004</v>
      </c>
      <c r="Y3713">
        <v>-0.1108611</v>
      </c>
      <c r="Z3713">
        <v>-2.179608E-3</v>
      </c>
      <c r="AA3713">
        <v>0.99383350000000004</v>
      </c>
      <c r="AB3713">
        <v>37</v>
      </c>
      <c r="AC3713">
        <v>-54.523099999999999</v>
      </c>
      <c r="AD3713">
        <v>-1.1207023503039999</v>
      </c>
      <c r="AE3713">
        <v>-3.3423000000000198</v>
      </c>
      <c r="AF3713">
        <v>-6.11986961474165</v>
      </c>
      <c r="AG3713">
        <v>-1.1207023503039999</v>
      </c>
      <c r="AH3713">
        <v>54.258420879653201</v>
      </c>
      <c r="AI3713">
        <v>91.1758169138499</v>
      </c>
      <c r="AJ3713">
        <v>96.435259297932703</v>
      </c>
      <c r="AK3713">
        <v>54.613963546084001</v>
      </c>
      <c r="AL3713">
        <v>79.057743627773903</v>
      </c>
      <c r="AM3713">
        <v>90.206753504261499</v>
      </c>
      <c r="AN3713">
        <v>1.0000000071548001</v>
      </c>
    </row>
    <row r="3714" spans="1:40" x14ac:dyDescent="0.25">
      <c r="A3714" t="str">
        <f>"20190303170612669"</f>
        <v>20190303170612669</v>
      </c>
      <c r="B3714" t="str">
        <f>"1551603972658256"</f>
        <v>1551603972658256</v>
      </c>
      <c r="C3714" t="s">
        <v>40</v>
      </c>
      <c r="D3714">
        <v>5.4206130000000003</v>
      </c>
      <c r="E3714">
        <v>0.46594849999999999</v>
      </c>
      <c r="F3714" t="s">
        <v>84</v>
      </c>
      <c r="G3714">
        <v>-295.60230000000001</v>
      </c>
      <c r="H3714" s="1">
        <v>-7.9899449999999993E-6</v>
      </c>
      <c r="I3714">
        <v>138.3494</v>
      </c>
      <c r="J3714">
        <v>-236.64349999999999</v>
      </c>
      <c r="K3714">
        <v>1.1207590000000001</v>
      </c>
      <c r="L3714">
        <v>141.535</v>
      </c>
      <c r="M3714">
        <v>-0.99874680000000005</v>
      </c>
      <c r="N3714">
        <v>-3.7084879999999998E-3</v>
      </c>
      <c r="O3714">
        <v>4.9910580000000003E-2</v>
      </c>
      <c r="P3714">
        <v>-0.98162159999999998</v>
      </c>
      <c r="Q3714">
        <v>0.1845174</v>
      </c>
      <c r="R3714">
        <v>4.8708250000000002E-2</v>
      </c>
      <c r="S3714">
        <v>-3.0758510000000001</v>
      </c>
      <c r="T3714">
        <v>-5.8111549999999998E-2</v>
      </c>
      <c r="U3714">
        <v>-0.16427610000000001</v>
      </c>
      <c r="V3714">
        <v>-8.0627529999999995E-4</v>
      </c>
      <c r="W3714">
        <v>0.18815960000000001</v>
      </c>
      <c r="X3714">
        <v>0.98213819999999996</v>
      </c>
      <c r="Y3714">
        <v>-0.10307810000000001</v>
      </c>
      <c r="Z3714">
        <v>-1.9215E-3</v>
      </c>
      <c r="AA3714">
        <v>0.99467139999999998</v>
      </c>
      <c r="AB3714">
        <v>37</v>
      </c>
      <c r="AC3714">
        <v>-58.958799999999997</v>
      </c>
      <c r="AD3714">
        <v>-1.1207669899449999</v>
      </c>
      <c r="AE3714">
        <v>-3.1855999999999902</v>
      </c>
      <c r="AF3714">
        <v>-6.1221120435130096</v>
      </c>
      <c r="AG3714">
        <v>-1.1207669899449999</v>
      </c>
      <c r="AH3714">
        <v>58.705170204434303</v>
      </c>
      <c r="AI3714">
        <v>91.087828880680206</v>
      </c>
      <c r="AJ3714">
        <v>95.953612066879501</v>
      </c>
      <c r="AK3714">
        <v>59.034171318403999</v>
      </c>
      <c r="AL3714">
        <v>79.154600704815394</v>
      </c>
      <c r="AM3714">
        <v>90.047036314683396</v>
      </c>
      <c r="AN3714">
        <v>1.00000006452562</v>
      </c>
    </row>
    <row r="3715" spans="1:40" x14ac:dyDescent="0.25">
      <c r="A3715" t="str">
        <f>"20190303170612692"</f>
        <v>20190303170612692</v>
      </c>
      <c r="B3715" t="str">
        <f>"1551603972678252"</f>
        <v>1551603972678252</v>
      </c>
      <c r="C3715" t="s">
        <v>40</v>
      </c>
      <c r="D3715">
        <v>5.4772919999999896</v>
      </c>
      <c r="E3715">
        <v>0.46588370000000001</v>
      </c>
      <c r="F3715" t="s">
        <v>84</v>
      </c>
      <c r="G3715">
        <v>-293.31830000000002</v>
      </c>
      <c r="H3715" s="1">
        <v>-8.2834150000000004E-6</v>
      </c>
      <c r="I3715">
        <v>138.61490000000001</v>
      </c>
      <c r="J3715">
        <v>-237.01759999999999</v>
      </c>
      <c r="K3715">
        <v>1.120825</v>
      </c>
      <c r="L3715">
        <v>141.55269999999999</v>
      </c>
      <c r="M3715">
        <v>-0.99880910000000001</v>
      </c>
      <c r="N3715">
        <v>-3.7544599999999998E-3</v>
      </c>
      <c r="O3715">
        <v>4.8647009999999997E-2</v>
      </c>
      <c r="P3715">
        <v>-0.98173189999999999</v>
      </c>
      <c r="Q3715">
        <v>0.1834797</v>
      </c>
      <c r="R3715">
        <v>5.0377779999999997E-2</v>
      </c>
      <c r="S3715">
        <v>-3.0754700000000001</v>
      </c>
      <c r="T3715">
        <v>-6.0818669999999998E-2</v>
      </c>
      <c r="U3715">
        <v>-0.15846250000000001</v>
      </c>
      <c r="V3715">
        <v>2.0694289999999998E-3</v>
      </c>
      <c r="W3715">
        <v>0.18717510000000001</v>
      </c>
      <c r="X3715">
        <v>0.98232439999999999</v>
      </c>
      <c r="Y3715">
        <v>-9.9948919999999997E-2</v>
      </c>
      <c r="Z3715">
        <v>-1.9540820000000002E-3</v>
      </c>
      <c r="AA3715">
        <v>0.99499059999999995</v>
      </c>
      <c r="AB3715">
        <v>37</v>
      </c>
      <c r="AC3715">
        <v>-56.300699999999999</v>
      </c>
      <c r="AD3715">
        <v>-1.1208332834150001</v>
      </c>
      <c r="AE3715">
        <v>-2.9377999999999802</v>
      </c>
      <c r="AF3715">
        <v>-5.6709599218752098</v>
      </c>
      <c r="AG3715">
        <v>-1.1208332834150001</v>
      </c>
      <c r="AH3715">
        <v>56.068963404329601</v>
      </c>
      <c r="AI3715">
        <v>91.139393605860406</v>
      </c>
      <c r="AJ3715">
        <v>95.7754029302493</v>
      </c>
      <c r="AK3715">
        <v>56.366166367075103</v>
      </c>
      <c r="AL3715">
        <v>79.212028188322705</v>
      </c>
      <c r="AM3715">
        <v>89.879297132090997</v>
      </c>
      <c r="AN3715">
        <v>1.00000001371587</v>
      </c>
    </row>
    <row r="3716" spans="1:40" x14ac:dyDescent="0.25">
      <c r="A3716" t="str">
        <f>"20190303170612713"</f>
        <v>20190303170612713</v>
      </c>
      <c r="B3716" t="str">
        <f>"1551603972698748"</f>
        <v>1551603972698748</v>
      </c>
      <c r="C3716" t="s">
        <v>40</v>
      </c>
      <c r="D3716">
        <v>5.4029930000000004</v>
      </c>
      <c r="E3716">
        <v>0.46586749999999999</v>
      </c>
      <c r="F3716" t="s">
        <v>84</v>
      </c>
      <c r="G3716">
        <v>-292.76440000000002</v>
      </c>
      <c r="H3716" s="1">
        <v>-8.3840400000000008E-6</v>
      </c>
      <c r="I3716">
        <v>138.76349999999999</v>
      </c>
      <c r="J3716">
        <v>-237.35820000000001</v>
      </c>
      <c r="K3716">
        <v>1.120897</v>
      </c>
      <c r="L3716">
        <v>141.5684</v>
      </c>
      <c r="M3716">
        <v>-0.99886660000000005</v>
      </c>
      <c r="N3716">
        <v>-3.7901990000000002E-3</v>
      </c>
      <c r="O3716">
        <v>4.7447450000000002E-2</v>
      </c>
      <c r="P3716">
        <v>-0.98130490000000004</v>
      </c>
      <c r="Q3716">
        <v>0.18506739999999999</v>
      </c>
      <c r="R3716">
        <v>5.2829710000000002E-2</v>
      </c>
      <c r="S3716">
        <v>-3.0752869999999999</v>
      </c>
      <c r="T3716">
        <v>-6.1830999999999997E-2</v>
      </c>
      <c r="U3716">
        <v>-0.1538696</v>
      </c>
      <c r="V3716">
        <v>5.6863679999999998E-3</v>
      </c>
      <c r="W3716">
        <v>0.18880730000000001</v>
      </c>
      <c r="X3716">
        <v>0.98199769999999997</v>
      </c>
      <c r="Y3716">
        <v>-9.7274330000000006E-2</v>
      </c>
      <c r="Z3716">
        <v>-1.9352429999999999E-3</v>
      </c>
      <c r="AA3716">
        <v>0.99525569999999997</v>
      </c>
      <c r="AB3716">
        <v>37</v>
      </c>
      <c r="AC3716">
        <v>-55.406199999999998</v>
      </c>
      <c r="AD3716">
        <v>-1.1209053840400001</v>
      </c>
      <c r="AE3716">
        <v>-2.8048999999999999</v>
      </c>
      <c r="AF3716">
        <v>-5.4284264669254698</v>
      </c>
      <c r="AG3716">
        <v>-1.1209053840400001</v>
      </c>
      <c r="AH3716">
        <v>55.188181059883902</v>
      </c>
      <c r="AI3716">
        <v>91.157965304228597</v>
      </c>
      <c r="AJ3716">
        <v>95.617663660599504</v>
      </c>
      <c r="AK3716">
        <v>55.465841483613303</v>
      </c>
      <c r="AL3716">
        <v>79.116812302988293</v>
      </c>
      <c r="AM3716">
        <v>89.668226060316101</v>
      </c>
      <c r="AN3716">
        <v>1.0000000070598001</v>
      </c>
    </row>
    <row r="3717" spans="1:40" x14ac:dyDescent="0.25">
      <c r="A3717" t="str">
        <f>"20190303170612735"</f>
        <v>20190303170612735</v>
      </c>
      <c r="B3717" t="str">
        <f>"1551603972729004"</f>
        <v>1551603972729004</v>
      </c>
      <c r="C3717" t="s">
        <v>40</v>
      </c>
      <c r="D3717">
        <v>5.4258649999999999</v>
      </c>
      <c r="E3717">
        <v>0.46574379999999999</v>
      </c>
      <c r="F3717" t="s">
        <v>84</v>
      </c>
      <c r="G3717">
        <v>-296.99579999999997</v>
      </c>
      <c r="H3717" s="1">
        <v>-8.0022109999999995E-6</v>
      </c>
      <c r="I3717">
        <v>138.7345</v>
      </c>
      <c r="J3717">
        <v>-237.7456</v>
      </c>
      <c r="K3717">
        <v>1.1209720000000001</v>
      </c>
      <c r="L3717">
        <v>141.58580000000001</v>
      </c>
      <c r="M3717">
        <v>-0.99893270000000001</v>
      </c>
      <c r="N3717">
        <v>-3.8181589999999998E-3</v>
      </c>
      <c r="O3717">
        <v>4.603438E-2</v>
      </c>
      <c r="P3717">
        <v>-0.98073410000000005</v>
      </c>
      <c r="Q3717">
        <v>0.1875675</v>
      </c>
      <c r="R3717">
        <v>5.4586530000000001E-2</v>
      </c>
      <c r="S3717">
        <v>-3.0759280000000002</v>
      </c>
      <c r="T3717">
        <v>-5.7812809999999999E-2</v>
      </c>
      <c r="U3717">
        <v>-0.14616390000000001</v>
      </c>
      <c r="V3717">
        <v>8.8196860000000002E-3</v>
      </c>
      <c r="W3717">
        <v>0.19134280000000001</v>
      </c>
      <c r="X3717">
        <v>0.98148360000000001</v>
      </c>
      <c r="Y3717">
        <v>-9.3372650000000001E-2</v>
      </c>
      <c r="Z3717">
        <v>-1.744301E-3</v>
      </c>
      <c r="AA3717">
        <v>0.99562969999999895</v>
      </c>
      <c r="AB3717">
        <v>38</v>
      </c>
      <c r="AC3717">
        <v>-59.2501999999999</v>
      </c>
      <c r="AD3717">
        <v>-1.1209800022109999</v>
      </c>
      <c r="AE3717">
        <v>-2.8513000000000002</v>
      </c>
      <c r="AF3717">
        <v>-5.5738523657768697</v>
      </c>
      <c r="AG3717">
        <v>-1.1209800022109999</v>
      </c>
      <c r="AH3717">
        <v>59.035044124838599</v>
      </c>
      <c r="AI3717">
        <v>91.083008143504003</v>
      </c>
      <c r="AJ3717">
        <v>95.393648879104305</v>
      </c>
      <c r="AK3717">
        <v>59.308185448405602</v>
      </c>
      <c r="AL3717">
        <v>78.968840657291395</v>
      </c>
      <c r="AM3717">
        <v>89.485149641477605</v>
      </c>
      <c r="AN3717">
        <v>0.99999995552096799</v>
      </c>
    </row>
    <row r="3718" spans="1:40" x14ac:dyDescent="0.25">
      <c r="A3718" t="str">
        <f>"20190303170612760"</f>
        <v>20190303170612760</v>
      </c>
      <c r="B3718" t="str">
        <f>"1551603972748524"</f>
        <v>1551603972748524</v>
      </c>
      <c r="C3718" t="s">
        <v>40</v>
      </c>
      <c r="D3718">
        <v>5.4347320000000003</v>
      </c>
      <c r="E3718">
        <v>0.46557799999999999</v>
      </c>
      <c r="F3718" t="s">
        <v>84</v>
      </c>
      <c r="G3718">
        <v>-308.8304</v>
      </c>
      <c r="H3718" s="1">
        <v>-8.9082819999999998E-6</v>
      </c>
      <c r="I3718">
        <v>138.30789999999999</v>
      </c>
      <c r="J3718">
        <v>-238.15100000000001</v>
      </c>
      <c r="K3718">
        <v>1.121035</v>
      </c>
      <c r="L3718">
        <v>141.60329999999999</v>
      </c>
      <c r="M3718">
        <v>-0.99900140000000004</v>
      </c>
      <c r="N3718">
        <v>-3.836178E-3</v>
      </c>
      <c r="O3718">
        <v>4.451658E-2</v>
      </c>
      <c r="P3718">
        <v>-0.98046529999999998</v>
      </c>
      <c r="Q3718">
        <v>0.18895600000000001</v>
      </c>
      <c r="R3718">
        <v>5.462297E-2</v>
      </c>
      <c r="S3718">
        <v>-3.0760960000000002</v>
      </c>
      <c r="T3718">
        <v>-4.8508879999999997E-2</v>
      </c>
      <c r="U3718">
        <v>-0.14184569999999999</v>
      </c>
      <c r="V3718">
        <v>1.032721E-2</v>
      </c>
      <c r="W3718">
        <v>0.19275410000000001</v>
      </c>
      <c r="X3718">
        <v>0.98119279999999998</v>
      </c>
      <c r="Y3718">
        <v>-9.0470159999999994E-2</v>
      </c>
      <c r="Z3718">
        <v>-1.4174789999999999E-3</v>
      </c>
      <c r="AA3718">
        <v>0.99589819999999996</v>
      </c>
      <c r="AB3718">
        <v>38</v>
      </c>
      <c r="AC3718">
        <v>-70.679400000000001</v>
      </c>
      <c r="AD3718">
        <v>-1.1210439082820001</v>
      </c>
      <c r="AE3718">
        <v>-3.2953999999999999</v>
      </c>
      <c r="AF3718">
        <v>-6.4369451511199198</v>
      </c>
      <c r="AG3718">
        <v>-1.1210439082820001</v>
      </c>
      <c r="AH3718">
        <v>70.444946233595502</v>
      </c>
      <c r="AI3718">
        <v>90.907932408054293</v>
      </c>
      <c r="AJ3718">
        <v>95.220934413360695</v>
      </c>
      <c r="AK3718">
        <v>70.747307031271404</v>
      </c>
      <c r="AL3718">
        <v>78.886446452522904</v>
      </c>
      <c r="AM3718">
        <v>89.396975090840698</v>
      </c>
      <c r="AN3718">
        <v>1.0000000525525099</v>
      </c>
    </row>
    <row r="3719" spans="1:40" x14ac:dyDescent="0.25">
      <c r="A3719" t="str">
        <f>"20190303170612779"</f>
        <v>20190303170612779</v>
      </c>
      <c r="B3719" t="str">
        <f>"1551603972769020"</f>
        <v>1551603972769020</v>
      </c>
      <c r="C3719" t="s">
        <v>40</v>
      </c>
      <c r="D3719">
        <v>5.4041739999999896</v>
      </c>
      <c r="E3719">
        <v>0.4653465</v>
      </c>
      <c r="F3719" t="s">
        <v>84</v>
      </c>
      <c r="G3719">
        <v>-317.14929999999998</v>
      </c>
      <c r="H3719" s="1">
        <v>-6.0924600000000003E-6</v>
      </c>
      <c r="I3719">
        <v>137.92840000000001</v>
      </c>
      <c r="J3719">
        <v>-238.49019999999999</v>
      </c>
      <c r="K3719">
        <v>1.1210659999999999</v>
      </c>
      <c r="L3719">
        <v>141.6174</v>
      </c>
      <c r="M3719">
        <v>-0.99905809999999995</v>
      </c>
      <c r="N3719">
        <v>-3.8417680000000002E-3</v>
      </c>
      <c r="O3719">
        <v>4.3223619999999997E-2</v>
      </c>
      <c r="P3719">
        <v>-0.98080489999999998</v>
      </c>
      <c r="Q3719">
        <v>0.18745980000000001</v>
      </c>
      <c r="R3719">
        <v>5.3674989999999999E-2</v>
      </c>
      <c r="S3719">
        <v>-3.0761569999999998</v>
      </c>
      <c r="T3719">
        <v>-4.365277E-2</v>
      </c>
      <c r="U3719">
        <v>-0.1430969</v>
      </c>
      <c r="V3719">
        <v>1.062081E-2</v>
      </c>
      <c r="W3719">
        <v>0.19126650000000001</v>
      </c>
      <c r="X3719">
        <v>0.98148069999999998</v>
      </c>
      <c r="Y3719">
        <v>-8.9587910000000007E-2</v>
      </c>
      <c r="Z3719">
        <v>-1.254539E-3</v>
      </c>
      <c r="AA3719">
        <v>0.99597809999999998</v>
      </c>
      <c r="AB3719">
        <v>38</v>
      </c>
      <c r="AC3719">
        <v>-78.659099999999995</v>
      </c>
      <c r="AD3719">
        <v>-1.1210720924599999</v>
      </c>
      <c r="AE3719">
        <v>-3.6889999999999898</v>
      </c>
      <c r="AF3719">
        <v>-7.0840724015834802</v>
      </c>
      <c r="AG3719">
        <v>-1.1210720924599999</v>
      </c>
      <c r="AH3719">
        <v>78.410240471083199</v>
      </c>
      <c r="AI3719">
        <v>90.815809539452303</v>
      </c>
      <c r="AJ3719">
        <v>95.162444089930005</v>
      </c>
      <c r="AK3719">
        <v>78.737581212280503</v>
      </c>
      <c r="AL3719">
        <v>78.973295306846296</v>
      </c>
      <c r="AM3719">
        <v>89.380014464777304</v>
      </c>
      <c r="AN3719">
        <v>1.00000002004989</v>
      </c>
    </row>
    <row r="3720" spans="1:40" x14ac:dyDescent="0.25">
      <c r="A3720" t="str">
        <f>"20190303170612802"</f>
        <v>20190303170612802</v>
      </c>
      <c r="B3720" t="str">
        <f>"1551603972788540"</f>
        <v>1551603972788540</v>
      </c>
      <c r="C3720" t="s">
        <v>40</v>
      </c>
      <c r="D3720">
        <v>5.4189150000000001</v>
      </c>
      <c r="E3720">
        <v>0.46511999999999998</v>
      </c>
      <c r="F3720" t="s">
        <v>84</v>
      </c>
      <c r="G3720">
        <v>-310.53399999999999</v>
      </c>
      <c r="H3720" s="1">
        <v>-8.8245489999999905E-6</v>
      </c>
      <c r="I3720">
        <v>138.16829999999999</v>
      </c>
      <c r="J3720">
        <v>-238.86930000000001</v>
      </c>
      <c r="K3720">
        <v>1.1210910000000001</v>
      </c>
      <c r="L3720">
        <v>141.6328</v>
      </c>
      <c r="M3720">
        <v>-0.99912029999999996</v>
      </c>
      <c r="N3720">
        <v>-3.8371170000000001E-3</v>
      </c>
      <c r="O3720">
        <v>4.1763689999999999E-2</v>
      </c>
      <c r="P3720">
        <v>-0.98085140000000004</v>
      </c>
      <c r="Q3720">
        <v>0.18733849999999999</v>
      </c>
      <c r="R3720">
        <v>5.3247309999999999E-2</v>
      </c>
      <c r="S3720">
        <v>-3.0759280000000002</v>
      </c>
      <c r="T3720">
        <v>-4.786456E-2</v>
      </c>
      <c r="U3720">
        <v>-0.14726259999999999</v>
      </c>
      <c r="V3720">
        <v>1.1608459999999999E-2</v>
      </c>
      <c r="W3720">
        <v>0.19114529999999999</v>
      </c>
      <c r="X3720">
        <v>0.98149310000000001</v>
      </c>
      <c r="Y3720">
        <v>-8.9479199999999995E-2</v>
      </c>
      <c r="Z3720">
        <v>-1.356882E-3</v>
      </c>
      <c r="AA3720">
        <v>0.99598779999999998</v>
      </c>
      <c r="AB3720">
        <v>38</v>
      </c>
      <c r="AC3720">
        <v>-71.664699999999897</v>
      </c>
      <c r="AD3720">
        <v>-1.121099824549</v>
      </c>
      <c r="AE3720">
        <v>-3.4645000000000099</v>
      </c>
      <c r="AF3720">
        <v>-6.45290562808853</v>
      </c>
      <c r="AG3720">
        <v>-1.121099824549</v>
      </c>
      <c r="AH3720">
        <v>71.440039095514507</v>
      </c>
      <c r="AI3720">
        <v>90.895417129779901</v>
      </c>
      <c r="AJ3720">
        <v>95.161302431247293</v>
      </c>
      <c r="AK3720">
        <v>71.739640658636304</v>
      </c>
      <c r="AL3720">
        <v>78.980369791218095</v>
      </c>
      <c r="AM3720">
        <v>89.322374498858196</v>
      </c>
      <c r="AN3720">
        <v>0.99999999370163495</v>
      </c>
    </row>
    <row r="3721" spans="1:40" x14ac:dyDescent="0.25">
      <c r="A3721" t="str">
        <f>"20190303170612826"</f>
        <v>20190303170612826</v>
      </c>
      <c r="B3721" t="str">
        <f>"1551603972818795"</f>
        <v>1551603972818795</v>
      </c>
      <c r="C3721" t="s">
        <v>40</v>
      </c>
      <c r="D3721">
        <v>5.4398359999999997</v>
      </c>
      <c r="E3721">
        <v>0.4648718</v>
      </c>
      <c r="F3721" t="s">
        <v>84</v>
      </c>
      <c r="G3721">
        <v>-311.04410000000001</v>
      </c>
      <c r="H3721" s="1">
        <v>-8.6159059999999997E-6</v>
      </c>
      <c r="I3721">
        <v>138.11420000000001</v>
      </c>
      <c r="J3721">
        <v>-239.27690000000001</v>
      </c>
      <c r="K3721">
        <v>1.1211249999999999</v>
      </c>
      <c r="L3721">
        <v>141.64859999999999</v>
      </c>
      <c r="M3721">
        <v>-0.99918510000000005</v>
      </c>
      <c r="N3721">
        <v>-3.8207150000000001E-3</v>
      </c>
      <c r="O3721">
        <v>4.0183450000000002E-2</v>
      </c>
      <c r="P3721">
        <v>-0.98052360000000005</v>
      </c>
      <c r="Q3721">
        <v>0.18908620000000001</v>
      </c>
      <c r="R3721">
        <v>5.3100410000000001E-2</v>
      </c>
      <c r="S3721">
        <v>-3.0758510000000001</v>
      </c>
      <c r="T3721">
        <v>-4.7777529999999999E-2</v>
      </c>
      <c r="U3721">
        <v>-0.1499481</v>
      </c>
      <c r="V3721">
        <v>1.300569E-2</v>
      </c>
      <c r="W3721">
        <v>0.19288140000000001</v>
      </c>
      <c r="X3721">
        <v>0.98113589999999995</v>
      </c>
      <c r="Y3721">
        <v>-8.8772970000000007E-2</v>
      </c>
      <c r="Z3721">
        <v>-1.3290789999999999E-3</v>
      </c>
      <c r="AA3721">
        <v>0.99605100000000002</v>
      </c>
      <c r="AB3721">
        <v>38</v>
      </c>
      <c r="AC3721">
        <v>-71.767200000000003</v>
      </c>
      <c r="AD3721">
        <v>-1.1211336159059999</v>
      </c>
      <c r="AE3721">
        <v>-3.53439999999997</v>
      </c>
      <c r="AF3721">
        <v>-6.41385832869081</v>
      </c>
      <c r="AG3721">
        <v>-1.1211336159059999</v>
      </c>
      <c r="AH3721">
        <v>71.5497899163976</v>
      </c>
      <c r="AI3721">
        <v>90.894125411324197</v>
      </c>
      <c r="AJ3721">
        <v>95.122410523942605</v>
      </c>
      <c r="AK3721">
        <v>71.845437964604699</v>
      </c>
      <c r="AL3721">
        <v>78.879012827188703</v>
      </c>
      <c r="AM3721">
        <v>89.240546079928194</v>
      </c>
      <c r="AN3721">
        <v>1.00000001835357</v>
      </c>
    </row>
    <row r="3722" spans="1:40" x14ac:dyDescent="0.25">
      <c r="A3722" t="str">
        <f>"20190303170612847"</f>
        <v>20190303170612847</v>
      </c>
      <c r="B3722" t="str">
        <f>"1551603972838316"</f>
        <v>1551603972838316</v>
      </c>
      <c r="C3722" t="s">
        <v>40</v>
      </c>
      <c r="D3722">
        <v>5.3989279999999997</v>
      </c>
      <c r="E3722">
        <v>0.46463270000000001</v>
      </c>
      <c r="F3722" t="s">
        <v>41</v>
      </c>
      <c r="G3722">
        <v>-321.69540000000001</v>
      </c>
      <c r="H3722" s="1">
        <v>-3.911455E-6</v>
      </c>
      <c r="I3722">
        <v>137.55019999999999</v>
      </c>
      <c r="J3722">
        <v>-239.649</v>
      </c>
      <c r="K3722">
        <v>1.1211530000000001</v>
      </c>
      <c r="L3722">
        <v>141.66249999999999</v>
      </c>
      <c r="M3722">
        <v>-0.99924230000000003</v>
      </c>
      <c r="N3722">
        <v>-3.8023039999999998E-3</v>
      </c>
      <c r="O3722">
        <v>3.8738229999999998E-2</v>
      </c>
      <c r="P3722">
        <v>-0.97998180000000001</v>
      </c>
      <c r="Q3722">
        <v>0.19169230000000001</v>
      </c>
      <c r="R3722">
        <v>5.3758930000000003E-2</v>
      </c>
      <c r="S3722">
        <v>-3.0759430000000001</v>
      </c>
      <c r="T3722">
        <v>-4.1841749999999997E-2</v>
      </c>
      <c r="U3722">
        <v>-0.15295410000000001</v>
      </c>
      <c r="V3722">
        <v>1.508318E-2</v>
      </c>
      <c r="W3722">
        <v>0.1954756</v>
      </c>
      <c r="X3722">
        <v>0.98059249999999998</v>
      </c>
      <c r="Y3722">
        <v>-8.8305700000000001E-2</v>
      </c>
      <c r="Z3722">
        <v>-1.147644E-3</v>
      </c>
      <c r="AA3722">
        <v>0.99609270000000005</v>
      </c>
      <c r="AB3722">
        <v>38</v>
      </c>
      <c r="AC3722">
        <v>-82.046400000000006</v>
      </c>
      <c r="AD3722">
        <v>-1.121156911455</v>
      </c>
      <c r="AE3722">
        <v>-4.1123000000000003</v>
      </c>
      <c r="AF3722">
        <v>-7.28621093288855</v>
      </c>
      <c r="AG3722">
        <v>-1.121156911455</v>
      </c>
      <c r="AH3722">
        <v>81.810272038824905</v>
      </c>
      <c r="AI3722">
        <v>90.782057319865203</v>
      </c>
      <c r="AJ3722">
        <v>95.089465504215596</v>
      </c>
      <c r="AK3722">
        <v>82.141746229582907</v>
      </c>
      <c r="AL3722">
        <v>78.727491067625706</v>
      </c>
      <c r="AM3722">
        <v>89.118762983110798</v>
      </c>
      <c r="AN3722">
        <v>0.99999993178525803</v>
      </c>
    </row>
    <row r="3723" spans="1:40" x14ac:dyDescent="0.25">
      <c r="A3723" t="str">
        <f>"20190303170612869"</f>
        <v>20190303170612869</v>
      </c>
      <c r="B3723" t="str">
        <f>"1551603972858812"</f>
        <v>1551603972858812</v>
      </c>
      <c r="C3723" t="s">
        <v>40</v>
      </c>
      <c r="D3723">
        <v>5.4207409999999996</v>
      </c>
      <c r="E3723">
        <v>0.46442410000000001</v>
      </c>
      <c r="F3723" t="s">
        <v>41</v>
      </c>
      <c r="G3723">
        <v>-343.42849999999999</v>
      </c>
      <c r="H3723" s="1">
        <v>-3.3551159999999999E-6</v>
      </c>
      <c r="I3723">
        <v>136.49510000000001</v>
      </c>
      <c r="J3723">
        <v>-240.0275</v>
      </c>
      <c r="K3723">
        <v>1.1211660000000001</v>
      </c>
      <c r="L3723">
        <v>141.67609999999999</v>
      </c>
      <c r="M3723">
        <v>-0.99929820000000003</v>
      </c>
      <c r="N3723">
        <v>-3.7830279999999999E-3</v>
      </c>
      <c r="O3723">
        <v>3.726877E-2</v>
      </c>
      <c r="P3723">
        <v>-0.97975619999999997</v>
      </c>
      <c r="Q3723">
        <v>0.1928897</v>
      </c>
      <c r="R3723">
        <v>5.3584970000000003E-2</v>
      </c>
      <c r="S3723">
        <v>-3.0762019999999999</v>
      </c>
      <c r="T3723">
        <v>-3.323305E-2</v>
      </c>
      <c r="U3723">
        <v>-0.15316769999999999</v>
      </c>
      <c r="V3723">
        <v>1.6344750000000002E-2</v>
      </c>
      <c r="W3723">
        <v>0.19665859999999999</v>
      </c>
      <c r="X3723">
        <v>0.98033579999999998</v>
      </c>
      <c r="Y3723">
        <v>-8.6910199999999896E-2</v>
      </c>
      <c r="Z3723">
        <v>-8.9514939999999995E-4</v>
      </c>
      <c r="AA3723">
        <v>0.99621579999999998</v>
      </c>
      <c r="AB3723">
        <v>39</v>
      </c>
      <c r="AC3723">
        <v>-103.400999999999</v>
      </c>
      <c r="AD3723">
        <v>-1.12116935511599</v>
      </c>
      <c r="AE3723">
        <v>-5.1809999999999796</v>
      </c>
      <c r="AF3723">
        <v>-9.0299969496835395</v>
      </c>
      <c r="AG3723">
        <v>-1.12116935511599</v>
      </c>
      <c r="AH3723">
        <v>103.123979354094</v>
      </c>
      <c r="AI3723">
        <v>90.620523986213499</v>
      </c>
      <c r="AJ3723">
        <v>95.004310564484797</v>
      </c>
      <c r="AK3723">
        <v>103.524649158825</v>
      </c>
      <c r="AL3723">
        <v>78.658369509648793</v>
      </c>
      <c r="AM3723">
        <v>89.044818690402593</v>
      </c>
      <c r="AN3723">
        <v>1.00000001828408</v>
      </c>
    </row>
    <row r="3724" spans="1:40" x14ac:dyDescent="0.25">
      <c r="A3724" t="str">
        <f>"20190303170612894"</f>
        <v>20190303170612894</v>
      </c>
      <c r="B3724" t="str">
        <f>"1551603972889068"</f>
        <v>1551603972889068</v>
      </c>
      <c r="C3724" t="s">
        <v>40</v>
      </c>
      <c r="D3724">
        <v>5.4177269999999904</v>
      </c>
      <c r="E3724">
        <v>0.46416940000000001</v>
      </c>
      <c r="F3724" t="s">
        <v>41</v>
      </c>
      <c r="G3724">
        <v>-358.26580000000001</v>
      </c>
      <c r="H3724" s="1">
        <v>-1.6184869999999999E-6</v>
      </c>
      <c r="I3724">
        <v>135.69909999999999</v>
      </c>
      <c r="J3724">
        <v>-240.45249999999999</v>
      </c>
      <c r="K3724">
        <v>1.1211789999999999</v>
      </c>
      <c r="L3724">
        <v>141.69069999999999</v>
      </c>
      <c r="M3724">
        <v>-0.99935839999999998</v>
      </c>
      <c r="N3724">
        <v>-3.7590929999999998E-3</v>
      </c>
      <c r="O3724">
        <v>3.5620869999999999E-2</v>
      </c>
      <c r="P3724">
        <v>-0.97985509999999998</v>
      </c>
      <c r="Q3724">
        <v>0.19254930000000001</v>
      </c>
      <c r="R3724">
        <v>5.2999110000000002E-2</v>
      </c>
      <c r="S3724">
        <v>-3.0762330000000002</v>
      </c>
      <c r="T3724">
        <v>-2.916968E-2</v>
      </c>
      <c r="U3724">
        <v>-0.15550229999999901</v>
      </c>
      <c r="V3724">
        <v>1.7362889999999999E-2</v>
      </c>
      <c r="W3724">
        <v>0.196299</v>
      </c>
      <c r="X3724">
        <v>0.9803904</v>
      </c>
      <c r="Y3724">
        <v>-8.602282E-2</v>
      </c>
      <c r="Z3724">
        <v>-7.7312889999999997E-4</v>
      </c>
      <c r="AA3724">
        <v>0.99629290000000004</v>
      </c>
      <c r="AB3724">
        <v>39</v>
      </c>
      <c r="AC3724">
        <v>-117.8133</v>
      </c>
      <c r="AD3724">
        <v>-1.1211806184869999</v>
      </c>
      <c r="AE3724">
        <v>-5.9916</v>
      </c>
      <c r="AF3724">
        <v>-10.183519133121401</v>
      </c>
      <c r="AG3724">
        <v>-1.1211806184869999</v>
      </c>
      <c r="AH3724">
        <v>117.514488954211</v>
      </c>
      <c r="AI3724">
        <v>90.5445893411882</v>
      </c>
      <c r="AJ3724">
        <v>94.952739717494794</v>
      </c>
      <c r="AK3724">
        <v>117.96023152776201</v>
      </c>
      <c r="AL3724">
        <v>78.6793830438301</v>
      </c>
      <c r="AM3724">
        <v>88.985387527149896</v>
      </c>
      <c r="AN3724">
        <v>1.00000005188115</v>
      </c>
    </row>
    <row r="3725" spans="1:40" x14ac:dyDescent="0.25">
      <c r="A3725" t="str">
        <f>"20190303170612916"</f>
        <v>20190303170612916</v>
      </c>
      <c r="B3725" t="str">
        <f>"1551603972908588"</f>
        <v>1551603972908588</v>
      </c>
      <c r="C3725" t="s">
        <v>40</v>
      </c>
      <c r="D3725">
        <v>5.4288499999999997</v>
      </c>
      <c r="E3725">
        <v>0.46397490000000002</v>
      </c>
      <c r="F3725" t="s">
        <v>41</v>
      </c>
      <c r="G3725">
        <v>-351.36110000000002</v>
      </c>
      <c r="H3725" s="1">
        <v>-4.3378619999999998E-6</v>
      </c>
      <c r="I3725">
        <v>135.9547</v>
      </c>
      <c r="J3725">
        <v>-240.83439999999999</v>
      </c>
      <c r="K3725">
        <v>1.1211899999999999</v>
      </c>
      <c r="L3725">
        <v>141.70320000000001</v>
      </c>
      <c r="M3725">
        <v>-0.99941000000000002</v>
      </c>
      <c r="N3725">
        <v>-3.737673E-3</v>
      </c>
      <c r="O3725">
        <v>3.4143109999999997E-2</v>
      </c>
      <c r="P3725">
        <v>-0.98010529999999996</v>
      </c>
      <c r="Q3725">
        <v>0.19136329999999999</v>
      </c>
      <c r="R3725">
        <v>5.2668149999999997E-2</v>
      </c>
      <c r="S3725">
        <v>-3.0764010000000002</v>
      </c>
      <c r="T3725">
        <v>-3.1099559999999998E-2</v>
      </c>
      <c r="U3725">
        <v>-0.15910339999999901</v>
      </c>
      <c r="V3725">
        <v>1.8468809999999999E-2</v>
      </c>
      <c r="W3725">
        <v>0.19509770000000001</v>
      </c>
      <c r="X3725">
        <v>0.98060990000000003</v>
      </c>
      <c r="Y3725">
        <v>-8.5709350000000004E-2</v>
      </c>
      <c r="Z3725">
        <v>-8.1063299999999995E-4</v>
      </c>
      <c r="AA3725">
        <v>0.99631979999999998</v>
      </c>
      <c r="AB3725">
        <v>39</v>
      </c>
      <c r="AC3725">
        <v>-110.52670000000001</v>
      </c>
      <c r="AD3725">
        <v>-1.121194337862</v>
      </c>
      <c r="AE3725">
        <v>-5.7484999999999999</v>
      </c>
      <c r="AF3725">
        <v>-9.5179230382000704</v>
      </c>
      <c r="AG3725">
        <v>-1.121194337862</v>
      </c>
      <c r="AH3725">
        <v>110.25466901525201</v>
      </c>
      <c r="AI3725">
        <v>90.580469536994499</v>
      </c>
      <c r="AJ3725">
        <v>94.9339241454785</v>
      </c>
      <c r="AK3725">
        <v>110.670411471934</v>
      </c>
      <c r="AL3725">
        <v>78.749568907798803</v>
      </c>
      <c r="AM3725">
        <v>88.921018671556098</v>
      </c>
      <c r="AN3725">
        <v>0.99999999273305795</v>
      </c>
    </row>
    <row r="3726" spans="1:40" x14ac:dyDescent="0.25">
      <c r="A3726" t="str">
        <f>"20190303170612937"</f>
        <v>20190303170612937</v>
      </c>
      <c r="B3726" t="str">
        <f>"1551603972929084"</f>
        <v>1551603972929084</v>
      </c>
      <c r="C3726" t="s">
        <v>40</v>
      </c>
      <c r="D3726">
        <v>5.4541539999999999</v>
      </c>
      <c r="E3726">
        <v>0.46377380000000001</v>
      </c>
      <c r="F3726" t="s">
        <v>41</v>
      </c>
      <c r="G3726">
        <v>-339.16879999999998</v>
      </c>
      <c r="H3726" s="1">
        <v>-1.120993E-6</v>
      </c>
      <c r="I3726">
        <v>136.54349999999999</v>
      </c>
      <c r="J3726">
        <v>-241.2132</v>
      </c>
      <c r="K3726">
        <v>1.1212009999999999</v>
      </c>
      <c r="L3726">
        <v>141.71520000000001</v>
      </c>
      <c r="M3726">
        <v>-0.99945910000000004</v>
      </c>
      <c r="N3726">
        <v>-3.7185120000000002E-3</v>
      </c>
      <c r="O3726">
        <v>3.2680679999999997E-2</v>
      </c>
      <c r="P3726">
        <v>-0.98029100000000002</v>
      </c>
      <c r="Q3726">
        <v>0.190692</v>
      </c>
      <c r="R3726">
        <v>5.163881E-2</v>
      </c>
      <c r="S3726">
        <v>-3.076416</v>
      </c>
      <c r="T3726">
        <v>-3.5076740000000002E-2</v>
      </c>
      <c r="U3726">
        <v>-0.1614227</v>
      </c>
      <c r="V3726">
        <v>1.886353E-2</v>
      </c>
      <c r="W3726">
        <v>0.19441069999999999</v>
      </c>
      <c r="X3726">
        <v>0.98073880000000002</v>
      </c>
      <c r="Y3726">
        <v>-8.4998679999999993E-2</v>
      </c>
      <c r="Z3726">
        <v>-8.9332429999999905E-4</v>
      </c>
      <c r="AA3726">
        <v>0.99638070000000001</v>
      </c>
      <c r="AB3726">
        <v>39</v>
      </c>
      <c r="AC3726">
        <v>-97.955599999999905</v>
      </c>
      <c r="AD3726">
        <v>-1.1212021209929901</v>
      </c>
      <c r="AE3726">
        <v>-5.1717000000000102</v>
      </c>
      <c r="AF3726">
        <v>-8.3691212601770992</v>
      </c>
      <c r="AG3726">
        <v>-1.1212021209929901</v>
      </c>
      <c r="AH3726">
        <v>97.721492855012301</v>
      </c>
      <c r="AI3726">
        <v>90.654953769740402</v>
      </c>
      <c r="AJ3726">
        <v>94.895014243953597</v>
      </c>
      <c r="AK3726">
        <v>98.085623057999101</v>
      </c>
      <c r="AL3726">
        <v>78.789699308266904</v>
      </c>
      <c r="AM3726">
        <v>88.898108848421103</v>
      </c>
      <c r="AN3726">
        <v>0.99999997343199498</v>
      </c>
    </row>
    <row r="3727" spans="1:40" x14ac:dyDescent="0.25">
      <c r="A3727" t="str">
        <f>"20190303170612959"</f>
        <v>20190303170612959</v>
      </c>
      <c r="B3727" t="str">
        <f>"1551603972948604"</f>
        <v>1551603972948604</v>
      </c>
      <c r="C3727" t="s">
        <v>40</v>
      </c>
      <c r="D3727">
        <v>5.4770089999999998</v>
      </c>
      <c r="E3727">
        <v>0.46359990000000001</v>
      </c>
      <c r="F3727" t="s">
        <v>41</v>
      </c>
      <c r="G3727">
        <v>-334.51440000000002</v>
      </c>
      <c r="H3727" s="1">
        <v>-3.0968679999999999E-6</v>
      </c>
      <c r="I3727">
        <v>136.6662</v>
      </c>
      <c r="J3727">
        <v>-241.5943</v>
      </c>
      <c r="K3727">
        <v>1.121211</v>
      </c>
      <c r="L3727">
        <v>141.72659999999999</v>
      </c>
      <c r="M3727">
        <v>-0.99950600000000001</v>
      </c>
      <c r="N3727">
        <v>-3.7019280000000002E-3</v>
      </c>
      <c r="O3727">
        <v>3.1211630000000001E-2</v>
      </c>
      <c r="P3727">
        <v>-0.98026259999999998</v>
      </c>
      <c r="Q3727">
        <v>0.19101360000000001</v>
      </c>
      <c r="R3727">
        <v>5.0981800000000001E-2</v>
      </c>
      <c r="S3727">
        <v>-3.076279</v>
      </c>
      <c r="T3727">
        <v>-3.6967750000000001E-2</v>
      </c>
      <c r="U3727">
        <v>-0.16647339999999999</v>
      </c>
      <c r="V3727">
        <v>1.9640890000000001E-2</v>
      </c>
      <c r="W3727">
        <v>0.19471939999999999</v>
      </c>
      <c r="X3727">
        <v>0.98066229999999999</v>
      </c>
      <c r="Y3727">
        <v>-8.5166950000000005E-2</v>
      </c>
      <c r="Z3727">
        <v>-9.2847009999999996E-4</v>
      </c>
      <c r="AA3727">
        <v>0.99636630000000004</v>
      </c>
      <c r="AB3727">
        <v>39</v>
      </c>
      <c r="AC3727">
        <v>-92.920100000000005</v>
      </c>
      <c r="AD3727">
        <v>-1.121214096868</v>
      </c>
      <c r="AE3727">
        <v>-5.06039999999998</v>
      </c>
      <c r="AF3727">
        <v>-7.9569869175973702</v>
      </c>
      <c r="AG3727">
        <v>-1.121214096868</v>
      </c>
      <c r="AH3727">
        <v>92.703426563624703</v>
      </c>
      <c r="AI3727">
        <v>90.690399486632998</v>
      </c>
      <c r="AJ3727">
        <v>94.905828472279495</v>
      </c>
      <c r="AK3727">
        <v>93.051040072076503</v>
      </c>
      <c r="AL3727">
        <v>78.771667557520701</v>
      </c>
      <c r="AM3727">
        <v>88.852622691343299</v>
      </c>
      <c r="AN3727">
        <v>0.99999997796882001</v>
      </c>
    </row>
    <row r="3728" spans="1:40" x14ac:dyDescent="0.25">
      <c r="A3728" t="str">
        <f>"20190303170612980"</f>
        <v>20190303170612980</v>
      </c>
      <c r="B3728" t="str">
        <f>"1551603972968124"</f>
        <v>1551603972968124</v>
      </c>
      <c r="C3728" t="s">
        <v>40</v>
      </c>
      <c r="D3728">
        <v>5.4755229999999999</v>
      </c>
      <c r="E3728">
        <v>0.46341709999999903</v>
      </c>
      <c r="F3728" t="s">
        <v>41</v>
      </c>
      <c r="G3728">
        <v>-336.36689999999999</v>
      </c>
      <c r="H3728" s="1">
        <v>-2.251086E-6</v>
      </c>
      <c r="I3728">
        <v>136.4975</v>
      </c>
      <c r="J3728">
        <v>-241.977</v>
      </c>
      <c r="K3728">
        <v>1.121219</v>
      </c>
      <c r="L3728">
        <v>141.73750000000001</v>
      </c>
      <c r="M3728">
        <v>-0.99955090000000002</v>
      </c>
      <c r="N3728">
        <v>-3.6882970000000001E-3</v>
      </c>
      <c r="O3728">
        <v>2.9738290000000001E-2</v>
      </c>
      <c r="P3728">
        <v>-0.9801858</v>
      </c>
      <c r="Q3728">
        <v>0.19161719999999999</v>
      </c>
      <c r="R3728">
        <v>5.0186540000000002E-2</v>
      </c>
      <c r="S3728">
        <v>-3.0763400000000001</v>
      </c>
      <c r="T3728">
        <v>-3.6394830000000003E-2</v>
      </c>
      <c r="U3728">
        <v>-0.1697388</v>
      </c>
      <c r="V3728">
        <v>2.0285020000000001E-2</v>
      </c>
      <c r="W3728">
        <v>0.1953124</v>
      </c>
      <c r="X3728">
        <v>0.98053129999999999</v>
      </c>
      <c r="Y3728">
        <v>-8.4751980000000005E-2</v>
      </c>
      <c r="Z3728">
        <v>-8.9934170000000003E-4</v>
      </c>
      <c r="AA3728">
        <v>0.99640169999999995</v>
      </c>
      <c r="AB3728">
        <v>39</v>
      </c>
      <c r="AC3728">
        <v>-94.389899999999898</v>
      </c>
      <c r="AD3728">
        <v>-1.121221251086</v>
      </c>
      <c r="AE3728">
        <v>-5.24</v>
      </c>
      <c r="AF3728">
        <v>-8.0435642979290503</v>
      </c>
      <c r="AG3728">
        <v>-1.121221251086</v>
      </c>
      <c r="AH3728">
        <v>94.179074913828799</v>
      </c>
      <c r="AI3728">
        <v>90.679611876278301</v>
      </c>
      <c r="AJ3728">
        <v>94.881621506703496</v>
      </c>
      <c r="AK3728">
        <v>94.528589407297204</v>
      </c>
      <c r="AL3728">
        <v>78.737026557975298</v>
      </c>
      <c r="AM3728">
        <v>88.814846330583507</v>
      </c>
      <c r="AN3728">
        <v>1.00000002295492</v>
      </c>
    </row>
    <row r="3729" spans="1:40" x14ac:dyDescent="0.25">
      <c r="A3729" t="str">
        <f>"20190303170613004"</f>
        <v>20190303170613004</v>
      </c>
      <c r="B3729" t="str">
        <f>"1551603972998380"</f>
        <v>1551603972998380</v>
      </c>
      <c r="C3729" t="s">
        <v>40</v>
      </c>
      <c r="D3729">
        <v>5.4687479999999997</v>
      </c>
      <c r="E3729">
        <v>0.463173</v>
      </c>
      <c r="F3729" t="s">
        <v>41</v>
      </c>
      <c r="G3729">
        <v>-341.46949999999998</v>
      </c>
      <c r="H3729" s="1">
        <v>-4.2622380000000002E-6</v>
      </c>
      <c r="I3729">
        <v>136.119</v>
      </c>
      <c r="J3729">
        <v>-242.374</v>
      </c>
      <c r="K3729">
        <v>1.121235</v>
      </c>
      <c r="L3729">
        <v>141.7482</v>
      </c>
      <c r="M3729">
        <v>-0.99959529999999996</v>
      </c>
      <c r="N3729">
        <v>-3.6771709999999999E-3</v>
      </c>
      <c r="O3729">
        <v>2.8211190000000001E-2</v>
      </c>
      <c r="P3729">
        <v>-0.98006769999999999</v>
      </c>
      <c r="Q3729">
        <v>0.1924688</v>
      </c>
      <c r="R3729">
        <v>4.9226939999999997E-2</v>
      </c>
      <c r="S3729">
        <v>-3.0763240000000001</v>
      </c>
      <c r="T3729">
        <v>-3.4668450000000003E-2</v>
      </c>
      <c r="U3729">
        <v>-0.1737213</v>
      </c>
      <c r="V3729">
        <v>2.0817789999999999E-2</v>
      </c>
      <c r="W3729">
        <v>0.196155</v>
      </c>
      <c r="X3729">
        <v>0.98035190000000005</v>
      </c>
      <c r="Y3729">
        <v>-8.4516759999999996E-2</v>
      </c>
      <c r="Z3729">
        <v>-8.454062E-4</v>
      </c>
      <c r="AA3729">
        <v>0.99642169999999997</v>
      </c>
      <c r="AB3729">
        <v>39</v>
      </c>
      <c r="AC3729">
        <v>-99.095499999999902</v>
      </c>
      <c r="AD3729">
        <v>-1.1212392622380001</v>
      </c>
      <c r="AE3729">
        <v>-5.6291999999999902</v>
      </c>
      <c r="AF3729">
        <v>-8.4215054450749598</v>
      </c>
      <c r="AG3729">
        <v>-1.1212392622380001</v>
      </c>
      <c r="AH3729">
        <v>98.884631693559697</v>
      </c>
      <c r="AI3729">
        <v>90.647298129254096</v>
      </c>
      <c r="AJ3729">
        <v>94.867846354518903</v>
      </c>
      <c r="AK3729">
        <v>99.248926022479296</v>
      </c>
      <c r="AL3729">
        <v>78.687796695381294</v>
      </c>
      <c r="AM3729">
        <v>88.783505932518693</v>
      </c>
      <c r="AN3729">
        <v>1.00000000611954</v>
      </c>
    </row>
    <row r="3730" spans="1:40" x14ac:dyDescent="0.25">
      <c r="A3730" t="str">
        <f>"20190303170613026"</f>
        <v>20190303170613026</v>
      </c>
      <c r="B3730" t="str">
        <f>"1551603973018876"</f>
        <v>1551603973018876</v>
      </c>
      <c r="C3730" t="s">
        <v>40</v>
      </c>
      <c r="D3730">
        <v>5.468801</v>
      </c>
      <c r="E3730">
        <v>0.46304849999999997</v>
      </c>
      <c r="F3730" t="s">
        <v>41</v>
      </c>
      <c r="G3730">
        <v>-348.7253</v>
      </c>
      <c r="H3730" s="1">
        <v>-1.49519E-6</v>
      </c>
      <c r="I3730">
        <v>135.57470000000001</v>
      </c>
      <c r="J3730">
        <v>-242.78550000000001</v>
      </c>
      <c r="K3730">
        <v>1.1212420000000001</v>
      </c>
      <c r="L3730">
        <v>141.7587</v>
      </c>
      <c r="M3730">
        <v>-0.99963869999999999</v>
      </c>
      <c r="N3730">
        <v>-3.6691340000000001E-3</v>
      </c>
      <c r="O3730">
        <v>2.663043E-2</v>
      </c>
      <c r="P3730">
        <v>-0.98022679999999995</v>
      </c>
      <c r="Q3730">
        <v>0.19195480000000001</v>
      </c>
      <c r="R3730">
        <v>4.8052289999999998E-2</v>
      </c>
      <c r="S3730">
        <v>-3.076355</v>
      </c>
      <c r="T3730">
        <v>-3.243327E-2</v>
      </c>
      <c r="U3730">
        <v>-0.1785736</v>
      </c>
      <c r="V3730">
        <v>2.1185849999999999E-2</v>
      </c>
      <c r="W3730">
        <v>0.19563549999999999</v>
      </c>
      <c r="X3730">
        <v>0.98044779999999998</v>
      </c>
      <c r="Y3730">
        <v>-8.4507959999999993E-2</v>
      </c>
      <c r="Z3730">
        <v>-7.8318559999999895E-4</v>
      </c>
      <c r="AA3730">
        <v>0.99642249999999999</v>
      </c>
      <c r="AB3730">
        <v>40</v>
      </c>
      <c r="AC3730">
        <v>-105.93980000000001</v>
      </c>
      <c r="AD3730">
        <v>-1.1212434951899899</v>
      </c>
      <c r="AE3730">
        <v>-6.1839999999999904</v>
      </c>
      <c r="AF3730">
        <v>-9.0020430207225406</v>
      </c>
      <c r="AG3730">
        <v>-1.1212434951899899</v>
      </c>
      <c r="AH3730">
        <v>105.72574118218</v>
      </c>
      <c r="AI3730">
        <v>90.605420456231798</v>
      </c>
      <c r="AJ3730">
        <v>94.866724448660193</v>
      </c>
      <c r="AK3730">
        <v>106.114213534492</v>
      </c>
      <c r="AL3730">
        <v>78.7181497548371</v>
      </c>
      <c r="AM3730">
        <v>88.762125920406405</v>
      </c>
      <c r="AN3730">
        <v>0.99999998881265595</v>
      </c>
    </row>
    <row r="3731" spans="1:40" x14ac:dyDescent="0.25">
      <c r="A3731" t="str">
        <f>"20190303170613049"</f>
        <v>20190303170613049</v>
      </c>
      <c r="B3731" t="str">
        <f>"1551603973038396"</f>
        <v>1551603973038396</v>
      </c>
      <c r="C3731" t="s">
        <v>40</v>
      </c>
      <c r="D3731">
        <v>5.4667839999999996</v>
      </c>
      <c r="E3731">
        <v>0.46293909999999999</v>
      </c>
      <c r="F3731" t="s">
        <v>41</v>
      </c>
      <c r="G3731">
        <v>-344.01</v>
      </c>
      <c r="H3731" s="1">
        <v>-3.2442140000000002E-6</v>
      </c>
      <c r="I3731">
        <v>135.71379999999999</v>
      </c>
      <c r="J3731">
        <v>-243.18969999999999</v>
      </c>
      <c r="K3731">
        <v>1.1212519999999999</v>
      </c>
      <c r="L3731">
        <v>141.76830000000001</v>
      </c>
      <c r="M3731">
        <v>-0.99967890000000004</v>
      </c>
      <c r="N3731">
        <v>-3.6640560000000002E-3</v>
      </c>
      <c r="O3731">
        <v>2.5080249999999998E-2</v>
      </c>
      <c r="P3731">
        <v>-0.9804176</v>
      </c>
      <c r="Q3731">
        <v>0.1911342</v>
      </c>
      <c r="R3731">
        <v>4.7425679999999998E-2</v>
      </c>
      <c r="S3731">
        <v>-3.0762019999999999</v>
      </c>
      <c r="T3731">
        <v>-3.407454E-2</v>
      </c>
      <c r="U3731">
        <v>-0.18370059999999999</v>
      </c>
      <c r="V3731">
        <v>2.2072990000000001E-2</v>
      </c>
      <c r="W3731">
        <v>0.19481480000000001</v>
      </c>
      <c r="X3731">
        <v>0.98059169999999996</v>
      </c>
      <c r="Y3731">
        <v>-8.4619959999999994E-2</v>
      </c>
      <c r="Z3731">
        <v>-8.0918119999999895E-4</v>
      </c>
      <c r="AA3731">
        <v>0.99641299999999999</v>
      </c>
      <c r="AB3731">
        <v>40</v>
      </c>
      <c r="AC3731">
        <v>-100.8203</v>
      </c>
      <c r="AD3731">
        <v>-1.121255244214</v>
      </c>
      <c r="AE3731">
        <v>-6.0545000000000098</v>
      </c>
      <c r="AF3731">
        <v>-8.5801529286178795</v>
      </c>
      <c r="AG3731">
        <v>-1.121255244214</v>
      </c>
      <c r="AH3731">
        <v>100.62433540726801</v>
      </c>
      <c r="AI3731">
        <v>90.636111316584305</v>
      </c>
      <c r="AJ3731">
        <v>94.873773890930494</v>
      </c>
      <c r="AK3731">
        <v>100.995708392761</v>
      </c>
      <c r="AL3731">
        <v>78.766095669260096</v>
      </c>
      <c r="AM3731">
        <v>88.710497315439994</v>
      </c>
      <c r="AN3731">
        <v>1.00000005264773</v>
      </c>
    </row>
    <row r="3732" spans="1:40" x14ac:dyDescent="0.25">
      <c r="A3732" t="str">
        <f>"20190303170613070"</f>
        <v>20190303170613070</v>
      </c>
      <c r="B3732" t="str">
        <f>"1551603973058892"</f>
        <v>1551603973058892</v>
      </c>
      <c r="C3732" t="s">
        <v>40</v>
      </c>
      <c r="D3732">
        <v>5.4966119999999998</v>
      </c>
      <c r="E3732">
        <v>0.46282820000000002</v>
      </c>
      <c r="F3732" t="s">
        <v>41</v>
      </c>
      <c r="G3732">
        <v>-337.3956</v>
      </c>
      <c r="H3732" s="1">
        <v>-1.9349939999999999E-6</v>
      </c>
      <c r="I3732">
        <v>136.04339999999999</v>
      </c>
      <c r="J3732">
        <v>-243.57480000000001</v>
      </c>
      <c r="K3732">
        <v>1.1212580000000001</v>
      </c>
      <c r="L3732">
        <v>141.77690000000001</v>
      </c>
      <c r="M3732">
        <v>-0.99971469999999996</v>
      </c>
      <c r="N3732">
        <v>-3.6615409999999999E-3</v>
      </c>
      <c r="O3732">
        <v>2.3607759999999998E-2</v>
      </c>
      <c r="P3732">
        <v>-0.98036160000000006</v>
      </c>
      <c r="Q3732">
        <v>0.19145180000000001</v>
      </c>
      <c r="R3732">
        <v>4.7302829999999997E-2</v>
      </c>
      <c r="S3732">
        <v>-3.0760960000000002</v>
      </c>
      <c r="T3732">
        <v>-3.6612150000000003E-2</v>
      </c>
      <c r="U3732">
        <v>-0.1869354</v>
      </c>
      <c r="V3732">
        <v>2.3390899999999999E-2</v>
      </c>
      <c r="W3732">
        <v>0.19513510000000001</v>
      </c>
      <c r="X3732">
        <v>0.98049739999999996</v>
      </c>
      <c r="Y3732">
        <v>-8.4197419999999995E-2</v>
      </c>
      <c r="Z3732">
        <v>-8.4927679999999902E-4</v>
      </c>
      <c r="AA3732">
        <v>0.99644880000000002</v>
      </c>
      <c r="AB3732">
        <v>40</v>
      </c>
      <c r="AC3732">
        <v>-93.820800000000006</v>
      </c>
      <c r="AD3732">
        <v>-1.121259934994</v>
      </c>
      <c r="AE3732">
        <v>-5.7335000000000198</v>
      </c>
      <c r="AF3732">
        <v>-7.9456849339172404</v>
      </c>
      <c r="AG3732">
        <v>-1.121259934994</v>
      </c>
      <c r="AH3732">
        <v>93.645970093393004</v>
      </c>
      <c r="AI3732">
        <v>90.6835362515762</v>
      </c>
      <c r="AJ3732">
        <v>94.849823405651094</v>
      </c>
      <c r="AK3732">
        <v>93.989142179528201</v>
      </c>
      <c r="AL3732">
        <v>78.747384095073201</v>
      </c>
      <c r="AM3732">
        <v>88.633402095067893</v>
      </c>
      <c r="AN3732">
        <v>0.99999999643078896</v>
      </c>
    </row>
    <row r="3733" spans="1:40" x14ac:dyDescent="0.25">
      <c r="A3733" t="str">
        <f>"20190303170613094"</f>
        <v>20190303170613094</v>
      </c>
      <c r="B3733" t="str">
        <f>"1551603973088173"</f>
        <v>1551603973088173</v>
      </c>
      <c r="C3733" t="s">
        <v>40</v>
      </c>
      <c r="D3733">
        <v>5.4380980000000001</v>
      </c>
      <c r="E3733">
        <v>0.46284779999999998</v>
      </c>
      <c r="F3733" t="s">
        <v>41</v>
      </c>
      <c r="G3733">
        <v>-339.24599999999998</v>
      </c>
      <c r="H3733" s="1">
        <v>-1.2542129999999999E-6</v>
      </c>
      <c r="I3733">
        <v>135.9314</v>
      </c>
      <c r="J3733">
        <v>-243.98500000000001</v>
      </c>
      <c r="K3733">
        <v>1.121265</v>
      </c>
      <c r="L3733">
        <v>141.78550000000001</v>
      </c>
      <c r="M3733">
        <v>-0.99975020000000003</v>
      </c>
      <c r="N3733">
        <v>-3.6611199999999999E-3</v>
      </c>
      <c r="O3733">
        <v>2.2051000000000001E-2</v>
      </c>
      <c r="P3733">
        <v>-0.98009970000000002</v>
      </c>
      <c r="Q3733">
        <v>0.19274259999999999</v>
      </c>
      <c r="R3733">
        <v>4.7485739999999999E-2</v>
      </c>
      <c r="S3733">
        <v>-3.0762019999999999</v>
      </c>
      <c r="T3733">
        <v>-3.6052819999999999E-2</v>
      </c>
      <c r="U3733">
        <v>-0.18795780000000001</v>
      </c>
      <c r="V3733">
        <v>2.5099110000000001E-2</v>
      </c>
      <c r="W3733">
        <v>0.19643179999999999</v>
      </c>
      <c r="X3733">
        <v>0.98019619999999996</v>
      </c>
      <c r="Y3733">
        <v>-8.2973959999999999E-2</v>
      </c>
      <c r="Z3733">
        <v>-8.1535989999999997E-4</v>
      </c>
      <c r="AA3733">
        <v>0.99655139999999998</v>
      </c>
      <c r="AB3733">
        <v>40</v>
      </c>
      <c r="AC3733">
        <v>-95.260999999999896</v>
      </c>
      <c r="AD3733">
        <v>-1.1212662542130001</v>
      </c>
      <c r="AE3733">
        <v>-5.8541000000000096</v>
      </c>
      <c r="AF3733">
        <v>-7.9521932281977499</v>
      </c>
      <c r="AG3733">
        <v>-1.1212662542130001</v>
      </c>
      <c r="AH3733">
        <v>95.095621745334398</v>
      </c>
      <c r="AI3733">
        <v>90.673190049849495</v>
      </c>
      <c r="AJ3733">
        <v>94.780130723167204</v>
      </c>
      <c r="AK3733">
        <v>95.434123301275903</v>
      </c>
      <c r="AL3733">
        <v>78.671622534082999</v>
      </c>
      <c r="AM3733">
        <v>88.533192750765494</v>
      </c>
      <c r="AN3733">
        <v>1.0000000039342301</v>
      </c>
    </row>
    <row r="3734" spans="1:40" x14ac:dyDescent="0.25">
      <c r="A3734" t="str">
        <f>"20190303170613117"</f>
        <v>20190303170613117</v>
      </c>
      <c r="B3734" t="str">
        <f>"1551603973108668"</f>
        <v>1551603973108668</v>
      </c>
      <c r="C3734" t="s">
        <v>40</v>
      </c>
      <c r="D3734">
        <v>5.419441</v>
      </c>
      <c r="E3734">
        <v>0.46284779999999998</v>
      </c>
      <c r="F3734" t="s">
        <v>41</v>
      </c>
      <c r="G3734">
        <v>-348.65159999999997</v>
      </c>
      <c r="H3734" s="1">
        <v>-1.561476E-6</v>
      </c>
      <c r="I3734">
        <v>135.41990000000001</v>
      </c>
      <c r="J3734">
        <v>-244.417</v>
      </c>
      <c r="K3734">
        <v>1.121265</v>
      </c>
      <c r="L3734">
        <v>141.79390000000001</v>
      </c>
      <c r="M3734">
        <v>-0.99978460000000002</v>
      </c>
      <c r="N3734">
        <v>-3.662837E-3</v>
      </c>
      <c r="O3734">
        <v>2.0432659999999998E-2</v>
      </c>
      <c r="P3734">
        <v>-0.97973080000000001</v>
      </c>
      <c r="Q3734">
        <v>0.1944449</v>
      </c>
      <c r="R3734">
        <v>4.81527E-2</v>
      </c>
      <c r="S3734">
        <v>-3.0764770000000001</v>
      </c>
      <c r="T3734">
        <v>-3.2957550000000002E-2</v>
      </c>
      <c r="U3734">
        <v>-0.1871033</v>
      </c>
      <c r="V3734">
        <v>2.7353949999999998E-2</v>
      </c>
      <c r="W3734">
        <v>0.1981427</v>
      </c>
      <c r="X3734">
        <v>0.97979139999999998</v>
      </c>
      <c r="Y3734">
        <v>-8.1080929999999996E-2</v>
      </c>
      <c r="Z3734">
        <v>-7.2646410000000005E-4</v>
      </c>
      <c r="AA3734">
        <v>0.99670729999999996</v>
      </c>
      <c r="AB3734">
        <v>40</v>
      </c>
      <c r="AC3734">
        <v>-104.23459999999901</v>
      </c>
      <c r="AD3734">
        <v>-1.121266561476</v>
      </c>
      <c r="AE3734">
        <v>-6.3739999999999899</v>
      </c>
      <c r="AF3734">
        <v>-8.5014934590149593</v>
      </c>
      <c r="AG3734">
        <v>-1.121266561476</v>
      </c>
      <c r="AH3734">
        <v>104.070602378761</v>
      </c>
      <c r="AI3734">
        <v>90.615237060662906</v>
      </c>
      <c r="AJ3734">
        <v>94.670103721483102</v>
      </c>
      <c r="AK3734">
        <v>104.423287197893</v>
      </c>
      <c r="AL3734">
        <v>78.571629586069903</v>
      </c>
      <c r="AM3734">
        <v>88.400824000926804</v>
      </c>
      <c r="AN3734">
        <v>0.99999997782892502</v>
      </c>
    </row>
    <row r="3735" spans="1:40" x14ac:dyDescent="0.25">
      <c r="A3735" t="str">
        <f>"20190303170613138"</f>
        <v>20190303170613138</v>
      </c>
      <c r="B3735" t="str">
        <f>"1551603973128188"</f>
        <v>1551603973128188</v>
      </c>
      <c r="C3735" t="s">
        <v>40</v>
      </c>
      <c r="D3735">
        <v>5.3497089999999998</v>
      </c>
      <c r="E3735">
        <v>0.50962229999999997</v>
      </c>
      <c r="F3735" t="s">
        <v>41</v>
      </c>
      <c r="G3735">
        <v>-367.97210000000001</v>
      </c>
      <c r="H3735" s="1">
        <v>-2.0673140000000001E-6</v>
      </c>
      <c r="I3735">
        <v>134.3878</v>
      </c>
      <c r="J3735">
        <v>-244.80520000000001</v>
      </c>
      <c r="K3735">
        <v>1.1212519999999999</v>
      </c>
      <c r="L3735">
        <v>141.80090000000001</v>
      </c>
      <c r="M3735">
        <v>-0.99981260000000005</v>
      </c>
      <c r="N3735">
        <v>-3.66599E-3</v>
      </c>
      <c r="O3735">
        <v>1.9011980000000001E-2</v>
      </c>
      <c r="P3735">
        <v>-0.97962130000000003</v>
      </c>
      <c r="Q3735">
        <v>0.19487750000000001</v>
      </c>
      <c r="R3735">
        <v>4.8632630000000003E-2</v>
      </c>
      <c r="S3735">
        <v>-3.0766749999999998</v>
      </c>
      <c r="T3735">
        <v>-2.7920960000000002E-2</v>
      </c>
      <c r="U3735">
        <v>-0.18441769999999999</v>
      </c>
      <c r="V3735">
        <v>2.92316E-2</v>
      </c>
      <c r="W3735">
        <v>0.19858480000000001</v>
      </c>
      <c r="X3735">
        <v>0.97964770000000001</v>
      </c>
      <c r="Y3735">
        <v>-7.8795610000000002E-2</v>
      </c>
      <c r="Z3735">
        <v>-6.0454019999999897E-4</v>
      </c>
      <c r="AA3735">
        <v>0.99689059999999896</v>
      </c>
      <c r="AB3735">
        <v>40</v>
      </c>
      <c r="AC3735">
        <v>-123.1669</v>
      </c>
      <c r="AD3735">
        <v>-1.1212540673139999</v>
      </c>
      <c r="AE3735">
        <v>-7.4131000000000098</v>
      </c>
      <c r="AF3735">
        <v>-9.7526170070029199</v>
      </c>
      <c r="AG3735">
        <v>-1.1212540673139999</v>
      </c>
      <c r="AH3735">
        <v>122.993543158886</v>
      </c>
      <c r="AI3735">
        <v>90.520680553113493</v>
      </c>
      <c r="AJ3735">
        <v>94.533710150502301</v>
      </c>
      <c r="AK3735">
        <v>123.384692761888</v>
      </c>
      <c r="AL3735">
        <v>78.545785965373298</v>
      </c>
      <c r="AM3735">
        <v>88.290864663084903</v>
      </c>
      <c r="AN3735">
        <v>1.00000001267244</v>
      </c>
    </row>
    <row r="3736" spans="1:40" x14ac:dyDescent="0.25">
      <c r="A3736" t="str">
        <f>"20190303170613160"</f>
        <v>20190303170613160</v>
      </c>
      <c r="B3736" t="str">
        <f>"1551603973148684"</f>
        <v>1551603973148684</v>
      </c>
      <c r="C3736" t="s">
        <v>40</v>
      </c>
      <c r="D3736">
        <v>5.3674839999999904</v>
      </c>
      <c r="E3736">
        <v>0.51518549999999996</v>
      </c>
      <c r="F3736" t="s">
        <v>41</v>
      </c>
      <c r="G3736">
        <v>-327.53919999999999</v>
      </c>
      <c r="H3736" s="1">
        <v>-2.9821190000000001E-6</v>
      </c>
      <c r="I3736">
        <v>146.92310000000001</v>
      </c>
      <c r="J3736">
        <v>-245.20689999999999</v>
      </c>
      <c r="K3736">
        <v>1.121219</v>
      </c>
      <c r="L3736">
        <v>141.80760000000001</v>
      </c>
      <c r="M3736">
        <v>-0.99983849999999996</v>
      </c>
      <c r="N3736">
        <v>-3.670474E-3</v>
      </c>
      <c r="O3736">
        <v>1.759382E-2</v>
      </c>
      <c r="P3736">
        <v>-0.97992829999999997</v>
      </c>
      <c r="Q3736">
        <v>0.19330749999999999</v>
      </c>
      <c r="R3736">
        <v>4.8713329999999999E-2</v>
      </c>
      <c r="S3736">
        <v>-3.0612490000000001</v>
      </c>
      <c r="T3736">
        <v>-4.1487690000000001E-2</v>
      </c>
      <c r="U3736">
        <v>0.18952939999999999</v>
      </c>
      <c r="V3736">
        <v>3.0714209999999999E-2</v>
      </c>
      <c r="W3736">
        <v>0.1970247</v>
      </c>
      <c r="X3736">
        <v>0.97991729999999999</v>
      </c>
      <c r="Y3736">
        <v>4.4219979999999999E-2</v>
      </c>
      <c r="Z3736">
        <v>2.069479E-4</v>
      </c>
      <c r="AA3736">
        <v>0.99902179999999996</v>
      </c>
      <c r="AB3736">
        <v>41</v>
      </c>
      <c r="AC3736">
        <v>-82.332300000000004</v>
      </c>
      <c r="AD3736">
        <v>-1.1212219821189999</v>
      </c>
      <c r="AE3736">
        <v>5.1154999999999902</v>
      </c>
      <c r="AF3736">
        <v>3.6654816270669999</v>
      </c>
      <c r="AG3736">
        <v>-1.1212219821189999</v>
      </c>
      <c r="AH3736">
        <v>82.394336134764899</v>
      </c>
      <c r="AI3736">
        <v>90.778862499593501</v>
      </c>
      <c r="AJ3736">
        <v>87.452758849772493</v>
      </c>
      <c r="AK3736">
        <v>82.483449984710106</v>
      </c>
      <c r="AL3736">
        <v>78.636974793414495</v>
      </c>
      <c r="AM3736">
        <v>88.204727425251704</v>
      </c>
      <c r="AN3736">
        <v>1.0000000049726501</v>
      </c>
    </row>
    <row r="3737" spans="1:40" x14ac:dyDescent="0.25">
      <c r="A3737" t="str">
        <f>"20190303170613181"</f>
        <v>20190303170613181</v>
      </c>
      <c r="B3737" t="str">
        <f>"1551603973168204"</f>
        <v>1551603973168204</v>
      </c>
      <c r="C3737" t="s">
        <v>40</v>
      </c>
      <c r="D3737">
        <v>5.5012150000000002</v>
      </c>
      <c r="E3737">
        <v>0.51752410000000004</v>
      </c>
      <c r="F3737" t="s">
        <v>41</v>
      </c>
      <c r="G3737">
        <v>-374.7414</v>
      </c>
      <c r="H3737">
        <v>7.9986879999999996E-2</v>
      </c>
      <c r="I3737">
        <v>151.7457</v>
      </c>
      <c r="J3737">
        <v>-245.58779999999999</v>
      </c>
      <c r="K3737">
        <v>1.1211719999999901</v>
      </c>
      <c r="L3737">
        <v>141.8135</v>
      </c>
      <c r="M3737">
        <v>-0.99986019999999998</v>
      </c>
      <c r="N3737">
        <v>-3.6757729999999998E-3</v>
      </c>
      <c r="O3737">
        <v>1.6315119999999999E-2</v>
      </c>
      <c r="P3737">
        <v>-0.98041619999999996</v>
      </c>
      <c r="Q3737">
        <v>0.19081339999999999</v>
      </c>
      <c r="R3737">
        <v>4.8729040000000001E-2</v>
      </c>
      <c r="S3737">
        <v>-3.0546419999999999</v>
      </c>
      <c r="T3737">
        <v>-2.4554010000000001E-2</v>
      </c>
      <c r="U3737">
        <v>0.2343597</v>
      </c>
      <c r="V3737">
        <v>3.2002269999999999E-2</v>
      </c>
      <c r="W3737">
        <v>0.19453880000000001</v>
      </c>
      <c r="X3737">
        <v>0.98037260000000004</v>
      </c>
      <c r="Y3737">
        <v>6.0217409999999999E-2</v>
      </c>
      <c r="Z3737">
        <v>2.8146870000000002E-4</v>
      </c>
      <c r="AA3737">
        <v>0.99818519999999999</v>
      </c>
      <c r="AB3737">
        <v>41</v>
      </c>
      <c r="AC3737">
        <v>-129.15360000000001</v>
      </c>
      <c r="AD3737">
        <v>-1.04118511999999</v>
      </c>
      <c r="AE3737">
        <v>9.9321999999999893</v>
      </c>
      <c r="AF3737">
        <v>7.8232019680418698</v>
      </c>
      <c r="AG3737">
        <v>-1.04118511999999</v>
      </c>
      <c r="AH3737">
        <v>129.29010239750301</v>
      </c>
      <c r="AI3737">
        <v>90.4605559069728</v>
      </c>
      <c r="AJ3737">
        <v>86.537317253161206</v>
      </c>
      <c r="AK3737">
        <v>129.53075748039001</v>
      </c>
      <c r="AL3737">
        <v>78.782216735008106</v>
      </c>
      <c r="AM3737">
        <v>88.130359669977295</v>
      </c>
      <c r="AN3737">
        <v>0.99999996241067501</v>
      </c>
    </row>
    <row r="3738" spans="1:40" x14ac:dyDescent="0.25">
      <c r="A3738" t="str">
        <f>"20190303170613205"</f>
        <v>20190303170613205</v>
      </c>
      <c r="B3738" t="str">
        <f>"1551603973198460"</f>
        <v>1551603973198460</v>
      </c>
      <c r="C3738" t="s">
        <v>40</v>
      </c>
      <c r="D3738">
        <v>5.3899860000000004</v>
      </c>
      <c r="E3738">
        <v>0.51947829999999995</v>
      </c>
      <c r="F3738" t="s">
        <v>84</v>
      </c>
      <c r="G3738">
        <v>-316.17840000000001</v>
      </c>
      <c r="H3738" s="1">
        <v>-9.1785769999999992E-6</v>
      </c>
      <c r="I3738">
        <v>147.63059999999999</v>
      </c>
      <c r="J3738">
        <v>-246.00630000000001</v>
      </c>
      <c r="K3738">
        <v>1.1211100000000001</v>
      </c>
      <c r="L3738">
        <v>141.8194</v>
      </c>
      <c r="M3738">
        <v>-0.99988089999999996</v>
      </c>
      <c r="N3738">
        <v>-3.6827259999999999E-3</v>
      </c>
      <c r="O3738">
        <v>1.499633E-2</v>
      </c>
      <c r="P3738">
        <v>-0.98042530000000006</v>
      </c>
      <c r="Q3738">
        <v>0.1906794</v>
      </c>
      <c r="R3738">
        <v>4.9069550000000003E-2</v>
      </c>
      <c r="S3738">
        <v>-3.05687</v>
      </c>
      <c r="T3738">
        <v>-4.8551799999999999E-2</v>
      </c>
      <c r="U3738">
        <v>0.2519073</v>
      </c>
      <c r="V3738">
        <v>3.36621E-2</v>
      </c>
      <c r="W3738">
        <v>0.19441349999999999</v>
      </c>
      <c r="X3738">
        <v>0.98034189999999999</v>
      </c>
      <c r="Y3738">
        <v>6.7164310000000005E-2</v>
      </c>
      <c r="Z3738">
        <v>4.737559E-4</v>
      </c>
      <c r="AA3738">
        <v>0.99774180000000001</v>
      </c>
      <c r="AB3738">
        <v>41</v>
      </c>
      <c r="AC3738">
        <v>-70.1721</v>
      </c>
      <c r="AD3738">
        <v>-1.1211191785770001</v>
      </c>
      <c r="AE3738">
        <v>5.8111999999999799</v>
      </c>
      <c r="AF3738">
        <v>4.7570095694099699</v>
      </c>
      <c r="AG3738">
        <v>-1.1211191785770001</v>
      </c>
      <c r="AH3738">
        <v>70.233550835761903</v>
      </c>
      <c r="AI3738">
        <v>90.912429215005901</v>
      </c>
      <c r="AJ3738">
        <v>86.125200497134401</v>
      </c>
      <c r="AK3738">
        <v>70.403392753869397</v>
      </c>
      <c r="AL3738">
        <v>78.789535986620905</v>
      </c>
      <c r="AM3738">
        <v>88.033401618178999</v>
      </c>
      <c r="AN3738">
        <v>0.99999999342713497</v>
      </c>
    </row>
    <row r="3739" spans="1:40" x14ac:dyDescent="0.25">
      <c r="A3739" t="str">
        <f>"20190303170613226"</f>
        <v>20190303170613226</v>
      </c>
      <c r="B3739" t="str">
        <f>"1551603973218957"</f>
        <v>1551603973218957</v>
      </c>
      <c r="C3739" t="s">
        <v>40</v>
      </c>
      <c r="D3739">
        <v>5.3941410000000003</v>
      </c>
      <c r="E3739">
        <v>0.52006940000000002</v>
      </c>
      <c r="F3739" t="s">
        <v>84</v>
      </c>
      <c r="G3739">
        <v>-311.2715</v>
      </c>
      <c r="H3739" s="1">
        <v>-1.126144E-5</v>
      </c>
      <c r="I3739">
        <v>147.5411</v>
      </c>
      <c r="J3739">
        <v>-246.43270000000001</v>
      </c>
      <c r="K3739">
        <v>1.1210420000000001</v>
      </c>
      <c r="L3739">
        <v>141.82499999999999</v>
      </c>
      <c r="M3739">
        <v>-0.99989850000000002</v>
      </c>
      <c r="N3739">
        <v>-3.691101E-3</v>
      </c>
      <c r="O3739">
        <v>1.376224E-2</v>
      </c>
      <c r="P3739">
        <v>-0.98008019999999996</v>
      </c>
      <c r="Q3739">
        <v>0.19236500000000001</v>
      </c>
      <c r="R3739">
        <v>4.9380849999999997E-2</v>
      </c>
      <c r="S3739">
        <v>-3.056702</v>
      </c>
      <c r="T3739">
        <v>-5.250788E-2</v>
      </c>
      <c r="U3739">
        <v>0.26797490000000002</v>
      </c>
      <c r="V3739">
        <v>3.5214889999999999E-2</v>
      </c>
      <c r="W3739">
        <v>0.1961059</v>
      </c>
      <c r="X3739">
        <v>0.97995019999999999</v>
      </c>
      <c r="Y3739">
        <v>7.3603139999999997E-2</v>
      </c>
      <c r="Z3739">
        <v>5.8184070000000005E-4</v>
      </c>
      <c r="AA3739">
        <v>0.99728749999999999</v>
      </c>
      <c r="AB3739">
        <v>41</v>
      </c>
      <c r="AC3739">
        <v>-64.838799999999907</v>
      </c>
      <c r="AD3739">
        <v>-1.1210532614399999</v>
      </c>
      <c r="AE3739">
        <v>5.7161000000000097</v>
      </c>
      <c r="AF3739">
        <v>4.8217951576568696</v>
      </c>
      <c r="AG3739">
        <v>-1.1210532614399999</v>
      </c>
      <c r="AH3739">
        <v>64.892077122152699</v>
      </c>
      <c r="AI3739">
        <v>90.987003342807498</v>
      </c>
      <c r="AJ3739">
        <v>85.750455883109097</v>
      </c>
      <c r="AK3739">
        <v>65.080628010067699</v>
      </c>
      <c r="AL3739">
        <v>78.690665609130903</v>
      </c>
      <c r="AM3739">
        <v>87.941939559558904</v>
      </c>
      <c r="AN3739">
        <v>1.0000000034862799</v>
      </c>
    </row>
    <row r="3740" spans="1:40" x14ac:dyDescent="0.25">
      <c r="A3740" t="str">
        <f>"20190303170613251"</f>
        <v>20190303170613251</v>
      </c>
      <c r="B3740" t="str">
        <f>"1551603973238476"</f>
        <v>1551603973238476</v>
      </c>
      <c r="C3740" t="s">
        <v>40</v>
      </c>
      <c r="D3740">
        <v>5.3649699999999996</v>
      </c>
      <c r="E3740">
        <v>0.52105869999999999</v>
      </c>
      <c r="F3740" t="s">
        <v>84</v>
      </c>
      <c r="G3740">
        <v>-314.50630000000001</v>
      </c>
      <c r="H3740" s="1">
        <v>-9.9658220000000005E-6</v>
      </c>
      <c r="I3740">
        <v>147.91849999999999</v>
      </c>
      <c r="J3740">
        <v>-246.8604</v>
      </c>
      <c r="K3740">
        <v>1.120976</v>
      </c>
      <c r="L3740">
        <v>141.83009999999999</v>
      </c>
      <c r="M3740">
        <v>-0.99991350000000001</v>
      </c>
      <c r="N3740">
        <v>-3.700807E-3</v>
      </c>
      <c r="O3740">
        <v>1.262215E-2</v>
      </c>
      <c r="P3740">
        <v>-0.97986859999999998</v>
      </c>
      <c r="Q3740">
        <v>0.19340660000000001</v>
      </c>
      <c r="R3740">
        <v>4.9510470000000001E-2</v>
      </c>
      <c r="S3740">
        <v>-3.0570680000000001</v>
      </c>
      <c r="T3740">
        <v>-5.0344470000000002E-2</v>
      </c>
      <c r="U3740">
        <v>0.27365109999999998</v>
      </c>
      <c r="V3740">
        <v>3.649554E-2</v>
      </c>
      <c r="W3740">
        <v>0.1971541</v>
      </c>
      <c r="X3740">
        <v>0.97969300000000004</v>
      </c>
      <c r="Y3740">
        <v>7.6567079999999996E-2</v>
      </c>
      <c r="Z3740">
        <v>6.1035810000000001E-4</v>
      </c>
      <c r="AA3740">
        <v>0.99706419999999996</v>
      </c>
      <c r="AB3740">
        <v>41</v>
      </c>
      <c r="AC3740">
        <v>-67.645899999999997</v>
      </c>
      <c r="AD3740">
        <v>-1.1209859658220001</v>
      </c>
      <c r="AE3740">
        <v>6.0884</v>
      </c>
      <c r="AF3740">
        <v>5.2326470478407696</v>
      </c>
      <c r="AG3740">
        <v>-1.1209859658220001</v>
      </c>
      <c r="AH3740">
        <v>67.698918851892202</v>
      </c>
      <c r="AI3740">
        <v>90.945819368311604</v>
      </c>
      <c r="AJ3740">
        <v>85.580229503810301</v>
      </c>
      <c r="AK3740">
        <v>67.910093641357406</v>
      </c>
      <c r="AL3740">
        <v>78.629412547588899</v>
      </c>
      <c r="AM3740">
        <v>87.866603146968799</v>
      </c>
      <c r="AN3740">
        <v>1.00000001891785</v>
      </c>
    </row>
    <row r="3741" spans="1:40" x14ac:dyDescent="0.25">
      <c r="A3741" t="str">
        <f>"20190303170613274"</f>
        <v>20190303170613274</v>
      </c>
      <c r="B3741" t="str">
        <f>"1551603973268732"</f>
        <v>1551603973268732</v>
      </c>
      <c r="C3741" t="s">
        <v>40</v>
      </c>
      <c r="D3741">
        <v>5.6036519999999896</v>
      </c>
      <c r="E3741">
        <v>0.5216132</v>
      </c>
      <c r="F3741" t="s">
        <v>41</v>
      </c>
      <c r="G3741">
        <v>-320.34210000000002</v>
      </c>
      <c r="H3741" s="1">
        <v>-5.7537779999999997E-6</v>
      </c>
      <c r="I3741">
        <v>148.6035</v>
      </c>
      <c r="J3741">
        <v>-247.29589999999999</v>
      </c>
      <c r="K3741">
        <v>1.1208940000000001</v>
      </c>
      <c r="L3741">
        <v>141.8349</v>
      </c>
      <c r="M3741">
        <v>-0.99992610000000004</v>
      </c>
      <c r="N3741">
        <v>-3.7117740000000001E-3</v>
      </c>
      <c r="O3741">
        <v>1.157821E-2</v>
      </c>
      <c r="P3741">
        <v>-0.97983039999999999</v>
      </c>
      <c r="Q3741">
        <v>0.19368340000000001</v>
      </c>
      <c r="R3741">
        <v>4.9183869999999998E-2</v>
      </c>
      <c r="S3741">
        <v>-3.0565799999999999</v>
      </c>
      <c r="T3741">
        <v>-4.6628950000000002E-2</v>
      </c>
      <c r="U3741">
        <v>0.28175349999999999</v>
      </c>
      <c r="V3741">
        <v>3.7230880000000001E-2</v>
      </c>
      <c r="W3741">
        <v>0.197436</v>
      </c>
      <c r="X3741">
        <v>0.97960849999999999</v>
      </c>
      <c r="Y3741">
        <v>8.0243889999999998E-2</v>
      </c>
      <c r="Z3741">
        <v>6.2666190000000002E-4</v>
      </c>
      <c r="AA3741">
        <v>0.99677510000000002</v>
      </c>
      <c r="AB3741">
        <v>41</v>
      </c>
      <c r="AC3741">
        <v>-73.046199999999999</v>
      </c>
      <c r="AD3741">
        <v>-1.1208997537780001</v>
      </c>
      <c r="AE3741">
        <v>6.7685999999999904</v>
      </c>
      <c r="AF3741">
        <v>5.9210138823841802</v>
      </c>
      <c r="AG3741">
        <v>-1.1208997537780001</v>
      </c>
      <c r="AH3741">
        <v>73.102605440636793</v>
      </c>
      <c r="AI3741">
        <v>90.875594112209299</v>
      </c>
      <c r="AJ3741">
        <v>85.369383251914897</v>
      </c>
      <c r="AK3741">
        <v>73.350567440632901</v>
      </c>
      <c r="AL3741">
        <v>78.612936380888101</v>
      </c>
      <c r="AM3741">
        <v>87.823471217081803</v>
      </c>
      <c r="AN3741">
        <v>0.99999996289691095</v>
      </c>
    </row>
    <row r="3742" spans="1:40" x14ac:dyDescent="0.25">
      <c r="A3742" t="str">
        <f>"20190303170613297"</f>
        <v>20190303170613297</v>
      </c>
      <c r="B3742" t="str">
        <f>"1551603973288253"</f>
        <v>1551603973288253</v>
      </c>
      <c r="C3742" t="s">
        <v>40</v>
      </c>
      <c r="D3742">
        <v>5.413151</v>
      </c>
      <c r="E3742">
        <v>0.52173619999999998</v>
      </c>
      <c r="F3742" t="s">
        <v>41</v>
      </c>
      <c r="G3742">
        <v>-322.27940000000001</v>
      </c>
      <c r="H3742" s="1">
        <v>-5.1347080000000004E-6</v>
      </c>
      <c r="I3742">
        <v>148.83009999999999</v>
      </c>
      <c r="J3742">
        <v>-247.70679999999999</v>
      </c>
      <c r="K3742">
        <v>1.1207959999999999</v>
      </c>
      <c r="L3742">
        <v>141.8391</v>
      </c>
      <c r="M3742">
        <v>-0.99993569999999998</v>
      </c>
      <c r="N3742">
        <v>-3.7228890000000001E-3</v>
      </c>
      <c r="O3742">
        <v>1.072174E-2</v>
      </c>
      <c r="P3742">
        <v>-0.98012290000000002</v>
      </c>
      <c r="Q3742">
        <v>0.19231760000000001</v>
      </c>
      <c r="R3742">
        <v>4.8717860000000002E-2</v>
      </c>
      <c r="S3742">
        <v>-3.0564580000000001</v>
      </c>
      <c r="T3742">
        <v>-4.5689819999999999E-2</v>
      </c>
      <c r="U3742">
        <v>0.28514099999999998</v>
      </c>
      <c r="V3742">
        <v>3.7649019999999998E-2</v>
      </c>
      <c r="W3742">
        <v>0.1960751</v>
      </c>
      <c r="X3742">
        <v>0.97986580000000001</v>
      </c>
      <c r="Y3742">
        <v>8.2196480000000002E-2</v>
      </c>
      <c r="Z3742">
        <v>6.4628029999999896E-4</v>
      </c>
      <c r="AA3742">
        <v>0.9966159</v>
      </c>
      <c r="AB3742">
        <v>42</v>
      </c>
      <c r="AC3742">
        <v>-74.572599999999994</v>
      </c>
      <c r="AD3742">
        <v>-1.12080113470799</v>
      </c>
      <c r="AE3742">
        <v>6.9909999999999801</v>
      </c>
      <c r="AF3742">
        <v>6.1896586680106598</v>
      </c>
      <c r="AG3742">
        <v>-1.12080113470799</v>
      </c>
      <c r="AH3742">
        <v>74.626559150123498</v>
      </c>
      <c r="AI3742">
        <v>90.857504948362703</v>
      </c>
      <c r="AJ3742">
        <v>85.258639413600093</v>
      </c>
      <c r="AK3742">
        <v>74.891197080811295</v>
      </c>
      <c r="AL3742">
        <v>78.692464527989102</v>
      </c>
      <c r="AM3742">
        <v>87.799627902532904</v>
      </c>
      <c r="AN3742">
        <v>0.99999993977830304</v>
      </c>
    </row>
    <row r="3743" spans="1:40" x14ac:dyDescent="0.25">
      <c r="A3743" t="str">
        <f>"20190303170613319"</f>
        <v>20190303170613319</v>
      </c>
      <c r="B3743" t="str">
        <f>"1551603973308748"</f>
        <v>1551603973308748</v>
      </c>
      <c r="C3743" t="s">
        <v>40</v>
      </c>
      <c r="D3743">
        <v>5.453811</v>
      </c>
      <c r="E3743">
        <v>0.52173329999999996</v>
      </c>
      <c r="F3743" t="s">
        <v>84</v>
      </c>
      <c r="G3743">
        <v>-318.7056</v>
      </c>
      <c r="H3743" s="1">
        <v>-8.2768910000000007E-6</v>
      </c>
      <c r="I3743">
        <v>148.46019999999999</v>
      </c>
      <c r="J3743">
        <v>-248.1404</v>
      </c>
      <c r="K3743">
        <v>1.120671</v>
      </c>
      <c r="L3743">
        <v>141.8433</v>
      </c>
      <c r="M3743">
        <v>-0.99994349999999999</v>
      </c>
      <c r="N3743">
        <v>-3.7353730000000002E-3</v>
      </c>
      <c r="O3743">
        <v>9.9661960000000001E-3</v>
      </c>
      <c r="P3743">
        <v>-0.98031990000000002</v>
      </c>
      <c r="Q3743">
        <v>0.19152430000000001</v>
      </c>
      <c r="R3743">
        <v>4.7870639999999999E-2</v>
      </c>
      <c r="S3743">
        <v>-3.0561370000000001</v>
      </c>
      <c r="T3743">
        <v>-4.8244950000000002E-2</v>
      </c>
      <c r="U3743">
        <v>0.28500370000000003</v>
      </c>
      <c r="V3743">
        <v>3.7596669999999999E-2</v>
      </c>
      <c r="W3743">
        <v>0.19528380000000001</v>
      </c>
      <c r="X3743">
        <v>0.98002590000000001</v>
      </c>
      <c r="Y3743">
        <v>8.2913500000000001E-2</v>
      </c>
      <c r="Z3743">
        <v>6.8838530000000001E-4</v>
      </c>
      <c r="AA3743">
        <v>0.99655649999999996</v>
      </c>
      <c r="AB3743">
        <v>42</v>
      </c>
      <c r="AC3743">
        <v>-70.565200000000004</v>
      </c>
      <c r="AD3743">
        <v>-1.1206792768910001</v>
      </c>
      <c r="AE3743">
        <v>6.6168999999999798</v>
      </c>
      <c r="AF3743">
        <v>5.9118218638442697</v>
      </c>
      <c r="AG3743">
        <v>-1.1206792768910001</v>
      </c>
      <c r="AH3743">
        <v>70.609987087735803</v>
      </c>
      <c r="AI3743">
        <v>90.906118020792505</v>
      </c>
      <c r="AJ3743">
        <v>85.214072390273003</v>
      </c>
      <c r="AK3743">
        <v>70.865900377556002</v>
      </c>
      <c r="AL3743">
        <v>78.738697338991997</v>
      </c>
      <c r="AM3743">
        <v>87.803043070937306</v>
      </c>
      <c r="AN3743">
        <v>1.00000001840416</v>
      </c>
    </row>
    <row r="3744" spans="1:40" x14ac:dyDescent="0.25">
      <c r="A3744" t="str">
        <f>"20190303170613340"</f>
        <v>20190303170613340</v>
      </c>
      <c r="B3744" t="str">
        <f>"1551603973328268"</f>
        <v>1551603973328268</v>
      </c>
      <c r="C3744" t="s">
        <v>40</v>
      </c>
      <c r="D3744">
        <v>5.3342340000000004</v>
      </c>
      <c r="E3744">
        <v>0.5217986</v>
      </c>
      <c r="F3744" t="s">
        <v>84</v>
      </c>
      <c r="G3744">
        <v>-318.50029999999998</v>
      </c>
      <c r="H3744" s="1">
        <v>-8.3362539999999993E-6</v>
      </c>
      <c r="I3744">
        <v>148.34020000000001</v>
      </c>
      <c r="J3744">
        <v>-248.5412</v>
      </c>
      <c r="K3744">
        <v>1.120555</v>
      </c>
      <c r="L3744">
        <v>141.84700000000001</v>
      </c>
      <c r="M3744">
        <v>-0.99994879999999997</v>
      </c>
      <c r="N3744">
        <v>-3.7475239999999999E-3</v>
      </c>
      <c r="O3744">
        <v>9.4073409999999996E-3</v>
      </c>
      <c r="P3744">
        <v>-0.98020050000000003</v>
      </c>
      <c r="Q3744">
        <v>0.19222690000000001</v>
      </c>
      <c r="R3744">
        <v>4.7496040000000003E-2</v>
      </c>
      <c r="S3744">
        <v>-3.0559539999999998</v>
      </c>
      <c r="T3744">
        <v>-4.8674700000000001E-2</v>
      </c>
      <c r="U3744">
        <v>0.28218080000000001</v>
      </c>
      <c r="V3744">
        <v>3.782481E-2</v>
      </c>
      <c r="W3744">
        <v>0.1959872</v>
      </c>
      <c r="X3744">
        <v>0.97987670000000004</v>
      </c>
      <c r="Y3744">
        <v>8.2563109999999995E-2</v>
      </c>
      <c r="Z3744">
        <v>6.9682190000000001E-4</v>
      </c>
      <c r="AA3744">
        <v>0.99658559999999996</v>
      </c>
      <c r="AB3744">
        <v>42</v>
      </c>
      <c r="AC3744">
        <v>-69.959099999999907</v>
      </c>
      <c r="AD3744">
        <v>-1.120563336254</v>
      </c>
      <c r="AE3744">
        <v>6.4931999999999999</v>
      </c>
      <c r="AF3744">
        <v>5.8332951958506003</v>
      </c>
      <c r="AG3744">
        <v>-1.120563336254</v>
      </c>
      <c r="AH3744">
        <v>69.999282994154001</v>
      </c>
      <c r="AI3744">
        <v>90.913957172529194</v>
      </c>
      <c r="AJ3744">
        <v>85.236340740612803</v>
      </c>
      <c r="AK3744">
        <v>70.250854903895302</v>
      </c>
      <c r="AL3744">
        <v>78.697601429806099</v>
      </c>
      <c r="AM3744">
        <v>87.789388707943203</v>
      </c>
      <c r="AN3744">
        <v>1.0000000230091299</v>
      </c>
    </row>
    <row r="3745" spans="1:40" x14ac:dyDescent="0.25">
      <c r="A3745" t="str">
        <f>"20190303170613360"</f>
        <v>20190303170613360</v>
      </c>
      <c r="B3745" t="str">
        <f>"1551603973348764"</f>
        <v>1551603973348764</v>
      </c>
      <c r="C3745" t="s">
        <v>40</v>
      </c>
      <c r="D3745">
        <v>5.6015290000000002</v>
      </c>
      <c r="E3745">
        <v>0.52184770000000003</v>
      </c>
      <c r="F3745" t="s">
        <v>41</v>
      </c>
      <c r="G3745">
        <v>-326.15730000000002</v>
      </c>
      <c r="H3745" s="1">
        <v>-3.8440379999999997E-6</v>
      </c>
      <c r="I3745">
        <v>148.99369999999999</v>
      </c>
      <c r="J3745">
        <v>-248.92060000000001</v>
      </c>
      <c r="K3745">
        <v>1.1204449999999999</v>
      </c>
      <c r="L3745">
        <v>141.8503</v>
      </c>
      <c r="M3745">
        <v>-0.99995259999999997</v>
      </c>
      <c r="N3745">
        <v>-3.759652E-3</v>
      </c>
      <c r="O3745">
        <v>8.9934409999999996E-3</v>
      </c>
      <c r="P3745">
        <v>-0.98004279999999999</v>
      </c>
      <c r="Q3745">
        <v>0.19322439999999999</v>
      </c>
      <c r="R3745">
        <v>4.6694520000000003E-2</v>
      </c>
      <c r="S3745">
        <v>-3.0556030000000001</v>
      </c>
      <c r="T3745">
        <v>-4.4114349999999997E-2</v>
      </c>
      <c r="U3745">
        <v>0.28135680000000002</v>
      </c>
      <c r="V3745">
        <v>3.7482399999999999E-2</v>
      </c>
      <c r="W3745">
        <v>0.19698489999999999</v>
      </c>
      <c r="X3745">
        <v>0.97968980000000006</v>
      </c>
      <c r="Y3745">
        <v>8.2721489999999995E-2</v>
      </c>
      <c r="Z3745">
        <v>6.5588189999999996E-4</v>
      </c>
      <c r="AA3745">
        <v>0.99657249999999997</v>
      </c>
      <c r="AB3745">
        <v>42</v>
      </c>
      <c r="AC3745">
        <v>-77.236699999999999</v>
      </c>
      <c r="AD3745">
        <v>-1.120448844038</v>
      </c>
      <c r="AE3745">
        <v>7.1433999999999802</v>
      </c>
      <c r="AF3745">
        <v>6.4471373117774897</v>
      </c>
      <c r="AG3745">
        <v>-1.120448844038</v>
      </c>
      <c r="AH3745">
        <v>77.281695021176304</v>
      </c>
      <c r="AI3745">
        <v>90.827754974753503</v>
      </c>
      <c r="AJ3745">
        <v>85.231207318704307</v>
      </c>
      <c r="AK3745">
        <v>77.5582450193087</v>
      </c>
      <c r="AL3745">
        <v>78.6393011823683</v>
      </c>
      <c r="AM3745">
        <v>87.808963227079303</v>
      </c>
      <c r="AN3745">
        <v>1.0000000426808999</v>
      </c>
    </row>
    <row r="3746" spans="1:40" x14ac:dyDescent="0.25">
      <c r="A3746" t="str">
        <f>"20190303170613383"</f>
        <v>20190303170613383</v>
      </c>
      <c r="B3746" t="str">
        <f>"1551603973368284"</f>
        <v>1551603973368284</v>
      </c>
      <c r="C3746" t="s">
        <v>40</v>
      </c>
      <c r="D3746">
        <v>5.4533360000000002</v>
      </c>
      <c r="E3746">
        <v>0.52218980000000004</v>
      </c>
      <c r="F3746" t="s">
        <v>41</v>
      </c>
      <c r="G3746">
        <v>-333.37389999999999</v>
      </c>
      <c r="H3746" s="1">
        <v>-5.1794319999999999E-6</v>
      </c>
      <c r="I3746">
        <v>149.55950000000001</v>
      </c>
      <c r="J3746">
        <v>-249.34630000000001</v>
      </c>
      <c r="K3746">
        <v>1.120323</v>
      </c>
      <c r="L3746">
        <v>141.85390000000001</v>
      </c>
      <c r="M3746">
        <v>-0.9999557</v>
      </c>
      <c r="N3746">
        <v>-3.7739100000000001E-3</v>
      </c>
      <c r="O3746">
        <v>8.6364219999999995E-3</v>
      </c>
      <c r="P3746">
        <v>-0.97998339999999995</v>
      </c>
      <c r="Q3746">
        <v>0.1936283</v>
      </c>
      <c r="R3746">
        <v>4.6269789999999998E-2</v>
      </c>
      <c r="S3746">
        <v>-3.0558010000000002</v>
      </c>
      <c r="T3746">
        <v>-4.0541649999999999E-2</v>
      </c>
      <c r="U3746">
        <v>0.27894590000000002</v>
      </c>
      <c r="V3746">
        <v>3.746559E-2</v>
      </c>
      <c r="W3746">
        <v>0.1973916</v>
      </c>
      <c r="X3746">
        <v>0.97960849999999999</v>
      </c>
      <c r="Y3746">
        <v>8.2293119999999997E-2</v>
      </c>
      <c r="Z3746">
        <v>6.1855730000000004E-4</v>
      </c>
      <c r="AA3746">
        <v>0.99660800000000005</v>
      </c>
      <c r="AB3746">
        <v>42</v>
      </c>
      <c r="AC3746">
        <v>-84.027599999999893</v>
      </c>
      <c r="AD3746">
        <v>-1.1203281794319999</v>
      </c>
      <c r="AE3746">
        <v>7.7055999999999996</v>
      </c>
      <c r="AF3746">
        <v>6.9783795543342899</v>
      </c>
      <c r="AG3746">
        <v>-1.1203281794319999</v>
      </c>
      <c r="AH3746">
        <v>84.076194282782893</v>
      </c>
      <c r="AI3746">
        <v>90.760814005644306</v>
      </c>
      <c r="AJ3746">
        <v>85.255288195642294</v>
      </c>
      <c r="AK3746">
        <v>84.372740630550993</v>
      </c>
      <c r="AL3746">
        <v>78.615531392175797</v>
      </c>
      <c r="AM3746">
        <v>87.809763319177307</v>
      </c>
      <c r="AN3746">
        <v>0.99999996372842803</v>
      </c>
    </row>
    <row r="3747" spans="1:40" x14ac:dyDescent="0.25">
      <c r="A3747" t="str">
        <f>"20190303170613405"</f>
        <v>20190303170613405</v>
      </c>
      <c r="B3747" t="str">
        <f>"1551603973398541"</f>
        <v>1551603973398541</v>
      </c>
      <c r="C3747" t="s">
        <v>40</v>
      </c>
      <c r="D3747">
        <v>5.45648</v>
      </c>
      <c r="E3747">
        <v>0.52233689999999999</v>
      </c>
      <c r="F3747" t="s">
        <v>41</v>
      </c>
      <c r="G3747">
        <v>-332.07810000000001</v>
      </c>
      <c r="H3747" s="1">
        <v>-5.6530389999999999E-6</v>
      </c>
      <c r="I3747">
        <v>149.42429999999999</v>
      </c>
      <c r="J3747">
        <v>-249.77359999999999</v>
      </c>
      <c r="K3747">
        <v>1.1202129999999999</v>
      </c>
      <c r="L3747">
        <v>141.85749999999999</v>
      </c>
      <c r="M3747">
        <v>-0.99995780000000001</v>
      </c>
      <c r="N3747">
        <v>-3.7885670000000001E-3</v>
      </c>
      <c r="O3747">
        <v>8.3798789999999998E-3</v>
      </c>
      <c r="P3747">
        <v>-0.98007169999999999</v>
      </c>
      <c r="Q3747">
        <v>0.19323679999999999</v>
      </c>
      <c r="R3747">
        <v>4.6035520000000003E-2</v>
      </c>
      <c r="S3747">
        <v>-3.056244</v>
      </c>
      <c r="T3747">
        <v>-4.1386720000000002E-2</v>
      </c>
      <c r="U3747">
        <v>0.2796631</v>
      </c>
      <c r="V3747">
        <v>3.7533560000000001E-2</v>
      </c>
      <c r="W3747">
        <v>0.19700500000000001</v>
      </c>
      <c r="X3747">
        <v>0.97968379999999999</v>
      </c>
      <c r="Y3747">
        <v>8.2767259999999995E-2</v>
      </c>
      <c r="Z3747">
        <v>6.3479170000000002E-4</v>
      </c>
      <c r="AA3747">
        <v>0.99656869999999997</v>
      </c>
      <c r="AB3747">
        <v>42</v>
      </c>
      <c r="AC3747">
        <v>-82.304500000000004</v>
      </c>
      <c r="AD3747">
        <v>-1.1202186530389999</v>
      </c>
      <c r="AE3747">
        <v>7.5667999999999997</v>
      </c>
      <c r="AF3747">
        <v>6.8755646489990898</v>
      </c>
      <c r="AG3747">
        <v>-1.1202186530389999</v>
      </c>
      <c r="AH3747">
        <v>82.349891954858805</v>
      </c>
      <c r="AI3747">
        <v>90.776653549896494</v>
      </c>
      <c r="AJ3747">
        <v>85.227325032335798</v>
      </c>
      <c r="AK3747">
        <v>82.644013600805394</v>
      </c>
      <c r="AL3747">
        <v>78.6381265235851</v>
      </c>
      <c r="AM3747">
        <v>87.805962161695803</v>
      </c>
      <c r="AN3747">
        <v>1.0000000430668501</v>
      </c>
    </row>
    <row r="3748" spans="1:40" x14ac:dyDescent="0.25">
      <c r="A3748" t="str">
        <f>"20190303170613428"</f>
        <v>20190303170613428</v>
      </c>
      <c r="B3748" t="str">
        <f>"1551603973419037"</f>
        <v>1551603973419037</v>
      </c>
      <c r="C3748" t="s">
        <v>40</v>
      </c>
      <c r="D3748">
        <v>5.3973240000000002</v>
      </c>
      <c r="E3748">
        <v>0.52239720000000001</v>
      </c>
      <c r="F3748" t="s">
        <v>41</v>
      </c>
      <c r="G3748">
        <v>-328.55829999999997</v>
      </c>
      <c r="H3748" s="1">
        <v>-3.0404120000000001E-6</v>
      </c>
      <c r="I3748">
        <v>149.0693</v>
      </c>
      <c r="J3748">
        <v>-250.2218</v>
      </c>
      <c r="K3748">
        <v>1.1201129999999999</v>
      </c>
      <c r="L3748">
        <v>141.86109999999999</v>
      </c>
      <c r="M3748">
        <v>-0.99995940000000005</v>
      </c>
      <c r="N3748">
        <v>-3.8005959999999998E-3</v>
      </c>
      <c r="O3748">
        <v>8.1826599999999996E-3</v>
      </c>
      <c r="P3748">
        <v>-0.98011380000000003</v>
      </c>
      <c r="Q3748">
        <v>0.19286220000000001</v>
      </c>
      <c r="R3748">
        <v>4.6704389999999998E-2</v>
      </c>
      <c r="S3748">
        <v>-3.0564420000000001</v>
      </c>
      <c r="T3748">
        <v>-4.3458700000000003E-2</v>
      </c>
      <c r="U3748">
        <v>0.27978520000000001</v>
      </c>
      <c r="V3748">
        <v>3.8440309999999998E-2</v>
      </c>
      <c r="W3748">
        <v>0.1966347</v>
      </c>
      <c r="X3748">
        <v>0.97972300000000001</v>
      </c>
      <c r="Y3748">
        <v>8.2996529999999999E-2</v>
      </c>
      <c r="Z3748">
        <v>6.6179919999999998E-4</v>
      </c>
      <c r="AA3748">
        <v>0.99654960000000004</v>
      </c>
      <c r="AB3748">
        <v>43</v>
      </c>
      <c r="AC3748">
        <v>-78.336499999999901</v>
      </c>
      <c r="AD3748">
        <v>-1.1201160404120001</v>
      </c>
      <c r="AE3748">
        <v>7.2081999999999997</v>
      </c>
      <c r="AF3748">
        <v>6.5656220630130901</v>
      </c>
      <c r="AG3748">
        <v>-1.1201160404120001</v>
      </c>
      <c r="AH3748">
        <v>78.376970019418195</v>
      </c>
      <c r="AI3748">
        <v>90.815923304616405</v>
      </c>
      <c r="AJ3748">
        <v>85.2115247319216</v>
      </c>
      <c r="AK3748">
        <v>78.659465307381097</v>
      </c>
      <c r="AL3748">
        <v>78.659766050338106</v>
      </c>
      <c r="AM3748">
        <v>87.753101265690503</v>
      </c>
      <c r="AN3748">
        <v>1.00000000970299</v>
      </c>
    </row>
    <row r="3749" spans="1:40" x14ac:dyDescent="0.25">
      <c r="A3749" t="str">
        <f>"20190303170613450"</f>
        <v>20190303170613450</v>
      </c>
      <c r="B3749" t="str">
        <f>"1551603973438556"</f>
        <v>1551603973438556</v>
      </c>
      <c r="C3749" t="s">
        <v>40</v>
      </c>
      <c r="D3749">
        <v>5.4191729999999998</v>
      </c>
      <c r="E3749">
        <v>0.522339</v>
      </c>
      <c r="F3749" t="s">
        <v>41</v>
      </c>
      <c r="G3749">
        <v>-326.25310000000002</v>
      </c>
      <c r="H3749" s="1">
        <v>-3.788377E-6</v>
      </c>
      <c r="I3749">
        <v>148.86369999999999</v>
      </c>
      <c r="J3749">
        <v>-250.6293</v>
      </c>
      <c r="K3749">
        <v>1.120036</v>
      </c>
      <c r="L3749">
        <v>141.86429999999999</v>
      </c>
      <c r="M3749">
        <v>-0.99996039999999997</v>
      </c>
      <c r="N3749">
        <v>-3.8094470000000001E-3</v>
      </c>
      <c r="O3749">
        <v>8.0463859999999904E-3</v>
      </c>
      <c r="P3749">
        <v>-0.97995840000000001</v>
      </c>
      <c r="Q3749">
        <v>0.19345979999999999</v>
      </c>
      <c r="R3749">
        <v>4.748844E-2</v>
      </c>
      <c r="S3749">
        <v>-3.0563199999999999</v>
      </c>
      <c r="T3749">
        <v>-4.5026660000000003E-2</v>
      </c>
      <c r="U3749">
        <v>0.28149410000000002</v>
      </c>
      <c r="V3749">
        <v>3.939206E-2</v>
      </c>
      <c r="W3749">
        <v>0.19723499999999999</v>
      </c>
      <c r="X3749">
        <v>0.97956449999999995</v>
      </c>
      <c r="Y3749">
        <v>8.3687769999999995E-2</v>
      </c>
      <c r="Z3749">
        <v>6.8718849999999999E-4</v>
      </c>
      <c r="AA3749">
        <v>0.99649180000000004</v>
      </c>
      <c r="AB3749">
        <v>43</v>
      </c>
      <c r="AC3749">
        <v>-75.623800000000003</v>
      </c>
      <c r="AD3749">
        <v>-1.1200397883769999</v>
      </c>
      <c r="AE3749">
        <v>6.9993999999999996</v>
      </c>
      <c r="AF3749">
        <v>6.3892810998922096</v>
      </c>
      <c r="AG3749">
        <v>-1.1200397883769999</v>
      </c>
      <c r="AH3749">
        <v>75.661216312336094</v>
      </c>
      <c r="AI3749">
        <v>90.845100312083204</v>
      </c>
      <c r="AJ3749">
        <v>85.1730572141674</v>
      </c>
      <c r="AK3749">
        <v>75.938771757008993</v>
      </c>
      <c r="AL3749">
        <v>78.624684200692897</v>
      </c>
      <c r="AM3749">
        <v>87.697156924890294</v>
      </c>
      <c r="AN3749">
        <v>0.99999999463814604</v>
      </c>
    </row>
    <row r="3750" spans="1:40" x14ac:dyDescent="0.25">
      <c r="A3750" t="str">
        <f>"20190303170613472"</f>
        <v>20190303170613472</v>
      </c>
      <c r="B3750" t="str">
        <f>"1551603973459053"</f>
        <v>1551603973459053</v>
      </c>
      <c r="C3750" t="s">
        <v>40</v>
      </c>
      <c r="D3750">
        <v>5.4011149999999999</v>
      </c>
      <c r="E3750">
        <v>0.5224143</v>
      </c>
      <c r="F3750" t="s">
        <v>84</v>
      </c>
      <c r="G3750">
        <v>-319.55180000000001</v>
      </c>
      <c r="H3750" s="1">
        <v>-7.8394349999999904E-6</v>
      </c>
      <c r="I3750">
        <v>148.22460000000001</v>
      </c>
      <c r="J3750">
        <v>-251.05029999999999</v>
      </c>
      <c r="K3750">
        <v>1.1199779999999999</v>
      </c>
      <c r="L3750">
        <v>141.86760000000001</v>
      </c>
      <c r="M3750">
        <v>-0.9999614</v>
      </c>
      <c r="N3750">
        <v>-3.8182699999999999E-3</v>
      </c>
      <c r="O3750">
        <v>7.9337079999999994E-3</v>
      </c>
      <c r="P3750">
        <v>-0.97954640000000004</v>
      </c>
      <c r="Q3750">
        <v>0.19530839999999999</v>
      </c>
      <c r="R3750">
        <v>4.841384E-2</v>
      </c>
      <c r="S3750">
        <v>-3.0574949999999999</v>
      </c>
      <c r="T3750">
        <v>-4.9686670000000002E-2</v>
      </c>
      <c r="U3750">
        <v>0.28215030000000002</v>
      </c>
      <c r="V3750">
        <v>4.0458569999999999E-2</v>
      </c>
      <c r="W3750">
        <v>0.19908580000000001</v>
      </c>
      <c r="X3750">
        <v>0.97914650000000003</v>
      </c>
      <c r="Y3750">
        <v>8.3974980000000005E-2</v>
      </c>
      <c r="Z3750">
        <v>7.4310719999999997E-4</v>
      </c>
      <c r="AA3750">
        <v>0.99646760000000001</v>
      </c>
      <c r="AB3750">
        <v>43</v>
      </c>
      <c r="AC3750">
        <v>-68.501499999999993</v>
      </c>
      <c r="AD3750">
        <v>-1.119985839435</v>
      </c>
      <c r="AE3750">
        <v>6.3569999999999904</v>
      </c>
      <c r="AF3750">
        <v>5.81178483758148</v>
      </c>
      <c r="AG3750">
        <v>-1.119985839435</v>
      </c>
      <c r="AH3750">
        <v>68.531615833037904</v>
      </c>
      <c r="AI3750">
        <v>90.932931420418996</v>
      </c>
      <c r="AJ3750">
        <v>85.152662039697702</v>
      </c>
      <c r="AK3750">
        <v>68.786725317941801</v>
      </c>
      <c r="AL3750">
        <v>78.516495331192104</v>
      </c>
      <c r="AM3750">
        <v>87.633870545357297</v>
      </c>
      <c r="AN3750">
        <v>0.999999960055166</v>
      </c>
    </row>
    <row r="3751" spans="1:40" x14ac:dyDescent="0.25">
      <c r="A3751" t="str">
        <f>"20190303170613507"</f>
        <v>20190303170613507</v>
      </c>
      <c r="B3751" t="str">
        <f>"1551603973499069"</f>
        <v>1551603973499069</v>
      </c>
      <c r="C3751" t="s">
        <v>40</v>
      </c>
      <c r="D3751">
        <v>5.4264250000000001</v>
      </c>
      <c r="E3751">
        <v>0.52255949999999995</v>
      </c>
      <c r="F3751" t="s">
        <v>41</v>
      </c>
      <c r="G3751">
        <v>-328.5172</v>
      </c>
      <c r="H3751" s="1">
        <v>-3.0552590000000001E-6</v>
      </c>
      <c r="I3751">
        <v>149.07409999999999</v>
      </c>
      <c r="J3751">
        <v>-251.7353</v>
      </c>
      <c r="K3751">
        <v>1.119888</v>
      </c>
      <c r="L3751">
        <v>141.87289999999999</v>
      </c>
      <c r="M3751">
        <v>-0.99996249999999998</v>
      </c>
      <c r="N3751">
        <v>-3.8329330000000002E-3</v>
      </c>
      <c r="O3751">
        <v>7.7812999999999997E-3</v>
      </c>
      <c r="P3751">
        <v>-0.97932960000000002</v>
      </c>
      <c r="Q3751">
        <v>0.19628190000000001</v>
      </c>
      <c r="R3751">
        <v>4.8858980000000003E-2</v>
      </c>
      <c r="S3751">
        <v>-3.0574189999999999</v>
      </c>
      <c r="T3751">
        <v>-4.42028E-2</v>
      </c>
      <c r="U3751">
        <v>0.2844238</v>
      </c>
      <c r="V3751">
        <v>4.1092730000000001E-2</v>
      </c>
      <c r="W3751">
        <v>0.2000652</v>
      </c>
      <c r="X3751">
        <v>0.97892049999999997</v>
      </c>
      <c r="Y3751">
        <v>8.4866090000000005E-2</v>
      </c>
      <c r="Z3751">
        <v>6.92653E-4</v>
      </c>
      <c r="AA3751">
        <v>0.9963921</v>
      </c>
      <c r="AB3751">
        <v>43</v>
      </c>
      <c r="AC3751">
        <v>-76.781899999999993</v>
      </c>
      <c r="AD3751">
        <v>-1.119891055259</v>
      </c>
      <c r="AE3751">
        <v>7.2012</v>
      </c>
      <c r="AF3751">
        <v>6.6021224273052104</v>
      </c>
      <c r="AG3751">
        <v>-1.119891055259</v>
      </c>
      <c r="AH3751">
        <v>76.819411021894197</v>
      </c>
      <c r="AI3751">
        <v>90.832144761710893</v>
      </c>
      <c r="AJ3751">
        <v>85.0878754774226</v>
      </c>
      <c r="AK3751">
        <v>77.110726142810293</v>
      </c>
      <c r="AL3751">
        <v>78.459228469792805</v>
      </c>
      <c r="AM3751">
        <v>87.596272093826101</v>
      </c>
      <c r="AN3751">
        <v>1.0000000210150699</v>
      </c>
    </row>
    <row r="3752" spans="1:40" x14ac:dyDescent="0.25">
      <c r="A3752" t="str">
        <f>"20190303170613550"</f>
        <v>20190303170613550</v>
      </c>
      <c r="B3752" t="str">
        <f>"1551603973539085"</f>
        <v>1551603973539085</v>
      </c>
      <c r="C3752" t="s">
        <v>40</v>
      </c>
      <c r="D3752">
        <v>5.3979499999999998</v>
      </c>
      <c r="E3752">
        <v>0.52259929999999999</v>
      </c>
      <c r="F3752" t="s">
        <v>41</v>
      </c>
      <c r="G3752">
        <v>-327.65159999999997</v>
      </c>
      <c r="H3752" s="1">
        <v>-3.3326219999999998E-6</v>
      </c>
      <c r="I3752">
        <v>148.97710000000001</v>
      </c>
      <c r="J3752">
        <v>-252.56479999999999</v>
      </c>
      <c r="K3752">
        <v>1.1197889999999999</v>
      </c>
      <c r="L3752">
        <v>141.87909999999999</v>
      </c>
      <c r="M3752">
        <v>-0.99996370000000001</v>
      </c>
      <c r="N3752">
        <v>-3.8437950000000001E-3</v>
      </c>
      <c r="O3752">
        <v>7.6149669999999899E-3</v>
      </c>
      <c r="P3752">
        <v>-0.9798019</v>
      </c>
      <c r="Q3752">
        <v>0.19369459999999999</v>
      </c>
      <c r="R3752">
        <v>4.9706130000000001E-2</v>
      </c>
      <c r="S3752">
        <v>-3.0580750000000001</v>
      </c>
      <c r="T3752">
        <v>-4.5111779999999997E-2</v>
      </c>
      <c r="U3752">
        <v>0.28617859999999901</v>
      </c>
      <c r="V3752">
        <v>4.2136850000000003E-2</v>
      </c>
      <c r="W3752">
        <v>0.1974832</v>
      </c>
      <c r="X3752">
        <v>0.9794003</v>
      </c>
      <c r="Y3752">
        <v>8.5578390000000004E-2</v>
      </c>
      <c r="Z3752">
        <v>7.1178270000000002E-4</v>
      </c>
      <c r="AA3752">
        <v>0.99633119999999997</v>
      </c>
      <c r="AB3752">
        <v>43</v>
      </c>
      <c r="AC3752">
        <v>-75.086799999999897</v>
      </c>
      <c r="AD3752">
        <v>-1.1197923326219901</v>
      </c>
      <c r="AE3752">
        <v>7.0980000000000096</v>
      </c>
      <c r="AF3752">
        <v>6.52456825911558</v>
      </c>
      <c r="AG3752">
        <v>-1.1197923326219901</v>
      </c>
      <c r="AH3752">
        <v>75.122114630329406</v>
      </c>
      <c r="AI3752">
        <v>90.850802016607204</v>
      </c>
      <c r="AJ3752">
        <v>85.036155831580302</v>
      </c>
      <c r="AK3752">
        <v>75.413235127319695</v>
      </c>
      <c r="AL3752">
        <v>78.610178571630101</v>
      </c>
      <c r="AM3752">
        <v>87.536476425546098</v>
      </c>
      <c r="AN3752">
        <v>1.0000000380251199</v>
      </c>
    </row>
    <row r="3753" spans="1:40" x14ac:dyDescent="0.25">
      <c r="A3753" t="str">
        <f>"20190303170613572"</f>
        <v>20190303170613572</v>
      </c>
      <c r="B3753" t="str">
        <f>"1551603973558605"</f>
        <v>1551603973558605</v>
      </c>
      <c r="C3753" t="s">
        <v>40</v>
      </c>
      <c r="D3753">
        <v>5.5909879999999896</v>
      </c>
      <c r="E3753">
        <v>0.52246590000000004</v>
      </c>
      <c r="F3753" t="s">
        <v>84</v>
      </c>
      <c r="G3753">
        <v>-316.428</v>
      </c>
      <c r="H3753" s="1">
        <v>-9.139948E-6</v>
      </c>
      <c r="I3753">
        <v>147.90350000000001</v>
      </c>
      <c r="J3753">
        <v>-252.9956</v>
      </c>
      <c r="K3753">
        <v>1.1197469999999901</v>
      </c>
      <c r="L3753">
        <v>141.88229999999999</v>
      </c>
      <c r="M3753">
        <v>-0.99996439999999998</v>
      </c>
      <c r="N3753">
        <v>-3.8472990000000002E-3</v>
      </c>
      <c r="O3753">
        <v>7.5303019999999896E-3</v>
      </c>
      <c r="P3753">
        <v>-0.97976569999999996</v>
      </c>
      <c r="Q3753">
        <v>0.19395789999999999</v>
      </c>
      <c r="R3753">
        <v>4.9392869999999998E-2</v>
      </c>
      <c r="S3753">
        <v>-3.0577999999999999</v>
      </c>
      <c r="T3753">
        <v>-5.3616520000000001E-2</v>
      </c>
      <c r="U3753">
        <v>0.28845209999999999</v>
      </c>
      <c r="V3753">
        <v>4.1921350000000003E-2</v>
      </c>
      <c r="W3753">
        <v>0.19774639999999999</v>
      </c>
      <c r="X3753">
        <v>0.97935640000000002</v>
      </c>
      <c r="Y3753">
        <v>8.6401179999999994E-2</v>
      </c>
      <c r="Z3753">
        <v>8.1953289999999997E-4</v>
      </c>
      <c r="AA3753">
        <v>0.99626009999999998</v>
      </c>
      <c r="AB3753">
        <v>44</v>
      </c>
      <c r="AC3753">
        <v>-63.432400000000001</v>
      </c>
      <c r="AD3753">
        <v>-1.1197561399479901</v>
      </c>
      <c r="AE3753">
        <v>6.0212000000000199</v>
      </c>
      <c r="AF3753">
        <v>5.5416492226406104</v>
      </c>
      <c r="AG3753">
        <v>-1.1197561399479901</v>
      </c>
      <c r="AH3753">
        <v>63.456345598352399</v>
      </c>
      <c r="AI3753">
        <v>91.007109044667502</v>
      </c>
      <c r="AJ3753">
        <v>85.009015940466</v>
      </c>
      <c r="AK3753">
        <v>63.707703824712397</v>
      </c>
      <c r="AL3753">
        <v>78.594794494629994</v>
      </c>
      <c r="AM3753">
        <v>87.548950461457295</v>
      </c>
      <c r="AN3753">
        <v>0.99999999825987096</v>
      </c>
    </row>
    <row r="3754" spans="1:40" x14ac:dyDescent="0.25">
      <c r="A3754" t="str">
        <f>"20190303170613596"</f>
        <v>20190303170613596</v>
      </c>
      <c r="B3754" t="str">
        <f>"1551603973588861"</f>
        <v>1551603973588861</v>
      </c>
      <c r="C3754" t="s">
        <v>40</v>
      </c>
      <c r="D3754">
        <v>5.3788980000000004</v>
      </c>
      <c r="E3754">
        <v>0.48272619999999999</v>
      </c>
      <c r="F3754" t="s">
        <v>84</v>
      </c>
      <c r="G3754">
        <v>-318.77659999999997</v>
      </c>
      <c r="H3754" s="1">
        <v>-8.1342999999999994E-6</v>
      </c>
      <c r="I3754">
        <v>148.0393</v>
      </c>
      <c r="J3754">
        <v>-253.4675</v>
      </c>
      <c r="K3754">
        <v>1.1197159999999999</v>
      </c>
      <c r="L3754">
        <v>141.88579999999999</v>
      </c>
      <c r="M3754">
        <v>-0.99996510000000005</v>
      </c>
      <c r="N3754">
        <v>-3.848574E-3</v>
      </c>
      <c r="O3754">
        <v>7.4382329999999998E-3</v>
      </c>
      <c r="P3754">
        <v>-0.97955449999999999</v>
      </c>
      <c r="Q3754">
        <v>0.19499520000000001</v>
      </c>
      <c r="R3754">
        <v>4.9499870000000001E-2</v>
      </c>
      <c r="S3754">
        <v>-3.0578460000000001</v>
      </c>
      <c r="T3754">
        <v>-5.2052139999999997E-2</v>
      </c>
      <c r="U3754">
        <v>0.28620909999999999</v>
      </c>
      <c r="V3754">
        <v>4.2132940000000001E-2</v>
      </c>
      <c r="W3754">
        <v>0.1987816</v>
      </c>
      <c r="X3754">
        <v>0.9791377</v>
      </c>
      <c r="Y3754">
        <v>8.5767990000000002E-2</v>
      </c>
      <c r="Z3754">
        <v>7.9601039999999904E-4</v>
      </c>
      <c r="AA3754">
        <v>0.99631479999999994</v>
      </c>
      <c r="AB3754">
        <v>44</v>
      </c>
      <c r="AC3754">
        <v>-65.309099999999901</v>
      </c>
      <c r="AD3754">
        <v>-1.1197241343</v>
      </c>
      <c r="AE3754">
        <v>6.1535000000000002</v>
      </c>
      <c r="AF3754">
        <v>5.6658911111875803</v>
      </c>
      <c r="AG3754">
        <v>-1.1197241343</v>
      </c>
      <c r="AH3754">
        <v>65.334028761422502</v>
      </c>
      <c r="AI3754">
        <v>90.978194118490606</v>
      </c>
      <c r="AJ3754">
        <v>85.043601490889102</v>
      </c>
      <c r="AK3754">
        <v>65.588805587685101</v>
      </c>
      <c r="AL3754">
        <v>78.534280317512</v>
      </c>
      <c r="AM3754">
        <v>87.536044911630498</v>
      </c>
      <c r="AN3754">
        <v>0.999999972346446</v>
      </c>
    </row>
    <row r="3755" spans="1:40" x14ac:dyDescent="0.25">
      <c r="A3755" t="str">
        <f>"20190303170613618"</f>
        <v>20190303170613618</v>
      </c>
      <c r="B3755" t="str">
        <f>"1551603973608381"</f>
        <v>1551603973608381</v>
      </c>
      <c r="C3755" t="s">
        <v>40</v>
      </c>
      <c r="D3755">
        <v>5.4122949999999896</v>
      </c>
      <c r="E3755">
        <v>0.4799814</v>
      </c>
      <c r="F3755" t="s">
        <v>84</v>
      </c>
      <c r="G3755">
        <v>-315.60480000000001</v>
      </c>
      <c r="H3755" s="1">
        <v>-7.7476989999999993E-6</v>
      </c>
      <c r="I3755">
        <v>141.2466</v>
      </c>
      <c r="J3755">
        <v>-253.89709999999999</v>
      </c>
      <c r="K3755">
        <v>1.119699</v>
      </c>
      <c r="L3755">
        <v>141.88890000000001</v>
      </c>
      <c r="M3755">
        <v>-0.99996549999999995</v>
      </c>
      <c r="N3755">
        <v>-3.8488939999999998E-3</v>
      </c>
      <c r="O3755">
        <v>7.3554830000000003E-3</v>
      </c>
      <c r="P3755">
        <v>-0.97943279999999999</v>
      </c>
      <c r="Q3755">
        <v>0.19535620000000001</v>
      </c>
      <c r="R3755">
        <v>5.0471160000000001E-2</v>
      </c>
      <c r="S3755">
        <v>-3.0752410000000001</v>
      </c>
      <c r="T3755">
        <v>-5.5416350000000003E-2</v>
      </c>
      <c r="U3755">
        <v>-3.1631470000000002E-2</v>
      </c>
      <c r="V3755">
        <v>4.3195490000000003E-2</v>
      </c>
      <c r="W3755">
        <v>0.19914100000000001</v>
      </c>
      <c r="X3755">
        <v>0.97901839999999996</v>
      </c>
      <c r="Y3755">
        <v>-1.7635970000000001E-2</v>
      </c>
      <c r="Z3755">
        <v>-2.9705349999999998E-4</v>
      </c>
      <c r="AA3755">
        <v>0.99984439999999997</v>
      </c>
      <c r="AB3755">
        <v>44</v>
      </c>
      <c r="AC3755">
        <v>-61.707700000000003</v>
      </c>
      <c r="AD3755">
        <v>-1.1197067476989999</v>
      </c>
      <c r="AE3755">
        <v>-0.64230000000000498</v>
      </c>
      <c r="AF3755">
        <v>-1.09581518168301</v>
      </c>
      <c r="AG3755">
        <v>-1.1197067476989999</v>
      </c>
      <c r="AH3755">
        <v>61.680999740478697</v>
      </c>
      <c r="AI3755">
        <v>91.039822746461397</v>
      </c>
      <c r="AJ3755">
        <v>91.017800959426907</v>
      </c>
      <c r="AK3755">
        <v>61.700893697726798</v>
      </c>
      <c r="AL3755">
        <v>78.513268537966496</v>
      </c>
      <c r="AM3755">
        <v>87.473678550290401</v>
      </c>
      <c r="AN3755">
        <v>1.0000000078879501</v>
      </c>
    </row>
    <row r="3756" spans="1:40" x14ac:dyDescent="0.25">
      <c r="A3756" t="str">
        <f>"20190303170613662"</f>
        <v>20190303170613662</v>
      </c>
      <c r="B3756" t="str">
        <f>"1551603973648397"</f>
        <v>1551603973648397</v>
      </c>
      <c r="C3756" t="s">
        <v>40</v>
      </c>
      <c r="D3756">
        <v>5.4381940000000002</v>
      </c>
      <c r="E3756">
        <v>0.47855399999999998</v>
      </c>
      <c r="F3756" t="s">
        <v>41</v>
      </c>
      <c r="G3756">
        <v>-320.02589999999998</v>
      </c>
      <c r="H3756" s="1">
        <v>-4.4759069999999998E-6</v>
      </c>
      <c r="I3756">
        <v>140.7929</v>
      </c>
      <c r="J3756">
        <v>-254.75729999999999</v>
      </c>
      <c r="K3756">
        <v>1.1196469999999901</v>
      </c>
      <c r="L3756">
        <v>141.89510000000001</v>
      </c>
      <c r="M3756">
        <v>-0.99996680000000004</v>
      </c>
      <c r="N3756">
        <v>-3.852435E-3</v>
      </c>
      <c r="O3756">
        <v>7.2017909999999999E-3</v>
      </c>
      <c r="P3756">
        <v>-0.97998580000000002</v>
      </c>
      <c r="Q3756">
        <v>0.19226579999999999</v>
      </c>
      <c r="R3756">
        <v>5.1595040000000002E-2</v>
      </c>
      <c r="S3756">
        <v>-3.0760190000000001</v>
      </c>
      <c r="T3756">
        <v>-5.2083730000000002E-2</v>
      </c>
      <c r="U3756">
        <v>-5.0979610000000002E-2</v>
      </c>
      <c r="V3756">
        <v>4.448146E-2</v>
      </c>
      <c r="W3756">
        <v>0.19605359999999999</v>
      </c>
      <c r="X3756">
        <v>0.9795838</v>
      </c>
      <c r="Y3756">
        <v>-2.3766599999999999E-2</v>
      </c>
      <c r="Z3756">
        <v>-3.4115410000000001E-4</v>
      </c>
      <c r="AA3756">
        <v>0.99971750000000004</v>
      </c>
      <c r="AB3756">
        <v>44</v>
      </c>
      <c r="AC3756">
        <v>-65.268599999999907</v>
      </c>
      <c r="AD3756">
        <v>-1.11965147590699</v>
      </c>
      <c r="AE3756">
        <v>-1.1022000000000101</v>
      </c>
      <c r="AF3756">
        <v>-1.5717632449658501</v>
      </c>
      <c r="AG3756">
        <v>-1.11965147590699</v>
      </c>
      <c r="AH3756">
        <v>65.239776350272194</v>
      </c>
      <c r="AI3756">
        <v>90.982934130086804</v>
      </c>
      <c r="AJ3756">
        <v>91.380108698020706</v>
      </c>
      <c r="AK3756">
        <v>65.268311433338397</v>
      </c>
      <c r="AL3756">
        <v>78.693721663328304</v>
      </c>
      <c r="AM3756">
        <v>87.400068879849201</v>
      </c>
      <c r="AN3756">
        <v>1.00000001778956</v>
      </c>
    </row>
    <row r="3757" spans="1:40" x14ac:dyDescent="0.25">
      <c r="A3757" t="str">
        <f>"20190303170613685"</f>
        <v>20190303170613685</v>
      </c>
      <c r="B3757" t="str">
        <f>"1551603973678653"</f>
        <v>1551603973678653</v>
      </c>
      <c r="C3757" t="s">
        <v>40</v>
      </c>
      <c r="D3757">
        <v>5.4171820000000004</v>
      </c>
      <c r="E3757">
        <v>0.47794130000000001</v>
      </c>
      <c r="F3757" t="s">
        <v>84</v>
      </c>
      <c r="G3757">
        <v>-312.8673</v>
      </c>
      <c r="H3757" s="1">
        <v>-8.6987149999999996E-6</v>
      </c>
      <c r="I3757">
        <v>140.78120000000001</v>
      </c>
      <c r="J3757">
        <v>-255.22110000000001</v>
      </c>
      <c r="K3757">
        <v>1.1196159999999999</v>
      </c>
      <c r="L3757">
        <v>141.89840000000001</v>
      </c>
      <c r="M3757">
        <v>-0.9999673</v>
      </c>
      <c r="N3757">
        <v>-3.8536740000000001E-3</v>
      </c>
      <c r="O3757">
        <v>7.1314680000000002E-3</v>
      </c>
      <c r="P3757">
        <v>-0.98023190000000004</v>
      </c>
      <c r="Q3757">
        <v>0.1909246</v>
      </c>
      <c r="R3757">
        <v>5.1899529999999999E-2</v>
      </c>
      <c r="S3757">
        <v>-3.0759889999999999</v>
      </c>
      <c r="T3757">
        <v>-5.9267760000000003E-2</v>
      </c>
      <c r="U3757">
        <v>-5.8959959999999999E-2</v>
      </c>
      <c r="V3757">
        <v>4.4860480000000001E-2</v>
      </c>
      <c r="W3757">
        <v>0.19471279999999999</v>
      </c>
      <c r="X3757">
        <v>0.97983390000000004</v>
      </c>
      <c r="Y3757">
        <v>-2.6287310000000001E-2</v>
      </c>
      <c r="Z3757">
        <v>-4.137721E-4</v>
      </c>
      <c r="AA3757">
        <v>0.99965440000000005</v>
      </c>
      <c r="AB3757">
        <v>44</v>
      </c>
      <c r="AC3757">
        <v>-57.646199999999901</v>
      </c>
      <c r="AD3757">
        <v>-1.119624698715</v>
      </c>
      <c r="AE3757">
        <v>-1.11719999999999</v>
      </c>
      <c r="AF3757">
        <v>-1.5277005350458901</v>
      </c>
      <c r="AG3757">
        <v>-1.119624698715</v>
      </c>
      <c r="AH3757">
        <v>57.615040916500497</v>
      </c>
      <c r="AI3757">
        <v>91.112889356353406</v>
      </c>
      <c r="AJ3757">
        <v>91.518879212096905</v>
      </c>
      <c r="AK3757">
        <v>57.6461652514786</v>
      </c>
      <c r="AL3757">
        <v>78.772053389160206</v>
      </c>
      <c r="AM3757">
        <v>87.3786143740885</v>
      </c>
      <c r="AN3757">
        <v>1.0000000043694399</v>
      </c>
    </row>
    <row r="3758" spans="1:40" x14ac:dyDescent="0.25">
      <c r="A3758" t="str">
        <f>"20190303170613708"</f>
        <v>20190303170613708</v>
      </c>
      <c r="B3758" t="str">
        <f>"1551603973699150"</f>
        <v>1551603973699150</v>
      </c>
      <c r="C3758" t="s">
        <v>40</v>
      </c>
      <c r="D3758">
        <v>5.3866709999999998</v>
      </c>
      <c r="E3758">
        <v>0.4777149</v>
      </c>
      <c r="F3758" t="s">
        <v>84</v>
      </c>
      <c r="G3758">
        <v>-310.64940000000001</v>
      </c>
      <c r="H3758" s="1">
        <v>-9.5312059999999992E-6</v>
      </c>
      <c r="I3758">
        <v>140.77209999999999</v>
      </c>
      <c r="J3758">
        <v>-255.69919999999999</v>
      </c>
      <c r="K3758">
        <v>1.1195949999999999</v>
      </c>
      <c r="L3758">
        <v>141.90170000000001</v>
      </c>
      <c r="M3758">
        <v>-0.99996779999999996</v>
      </c>
      <c r="N3758">
        <v>-3.8533249999999999E-3</v>
      </c>
      <c r="O3758">
        <v>7.070921E-3</v>
      </c>
      <c r="P3758">
        <v>-0.97985540000000004</v>
      </c>
      <c r="Q3758">
        <v>0.192805</v>
      </c>
      <c r="R3758">
        <v>5.2058769999999997E-2</v>
      </c>
      <c r="S3758">
        <v>-3.0759280000000002</v>
      </c>
      <c r="T3758">
        <v>-6.2132359999999998E-2</v>
      </c>
      <c r="U3758">
        <v>-6.25E-2</v>
      </c>
      <c r="V3758">
        <v>4.5088040000000003E-2</v>
      </c>
      <c r="W3758">
        <v>0.19658980000000001</v>
      </c>
      <c r="X3758">
        <v>0.9794486</v>
      </c>
      <c r="Y3758">
        <v>-2.7376290000000001E-2</v>
      </c>
      <c r="Z3758">
        <v>-4.447551E-4</v>
      </c>
      <c r="AA3758">
        <v>0.99962510000000004</v>
      </c>
      <c r="AB3758">
        <v>45</v>
      </c>
      <c r="AC3758">
        <v>-54.950200000000002</v>
      </c>
      <c r="AD3758">
        <v>-1.1196045312059999</v>
      </c>
      <c r="AE3758">
        <v>-1.1296000000000099</v>
      </c>
      <c r="AF3758">
        <v>-1.5174933807981501</v>
      </c>
      <c r="AG3758">
        <v>-1.1196045312059999</v>
      </c>
      <c r="AH3758">
        <v>54.918050047705201</v>
      </c>
      <c r="AI3758">
        <v>91.167471604602895</v>
      </c>
      <c r="AJ3758">
        <v>91.582791955203504</v>
      </c>
      <c r="AK3758">
        <v>54.950418756450901</v>
      </c>
      <c r="AL3758">
        <v>78.662389967005794</v>
      </c>
      <c r="AM3758">
        <v>87.364300805209297</v>
      </c>
      <c r="AN3758">
        <v>1.00000002042852</v>
      </c>
    </row>
    <row r="3759" spans="1:40" x14ac:dyDescent="0.25">
      <c r="A3759" t="str">
        <f>"20190303170613730"</f>
        <v>20190303170613730</v>
      </c>
      <c r="B3759" t="str">
        <f>"1551603973718669"</f>
        <v>1551603973718669</v>
      </c>
      <c r="C3759" t="s">
        <v>40</v>
      </c>
      <c r="D3759">
        <v>5.3548</v>
      </c>
      <c r="E3759">
        <v>0.47751500000000002</v>
      </c>
      <c r="F3759" t="s">
        <v>84</v>
      </c>
      <c r="G3759">
        <v>-317.4393</v>
      </c>
      <c r="H3759" s="1">
        <v>-6.7686010000000001E-6</v>
      </c>
      <c r="I3759">
        <v>140.61940000000001</v>
      </c>
      <c r="J3759">
        <v>-256.1352</v>
      </c>
      <c r="K3759">
        <v>1.1195850000000001</v>
      </c>
      <c r="L3759">
        <v>141.90479999999999</v>
      </c>
      <c r="M3759">
        <v>-0.99996799999999997</v>
      </c>
      <c r="N3759">
        <v>-3.853614E-3</v>
      </c>
      <c r="O3759">
        <v>7.0242489999999998E-3</v>
      </c>
      <c r="P3759">
        <v>-0.9794254</v>
      </c>
      <c r="Q3759">
        <v>0.19488349999999999</v>
      </c>
      <c r="R3759">
        <v>5.2406269999999998E-2</v>
      </c>
      <c r="S3759">
        <v>-3.07605</v>
      </c>
      <c r="T3759">
        <v>-5.5781480000000001E-2</v>
      </c>
      <c r="U3759">
        <v>-6.3888550000000002E-2</v>
      </c>
      <c r="V3759">
        <v>4.5489429999999997E-2</v>
      </c>
      <c r="W3759">
        <v>0.1986657</v>
      </c>
      <c r="X3759">
        <v>0.97901110000000002</v>
      </c>
      <c r="Y3759">
        <v>-2.7781219999999999E-2</v>
      </c>
      <c r="Z3759">
        <v>-4.0567879999999998E-4</v>
      </c>
      <c r="AA3759">
        <v>0.99961390000000006</v>
      </c>
      <c r="AB3759">
        <v>45</v>
      </c>
      <c r="AC3759">
        <v>-61.304099999999998</v>
      </c>
      <c r="AD3759">
        <v>-1.119591768601</v>
      </c>
      <c r="AE3759">
        <v>-1.2853999999999799</v>
      </c>
      <c r="AF3759">
        <v>-1.71541480955793</v>
      </c>
      <c r="AG3759">
        <v>-1.119591768601</v>
      </c>
      <c r="AH3759">
        <v>61.273130846051103</v>
      </c>
      <c r="AI3759">
        <v>91.046390622122303</v>
      </c>
      <c r="AJ3759">
        <v>91.603645202562902</v>
      </c>
      <c r="AK3759">
        <v>61.307362505448502</v>
      </c>
      <c r="AL3759">
        <v>78.541056836821895</v>
      </c>
      <c r="AM3759">
        <v>87.339683786783198</v>
      </c>
      <c r="AN3759">
        <v>1.00000004126071</v>
      </c>
    </row>
    <row r="3760" spans="1:40" x14ac:dyDescent="0.25">
      <c r="A3760" t="str">
        <f>"20190303170613751"</f>
        <v>20190303170613751</v>
      </c>
      <c r="B3760" t="str">
        <f>"1551603973739165"</f>
        <v>1551603973739165</v>
      </c>
      <c r="C3760" t="s">
        <v>40</v>
      </c>
      <c r="D3760">
        <v>5.3817579999999996</v>
      </c>
      <c r="E3760">
        <v>0.47727269999999999</v>
      </c>
      <c r="F3760" t="s">
        <v>41</v>
      </c>
      <c r="G3760">
        <v>-327.1395</v>
      </c>
      <c r="H3760" s="1">
        <v>-1.422288E-6</v>
      </c>
      <c r="I3760">
        <v>140.41630000000001</v>
      </c>
      <c r="J3760">
        <v>-256.56200000000001</v>
      </c>
      <c r="K3760">
        <v>1.119575</v>
      </c>
      <c r="L3760">
        <v>141.90770000000001</v>
      </c>
      <c r="M3760">
        <v>-0.99996819999999997</v>
      </c>
      <c r="N3760">
        <v>-3.8554090000000002E-3</v>
      </c>
      <c r="O3760">
        <v>6.9871630000000002E-3</v>
      </c>
      <c r="P3760">
        <v>-0.97948550000000001</v>
      </c>
      <c r="Q3760">
        <v>0.19476060000000001</v>
      </c>
      <c r="R3760">
        <v>5.1738039999999999E-2</v>
      </c>
      <c r="S3760">
        <v>-3.0761409999999998</v>
      </c>
      <c r="T3760">
        <v>-4.8504230000000002E-2</v>
      </c>
      <c r="U3760">
        <v>-6.4483639999999995E-2</v>
      </c>
      <c r="V3760">
        <v>4.486246E-2</v>
      </c>
      <c r="W3760">
        <v>0.19854379999999999</v>
      </c>
      <c r="X3760">
        <v>0.97906470000000001</v>
      </c>
      <c r="Y3760">
        <v>-2.7938259999999999E-2</v>
      </c>
      <c r="Z3760">
        <v>-3.5731400000000001E-4</v>
      </c>
      <c r="AA3760">
        <v>0.99960959999999999</v>
      </c>
      <c r="AB3760">
        <v>45</v>
      </c>
      <c r="AC3760">
        <v>-70.577499999999901</v>
      </c>
      <c r="AD3760">
        <v>-1.119576422288</v>
      </c>
      <c r="AE3760">
        <v>-1.4913999999999901</v>
      </c>
      <c r="AF3760">
        <v>-1.98400470752859</v>
      </c>
      <c r="AG3760">
        <v>-1.119576422288</v>
      </c>
      <c r="AH3760">
        <v>70.547611924894895</v>
      </c>
      <c r="AI3760">
        <v>90.908836915725303</v>
      </c>
      <c r="AJ3760">
        <v>91.610899914248506</v>
      </c>
      <c r="AK3760">
        <v>70.584384068648006</v>
      </c>
      <c r="AL3760">
        <v>78.548182483786405</v>
      </c>
      <c r="AM3760">
        <v>87.3764421357928</v>
      </c>
      <c r="AN3760">
        <v>0.99999998381088995</v>
      </c>
    </row>
    <row r="3761" spans="1:40" x14ac:dyDescent="0.25">
      <c r="A3761" t="str">
        <f>"20190303170613774"</f>
        <v>20190303170613774</v>
      </c>
      <c r="B3761" t="str">
        <f>"1551603973768445"</f>
        <v>1551603973768445</v>
      </c>
      <c r="C3761" t="s">
        <v>40</v>
      </c>
      <c r="D3761">
        <v>5.415813</v>
      </c>
      <c r="E3761">
        <v>0.47721629999999998</v>
      </c>
      <c r="F3761" t="s">
        <v>41</v>
      </c>
      <c r="G3761">
        <v>-327.77620000000002</v>
      </c>
      <c r="H3761" s="1">
        <v>-1.1251010000000001E-6</v>
      </c>
      <c r="I3761">
        <v>140.32579999999999</v>
      </c>
      <c r="J3761">
        <v>-257.01060000000001</v>
      </c>
      <c r="K3761">
        <v>1.1195520000000001</v>
      </c>
      <c r="L3761">
        <v>141.91079999999999</v>
      </c>
      <c r="M3761">
        <v>-0.99996839999999998</v>
      </c>
      <c r="N3761">
        <v>-3.8590040000000001E-3</v>
      </c>
      <c r="O3761">
        <v>6.9554930000000001E-3</v>
      </c>
      <c r="P3761">
        <v>-0.97978509999999996</v>
      </c>
      <c r="Q3761">
        <v>0.19357050000000001</v>
      </c>
      <c r="R3761">
        <v>5.0513929999999999E-2</v>
      </c>
      <c r="S3761">
        <v>-3.07605</v>
      </c>
      <c r="T3761">
        <v>-4.8359390000000002E-2</v>
      </c>
      <c r="U3761">
        <v>-6.8328860000000005E-2</v>
      </c>
      <c r="V3761">
        <v>4.3672200000000001E-2</v>
      </c>
      <c r="W3761">
        <v>0.197357</v>
      </c>
      <c r="X3761">
        <v>0.97935839999999996</v>
      </c>
      <c r="Y3761">
        <v>-2.9156029999999999E-2</v>
      </c>
      <c r="Z3761">
        <v>-3.6790439999999998E-4</v>
      </c>
      <c r="AA3761">
        <v>0.99957479999999999</v>
      </c>
      <c r="AB3761">
        <v>45</v>
      </c>
      <c r="AC3761">
        <v>-70.765600000000006</v>
      </c>
      <c r="AD3761">
        <v>-1.119553125101</v>
      </c>
      <c r="AE3761">
        <v>-1.585</v>
      </c>
      <c r="AF3761">
        <v>-2.0766554341884298</v>
      </c>
      <c r="AG3761">
        <v>-1.119553125101</v>
      </c>
      <c r="AH3761">
        <v>70.735168145169496</v>
      </c>
      <c r="AI3761">
        <v>90.9063765071284</v>
      </c>
      <c r="AJ3761">
        <v>91.681616494111907</v>
      </c>
      <c r="AK3761">
        <v>70.774500418707802</v>
      </c>
      <c r="AL3761">
        <v>78.617553576225305</v>
      </c>
      <c r="AM3761">
        <v>87.446720066847604</v>
      </c>
      <c r="AN3761">
        <v>0.99999996107619904</v>
      </c>
    </row>
    <row r="3762" spans="1:40" x14ac:dyDescent="0.25">
      <c r="A3762" t="str">
        <f>"20190303170613796"</f>
        <v>20190303170613796</v>
      </c>
      <c r="B3762" t="str">
        <f>"1551603973788941"</f>
        <v>1551603973788941</v>
      </c>
      <c r="C3762" t="s">
        <v>40</v>
      </c>
      <c r="D3762">
        <v>5.4166860000000003</v>
      </c>
      <c r="E3762">
        <v>0.47709560000000001</v>
      </c>
      <c r="F3762" t="s">
        <v>41</v>
      </c>
      <c r="G3762">
        <v>-325.87479999999999</v>
      </c>
      <c r="H3762" s="1">
        <v>-1.9358869999999998E-6</v>
      </c>
      <c r="I3762">
        <v>140.3073</v>
      </c>
      <c r="J3762">
        <v>-257.47579999999999</v>
      </c>
      <c r="K3762">
        <v>1.1195349999999999</v>
      </c>
      <c r="L3762">
        <v>141.91409999999999</v>
      </c>
      <c r="M3762">
        <v>-0.99996859999999999</v>
      </c>
      <c r="N3762">
        <v>-3.8626049999999999E-3</v>
      </c>
      <c r="O3762">
        <v>6.9288240000000001E-3</v>
      </c>
      <c r="P3762">
        <v>-0.97989539999999997</v>
      </c>
      <c r="Q3762">
        <v>0.1931947</v>
      </c>
      <c r="R3762">
        <v>4.9812019999999999E-2</v>
      </c>
      <c r="S3762">
        <v>-3.0754700000000001</v>
      </c>
      <c r="T3762">
        <v>-4.999924E-2</v>
      </c>
      <c r="U3762">
        <v>-7.1609500000000006E-2</v>
      </c>
      <c r="V3762">
        <v>4.2999719999999998E-2</v>
      </c>
      <c r="W3762">
        <v>0.1969844</v>
      </c>
      <c r="X3762">
        <v>0.97946319999999998</v>
      </c>
      <c r="Y3762">
        <v>-3.019875E-2</v>
      </c>
      <c r="Z3762">
        <v>-3.8962909999999999E-4</v>
      </c>
      <c r="AA3762">
        <v>0.99954379999999998</v>
      </c>
      <c r="AB3762">
        <v>45</v>
      </c>
      <c r="AC3762">
        <v>-68.399000000000001</v>
      </c>
      <c r="AD3762">
        <v>-1.119536935887</v>
      </c>
      <c r="AE3762">
        <v>-1.60679999999999</v>
      </c>
      <c r="AF3762">
        <v>-2.0801326003342302</v>
      </c>
      <c r="AG3762">
        <v>-1.119536935887</v>
      </c>
      <c r="AH3762">
        <v>68.367918910312298</v>
      </c>
      <c r="AI3762">
        <v>90.937710971092201</v>
      </c>
      <c r="AJ3762">
        <v>91.742718875991599</v>
      </c>
      <c r="AK3762">
        <v>68.408717651428205</v>
      </c>
      <c r="AL3762">
        <v>78.639329853411695</v>
      </c>
      <c r="AM3762">
        <v>87.4862541862379</v>
      </c>
      <c r="AN3762">
        <v>0.99999999495883896</v>
      </c>
    </row>
    <row r="3763" spans="1:40" x14ac:dyDescent="0.25">
      <c r="A3763" t="str">
        <f>"20190303170613821"</f>
        <v>20190303170613821</v>
      </c>
      <c r="B3763" t="str">
        <f>"1551603973808460"</f>
        <v>1551603973808460</v>
      </c>
      <c r="C3763" t="s">
        <v>40</v>
      </c>
      <c r="D3763">
        <v>5.3713139999999999</v>
      </c>
      <c r="E3763">
        <v>0.47733120000000001</v>
      </c>
      <c r="F3763" t="s">
        <v>41</v>
      </c>
      <c r="G3763">
        <v>-324.8014</v>
      </c>
      <c r="H3763" s="1">
        <v>-2.3934740000000002E-6</v>
      </c>
      <c r="I3763">
        <v>140.29650000000001</v>
      </c>
      <c r="J3763">
        <v>-257.95839999999998</v>
      </c>
      <c r="K3763">
        <v>1.119532</v>
      </c>
      <c r="L3763">
        <v>141.91739999999999</v>
      </c>
      <c r="M3763">
        <v>-0.99996879999999999</v>
      </c>
      <c r="N3763">
        <v>-3.8646269999999998E-3</v>
      </c>
      <c r="O3763">
        <v>6.9061460000000002E-3</v>
      </c>
      <c r="P3763">
        <v>-0.97967930000000003</v>
      </c>
      <c r="Q3763">
        <v>0.19434129999999999</v>
      </c>
      <c r="R3763">
        <v>4.959939E-2</v>
      </c>
      <c r="S3763">
        <v>-3.0753780000000002</v>
      </c>
      <c r="T3763">
        <v>-5.1139589999999999E-2</v>
      </c>
      <c r="U3763">
        <v>-7.388306E-2</v>
      </c>
      <c r="V3763">
        <v>4.2814110000000002E-2</v>
      </c>
      <c r="W3763">
        <v>0.19813149999999999</v>
      </c>
      <c r="X3763">
        <v>0.97923990000000005</v>
      </c>
      <c r="Y3763">
        <v>-3.091493E-2</v>
      </c>
      <c r="Z3763">
        <v>-4.0486770000000002E-4</v>
      </c>
      <c r="AA3763">
        <v>0.99952189999999996</v>
      </c>
      <c r="AB3763">
        <v>45</v>
      </c>
      <c r="AC3763">
        <v>-66.843000000000004</v>
      </c>
      <c r="AD3763">
        <v>-1.1195343934739901</v>
      </c>
      <c r="AE3763">
        <v>-1.62089999999997</v>
      </c>
      <c r="AF3763">
        <v>-2.08190858303877</v>
      </c>
      <c r="AG3763">
        <v>-1.1195343934739901</v>
      </c>
      <c r="AH3763">
        <v>66.811480762703397</v>
      </c>
      <c r="AI3763">
        <v>90.9595279359838</v>
      </c>
      <c r="AJ3763">
        <v>91.784812844263001</v>
      </c>
      <c r="AK3763">
        <v>66.8532846037604</v>
      </c>
      <c r="AL3763">
        <v>78.572284078186698</v>
      </c>
      <c r="AM3763">
        <v>87.496521018874006</v>
      </c>
      <c r="AN3763">
        <v>0.99999996052967499</v>
      </c>
    </row>
    <row r="3764" spans="1:40" x14ac:dyDescent="0.25">
      <c r="A3764" t="str">
        <f>"20190303170613839"</f>
        <v>20190303170613839</v>
      </c>
      <c r="B3764" t="str">
        <f>"1551603973828957"</f>
        <v>1551603973828957</v>
      </c>
      <c r="C3764" t="s">
        <v>40</v>
      </c>
      <c r="D3764">
        <v>5.3672069999999996</v>
      </c>
      <c r="E3764">
        <v>0.4778154</v>
      </c>
      <c r="F3764" t="s">
        <v>41</v>
      </c>
      <c r="G3764">
        <v>-330.91809999999998</v>
      </c>
      <c r="H3764" s="1">
        <v>-4.4208799999999998E-6</v>
      </c>
      <c r="I3764">
        <v>140.16999999999999</v>
      </c>
      <c r="J3764">
        <v>-258.34969999999998</v>
      </c>
      <c r="K3764">
        <v>1.119518</v>
      </c>
      <c r="L3764">
        <v>141.92009999999999</v>
      </c>
      <c r="M3764">
        <v>-0.99996879999999999</v>
      </c>
      <c r="N3764">
        <v>-3.8660949999999999E-3</v>
      </c>
      <c r="O3764">
        <v>6.8903710000000002E-3</v>
      </c>
      <c r="P3764">
        <v>-0.97958420000000002</v>
      </c>
      <c r="Q3764">
        <v>0.1948068</v>
      </c>
      <c r="R3764">
        <v>4.9652769999999999E-2</v>
      </c>
      <c r="S3764">
        <v>-3.0753170000000001</v>
      </c>
      <c r="T3764">
        <v>-4.7189469999999997E-2</v>
      </c>
      <c r="U3764">
        <v>-7.3654170000000005E-2</v>
      </c>
      <c r="V3764">
        <v>4.2885939999999997E-2</v>
      </c>
      <c r="W3764">
        <v>0.198597</v>
      </c>
      <c r="X3764">
        <v>0.97914250000000003</v>
      </c>
      <c r="Y3764">
        <v>-3.082613E-2</v>
      </c>
      <c r="Z3764">
        <v>-3.7513740000000002E-4</v>
      </c>
      <c r="AA3764">
        <v>0.99952470000000004</v>
      </c>
      <c r="AB3764">
        <v>45</v>
      </c>
      <c r="AC3764">
        <v>-72.568399999999997</v>
      </c>
      <c r="AD3764">
        <v>-1.1195224208800001</v>
      </c>
      <c r="AE3764">
        <v>-1.7501</v>
      </c>
      <c r="AF3764">
        <v>-2.2495503096918301</v>
      </c>
      <c r="AG3764">
        <v>-1.1195224208800001</v>
      </c>
      <c r="AH3764">
        <v>72.537364751784096</v>
      </c>
      <c r="AI3764">
        <v>90.8837928103232</v>
      </c>
      <c r="AJ3764">
        <v>91.776304424268204</v>
      </c>
      <c r="AK3764">
        <v>72.580872770862001</v>
      </c>
      <c r="AL3764">
        <v>78.545072648201497</v>
      </c>
      <c r="AM3764">
        <v>87.492077112663694</v>
      </c>
      <c r="AN3764">
        <v>1.0000000037824599</v>
      </c>
    </row>
    <row r="3765" spans="1:40" x14ac:dyDescent="0.25">
      <c r="A3765" t="str">
        <f>"20190303170613863"</f>
        <v>20190303170613863</v>
      </c>
      <c r="B3765" t="str">
        <f>"1551603973859213"</f>
        <v>1551603973859213</v>
      </c>
      <c r="C3765" t="s">
        <v>40</v>
      </c>
      <c r="D3765">
        <v>5.3189719999999996</v>
      </c>
      <c r="E3765">
        <v>0.4782805</v>
      </c>
      <c r="F3765" t="s">
        <v>41</v>
      </c>
      <c r="G3765">
        <v>-334.56630000000001</v>
      </c>
      <c r="H3765" s="1">
        <v>-2.7014009999999999E-6</v>
      </c>
      <c r="I3765">
        <v>140.1891</v>
      </c>
      <c r="J3765">
        <v>-258.82830000000001</v>
      </c>
      <c r="K3765">
        <v>1.1195029999999999</v>
      </c>
      <c r="L3765">
        <v>141.92339999999999</v>
      </c>
      <c r="M3765">
        <v>-0.999969</v>
      </c>
      <c r="N3765">
        <v>-3.8688899999999998E-3</v>
      </c>
      <c r="O3765">
        <v>6.8725699999999997E-3</v>
      </c>
      <c r="P3765">
        <v>-0.979715</v>
      </c>
      <c r="Q3765">
        <v>0.19429150000000001</v>
      </c>
      <c r="R3765">
        <v>4.908738E-2</v>
      </c>
      <c r="S3765">
        <v>-3.075043</v>
      </c>
      <c r="T3765">
        <v>-4.5168279999999998E-2</v>
      </c>
      <c r="U3765">
        <v>-6.9839479999999995E-2</v>
      </c>
      <c r="V3765">
        <v>4.2339750000000002E-2</v>
      </c>
      <c r="W3765">
        <v>0.19808429999999999</v>
      </c>
      <c r="X3765">
        <v>0.97927010000000003</v>
      </c>
      <c r="Y3765">
        <v>-2.9571739999999999E-2</v>
      </c>
      <c r="Z3765">
        <v>-3.487087E-4</v>
      </c>
      <c r="AA3765">
        <v>0.99956259999999997</v>
      </c>
      <c r="AB3765">
        <v>46</v>
      </c>
      <c r="AC3765">
        <v>-75.738</v>
      </c>
      <c r="AD3765">
        <v>-1.1195057014009999</v>
      </c>
      <c r="AE3765">
        <v>-1.73429999999999</v>
      </c>
      <c r="AF3765">
        <v>-2.2542853181905</v>
      </c>
      <c r="AG3765">
        <v>-1.1195057014009999</v>
      </c>
      <c r="AH3765">
        <v>75.707759661590799</v>
      </c>
      <c r="AI3765">
        <v>90.846807083791603</v>
      </c>
      <c r="AJ3765">
        <v>91.705543569344599</v>
      </c>
      <c r="AK3765">
        <v>75.749587248304394</v>
      </c>
      <c r="AL3765">
        <v>78.575043423982905</v>
      </c>
      <c r="AM3765">
        <v>87.524299926443106</v>
      </c>
      <c r="AN3765">
        <v>0.99999998654528099</v>
      </c>
    </row>
    <row r="3766" spans="1:40" x14ac:dyDescent="0.25">
      <c r="A3766" t="str">
        <f>"20190303170613908"</f>
        <v>20190303170613908</v>
      </c>
      <c r="B3766" t="str">
        <f>"1551603973899229"</f>
        <v>1551603973899229</v>
      </c>
      <c r="C3766" t="s">
        <v>40</v>
      </c>
      <c r="D3766">
        <v>5.3603059999999996</v>
      </c>
      <c r="E3766">
        <v>0.47861819999999999</v>
      </c>
      <c r="F3766" t="s">
        <v>41</v>
      </c>
      <c r="G3766">
        <v>-332.10230000000001</v>
      </c>
      <c r="H3766" s="1">
        <v>-3.8976489999999996E-6</v>
      </c>
      <c r="I3766">
        <v>140.3074</v>
      </c>
      <c r="J3766">
        <v>-259.7731</v>
      </c>
      <c r="K3766">
        <v>1.1194809999999999</v>
      </c>
      <c r="L3766">
        <v>141.9298</v>
      </c>
      <c r="M3766">
        <v>-0.9999692</v>
      </c>
      <c r="N3766">
        <v>-3.880367E-3</v>
      </c>
      <c r="O3766">
        <v>6.8415309999999997E-3</v>
      </c>
      <c r="P3766">
        <v>-0.97982650000000004</v>
      </c>
      <c r="Q3766">
        <v>0.19375919999999999</v>
      </c>
      <c r="R3766">
        <v>4.8963720000000002E-2</v>
      </c>
      <c r="S3766">
        <v>-3.0748289999999998</v>
      </c>
      <c r="T3766">
        <v>-4.6978350000000002E-2</v>
      </c>
      <c r="U3766">
        <v>-6.7810060000000005E-2</v>
      </c>
      <c r="V3766">
        <v>4.2249490000000001E-2</v>
      </c>
      <c r="W3766">
        <v>0.19756309999999999</v>
      </c>
      <c r="X3766">
        <v>0.97937929999999995</v>
      </c>
      <c r="Y3766">
        <v>-2.8882649999999999E-2</v>
      </c>
      <c r="Z3766">
        <v>-3.5461580000000002E-4</v>
      </c>
      <c r="AA3766">
        <v>0.99958279999999999</v>
      </c>
      <c r="AB3766">
        <v>46</v>
      </c>
      <c r="AC3766">
        <v>-72.3292</v>
      </c>
      <c r="AD3766">
        <v>-1.1194848976489999</v>
      </c>
      <c r="AE3766">
        <v>-1.6223999999999901</v>
      </c>
      <c r="AF3766">
        <v>-2.1167013375881898</v>
      </c>
      <c r="AG3766">
        <v>-1.1194848976489999</v>
      </c>
      <c r="AH3766">
        <v>72.2990963768396</v>
      </c>
      <c r="AI3766">
        <v>90.886721585426301</v>
      </c>
      <c r="AJ3766">
        <v>91.676970060888195</v>
      </c>
      <c r="AK3766">
        <v>72.338737947908399</v>
      </c>
      <c r="AL3766">
        <v>78.605508258259405</v>
      </c>
      <c r="AM3766">
        <v>87.529846194874906</v>
      </c>
      <c r="AN3766">
        <v>1.0000000055776801</v>
      </c>
    </row>
    <row r="3767" spans="1:40" x14ac:dyDescent="0.25">
      <c r="A3767" t="str">
        <f>"20190303170613952"</f>
        <v>20190303170613952</v>
      </c>
      <c r="B3767" t="str">
        <f>"1551603973939245"</f>
        <v>1551603973939245</v>
      </c>
      <c r="C3767" t="s">
        <v>40</v>
      </c>
      <c r="D3767">
        <v>5.3641769999999998</v>
      </c>
      <c r="E3767">
        <v>0.4788309</v>
      </c>
      <c r="F3767" t="s">
        <v>41</v>
      </c>
      <c r="G3767">
        <v>-329.1748</v>
      </c>
      <c r="H3767" s="1">
        <v>-5.630426E-7</v>
      </c>
      <c r="I3767">
        <v>140.4684</v>
      </c>
      <c r="J3767">
        <v>-260.67559999999997</v>
      </c>
      <c r="K3767">
        <v>1.1194710000000001</v>
      </c>
      <c r="L3767">
        <v>141.93600000000001</v>
      </c>
      <c r="M3767">
        <v>-0.99996929999999995</v>
      </c>
      <c r="N3767">
        <v>-3.898065E-3</v>
      </c>
      <c r="O3767">
        <v>6.8129740000000003E-3</v>
      </c>
      <c r="P3767">
        <v>-0.97965849999999999</v>
      </c>
      <c r="Q3767">
        <v>0.19469600000000001</v>
      </c>
      <c r="R3767">
        <v>4.8606169999999997E-2</v>
      </c>
      <c r="S3767">
        <v>-3.0748289999999998</v>
      </c>
      <c r="T3767">
        <v>-4.9598459999999997E-2</v>
      </c>
      <c r="U3767">
        <v>-6.4743040000000002E-2</v>
      </c>
      <c r="V3767">
        <v>4.1923960000000003E-2</v>
      </c>
      <c r="W3767">
        <v>0.1985162</v>
      </c>
      <c r="X3767">
        <v>0.97920050000000003</v>
      </c>
      <c r="Y3767">
        <v>-2.7857170000000001E-2</v>
      </c>
      <c r="Z3767">
        <v>-3.622659E-4</v>
      </c>
      <c r="AA3767">
        <v>0.9996119</v>
      </c>
      <c r="AB3767">
        <v>46</v>
      </c>
      <c r="AC3767">
        <v>-68.499200000000002</v>
      </c>
      <c r="AD3767">
        <v>-1.1194715630426</v>
      </c>
      <c r="AE3767">
        <v>-1.4676</v>
      </c>
      <c r="AF3767">
        <v>-1.93373646153798</v>
      </c>
      <c r="AG3767">
        <v>-1.1194715630426</v>
      </c>
      <c r="AH3767">
        <v>68.469332433415701</v>
      </c>
      <c r="AI3767">
        <v>90.936327560673405</v>
      </c>
      <c r="AJ3767">
        <v>91.617738777928196</v>
      </c>
      <c r="AK3767">
        <v>68.505781049198603</v>
      </c>
      <c r="AL3767">
        <v>78.549795683476802</v>
      </c>
      <c r="AM3767">
        <v>87.548408263133098</v>
      </c>
      <c r="AN3767">
        <v>0.99999995964238497</v>
      </c>
    </row>
    <row r="3768" spans="1:40" x14ac:dyDescent="0.25">
      <c r="A3768" t="str">
        <f>"20190303170613975"</f>
        <v>20190303170613975</v>
      </c>
      <c r="B3768" t="str">
        <f>"1551603973968525"</f>
        <v>1551603973968525</v>
      </c>
      <c r="C3768" t="s">
        <v>40</v>
      </c>
      <c r="D3768">
        <v>5.4201169999999896</v>
      </c>
      <c r="E3768">
        <v>0.4791185</v>
      </c>
      <c r="F3768" t="s">
        <v>41</v>
      </c>
      <c r="G3768">
        <v>-334.15219999999999</v>
      </c>
      <c r="H3768" s="1">
        <v>-2.952933E-6</v>
      </c>
      <c r="I3768">
        <v>140.39869999999999</v>
      </c>
      <c r="J3768">
        <v>-261.14830000000001</v>
      </c>
      <c r="K3768">
        <v>1.119456</v>
      </c>
      <c r="L3768">
        <v>141.9392</v>
      </c>
      <c r="M3768">
        <v>-0.9999692</v>
      </c>
      <c r="N3768">
        <v>-3.9095190000000002E-3</v>
      </c>
      <c r="O3768">
        <v>6.7981810000000004E-3</v>
      </c>
      <c r="P3768">
        <v>-0.97980560000000005</v>
      </c>
      <c r="Q3768">
        <v>0.19415660000000001</v>
      </c>
      <c r="R3768">
        <v>4.7794789999999997E-2</v>
      </c>
      <c r="S3768">
        <v>-3.0747990000000001</v>
      </c>
      <c r="T3768">
        <v>-4.6846989999999998E-2</v>
      </c>
      <c r="U3768">
        <v>-6.4331050000000001E-2</v>
      </c>
      <c r="V3768">
        <v>4.112739E-2</v>
      </c>
      <c r="W3768">
        <v>0.19798760000000001</v>
      </c>
      <c r="X3768">
        <v>0.97934129999999997</v>
      </c>
      <c r="Y3768">
        <v>-2.7709250000000001E-2</v>
      </c>
      <c r="Z3768">
        <v>-3.4221209999999998E-4</v>
      </c>
      <c r="AA3768">
        <v>0.99961599999999995</v>
      </c>
      <c r="AB3768">
        <v>46</v>
      </c>
      <c r="AC3768">
        <v>-73.003899999999902</v>
      </c>
      <c r="AD3768">
        <v>-1.1194589529329999</v>
      </c>
      <c r="AE3768">
        <v>-1.5405</v>
      </c>
      <c r="AF3768">
        <v>-2.0362833490867498</v>
      </c>
      <c r="AG3768">
        <v>-1.1194589529329999</v>
      </c>
      <c r="AH3768">
        <v>72.974588811700698</v>
      </c>
      <c r="AI3768">
        <v>90.878528996546393</v>
      </c>
      <c r="AJ3768">
        <v>91.598367002276504</v>
      </c>
      <c r="AK3768">
        <v>73.011576140101695</v>
      </c>
      <c r="AL3768">
        <v>78.580695647009307</v>
      </c>
      <c r="AM3768">
        <v>87.595279512841003</v>
      </c>
      <c r="AN3768">
        <v>0.99999996692382997</v>
      </c>
    </row>
    <row r="3769" spans="1:40" x14ac:dyDescent="0.25">
      <c r="A3769" t="str">
        <f>"20190303170613997"</f>
        <v>20190303170613997</v>
      </c>
      <c r="B3769" t="str">
        <f>"1551603973989021"</f>
        <v>1551603973989021</v>
      </c>
      <c r="C3769" t="s">
        <v>40</v>
      </c>
      <c r="D3769">
        <v>5.35121</v>
      </c>
      <c r="E3769">
        <v>0.47930539999999999</v>
      </c>
      <c r="F3769" t="s">
        <v>41</v>
      </c>
      <c r="G3769">
        <v>-332.4384</v>
      </c>
      <c r="H3769" s="1">
        <v>-3.7757070000000001E-6</v>
      </c>
      <c r="I3769">
        <v>140.4461</v>
      </c>
      <c r="J3769">
        <v>-261.63040000000001</v>
      </c>
      <c r="K3769">
        <v>1.1194459999999999</v>
      </c>
      <c r="L3769">
        <v>141.9425</v>
      </c>
      <c r="M3769">
        <v>-0.99996929999999995</v>
      </c>
      <c r="N3769">
        <v>-3.9224170000000001E-3</v>
      </c>
      <c r="O3769">
        <v>6.782845E-3</v>
      </c>
      <c r="P3769">
        <v>-0.97988739999999996</v>
      </c>
      <c r="Q3769">
        <v>0.19394890000000001</v>
      </c>
      <c r="R3769">
        <v>4.6955230000000001E-2</v>
      </c>
      <c r="S3769">
        <v>-3.074554</v>
      </c>
      <c r="T3769">
        <v>-4.82794E-2</v>
      </c>
      <c r="U3769">
        <v>-6.4392089999999999E-2</v>
      </c>
      <c r="V3769">
        <v>4.0303070000000003E-2</v>
      </c>
      <c r="W3769">
        <v>0.1977931</v>
      </c>
      <c r="X3769">
        <v>0.97941489999999998</v>
      </c>
      <c r="Y3769">
        <v>-2.7715159999999999E-2</v>
      </c>
      <c r="Z3769">
        <v>-3.51825E-4</v>
      </c>
      <c r="AA3769">
        <v>0.99961580000000005</v>
      </c>
      <c r="AB3769">
        <v>47</v>
      </c>
      <c r="AC3769">
        <v>-70.807999999999893</v>
      </c>
      <c r="AD3769">
        <v>-1.1194497757070001</v>
      </c>
      <c r="AE3769">
        <v>-1.49639999999999</v>
      </c>
      <c r="AF3769">
        <v>-1.97615525193703</v>
      </c>
      <c r="AG3769">
        <v>-1.1194497757070001</v>
      </c>
      <c r="AH3769">
        <v>70.778538348263794</v>
      </c>
      <c r="AI3769">
        <v>90.905774866816202</v>
      </c>
      <c r="AJ3769">
        <v>91.599297622216596</v>
      </c>
      <c r="AK3769">
        <v>70.814969096206895</v>
      </c>
      <c r="AL3769">
        <v>78.592064854093806</v>
      </c>
      <c r="AM3769">
        <v>87.643599539702294</v>
      </c>
      <c r="AN3769">
        <v>0.99999999710052201</v>
      </c>
    </row>
    <row r="3770" spans="1:40" x14ac:dyDescent="0.25">
      <c r="A3770" t="str">
        <f>"20190303170614040"</f>
        <v>20190303170614040</v>
      </c>
      <c r="B3770" t="str">
        <f>"1551603974029037"</f>
        <v>1551603974029037</v>
      </c>
      <c r="C3770" t="s">
        <v>40</v>
      </c>
      <c r="D3770">
        <v>5.252936</v>
      </c>
      <c r="E3770">
        <v>0.4795044</v>
      </c>
      <c r="F3770" t="s">
        <v>41</v>
      </c>
      <c r="G3770">
        <v>-331.9853</v>
      </c>
      <c r="H3770" s="1">
        <v>-3.9910779999999996E-6</v>
      </c>
      <c r="I3770">
        <v>140.45070000000001</v>
      </c>
      <c r="J3770">
        <v>-262.53719999999998</v>
      </c>
      <c r="K3770">
        <v>1.1194500000000001</v>
      </c>
      <c r="L3770">
        <v>141.9486</v>
      </c>
      <c r="M3770">
        <v>-0.99996969999999996</v>
      </c>
      <c r="N3770">
        <v>-3.9499340000000004E-3</v>
      </c>
      <c r="O3770">
        <v>6.7439780000000003E-3</v>
      </c>
      <c r="P3770">
        <v>-0.97954649999999999</v>
      </c>
      <c r="Q3770">
        <v>0.19560079999999999</v>
      </c>
      <c r="R3770">
        <v>4.7212190000000001E-2</v>
      </c>
      <c r="S3770">
        <v>-3.0743710000000002</v>
      </c>
      <c r="T3770">
        <v>-4.8917769999999999E-2</v>
      </c>
      <c r="U3770">
        <v>-6.5185549999999995E-2</v>
      </c>
      <c r="V3770">
        <v>4.0599299999999998E-2</v>
      </c>
      <c r="W3770">
        <v>0.19947090000000001</v>
      </c>
      <c r="X3770">
        <v>0.97906230000000005</v>
      </c>
      <c r="Y3770">
        <v>-2.793526E-2</v>
      </c>
      <c r="Z3770">
        <v>-3.5804379999999903E-4</v>
      </c>
      <c r="AA3770">
        <v>0.99960959999999999</v>
      </c>
      <c r="AB3770">
        <v>47</v>
      </c>
      <c r="AC3770">
        <v>-69.448099999999997</v>
      </c>
      <c r="AD3770">
        <v>-1.1194539910779999</v>
      </c>
      <c r="AE3770">
        <v>-1.49789999999998</v>
      </c>
      <c r="AF3770">
        <v>-1.9657154175315901</v>
      </c>
      <c r="AG3770">
        <v>-1.1194539910779999</v>
      </c>
      <c r="AH3770">
        <v>69.418390088602905</v>
      </c>
      <c r="AI3770">
        <v>90.923512296152495</v>
      </c>
      <c r="AJ3770">
        <v>91.6220069086948</v>
      </c>
      <c r="AK3770">
        <v>69.455238080610698</v>
      </c>
      <c r="AL3770">
        <v>78.493979175981096</v>
      </c>
      <c r="AM3770">
        <v>87.625445705445003</v>
      </c>
      <c r="AN3770">
        <v>0.99999996519429402</v>
      </c>
    </row>
    <row r="3771" spans="1:40" x14ac:dyDescent="0.25">
      <c r="A3771" t="str">
        <f>"20190303170614065"</f>
        <v>20190303170614065</v>
      </c>
      <c r="B3771" t="str">
        <f>"1551603974058317"</f>
        <v>1551603974058317</v>
      </c>
      <c r="C3771" t="s">
        <v>40</v>
      </c>
      <c r="D3771">
        <v>5.3128399999999996</v>
      </c>
      <c r="E3771">
        <v>0.48409740000000001</v>
      </c>
      <c r="F3771" t="s">
        <v>41</v>
      </c>
      <c r="G3771">
        <v>-341.34930000000003</v>
      </c>
      <c r="H3771" s="1">
        <v>-3.8808979999999999E-6</v>
      </c>
      <c r="I3771">
        <v>140.32089999999999</v>
      </c>
      <c r="J3771">
        <v>-263.02969999999999</v>
      </c>
      <c r="K3771">
        <v>1.1194519999999999</v>
      </c>
      <c r="L3771">
        <v>141.95189999999999</v>
      </c>
      <c r="M3771">
        <v>-0.99996969999999996</v>
      </c>
      <c r="N3771">
        <v>-3.9665869999999997E-3</v>
      </c>
      <c r="O3771">
        <v>6.7104799999999996E-3</v>
      </c>
      <c r="P3771">
        <v>-0.97936979999999996</v>
      </c>
      <c r="Q3771">
        <v>0.1964011</v>
      </c>
      <c r="R3771">
        <v>4.7556849999999998E-2</v>
      </c>
      <c r="S3771">
        <v>-3.0744630000000002</v>
      </c>
      <c r="T3771">
        <v>-4.3669939999999997E-2</v>
      </c>
      <c r="U3771">
        <v>-6.3491820000000004E-2</v>
      </c>
      <c r="V3771">
        <v>4.0975329999999997E-2</v>
      </c>
      <c r="W3771">
        <v>0.20028760000000001</v>
      </c>
      <c r="X3771">
        <v>0.97887990000000002</v>
      </c>
      <c r="Y3771">
        <v>-2.7351710000000001E-2</v>
      </c>
      <c r="Z3771">
        <v>-3.1716719999999999E-4</v>
      </c>
      <c r="AA3771">
        <v>0.99962580000000001</v>
      </c>
      <c r="AB3771">
        <v>47</v>
      </c>
      <c r="AC3771">
        <v>-78.319599999999994</v>
      </c>
      <c r="AD3771">
        <v>-1.119455880898</v>
      </c>
      <c r="AE3771">
        <v>-1.631</v>
      </c>
      <c r="AF3771">
        <v>-2.1560891743692898</v>
      </c>
      <c r="AG3771">
        <v>-1.119455880898</v>
      </c>
      <c r="AH3771">
        <v>78.290903617437294</v>
      </c>
      <c r="AI3771">
        <v>90.818887250989405</v>
      </c>
      <c r="AJ3771">
        <v>91.577496081199101</v>
      </c>
      <c r="AK3771">
        <v>78.328586679653398</v>
      </c>
      <c r="AL3771">
        <v>78.446222162990495</v>
      </c>
      <c r="AM3771">
        <v>87.603032114427094</v>
      </c>
      <c r="AN3771">
        <v>0.99999997950318897</v>
      </c>
    </row>
    <row r="3772" spans="1:40" x14ac:dyDescent="0.25">
      <c r="A3772" t="str">
        <f>"20190303170614086"</f>
        <v>20190303170614086</v>
      </c>
      <c r="B3772" t="str">
        <f>"1551603974078813"</f>
        <v>1551603974078813</v>
      </c>
      <c r="C3772" t="s">
        <v>40</v>
      </c>
      <c r="D3772">
        <v>5.3627890000000003</v>
      </c>
      <c r="E3772">
        <v>0.48272039999999999</v>
      </c>
      <c r="F3772" t="s">
        <v>41</v>
      </c>
      <c r="G3772">
        <v>-381.31189999999998</v>
      </c>
      <c r="H3772" s="1">
        <v>-4.0715050000000002E-6</v>
      </c>
      <c r="I3772">
        <v>140.98009999999999</v>
      </c>
      <c r="J3772">
        <v>-263.50029999999998</v>
      </c>
      <c r="K3772">
        <v>1.1194519999999999</v>
      </c>
      <c r="L3772">
        <v>141.95500000000001</v>
      </c>
      <c r="M3772">
        <v>-0.99997000000000003</v>
      </c>
      <c r="N3772">
        <v>-3.983398E-3</v>
      </c>
      <c r="O3772">
        <v>6.6660620000000004E-3</v>
      </c>
      <c r="P3772">
        <v>-0.97941679999999998</v>
      </c>
      <c r="Q3772">
        <v>0.19619239999999999</v>
      </c>
      <c r="R3772">
        <v>4.7452800000000003E-2</v>
      </c>
      <c r="S3772">
        <v>-3.0702509999999998</v>
      </c>
      <c r="T3772">
        <v>-2.9057739999999999E-2</v>
      </c>
      <c r="U3772">
        <v>-2.522278E-2</v>
      </c>
      <c r="V3772">
        <v>4.0910849999999999E-2</v>
      </c>
      <c r="W3772">
        <v>0.200096</v>
      </c>
      <c r="X3772">
        <v>0.97892179999999995</v>
      </c>
      <c r="Y3772">
        <v>-1.48796E-2</v>
      </c>
      <c r="Z3772">
        <v>-1.365812E-4</v>
      </c>
      <c r="AA3772">
        <v>0.99988929999999998</v>
      </c>
      <c r="AB3772">
        <v>47</v>
      </c>
      <c r="AC3772">
        <v>-117.8116</v>
      </c>
      <c r="AD3772">
        <v>-1.1194560715049999</v>
      </c>
      <c r="AE3772">
        <v>-0.97490000000001897</v>
      </c>
      <c r="AF3772">
        <v>-1.76006497512407</v>
      </c>
      <c r="AG3772">
        <v>-1.1194560715049999</v>
      </c>
      <c r="AH3772">
        <v>117.791848917678</v>
      </c>
      <c r="AI3772">
        <v>90.544443605555003</v>
      </c>
      <c r="AJ3772">
        <v>90.856059154909303</v>
      </c>
      <c r="AK3772">
        <v>117.810316534919</v>
      </c>
      <c r="AL3772">
        <v>78.457427078732493</v>
      </c>
      <c r="AM3772">
        <v>87.606901980522196</v>
      </c>
      <c r="AN3772">
        <v>0.99999999868948097</v>
      </c>
    </row>
    <row r="3773" spans="1:40" x14ac:dyDescent="0.25">
      <c r="A3773" t="str">
        <f>"20190303170614110"</f>
        <v>20190303170614110</v>
      </c>
      <c r="B3773" t="str">
        <f>"1551603974098899"</f>
        <v>1551603974098899</v>
      </c>
      <c r="C3773" t="s">
        <v>40</v>
      </c>
      <c r="D3773">
        <v>5.370387</v>
      </c>
      <c r="E3773">
        <v>0.4824119</v>
      </c>
      <c r="F3773" t="s">
        <v>41</v>
      </c>
      <c r="G3773">
        <v>-358.1635</v>
      </c>
      <c r="H3773" s="1">
        <v>-1.090578E-6</v>
      </c>
      <c r="I3773">
        <v>140.82040000000001</v>
      </c>
      <c r="J3773">
        <v>-264.0018</v>
      </c>
      <c r="K3773">
        <v>1.119459</v>
      </c>
      <c r="L3773">
        <v>141.95840000000001</v>
      </c>
      <c r="M3773">
        <v>-0.99997020000000003</v>
      </c>
      <c r="N3773">
        <v>-4.0021040000000003E-3</v>
      </c>
      <c r="O3773">
        <v>6.6078049999999996E-3</v>
      </c>
      <c r="P3773">
        <v>-0.97954949999999996</v>
      </c>
      <c r="Q3773">
        <v>0.1956919</v>
      </c>
      <c r="R3773">
        <v>4.6769539999999998E-2</v>
      </c>
      <c r="S3773">
        <v>-3.0720830000000001</v>
      </c>
      <c r="T3773">
        <v>-3.6329390000000003E-2</v>
      </c>
      <c r="U3773">
        <v>-3.6819459999999998E-2</v>
      </c>
      <c r="V3773">
        <v>4.0279309999999999E-2</v>
      </c>
      <c r="W3773">
        <v>0.19961519999999999</v>
      </c>
      <c r="X3773">
        <v>0.97904619999999998</v>
      </c>
      <c r="Y3773">
        <v>-1.8589499999999998E-2</v>
      </c>
      <c r="Z3773">
        <v>-1.988034E-4</v>
      </c>
      <c r="AA3773">
        <v>0.99982720000000003</v>
      </c>
      <c r="AB3773">
        <v>47</v>
      </c>
      <c r="AC3773">
        <v>-94.161699999999996</v>
      </c>
      <c r="AD3773">
        <v>-1.1194600905779999</v>
      </c>
      <c r="AE3773">
        <v>-1.1379999999999999</v>
      </c>
      <c r="AF3773">
        <v>-1.759933550158</v>
      </c>
      <c r="AG3773">
        <v>-1.1194600905779999</v>
      </c>
      <c r="AH3773">
        <v>94.138820760645203</v>
      </c>
      <c r="AI3773">
        <v>90.681186684700094</v>
      </c>
      <c r="AJ3773">
        <v>91.071024882192802</v>
      </c>
      <c r="AK3773">
        <v>94.161925061036499</v>
      </c>
      <c r="AL3773">
        <v>78.485542772810106</v>
      </c>
      <c r="AM3773">
        <v>87.644101274018595</v>
      </c>
      <c r="AN3773">
        <v>1.00000005630977</v>
      </c>
    </row>
    <row r="3774" spans="1:40" x14ac:dyDescent="0.25">
      <c r="A3774" t="str">
        <f>"20190303170614133"</f>
        <v>20190303170614133</v>
      </c>
      <c r="B3774" t="str">
        <f>"1551603974118419"</f>
        <v>1551603974118419</v>
      </c>
      <c r="C3774" t="s">
        <v>40</v>
      </c>
      <c r="D3774">
        <v>5.3257839999999996</v>
      </c>
      <c r="E3774">
        <v>0.48217199999999999</v>
      </c>
      <c r="F3774" t="s">
        <v>41</v>
      </c>
      <c r="G3774">
        <v>-350.71969999999999</v>
      </c>
      <c r="H3774" s="1">
        <v>-4.2378380000000001E-6</v>
      </c>
      <c r="I3774">
        <v>140.7817</v>
      </c>
      <c r="J3774">
        <v>-264.47620000000001</v>
      </c>
      <c r="K3774">
        <v>1.119459</v>
      </c>
      <c r="L3774">
        <v>141.9615</v>
      </c>
      <c r="M3774">
        <v>-0.99997040000000004</v>
      </c>
      <c r="N3774">
        <v>-4.0205010000000001E-3</v>
      </c>
      <c r="O3774">
        <v>6.5444269999999898E-3</v>
      </c>
      <c r="P3774">
        <v>-0.97953679999999999</v>
      </c>
      <c r="Q3774">
        <v>0.19579640000000001</v>
      </c>
      <c r="R3774">
        <v>4.6599769999999999E-2</v>
      </c>
      <c r="S3774">
        <v>-3.0725709999999999</v>
      </c>
      <c r="T3774">
        <v>-3.9664629999999999E-2</v>
      </c>
      <c r="U3774">
        <v>-4.1687009999999997E-2</v>
      </c>
      <c r="V3774">
        <v>4.0167799999999997E-2</v>
      </c>
      <c r="W3774">
        <v>0.19973859999999999</v>
      </c>
      <c r="X3774">
        <v>0.97902549999999999</v>
      </c>
      <c r="Y3774">
        <v>-2.010735E-2</v>
      </c>
      <c r="Z3774">
        <v>-2.2836619999999999E-4</v>
      </c>
      <c r="AA3774">
        <v>0.99979779999999996</v>
      </c>
      <c r="AB3774">
        <v>48</v>
      </c>
      <c r="AC3774">
        <v>-86.243499999999898</v>
      </c>
      <c r="AD3774">
        <v>-1.1194632378380001</v>
      </c>
      <c r="AE3774">
        <v>-1.1798</v>
      </c>
      <c r="AF3774">
        <v>-1.74389987398807</v>
      </c>
      <c r="AG3774">
        <v>-1.1194632378380001</v>
      </c>
      <c r="AH3774">
        <v>86.219407738747904</v>
      </c>
      <c r="AI3774">
        <v>90.743728155641193</v>
      </c>
      <c r="AJ3774">
        <v>91.158723807399298</v>
      </c>
      <c r="AK3774">
        <v>86.244307960188493</v>
      </c>
      <c r="AL3774">
        <v>78.478325865378906</v>
      </c>
      <c r="AM3774">
        <v>87.6505664515402</v>
      </c>
      <c r="AN3774">
        <v>0.99999994506852297</v>
      </c>
    </row>
    <row r="3775" spans="1:40" x14ac:dyDescent="0.25">
      <c r="A3775" t="str">
        <f>"20190303170614154"</f>
        <v>20190303170614154</v>
      </c>
      <c r="B3775" t="str">
        <f>"1551603974138915"</f>
        <v>1551603974138915</v>
      </c>
      <c r="C3775" t="s">
        <v>40</v>
      </c>
      <c r="D3775">
        <v>5.3997840000000004</v>
      </c>
      <c r="E3775">
        <v>0.48246169999999999</v>
      </c>
      <c r="F3775" t="s">
        <v>41</v>
      </c>
      <c r="G3775">
        <v>-357.6968</v>
      </c>
      <c r="H3775" s="1">
        <v>-1.235872E-6</v>
      </c>
      <c r="I3775">
        <v>140.614</v>
      </c>
      <c r="J3775">
        <v>-264.94029999999998</v>
      </c>
      <c r="K3775">
        <v>1.1194599999999999</v>
      </c>
      <c r="L3775">
        <v>141.96449999999999</v>
      </c>
      <c r="M3775">
        <v>-0.9999709</v>
      </c>
      <c r="N3775">
        <v>-4.0390180000000001E-3</v>
      </c>
      <c r="O3775">
        <v>6.4755689999999996E-3</v>
      </c>
      <c r="P3775">
        <v>-0.97949710000000001</v>
      </c>
      <c r="Q3775">
        <v>0.19602639999999999</v>
      </c>
      <c r="R3775">
        <v>4.6466149999999998E-2</v>
      </c>
      <c r="S3775">
        <v>-3.072174</v>
      </c>
      <c r="T3775">
        <v>-3.6892889999999998E-2</v>
      </c>
      <c r="U3775">
        <v>-4.4403079999999998E-2</v>
      </c>
      <c r="V3775">
        <v>4.0098290000000002E-2</v>
      </c>
      <c r="W3775">
        <v>0.1999872</v>
      </c>
      <c r="X3775">
        <v>0.97897769999999995</v>
      </c>
      <c r="Y3775">
        <v>-2.092422E-2</v>
      </c>
      <c r="Z3775">
        <v>-2.194907E-4</v>
      </c>
      <c r="AA3775">
        <v>0.99978100000000003</v>
      </c>
      <c r="AB3775">
        <v>48</v>
      </c>
      <c r="AC3775">
        <v>-92.756500000000003</v>
      </c>
      <c r="AD3775">
        <v>-1.119461235872</v>
      </c>
      <c r="AE3775">
        <v>-1.35049999999998</v>
      </c>
      <c r="AF3775">
        <v>-1.9508435926116201</v>
      </c>
      <c r="AG3775">
        <v>-1.119461235872</v>
      </c>
      <c r="AH3775">
        <v>92.732305655819403</v>
      </c>
      <c r="AI3775">
        <v>90.691486118303501</v>
      </c>
      <c r="AJ3775">
        <v>91.205174598719793</v>
      </c>
      <c r="AK3775">
        <v>92.759579000908403</v>
      </c>
      <c r="AL3775">
        <v>78.463790002089596</v>
      </c>
      <c r="AM3775">
        <v>87.654513191770306</v>
      </c>
      <c r="AN3775">
        <v>1.00000004506102</v>
      </c>
    </row>
    <row r="3776" spans="1:40" x14ac:dyDescent="0.25">
      <c r="A3776" t="str">
        <f>"20190303170614176"</f>
        <v>20190303170614176</v>
      </c>
      <c r="B3776" t="str">
        <f>"1551603974169171"</f>
        <v>1551603974169171</v>
      </c>
      <c r="C3776" t="s">
        <v>40</v>
      </c>
      <c r="D3776">
        <v>5.4168229999999999</v>
      </c>
      <c r="E3776">
        <v>0.48236760000000001</v>
      </c>
      <c r="F3776" t="s">
        <v>41</v>
      </c>
      <c r="G3776">
        <v>-354.95710000000003</v>
      </c>
      <c r="H3776" s="1">
        <v>-2.4367049999999998E-6</v>
      </c>
      <c r="I3776">
        <v>140.7099</v>
      </c>
      <c r="J3776">
        <v>-265.41660000000002</v>
      </c>
      <c r="K3776">
        <v>1.1194660000000001</v>
      </c>
      <c r="L3776">
        <v>141.9675</v>
      </c>
      <c r="M3776">
        <v>-0.99997130000000001</v>
      </c>
      <c r="N3776">
        <v>-4.0584130000000003E-3</v>
      </c>
      <c r="O3776">
        <v>6.400396E-3</v>
      </c>
      <c r="P3776">
        <v>-0.97953299999999999</v>
      </c>
      <c r="Q3776">
        <v>0.19590630000000001</v>
      </c>
      <c r="R3776">
        <v>4.6215119999999998E-2</v>
      </c>
      <c r="S3776">
        <v>-3.0724490000000002</v>
      </c>
      <c r="T3776">
        <v>-3.8209439999999997E-2</v>
      </c>
      <c r="U3776">
        <v>-4.2816159999999999E-2</v>
      </c>
      <c r="V3776">
        <v>3.9917830000000001E-2</v>
      </c>
      <c r="W3776">
        <v>0.1998867</v>
      </c>
      <c r="X3776">
        <v>0.97900560000000003</v>
      </c>
      <c r="Y3776">
        <v>-2.0331399999999999E-2</v>
      </c>
      <c r="Z3776">
        <v>-2.2128839999999999E-4</v>
      </c>
      <c r="AA3776">
        <v>0.9997933</v>
      </c>
      <c r="AB3776">
        <v>48</v>
      </c>
      <c r="AC3776">
        <v>-89.540499999999994</v>
      </c>
      <c r="AD3776">
        <v>-1.1194684367049901</v>
      </c>
      <c r="AE3776">
        <v>-1.2575999999999901</v>
      </c>
      <c r="AF3776">
        <v>-1.83038755764603</v>
      </c>
      <c r="AG3776">
        <v>-1.1194684367049901</v>
      </c>
      <c r="AH3776">
        <v>89.516627213404902</v>
      </c>
      <c r="AI3776">
        <v>90.716336987001995</v>
      </c>
      <c r="AJ3776">
        <v>91.171389863963299</v>
      </c>
      <c r="AK3776">
        <v>89.542336779065906</v>
      </c>
      <c r="AL3776">
        <v>78.469666893353093</v>
      </c>
      <c r="AM3776">
        <v>87.665123676206605</v>
      </c>
      <c r="AN3776">
        <v>1.0000000454100699</v>
      </c>
    </row>
    <row r="3777" spans="1:40" x14ac:dyDescent="0.25">
      <c r="A3777" t="str">
        <f>"20190303170614198"</f>
        <v>20190303170614198</v>
      </c>
      <c r="B3777" t="str">
        <f>"1551603974188399"</f>
        <v>1551603974188399</v>
      </c>
      <c r="C3777" t="s">
        <v>40</v>
      </c>
      <c r="D3777">
        <v>5.3142579999999997</v>
      </c>
      <c r="E3777">
        <v>0.48225040000000002</v>
      </c>
      <c r="F3777" t="s">
        <v>41</v>
      </c>
      <c r="G3777">
        <v>-350.67829999999998</v>
      </c>
      <c r="H3777" s="1">
        <v>-4.2428679999999996E-6</v>
      </c>
      <c r="I3777">
        <v>140.73070000000001</v>
      </c>
      <c r="J3777">
        <v>-265.89530000000002</v>
      </c>
      <c r="K3777">
        <v>1.119464</v>
      </c>
      <c r="L3777">
        <v>141.97049999999999</v>
      </c>
      <c r="M3777">
        <v>-0.99997179999999997</v>
      </c>
      <c r="N3777">
        <v>-4.0782350000000004E-3</v>
      </c>
      <c r="O3777">
        <v>6.3213509999999898E-3</v>
      </c>
      <c r="P3777">
        <v>-0.97959640000000003</v>
      </c>
      <c r="Q3777">
        <v>0.19567590000000001</v>
      </c>
      <c r="R3777">
        <v>4.5849569999999999E-2</v>
      </c>
      <c r="S3777">
        <v>-3.0728759999999999</v>
      </c>
      <c r="T3777">
        <v>-4.0346260000000002E-2</v>
      </c>
      <c r="U3777">
        <v>-4.457092E-2</v>
      </c>
      <c r="V3777">
        <v>3.9626929999999998E-2</v>
      </c>
      <c r="W3777">
        <v>0.19967650000000001</v>
      </c>
      <c r="X3777">
        <v>0.97906029999999999</v>
      </c>
      <c r="Y3777">
        <v>-2.082094E-2</v>
      </c>
      <c r="Z3777">
        <v>-2.363485E-4</v>
      </c>
      <c r="AA3777">
        <v>0.99978319999999998</v>
      </c>
      <c r="AB3777">
        <v>48</v>
      </c>
      <c r="AC3777">
        <v>-84.782999999999902</v>
      </c>
      <c r="AD3777">
        <v>-1.1194682428680001</v>
      </c>
      <c r="AE3777">
        <v>-1.23979999999997</v>
      </c>
      <c r="AF3777">
        <v>-1.77541326997478</v>
      </c>
      <c r="AG3777">
        <v>-1.1194682428680001</v>
      </c>
      <c r="AH3777">
        <v>84.758694761314999</v>
      </c>
      <c r="AI3777">
        <v>90.756536096946405</v>
      </c>
      <c r="AJ3777">
        <v>91.199980885960301</v>
      </c>
      <c r="AK3777">
        <v>84.784678091432099</v>
      </c>
      <c r="AL3777">
        <v>78.481958128121207</v>
      </c>
      <c r="AM3777">
        <v>87.682249749967397</v>
      </c>
      <c r="AN3777">
        <v>1.0000000346347799</v>
      </c>
    </row>
    <row r="3778" spans="1:40" x14ac:dyDescent="0.25">
      <c r="A3778" t="str">
        <f>"20190303170614219"</f>
        <v>20190303170614219</v>
      </c>
      <c r="B3778" t="str">
        <f>"1551603974208890"</f>
        <v>1551603974208890</v>
      </c>
      <c r="C3778" t="s">
        <v>40</v>
      </c>
      <c r="D3778">
        <v>5.4112450000000001</v>
      </c>
      <c r="E3778">
        <v>0.48219889999999999</v>
      </c>
      <c r="F3778" t="s">
        <v>41</v>
      </c>
      <c r="G3778">
        <v>-346.4778</v>
      </c>
      <c r="H3778" s="1">
        <v>-1.793105E-6</v>
      </c>
      <c r="I3778">
        <v>140.74289999999999</v>
      </c>
      <c r="J3778">
        <v>-266.35730000000001</v>
      </c>
      <c r="K3778">
        <v>1.1194649999999999</v>
      </c>
      <c r="L3778">
        <v>141.9734</v>
      </c>
      <c r="M3778">
        <v>-0.99997219999999998</v>
      </c>
      <c r="N3778">
        <v>-4.0978469999999999E-3</v>
      </c>
      <c r="O3778">
        <v>6.2435009999999899E-3</v>
      </c>
      <c r="P3778">
        <v>-0.97971280000000005</v>
      </c>
      <c r="Q3778">
        <v>0.1950664</v>
      </c>
      <c r="R3778">
        <v>4.5956570000000002E-2</v>
      </c>
      <c r="S3778">
        <v>-3.0732119999999998</v>
      </c>
      <c r="T3778">
        <v>-4.269361E-2</v>
      </c>
      <c r="U3778">
        <v>-4.6813960000000002E-2</v>
      </c>
      <c r="V3778">
        <v>3.9807130000000003E-2</v>
      </c>
      <c r="W3778">
        <v>0.19908719999999999</v>
      </c>
      <c r="X3778">
        <v>0.97917290000000001</v>
      </c>
      <c r="Y3778">
        <v>-2.1470699999999999E-2</v>
      </c>
      <c r="Z3778">
        <v>-2.542636E-4</v>
      </c>
      <c r="AA3778">
        <v>0.99976940000000003</v>
      </c>
      <c r="AB3778">
        <v>48</v>
      </c>
      <c r="AC3778">
        <v>-80.120499999999893</v>
      </c>
      <c r="AD3778">
        <v>-1.119466793105</v>
      </c>
      <c r="AE3778">
        <v>-1.2304999999999999</v>
      </c>
      <c r="AF3778">
        <v>-1.73037486191822</v>
      </c>
      <c r="AG3778">
        <v>-1.119466793105</v>
      </c>
      <c r="AH3778">
        <v>80.095622696514198</v>
      </c>
      <c r="AI3778">
        <v>90.800562932052699</v>
      </c>
      <c r="AJ3778">
        <v>91.2376176535208</v>
      </c>
      <c r="AK3778">
        <v>80.122132886025796</v>
      </c>
      <c r="AL3778">
        <v>78.516413296906094</v>
      </c>
      <c r="AM3778">
        <v>87.671989001935401</v>
      </c>
      <c r="AN3778">
        <v>0.99999994444854101</v>
      </c>
    </row>
    <row r="3779" spans="1:40" x14ac:dyDescent="0.25">
      <c r="A3779" t="str">
        <f>"20190303170614242"</f>
        <v>20190303170614242</v>
      </c>
      <c r="B3779" t="str">
        <f>"1551603974228410"</f>
        <v>1551603974228410</v>
      </c>
      <c r="C3779" t="s">
        <v>40</v>
      </c>
      <c r="D3779">
        <v>5.3275449999999998</v>
      </c>
      <c r="E3779">
        <v>0.48207290000000003</v>
      </c>
      <c r="F3779" t="s">
        <v>41</v>
      </c>
      <c r="G3779">
        <v>-347.90780000000001</v>
      </c>
      <c r="H3779" s="1">
        <v>-1.1752579999999999E-6</v>
      </c>
      <c r="I3779">
        <v>140.72640000000001</v>
      </c>
      <c r="J3779">
        <v>-266.82990000000001</v>
      </c>
      <c r="K3779">
        <v>1.1194630000000001</v>
      </c>
      <c r="L3779">
        <v>141.97630000000001</v>
      </c>
      <c r="M3779">
        <v>-0.99997259999999999</v>
      </c>
      <c r="N3779">
        <v>-4.118399E-3</v>
      </c>
      <c r="O3779">
        <v>6.1625500000000001E-3</v>
      </c>
      <c r="P3779">
        <v>-0.97969039999999996</v>
      </c>
      <c r="Q3779">
        <v>0.1951107</v>
      </c>
      <c r="R3779">
        <v>4.6249360000000003E-2</v>
      </c>
      <c r="S3779">
        <v>-3.0727229999999999</v>
      </c>
      <c r="T3779">
        <v>-4.2180179999999998E-2</v>
      </c>
      <c r="U3779">
        <v>-4.6981809999999999E-2</v>
      </c>
      <c r="V3779">
        <v>4.0177320000000002E-2</v>
      </c>
      <c r="W3779">
        <v>0.19915169999999999</v>
      </c>
      <c r="X3779">
        <v>0.97914469999999998</v>
      </c>
      <c r="Y3779">
        <v>-2.144685E-2</v>
      </c>
      <c r="Z3779">
        <v>-2.5056630000000002E-4</v>
      </c>
      <c r="AA3779">
        <v>0.99977000000000005</v>
      </c>
      <c r="AB3779">
        <v>48</v>
      </c>
      <c r="AC3779">
        <v>-81.0779</v>
      </c>
      <c r="AD3779">
        <v>-1.1194641752579999</v>
      </c>
      <c r="AE3779">
        <v>-1.24989999999999</v>
      </c>
      <c r="AF3779">
        <v>-1.74919369279753</v>
      </c>
      <c r="AG3779">
        <v>-1.1194641752579999</v>
      </c>
      <c r="AH3779">
        <v>81.053209412988707</v>
      </c>
      <c r="AI3779">
        <v>90.791104596611007</v>
      </c>
      <c r="AJ3779">
        <v>91.236297272766095</v>
      </c>
      <c r="AK3779">
        <v>81.079810278270998</v>
      </c>
      <c r="AL3779">
        <v>78.512642618703893</v>
      </c>
      <c r="AM3779">
        <v>87.650296010944601</v>
      </c>
      <c r="AN3779">
        <v>0.99999998009668101</v>
      </c>
    </row>
    <row r="3780" spans="1:40" x14ac:dyDescent="0.25">
      <c r="A3780" t="str">
        <f>"20190303170614266"</f>
        <v>20190303170614266</v>
      </c>
      <c r="B3780" t="str">
        <f>"1551603974258666"</f>
        <v>1551603974258666</v>
      </c>
      <c r="C3780" t="s">
        <v>40</v>
      </c>
      <c r="D3780">
        <v>5.4394770000000001</v>
      </c>
      <c r="E3780">
        <v>0.48197230000000002</v>
      </c>
      <c r="F3780" t="s">
        <v>41</v>
      </c>
      <c r="G3780">
        <v>-348.52780000000001</v>
      </c>
      <c r="H3780" s="1">
        <v>-9.0985910000000004E-7</v>
      </c>
      <c r="I3780">
        <v>140.7287</v>
      </c>
      <c r="J3780">
        <v>-267.35109999999997</v>
      </c>
      <c r="K3780">
        <v>1.119462</v>
      </c>
      <c r="L3780">
        <v>141.9795</v>
      </c>
      <c r="M3780">
        <v>-0.99997309999999995</v>
      </c>
      <c r="N3780">
        <v>-4.1412319999999999E-3</v>
      </c>
      <c r="O3780">
        <v>6.0730699999999999E-3</v>
      </c>
      <c r="P3780">
        <v>-0.97962360000000004</v>
      </c>
      <c r="Q3780">
        <v>0.1955134</v>
      </c>
      <c r="R3780">
        <v>4.5963360000000002E-2</v>
      </c>
      <c r="S3780">
        <v>-3.0727540000000002</v>
      </c>
      <c r="T3780">
        <v>-4.210436E-2</v>
      </c>
      <c r="U3780">
        <v>-4.6920780000000002E-2</v>
      </c>
      <c r="V3780">
        <v>3.9977070000000003E-2</v>
      </c>
      <c r="W3780">
        <v>0.1995769</v>
      </c>
      <c r="X3780">
        <v>0.97906629999999994</v>
      </c>
      <c r="Y3780">
        <v>-2.1337410000000001E-2</v>
      </c>
      <c r="Z3780">
        <v>-2.484198E-4</v>
      </c>
      <c r="AA3780">
        <v>0.99977229999999995</v>
      </c>
      <c r="AB3780">
        <v>48</v>
      </c>
      <c r="AC3780">
        <v>-81.176699999999997</v>
      </c>
      <c r="AD3780">
        <v>-1.1194629098591</v>
      </c>
      <c r="AE3780">
        <v>-1.2507999999999899</v>
      </c>
      <c r="AF3780">
        <v>-1.74344140208075</v>
      </c>
      <c r="AG3780">
        <v>-1.1194629098591</v>
      </c>
      <c r="AH3780">
        <v>81.152177147807606</v>
      </c>
      <c r="AI3780">
        <v>90.790140700788996</v>
      </c>
      <c r="AJ3780">
        <v>91.230730631379501</v>
      </c>
      <c r="AK3780">
        <v>81.178621822239506</v>
      </c>
      <c r="AL3780">
        <v>78.487781168362503</v>
      </c>
      <c r="AM3780">
        <v>87.661807260704293</v>
      </c>
      <c r="AN3780">
        <v>0.99999996246754097</v>
      </c>
    </row>
    <row r="3781" spans="1:40" x14ac:dyDescent="0.25">
      <c r="A3781" t="str">
        <f>"20190303170614289"</f>
        <v>20190303170614289</v>
      </c>
      <c r="B3781" t="str">
        <f>"1551603974279163"</f>
        <v>1551603974279163</v>
      </c>
      <c r="C3781" t="s">
        <v>40</v>
      </c>
      <c r="D3781">
        <v>5.4008929999999999</v>
      </c>
      <c r="E3781">
        <v>0.48191469999999997</v>
      </c>
      <c r="F3781" t="s">
        <v>41</v>
      </c>
      <c r="G3781">
        <v>-351.01429999999999</v>
      </c>
      <c r="H3781" s="1">
        <v>-4.1124190000000001E-6</v>
      </c>
      <c r="I3781">
        <v>140.65090000000001</v>
      </c>
      <c r="J3781">
        <v>-267.8605</v>
      </c>
      <c r="K3781">
        <v>1.119456</v>
      </c>
      <c r="L3781">
        <v>141.98259999999999</v>
      </c>
      <c r="M3781">
        <v>-0.99997340000000001</v>
      </c>
      <c r="N3781">
        <v>-4.1637080000000003E-3</v>
      </c>
      <c r="O3781">
        <v>5.9854399999999999E-3</v>
      </c>
      <c r="P3781">
        <v>-0.9796956</v>
      </c>
      <c r="Q3781">
        <v>0.19515940000000001</v>
      </c>
      <c r="R3781">
        <v>4.5929379999999999E-2</v>
      </c>
      <c r="S3781">
        <v>-3.0729060000000001</v>
      </c>
      <c r="T3781">
        <v>-4.1117430000000003E-2</v>
      </c>
      <c r="U3781">
        <v>-4.8797609999999998E-2</v>
      </c>
      <c r="V3781">
        <v>4.00265E-2</v>
      </c>
      <c r="W3781">
        <v>0.19924559999999999</v>
      </c>
      <c r="X3781">
        <v>0.9791318</v>
      </c>
      <c r="Y3781">
        <v>-2.185958E-2</v>
      </c>
      <c r="Z3781">
        <v>-2.4690770000000001E-4</v>
      </c>
      <c r="AA3781">
        <v>0.99976100000000001</v>
      </c>
      <c r="AB3781">
        <v>49</v>
      </c>
      <c r="AC3781">
        <v>-83.153799999999904</v>
      </c>
      <c r="AD3781">
        <v>-1.119460112419</v>
      </c>
      <c r="AE3781">
        <v>-1.3316999999999799</v>
      </c>
      <c r="AF3781">
        <v>-1.8290611359998901</v>
      </c>
      <c r="AG3781">
        <v>-1.119460112419</v>
      </c>
      <c r="AH3781">
        <v>83.129277116117905</v>
      </c>
      <c r="AI3781">
        <v>90.771340110409199</v>
      </c>
      <c r="AJ3781">
        <v>91.260453365759304</v>
      </c>
      <c r="AK3781">
        <v>83.156932179048297</v>
      </c>
      <c r="AL3781">
        <v>78.507152817902806</v>
      </c>
      <c r="AM3781">
        <v>87.659075831132895</v>
      </c>
      <c r="AN3781">
        <v>1.00000000579642</v>
      </c>
    </row>
    <row r="3782" spans="1:40" x14ac:dyDescent="0.25">
      <c r="A3782" t="str">
        <f>"20190303170614311"</f>
        <v>20190303170614311</v>
      </c>
      <c r="B3782" t="str">
        <f>"1551603974298683"</f>
        <v>1551603974298683</v>
      </c>
      <c r="C3782" t="s">
        <v>40</v>
      </c>
      <c r="D3782">
        <v>5.354997</v>
      </c>
      <c r="E3782">
        <v>0.4818539</v>
      </c>
      <c r="F3782" t="s">
        <v>41</v>
      </c>
      <c r="G3782">
        <v>-349.79160000000002</v>
      </c>
      <c r="H3782" s="1">
        <v>-3.5132870000000001E-7</v>
      </c>
      <c r="I3782">
        <v>140.6671</v>
      </c>
      <c r="J3782">
        <v>-268.33819999999997</v>
      </c>
      <c r="K3782">
        <v>1.1194550000000001</v>
      </c>
      <c r="L3782">
        <v>141.9854</v>
      </c>
      <c r="M3782">
        <v>-0.99997380000000002</v>
      </c>
      <c r="N3782">
        <v>-4.1849799999999996E-3</v>
      </c>
      <c r="O3782">
        <v>5.9031800000000001E-3</v>
      </c>
      <c r="P3782">
        <v>-0.97973750000000004</v>
      </c>
      <c r="Q3782">
        <v>0.19503960000000001</v>
      </c>
      <c r="R3782">
        <v>4.5541640000000001E-2</v>
      </c>
      <c r="S3782">
        <v>-3.072845</v>
      </c>
      <c r="T3782">
        <v>-4.1985509999999997E-2</v>
      </c>
      <c r="U3782">
        <v>-4.9331670000000001E-2</v>
      </c>
      <c r="V3782">
        <v>3.9717500000000003E-2</v>
      </c>
      <c r="W3782">
        <v>0.19914699999999999</v>
      </c>
      <c r="X3782">
        <v>0.97916440000000005</v>
      </c>
      <c r="Y3782">
        <v>-2.1951249999999999E-2</v>
      </c>
      <c r="Z3782">
        <v>-2.518334E-4</v>
      </c>
      <c r="AA3782">
        <v>0.99975899999999995</v>
      </c>
      <c r="AB3782">
        <v>49</v>
      </c>
      <c r="AC3782">
        <v>-81.453400000000002</v>
      </c>
      <c r="AD3782">
        <v>-1.11945535132869</v>
      </c>
      <c r="AE3782">
        <v>-1.31829999999999</v>
      </c>
      <c r="AF3782">
        <v>-1.79877566033308</v>
      </c>
      <c r="AG3782">
        <v>-1.11945535132869</v>
      </c>
      <c r="AH3782">
        <v>81.428821935227106</v>
      </c>
      <c r="AI3782">
        <v>90.787440913893505</v>
      </c>
      <c r="AJ3782">
        <v>91.265467093175701</v>
      </c>
      <c r="AK3782">
        <v>81.456379835582794</v>
      </c>
      <c r="AL3782">
        <v>78.512917235382204</v>
      </c>
      <c r="AM3782">
        <v>87.677204877638204</v>
      </c>
      <c r="AN3782">
        <v>0.99999996482130404</v>
      </c>
    </row>
    <row r="3783" spans="1:40" x14ac:dyDescent="0.25">
      <c r="A3783" t="str">
        <f>"20190303170614333"</f>
        <v>20190303170614333</v>
      </c>
      <c r="B3783" t="str">
        <f>"1551603974328939"</f>
        <v>1551603974328939</v>
      </c>
      <c r="C3783" t="s">
        <v>40</v>
      </c>
      <c r="D3783">
        <v>5.3887600000000004</v>
      </c>
      <c r="E3783">
        <v>0.48186950000000001</v>
      </c>
      <c r="F3783" t="s">
        <v>41</v>
      </c>
      <c r="G3783">
        <v>-349.33</v>
      </c>
      <c r="H3783" s="1">
        <v>-5.4309930000000004E-7</v>
      </c>
      <c r="I3783">
        <v>140.6437</v>
      </c>
      <c r="J3783">
        <v>-268.83780000000002</v>
      </c>
      <c r="K3783">
        <v>1.1194550000000001</v>
      </c>
      <c r="L3783">
        <v>141.98830000000001</v>
      </c>
      <c r="M3783">
        <v>-0.99997429999999998</v>
      </c>
      <c r="N3783">
        <v>-4.2073299999999996E-3</v>
      </c>
      <c r="O3783">
        <v>5.8174019999999898E-3</v>
      </c>
      <c r="P3783">
        <v>-0.97972789999999998</v>
      </c>
      <c r="Q3783">
        <v>0.195135</v>
      </c>
      <c r="R3783">
        <v>4.5340459999999999E-2</v>
      </c>
      <c r="S3783">
        <v>-3.0728759999999999</v>
      </c>
      <c r="T3783">
        <v>-4.2472839999999998E-2</v>
      </c>
      <c r="U3783">
        <v>-5.0903320000000002E-2</v>
      </c>
      <c r="V3783">
        <v>3.9598809999999998E-2</v>
      </c>
      <c r="W3783">
        <v>0.19926479999999999</v>
      </c>
      <c r="X3783">
        <v>0.9791453</v>
      </c>
      <c r="Y3783">
        <v>-2.2376409999999999E-2</v>
      </c>
      <c r="Z3783">
        <v>-2.5762799999999998E-4</v>
      </c>
      <c r="AA3783">
        <v>0.99974960000000002</v>
      </c>
      <c r="AB3783">
        <v>49</v>
      </c>
      <c r="AC3783">
        <v>-80.492199999999897</v>
      </c>
      <c r="AD3783">
        <v>-1.1194555430992901</v>
      </c>
      <c r="AE3783">
        <v>-1.34460000000001</v>
      </c>
      <c r="AF3783">
        <v>-1.8124863661300601</v>
      </c>
      <c r="AG3783">
        <v>-1.1194555430992901</v>
      </c>
      <c r="AH3783">
        <v>80.467455959132494</v>
      </c>
      <c r="AI3783">
        <v>90.796839894183904</v>
      </c>
      <c r="AJ3783">
        <v>91.290338570565098</v>
      </c>
      <c r="AK3783">
        <v>80.495650541351097</v>
      </c>
      <c r="AL3783">
        <v>78.506030421719402</v>
      </c>
      <c r="AM3783">
        <v>87.684093519771807</v>
      </c>
      <c r="AN3783">
        <v>1.00000002239227</v>
      </c>
    </row>
    <row r="3784" spans="1:40" x14ac:dyDescent="0.25">
      <c r="A3784" t="str">
        <f>"20190303170614356"</f>
        <v>20190303170614356</v>
      </c>
      <c r="B3784" t="str">
        <f>"1551603974348458"</f>
        <v>1551603974348458</v>
      </c>
      <c r="C3784" t="s">
        <v>40</v>
      </c>
      <c r="D3784">
        <v>5.4193689999999997</v>
      </c>
      <c r="E3784">
        <v>0.4817554</v>
      </c>
      <c r="F3784" t="s">
        <v>41</v>
      </c>
      <c r="G3784">
        <v>-350.06920000000002</v>
      </c>
      <c r="H3784" s="1">
        <v>-4.4336009999999996E-6</v>
      </c>
      <c r="I3784">
        <v>140.63740000000001</v>
      </c>
      <c r="J3784">
        <v>-269.33120000000002</v>
      </c>
      <c r="K3784">
        <v>1.1194539999999999</v>
      </c>
      <c r="L3784">
        <v>141.99119999999999</v>
      </c>
      <c r="M3784">
        <v>-0.99997469999999999</v>
      </c>
      <c r="N3784">
        <v>-4.2295509999999998E-3</v>
      </c>
      <c r="O3784">
        <v>5.7324610000000003E-3</v>
      </c>
      <c r="P3784">
        <v>-0.9797534</v>
      </c>
      <c r="Q3784">
        <v>0.1950578</v>
      </c>
      <c r="R3784">
        <v>4.5124110000000002E-2</v>
      </c>
      <c r="S3784">
        <v>-3.0728759999999999</v>
      </c>
      <c r="T3784">
        <v>-4.2347669999999997E-2</v>
      </c>
      <c r="U3784">
        <v>-5.1101679999999997E-2</v>
      </c>
      <c r="V3784">
        <v>3.9464230000000003E-2</v>
      </c>
      <c r="W3784">
        <v>0.1992092</v>
      </c>
      <c r="X3784">
        <v>0.97916199999999998</v>
      </c>
      <c r="Y3784">
        <v>-2.2356040000000001E-2</v>
      </c>
      <c r="Z3784">
        <v>-2.5606000000000001E-4</v>
      </c>
      <c r="AA3784">
        <v>0.99975000000000003</v>
      </c>
      <c r="AB3784">
        <v>49</v>
      </c>
      <c r="AC3784">
        <v>-80.738</v>
      </c>
      <c r="AD3784">
        <v>-1.1194584336010001</v>
      </c>
      <c r="AE3784">
        <v>-1.3537999999999699</v>
      </c>
      <c r="AF3784">
        <v>-1.8162602241298</v>
      </c>
      <c r="AG3784">
        <v>-1.1194584336010001</v>
      </c>
      <c r="AH3784">
        <v>80.713400159118194</v>
      </c>
      <c r="AI3784">
        <v>90.794414573322697</v>
      </c>
      <c r="AJ3784">
        <v>91.289085649039393</v>
      </c>
      <c r="AK3784">
        <v>80.741593702578399</v>
      </c>
      <c r="AL3784">
        <v>78.509280707404599</v>
      </c>
      <c r="AM3784">
        <v>87.691995124964706</v>
      </c>
      <c r="AN3784">
        <v>0.99999997652906603</v>
      </c>
    </row>
    <row r="3785" spans="1:40" x14ac:dyDescent="0.25">
      <c r="A3785" t="str">
        <f>"20190303170614377"</f>
        <v>20190303170614377</v>
      </c>
      <c r="B3785" t="str">
        <f>"1551603974368954"</f>
        <v>1551603974368954</v>
      </c>
      <c r="C3785" t="s">
        <v>40</v>
      </c>
      <c r="D3785">
        <v>5.4348669999999997</v>
      </c>
      <c r="E3785">
        <v>0.48173969999999999</v>
      </c>
      <c r="F3785" t="s">
        <v>41</v>
      </c>
      <c r="G3785">
        <v>-348.5437</v>
      </c>
      <c r="H3785" s="1">
        <v>-8.8070819999999999E-7</v>
      </c>
      <c r="I3785">
        <v>140.6448</v>
      </c>
      <c r="J3785">
        <v>-269.81889999999999</v>
      </c>
      <c r="K3785">
        <v>1.1194500000000001</v>
      </c>
      <c r="L3785">
        <v>141.9939</v>
      </c>
      <c r="M3785">
        <v>-0.99997499999999995</v>
      </c>
      <c r="N3785">
        <v>-4.2518469999999996E-3</v>
      </c>
      <c r="O3785">
        <v>5.6488320000000003E-3</v>
      </c>
      <c r="P3785">
        <v>-0.97973410000000005</v>
      </c>
      <c r="Q3785">
        <v>0.1951967</v>
      </c>
      <c r="R3785">
        <v>4.4941330000000002E-2</v>
      </c>
      <c r="S3785">
        <v>-3.0730900000000001</v>
      </c>
      <c r="T3785">
        <v>-4.3429849999999999E-2</v>
      </c>
      <c r="U3785">
        <v>-5.2230829999999999E-2</v>
      </c>
      <c r="V3785">
        <v>3.9362300000000003E-2</v>
      </c>
      <c r="W3785">
        <v>0.19936989999999999</v>
      </c>
      <c r="X3785">
        <v>0.97913340000000004</v>
      </c>
      <c r="Y3785">
        <v>-2.263832E-2</v>
      </c>
      <c r="Z3785">
        <v>-2.6388719999999999E-4</v>
      </c>
      <c r="AA3785">
        <v>0.99974370000000001</v>
      </c>
      <c r="AB3785">
        <v>49</v>
      </c>
      <c r="AC3785">
        <v>-78.724800000000002</v>
      </c>
      <c r="AD3785">
        <v>-1.1194508807082</v>
      </c>
      <c r="AE3785">
        <v>-1.34909999999999</v>
      </c>
      <c r="AF3785">
        <v>-1.7934231383253001</v>
      </c>
      <c r="AG3785">
        <v>-1.1194508807082</v>
      </c>
      <c r="AH3785">
        <v>78.700014348814193</v>
      </c>
      <c r="AI3785">
        <v>90.8147246493984</v>
      </c>
      <c r="AJ3785">
        <v>91.305435535247199</v>
      </c>
      <c r="AK3785">
        <v>78.728405263481406</v>
      </c>
      <c r="AL3785">
        <v>78.499884855684002</v>
      </c>
      <c r="AM3785">
        <v>87.697882753375097</v>
      </c>
      <c r="AN3785">
        <v>0.99999998134142898</v>
      </c>
    </row>
    <row r="3786" spans="1:40" x14ac:dyDescent="0.25">
      <c r="A3786" t="str">
        <f>"20190303170614399"</f>
        <v>20190303170614399</v>
      </c>
      <c r="B3786" t="str">
        <f>"1551603974388475"</f>
        <v>1551603974388475</v>
      </c>
      <c r="C3786" t="s">
        <v>40</v>
      </c>
      <c r="D3786">
        <v>5.4200290000000004</v>
      </c>
      <c r="E3786">
        <v>0.4816956</v>
      </c>
      <c r="F3786" t="s">
        <v>41</v>
      </c>
      <c r="G3786">
        <v>-349.5453</v>
      </c>
      <c r="H3786" s="1">
        <v>-4.4491659999999999E-7</v>
      </c>
      <c r="I3786">
        <v>140.62180000000001</v>
      </c>
      <c r="J3786">
        <v>-270.29649999999998</v>
      </c>
      <c r="K3786">
        <v>1.1194470000000001</v>
      </c>
      <c r="L3786">
        <v>141.9966</v>
      </c>
      <c r="M3786">
        <v>-0.99997539999999996</v>
      </c>
      <c r="N3786">
        <v>-4.273827E-3</v>
      </c>
      <c r="O3786">
        <v>5.5663999999999896E-3</v>
      </c>
      <c r="P3786">
        <v>-0.97987570000000002</v>
      </c>
      <c r="Q3786">
        <v>0.1945231</v>
      </c>
      <c r="R3786">
        <v>4.4773239999999999E-2</v>
      </c>
      <c r="S3786">
        <v>-3.0731199999999999</v>
      </c>
      <c r="T3786">
        <v>-4.3150189999999998E-2</v>
      </c>
      <c r="U3786">
        <v>-5.2886959999999997E-2</v>
      </c>
      <c r="V3786">
        <v>3.9273530000000001E-2</v>
      </c>
      <c r="W3786">
        <v>0.19871900000000001</v>
      </c>
      <c r="X3786">
        <v>0.97926930000000001</v>
      </c>
      <c r="Y3786">
        <v>-2.2769149999999998E-2</v>
      </c>
      <c r="Z3786">
        <v>-2.6285829999999998E-4</v>
      </c>
      <c r="AA3786">
        <v>0.99974070000000004</v>
      </c>
      <c r="AB3786">
        <v>49</v>
      </c>
      <c r="AC3786">
        <v>-79.248800000000003</v>
      </c>
      <c r="AD3786">
        <v>-1.1194474449166001</v>
      </c>
      <c r="AE3786">
        <v>-1.37479999999999</v>
      </c>
      <c r="AF3786">
        <v>-1.8155510789206</v>
      </c>
      <c r="AG3786">
        <v>-1.1194474449166001</v>
      </c>
      <c r="AH3786">
        <v>79.224116122083302</v>
      </c>
      <c r="AI3786">
        <v>90.809330753231194</v>
      </c>
      <c r="AJ3786">
        <v>91.312797353302997</v>
      </c>
      <c r="AK3786">
        <v>79.252823064086797</v>
      </c>
      <c r="AL3786">
        <v>78.537940441396998</v>
      </c>
      <c r="AM3786">
        <v>87.703387349146197</v>
      </c>
      <c r="AN3786">
        <v>1.0000000065210699</v>
      </c>
    </row>
    <row r="3787" spans="1:40" x14ac:dyDescent="0.25">
      <c r="A3787" t="str">
        <f>"20190303170614420"</f>
        <v>20190303170614420</v>
      </c>
      <c r="B3787" t="str">
        <f>"1551603974408971"</f>
        <v>1551603974408971</v>
      </c>
      <c r="C3787" t="s">
        <v>40</v>
      </c>
      <c r="D3787">
        <v>5.3281070000000001</v>
      </c>
      <c r="E3787">
        <v>0.48170659999999998</v>
      </c>
      <c r="F3787" t="s">
        <v>41</v>
      </c>
      <c r="G3787">
        <v>-345.03250000000003</v>
      </c>
      <c r="H3787" s="1">
        <v>-2.3974370000000001E-6</v>
      </c>
      <c r="I3787">
        <v>140.6841</v>
      </c>
      <c r="J3787">
        <v>-270.76600000000002</v>
      </c>
      <c r="K3787">
        <v>1.119443</v>
      </c>
      <c r="L3787">
        <v>141.9992</v>
      </c>
      <c r="M3787">
        <v>-0.99997579999999997</v>
      </c>
      <c r="N3787">
        <v>-4.2956859999999999E-3</v>
      </c>
      <c r="O3787">
        <v>5.4856369999999998E-3</v>
      </c>
      <c r="P3787">
        <v>-0.97989850000000001</v>
      </c>
      <c r="Q3787">
        <v>0.19444600000000001</v>
      </c>
      <c r="R3787">
        <v>4.4606060000000003E-2</v>
      </c>
      <c r="S3787">
        <v>-3.0732119999999998</v>
      </c>
      <c r="T3787">
        <v>-4.6032789999999997E-2</v>
      </c>
      <c r="U3787">
        <v>-5.3970339999999999E-2</v>
      </c>
      <c r="V3787">
        <v>3.9184389999999999E-2</v>
      </c>
      <c r="W3787">
        <v>0.1986639</v>
      </c>
      <c r="X3787">
        <v>0.97928400000000004</v>
      </c>
      <c r="Y3787">
        <v>-2.3039779999999999E-2</v>
      </c>
      <c r="Z3787">
        <v>-2.8061960000000001E-4</v>
      </c>
      <c r="AA3787">
        <v>0.99973449999999997</v>
      </c>
      <c r="AB3787">
        <v>50</v>
      </c>
      <c r="AC3787">
        <v>-74.266499999999994</v>
      </c>
      <c r="AD3787">
        <v>-1.119445397437</v>
      </c>
      <c r="AE3787">
        <v>-1.3150999999999999</v>
      </c>
      <c r="AF3787">
        <v>-1.72209185477513</v>
      </c>
      <c r="AG3787">
        <v>-1.119445397437</v>
      </c>
      <c r="AH3787">
        <v>74.241305535106505</v>
      </c>
      <c r="AI3787">
        <v>90.863635030982906</v>
      </c>
      <c r="AJ3787">
        <v>91.328787311172306</v>
      </c>
      <c r="AK3787">
        <v>74.269712574582897</v>
      </c>
      <c r="AL3787">
        <v>78.541161089490799</v>
      </c>
      <c r="AM3787">
        <v>87.708628818594093</v>
      </c>
      <c r="AN3787">
        <v>0.99999995711944001</v>
      </c>
    </row>
    <row r="3788" spans="1:40" x14ac:dyDescent="0.25">
      <c r="A3788" t="str">
        <f>"20190303170614444"</f>
        <v>20190303170614444</v>
      </c>
      <c r="B3788" t="str">
        <f>"1551603974438251"</f>
        <v>1551603974438251</v>
      </c>
      <c r="C3788" t="s">
        <v>40</v>
      </c>
      <c r="D3788">
        <v>5.3056530000000004</v>
      </c>
      <c r="E3788">
        <v>0.48163240000000002</v>
      </c>
      <c r="F3788" t="s">
        <v>41</v>
      </c>
      <c r="G3788">
        <v>-344.92430000000002</v>
      </c>
      <c r="H3788" s="1">
        <v>-2.4457059999999999E-6</v>
      </c>
      <c r="I3788">
        <v>140.6909</v>
      </c>
      <c r="J3788">
        <v>-271.2851</v>
      </c>
      <c r="K3788">
        <v>1.1194390000000001</v>
      </c>
      <c r="L3788">
        <v>142.00200000000001</v>
      </c>
      <c r="M3788">
        <v>-0.99997599999999998</v>
      </c>
      <c r="N3788">
        <v>-4.3199759999999997E-3</v>
      </c>
      <c r="O3788">
        <v>5.395988E-3</v>
      </c>
      <c r="P3788">
        <v>-0.97987690000000005</v>
      </c>
      <c r="Q3788">
        <v>0.1946417</v>
      </c>
      <c r="R3788">
        <v>4.4224689999999997E-2</v>
      </c>
      <c r="S3788">
        <v>-3.0732119999999998</v>
      </c>
      <c r="T3788">
        <v>-4.6391250000000002E-2</v>
      </c>
      <c r="U3788">
        <v>-5.4214480000000002E-2</v>
      </c>
      <c r="V3788">
        <v>3.8890340000000002E-2</v>
      </c>
      <c r="W3788">
        <v>0.198883</v>
      </c>
      <c r="X3788">
        <v>0.97925130000000005</v>
      </c>
      <c r="Y3788">
        <v>-2.3029500000000001E-2</v>
      </c>
      <c r="Z3788">
        <v>-2.8168349999999997E-4</v>
      </c>
      <c r="AA3788">
        <v>0.99973480000000003</v>
      </c>
      <c r="AB3788">
        <v>50</v>
      </c>
      <c r="AC3788">
        <v>-73.639200000000002</v>
      </c>
      <c r="AD3788">
        <v>-1.11944144570599</v>
      </c>
      <c r="AE3788">
        <v>-1.3111000000000099</v>
      </c>
      <c r="AF3788">
        <v>-1.7080463127174601</v>
      </c>
      <c r="AG3788">
        <v>-1.11944144570599</v>
      </c>
      <c r="AH3788">
        <v>73.614046944708903</v>
      </c>
      <c r="AI3788">
        <v>90.870989645026796</v>
      </c>
      <c r="AJ3788">
        <v>91.329179585465795</v>
      </c>
      <c r="AK3788">
        <v>73.642368775960506</v>
      </c>
      <c r="AL3788">
        <v>78.528352568429796</v>
      </c>
      <c r="AM3788">
        <v>87.725729887700894</v>
      </c>
      <c r="AN3788">
        <v>1.000000007393</v>
      </c>
    </row>
    <row r="3789" spans="1:40" x14ac:dyDescent="0.25">
      <c r="A3789" t="str">
        <f>"20190303170614466"</f>
        <v>20190303170614466</v>
      </c>
      <c r="B3789" t="str">
        <f>"1551603974458746"</f>
        <v>1551603974458746</v>
      </c>
      <c r="C3789" t="s">
        <v>40</v>
      </c>
      <c r="D3789">
        <v>5.352087</v>
      </c>
      <c r="E3789">
        <v>0.4820702</v>
      </c>
      <c r="F3789" t="s">
        <v>41</v>
      </c>
      <c r="G3789">
        <v>-346.10649999999998</v>
      </c>
      <c r="H3789" s="1">
        <v>-1.9280559999999999E-6</v>
      </c>
      <c r="I3789">
        <v>140.6515</v>
      </c>
      <c r="J3789">
        <v>-271.80430000000001</v>
      </c>
      <c r="K3789">
        <v>1.1194329999999999</v>
      </c>
      <c r="L3789">
        <v>142.00479999999999</v>
      </c>
      <c r="M3789">
        <v>-0.99997650000000005</v>
      </c>
      <c r="N3789">
        <v>-4.3441039999999997E-3</v>
      </c>
      <c r="O3789">
        <v>5.3066370000000003E-3</v>
      </c>
      <c r="P3789">
        <v>-0.97989280000000001</v>
      </c>
      <c r="Q3789">
        <v>0.1947923</v>
      </c>
      <c r="R3789">
        <v>4.3199439999999999E-2</v>
      </c>
      <c r="S3789">
        <v>-3.073242</v>
      </c>
      <c r="T3789">
        <v>-4.598033E-2</v>
      </c>
      <c r="U3789">
        <v>-5.5465699999999903E-2</v>
      </c>
      <c r="V3789">
        <v>3.7952029999999998E-2</v>
      </c>
      <c r="W3789">
        <v>0.19905690000000001</v>
      </c>
      <c r="X3789">
        <v>0.97925280000000003</v>
      </c>
      <c r="Y3789">
        <v>-2.3346909999999998E-2</v>
      </c>
      <c r="Z3789">
        <v>-2.8168259999999999E-4</v>
      </c>
      <c r="AA3789">
        <v>0.99972740000000004</v>
      </c>
      <c r="AB3789">
        <v>50</v>
      </c>
      <c r="AC3789">
        <v>-74.3021999999999</v>
      </c>
      <c r="AD3789">
        <v>-1.1194349280560001</v>
      </c>
      <c r="AE3789">
        <v>-1.35329999999999</v>
      </c>
      <c r="AF3789">
        <v>-1.74718301233149</v>
      </c>
      <c r="AG3789">
        <v>-1.1194349280560001</v>
      </c>
      <c r="AH3789">
        <v>74.277118151668105</v>
      </c>
      <c r="AI3789">
        <v>90.863204040304595</v>
      </c>
      <c r="AJ3789">
        <v>91.347491099306694</v>
      </c>
      <c r="AK3789">
        <v>74.3060970846511</v>
      </c>
      <c r="AL3789">
        <v>78.518185767339503</v>
      </c>
      <c r="AM3789">
        <v>87.780549208879904</v>
      </c>
      <c r="AN3789">
        <v>1.00000002616328</v>
      </c>
    </row>
    <row r="3790" spans="1:40" x14ac:dyDescent="0.25">
      <c r="A3790" t="str">
        <f>"20190303170614488"</f>
        <v>20190303170614488</v>
      </c>
      <c r="B3790" t="str">
        <f>"1551603974478266"</f>
        <v>1551603974478266</v>
      </c>
      <c r="C3790" t="s">
        <v>40</v>
      </c>
      <c r="D3790">
        <v>5.4096970000000004</v>
      </c>
      <c r="E3790">
        <v>0.4820702</v>
      </c>
      <c r="F3790" t="s">
        <v>84</v>
      </c>
      <c r="G3790">
        <v>-296.68049999999999</v>
      </c>
      <c r="H3790" s="1">
        <v>-8.8400169999999999E-6</v>
      </c>
      <c r="I3790">
        <v>141.51900000000001</v>
      </c>
      <c r="J3790">
        <v>-272.28969999999998</v>
      </c>
      <c r="K3790">
        <v>1.119434</v>
      </c>
      <c r="L3790">
        <v>142.00729999999999</v>
      </c>
      <c r="M3790">
        <v>-0.9999768</v>
      </c>
      <c r="N3790">
        <v>-4.3667860000000001E-3</v>
      </c>
      <c r="O3790">
        <v>5.222656E-3</v>
      </c>
      <c r="P3790">
        <v>-0.9799561</v>
      </c>
      <c r="Q3790">
        <v>0.19461249999999999</v>
      </c>
      <c r="R3790">
        <v>4.2568769999999999E-2</v>
      </c>
      <c r="S3790">
        <v>-3.091888</v>
      </c>
      <c r="T3790">
        <v>-0.1391366</v>
      </c>
      <c r="U3790">
        <v>-6.037903E-2</v>
      </c>
      <c r="V3790">
        <v>3.7402730000000002E-2</v>
      </c>
      <c r="W3790">
        <v>0.19889979999999999</v>
      </c>
      <c r="X3790">
        <v>0.9793058</v>
      </c>
      <c r="Y3790">
        <v>-2.471419E-2</v>
      </c>
      <c r="Z3790">
        <v>-8.2182730000000001E-4</v>
      </c>
      <c r="AA3790">
        <v>0.99969419999999998</v>
      </c>
      <c r="AB3790">
        <v>50</v>
      </c>
      <c r="AC3790">
        <v>-24.390799999999999</v>
      </c>
      <c r="AD3790">
        <v>-1.119442840017</v>
      </c>
      <c r="AE3790">
        <v>-0.48829999999998103</v>
      </c>
      <c r="AF3790">
        <v>-0.61438566037619702</v>
      </c>
      <c r="AG3790">
        <v>-1.119442840017</v>
      </c>
      <c r="AH3790">
        <v>24.336673581793999</v>
      </c>
      <c r="AI3790">
        <v>92.6328078628828</v>
      </c>
      <c r="AJ3790">
        <v>91.446139702926303</v>
      </c>
      <c r="AK3790">
        <v>24.3701518878839</v>
      </c>
      <c r="AL3790">
        <v>78.527369968378096</v>
      </c>
      <c r="AM3790">
        <v>87.8127593385681</v>
      </c>
      <c r="AN3790">
        <v>0.99999997228256599</v>
      </c>
    </row>
    <row r="3791" spans="1:40" x14ac:dyDescent="0.25">
      <c r="A3791" t="str">
        <f>"20190303170614510"</f>
        <v>20190303170614510</v>
      </c>
      <c r="B3791" t="str">
        <f>"1551603974498762"</f>
        <v>1551603974498762</v>
      </c>
      <c r="C3791" t="s">
        <v>40</v>
      </c>
      <c r="D3791">
        <v>5.4798859999999996</v>
      </c>
      <c r="E3791">
        <v>0.4835159</v>
      </c>
      <c r="F3791" t="s">
        <v>84</v>
      </c>
      <c r="G3791">
        <v>-297.07209999999998</v>
      </c>
      <c r="H3791" s="1">
        <v>-8.8022810000000001E-6</v>
      </c>
      <c r="I3791">
        <v>141.50630000000001</v>
      </c>
      <c r="J3791">
        <v>-272.7706</v>
      </c>
      <c r="K3791">
        <v>1.1194299999999999</v>
      </c>
      <c r="L3791">
        <v>142.00980000000001</v>
      </c>
      <c r="M3791">
        <v>-0.99997720000000001</v>
      </c>
      <c r="N3791">
        <v>-4.3893990000000004E-3</v>
      </c>
      <c r="O3791">
        <v>5.1386740000000002E-3</v>
      </c>
      <c r="P3791">
        <v>-0.98006610000000005</v>
      </c>
      <c r="Q3791">
        <v>0.19411999999999999</v>
      </c>
      <c r="R3791">
        <v>4.2283260000000003E-2</v>
      </c>
      <c r="S3791">
        <v>-3.0917970000000001</v>
      </c>
      <c r="T3791">
        <v>-0.1396587</v>
      </c>
      <c r="U3791">
        <v>-6.25E-2</v>
      </c>
      <c r="V3791">
        <v>3.7198450000000001E-2</v>
      </c>
      <c r="W3791">
        <v>0.1984302</v>
      </c>
      <c r="X3791">
        <v>0.97940890000000003</v>
      </c>
      <c r="Y3791">
        <v>-2.5315480000000001E-2</v>
      </c>
      <c r="Z3791">
        <v>-8.3644169999999996E-4</v>
      </c>
      <c r="AA3791">
        <v>0.99967910000000004</v>
      </c>
      <c r="AB3791">
        <v>50</v>
      </c>
      <c r="AC3791">
        <v>-24.301499999999901</v>
      </c>
      <c r="AD3791">
        <v>-1.119438802281</v>
      </c>
      <c r="AE3791">
        <v>-0.50350000000000195</v>
      </c>
      <c r="AF3791">
        <v>-0.62704205762577103</v>
      </c>
      <c r="AG3791">
        <v>-1.119438802281</v>
      </c>
      <c r="AH3791">
        <v>24.247162672999298</v>
      </c>
      <c r="AI3791">
        <v>92.642462423964304</v>
      </c>
      <c r="AJ3791">
        <v>91.481363338757305</v>
      </c>
      <c r="AK3791">
        <v>24.281087757037799</v>
      </c>
      <c r="AL3791">
        <v>78.554823965056102</v>
      </c>
      <c r="AM3791">
        <v>87.824922506851493</v>
      </c>
      <c r="AN3791">
        <v>1.00000003117682</v>
      </c>
    </row>
    <row r="3792" spans="1:40" x14ac:dyDescent="0.25">
      <c r="A3792" t="str">
        <f>"20190303170614547"</f>
        <v>20190303170614547</v>
      </c>
      <c r="B3792" t="str">
        <f>"1551603974538778"</f>
        <v>1551603974538778</v>
      </c>
      <c r="C3792" t="s">
        <v>40</v>
      </c>
      <c r="D3792">
        <v>5.4859460000000002</v>
      </c>
      <c r="E3792">
        <v>0.48295460000000001</v>
      </c>
      <c r="F3792" t="s">
        <v>41</v>
      </c>
      <c r="G3792">
        <v>-338.39010000000002</v>
      </c>
      <c r="H3792" s="1">
        <v>-1.1145540000000001E-6</v>
      </c>
      <c r="I3792">
        <v>141.01840000000001</v>
      </c>
      <c r="J3792">
        <v>-273.61009999999999</v>
      </c>
      <c r="K3792">
        <v>1.119429</v>
      </c>
      <c r="L3792">
        <v>142.01400000000001</v>
      </c>
      <c r="M3792">
        <v>-0.99997780000000003</v>
      </c>
      <c r="N3792">
        <v>-4.429133E-3</v>
      </c>
      <c r="O3792">
        <v>4.9761110000000001E-3</v>
      </c>
      <c r="P3792">
        <v>-0.98007480000000002</v>
      </c>
      <c r="Q3792">
        <v>0.19411400000000001</v>
      </c>
      <c r="R3792">
        <v>4.2109290000000001E-2</v>
      </c>
      <c r="S3792">
        <v>-3.0733640000000002</v>
      </c>
      <c r="T3792">
        <v>-5.2429799999999999E-2</v>
      </c>
      <c r="U3792">
        <v>-4.6432500000000002E-2</v>
      </c>
      <c r="V3792">
        <v>3.7179820000000002E-2</v>
      </c>
      <c r="W3792">
        <v>0.1984638</v>
      </c>
      <c r="X3792">
        <v>0.97940280000000002</v>
      </c>
      <c r="Y3792">
        <v>-2.0077640000000001E-2</v>
      </c>
      <c r="Z3792">
        <v>-2.7854600000000001E-4</v>
      </c>
      <c r="AA3792">
        <v>0.99979839999999998</v>
      </c>
      <c r="AB3792">
        <v>50</v>
      </c>
      <c r="AC3792">
        <v>-64.78</v>
      </c>
      <c r="AD3792">
        <v>-1.119430114554</v>
      </c>
      <c r="AE3792">
        <v>-0.99559999999999504</v>
      </c>
      <c r="AF3792">
        <v>-1.3175499614017701</v>
      </c>
      <c r="AG3792">
        <v>-1.119430114554</v>
      </c>
      <c r="AH3792">
        <v>64.754911441454794</v>
      </c>
      <c r="AI3792">
        <v>90.990179173754001</v>
      </c>
      <c r="AJ3792">
        <v>91.165620269463105</v>
      </c>
      <c r="AK3792">
        <v>64.777987136625399</v>
      </c>
      <c r="AL3792">
        <v>78.552859769189197</v>
      </c>
      <c r="AM3792">
        <v>87.825997272348005</v>
      </c>
      <c r="AN3792">
        <v>1.0000000317867499</v>
      </c>
    </row>
    <row r="3793" spans="1:40" x14ac:dyDescent="0.25">
      <c r="A3793" t="str">
        <f>"20190303170614567"</f>
        <v>20190303170614567</v>
      </c>
      <c r="B3793" t="str">
        <f>"1551603974558302"</f>
        <v>1551603974558302</v>
      </c>
      <c r="C3793" t="s">
        <v>40</v>
      </c>
      <c r="D3793">
        <v>5.3993640000000003</v>
      </c>
      <c r="E3793">
        <v>0.48261609999999999</v>
      </c>
      <c r="F3793" t="s">
        <v>41</v>
      </c>
      <c r="G3793">
        <v>-352.35199999999998</v>
      </c>
      <c r="H3793" s="1">
        <v>-3.557154E-6</v>
      </c>
      <c r="I3793">
        <v>140.7208</v>
      </c>
      <c r="J3793">
        <v>-274.07240000000002</v>
      </c>
      <c r="K3793">
        <v>1.1194360000000001</v>
      </c>
      <c r="L3793">
        <v>142.0163</v>
      </c>
      <c r="M3793">
        <v>-0.99997820000000004</v>
      </c>
      <c r="N3793">
        <v>-4.4510110000000004E-3</v>
      </c>
      <c r="O3793">
        <v>4.8643489999999996E-3</v>
      </c>
      <c r="P3793">
        <v>-0.98019999999999996</v>
      </c>
      <c r="Q3793">
        <v>0.19352220000000001</v>
      </c>
      <c r="R3793">
        <v>4.1917799999999998E-2</v>
      </c>
      <c r="S3793">
        <v>-3.071869</v>
      </c>
      <c r="T3793">
        <v>-4.3671130000000002E-2</v>
      </c>
      <c r="U3793">
        <v>-5.044556E-2</v>
      </c>
      <c r="V3793">
        <v>3.7091310000000002E-2</v>
      </c>
      <c r="W3793">
        <v>0.19789499999999999</v>
      </c>
      <c r="X3793">
        <v>0.97952119999999998</v>
      </c>
      <c r="Y3793">
        <v>-2.128006E-2</v>
      </c>
      <c r="Z3793">
        <v>-2.4610849999999999E-4</v>
      </c>
      <c r="AA3793">
        <v>0.99977349999999998</v>
      </c>
      <c r="AB3793">
        <v>51</v>
      </c>
      <c r="AC3793">
        <v>-78.279599999999903</v>
      </c>
      <c r="AD3793">
        <v>-1.1194395571539999</v>
      </c>
      <c r="AE3793">
        <v>-1.2955000000000001</v>
      </c>
      <c r="AF3793">
        <v>-1.6759251212133</v>
      </c>
      <c r="AG3793">
        <v>-1.1194395571539999</v>
      </c>
      <c r="AH3793">
        <v>78.256372583690293</v>
      </c>
      <c r="AI3793">
        <v>90.819359310328494</v>
      </c>
      <c r="AJ3793">
        <v>91.226849099992904</v>
      </c>
      <c r="AK3793">
        <v>78.282320608751704</v>
      </c>
      <c r="AL3793">
        <v>78.586108585215499</v>
      </c>
      <c r="AM3793">
        <v>87.831429646752397</v>
      </c>
      <c r="AN3793">
        <v>0.99999998877597795</v>
      </c>
    </row>
    <row r="3794" spans="1:40" x14ac:dyDescent="0.25">
      <c r="A3794" t="str">
        <f>"20190303170614588"</f>
        <v>20190303170614588</v>
      </c>
      <c r="B3794" t="str">
        <f>"1551603974578795"</f>
        <v>1551603974578795</v>
      </c>
      <c r="C3794" t="s">
        <v>40</v>
      </c>
      <c r="D3794">
        <v>5.4404949999999896</v>
      </c>
      <c r="E3794">
        <v>0.48237069999999999</v>
      </c>
      <c r="F3794" t="s">
        <v>41</v>
      </c>
      <c r="G3794">
        <v>-345.73930000000001</v>
      </c>
      <c r="H3794" s="1">
        <v>-2.1144590000000002E-6</v>
      </c>
      <c r="I3794">
        <v>140.76009999999999</v>
      </c>
      <c r="J3794">
        <v>-274.5609</v>
      </c>
      <c r="K3794">
        <v>1.1194500000000001</v>
      </c>
      <c r="L3794">
        <v>142.01859999999999</v>
      </c>
      <c r="M3794">
        <v>-0.99997899999999995</v>
      </c>
      <c r="N3794">
        <v>-4.4746990000000004E-3</v>
      </c>
      <c r="O3794">
        <v>4.7240609999999999E-3</v>
      </c>
      <c r="P3794">
        <v>-0.98022969999999998</v>
      </c>
      <c r="Q3794">
        <v>0.1934467</v>
      </c>
      <c r="R3794">
        <v>4.1569330000000002E-2</v>
      </c>
      <c r="S3794">
        <v>-3.0723880000000001</v>
      </c>
      <c r="T3794">
        <v>-4.79908E-2</v>
      </c>
      <c r="U3794">
        <v>-5.3848269999999997E-2</v>
      </c>
      <c r="V3794">
        <v>3.6871760000000003E-2</v>
      </c>
      <c r="W3794">
        <v>0.19784399999999999</v>
      </c>
      <c r="X3794">
        <v>0.97953979999999996</v>
      </c>
      <c r="Y3794">
        <v>-2.2243240000000001E-2</v>
      </c>
      <c r="Z3794">
        <v>-2.7611420000000001E-4</v>
      </c>
      <c r="AA3794">
        <v>0.99975250000000004</v>
      </c>
      <c r="AB3794">
        <v>51</v>
      </c>
      <c r="AC3794">
        <v>-71.178399999999996</v>
      </c>
      <c r="AD3794">
        <v>-1.1194521144589999</v>
      </c>
      <c r="AE3794">
        <v>-1.25849999999999</v>
      </c>
      <c r="AF3794">
        <v>-1.5943461288357901</v>
      </c>
      <c r="AG3794">
        <v>-1.1194521144589999</v>
      </c>
      <c r="AH3794">
        <v>71.154065888634307</v>
      </c>
      <c r="AI3794">
        <v>90.901122067420999</v>
      </c>
      <c r="AJ3794">
        <v>91.283609302718602</v>
      </c>
      <c r="AK3794">
        <v>71.180729169482504</v>
      </c>
      <c r="AL3794">
        <v>78.589089709475104</v>
      </c>
      <c r="AM3794">
        <v>87.844294545860294</v>
      </c>
      <c r="AN3794">
        <v>0.99999999740276801</v>
      </c>
    </row>
    <row r="3795" spans="1:40" x14ac:dyDescent="0.25">
      <c r="A3795" t="str">
        <f>"20190303170614611"</f>
        <v>20190303170614611</v>
      </c>
      <c r="B3795" t="str">
        <f>"1551603974598315"</f>
        <v>1551603974598315</v>
      </c>
      <c r="C3795" t="s">
        <v>40</v>
      </c>
      <c r="D3795">
        <v>5.3534730000000001</v>
      </c>
      <c r="E3795">
        <v>0.48223899999999997</v>
      </c>
      <c r="F3795" t="s">
        <v>41</v>
      </c>
      <c r="G3795">
        <v>-341.47140000000002</v>
      </c>
      <c r="H3795" s="1">
        <v>-3.944825E-6</v>
      </c>
      <c r="I3795">
        <v>140.75799999999899</v>
      </c>
      <c r="J3795">
        <v>-275.05220000000003</v>
      </c>
      <c r="K3795">
        <v>1.1194759999999999</v>
      </c>
      <c r="L3795">
        <v>142.02080000000001</v>
      </c>
      <c r="M3795">
        <v>-0.99997959999999997</v>
      </c>
      <c r="N3795">
        <v>-4.5015289999999998E-3</v>
      </c>
      <c r="O3795">
        <v>4.5541640000000003E-3</v>
      </c>
      <c r="P3795">
        <v>-0.98029619999999995</v>
      </c>
      <c r="Q3795">
        <v>0.1933107</v>
      </c>
      <c r="R3795">
        <v>4.062574E-2</v>
      </c>
      <c r="S3795">
        <v>-3.0731199999999999</v>
      </c>
      <c r="T3795">
        <v>-5.1415210000000003E-2</v>
      </c>
      <c r="U3795">
        <v>-5.7891850000000002E-2</v>
      </c>
      <c r="V3795">
        <v>3.608343E-2</v>
      </c>
      <c r="W3795">
        <v>0.19773660000000001</v>
      </c>
      <c r="X3795">
        <v>0.97959079999999998</v>
      </c>
      <c r="Y3795">
        <v>-2.338351E-2</v>
      </c>
      <c r="Z3795">
        <v>-3.0390449999999998E-4</v>
      </c>
      <c r="AA3795">
        <v>0.99972649999999996</v>
      </c>
      <c r="AB3795">
        <v>51</v>
      </c>
      <c r="AC3795">
        <v>-66.419199999999904</v>
      </c>
      <c r="AD3795">
        <v>-1.1194799448249999</v>
      </c>
      <c r="AE3795">
        <v>-1.2628000000000199</v>
      </c>
      <c r="AF3795">
        <v>-1.5648294866252099</v>
      </c>
      <c r="AG3795">
        <v>-1.1194799448249999</v>
      </c>
      <c r="AH3795">
        <v>66.393905576813495</v>
      </c>
      <c r="AI3795">
        <v>90.965715084105994</v>
      </c>
      <c r="AJ3795">
        <v>91.350146953157406</v>
      </c>
      <c r="AK3795">
        <v>66.421778238857001</v>
      </c>
      <c r="AL3795">
        <v>78.595366817412</v>
      </c>
      <c r="AM3795">
        <v>87.890451851349198</v>
      </c>
      <c r="AN3795">
        <v>0.99999995617238102</v>
      </c>
    </row>
    <row r="3796" spans="1:40" x14ac:dyDescent="0.25">
      <c r="A3796" t="str">
        <f>"20190303170614633"</f>
        <v>20190303170614633</v>
      </c>
      <c r="B3796" t="str">
        <f>"1551603974618811"</f>
        <v>1551603974618811</v>
      </c>
      <c r="C3796" t="s">
        <v>40</v>
      </c>
      <c r="D3796">
        <v>5.3660269999999999</v>
      </c>
      <c r="E3796">
        <v>0.4800895</v>
      </c>
      <c r="F3796" t="s">
        <v>41</v>
      </c>
      <c r="G3796">
        <v>-339.44720000000001</v>
      </c>
      <c r="H3796" s="1">
        <v>-5.3625669999999905E-7</v>
      </c>
      <c r="I3796">
        <v>140.72309999999999</v>
      </c>
      <c r="J3796">
        <v>-275.57209999999998</v>
      </c>
      <c r="K3796">
        <v>1.119505</v>
      </c>
      <c r="L3796">
        <v>142.0231</v>
      </c>
      <c r="M3796">
        <v>-0.99998039999999999</v>
      </c>
      <c r="N3796">
        <v>-4.532449E-3</v>
      </c>
      <c r="O3796">
        <v>4.3382589999999997E-3</v>
      </c>
      <c r="P3796">
        <v>-0.98021139999999995</v>
      </c>
      <c r="Q3796">
        <v>0.19405310000000001</v>
      </c>
      <c r="R3796">
        <v>3.9104319999999998E-2</v>
      </c>
      <c r="S3796">
        <v>-3.0733950000000001</v>
      </c>
      <c r="T3796">
        <v>-5.3429480000000001E-2</v>
      </c>
      <c r="U3796">
        <v>-6.1935419999999998E-2</v>
      </c>
      <c r="V3796">
        <v>3.4759209999999999E-2</v>
      </c>
      <c r="W3796">
        <v>0.19851099999999999</v>
      </c>
      <c r="X3796">
        <v>0.97948210000000002</v>
      </c>
      <c r="Y3796">
        <v>-2.4480249999999999E-2</v>
      </c>
      <c r="Z3796">
        <v>-3.2398600000000001E-4</v>
      </c>
      <c r="AA3796">
        <v>0.99970020000000004</v>
      </c>
      <c r="AB3796">
        <v>51</v>
      </c>
      <c r="AC3796">
        <v>-63.875100000000003</v>
      </c>
      <c r="AD3796">
        <v>-1.1195055362566999</v>
      </c>
      <c r="AE3796">
        <v>-1.30000000000001</v>
      </c>
      <c r="AF3796">
        <v>-1.57661321798513</v>
      </c>
      <c r="AG3796">
        <v>-1.1195055362566999</v>
      </c>
      <c r="AH3796">
        <v>63.849254181066598</v>
      </c>
      <c r="AI3796">
        <v>91.004190750320703</v>
      </c>
      <c r="AJ3796">
        <v>91.414502510685296</v>
      </c>
      <c r="AK3796">
        <v>63.8785273888126</v>
      </c>
      <c r="AL3796">
        <v>78.550100163145999</v>
      </c>
      <c r="AM3796">
        <v>87.967578334853599</v>
      </c>
      <c r="AN3796">
        <v>1.0000000020106099</v>
      </c>
    </row>
    <row r="3797" spans="1:40" x14ac:dyDescent="0.25">
      <c r="A3797" t="str">
        <f>"20190303170614655"</f>
        <v>20190303170614655</v>
      </c>
      <c r="B3797" t="str">
        <f>"1551603974649067"</f>
        <v>1551603974649067</v>
      </c>
      <c r="C3797" t="s">
        <v>40</v>
      </c>
      <c r="D3797">
        <v>5.4350540000000001</v>
      </c>
      <c r="E3797">
        <v>0.44617200000000001</v>
      </c>
      <c r="F3797" t="s">
        <v>41</v>
      </c>
      <c r="G3797">
        <v>-343.24849999999998</v>
      </c>
      <c r="H3797" s="1">
        <v>-3.0295489999999998E-6</v>
      </c>
      <c r="I3797">
        <v>140.18340000000001</v>
      </c>
      <c r="J3797">
        <v>-276.09440000000001</v>
      </c>
      <c r="K3797">
        <v>1.1195389999999901</v>
      </c>
      <c r="L3797">
        <v>142.02520000000001</v>
      </c>
      <c r="M3797">
        <v>-0.99998140000000002</v>
      </c>
      <c r="N3797">
        <v>-4.565815E-3</v>
      </c>
      <c r="O3797">
        <v>4.0827420000000003E-3</v>
      </c>
      <c r="P3797">
        <v>-0.98002149999999999</v>
      </c>
      <c r="Q3797">
        <v>0.1952159</v>
      </c>
      <c r="R3797">
        <v>3.8067160000000003E-2</v>
      </c>
      <c r="S3797">
        <v>-3.0739749999999999</v>
      </c>
      <c r="T3797">
        <v>-5.0849909999999998E-2</v>
      </c>
      <c r="U3797">
        <v>-8.3557129999999993E-2</v>
      </c>
      <c r="V3797">
        <v>3.3956710000000001E-2</v>
      </c>
      <c r="W3797">
        <v>0.19970779999999999</v>
      </c>
      <c r="X3797">
        <v>0.97926690000000005</v>
      </c>
      <c r="Y3797">
        <v>-3.124739E-2</v>
      </c>
      <c r="Z3797">
        <v>-3.7862170000000001E-4</v>
      </c>
      <c r="AA3797">
        <v>0.99951159999999994</v>
      </c>
      <c r="AB3797">
        <v>51</v>
      </c>
      <c r="AC3797">
        <v>-67.1540999999999</v>
      </c>
      <c r="AD3797">
        <v>-1.119542029549</v>
      </c>
      <c r="AE3797">
        <v>-1.8418000000000001</v>
      </c>
      <c r="AF3797">
        <v>-2.1153728443450301</v>
      </c>
      <c r="AG3797">
        <v>-1.119542029549</v>
      </c>
      <c r="AH3797">
        <v>67.127377923967998</v>
      </c>
      <c r="AI3797">
        <v>90.955009291253305</v>
      </c>
      <c r="AJ3797">
        <v>91.804954156423307</v>
      </c>
      <c r="AK3797">
        <v>67.170030843924394</v>
      </c>
      <c r="AL3797">
        <v>78.480127064696703</v>
      </c>
      <c r="AM3797">
        <v>88.014027693429895</v>
      </c>
      <c r="AN3797">
        <v>0.99999996248523604</v>
      </c>
    </row>
    <row r="3798" spans="1:40" x14ac:dyDescent="0.25">
      <c r="A3798" t="str">
        <f>"20190303170614677"</f>
        <v>20190303170614677</v>
      </c>
      <c r="B3798" t="str">
        <f>"1551603974668587"</f>
        <v>1551603974668587</v>
      </c>
      <c r="C3798" t="s">
        <v>40</v>
      </c>
      <c r="D3798">
        <v>5.4358649999999997</v>
      </c>
      <c r="E3798">
        <v>0.44556420000000002</v>
      </c>
      <c r="F3798" t="s">
        <v>91</v>
      </c>
      <c r="G3798">
        <v>-470.8775</v>
      </c>
      <c r="H3798">
        <v>0.57493019999999995</v>
      </c>
      <c r="I3798">
        <v>119.5149</v>
      </c>
      <c r="J3798">
        <v>-276.59649999999999</v>
      </c>
      <c r="K3798">
        <v>1.119567</v>
      </c>
      <c r="L3798">
        <v>142.02709999999999</v>
      </c>
      <c r="M3798">
        <v>-0.99998220000000004</v>
      </c>
      <c r="N3798">
        <v>-4.6008020000000002E-3</v>
      </c>
      <c r="O3798">
        <v>3.803313E-3</v>
      </c>
      <c r="P3798">
        <v>-0.98003079999999998</v>
      </c>
      <c r="Q3798">
        <v>0.1952902</v>
      </c>
      <c r="R3798">
        <v>3.7433689999999999E-2</v>
      </c>
      <c r="S3798">
        <v>-3.0766909999999998</v>
      </c>
      <c r="T3798">
        <v>-8.6019040000000005E-3</v>
      </c>
      <c r="U3798">
        <v>-0.3555603</v>
      </c>
      <c r="V3798">
        <v>3.3580499999999999E-2</v>
      </c>
      <c r="W3798">
        <v>0.199819</v>
      </c>
      <c r="X3798">
        <v>0.97925720000000005</v>
      </c>
      <c r="Y3798">
        <v>-0.1185779</v>
      </c>
      <c r="Z3798">
        <v>-4.3205529999999998E-4</v>
      </c>
      <c r="AA3798">
        <v>0.99294470000000001</v>
      </c>
      <c r="AB3798">
        <v>51</v>
      </c>
      <c r="AC3798">
        <v>-194.28099999999901</v>
      </c>
      <c r="AD3798">
        <v>-0.54463680000000003</v>
      </c>
      <c r="AE3798">
        <v>-22.5122</v>
      </c>
      <c r="AF3798">
        <v>-23.250776134599398</v>
      </c>
      <c r="AG3798">
        <v>-0.54463680000000003</v>
      </c>
      <c r="AH3798">
        <v>194.19246707169501</v>
      </c>
      <c r="AI3798">
        <v>90.159553126734806</v>
      </c>
      <c r="AJ3798">
        <v>96.827555262439006</v>
      </c>
      <c r="AK3798">
        <v>195.58018684799501</v>
      </c>
      <c r="AL3798">
        <v>78.473624839170398</v>
      </c>
      <c r="AM3798">
        <v>88.035993725131604</v>
      </c>
      <c r="AN3798">
        <v>0.99999997324654399</v>
      </c>
    </row>
    <row r="3799" spans="1:40" x14ac:dyDescent="0.25">
      <c r="A3799" t="str">
        <f>"20190303170614699"</f>
        <v>20190303170614699</v>
      </c>
      <c r="B3799" t="str">
        <f>"1551603974689083"</f>
        <v>1551603974689083</v>
      </c>
      <c r="C3799" t="s">
        <v>40</v>
      </c>
      <c r="D3799">
        <v>5.445659</v>
      </c>
      <c r="E3799">
        <v>0.4453723</v>
      </c>
      <c r="F3799" t="s">
        <v>91</v>
      </c>
      <c r="G3799">
        <v>-469.14359999999999</v>
      </c>
      <c r="H3799">
        <v>0.62558649999999905</v>
      </c>
      <c r="I3799">
        <v>119.395</v>
      </c>
      <c r="J3799">
        <v>-277.10230000000001</v>
      </c>
      <c r="K3799">
        <v>1.1196010000000001</v>
      </c>
      <c r="L3799">
        <v>142.02889999999999</v>
      </c>
      <c r="M3799">
        <v>-0.99998310000000001</v>
      </c>
      <c r="N3799">
        <v>-4.6373459999999997E-3</v>
      </c>
      <c r="O3799">
        <v>3.492883E-3</v>
      </c>
      <c r="P3799">
        <v>-0.98001890000000003</v>
      </c>
      <c r="Q3799">
        <v>0.19554560000000001</v>
      </c>
      <c r="R3799">
        <v>3.6402009999999999E-2</v>
      </c>
      <c r="S3799">
        <v>-3.0765380000000002</v>
      </c>
      <c r="T3799">
        <v>-7.8923699999999992E-3</v>
      </c>
      <c r="U3799">
        <v>-0.36161799999999999</v>
      </c>
      <c r="V3799">
        <v>3.2837129999999999E-2</v>
      </c>
      <c r="W3799">
        <v>0.2001124</v>
      </c>
      <c r="X3799">
        <v>0.9792225</v>
      </c>
      <c r="Y3799">
        <v>-0.1202042</v>
      </c>
      <c r="Z3799">
        <v>-4.2611480000000001E-4</v>
      </c>
      <c r="AA3799">
        <v>0.99274910000000005</v>
      </c>
      <c r="AB3799">
        <v>51</v>
      </c>
      <c r="AC3799">
        <v>-192.04130000000001</v>
      </c>
      <c r="AD3799">
        <v>-0.49401450000000002</v>
      </c>
      <c r="AE3799">
        <v>-22.633900000000001</v>
      </c>
      <c r="AF3799">
        <v>-23.304394860962802</v>
      </c>
      <c r="AG3799">
        <v>-0.49401450000000002</v>
      </c>
      <c r="AH3799">
        <v>191.95981719930401</v>
      </c>
      <c r="AI3799">
        <v>90.146377381704795</v>
      </c>
      <c r="AJ3799">
        <v>96.921974819152595</v>
      </c>
      <c r="AK3799">
        <v>193.36987947804101</v>
      </c>
      <c r="AL3799">
        <v>78.456467778467101</v>
      </c>
      <c r="AM3799">
        <v>88.079369908026607</v>
      </c>
      <c r="AN3799">
        <v>0.999999977123323</v>
      </c>
    </row>
    <row r="3800" spans="1:40" x14ac:dyDescent="0.25">
      <c r="A3800" t="str">
        <f>"20190303170614722"</f>
        <v>20190303170614722</v>
      </c>
      <c r="B3800" t="str">
        <f>"1551603974708603"</f>
        <v>1551603974708603</v>
      </c>
      <c r="C3800" t="s">
        <v>40</v>
      </c>
      <c r="D3800">
        <v>5.4214070000000003</v>
      </c>
      <c r="E3800">
        <v>0.44551560000000001</v>
      </c>
      <c r="F3800" t="s">
        <v>91</v>
      </c>
      <c r="G3800">
        <v>-467.32240000000002</v>
      </c>
      <c r="H3800">
        <v>0.72198809999999902</v>
      </c>
      <c r="I3800">
        <v>119.395</v>
      </c>
      <c r="J3800">
        <v>-277.61579999999998</v>
      </c>
      <c r="K3800">
        <v>1.1196349999999999</v>
      </c>
      <c r="L3800">
        <v>142.03059999999999</v>
      </c>
      <c r="M3800">
        <v>-0.99998430000000005</v>
      </c>
      <c r="N3800">
        <v>-4.6742149999999998E-3</v>
      </c>
      <c r="O3800">
        <v>3.1548029999999999E-3</v>
      </c>
      <c r="P3800">
        <v>-0.97984709999999997</v>
      </c>
      <c r="Q3800">
        <v>0.19657269999999999</v>
      </c>
      <c r="R3800">
        <v>3.5483679999999997E-2</v>
      </c>
      <c r="S3800">
        <v>-3.07605</v>
      </c>
      <c r="T3800">
        <v>-6.4294340000000004E-3</v>
      </c>
      <c r="U3800">
        <v>-0.36601260000000002</v>
      </c>
      <c r="V3800">
        <v>3.2234810000000003E-2</v>
      </c>
      <c r="W3800">
        <v>0.20117650000000001</v>
      </c>
      <c r="X3800">
        <v>0.97902449999999996</v>
      </c>
      <c r="Y3800">
        <v>-0.1212857</v>
      </c>
      <c r="Z3800">
        <v>-4.0264130000000002E-4</v>
      </c>
      <c r="AA3800">
        <v>0.99261750000000004</v>
      </c>
      <c r="AB3800">
        <v>52</v>
      </c>
      <c r="AC3800">
        <v>-189.70660000000001</v>
      </c>
      <c r="AD3800">
        <v>-0.39764690000000003</v>
      </c>
      <c r="AE3800">
        <v>-22.6356</v>
      </c>
      <c r="AF3800">
        <v>-23.233880072749301</v>
      </c>
      <c r="AG3800">
        <v>-0.39764690000000003</v>
      </c>
      <c r="AH3800">
        <v>189.633422802062</v>
      </c>
      <c r="AI3800">
        <v>90.119253001238306</v>
      </c>
      <c r="AJ3800">
        <v>96.985064380639997</v>
      </c>
      <c r="AK3800">
        <v>191.05184204795799</v>
      </c>
      <c r="AL3800">
        <v>78.394234248537998</v>
      </c>
      <c r="AM3800">
        <v>88.114192653033101</v>
      </c>
      <c r="AN3800">
        <v>1.0000000193641101</v>
      </c>
    </row>
    <row r="3801" spans="1:40" x14ac:dyDescent="0.25">
      <c r="A3801" t="str">
        <f>"20190303170614746"</f>
        <v>20190303170614746</v>
      </c>
      <c r="B3801" t="str">
        <f>"1551603974738859"</f>
        <v>1551603974738859</v>
      </c>
      <c r="C3801" t="s">
        <v>40</v>
      </c>
      <c r="D3801">
        <v>5.4143619999999997</v>
      </c>
      <c r="E3801">
        <v>0.44593870000000002</v>
      </c>
      <c r="F3801" t="s">
        <v>91</v>
      </c>
      <c r="G3801">
        <v>-463.46019999999999</v>
      </c>
      <c r="H3801">
        <v>0.99776960000000003</v>
      </c>
      <c r="I3801">
        <v>119.8177</v>
      </c>
      <c r="J3801">
        <v>-278.16199999999998</v>
      </c>
      <c r="K3801">
        <v>1.1196619999999999</v>
      </c>
      <c r="L3801">
        <v>142.03219999999999</v>
      </c>
      <c r="M3801">
        <v>-0.99998509999999996</v>
      </c>
      <c r="N3801">
        <v>-4.7125919999999998E-3</v>
      </c>
      <c r="O3801">
        <v>2.7764299999999999E-3</v>
      </c>
      <c r="P3801">
        <v>-0.97971350000000001</v>
      </c>
      <c r="Q3801">
        <v>0.19726640000000001</v>
      </c>
      <c r="R3801">
        <v>3.5318599999999999E-2</v>
      </c>
      <c r="S3801">
        <v>-3.0754090000000001</v>
      </c>
      <c r="T3801">
        <v>-2.016187E-3</v>
      </c>
      <c r="U3801">
        <v>-0.36758420000000003</v>
      </c>
      <c r="V3801">
        <v>3.2425879999999997E-2</v>
      </c>
      <c r="W3801">
        <v>0.2019098</v>
      </c>
      <c r="X3801">
        <v>0.97886719999999905</v>
      </c>
      <c r="Y3801">
        <v>-0.1214351</v>
      </c>
      <c r="Z3801">
        <v>-3.1559429999999998E-4</v>
      </c>
      <c r="AA3801">
        <v>0.99259929999999996</v>
      </c>
      <c r="AB3801">
        <v>52</v>
      </c>
      <c r="AC3801">
        <v>-185.29819999999901</v>
      </c>
      <c r="AD3801">
        <v>-0.1218924</v>
      </c>
      <c r="AE3801">
        <v>-22.214499999999902</v>
      </c>
      <c r="AF3801">
        <v>-22.728877845153701</v>
      </c>
      <c r="AG3801">
        <v>-0.1218924</v>
      </c>
      <c r="AH3801">
        <v>185.235729085656</v>
      </c>
      <c r="AI3801">
        <v>90.037422212596397</v>
      </c>
      <c r="AJ3801">
        <v>96.9953652371928</v>
      </c>
      <c r="AK3801">
        <v>186.625003886809</v>
      </c>
      <c r="AL3801">
        <v>78.351338800489003</v>
      </c>
      <c r="AM3801">
        <v>88.102718166482603</v>
      </c>
      <c r="AN3801">
        <v>1.00000000013282</v>
      </c>
    </row>
    <row r="3802" spans="1:40" x14ac:dyDescent="0.25">
      <c r="A3802" t="str">
        <f>"20190303170614768"</f>
        <v>20190303170614768</v>
      </c>
      <c r="B3802" t="str">
        <f>"1551603974758379"</f>
        <v>1551603974758379</v>
      </c>
      <c r="C3802" t="s">
        <v>40</v>
      </c>
      <c r="D3802">
        <v>5.3857339999999896</v>
      </c>
      <c r="E3802">
        <v>0.44626149999999998</v>
      </c>
      <c r="F3802" t="s">
        <v>91</v>
      </c>
      <c r="G3802">
        <v>-468.92009999999999</v>
      </c>
      <c r="H3802">
        <v>1.2089000000000001</v>
      </c>
      <c r="I3802">
        <v>119.395</v>
      </c>
      <c r="J3802">
        <v>-278.68900000000002</v>
      </c>
      <c r="K3802">
        <v>1.119686</v>
      </c>
      <c r="L3802">
        <v>142.0335</v>
      </c>
      <c r="M3802">
        <v>-0.99998589999999998</v>
      </c>
      <c r="N3802">
        <v>-4.7483630000000002E-3</v>
      </c>
      <c r="O3802">
        <v>2.3989810000000001E-3</v>
      </c>
      <c r="P3802">
        <v>-0.97970040000000003</v>
      </c>
      <c r="Q3802">
        <v>0.1972691</v>
      </c>
      <c r="R3802">
        <v>3.5666099999999999E-2</v>
      </c>
      <c r="S3802">
        <v>-3.0749209999999998</v>
      </c>
      <c r="T3802">
        <v>1.4389750000000001E-3</v>
      </c>
      <c r="U3802">
        <v>-0.36489870000000002</v>
      </c>
      <c r="V3802">
        <v>3.3130760000000002E-2</v>
      </c>
      <c r="W3802">
        <v>0.20194989999999999</v>
      </c>
      <c r="X3802">
        <v>0.97883529999999996</v>
      </c>
      <c r="Y3802">
        <v>-0.120224499999999</v>
      </c>
      <c r="Z3802">
        <v>-2.4593180000000002E-4</v>
      </c>
      <c r="AA3802">
        <v>0.99274669999999998</v>
      </c>
      <c r="AB3802">
        <v>52</v>
      </c>
      <c r="AC3802">
        <v>-190.2311</v>
      </c>
      <c r="AD3802">
        <v>8.9214000000000099E-2</v>
      </c>
      <c r="AE3802">
        <v>-22.638500000000001</v>
      </c>
      <c r="AF3802">
        <v>-23.094795762427999</v>
      </c>
      <c r="AG3802">
        <v>8.9214000000000099E-2</v>
      </c>
      <c r="AH3802">
        <v>190.17620140249201</v>
      </c>
      <c r="AI3802">
        <v>89.973317871743305</v>
      </c>
      <c r="AJ3802">
        <v>96.9240341941358</v>
      </c>
      <c r="AK3802">
        <v>191.573393586707</v>
      </c>
      <c r="AL3802">
        <v>78.348992640526404</v>
      </c>
      <c r="AM3802">
        <v>88.061442695323905</v>
      </c>
      <c r="AN3802">
        <v>0.99999997694713805</v>
      </c>
    </row>
    <row r="3803" spans="1:40" x14ac:dyDescent="0.25">
      <c r="A3803" t="str">
        <f>"20190303170614788"</f>
        <v>20190303170614788</v>
      </c>
      <c r="B3803" t="str">
        <f>"1551603974778875"</f>
        <v>1551603974778875</v>
      </c>
      <c r="C3803" t="s">
        <v>40</v>
      </c>
      <c r="D3803">
        <v>5.3771079999999998</v>
      </c>
      <c r="E3803">
        <v>0.44637949999999998</v>
      </c>
      <c r="F3803" t="s">
        <v>91</v>
      </c>
      <c r="G3803">
        <v>-470.8775</v>
      </c>
      <c r="H3803">
        <v>1.1451750000000001</v>
      </c>
      <c r="I3803">
        <v>119.44799999999999</v>
      </c>
      <c r="J3803">
        <v>-279.17700000000002</v>
      </c>
      <c r="K3803">
        <v>1.119702</v>
      </c>
      <c r="L3803">
        <v>142.03460000000001</v>
      </c>
      <c r="M3803">
        <v>-0.9999865</v>
      </c>
      <c r="N3803">
        <v>-4.7811579999999998E-3</v>
      </c>
      <c r="O3803">
        <v>2.0432580000000001E-3</v>
      </c>
      <c r="P3803">
        <v>-0.97978799999999999</v>
      </c>
      <c r="Q3803">
        <v>0.19668430000000001</v>
      </c>
      <c r="R3803">
        <v>3.6481109999999997E-2</v>
      </c>
      <c r="S3803">
        <v>-3.0751949999999999</v>
      </c>
      <c r="T3803">
        <v>4.0829180000000003E-4</v>
      </c>
      <c r="U3803">
        <v>-0.36138920000000002</v>
      </c>
      <c r="V3803">
        <v>3.4284179999999997E-2</v>
      </c>
      <c r="W3803">
        <v>0.20139969999999999</v>
      </c>
      <c r="X3803">
        <v>0.97890900000000003</v>
      </c>
      <c r="Y3803">
        <v>-0.1187434</v>
      </c>
      <c r="Z3803">
        <v>-2.669789E-4</v>
      </c>
      <c r="AA3803">
        <v>0.9929249</v>
      </c>
      <c r="AB3803">
        <v>52</v>
      </c>
      <c r="AC3803">
        <v>-191.70050000000001</v>
      </c>
      <c r="AD3803">
        <v>2.5472999999999999E-2</v>
      </c>
      <c r="AE3803">
        <v>-22.586600000000001</v>
      </c>
      <c r="AF3803">
        <v>-22.978250500762599</v>
      </c>
      <c r="AG3803">
        <v>2.5472999999999999E-2</v>
      </c>
      <c r="AH3803">
        <v>191.65394570941299</v>
      </c>
      <c r="AI3803">
        <v>89.992438886467795</v>
      </c>
      <c r="AJ3803">
        <v>96.836813412178202</v>
      </c>
      <c r="AK3803">
        <v>193.026515149956</v>
      </c>
      <c r="AL3803">
        <v>78.381178819378107</v>
      </c>
      <c r="AM3803">
        <v>87.994158541700898</v>
      </c>
      <c r="AN3803">
        <v>1.00000003721968</v>
      </c>
    </row>
    <row r="3804" spans="1:40" x14ac:dyDescent="0.25">
      <c r="A3804" t="str">
        <f>"20190303170614811"</f>
        <v>20190303170614811</v>
      </c>
      <c r="B3804" t="str">
        <f>"1551603974798395"</f>
        <v>1551603974798395</v>
      </c>
      <c r="C3804" t="s">
        <v>40</v>
      </c>
      <c r="D3804">
        <v>5.3531849999999999</v>
      </c>
      <c r="E3804">
        <v>0.4464323</v>
      </c>
      <c r="F3804" t="s">
        <v>91</v>
      </c>
      <c r="G3804">
        <v>-470.8775</v>
      </c>
      <c r="H3804">
        <v>1.0772360000000001</v>
      </c>
      <c r="I3804">
        <v>119.71680000000001</v>
      </c>
      <c r="J3804">
        <v>-279.68979999999999</v>
      </c>
      <c r="K3804">
        <v>1.119713</v>
      </c>
      <c r="L3804">
        <v>142.03550000000001</v>
      </c>
      <c r="M3804">
        <v>-0.99998699999999996</v>
      </c>
      <c r="N3804">
        <v>-4.8176529999999999E-3</v>
      </c>
      <c r="O3804">
        <v>1.6654129999999999E-3</v>
      </c>
      <c r="P3804">
        <v>-0.97977539999999996</v>
      </c>
      <c r="Q3804">
        <v>0.19666330000000001</v>
      </c>
      <c r="R3804">
        <v>3.6928130000000003E-2</v>
      </c>
      <c r="S3804">
        <v>-3.075348</v>
      </c>
      <c r="T3804">
        <v>-6.8080429999999904E-4</v>
      </c>
      <c r="U3804">
        <v>-0.35803220000000002</v>
      </c>
      <c r="V3804">
        <v>3.5091310000000001E-2</v>
      </c>
      <c r="W3804">
        <v>0.20141700000000001</v>
      </c>
      <c r="X3804">
        <v>0.97887679999999999</v>
      </c>
      <c r="Y3804">
        <v>-0.1172931</v>
      </c>
      <c r="Z3804">
        <v>-2.8880170000000001E-4</v>
      </c>
      <c r="AA3804">
        <v>0.99309729999999996</v>
      </c>
      <c r="AB3804">
        <v>52</v>
      </c>
      <c r="AC3804">
        <v>-191.18770000000001</v>
      </c>
      <c r="AD3804">
        <v>-4.24769999999998E-2</v>
      </c>
      <c r="AE3804">
        <v>-22.3187</v>
      </c>
      <c r="AF3804">
        <v>-22.637078124081</v>
      </c>
      <c r="AG3804">
        <v>-4.24769999999998E-2</v>
      </c>
      <c r="AH3804">
        <v>191.15025526112501</v>
      </c>
      <c r="AI3804">
        <v>90.012643791646894</v>
      </c>
      <c r="AJ3804">
        <v>96.753829337986005</v>
      </c>
      <c r="AK3804">
        <v>192.485997404187</v>
      </c>
      <c r="AL3804">
        <v>78.380166411600399</v>
      </c>
      <c r="AM3804">
        <v>87.946908799245307</v>
      </c>
      <c r="AN3804">
        <v>0.99999999875237799</v>
      </c>
    </row>
    <row r="3805" spans="1:40" x14ac:dyDescent="0.25">
      <c r="A3805" t="str">
        <f>"20190303170614835"</f>
        <v>20190303170614835</v>
      </c>
      <c r="B3805" t="str">
        <f>"1551603974828651"</f>
        <v>1551603974828651</v>
      </c>
      <c r="C3805" t="s">
        <v>40</v>
      </c>
      <c r="D3805">
        <v>5.3474089999999999</v>
      </c>
      <c r="E3805">
        <v>0.44653530000000002</v>
      </c>
      <c r="F3805" t="s">
        <v>91</v>
      </c>
      <c r="G3805">
        <v>-471.52800000000002</v>
      </c>
      <c r="H3805">
        <v>1.08362</v>
      </c>
      <c r="I3805">
        <v>119.8177</v>
      </c>
      <c r="J3805">
        <v>-280.24579999999997</v>
      </c>
      <c r="K3805">
        <v>1.119737</v>
      </c>
      <c r="L3805">
        <v>142.03630000000001</v>
      </c>
      <c r="M3805">
        <v>-0.99998750000000003</v>
      </c>
      <c r="N3805">
        <v>-4.8587980000000001E-3</v>
      </c>
      <c r="O3805">
        <v>1.2533970000000001E-3</v>
      </c>
      <c r="P3805">
        <v>-0.97956410000000005</v>
      </c>
      <c r="Q3805">
        <v>0.19766320000000001</v>
      </c>
      <c r="R3805">
        <v>3.7198250000000002E-2</v>
      </c>
      <c r="S3805">
        <v>-3.0754700000000001</v>
      </c>
      <c r="T3805">
        <v>-5.7816509999999998E-4</v>
      </c>
      <c r="U3805">
        <v>-0.3561859</v>
      </c>
      <c r="V3805">
        <v>3.575416E-2</v>
      </c>
      <c r="W3805">
        <v>0.202459</v>
      </c>
      <c r="X3805">
        <v>0.9786378</v>
      </c>
      <c r="Y3805">
        <v>-0.11629109999999999</v>
      </c>
      <c r="Z3805">
        <v>-2.885198E-4</v>
      </c>
      <c r="AA3805">
        <v>0.99321510000000002</v>
      </c>
      <c r="AB3805">
        <v>52</v>
      </c>
      <c r="AC3805">
        <v>-191.28219999999999</v>
      </c>
      <c r="AD3805">
        <v>-3.6116999999999899E-2</v>
      </c>
      <c r="AE3805">
        <v>-22.218599999999999</v>
      </c>
      <c r="AF3805">
        <v>-22.458337101065801</v>
      </c>
      <c r="AG3805">
        <v>-3.6116999999999899E-2</v>
      </c>
      <c r="AH3805">
        <v>191.25419396337301</v>
      </c>
      <c r="AI3805">
        <v>90.010746066861401</v>
      </c>
      <c r="AJ3805">
        <v>96.697379748188098</v>
      </c>
      <c r="AK3805">
        <v>192.56828637748799</v>
      </c>
      <c r="AL3805">
        <v>78.319208087180897</v>
      </c>
      <c r="AM3805">
        <v>87.907651085736504</v>
      </c>
      <c r="AN3805">
        <v>0.99999997511357197</v>
      </c>
    </row>
    <row r="3806" spans="1:40" x14ac:dyDescent="0.25">
      <c r="A3806" t="str">
        <f>"20190303170614857"</f>
        <v>20190303170614857</v>
      </c>
      <c r="B3806" t="str">
        <f>"1551603974849148"</f>
        <v>1551603974849148</v>
      </c>
      <c r="C3806" t="s">
        <v>40</v>
      </c>
      <c r="D3806">
        <v>5.3530030000000002</v>
      </c>
      <c r="E3806">
        <v>0.44662590000000002</v>
      </c>
      <c r="F3806" t="s">
        <v>91</v>
      </c>
      <c r="G3806">
        <v>-472.97379999999998</v>
      </c>
      <c r="H3806">
        <v>1.2538560000000001</v>
      </c>
      <c r="I3806">
        <v>119.8177</v>
      </c>
      <c r="J3806">
        <v>-280.78969999999998</v>
      </c>
      <c r="K3806">
        <v>1.119758</v>
      </c>
      <c r="L3806">
        <v>142.0369</v>
      </c>
      <c r="M3806">
        <v>-0.99998779999999998</v>
      </c>
      <c r="N3806">
        <v>-4.8990600000000002E-3</v>
      </c>
      <c r="O3806">
        <v>8.4926360000000005E-4</v>
      </c>
      <c r="P3806">
        <v>-0.97935240000000001</v>
      </c>
      <c r="Q3806">
        <v>0.1986261</v>
      </c>
      <c r="R3806">
        <v>3.7645980000000002E-2</v>
      </c>
      <c r="S3806">
        <v>-3.0755919999999999</v>
      </c>
      <c r="T3806">
        <v>2.1407599999999998E-3</v>
      </c>
      <c r="U3806">
        <v>-0.35456850000000001</v>
      </c>
      <c r="V3806">
        <v>3.6587799999999997E-2</v>
      </c>
      <c r="W3806">
        <v>0.20346239999999999</v>
      </c>
      <c r="X3806">
        <v>0.97839889999999996</v>
      </c>
      <c r="Y3806">
        <v>-0.115369899999999</v>
      </c>
      <c r="Z3806">
        <v>-2.387813E-4</v>
      </c>
      <c r="AA3806">
        <v>0.99332259999999994</v>
      </c>
      <c r="AB3806">
        <v>52</v>
      </c>
      <c r="AC3806">
        <v>-192.1841</v>
      </c>
      <c r="AD3806">
        <v>0.134097999999999</v>
      </c>
      <c r="AE3806">
        <v>-22.219200000000001</v>
      </c>
      <c r="AF3806">
        <v>-22.382398126542</v>
      </c>
      <c r="AG3806">
        <v>0.134097999999999</v>
      </c>
      <c r="AH3806">
        <v>192.165068186269</v>
      </c>
      <c r="AI3806">
        <v>89.960285937183599</v>
      </c>
      <c r="AJ3806">
        <v>96.643582289148497</v>
      </c>
      <c r="AK3806">
        <v>193.46421674098301</v>
      </c>
      <c r="AL3806">
        <v>78.260495938243693</v>
      </c>
      <c r="AM3806">
        <v>87.858388687630196</v>
      </c>
      <c r="AN3806">
        <v>1.0000000114219001</v>
      </c>
    </row>
    <row r="3807" spans="1:40" x14ac:dyDescent="0.25">
      <c r="A3807" t="str">
        <f>"20190303170614879"</f>
        <v>20190303170614879</v>
      </c>
      <c r="B3807" t="str">
        <f>"1551603974868667"</f>
        <v>1551603974868667</v>
      </c>
      <c r="C3807" t="s">
        <v>40</v>
      </c>
      <c r="D3807">
        <v>5.3290769999999998</v>
      </c>
      <c r="E3807">
        <v>0.44664330000000002</v>
      </c>
      <c r="F3807" t="s">
        <v>46</v>
      </c>
      <c r="G3807">
        <v>0</v>
      </c>
      <c r="H3807">
        <v>0</v>
      </c>
      <c r="I3807">
        <v>0</v>
      </c>
      <c r="J3807">
        <v>-281.29090000000002</v>
      </c>
      <c r="K3807">
        <v>1.1197760000000001</v>
      </c>
      <c r="L3807">
        <v>142.03720000000001</v>
      </c>
      <c r="M3807">
        <v>-0.99998770000000003</v>
      </c>
      <c r="N3807">
        <v>-4.9352429999999997E-3</v>
      </c>
      <c r="O3807">
        <v>4.753774E-4</v>
      </c>
      <c r="P3807">
        <v>-0.97944439999999999</v>
      </c>
      <c r="Q3807">
        <v>0.1983432</v>
      </c>
      <c r="R3807">
        <v>3.6727259999999998E-2</v>
      </c>
      <c r="S3807">
        <v>-3.0760800000000001</v>
      </c>
      <c r="T3807">
        <v>3.6276580000000002E-3</v>
      </c>
      <c r="U3807">
        <v>-0.35221859999999999</v>
      </c>
      <c r="V3807">
        <v>3.6027469999999999E-2</v>
      </c>
      <c r="W3807">
        <v>0.20321629999999999</v>
      </c>
      <c r="X3807">
        <v>0.97847079999999997</v>
      </c>
      <c r="Y3807">
        <v>-0.11423170000000001</v>
      </c>
      <c r="Z3807">
        <v>-2.1276450000000001E-4</v>
      </c>
      <c r="AA3807">
        <v>0.99345410000000001</v>
      </c>
      <c r="AB3807">
        <v>53</v>
      </c>
      <c r="AC3807">
        <v>-3.0760800000000001</v>
      </c>
      <c r="AD3807">
        <v>3.6276580000000002E-3</v>
      </c>
      <c r="AE3807">
        <v>-0.35221859999999999</v>
      </c>
      <c r="AF3807">
        <v>-0.35368039141021201</v>
      </c>
      <c r="AG3807">
        <v>3.6276580000000002E-3</v>
      </c>
      <c r="AH3807">
        <v>3.0759079910762801</v>
      </c>
      <c r="AI3807">
        <v>89.932868976691793</v>
      </c>
      <c r="AJ3807">
        <v>96.559295069189602</v>
      </c>
      <c r="AK3807">
        <v>3.0961771507356599</v>
      </c>
      <c r="AL3807">
        <v>78.274896862712097</v>
      </c>
      <c r="AM3807">
        <v>87.891311732459201</v>
      </c>
      <c r="AN3807">
        <v>0.99999997481646496</v>
      </c>
    </row>
    <row r="3808" spans="1:40" x14ac:dyDescent="0.25">
      <c r="A3808" t="str">
        <f>"20190303170614900"</f>
        <v>20190303170614900</v>
      </c>
      <c r="B3808" t="str">
        <f>"1551603974889164"</f>
        <v>1551603974889164</v>
      </c>
      <c r="C3808" t="s">
        <v>40</v>
      </c>
      <c r="D3808">
        <v>5.3299519999999996</v>
      </c>
      <c r="E3808">
        <v>0.44661840000000003</v>
      </c>
      <c r="F3808" t="s">
        <v>46</v>
      </c>
      <c r="G3808">
        <v>0</v>
      </c>
      <c r="H3808">
        <v>0</v>
      </c>
      <c r="I3808">
        <v>0</v>
      </c>
      <c r="J3808">
        <v>-281.80009999999999</v>
      </c>
      <c r="K3808">
        <v>1.1197900000000001</v>
      </c>
      <c r="L3808">
        <v>142.03739999999999</v>
      </c>
      <c r="M3808">
        <v>-0.99998770000000003</v>
      </c>
      <c r="N3808">
        <v>-4.9725840000000004E-3</v>
      </c>
      <c r="O3808" s="1">
        <v>8.8840749999999995E-5</v>
      </c>
      <c r="P3808">
        <v>-0.9797747</v>
      </c>
      <c r="Q3808">
        <v>0.1968888</v>
      </c>
      <c r="R3808">
        <v>3.5730350000000001E-2</v>
      </c>
      <c r="S3808">
        <v>-3.0755620000000001</v>
      </c>
      <c r="T3808">
        <v>3.3884050000000001E-3</v>
      </c>
      <c r="U3808">
        <v>-0.35494999999999999</v>
      </c>
      <c r="V3808">
        <v>3.5402509999999998E-2</v>
      </c>
      <c r="W3808">
        <v>0.20180049999999999</v>
      </c>
      <c r="X3808">
        <v>0.97878659999999995</v>
      </c>
      <c r="Y3808">
        <v>-0.1147373</v>
      </c>
      <c r="Z3808">
        <v>-2.2268259999999999E-4</v>
      </c>
      <c r="AA3808">
        <v>0.9933959</v>
      </c>
      <c r="AB3808">
        <v>53</v>
      </c>
      <c r="AC3808">
        <v>-3.0755620000000001</v>
      </c>
      <c r="AD3808">
        <v>3.3884050000000001E-3</v>
      </c>
      <c r="AE3808">
        <v>-0.35494999999999999</v>
      </c>
      <c r="AF3808">
        <v>-0.35522281169707898</v>
      </c>
      <c r="AG3808">
        <v>3.3884050000000001E-3</v>
      </c>
      <c r="AH3808">
        <v>3.0755267694914301</v>
      </c>
      <c r="AI3808">
        <v>89.937292335896302</v>
      </c>
      <c r="AJ3808">
        <v>96.588459013393802</v>
      </c>
      <c r="AK3808">
        <v>3.09597474749016</v>
      </c>
      <c r="AL3808">
        <v>78.357732774935897</v>
      </c>
      <c r="AM3808">
        <v>87.9285264628421</v>
      </c>
      <c r="AN3808">
        <v>0.99999999392705496</v>
      </c>
    </row>
    <row r="3809" spans="1:40" x14ac:dyDescent="0.25">
      <c r="A3809" t="str">
        <f>"20190303170614923"</f>
        <v>20190303170614923</v>
      </c>
      <c r="B3809" t="str">
        <f>"1551603974918443"</f>
        <v>1551603974918443</v>
      </c>
      <c r="C3809" t="s">
        <v>40</v>
      </c>
      <c r="D3809">
        <v>5.3688840000000004</v>
      </c>
      <c r="E3809">
        <v>0.44659969999999999</v>
      </c>
      <c r="F3809" t="s">
        <v>91</v>
      </c>
      <c r="G3809">
        <v>-472.3501</v>
      </c>
      <c r="H3809">
        <v>1.092992</v>
      </c>
      <c r="I3809">
        <v>119.8177</v>
      </c>
      <c r="J3809">
        <v>-282.34030000000001</v>
      </c>
      <c r="K3809">
        <v>1.1197999999999999</v>
      </c>
      <c r="L3809">
        <v>142.03729999999999</v>
      </c>
      <c r="M3809">
        <v>-0.99998750000000003</v>
      </c>
      <c r="N3809">
        <v>-5.0138209999999999E-3</v>
      </c>
      <c r="O3809">
        <v>-3.3571199999999902E-4</v>
      </c>
      <c r="P3809">
        <v>-0.97988220000000004</v>
      </c>
      <c r="Q3809">
        <v>0.19653190000000001</v>
      </c>
      <c r="R3809">
        <v>3.4731499999999998E-2</v>
      </c>
      <c r="S3809">
        <v>-3.0751040000000001</v>
      </c>
      <c r="T3809">
        <v>-4.320145E-4</v>
      </c>
      <c r="U3809">
        <v>-0.3585815</v>
      </c>
      <c r="V3809">
        <v>3.4809479999999997E-2</v>
      </c>
      <c r="W3809">
        <v>0.2014862</v>
      </c>
      <c r="X3809">
        <v>0.97887270000000004</v>
      </c>
      <c r="Y3809">
        <v>-0.1154897</v>
      </c>
      <c r="Z3809">
        <v>-3.0021719999999999E-4</v>
      </c>
      <c r="AA3809">
        <v>0.99330870000000004</v>
      </c>
      <c r="AB3809">
        <v>53</v>
      </c>
      <c r="AC3809">
        <v>-190.00980000000001</v>
      </c>
      <c r="AD3809">
        <v>-2.6807999999999901E-2</v>
      </c>
      <c r="AE3809">
        <v>-22.2195999999999</v>
      </c>
      <c r="AF3809">
        <v>-22.155808949039301</v>
      </c>
      <c r="AG3809">
        <v>-2.6807999999999901E-2</v>
      </c>
      <c r="AH3809">
        <v>190.01724504022201</v>
      </c>
      <c r="AI3809">
        <v>90.008029005039802</v>
      </c>
      <c r="AJ3809">
        <v>96.650596551731496</v>
      </c>
      <c r="AK3809">
        <v>191.30455823511099</v>
      </c>
      <c r="AL3809">
        <v>78.376119463885999</v>
      </c>
      <c r="AM3809">
        <v>87.963375393584499</v>
      </c>
      <c r="AN3809">
        <v>1.00000007574679</v>
      </c>
    </row>
    <row r="3810" spans="1:40" x14ac:dyDescent="0.25">
      <c r="A3810" t="str">
        <f>"20190303170614947"</f>
        <v>20190303170614947</v>
      </c>
      <c r="B3810" t="str">
        <f>"1551603974938939"</f>
        <v>1551603974938939</v>
      </c>
      <c r="C3810" t="s">
        <v>40</v>
      </c>
      <c r="D3810">
        <v>5.3199439999999996</v>
      </c>
      <c r="E3810">
        <v>0.4574492</v>
      </c>
      <c r="F3810" t="s">
        <v>91</v>
      </c>
      <c r="G3810">
        <v>-471.23349999999999</v>
      </c>
      <c r="H3810">
        <v>1.0347299999999999</v>
      </c>
      <c r="I3810">
        <v>119.8177</v>
      </c>
      <c r="J3810">
        <v>-282.89409999999998</v>
      </c>
      <c r="K3810">
        <v>1.1198330000000001</v>
      </c>
      <c r="L3810">
        <v>142.03700000000001</v>
      </c>
      <c r="M3810">
        <v>-0.99998699999999996</v>
      </c>
      <c r="N3810">
        <v>-5.0565690000000003E-3</v>
      </c>
      <c r="O3810">
        <v>-8.0349070000000004E-4</v>
      </c>
      <c r="P3810">
        <v>-0.97964019999999996</v>
      </c>
      <c r="Q3810">
        <v>0.1977681</v>
      </c>
      <c r="R3810">
        <v>3.4543369999999997E-2</v>
      </c>
      <c r="S3810">
        <v>-3.0747070000000001</v>
      </c>
      <c r="T3810">
        <v>-1.384258E-3</v>
      </c>
      <c r="U3810">
        <v>-0.36167909999999998</v>
      </c>
      <c r="V3810">
        <v>3.5063539999999997E-2</v>
      </c>
      <c r="W3810">
        <v>0.20276569999999999</v>
      </c>
      <c r="X3810">
        <v>0.97859929999999995</v>
      </c>
      <c r="Y3810">
        <v>-0.1160268</v>
      </c>
      <c r="Z3810">
        <v>-3.2407539999999998E-4</v>
      </c>
      <c r="AA3810">
        <v>0.99324599999999996</v>
      </c>
      <c r="AB3810">
        <v>53</v>
      </c>
      <c r="AC3810">
        <v>-188.33940000000001</v>
      </c>
      <c r="AD3810">
        <v>-8.5103000000000095E-2</v>
      </c>
      <c r="AE3810">
        <v>-22.2193</v>
      </c>
      <c r="AF3810">
        <v>-22.067957508737599</v>
      </c>
      <c r="AG3810">
        <v>-8.5103000000000095E-2</v>
      </c>
      <c r="AH3810">
        <v>188.35715449965099</v>
      </c>
      <c r="AI3810">
        <v>90.025711354175499</v>
      </c>
      <c r="AJ3810">
        <v>96.682319802600205</v>
      </c>
      <c r="AK3810">
        <v>189.64551047238999</v>
      </c>
      <c r="AL3810">
        <v>78.301263400809106</v>
      </c>
      <c r="AM3810">
        <v>87.947950918419707</v>
      </c>
      <c r="AN3810">
        <v>0.99999998544715496</v>
      </c>
    </row>
    <row r="3811" spans="1:40" x14ac:dyDescent="0.25">
      <c r="A3811" t="str">
        <f>"20190303170614969"</f>
        <v>20190303170614969</v>
      </c>
      <c r="B3811" t="str">
        <f>"1551603974958459"</f>
        <v>1551603974958459</v>
      </c>
      <c r="C3811" t="s">
        <v>40</v>
      </c>
      <c r="D3811">
        <v>5.3353449999999896</v>
      </c>
      <c r="E3811">
        <v>0.45887830000000002</v>
      </c>
      <c r="F3811" t="s">
        <v>48</v>
      </c>
      <c r="G3811">
        <v>-460.71550000000002</v>
      </c>
      <c r="H3811">
        <v>0.75440399999999996</v>
      </c>
      <c r="I3811">
        <v>126.0423</v>
      </c>
      <c r="J3811">
        <v>-283.42930000000001</v>
      </c>
      <c r="K3811">
        <v>1.119866</v>
      </c>
      <c r="L3811">
        <v>142.03639999999999</v>
      </c>
      <c r="M3811">
        <v>-0.99998629999999999</v>
      </c>
      <c r="N3811">
        <v>-5.0967549999999997E-3</v>
      </c>
      <c r="O3811">
        <v>-1.2926490000000001E-3</v>
      </c>
      <c r="P3811">
        <v>-0.97944260000000005</v>
      </c>
      <c r="Q3811">
        <v>0.19879169999999999</v>
      </c>
      <c r="R3811">
        <v>3.4270450000000001E-2</v>
      </c>
      <c r="S3811">
        <v>-3.0733640000000002</v>
      </c>
      <c r="T3811">
        <v>-6.3153509999999899E-3</v>
      </c>
      <c r="U3811">
        <v>-0.27644350000000001</v>
      </c>
      <c r="V3811">
        <v>3.5250690000000001E-2</v>
      </c>
      <c r="W3811">
        <v>0.2038307</v>
      </c>
      <c r="X3811">
        <v>0.97837130000000005</v>
      </c>
      <c r="Y3811">
        <v>-8.8298310000000005E-2</v>
      </c>
      <c r="Z3811">
        <v>-3.1993499999999998E-4</v>
      </c>
      <c r="AA3811">
        <v>0.99609400000000003</v>
      </c>
      <c r="AB3811">
        <v>53</v>
      </c>
      <c r="AC3811">
        <v>-177.28620000000001</v>
      </c>
      <c r="AD3811">
        <v>-0.36546200000000001</v>
      </c>
      <c r="AE3811">
        <v>-15.9940999999999</v>
      </c>
      <c r="AF3811">
        <v>-15.7648484083431</v>
      </c>
      <c r="AG3811">
        <v>-0.36546200000000001</v>
      </c>
      <c r="AH3811">
        <v>177.30597952876201</v>
      </c>
      <c r="AI3811">
        <v>90.117633480073195</v>
      </c>
      <c r="AJ3811">
        <v>95.080991910057804</v>
      </c>
      <c r="AK3811">
        <v>178.00582682728501</v>
      </c>
      <c r="AL3811">
        <v>78.238941894927706</v>
      </c>
      <c r="AM3811">
        <v>87.9365272965386</v>
      </c>
      <c r="AN3811">
        <v>0.99999998303582704</v>
      </c>
    </row>
    <row r="3812" spans="1:40" x14ac:dyDescent="0.25">
      <c r="A3812" t="str">
        <f>"20190303170614990"</f>
        <v>20190303170614990</v>
      </c>
      <c r="B3812" t="str">
        <f>"1551603974978956"</f>
        <v>1551603974978956</v>
      </c>
      <c r="C3812" t="s">
        <v>40</v>
      </c>
      <c r="D3812">
        <v>5.3119059999999996</v>
      </c>
      <c r="E3812">
        <v>0.45930149999999997</v>
      </c>
      <c r="F3812" t="s">
        <v>51</v>
      </c>
      <c r="G3812">
        <v>-1256.0219999999999</v>
      </c>
      <c r="H3812">
        <v>-0.1</v>
      </c>
      <c r="I3812">
        <v>57.679789999999997</v>
      </c>
      <c r="J3812">
        <v>-283.9323</v>
      </c>
      <c r="K3812">
        <v>1.1199030000000001</v>
      </c>
      <c r="L3812">
        <v>142.03559999999999</v>
      </c>
      <c r="M3812">
        <v>-0.99998529999999997</v>
      </c>
      <c r="N3812">
        <v>-5.1343070000000003E-3</v>
      </c>
      <c r="O3812">
        <v>-1.786588E-3</v>
      </c>
      <c r="P3812">
        <v>-0.97939770000000004</v>
      </c>
      <c r="Q3812">
        <v>0.1990576</v>
      </c>
      <c r="R3812">
        <v>3.4002820000000003E-2</v>
      </c>
      <c r="S3812">
        <v>-3.0730900000000001</v>
      </c>
      <c r="T3812">
        <v>-3.8543940000000001E-3</v>
      </c>
      <c r="U3812">
        <v>-0.26654050000000001</v>
      </c>
      <c r="V3812">
        <v>3.5447970000000002E-2</v>
      </c>
      <c r="W3812">
        <v>0.2041364</v>
      </c>
      <c r="X3812">
        <v>0.97830050000000002</v>
      </c>
      <c r="Y3812">
        <v>-8.4628919999999996E-2</v>
      </c>
      <c r="Z3812">
        <v>-2.7755679999999999E-4</v>
      </c>
      <c r="AA3812">
        <v>0.99641250000000003</v>
      </c>
      <c r="AB3812">
        <v>53</v>
      </c>
      <c r="AC3812">
        <v>-972.08969999999999</v>
      </c>
      <c r="AD3812">
        <v>-1.219903</v>
      </c>
      <c r="AE3812">
        <v>-84.355809999999906</v>
      </c>
      <c r="AF3812">
        <v>-82.618799678163498</v>
      </c>
      <c r="AG3812">
        <v>-1.219903</v>
      </c>
      <c r="AH3812">
        <v>972.23733992626796</v>
      </c>
      <c r="AI3812">
        <v>90.071632971339099</v>
      </c>
      <c r="AJ3812">
        <v>94.857212329384893</v>
      </c>
      <c r="AK3812">
        <v>975.74217873908401</v>
      </c>
      <c r="AL3812">
        <v>78.221051173939699</v>
      </c>
      <c r="AM3812">
        <v>87.924839128860498</v>
      </c>
      <c r="AN3812">
        <v>1.00000004834116</v>
      </c>
    </row>
    <row r="3813" spans="1:40" x14ac:dyDescent="0.25">
      <c r="A3813" t="str">
        <f>"20190303170615013"</f>
        <v>20190303170615013</v>
      </c>
      <c r="B3813" t="str">
        <f>"1551603974998475"</f>
        <v>1551603974998475</v>
      </c>
      <c r="C3813" t="s">
        <v>40</v>
      </c>
      <c r="D3813">
        <v>5.3034739999999996</v>
      </c>
      <c r="E3813">
        <v>0.45967190000000002</v>
      </c>
      <c r="F3813" t="s">
        <v>46</v>
      </c>
      <c r="G3813">
        <v>0</v>
      </c>
      <c r="H3813">
        <v>0</v>
      </c>
      <c r="I3813">
        <v>0</v>
      </c>
      <c r="J3813">
        <v>-284.4742</v>
      </c>
      <c r="K3813">
        <v>1.1199479999999999</v>
      </c>
      <c r="L3813">
        <v>142.03450000000001</v>
      </c>
      <c r="M3813">
        <v>-0.99998379999999998</v>
      </c>
      <c r="N3813">
        <v>-5.1773490000000004E-3</v>
      </c>
      <c r="O3813">
        <v>-2.3660980000000001E-3</v>
      </c>
      <c r="P3813">
        <v>-0.97953590000000001</v>
      </c>
      <c r="Q3813">
        <v>0.19841980000000001</v>
      </c>
      <c r="R3813">
        <v>3.3750950000000002E-2</v>
      </c>
      <c r="S3813">
        <v>-3.0729060000000001</v>
      </c>
      <c r="T3813">
        <v>-3.1166079999999999E-3</v>
      </c>
      <c r="U3813">
        <v>-0.26441959999999998</v>
      </c>
      <c r="V3813">
        <v>3.5742629999999997E-2</v>
      </c>
      <c r="W3813">
        <v>0.2035459</v>
      </c>
      <c r="X3813">
        <v>0.97841270000000002</v>
      </c>
      <c r="Y3813">
        <v>-8.3373959999999997E-2</v>
      </c>
      <c r="Z3813">
        <v>-2.6826239999999999E-4</v>
      </c>
      <c r="AA3813">
        <v>0.99651829999999997</v>
      </c>
      <c r="AB3813">
        <v>53</v>
      </c>
      <c r="AC3813">
        <v>-3.0729060000000001</v>
      </c>
      <c r="AD3813">
        <v>-3.1166079999999999E-3</v>
      </c>
      <c r="AE3813">
        <v>-0.26441959999999998</v>
      </c>
      <c r="AF3813">
        <v>-0.25714770306724599</v>
      </c>
      <c r="AG3813">
        <v>-3.1166079999999999E-3</v>
      </c>
      <c r="AH3813">
        <v>3.07351991079386</v>
      </c>
      <c r="AI3813">
        <v>90.0578967140966</v>
      </c>
      <c r="AJ3813">
        <v>94.782543941600693</v>
      </c>
      <c r="AK3813">
        <v>3.0842599268681101</v>
      </c>
      <c r="AL3813">
        <v>78.255608639629699</v>
      </c>
      <c r="AM3813">
        <v>87.907844430159997</v>
      </c>
      <c r="AN3813">
        <v>0.99999994026370598</v>
      </c>
    </row>
    <row r="3814" spans="1:40" x14ac:dyDescent="0.25">
      <c r="A3814" t="str">
        <f>"20190303170615035"</f>
        <v>20190303170615035</v>
      </c>
      <c r="B3814" t="str">
        <f>"1551603975028732"</f>
        <v>1551603975028732</v>
      </c>
      <c r="C3814" t="s">
        <v>40</v>
      </c>
      <c r="D3814">
        <v>5.2811159999999999</v>
      </c>
      <c r="E3814">
        <v>0.46006130000000001</v>
      </c>
      <c r="F3814" t="s">
        <v>51</v>
      </c>
      <c r="G3814">
        <v>-855.48350000000005</v>
      </c>
      <c r="H3814">
        <v>-0.1</v>
      </c>
      <c r="I3814">
        <v>93.227860000000007</v>
      </c>
      <c r="J3814">
        <v>-285.02140000000003</v>
      </c>
      <c r="K3814">
        <v>1.1200019999999999</v>
      </c>
      <c r="L3814">
        <v>142.03290000000001</v>
      </c>
      <c r="M3814">
        <v>-0.99998180000000003</v>
      </c>
      <c r="N3814">
        <v>-5.2247819999999999E-3</v>
      </c>
      <c r="O3814">
        <v>-3.009963E-3</v>
      </c>
      <c r="P3814">
        <v>-0.97958670000000003</v>
      </c>
      <c r="Q3814">
        <v>0.19827410000000001</v>
      </c>
      <c r="R3814">
        <v>3.3127579999999997E-2</v>
      </c>
      <c r="S3814">
        <v>-3.073029</v>
      </c>
      <c r="T3814">
        <v>-6.5654519999999899E-3</v>
      </c>
      <c r="U3814">
        <v>-0.26266479999999998</v>
      </c>
      <c r="V3814">
        <v>3.5723339999999999E-2</v>
      </c>
      <c r="W3814">
        <v>0.20345160000000001</v>
      </c>
      <c r="X3814">
        <v>0.97843309999999994</v>
      </c>
      <c r="Y3814">
        <v>-8.2163630000000001E-2</v>
      </c>
      <c r="Z3814">
        <v>-3.1192660000000001E-4</v>
      </c>
      <c r="AA3814">
        <v>0.99661880000000003</v>
      </c>
      <c r="AB3814">
        <v>54</v>
      </c>
      <c r="AC3814">
        <v>-570.46209999999996</v>
      </c>
      <c r="AD3814">
        <v>-1.220002</v>
      </c>
      <c r="AE3814">
        <v>-48.805039999999998</v>
      </c>
      <c r="AF3814">
        <v>-47.087511823889798</v>
      </c>
      <c r="AG3814">
        <v>-1.220002</v>
      </c>
      <c r="AH3814">
        <v>570.60382833149697</v>
      </c>
      <c r="AI3814">
        <v>90.122088313140097</v>
      </c>
      <c r="AJ3814">
        <v>94.717487450084306</v>
      </c>
      <c r="AK3814">
        <v>572.54471535523396</v>
      </c>
      <c r="AL3814">
        <v>78.261128064409405</v>
      </c>
      <c r="AM3814">
        <v>87.909016105037693</v>
      </c>
      <c r="AN3814">
        <v>1.0000000208694599</v>
      </c>
    </row>
    <row r="3815" spans="1:40" x14ac:dyDescent="0.25">
      <c r="A3815" t="str">
        <f>"20190303170615057"</f>
        <v>20190303170615057</v>
      </c>
      <c r="B3815" t="str">
        <f>"1551603975048254"</f>
        <v>1551603975048254</v>
      </c>
      <c r="C3815" t="s">
        <v>40</v>
      </c>
      <c r="D3815">
        <v>5.2719279999999999</v>
      </c>
      <c r="E3815">
        <v>0.4600284</v>
      </c>
      <c r="F3815" t="s">
        <v>51</v>
      </c>
      <c r="G3815">
        <v>-699.41459999999995</v>
      </c>
      <c r="H3815">
        <v>-0.1</v>
      </c>
      <c r="I3815">
        <v>106.7406</v>
      </c>
      <c r="J3815">
        <v>-285.54829999999998</v>
      </c>
      <c r="K3815">
        <v>1.1200639999999999</v>
      </c>
      <c r="L3815">
        <v>142.03110000000001</v>
      </c>
      <c r="M3815">
        <v>-0.99997939999999996</v>
      </c>
      <c r="N3815">
        <v>-5.2754809999999899E-3</v>
      </c>
      <c r="O3815">
        <v>-3.6938439999999999E-3</v>
      </c>
      <c r="P3815">
        <v>-0.97965349999999995</v>
      </c>
      <c r="Q3815">
        <v>0.19798969999999999</v>
      </c>
      <c r="R3815">
        <v>3.285822E-2</v>
      </c>
      <c r="S3815">
        <v>-3.0732119999999998</v>
      </c>
      <c r="T3815">
        <v>-9.0477470000000001E-3</v>
      </c>
      <c r="U3815">
        <v>-0.26173400000000002</v>
      </c>
      <c r="V3815">
        <v>3.6094649999999999E-2</v>
      </c>
      <c r="W3815">
        <v>0.2032224</v>
      </c>
      <c r="X3815">
        <v>0.97846710000000003</v>
      </c>
      <c r="Y3815">
        <v>-8.1176960000000006E-2</v>
      </c>
      <c r="Z3815">
        <v>-3.4239029999999997E-4</v>
      </c>
      <c r="AA3815">
        <v>0.99669960000000002</v>
      </c>
      <c r="AB3815">
        <v>54</v>
      </c>
      <c r="AC3815">
        <v>-413.86630000000002</v>
      </c>
      <c r="AD3815">
        <v>-1.220064</v>
      </c>
      <c r="AE3815">
        <v>-35.290500000000002</v>
      </c>
      <c r="AF3815">
        <v>-33.761189336293</v>
      </c>
      <c r="AG3815">
        <v>-1.220064</v>
      </c>
      <c r="AH3815">
        <v>413.99026399993897</v>
      </c>
      <c r="AI3815">
        <v>90.168296276926</v>
      </c>
      <c r="AJ3815">
        <v>94.662192967775297</v>
      </c>
      <c r="AK3815">
        <v>415.36639867507802</v>
      </c>
      <c r="AL3815">
        <v>78.274540408093301</v>
      </c>
      <c r="AM3815">
        <v>87.887375264363797</v>
      </c>
      <c r="AN3815">
        <v>1.00000001670139</v>
      </c>
    </row>
    <row r="3816" spans="1:40" x14ac:dyDescent="0.25">
      <c r="A3816" t="str">
        <f>"20190303170615079"</f>
        <v>20190303170615079</v>
      </c>
      <c r="B3816" t="str">
        <f>"1551603975068747"</f>
        <v>1551603975068747</v>
      </c>
      <c r="C3816" t="s">
        <v>40</v>
      </c>
      <c r="D3816">
        <v>5.2935489999999996</v>
      </c>
      <c r="E3816">
        <v>0.4600725</v>
      </c>
      <c r="F3816" t="s">
        <v>51</v>
      </c>
      <c r="G3816">
        <v>-693.92610000000002</v>
      </c>
      <c r="H3816">
        <v>-0.1</v>
      </c>
      <c r="I3816">
        <v>107.1263</v>
      </c>
      <c r="J3816">
        <v>-286.0702</v>
      </c>
      <c r="K3816">
        <v>1.120142</v>
      </c>
      <c r="L3816">
        <v>142.02889999999999</v>
      </c>
      <c r="M3816">
        <v>-0.99997610000000003</v>
      </c>
      <c r="N3816">
        <v>-5.3324260000000004E-3</v>
      </c>
      <c r="O3816">
        <v>-4.4340880000000001E-3</v>
      </c>
      <c r="P3816">
        <v>-0.97957609999999995</v>
      </c>
      <c r="Q3816">
        <v>0.19849220000000001</v>
      </c>
      <c r="R3816">
        <v>3.2123829999999999E-2</v>
      </c>
      <c r="S3816">
        <v>-3.072937</v>
      </c>
      <c r="T3816">
        <v>-9.1806649999999993E-3</v>
      </c>
      <c r="U3816">
        <v>-0.26264949999999998</v>
      </c>
      <c r="V3816">
        <v>3.6051149999999997E-2</v>
      </c>
      <c r="W3816">
        <v>0.2037863</v>
      </c>
      <c r="X3816">
        <v>0.97835139999999998</v>
      </c>
      <c r="Y3816">
        <v>-8.0741460000000001E-2</v>
      </c>
      <c r="Z3816">
        <v>-3.4644020000000001E-4</v>
      </c>
      <c r="AA3816">
        <v>0.99673500000000004</v>
      </c>
      <c r="AB3816">
        <v>54</v>
      </c>
      <c r="AC3816">
        <v>-407.85590000000002</v>
      </c>
      <c r="AD3816">
        <v>-1.2201420000000001</v>
      </c>
      <c r="AE3816">
        <v>-34.9025999999999</v>
      </c>
      <c r="AF3816">
        <v>-33.093468457609802</v>
      </c>
      <c r="AG3816">
        <v>-1.2201420000000001</v>
      </c>
      <c r="AH3816">
        <v>408.00302884132498</v>
      </c>
      <c r="AI3816">
        <v>90.170782910228098</v>
      </c>
      <c r="AJ3816">
        <v>94.637157356372001</v>
      </c>
      <c r="AK3816">
        <v>409.34476660237101</v>
      </c>
      <c r="AL3816">
        <v>78.241540589904901</v>
      </c>
      <c r="AM3816">
        <v>87.889669709419906</v>
      </c>
      <c r="AN3816">
        <v>1.00000000168298</v>
      </c>
    </row>
    <row r="3817" spans="1:40" x14ac:dyDescent="0.25">
      <c r="A3817" t="str">
        <f>"20190303170615101"</f>
        <v>20190303170615101</v>
      </c>
      <c r="B3817" t="str">
        <f>"1551603975088267"</f>
        <v>1551603975088267</v>
      </c>
      <c r="C3817" t="s">
        <v>40</v>
      </c>
      <c r="D3817">
        <v>5.2724390000000003</v>
      </c>
      <c r="E3817">
        <v>0.46018619999999999</v>
      </c>
      <c r="F3817" t="s">
        <v>51</v>
      </c>
      <c r="G3817">
        <v>-765.0367</v>
      </c>
      <c r="H3817">
        <v>-0.1</v>
      </c>
      <c r="I3817">
        <v>100.8652</v>
      </c>
      <c r="J3817">
        <v>-286.61090000000002</v>
      </c>
      <c r="K3817">
        <v>1.1202219999999901</v>
      </c>
      <c r="L3817">
        <v>142.02629999999999</v>
      </c>
      <c r="M3817">
        <v>-0.99997159999999996</v>
      </c>
      <c r="N3817">
        <v>-5.3982880000000002E-3</v>
      </c>
      <c r="O3817">
        <v>-5.2613399999999998E-3</v>
      </c>
      <c r="P3817">
        <v>-0.97944439999999999</v>
      </c>
      <c r="Q3817">
        <v>0.19928860000000001</v>
      </c>
      <c r="R3817">
        <v>3.1189649999999999E-2</v>
      </c>
      <c r="S3817">
        <v>-3.072784</v>
      </c>
      <c r="T3817">
        <v>-7.8277590000000001E-3</v>
      </c>
      <c r="U3817">
        <v>-0.26408389999999998</v>
      </c>
      <c r="V3817">
        <v>3.5889070000000002E-2</v>
      </c>
      <c r="W3817">
        <v>0.20465220000000001</v>
      </c>
      <c r="X3817">
        <v>0.97817659999999995</v>
      </c>
      <c r="Y3817">
        <v>-8.0383140000000006E-2</v>
      </c>
      <c r="Z3817">
        <v>-3.3453939999999999E-4</v>
      </c>
      <c r="AA3817">
        <v>0.99676399999999998</v>
      </c>
      <c r="AB3817">
        <v>54</v>
      </c>
      <c r="AC3817">
        <v>-478.42579999999998</v>
      </c>
      <c r="AD3817">
        <v>-1.2202219999999999</v>
      </c>
      <c r="AE3817">
        <v>-41.161099999999898</v>
      </c>
      <c r="AF3817">
        <v>-38.643083301824497</v>
      </c>
      <c r="AG3817">
        <v>-1.2202219999999999</v>
      </c>
      <c r="AH3817">
        <v>478.63265299931402</v>
      </c>
      <c r="AI3817">
        <v>90.145595305670895</v>
      </c>
      <c r="AJ3817">
        <v>94.615843805723998</v>
      </c>
      <c r="AK3817">
        <v>480.19162148663401</v>
      </c>
      <c r="AL3817">
        <v>78.190860124340503</v>
      </c>
      <c r="AM3817">
        <v>87.898773798935807</v>
      </c>
      <c r="AN3817">
        <v>1.0000000045489299</v>
      </c>
    </row>
    <row r="3818" spans="1:40" x14ac:dyDescent="0.25">
      <c r="A3818" t="str">
        <f>"20190303170615124"</f>
        <v>20190303170615124</v>
      </c>
      <c r="B3818" t="str">
        <f>"1551603975118524"</f>
        <v>1551603975118524</v>
      </c>
      <c r="C3818" t="s">
        <v>40</v>
      </c>
      <c r="D3818">
        <v>5.2895750000000001</v>
      </c>
      <c r="E3818">
        <v>0.46013159999999997</v>
      </c>
      <c r="F3818" t="s">
        <v>51</v>
      </c>
      <c r="G3818">
        <v>-891.63710000000003</v>
      </c>
      <c r="H3818">
        <v>-0.1</v>
      </c>
      <c r="I3818">
        <v>89.685040000000001</v>
      </c>
      <c r="J3818">
        <v>-287.15530000000001</v>
      </c>
      <c r="K3818">
        <v>1.120298</v>
      </c>
      <c r="L3818">
        <v>142.0231</v>
      </c>
      <c r="M3818">
        <v>-0.99996609999999997</v>
      </c>
      <c r="N3818">
        <v>-5.4704289999999997E-3</v>
      </c>
      <c r="O3818">
        <v>-6.1476439999999999E-3</v>
      </c>
      <c r="P3818">
        <v>-0.979522</v>
      </c>
      <c r="Q3818">
        <v>0.19920959999999999</v>
      </c>
      <c r="R3818">
        <v>2.9193090000000001E-2</v>
      </c>
      <c r="S3818">
        <v>-3.0727229999999999</v>
      </c>
      <c r="T3818">
        <v>-6.1970949999999997E-3</v>
      </c>
      <c r="U3818">
        <v>-0.26582339999999999</v>
      </c>
      <c r="V3818">
        <v>3.4725909999999999E-2</v>
      </c>
      <c r="W3818">
        <v>0.20464760000000001</v>
      </c>
      <c r="X3818">
        <v>0.97821959999999997</v>
      </c>
      <c r="Y3818">
        <v>-8.0061670000000001E-2</v>
      </c>
      <c r="Z3818">
        <v>-3.2117620000000002E-4</v>
      </c>
      <c r="AA3818">
        <v>0.99678990000000001</v>
      </c>
      <c r="AB3818">
        <v>54</v>
      </c>
      <c r="AC3818">
        <v>-604.48180000000002</v>
      </c>
      <c r="AD3818">
        <v>-1.2202979999999899</v>
      </c>
      <c r="AE3818">
        <v>-52.338059999999999</v>
      </c>
      <c r="AF3818">
        <v>-48.620679604838102</v>
      </c>
      <c r="AG3818">
        <v>-1.2202979999999899</v>
      </c>
      <c r="AH3818">
        <v>604.78969099532401</v>
      </c>
      <c r="AI3818">
        <v>90.115235068003301</v>
      </c>
      <c r="AJ3818">
        <v>94.596277850220204</v>
      </c>
      <c r="AK3818">
        <v>606.74214452818796</v>
      </c>
      <c r="AL3818">
        <v>78.191130017049105</v>
      </c>
      <c r="AM3818">
        <v>87.966905448671795</v>
      </c>
      <c r="AN3818">
        <v>1.00000005741762</v>
      </c>
    </row>
    <row r="3819" spans="1:40" x14ac:dyDescent="0.25">
      <c r="A3819" t="str">
        <f>"20190303170615148"</f>
        <v>20190303170615148</v>
      </c>
      <c r="B3819" t="str">
        <f>"1551603975139019"</f>
        <v>1551603975139019</v>
      </c>
      <c r="C3819" t="s">
        <v>40</v>
      </c>
      <c r="D3819">
        <v>5.2630559999999997</v>
      </c>
      <c r="E3819">
        <v>0.4601962</v>
      </c>
      <c r="F3819" t="s">
        <v>51</v>
      </c>
      <c r="G3819">
        <v>-795.97559999999999</v>
      </c>
      <c r="H3819">
        <v>-0.1</v>
      </c>
      <c r="I3819">
        <v>96.887119999999996</v>
      </c>
      <c r="J3819">
        <v>-287.74939999999998</v>
      </c>
      <c r="K3819">
        <v>1.1203700000000001</v>
      </c>
      <c r="L3819">
        <v>142.01910000000001</v>
      </c>
      <c r="M3819">
        <v>-0.99995889999999998</v>
      </c>
      <c r="N3819">
        <v>-5.5540700000000004E-3</v>
      </c>
      <c r="O3819">
        <v>-7.1649230000000001E-3</v>
      </c>
      <c r="P3819">
        <v>-0.97960590000000003</v>
      </c>
      <c r="Q3819">
        <v>0.19907040000000001</v>
      </c>
      <c r="R3819">
        <v>2.7268850000000001E-2</v>
      </c>
      <c r="S3819">
        <v>-3.072327</v>
      </c>
      <c r="T3819">
        <v>-7.3683259999999997E-3</v>
      </c>
      <c r="U3819">
        <v>-0.27253719999999998</v>
      </c>
      <c r="V3819">
        <v>3.3763319999999999E-2</v>
      </c>
      <c r="W3819">
        <v>0.2045939</v>
      </c>
      <c r="X3819">
        <v>0.97826449999999998</v>
      </c>
      <c r="Y3819">
        <v>-8.1220139999999996E-2</v>
      </c>
      <c r="Z3819">
        <v>-3.4577160000000002E-4</v>
      </c>
      <c r="AA3819">
        <v>0.99669609999999997</v>
      </c>
      <c r="AB3819">
        <v>54</v>
      </c>
      <c r="AC3819">
        <v>-508.22620000000001</v>
      </c>
      <c r="AD3819">
        <v>-1.22037</v>
      </c>
      <c r="AE3819">
        <v>-45.131979999999999</v>
      </c>
      <c r="AF3819">
        <v>-41.489126365852499</v>
      </c>
      <c r="AG3819">
        <v>-1.22037</v>
      </c>
      <c r="AH3819">
        <v>508.53361717613501</v>
      </c>
      <c r="AI3819">
        <v>90.137041802928593</v>
      </c>
      <c r="AJ3819">
        <v>94.664192139728399</v>
      </c>
      <c r="AK3819">
        <v>510.22473157206201</v>
      </c>
      <c r="AL3819">
        <v>78.194272965696598</v>
      </c>
      <c r="AM3819">
        <v>88.023307423059904</v>
      </c>
      <c r="AN3819">
        <v>1.00000002882744</v>
      </c>
    </row>
    <row r="3820" spans="1:40" x14ac:dyDescent="0.25">
      <c r="A3820" t="str">
        <f>"20190303170615170"</f>
        <v>20190303170615170</v>
      </c>
      <c r="B3820" t="str">
        <f>"1551603975158539"</f>
        <v>1551603975158539</v>
      </c>
      <c r="C3820" t="s">
        <v>40</v>
      </c>
      <c r="D3820">
        <v>5.2619800000000003</v>
      </c>
      <c r="E3820">
        <v>0.46027119999999999</v>
      </c>
      <c r="F3820" t="s">
        <v>51</v>
      </c>
      <c r="G3820">
        <v>-739.577</v>
      </c>
      <c r="H3820">
        <v>-0.1</v>
      </c>
      <c r="I3820">
        <v>101.1387</v>
      </c>
      <c r="J3820">
        <v>-288.26859999999999</v>
      </c>
      <c r="K3820">
        <v>1.1204270000000001</v>
      </c>
      <c r="L3820">
        <v>142.01509999999999</v>
      </c>
      <c r="M3820">
        <v>-0.99995149999999999</v>
      </c>
      <c r="N3820">
        <v>-5.6279609999999999E-3</v>
      </c>
      <c r="O3820">
        <v>-8.082868E-3</v>
      </c>
      <c r="P3820">
        <v>-0.9797015</v>
      </c>
      <c r="Q3820">
        <v>0.1987795</v>
      </c>
      <c r="R3820">
        <v>2.591597E-2</v>
      </c>
      <c r="S3820">
        <v>-3.0718990000000002</v>
      </c>
      <c r="T3820">
        <v>-8.2970860000000004E-3</v>
      </c>
      <c r="U3820">
        <v>-0.27793879999999999</v>
      </c>
      <c r="V3820">
        <v>3.3282520000000003E-2</v>
      </c>
      <c r="W3820">
        <v>0.20437959999999999</v>
      </c>
      <c r="X3820">
        <v>0.97832569999999996</v>
      </c>
      <c r="Y3820">
        <v>-8.2055829999999996E-2</v>
      </c>
      <c r="Z3820">
        <v>-3.6558359999999999E-4</v>
      </c>
      <c r="AA3820">
        <v>0.99662770000000001</v>
      </c>
      <c r="AB3820">
        <v>54</v>
      </c>
      <c r="AC3820">
        <v>-451.30840000000001</v>
      </c>
      <c r="AD3820">
        <v>-1.2204269999999999</v>
      </c>
      <c r="AE3820">
        <v>-40.876399999999897</v>
      </c>
      <c r="AF3820">
        <v>-37.226870658206302</v>
      </c>
      <c r="AG3820">
        <v>-1.2204269999999999</v>
      </c>
      <c r="AH3820">
        <v>451.62078477058799</v>
      </c>
      <c r="AI3820">
        <v>90.154308207096193</v>
      </c>
      <c r="AJ3820">
        <v>94.712208558318906</v>
      </c>
      <c r="AK3820">
        <v>453.15412673600002</v>
      </c>
      <c r="AL3820">
        <v>78.206815694740598</v>
      </c>
      <c r="AM3820">
        <v>88.051556073835698</v>
      </c>
      <c r="AN3820">
        <v>0.99999996115709899</v>
      </c>
    </row>
    <row r="3821" spans="1:40" x14ac:dyDescent="0.25">
      <c r="A3821" t="str">
        <f>"20190303170615190"</f>
        <v>20190303170615190</v>
      </c>
      <c r="B3821" t="str">
        <f>"1551603975179035"</f>
        <v>1551603975179035</v>
      </c>
      <c r="C3821" t="s">
        <v>40</v>
      </c>
      <c r="D3821">
        <v>5.2763359999999997</v>
      </c>
      <c r="E3821">
        <v>0.4603429</v>
      </c>
      <c r="F3821" t="s">
        <v>51</v>
      </c>
      <c r="G3821">
        <v>-653.33720000000005</v>
      </c>
      <c r="H3821">
        <v>-0.1</v>
      </c>
      <c r="I3821">
        <v>108.6609</v>
      </c>
      <c r="J3821">
        <v>-288.7869</v>
      </c>
      <c r="K3821">
        <v>1.120484</v>
      </c>
      <c r="L3821">
        <v>142.01070000000001</v>
      </c>
      <c r="M3821">
        <v>-0.99994309999999997</v>
      </c>
      <c r="N3821">
        <v>-5.7027429999999997E-3</v>
      </c>
      <c r="O3821">
        <v>-9.0196189999999996E-3</v>
      </c>
      <c r="P3821">
        <v>-0.979599</v>
      </c>
      <c r="Q3821">
        <v>0.19931650000000001</v>
      </c>
      <c r="R3821">
        <v>2.5671220000000002E-2</v>
      </c>
      <c r="S3821">
        <v>-3.0716549999999998</v>
      </c>
      <c r="T3821">
        <v>-1.0268569999999999E-2</v>
      </c>
      <c r="U3821">
        <v>-0.28063959999999999</v>
      </c>
      <c r="V3821">
        <v>3.3927020000000002E-2</v>
      </c>
      <c r="W3821">
        <v>0.2049948</v>
      </c>
      <c r="X3821">
        <v>0.97817489999999996</v>
      </c>
      <c r="Y3821">
        <v>-8.1998089999999996E-2</v>
      </c>
      <c r="Z3821">
        <v>-3.92321E-4</v>
      </c>
      <c r="AA3821">
        <v>0.99663239999999997</v>
      </c>
      <c r="AB3821">
        <v>54</v>
      </c>
      <c r="AC3821">
        <v>-364.55029999999999</v>
      </c>
      <c r="AD3821">
        <v>-1.2204839999999999</v>
      </c>
      <c r="AE3821">
        <v>-33.349800000000002</v>
      </c>
      <c r="AF3821">
        <v>-30.059951082462199</v>
      </c>
      <c r="AG3821">
        <v>-1.2204839999999999</v>
      </c>
      <c r="AH3821">
        <v>364.832222560361</v>
      </c>
      <c r="AI3821">
        <v>90.191025236712093</v>
      </c>
      <c r="AJ3821">
        <v>94.710183417212505</v>
      </c>
      <c r="AK3821">
        <v>366.07054082322298</v>
      </c>
      <c r="AL3821">
        <v>78.170805628346102</v>
      </c>
      <c r="AM3821">
        <v>88.013549377860599</v>
      </c>
      <c r="AN3821">
        <v>1.00000002285156</v>
      </c>
    </row>
    <row r="3822" spans="1:40" x14ac:dyDescent="0.25">
      <c r="A3822" t="str">
        <f>"20190303170615214"</f>
        <v>20190303170615214</v>
      </c>
      <c r="B3822" t="str">
        <f>"1551603975208315"</f>
        <v>1551603975208315</v>
      </c>
      <c r="C3822" t="s">
        <v>40</v>
      </c>
      <c r="D3822">
        <v>5.2232159999999999</v>
      </c>
      <c r="E3822">
        <v>0.48279919999999998</v>
      </c>
      <c r="F3822" t="s">
        <v>51</v>
      </c>
      <c r="G3822">
        <v>-759.45410000000004</v>
      </c>
      <c r="H3822">
        <v>-0.1</v>
      </c>
      <c r="I3822">
        <v>98.882000000000005</v>
      </c>
      <c r="J3822">
        <v>-289.34399999999999</v>
      </c>
      <c r="K3822">
        <v>1.1205369999999999</v>
      </c>
      <c r="L3822">
        <v>142.00540000000001</v>
      </c>
      <c r="M3822">
        <v>-0.99993290000000001</v>
      </c>
      <c r="N3822">
        <v>-5.7838200000000003E-3</v>
      </c>
      <c r="O3822">
        <v>-1.0041639999999999E-2</v>
      </c>
      <c r="P3822">
        <v>-0.97960740000000002</v>
      </c>
      <c r="Q3822">
        <v>0.1991861</v>
      </c>
      <c r="R3822">
        <v>2.635357E-2</v>
      </c>
      <c r="S3822">
        <v>-3.071472</v>
      </c>
      <c r="T3822">
        <v>-7.9646109999999999E-3</v>
      </c>
      <c r="U3822">
        <v>-0.28144839999999999</v>
      </c>
      <c r="V3822">
        <v>3.5585360000000003E-2</v>
      </c>
      <c r="W3822">
        <v>0.20495279999999999</v>
      </c>
      <c r="X3822">
        <v>0.97812469999999996</v>
      </c>
      <c r="Y3822">
        <v>-8.1245410000000004E-2</v>
      </c>
      <c r="Z3822">
        <v>-3.7255140000000002E-4</v>
      </c>
      <c r="AA3822">
        <v>0.99669399999999997</v>
      </c>
      <c r="AB3822">
        <v>55</v>
      </c>
      <c r="AC3822">
        <v>-470.11009999999999</v>
      </c>
      <c r="AD3822">
        <v>-1.220537</v>
      </c>
      <c r="AE3822">
        <v>-43.123399999999997</v>
      </c>
      <c r="AF3822">
        <v>-38.400213895870998</v>
      </c>
      <c r="AG3822">
        <v>-1.220537</v>
      </c>
      <c r="AH3822">
        <v>470.51628869897502</v>
      </c>
      <c r="AI3822">
        <v>90.148134562991103</v>
      </c>
      <c r="AJ3822">
        <v>94.665735918563598</v>
      </c>
      <c r="AK3822">
        <v>472.08224290781601</v>
      </c>
      <c r="AL3822">
        <v>78.173263360797193</v>
      </c>
      <c r="AM3822">
        <v>87.916429162227899</v>
      </c>
      <c r="AN3822">
        <v>0.99999994841212803</v>
      </c>
    </row>
    <row r="3823" spans="1:40" x14ac:dyDescent="0.25">
      <c r="A3823" t="str">
        <f>"20190303170615236"</f>
        <v>20190303170615236</v>
      </c>
      <c r="B3823" t="str">
        <f>"1551603975228811"</f>
        <v>1551603975228811</v>
      </c>
      <c r="C3823" t="s">
        <v>40</v>
      </c>
      <c r="D3823">
        <v>5.1078979999999996</v>
      </c>
      <c r="E3823">
        <v>0.48710219999999999</v>
      </c>
      <c r="F3823" t="s">
        <v>41</v>
      </c>
      <c r="G3823">
        <v>-372.4228</v>
      </c>
      <c r="H3823" s="1">
        <v>-3.3003739999999999E-6</v>
      </c>
      <c r="I3823">
        <v>139.23580000000001</v>
      </c>
      <c r="J3823">
        <v>-289.90609999999998</v>
      </c>
      <c r="K3823">
        <v>1.1205860000000001</v>
      </c>
      <c r="L3823">
        <v>141.99950000000001</v>
      </c>
      <c r="M3823">
        <v>-0.99992139999999996</v>
      </c>
      <c r="N3823">
        <v>-5.8653230000000004E-3</v>
      </c>
      <c r="O3823">
        <v>-1.1083310000000001E-2</v>
      </c>
      <c r="P3823">
        <v>-0.97972159999999997</v>
      </c>
      <c r="Q3823">
        <v>0.19864499999999999</v>
      </c>
      <c r="R3823">
        <v>2.6193370000000001E-2</v>
      </c>
      <c r="S3823">
        <v>-3.073639</v>
      </c>
      <c r="T3823">
        <v>-4.1456220000000002E-2</v>
      </c>
      <c r="U3823">
        <v>-0.10246280000000001</v>
      </c>
      <c r="V3823">
        <v>3.6424819999999997E-2</v>
      </c>
      <c r="W3823">
        <v>0.20449870000000001</v>
      </c>
      <c r="X3823">
        <v>0.97818890000000003</v>
      </c>
      <c r="Y3823">
        <v>-2.223551E-2</v>
      </c>
      <c r="Z3823">
        <v>-1.3069779999999999E-4</v>
      </c>
      <c r="AA3823">
        <v>0.9997528</v>
      </c>
      <c r="AB3823">
        <v>55</v>
      </c>
      <c r="AC3823">
        <v>-82.5167</v>
      </c>
      <c r="AD3823">
        <v>-1.120589300374</v>
      </c>
      <c r="AE3823">
        <v>-2.7637</v>
      </c>
      <c r="AF3823">
        <v>-1.8486158260692001</v>
      </c>
      <c r="AG3823">
        <v>-1.120589300374</v>
      </c>
      <c r="AH3823">
        <v>82.527060344715593</v>
      </c>
      <c r="AI3823">
        <v>90.777744812765505</v>
      </c>
      <c r="AJ3823">
        <v>91.283217581714993</v>
      </c>
      <c r="AK3823">
        <v>82.555368026511999</v>
      </c>
      <c r="AL3823">
        <v>78.199845055262003</v>
      </c>
      <c r="AM3823">
        <v>87.867462352892602</v>
      </c>
      <c r="AN3823">
        <v>1.0000000049484601</v>
      </c>
    </row>
    <row r="3824" spans="1:40" x14ac:dyDescent="0.25">
      <c r="A3824" t="str">
        <f>"20190303170615259"</f>
        <v>20190303170615259</v>
      </c>
      <c r="B3824" t="str">
        <f>"1551603975248332"</f>
        <v>1551603975248332</v>
      </c>
      <c r="C3824" t="s">
        <v>40</v>
      </c>
      <c r="D3824">
        <v>5.172078</v>
      </c>
      <c r="E3824">
        <v>0.48868240000000002</v>
      </c>
      <c r="F3824" t="s">
        <v>41</v>
      </c>
      <c r="G3824">
        <v>-363.7079</v>
      </c>
      <c r="H3824" s="1">
        <v>-2.8789469999999999E-6</v>
      </c>
      <c r="I3824">
        <v>140.3579</v>
      </c>
      <c r="J3824">
        <v>-290.45249999999999</v>
      </c>
      <c r="K3824">
        <v>1.120627</v>
      </c>
      <c r="L3824">
        <v>141.9932</v>
      </c>
      <c r="M3824">
        <v>-0.99990919999999905</v>
      </c>
      <c r="N3824">
        <v>-5.9453469999999897E-3</v>
      </c>
      <c r="O3824">
        <v>-1.210145E-2</v>
      </c>
      <c r="P3824">
        <v>-0.97982659999999999</v>
      </c>
      <c r="Q3824">
        <v>0.19815669999999999</v>
      </c>
      <c r="R3824">
        <v>2.5960130000000001E-2</v>
      </c>
      <c r="S3824">
        <v>-3.0733640000000002</v>
      </c>
      <c r="T3824">
        <v>-4.6665310000000002E-2</v>
      </c>
      <c r="U3824">
        <v>-6.8359379999999997E-2</v>
      </c>
      <c r="V3824">
        <v>3.7170590000000003E-2</v>
      </c>
      <c r="W3824">
        <v>0.2040949</v>
      </c>
      <c r="X3824">
        <v>0.97824520000000004</v>
      </c>
      <c r="Y3824">
        <v>-1.013562E-2</v>
      </c>
      <c r="Z3824" s="1">
        <v>4.6917739999999901E-6</v>
      </c>
      <c r="AA3824">
        <v>0.99994859999999997</v>
      </c>
      <c r="AB3824">
        <v>55</v>
      </c>
      <c r="AC3824">
        <v>-73.255399999999995</v>
      </c>
      <c r="AD3824">
        <v>-1.1206298789469999</v>
      </c>
      <c r="AE3824">
        <v>-1.6353</v>
      </c>
      <c r="AF3824">
        <v>-0.74849303921411003</v>
      </c>
      <c r="AG3824">
        <v>-1.1206298789469999</v>
      </c>
      <c r="AH3824">
        <v>73.252691770979595</v>
      </c>
      <c r="AI3824">
        <v>90.876404701812405</v>
      </c>
      <c r="AJ3824">
        <v>90.585425582156006</v>
      </c>
      <c r="AK3824">
        <v>73.265086534102196</v>
      </c>
      <c r="AL3824">
        <v>78.223479819928002</v>
      </c>
      <c r="AM3824">
        <v>87.823966974552604</v>
      </c>
      <c r="AN3824">
        <v>1.00000002614499</v>
      </c>
    </row>
    <row r="3825" spans="1:40" x14ac:dyDescent="0.25">
      <c r="A3825" t="str">
        <f>"20190303170615280"</f>
        <v>20190303170615280</v>
      </c>
      <c r="B3825" t="str">
        <f>"1551603975268828"</f>
        <v>1551603975268828</v>
      </c>
      <c r="C3825" t="s">
        <v>40</v>
      </c>
      <c r="D3825">
        <v>5.2011770000000004</v>
      </c>
      <c r="E3825">
        <v>0.4895255</v>
      </c>
      <c r="F3825" t="s">
        <v>41</v>
      </c>
      <c r="G3825">
        <v>-362.12099999999998</v>
      </c>
      <c r="H3825" s="1">
        <v>-3.6447430000000001E-6</v>
      </c>
      <c r="I3825">
        <v>140.67750000000001</v>
      </c>
      <c r="J3825">
        <v>-290.98469999999998</v>
      </c>
      <c r="K3825">
        <v>1.120665</v>
      </c>
      <c r="L3825">
        <v>141.98660000000001</v>
      </c>
      <c r="M3825">
        <v>-0.99989620000000001</v>
      </c>
      <c r="N3825">
        <v>-6.023118E-3</v>
      </c>
      <c r="O3825">
        <v>-1.309594E-2</v>
      </c>
      <c r="P3825">
        <v>-0.97994879999999995</v>
      </c>
      <c r="Q3825">
        <v>0.19755890000000001</v>
      </c>
      <c r="R3825">
        <v>2.5907280000000001E-2</v>
      </c>
      <c r="S3825">
        <v>-3.0729679999999999</v>
      </c>
      <c r="T3825">
        <v>-4.8049929999999998E-2</v>
      </c>
      <c r="U3825">
        <v>-5.6411740000000002E-2</v>
      </c>
      <c r="V3825">
        <v>3.8077079999999999E-2</v>
      </c>
      <c r="W3825">
        <v>0.2035795</v>
      </c>
      <c r="X3825">
        <v>0.97831769999999996</v>
      </c>
      <c r="Y3825">
        <v>-5.2584980000000003E-3</v>
      </c>
      <c r="Z3825" s="1">
        <v>6.8913609999999998E-5</v>
      </c>
      <c r="AA3825">
        <v>0.99998620000000005</v>
      </c>
      <c r="AB3825">
        <v>55</v>
      </c>
      <c r="AC3825">
        <v>-71.136300000000006</v>
      </c>
      <c r="AD3825">
        <v>-1.1206686447429901</v>
      </c>
      <c r="AE3825">
        <v>-1.3090999999999999</v>
      </c>
      <c r="AF3825">
        <v>-0.37728060483907</v>
      </c>
      <c r="AG3825">
        <v>-1.1206686447429901</v>
      </c>
      <c r="AH3825">
        <v>71.129696455660294</v>
      </c>
      <c r="AI3825">
        <v>90.902623962834696</v>
      </c>
      <c r="AJ3825">
        <v>90.303900968395695</v>
      </c>
      <c r="AK3825">
        <v>71.139524574883595</v>
      </c>
      <c r="AL3825">
        <v>78.253643036141497</v>
      </c>
      <c r="AM3825">
        <v>87.771117338761002</v>
      </c>
      <c r="AN3825">
        <v>0.99999999948743301</v>
      </c>
    </row>
    <row r="3826" spans="1:40" x14ac:dyDescent="0.25">
      <c r="A3826" t="str">
        <f>"20190303170615304"</f>
        <v>20190303170615304</v>
      </c>
      <c r="B3826" t="str">
        <f>"1551603975299084"</f>
        <v>1551603975299084</v>
      </c>
      <c r="C3826" t="s">
        <v>40</v>
      </c>
      <c r="D3826">
        <v>5.2300319999999996</v>
      </c>
      <c r="E3826">
        <v>0.4898362</v>
      </c>
      <c r="F3826" t="s">
        <v>41</v>
      </c>
      <c r="G3826">
        <v>-357.53059999999999</v>
      </c>
      <c r="H3826" s="1">
        <v>-1.3833749999999999E-6</v>
      </c>
      <c r="I3826">
        <v>140.90049999999999</v>
      </c>
      <c r="J3826">
        <v>-291.5634</v>
      </c>
      <c r="K3826">
        <v>1.1207039999999999</v>
      </c>
      <c r="L3826">
        <v>141.97880000000001</v>
      </c>
      <c r="M3826">
        <v>-0.99988089999999996</v>
      </c>
      <c r="N3826">
        <v>-6.1073259999999997E-3</v>
      </c>
      <c r="O3826">
        <v>-1.417963E-2</v>
      </c>
      <c r="P3826">
        <v>-0.98002020000000001</v>
      </c>
      <c r="Q3826">
        <v>0.19720550000000001</v>
      </c>
      <c r="R3826">
        <v>2.589872E-2</v>
      </c>
      <c r="S3826">
        <v>-3.0731510000000002</v>
      </c>
      <c r="T3826">
        <v>-5.1753399999999998E-2</v>
      </c>
      <c r="U3826">
        <v>-5.0155640000000001E-2</v>
      </c>
      <c r="V3826">
        <v>3.9114040000000003E-2</v>
      </c>
      <c r="W3826">
        <v>0.20331569999999999</v>
      </c>
      <c r="X3826">
        <v>0.97833159999999997</v>
      </c>
      <c r="Y3826">
        <v>-2.139176E-3</v>
      </c>
      <c r="Z3826">
        <v>1.276076E-4</v>
      </c>
      <c r="AA3826">
        <v>0.99999769999999999</v>
      </c>
      <c r="AB3826">
        <v>55</v>
      </c>
      <c r="AC3826">
        <v>-65.967199999999906</v>
      </c>
      <c r="AD3826">
        <v>-1.120705383375</v>
      </c>
      <c r="AE3826">
        <v>-1.07830000000001</v>
      </c>
      <c r="AF3826">
        <v>-0.1427425493169</v>
      </c>
      <c r="AG3826">
        <v>-1.120705383375</v>
      </c>
      <c r="AH3826">
        <v>65.956826462297599</v>
      </c>
      <c r="AI3826">
        <v>90.973445254841593</v>
      </c>
      <c r="AJ3826">
        <v>90.123998277402507</v>
      </c>
      <c r="AK3826">
        <v>65.966501445577293</v>
      </c>
      <c r="AL3826">
        <v>78.269079945450599</v>
      </c>
      <c r="AM3826">
        <v>87.710514009182802</v>
      </c>
      <c r="AN3826">
        <v>0.99999995077508397</v>
      </c>
    </row>
    <row r="3827" spans="1:40" x14ac:dyDescent="0.25">
      <c r="A3827" t="str">
        <f>"20190303170615327"</f>
        <v>20190303170615327</v>
      </c>
      <c r="B3827" t="str">
        <f>"1551603975318603"</f>
        <v>1551603975318603</v>
      </c>
      <c r="C3827" t="s">
        <v>40</v>
      </c>
      <c r="D3827">
        <v>5.2041820000000003</v>
      </c>
      <c r="E3827">
        <v>0.49009930000000002</v>
      </c>
      <c r="F3827" t="s">
        <v>41</v>
      </c>
      <c r="G3827">
        <v>-354.65960000000001</v>
      </c>
      <c r="H3827" s="1">
        <v>-2.6379219999999999E-6</v>
      </c>
      <c r="I3827">
        <v>140.98660000000001</v>
      </c>
      <c r="J3827">
        <v>-292.1327</v>
      </c>
      <c r="K3827">
        <v>1.1207370000000001</v>
      </c>
      <c r="L3827">
        <v>141.97049999999999</v>
      </c>
      <c r="M3827">
        <v>-0.99986470000000005</v>
      </c>
      <c r="N3827">
        <v>-6.1906879999999997E-3</v>
      </c>
      <c r="O3827">
        <v>-1.5247190000000001E-2</v>
      </c>
      <c r="P3827">
        <v>-0.9799561</v>
      </c>
      <c r="Q3827">
        <v>0.19749620000000001</v>
      </c>
      <c r="R3827">
        <v>2.6110589999999999E-2</v>
      </c>
      <c r="S3827">
        <v>-3.0734249999999999</v>
      </c>
      <c r="T3827">
        <v>-5.4589749999999999E-2</v>
      </c>
      <c r="U3827">
        <v>-4.8324579999999999E-2</v>
      </c>
      <c r="V3827">
        <v>4.0353890000000003E-2</v>
      </c>
      <c r="W3827">
        <v>0.20369480000000001</v>
      </c>
      <c r="X3827">
        <v>0.97820240000000003</v>
      </c>
      <c r="Y3827">
        <v>-4.749186E-4</v>
      </c>
      <c r="Z3827">
        <v>1.7069049999999999E-4</v>
      </c>
      <c r="AA3827">
        <v>0.99999990000000005</v>
      </c>
      <c r="AB3827">
        <v>55</v>
      </c>
      <c r="AC3827">
        <v>-62.526899999999998</v>
      </c>
      <c r="AD3827">
        <v>-1.120739637922</v>
      </c>
      <c r="AE3827">
        <v>-0.98389999999997702</v>
      </c>
      <c r="AF3827">
        <v>-3.0398169544061399E-2</v>
      </c>
      <c r="AG3827">
        <v>-1.120739637922</v>
      </c>
      <c r="AH3827">
        <v>62.514553936642599</v>
      </c>
      <c r="AI3827">
        <v>91.027069081303296</v>
      </c>
      <c r="AJ3827">
        <v>90.027860499241299</v>
      </c>
      <c r="AK3827">
        <v>62.5246066383637</v>
      </c>
      <c r="AL3827">
        <v>78.246895115123706</v>
      </c>
      <c r="AM3827">
        <v>87.637710431525306</v>
      </c>
      <c r="AN3827">
        <v>0.99999997167546495</v>
      </c>
    </row>
    <row r="3828" spans="1:40" x14ac:dyDescent="0.25">
      <c r="A3828" t="str">
        <f>"20190303170615350"</f>
        <v>20190303170615350</v>
      </c>
      <c r="B3828" t="str">
        <f>"1551603975339100"</f>
        <v>1551603975339100</v>
      </c>
      <c r="C3828" t="s">
        <v>40</v>
      </c>
      <c r="D3828">
        <v>5.1718250000000001</v>
      </c>
      <c r="E3828">
        <v>0.49009779999999997</v>
      </c>
      <c r="F3828" t="s">
        <v>41</v>
      </c>
      <c r="G3828">
        <v>-355.73649999999998</v>
      </c>
      <c r="H3828" s="1">
        <v>-2.1867300000000002E-6</v>
      </c>
      <c r="I3828">
        <v>141.02719999999999</v>
      </c>
      <c r="J3828">
        <v>-292.69510000000002</v>
      </c>
      <c r="K3828">
        <v>1.12076</v>
      </c>
      <c r="L3828">
        <v>141.96170000000001</v>
      </c>
      <c r="M3828">
        <v>-0.9998475</v>
      </c>
      <c r="N3828">
        <v>-6.2721740000000002E-3</v>
      </c>
      <c r="O3828">
        <v>-1.6302540000000001E-2</v>
      </c>
      <c r="P3828">
        <v>-0.98010580000000003</v>
      </c>
      <c r="Q3828">
        <v>0.1968261</v>
      </c>
      <c r="R3828">
        <v>2.554271E-2</v>
      </c>
      <c r="S3828">
        <v>-3.0735169999999998</v>
      </c>
      <c r="T3828">
        <v>-5.4157259999999999E-2</v>
      </c>
      <c r="U3828">
        <v>-4.5578E-2</v>
      </c>
      <c r="V3828">
        <v>4.0811020000000003E-2</v>
      </c>
      <c r="W3828">
        <v>0.2031094</v>
      </c>
      <c r="X3828">
        <v>0.97830519999999999</v>
      </c>
      <c r="Y3828">
        <v>1.4740389999999999E-3</v>
      </c>
      <c r="Z3828">
        <v>2.0256380000000001E-4</v>
      </c>
      <c r="AA3828">
        <v>0.99999890000000002</v>
      </c>
      <c r="AB3828">
        <v>55</v>
      </c>
      <c r="AC3828">
        <v>-63.041399999999904</v>
      </c>
      <c r="AD3828">
        <v>-1.1207621867299999</v>
      </c>
      <c r="AE3828">
        <v>-0.93450000000001399</v>
      </c>
      <c r="AF3828">
        <v>9.3349788801594405E-2</v>
      </c>
      <c r="AG3828">
        <v>-1.1207621867299999</v>
      </c>
      <c r="AH3828">
        <v>63.028340169620201</v>
      </c>
      <c r="AI3828">
        <v>91.018718019372699</v>
      </c>
      <c r="AJ3828">
        <v>89.915140633696694</v>
      </c>
      <c r="AK3828">
        <v>63.038373127799197</v>
      </c>
      <c r="AL3828">
        <v>78.281152727669195</v>
      </c>
      <c r="AM3828">
        <v>87.611231927618803</v>
      </c>
      <c r="AN3828">
        <v>1.00000001603442</v>
      </c>
    </row>
    <row r="3829" spans="1:40" x14ac:dyDescent="0.25">
      <c r="A3829" t="str">
        <f>"20190303170615370"</f>
        <v>20190303170615370</v>
      </c>
      <c r="B3829" t="str">
        <f>"1551603975358620"</f>
        <v>1551603975358620</v>
      </c>
      <c r="C3829" t="s">
        <v>40</v>
      </c>
      <c r="D3829">
        <v>5.2521630000000004</v>
      </c>
      <c r="E3829">
        <v>0.4900968</v>
      </c>
      <c r="F3829" t="s">
        <v>41</v>
      </c>
      <c r="G3829">
        <v>-349.6909</v>
      </c>
      <c r="H3829" s="1">
        <v>-5.040827E-7</v>
      </c>
      <c r="I3829">
        <v>141.07900000000001</v>
      </c>
      <c r="J3829">
        <v>-293.20940000000002</v>
      </c>
      <c r="K3829">
        <v>1.1207879999999999</v>
      </c>
      <c r="L3829">
        <v>141.95310000000001</v>
      </c>
      <c r="M3829">
        <v>-0.99983080000000002</v>
      </c>
      <c r="N3829">
        <v>-6.3464539999999996E-3</v>
      </c>
      <c r="O3829">
        <v>-1.726946E-2</v>
      </c>
      <c r="P3829">
        <v>-0.98011490000000001</v>
      </c>
      <c r="Q3829">
        <v>0.19684470000000001</v>
      </c>
      <c r="R3829">
        <v>2.5040409999999999E-2</v>
      </c>
      <c r="S3829">
        <v>-3.0742799999999999</v>
      </c>
      <c r="T3829">
        <v>-6.045234E-2</v>
      </c>
      <c r="U3829">
        <v>-4.7607419999999998E-2</v>
      </c>
      <c r="V3829">
        <v>4.1245009999999999E-2</v>
      </c>
      <c r="W3829">
        <v>0.2032042</v>
      </c>
      <c r="X3829">
        <v>0.97826729999999995</v>
      </c>
      <c r="Y3829">
        <v>1.7841999999999999E-3</v>
      </c>
      <c r="Z3829">
        <v>2.5311510000000003E-4</v>
      </c>
      <c r="AA3829">
        <v>0.99999839999999995</v>
      </c>
      <c r="AB3829">
        <v>55</v>
      </c>
      <c r="AC3829">
        <v>-56.481499999999897</v>
      </c>
      <c r="AD3829">
        <v>-1.1207885040826999</v>
      </c>
      <c r="AE3829">
        <v>-0.87409999999999799</v>
      </c>
      <c r="AF3829">
        <v>0.101415014867709</v>
      </c>
      <c r="AG3829">
        <v>-1.1207885040826999</v>
      </c>
      <c r="AH3829">
        <v>56.465943338223099</v>
      </c>
      <c r="AI3829">
        <v>91.137108712675499</v>
      </c>
      <c r="AJ3829">
        <v>89.897094677964105</v>
      </c>
      <c r="AK3829">
        <v>56.477156523248802</v>
      </c>
      <c r="AL3829">
        <v>78.275605262083801</v>
      </c>
      <c r="AM3829">
        <v>87.585765918236007</v>
      </c>
      <c r="AN3829">
        <v>1.00000000399841</v>
      </c>
    </row>
    <row r="3830" spans="1:40" x14ac:dyDescent="0.25">
      <c r="A3830" t="str">
        <f>"20190303170615392"</f>
        <v>20190303170615392</v>
      </c>
      <c r="B3830" t="str">
        <f>"1551603975379116"</f>
        <v>1551603975379116</v>
      </c>
      <c r="C3830" t="s">
        <v>40</v>
      </c>
      <c r="D3830">
        <v>5.1839930000000001</v>
      </c>
      <c r="E3830">
        <v>0.49018289999999998</v>
      </c>
      <c r="F3830" t="s">
        <v>41</v>
      </c>
      <c r="G3830">
        <v>-350.90260000000001</v>
      </c>
      <c r="H3830" s="1">
        <v>-4.2184899999999997E-6</v>
      </c>
      <c r="I3830">
        <v>141.02350000000001</v>
      </c>
      <c r="J3830">
        <v>-293.76429999999999</v>
      </c>
      <c r="K3830">
        <v>1.1208119999999999</v>
      </c>
      <c r="L3830">
        <v>141.94329999999999</v>
      </c>
      <c r="M3830">
        <v>-0.99981169999999997</v>
      </c>
      <c r="N3830">
        <v>-6.4279589999999996E-3</v>
      </c>
      <c r="O3830">
        <v>-1.831354E-2</v>
      </c>
      <c r="P3830">
        <v>-0.98019149999999999</v>
      </c>
      <c r="Q3830">
        <v>0.19648959999999999</v>
      </c>
      <c r="R3830">
        <v>2.4837250000000002E-2</v>
      </c>
      <c r="S3830">
        <v>-3.0741269999999998</v>
      </c>
      <c r="T3830">
        <v>-5.97204E-2</v>
      </c>
      <c r="U3830">
        <v>-4.9530030000000003E-2</v>
      </c>
      <c r="V3830">
        <v>4.2057150000000001E-2</v>
      </c>
      <c r="W3830">
        <v>0.20293430000000001</v>
      </c>
      <c r="X3830">
        <v>0.97828879999999996</v>
      </c>
      <c r="Y3830">
        <v>2.2023350000000001E-3</v>
      </c>
      <c r="Z3830">
        <v>2.6644279999999998E-4</v>
      </c>
      <c r="AA3830">
        <v>0.99999760000000004</v>
      </c>
      <c r="AB3830">
        <v>56</v>
      </c>
      <c r="AC3830">
        <v>-57.138300000000001</v>
      </c>
      <c r="AD3830">
        <v>-1.1208162184899999</v>
      </c>
      <c r="AE3830">
        <v>-0.91979999999997997</v>
      </c>
      <c r="AF3830">
        <v>0.12673159993821001</v>
      </c>
      <c r="AG3830">
        <v>-1.1208162184899999</v>
      </c>
      <c r="AH3830">
        <v>57.123587851625999</v>
      </c>
      <c r="AI3830">
        <v>91.124047777598904</v>
      </c>
      <c r="AJ3830">
        <v>89.872886592607102</v>
      </c>
      <c r="AK3830">
        <v>57.1347230581936</v>
      </c>
      <c r="AL3830">
        <v>78.291399060663693</v>
      </c>
      <c r="AM3830">
        <v>87.5383400943998</v>
      </c>
      <c r="AN3830">
        <v>1.00000005509402</v>
      </c>
    </row>
    <row r="3831" spans="1:40" x14ac:dyDescent="0.25">
      <c r="A3831" t="str">
        <f>"20190303170615414"</f>
        <v>20190303170615414</v>
      </c>
      <c r="B3831" t="str">
        <f>"1551603975408893"</f>
        <v>1551603975408893</v>
      </c>
      <c r="C3831" t="s">
        <v>40</v>
      </c>
      <c r="D3831">
        <v>5.2423849999999996</v>
      </c>
      <c r="E3831">
        <v>0.49016609999999999</v>
      </c>
      <c r="F3831" t="s">
        <v>41</v>
      </c>
      <c r="G3831">
        <v>-349.9581</v>
      </c>
      <c r="H3831" s="1">
        <v>-4.544283E-6</v>
      </c>
      <c r="I3831">
        <v>141.04820000000001</v>
      </c>
      <c r="J3831">
        <v>-294.3109</v>
      </c>
      <c r="K3831">
        <v>1.120835</v>
      </c>
      <c r="L3831">
        <v>141.9331</v>
      </c>
      <c r="M3831">
        <v>-0.99979180000000001</v>
      </c>
      <c r="N3831">
        <v>-6.5089249999999996E-3</v>
      </c>
      <c r="O3831">
        <v>-1.9342930000000001E-2</v>
      </c>
      <c r="P3831">
        <v>-0.98011479999999995</v>
      </c>
      <c r="Q3831">
        <v>0.1969323</v>
      </c>
      <c r="R3831">
        <v>2.434569E-2</v>
      </c>
      <c r="S3831">
        <v>-3.0741580000000002</v>
      </c>
      <c r="T3831">
        <v>-6.1315889999999998E-2</v>
      </c>
      <c r="U3831">
        <v>-4.8965450000000001E-2</v>
      </c>
      <c r="V3831">
        <v>4.2562240000000001E-2</v>
      </c>
      <c r="W3831">
        <v>0.2034591</v>
      </c>
      <c r="X3831">
        <v>0.97815790000000002</v>
      </c>
      <c r="Y3831">
        <v>3.4151519999999999E-3</v>
      </c>
      <c r="Z3831">
        <v>3.0498299999999999E-4</v>
      </c>
      <c r="AA3831">
        <v>0.9999941</v>
      </c>
      <c r="AB3831">
        <v>56</v>
      </c>
      <c r="AC3831">
        <v>-55.647199999999998</v>
      </c>
      <c r="AD3831">
        <v>-1.1208395442829999</v>
      </c>
      <c r="AE3831">
        <v>-0.88489999999998703</v>
      </c>
      <c r="AF3831">
        <v>0.191590467704081</v>
      </c>
      <c r="AG3831">
        <v>-1.1208395442829999</v>
      </c>
      <c r="AH3831">
        <v>55.631341653469597</v>
      </c>
      <c r="AI3831">
        <v>91.154211016037095</v>
      </c>
      <c r="AJ3831">
        <v>89.802678104302402</v>
      </c>
      <c r="AK3831">
        <v>55.642961480823402</v>
      </c>
      <c r="AL3831">
        <v>78.260689078307493</v>
      </c>
      <c r="AM3831">
        <v>87.508480583788398</v>
      </c>
      <c r="AN3831">
        <v>1.00000001348951</v>
      </c>
    </row>
    <row r="3832" spans="1:40" x14ac:dyDescent="0.25">
      <c r="A3832" t="str">
        <f>"20190303170615437"</f>
        <v>20190303170615437</v>
      </c>
      <c r="B3832" t="str">
        <f>"1551603975428412"</f>
        <v>1551603975428412</v>
      </c>
      <c r="C3832" t="s">
        <v>40</v>
      </c>
      <c r="D3832">
        <v>5.1557969999999997</v>
      </c>
      <c r="E3832">
        <v>0.48993439999999999</v>
      </c>
      <c r="F3832" t="s">
        <v>41</v>
      </c>
      <c r="G3832">
        <v>-351.05259999999998</v>
      </c>
      <c r="H3832" s="1">
        <v>-4.1607249999999999E-6</v>
      </c>
      <c r="I3832">
        <v>140.98570000000001</v>
      </c>
      <c r="J3832">
        <v>-294.87819999999999</v>
      </c>
      <c r="K3832">
        <v>1.1208629999999999</v>
      </c>
      <c r="L3832">
        <v>141.92189999999999</v>
      </c>
      <c r="M3832">
        <v>-0.99977000000000005</v>
      </c>
      <c r="N3832">
        <v>-6.592161E-3</v>
      </c>
      <c r="O3832">
        <v>-2.0413199999999999E-2</v>
      </c>
      <c r="P3832">
        <v>-0.98002619999999896</v>
      </c>
      <c r="Q3832">
        <v>0.19746569999999999</v>
      </c>
      <c r="R3832">
        <v>2.3585640000000001E-2</v>
      </c>
      <c r="S3832">
        <v>-3.0743100000000001</v>
      </c>
      <c r="T3832">
        <v>-6.0727950000000003E-2</v>
      </c>
      <c r="U3832">
        <v>-5.1330569999999999E-2</v>
      </c>
      <c r="V3832">
        <v>4.283911E-2</v>
      </c>
      <c r="W3832">
        <v>0.2040758</v>
      </c>
      <c r="X3832">
        <v>0.97801729999999998</v>
      </c>
      <c r="Y3832">
        <v>3.7172569999999999E-3</v>
      </c>
      <c r="Z3832">
        <v>3.1752339999999998E-4</v>
      </c>
      <c r="AA3832">
        <v>0.99999300000000002</v>
      </c>
      <c r="AB3832">
        <v>56</v>
      </c>
      <c r="AC3832">
        <v>-56.174399999999899</v>
      </c>
      <c r="AD3832">
        <v>-1.120867160725</v>
      </c>
      <c r="AE3832">
        <v>-0.93619999999998504</v>
      </c>
      <c r="AF3832">
        <v>0.21063530655489199</v>
      </c>
      <c r="AG3832">
        <v>-1.120867160725</v>
      </c>
      <c r="AH3832">
        <v>56.159452735558503</v>
      </c>
      <c r="AI3832">
        <v>91.143386868221498</v>
      </c>
      <c r="AJ3832">
        <v>89.785103719793796</v>
      </c>
      <c r="AK3832">
        <v>56.171032053735601</v>
      </c>
      <c r="AL3832">
        <v>78.224597149506707</v>
      </c>
      <c r="AM3832">
        <v>87.491933671511006</v>
      </c>
      <c r="AN3832">
        <v>0.99999998029526005</v>
      </c>
    </row>
    <row r="3833" spans="1:40" x14ac:dyDescent="0.25">
      <c r="A3833" t="str">
        <f>"20190303170615458"</f>
        <v>20190303170615458</v>
      </c>
      <c r="B3833" t="str">
        <f>"1551603975448908"</f>
        <v>1551603975448908</v>
      </c>
      <c r="C3833" t="s">
        <v>40</v>
      </c>
      <c r="D3833">
        <v>5.3466709999999997</v>
      </c>
      <c r="E3833">
        <v>0.48996899999999899</v>
      </c>
      <c r="F3833" t="s">
        <v>41</v>
      </c>
      <c r="G3833">
        <v>-353.06229999999999</v>
      </c>
      <c r="H3833" s="1">
        <v>-3.2895769999999998E-6</v>
      </c>
      <c r="I3833">
        <v>140.8603</v>
      </c>
      <c r="J3833">
        <v>-295.40350000000001</v>
      </c>
      <c r="K3833">
        <v>1.1208819999999999</v>
      </c>
      <c r="L3833">
        <v>141.911</v>
      </c>
      <c r="M3833">
        <v>-0.99974859999999999</v>
      </c>
      <c r="N3833">
        <v>-6.6674169999999897E-3</v>
      </c>
      <c r="O3833">
        <v>-2.1404960000000001E-2</v>
      </c>
      <c r="P3833">
        <v>-0.97989369999999998</v>
      </c>
      <c r="Q3833">
        <v>0.19818959999999999</v>
      </c>
      <c r="R3833">
        <v>2.300547E-2</v>
      </c>
      <c r="S3833">
        <v>-3.0744020000000001</v>
      </c>
      <c r="T3833">
        <v>-5.9225800000000002E-2</v>
      </c>
      <c r="U3833">
        <v>-5.6091309999999998E-2</v>
      </c>
      <c r="V3833">
        <v>4.321842E-2</v>
      </c>
      <c r="W3833">
        <v>0.2048749</v>
      </c>
      <c r="X3833">
        <v>0.97783359999999997</v>
      </c>
      <c r="Y3833">
        <v>3.1619780000000002E-3</v>
      </c>
      <c r="Z3833">
        <v>3.1051510000000001E-4</v>
      </c>
      <c r="AA3833">
        <v>0.99999490000000002</v>
      </c>
      <c r="AB3833">
        <v>56</v>
      </c>
      <c r="AC3833">
        <v>-57.6587999999999</v>
      </c>
      <c r="AD3833">
        <v>-1.1208852895769901</v>
      </c>
      <c r="AE3833">
        <v>-1.0507</v>
      </c>
      <c r="AF3833">
        <v>0.183683154994082</v>
      </c>
      <c r="AG3833">
        <v>-1.1208852895769901</v>
      </c>
      <c r="AH3833">
        <v>57.646301737258902</v>
      </c>
      <c r="AI3833">
        <v>91.113923648325496</v>
      </c>
      <c r="AJ3833">
        <v>89.817434360676799</v>
      </c>
      <c r="AK3833">
        <v>57.657490643600902</v>
      </c>
      <c r="AL3833">
        <v>78.177824720576794</v>
      </c>
      <c r="AM3833">
        <v>87.469280529238404</v>
      </c>
      <c r="AN3833">
        <v>1.0000000528831301</v>
      </c>
    </row>
    <row r="3834" spans="1:40" x14ac:dyDescent="0.25">
      <c r="A3834" t="str">
        <f>"20190303170615483"</f>
        <v>20190303170615483</v>
      </c>
      <c r="B3834" t="str">
        <f>"1551603975468429"</f>
        <v>1551603975468429</v>
      </c>
      <c r="C3834" t="s">
        <v>40</v>
      </c>
      <c r="D3834">
        <v>5.1979879999999996</v>
      </c>
      <c r="E3834">
        <v>0.4900796</v>
      </c>
      <c r="F3834" t="s">
        <v>41</v>
      </c>
      <c r="G3834">
        <v>-354.73779999999999</v>
      </c>
      <c r="H3834" s="1">
        <v>-2.5537039999999999E-6</v>
      </c>
      <c r="I3834">
        <v>140.7961</v>
      </c>
      <c r="J3834">
        <v>-296.02190000000002</v>
      </c>
      <c r="K3834">
        <v>1.1208979999999999</v>
      </c>
      <c r="L3834">
        <v>141.89760000000001</v>
      </c>
      <c r="M3834">
        <v>-0.99972240000000001</v>
      </c>
      <c r="N3834">
        <v>-6.7518079999999998E-3</v>
      </c>
      <c r="O3834">
        <v>-2.2573679999999999E-2</v>
      </c>
      <c r="P3834">
        <v>-0.97994599999999998</v>
      </c>
      <c r="Q3834">
        <v>0.19805880000000001</v>
      </c>
      <c r="R3834">
        <v>2.1881910000000001E-2</v>
      </c>
      <c r="S3834">
        <v>-3.0746769999999999</v>
      </c>
      <c r="T3834">
        <v>-5.808377E-2</v>
      </c>
      <c r="U3834">
        <v>-5.776978E-2</v>
      </c>
      <c r="V3834">
        <v>4.3234660000000001E-2</v>
      </c>
      <c r="W3834">
        <v>0.2048287</v>
      </c>
      <c r="X3834">
        <v>0.97784249999999995</v>
      </c>
      <c r="Y3834">
        <v>3.7868440000000001E-3</v>
      </c>
      <c r="Z3834">
        <v>3.2245320000000001E-4</v>
      </c>
      <c r="AA3834">
        <v>0.99999280000000002</v>
      </c>
      <c r="AB3834">
        <v>56</v>
      </c>
      <c r="AC3834">
        <v>-58.715899999999898</v>
      </c>
      <c r="AD3834">
        <v>-1.120900553704</v>
      </c>
      <c r="AE3834">
        <v>-1.1015000000000099</v>
      </c>
      <c r="AF3834">
        <v>0.2241631567031</v>
      </c>
      <c r="AG3834">
        <v>-1.120900553704</v>
      </c>
      <c r="AH3834">
        <v>58.704416378523902</v>
      </c>
      <c r="AI3834">
        <v>91.093863184769702</v>
      </c>
      <c r="AJ3834">
        <v>89.781216794746499</v>
      </c>
      <c r="AK3834">
        <v>58.715544530517903</v>
      </c>
      <c r="AL3834">
        <v>78.180528425866697</v>
      </c>
      <c r="AM3834">
        <v>87.468353821144902</v>
      </c>
      <c r="AN3834">
        <v>0.99999999348762703</v>
      </c>
    </row>
    <row r="3835" spans="1:40" x14ac:dyDescent="0.25">
      <c r="A3835" t="str">
        <f>"20190303170615504"</f>
        <v>20190303170615504</v>
      </c>
      <c r="B3835" t="str">
        <f>"1551603975498684"</f>
        <v>1551603975498684</v>
      </c>
      <c r="C3835" t="s">
        <v>40</v>
      </c>
      <c r="D3835">
        <v>5.206378</v>
      </c>
      <c r="E3835">
        <v>0.49014649999999998</v>
      </c>
      <c r="F3835" t="s">
        <v>41</v>
      </c>
      <c r="G3835">
        <v>-354.37439999999998</v>
      </c>
      <c r="H3835" s="1">
        <v>-2.6968420000000001E-6</v>
      </c>
      <c r="I3835">
        <v>140.74809999999999</v>
      </c>
      <c r="J3835">
        <v>-296.54669999999999</v>
      </c>
      <c r="K3835">
        <v>1.1209089999999999</v>
      </c>
      <c r="L3835">
        <v>141.88550000000001</v>
      </c>
      <c r="M3835">
        <v>-0.99969920000000001</v>
      </c>
      <c r="N3835">
        <v>-6.81804E-3</v>
      </c>
      <c r="O3835">
        <v>-2.3565849999999999E-2</v>
      </c>
      <c r="P3835">
        <v>-0.98005549999999997</v>
      </c>
      <c r="Q3835">
        <v>0.19751920000000001</v>
      </c>
      <c r="R3835">
        <v>2.1857209999999998E-2</v>
      </c>
      <c r="S3835">
        <v>-3.0746769999999999</v>
      </c>
      <c r="T3835">
        <v>-5.9061879999999997E-2</v>
      </c>
      <c r="U3835">
        <v>-6.0562129999999999E-2</v>
      </c>
      <c r="V3835">
        <v>4.4181369999999998E-2</v>
      </c>
      <c r="W3835">
        <v>0.2043586</v>
      </c>
      <c r="X3835">
        <v>0.9778985</v>
      </c>
      <c r="Y3835">
        <v>3.8712569999999999E-3</v>
      </c>
      <c r="Z3835">
        <v>3.422411E-4</v>
      </c>
      <c r="AA3835">
        <v>0.9999924</v>
      </c>
      <c r="AB3835">
        <v>56</v>
      </c>
      <c r="AC3835">
        <v>-57.827699999999901</v>
      </c>
      <c r="AD3835">
        <v>-1.1209116968420001</v>
      </c>
      <c r="AE3835">
        <v>-1.13740000000001</v>
      </c>
      <c r="AF3835">
        <v>0.22562150432408901</v>
      </c>
      <c r="AG3835">
        <v>-1.1209116968420001</v>
      </c>
      <c r="AH3835">
        <v>57.816729325518601</v>
      </c>
      <c r="AI3835">
        <v>91.110664277450098</v>
      </c>
      <c r="AJ3835">
        <v>89.776412562650407</v>
      </c>
      <c r="AK3835">
        <v>57.828034187542698</v>
      </c>
      <c r="AL3835">
        <v>78.208044758121403</v>
      </c>
      <c r="AM3835">
        <v>87.413140779878503</v>
      </c>
      <c r="AN3835">
        <v>0.99999995357564198</v>
      </c>
    </row>
    <row r="3836" spans="1:40" x14ac:dyDescent="0.25">
      <c r="A3836" t="str">
        <f>"20190303170615526"</f>
        <v>20190303170615526</v>
      </c>
      <c r="B3836" t="str">
        <f>"1551603975518204"</f>
        <v>1551603975518204</v>
      </c>
      <c r="C3836" t="s">
        <v>40</v>
      </c>
      <c r="D3836">
        <v>5.1512089999999997</v>
      </c>
      <c r="E3836">
        <v>0.49023879999999997</v>
      </c>
      <c r="F3836" t="s">
        <v>41</v>
      </c>
      <c r="G3836">
        <v>-351.65839999999997</v>
      </c>
      <c r="H3836" s="1">
        <v>-3.8765869999999997E-6</v>
      </c>
      <c r="I3836">
        <v>140.803</v>
      </c>
      <c r="J3836">
        <v>-297.12819999999999</v>
      </c>
      <c r="K3836">
        <v>1.120916</v>
      </c>
      <c r="L3836">
        <v>141.8716</v>
      </c>
      <c r="M3836">
        <v>-0.99967220000000001</v>
      </c>
      <c r="N3836">
        <v>-6.8853610000000004E-3</v>
      </c>
      <c r="O3836">
        <v>-2.4665780000000002E-2</v>
      </c>
      <c r="P3836">
        <v>-0.97996740000000004</v>
      </c>
      <c r="Q3836">
        <v>0.1979465</v>
      </c>
      <c r="R3836">
        <v>2.194109E-2</v>
      </c>
      <c r="S3836">
        <v>-3.0750120000000001</v>
      </c>
      <c r="T3836">
        <v>-6.2542440000000005E-2</v>
      </c>
      <c r="U3836">
        <v>-6.0394290000000003E-2</v>
      </c>
      <c r="V3836">
        <v>4.5333829999999999E-2</v>
      </c>
      <c r="W3836">
        <v>0.20485619999999999</v>
      </c>
      <c r="X3836">
        <v>0.97774170000000005</v>
      </c>
      <c r="Y3836">
        <v>5.0274020000000003E-3</v>
      </c>
      <c r="Z3836">
        <v>4.001044E-4</v>
      </c>
      <c r="AA3836">
        <v>0.99998730000000002</v>
      </c>
      <c r="AB3836">
        <v>56</v>
      </c>
      <c r="AC3836">
        <v>-54.530199999999901</v>
      </c>
      <c r="AD3836">
        <v>-1.1209198765870001</v>
      </c>
      <c r="AE3836">
        <v>-1.0686</v>
      </c>
      <c r="AF3836">
        <v>0.276669859786283</v>
      </c>
      <c r="AG3836">
        <v>-1.1209198765870001</v>
      </c>
      <c r="AH3836">
        <v>54.5169399387323</v>
      </c>
      <c r="AI3836">
        <v>91.177874317740404</v>
      </c>
      <c r="AJ3836">
        <v>89.709230209640396</v>
      </c>
      <c r="AK3836">
        <v>54.529164195542101</v>
      </c>
      <c r="AL3836">
        <v>78.1789190390203</v>
      </c>
      <c r="AM3836">
        <v>87.345333426629793</v>
      </c>
      <c r="AN3836">
        <v>1.00000002536989</v>
      </c>
    </row>
    <row r="3837" spans="1:40" x14ac:dyDescent="0.25">
      <c r="A3837" t="str">
        <f>"20190303170615548"</f>
        <v>20190303170615548</v>
      </c>
      <c r="B3837" t="str">
        <f>"1551603975538700"</f>
        <v>1551603975538700</v>
      </c>
      <c r="C3837" t="s">
        <v>40</v>
      </c>
      <c r="D3837">
        <v>5.3232059999999999</v>
      </c>
      <c r="E3837">
        <v>0.49027159999999897</v>
      </c>
      <c r="F3837" t="s">
        <v>41</v>
      </c>
      <c r="G3837">
        <v>-352.38229999999999</v>
      </c>
      <c r="H3837" s="1">
        <v>-3.5636449999999998E-6</v>
      </c>
      <c r="I3837">
        <v>140.79399999999899</v>
      </c>
      <c r="J3837">
        <v>-297.66649999999998</v>
      </c>
      <c r="K3837">
        <v>1.120927</v>
      </c>
      <c r="L3837">
        <v>141.85810000000001</v>
      </c>
      <c r="M3837">
        <v>-0.99964609999999998</v>
      </c>
      <c r="N3837">
        <v>-6.9428229999999999E-3</v>
      </c>
      <c r="O3837">
        <v>-2.5684100000000001E-2</v>
      </c>
      <c r="P3837">
        <v>-0.97988920000000002</v>
      </c>
      <c r="Q3837">
        <v>0.19831260000000001</v>
      </c>
      <c r="R3837">
        <v>2.2121229999999999E-2</v>
      </c>
      <c r="S3837">
        <v>-3.075256</v>
      </c>
      <c r="T3837">
        <v>-6.2386629999999998E-2</v>
      </c>
      <c r="U3837">
        <v>-5.9967039999999999E-2</v>
      </c>
      <c r="V3837">
        <v>4.6503950000000002E-2</v>
      </c>
      <c r="W3837">
        <v>0.20528279999999999</v>
      </c>
      <c r="X3837">
        <v>0.97759720000000006</v>
      </c>
      <c r="Y3837">
        <v>6.1861310000000001E-3</v>
      </c>
      <c r="Z3837">
        <v>4.267618E-4</v>
      </c>
      <c r="AA3837">
        <v>0.99998069999999895</v>
      </c>
      <c r="AB3837">
        <v>56</v>
      </c>
      <c r="AC3837">
        <v>-54.715800000000002</v>
      </c>
      <c r="AD3837">
        <v>-1.120930563645</v>
      </c>
      <c r="AE3837">
        <v>-1.06410000000002</v>
      </c>
      <c r="AF3837">
        <v>0.34146760538605703</v>
      </c>
      <c r="AG3837">
        <v>-1.120930563645</v>
      </c>
      <c r="AH3837">
        <v>54.702130563627598</v>
      </c>
      <c r="AI3837">
        <v>91.173891252896198</v>
      </c>
      <c r="AJ3837">
        <v>89.642346681712098</v>
      </c>
      <c r="AK3837">
        <v>54.714679690684498</v>
      </c>
      <c r="AL3837">
        <v>78.153945195700899</v>
      </c>
      <c r="AM3837">
        <v>87.276513273045893</v>
      </c>
      <c r="AN3837">
        <v>0.99999996539463998</v>
      </c>
    </row>
    <row r="3838" spans="1:40" x14ac:dyDescent="0.25">
      <c r="A3838" t="str">
        <f>"20190303170615583"</f>
        <v>20190303170615583</v>
      </c>
      <c r="B3838" t="str">
        <f>"1551603975568957"</f>
        <v>1551603975568957</v>
      </c>
      <c r="C3838" t="s">
        <v>40</v>
      </c>
      <c r="D3838">
        <v>5.2697659999999997</v>
      </c>
      <c r="E3838">
        <v>0.4903942</v>
      </c>
      <c r="F3838" t="s">
        <v>41</v>
      </c>
      <c r="G3838">
        <v>-353.67660000000001</v>
      </c>
      <c r="H3838" s="1">
        <v>-2.9989619999999998E-6</v>
      </c>
      <c r="I3838">
        <v>140.7586</v>
      </c>
      <c r="J3838">
        <v>-298.54140000000001</v>
      </c>
      <c r="K3838">
        <v>1.120933</v>
      </c>
      <c r="L3838">
        <v>141.83510000000001</v>
      </c>
      <c r="M3838">
        <v>-0.99960159999999998</v>
      </c>
      <c r="N3838">
        <v>-7.0225620000000004E-3</v>
      </c>
      <c r="O3838">
        <v>-2.73352E-2</v>
      </c>
      <c r="P3838">
        <v>-0.97987740000000001</v>
      </c>
      <c r="Q3838">
        <v>0.19851199999999999</v>
      </c>
      <c r="R3838">
        <v>2.0811920000000001E-2</v>
      </c>
      <c r="S3838">
        <v>-3.0753780000000002</v>
      </c>
      <c r="T3838">
        <v>-6.1547520000000001E-2</v>
      </c>
      <c r="U3838">
        <v>-6.0363769999999997E-2</v>
      </c>
      <c r="V3838">
        <v>4.6806E-2</v>
      </c>
      <c r="W3838">
        <v>0.20556179999999999</v>
      </c>
      <c r="X3838">
        <v>0.97752419999999995</v>
      </c>
      <c r="Y3838">
        <v>7.7092590000000004E-3</v>
      </c>
      <c r="Z3838">
        <v>4.5910200000000002E-4</v>
      </c>
      <c r="AA3838">
        <v>0.99997020000000003</v>
      </c>
      <c r="AB3838">
        <v>56</v>
      </c>
      <c r="AC3838">
        <v>-55.135199999999998</v>
      </c>
      <c r="AD3838">
        <v>-1.120935998962</v>
      </c>
      <c r="AE3838">
        <v>-1.07650000000001</v>
      </c>
      <c r="AF3838">
        <v>0.43089321428240102</v>
      </c>
      <c r="AG3838">
        <v>-1.120935998962</v>
      </c>
      <c r="AH3838">
        <v>55.1212483886003</v>
      </c>
      <c r="AI3838">
        <v>91.164960721426397</v>
      </c>
      <c r="AJ3838">
        <v>89.552117188013099</v>
      </c>
      <c r="AK3838">
        <v>55.134328602003002</v>
      </c>
      <c r="AL3838">
        <v>78.137611844962706</v>
      </c>
      <c r="AM3838">
        <v>87.258646326648105</v>
      </c>
      <c r="AN3838">
        <v>1.0000000084204399</v>
      </c>
    </row>
    <row r="3839" spans="1:40" x14ac:dyDescent="0.25">
      <c r="A3839" t="str">
        <f>"20190303170615605"</f>
        <v>20190303170615605</v>
      </c>
      <c r="B3839" t="str">
        <f>"1551603975599213"</f>
        <v>1551603975599213</v>
      </c>
      <c r="C3839" t="s">
        <v>40</v>
      </c>
      <c r="D3839">
        <v>5.3102269999999896</v>
      </c>
      <c r="E3839">
        <v>0.49055549999999998</v>
      </c>
      <c r="F3839" t="s">
        <v>41</v>
      </c>
      <c r="G3839">
        <v>-353.98820000000001</v>
      </c>
      <c r="H3839" s="1">
        <v>-2.8458989999999999E-6</v>
      </c>
      <c r="I3839">
        <v>140.6857</v>
      </c>
      <c r="J3839">
        <v>-299.0822</v>
      </c>
      <c r="K3839">
        <v>1.1209260000000001</v>
      </c>
      <c r="L3839">
        <v>141.8201</v>
      </c>
      <c r="M3839">
        <v>-0.99957359999999995</v>
      </c>
      <c r="N3839">
        <v>-7.0560889999999998E-3</v>
      </c>
      <c r="O3839">
        <v>-2.833633E-2</v>
      </c>
      <c r="P3839">
        <v>-0.97980100000000003</v>
      </c>
      <c r="Q3839">
        <v>0.1988569</v>
      </c>
      <c r="R3839">
        <v>2.1118370000000001E-2</v>
      </c>
      <c r="S3839">
        <v>-3.0755309999999998</v>
      </c>
      <c r="T3839">
        <v>-6.2176229999999999E-2</v>
      </c>
      <c r="U3839">
        <v>-6.3751219999999997E-2</v>
      </c>
      <c r="V3839">
        <v>4.809074E-2</v>
      </c>
      <c r="W3839">
        <v>0.20594309999999999</v>
      </c>
      <c r="X3839">
        <v>0.97738159999999996</v>
      </c>
      <c r="Y3839">
        <v>7.6106519999999999E-3</v>
      </c>
      <c r="Z3839">
        <v>4.7646519999999999E-4</v>
      </c>
      <c r="AA3839">
        <v>0.9999709</v>
      </c>
      <c r="AB3839">
        <v>56</v>
      </c>
      <c r="AC3839">
        <v>-54.905999999999999</v>
      </c>
      <c r="AD3839">
        <v>-1.1209288458990001</v>
      </c>
      <c r="AE3839">
        <v>-1.1343999999999901</v>
      </c>
      <c r="AF3839">
        <v>0.42175301488620698</v>
      </c>
      <c r="AG3839">
        <v>-1.1209288458990001</v>
      </c>
      <c r="AH3839">
        <v>54.8932275451251</v>
      </c>
      <c r="AI3839">
        <v>91.169792259004694</v>
      </c>
      <c r="AJ3839">
        <v>89.559796474708804</v>
      </c>
      <c r="AK3839">
        <v>54.906290963823203</v>
      </c>
      <c r="AL3839">
        <v>78.115287641055303</v>
      </c>
      <c r="AM3839">
        <v>87.183110408332496</v>
      </c>
      <c r="AN3839">
        <v>1.0000000358649499</v>
      </c>
    </row>
    <row r="3840" spans="1:40" x14ac:dyDescent="0.25">
      <c r="A3840" t="str">
        <f>"20190303170615627"</f>
        <v>20190303170615627</v>
      </c>
      <c r="B3840" t="str">
        <f>"1551603975618732"</f>
        <v>1551603975618732</v>
      </c>
      <c r="C3840" t="s">
        <v>40</v>
      </c>
      <c r="D3840">
        <v>5.2303290000000002</v>
      </c>
      <c r="E3840">
        <v>0.4906276</v>
      </c>
      <c r="F3840" t="s">
        <v>41</v>
      </c>
      <c r="G3840">
        <v>-353.58390000000003</v>
      </c>
      <c r="H3840" s="1">
        <v>-3.0371620000000001E-6</v>
      </c>
      <c r="I3840">
        <v>140.7527</v>
      </c>
      <c r="J3840">
        <v>-299.66649999999998</v>
      </c>
      <c r="K3840">
        <v>1.1209020000000001</v>
      </c>
      <c r="L3840">
        <v>141.80340000000001</v>
      </c>
      <c r="M3840">
        <v>-0.99954370000000003</v>
      </c>
      <c r="N3840">
        <v>-7.0823880000000002E-3</v>
      </c>
      <c r="O3840">
        <v>-2.9365059999999998E-2</v>
      </c>
      <c r="P3840">
        <v>-0.97965500000000005</v>
      </c>
      <c r="Q3840">
        <v>0.1995662</v>
      </c>
      <c r="R3840">
        <v>2.1200409999999999E-2</v>
      </c>
      <c r="S3840">
        <v>-3.0759889999999999</v>
      </c>
      <c r="T3840">
        <v>-6.3263539999999993E-2</v>
      </c>
      <c r="U3840">
        <v>-6.0241699999999898E-2</v>
      </c>
      <c r="V3840">
        <v>4.9184190000000003E-2</v>
      </c>
      <c r="W3840">
        <v>0.20667840000000001</v>
      </c>
      <c r="X3840">
        <v>0.97717189999999998</v>
      </c>
      <c r="Y3840">
        <v>9.7824190000000005E-3</v>
      </c>
      <c r="Z3840">
        <v>5.3096429999999997E-4</v>
      </c>
      <c r="AA3840">
        <v>0.99995199999999995</v>
      </c>
      <c r="AB3840">
        <v>57</v>
      </c>
      <c r="AC3840">
        <v>-53.917400000000001</v>
      </c>
      <c r="AD3840">
        <v>-1.120905037162</v>
      </c>
      <c r="AE3840">
        <v>-1.0507</v>
      </c>
      <c r="AF3840">
        <v>0.53285026249170897</v>
      </c>
      <c r="AG3840">
        <v>-1.120905037162</v>
      </c>
      <c r="AH3840">
        <v>53.901714584538503</v>
      </c>
      <c r="AI3840">
        <v>91.191255910071206</v>
      </c>
      <c r="AJ3840">
        <v>89.433615851910304</v>
      </c>
      <c r="AK3840">
        <v>53.9160012673197</v>
      </c>
      <c r="AL3840">
        <v>78.0722311439782</v>
      </c>
      <c r="AM3840">
        <v>87.118551668312307</v>
      </c>
      <c r="AN3840">
        <v>0.99999998386106204</v>
      </c>
    </row>
    <row r="3841" spans="1:40" x14ac:dyDescent="0.25">
      <c r="A3841" t="str">
        <f>"20190303170615648"</f>
        <v>20190303170615648</v>
      </c>
      <c r="B3841" t="str">
        <f>"1551603975638256"</f>
        <v>1551603975638256</v>
      </c>
      <c r="C3841" t="s">
        <v>40</v>
      </c>
      <c r="D3841">
        <v>5.2043699999999999</v>
      </c>
      <c r="E3841">
        <v>0.49071880000000001</v>
      </c>
      <c r="F3841" t="s">
        <v>41</v>
      </c>
      <c r="G3841">
        <v>-355.66860000000003</v>
      </c>
      <c r="H3841" s="1">
        <v>-2.1369759999999998E-6</v>
      </c>
      <c r="I3841">
        <v>140.73070000000001</v>
      </c>
      <c r="J3841">
        <v>-300.21409999999997</v>
      </c>
      <c r="K3841">
        <v>1.120862</v>
      </c>
      <c r="L3841">
        <v>141.78720000000001</v>
      </c>
      <c r="M3841">
        <v>-0.99951650000000003</v>
      </c>
      <c r="N3841">
        <v>-7.1027199999999999E-3</v>
      </c>
      <c r="O3841">
        <v>-3.0273669999999999E-2</v>
      </c>
      <c r="P3841">
        <v>-0.97950910000000002</v>
      </c>
      <c r="Q3841">
        <v>0.20033280000000001</v>
      </c>
      <c r="R3841">
        <v>2.0712419999999999E-2</v>
      </c>
      <c r="S3841">
        <v>-3.076111</v>
      </c>
      <c r="T3841">
        <v>-6.1569569999999997E-2</v>
      </c>
      <c r="U3841">
        <v>-5.8914179999999997E-2</v>
      </c>
      <c r="V3841">
        <v>4.9596139999999997E-2</v>
      </c>
      <c r="W3841">
        <v>0.2074607</v>
      </c>
      <c r="X3841">
        <v>0.97698529999999995</v>
      </c>
      <c r="Y3841">
        <v>1.112347E-2</v>
      </c>
      <c r="Z3841">
        <v>5.4148710000000004E-4</v>
      </c>
      <c r="AA3841">
        <v>0.99993799999999999</v>
      </c>
      <c r="AB3841">
        <v>57</v>
      </c>
      <c r="AC3841">
        <v>-55.454500000000003</v>
      </c>
      <c r="AD3841">
        <v>-1.120864136976</v>
      </c>
      <c r="AE3841">
        <v>-1.05649999999999</v>
      </c>
      <c r="AF3841">
        <v>0.62258344968703305</v>
      </c>
      <c r="AG3841">
        <v>-1.120864136976</v>
      </c>
      <c r="AH3841">
        <v>55.438425463822597</v>
      </c>
      <c r="AI3841">
        <v>91.158185641535198</v>
      </c>
      <c r="AJ3841">
        <v>89.356585179186695</v>
      </c>
      <c r="AK3841">
        <v>55.453250260676299</v>
      </c>
      <c r="AL3841">
        <v>78.026415828167202</v>
      </c>
      <c r="AM3841">
        <v>87.093904828504805</v>
      </c>
      <c r="AN3841">
        <v>0.99999999778173898</v>
      </c>
    </row>
    <row r="3842" spans="1:40" x14ac:dyDescent="0.25">
      <c r="A3842" t="str">
        <f>"20190303170615671"</f>
        <v>20190303170615671</v>
      </c>
      <c r="B3842" t="str">
        <f>"1551603975658749"</f>
        <v>1551603975658749</v>
      </c>
      <c r="C3842" t="s">
        <v>40</v>
      </c>
      <c r="D3842">
        <v>5.4253</v>
      </c>
      <c r="E3842">
        <v>0.49079650000000002</v>
      </c>
      <c r="F3842" t="s">
        <v>41</v>
      </c>
      <c r="G3842">
        <v>-357.6567</v>
      </c>
      <c r="H3842" s="1">
        <v>-1.2681659999999999E-6</v>
      </c>
      <c r="I3842">
        <v>140.67080000000001</v>
      </c>
      <c r="J3842">
        <v>-300.76679999999999</v>
      </c>
      <c r="K3842">
        <v>1.120806</v>
      </c>
      <c r="L3842">
        <v>141.7704</v>
      </c>
      <c r="M3842">
        <v>-0.99949060000000001</v>
      </c>
      <c r="N3842">
        <v>-7.1212030000000004E-3</v>
      </c>
      <c r="O3842">
        <v>-3.1112399999999998E-2</v>
      </c>
      <c r="P3842">
        <v>-0.97949609999999998</v>
      </c>
      <c r="Q3842">
        <v>0.2004773</v>
      </c>
      <c r="R3842">
        <v>1.9906050000000002E-2</v>
      </c>
      <c r="S3842">
        <v>-3.076263</v>
      </c>
      <c r="T3842">
        <v>-6.0026410000000002E-2</v>
      </c>
      <c r="U3842">
        <v>-5.9783940000000001E-2</v>
      </c>
      <c r="V3842">
        <v>4.9637140000000003E-2</v>
      </c>
      <c r="W3842">
        <v>0.207617</v>
      </c>
      <c r="X3842">
        <v>0.97694999999999999</v>
      </c>
      <c r="Y3842">
        <v>1.168103E-2</v>
      </c>
      <c r="Z3842">
        <v>5.4082909999999997E-4</v>
      </c>
      <c r="AA3842">
        <v>0.99993160000000003</v>
      </c>
      <c r="AB3842">
        <v>57</v>
      </c>
      <c r="AC3842">
        <v>-56.889899999999997</v>
      </c>
      <c r="AD3842">
        <v>-1.120807268166</v>
      </c>
      <c r="AE3842">
        <v>-1.0995999999999799</v>
      </c>
      <c r="AF3842">
        <v>0.67069819327811597</v>
      </c>
      <c r="AG3842">
        <v>-1.120807268166</v>
      </c>
      <c r="AH3842">
        <v>56.874502632566298</v>
      </c>
      <c r="AI3842">
        <v>91.1288846325957</v>
      </c>
      <c r="AJ3842">
        <v>89.324365175451106</v>
      </c>
      <c r="AK3842">
        <v>56.889498984440202</v>
      </c>
      <c r="AL3842">
        <v>78.0172609968605</v>
      </c>
      <c r="AM3842">
        <v>87.091401637317503</v>
      </c>
      <c r="AN3842">
        <v>0.99999998342818897</v>
      </c>
    </row>
    <row r="3843" spans="1:40" x14ac:dyDescent="0.25">
      <c r="A3843" t="str">
        <f>"20190303170615693"</f>
        <v>20190303170615693</v>
      </c>
      <c r="B3843" t="str">
        <f>"1551603975689004"</f>
        <v>1551603975689004</v>
      </c>
      <c r="C3843" t="s">
        <v>40</v>
      </c>
      <c r="D3843">
        <v>5.1891220000000002</v>
      </c>
      <c r="E3843">
        <v>0.4909905</v>
      </c>
      <c r="F3843" t="s">
        <v>41</v>
      </c>
      <c r="G3843">
        <v>-357.52260000000001</v>
      </c>
      <c r="H3843" s="1">
        <v>-1.31435E-6</v>
      </c>
      <c r="I3843">
        <v>140.62819999999999</v>
      </c>
      <c r="J3843">
        <v>-301.34609999999998</v>
      </c>
      <c r="K3843">
        <v>1.1207149999999999</v>
      </c>
      <c r="L3843">
        <v>141.75229999999999</v>
      </c>
      <c r="M3843">
        <v>-0.99946650000000004</v>
      </c>
      <c r="N3843">
        <v>-7.1392829999999997E-3</v>
      </c>
      <c r="O3843">
        <v>-3.1876050000000003E-2</v>
      </c>
      <c r="P3843">
        <v>-0.97963909999999998</v>
      </c>
      <c r="Q3843">
        <v>0.19988909999999999</v>
      </c>
      <c r="R3843">
        <v>1.8761570000000002E-2</v>
      </c>
      <c r="S3843">
        <v>-3.0764469999999999</v>
      </c>
      <c r="T3843">
        <v>-6.0753349999999998E-2</v>
      </c>
      <c r="U3843">
        <v>-6.190491E-2</v>
      </c>
      <c r="V3843">
        <v>4.9288249999999999E-2</v>
      </c>
      <c r="W3843">
        <v>0.20703579999999999</v>
      </c>
      <c r="X3843">
        <v>0.97709100000000004</v>
      </c>
      <c r="Y3843">
        <v>1.1756849999999999E-2</v>
      </c>
      <c r="Z3843">
        <v>5.5968589999999996E-4</v>
      </c>
      <c r="AA3843">
        <v>0.99993069999999895</v>
      </c>
      <c r="AB3843">
        <v>57</v>
      </c>
      <c r="AC3843">
        <v>-56.176499999999997</v>
      </c>
      <c r="AD3843">
        <v>-1.1207163143500001</v>
      </c>
      <c r="AE3843">
        <v>-1.1240999999999901</v>
      </c>
      <c r="AF3843">
        <v>0.666936187807738</v>
      </c>
      <c r="AG3843">
        <v>-1.1207163143500001</v>
      </c>
      <c r="AH3843">
        <v>56.161440841010503</v>
      </c>
      <c r="AI3843">
        <v>91.143120031958901</v>
      </c>
      <c r="AJ3843">
        <v>89.319625136920195</v>
      </c>
      <c r="AK3843">
        <v>56.176580941475699</v>
      </c>
      <c r="AL3843">
        <v>78.051300988239404</v>
      </c>
      <c r="AM3843">
        <v>87.112226961476594</v>
      </c>
      <c r="AN3843">
        <v>0.99999998817535096</v>
      </c>
    </row>
    <row r="3844" spans="1:40" x14ac:dyDescent="0.25">
      <c r="A3844" t="str">
        <f>"20190303170615716"</f>
        <v>20190303170615716</v>
      </c>
      <c r="B3844" t="str">
        <f>"1551603975708524"</f>
        <v>1551603975708524</v>
      </c>
      <c r="C3844" t="s">
        <v>40</v>
      </c>
      <c r="D3844">
        <v>5.1821250000000001</v>
      </c>
      <c r="E3844">
        <v>0.49111759999999899</v>
      </c>
      <c r="F3844" t="s">
        <v>41</v>
      </c>
      <c r="G3844">
        <v>-355.06330000000003</v>
      </c>
      <c r="H3844" s="1">
        <v>-2.374918E-6</v>
      </c>
      <c r="I3844">
        <v>140.649</v>
      </c>
      <c r="J3844">
        <v>-301.93819999999999</v>
      </c>
      <c r="K3844">
        <v>1.1206</v>
      </c>
      <c r="L3844">
        <v>141.73349999999999</v>
      </c>
      <c r="M3844">
        <v>-0.99944580000000005</v>
      </c>
      <c r="N3844">
        <v>-7.1569609999999999E-3</v>
      </c>
      <c r="O3844">
        <v>-3.2509169999999997E-2</v>
      </c>
      <c r="P3844">
        <v>-0.97987469999999999</v>
      </c>
      <c r="Q3844">
        <v>0.19871849999999999</v>
      </c>
      <c r="R3844">
        <v>1.888455E-2</v>
      </c>
      <c r="S3844">
        <v>-3.0766300000000002</v>
      </c>
      <c r="T3844">
        <v>-6.4188599999999998E-2</v>
      </c>
      <c r="U3844">
        <v>-6.3186649999999997E-2</v>
      </c>
      <c r="V3844">
        <v>5.0097460000000003E-2</v>
      </c>
      <c r="W3844">
        <v>0.2058731</v>
      </c>
      <c r="X3844">
        <v>0.97729549999999998</v>
      </c>
      <c r="Y3844">
        <v>1.1974169999999999E-2</v>
      </c>
      <c r="Z3844">
        <v>6.1302209999999999E-4</v>
      </c>
      <c r="AA3844">
        <v>0.99992809999999999</v>
      </c>
      <c r="AB3844">
        <v>57</v>
      </c>
      <c r="AC3844">
        <v>-53.125100000000003</v>
      </c>
      <c r="AD3844">
        <v>-1.1206023749179901</v>
      </c>
      <c r="AE3844">
        <v>-1.08449999999999</v>
      </c>
      <c r="AF3844">
        <v>0.64288449021189598</v>
      </c>
      <c r="AG3844">
        <v>-1.1206023749179901</v>
      </c>
      <c r="AH3844">
        <v>53.108655273350102</v>
      </c>
      <c r="AI3844">
        <v>91.208683570863002</v>
      </c>
      <c r="AJ3844">
        <v>89.306463912278105</v>
      </c>
      <c r="AK3844">
        <v>53.124366491224698</v>
      </c>
      <c r="AL3844">
        <v>78.119385637482907</v>
      </c>
      <c r="AM3844">
        <v>87.065511099854206</v>
      </c>
      <c r="AN3844">
        <v>0.99999999156115504</v>
      </c>
    </row>
    <row r="3845" spans="1:40" x14ac:dyDescent="0.25">
      <c r="A3845" t="str">
        <f>"20190303170615738"</f>
        <v>20190303170615738</v>
      </c>
      <c r="B3845" t="str">
        <f>"1551603975729020"</f>
        <v>1551603975729020</v>
      </c>
      <c r="C3845" t="s">
        <v>40</v>
      </c>
      <c r="D3845">
        <v>5.3727400000000003</v>
      </c>
      <c r="E3845">
        <v>0.49122290000000002</v>
      </c>
      <c r="F3845" t="s">
        <v>41</v>
      </c>
      <c r="G3845">
        <v>-352.13720000000001</v>
      </c>
      <c r="H3845" s="1">
        <v>-3.655157E-6</v>
      </c>
      <c r="I3845">
        <v>140.74279999999999</v>
      </c>
      <c r="J3845">
        <v>-302.48930000000001</v>
      </c>
      <c r="K3845">
        <v>1.120474</v>
      </c>
      <c r="L3845">
        <v>141.7158</v>
      </c>
      <c r="M3845">
        <v>-0.99943110000000002</v>
      </c>
      <c r="N3845">
        <v>-7.1731629999999998E-3</v>
      </c>
      <c r="O3845">
        <v>-3.2955150000000002E-2</v>
      </c>
      <c r="P3845">
        <v>-0.97991410000000001</v>
      </c>
      <c r="Q3845">
        <v>0.1984687</v>
      </c>
      <c r="R3845">
        <v>1.9461470000000002E-2</v>
      </c>
      <c r="S3845">
        <v>-3.0766909999999998</v>
      </c>
      <c r="T3845">
        <v>-6.8681599999999995E-2</v>
      </c>
      <c r="U3845">
        <v>-6.071472E-2</v>
      </c>
      <c r="V3845">
        <v>5.1173059999999999E-2</v>
      </c>
      <c r="W3845">
        <v>0.20562759999999999</v>
      </c>
      <c r="X3845">
        <v>0.97729149999999998</v>
      </c>
      <c r="Y3845">
        <v>1.322224E-2</v>
      </c>
      <c r="Z3845">
        <v>6.9392199999999905E-4</v>
      </c>
      <c r="AA3845">
        <v>0.99991229999999998</v>
      </c>
      <c r="AB3845">
        <v>57</v>
      </c>
      <c r="AC3845">
        <v>-49.6478999999999</v>
      </c>
      <c r="AD3845">
        <v>-1.1204776551569999</v>
      </c>
      <c r="AE3845">
        <v>-0.97300000000001297</v>
      </c>
      <c r="AF3845">
        <v>0.66338684347935395</v>
      </c>
      <c r="AG3845">
        <v>-1.1204776551569999</v>
      </c>
      <c r="AH3845">
        <v>49.6277301242622</v>
      </c>
      <c r="AI3845">
        <v>91.293268974653998</v>
      </c>
      <c r="AJ3845">
        <v>89.234157947887596</v>
      </c>
      <c r="AK3845">
        <v>49.644809895561202</v>
      </c>
      <c r="AL3845">
        <v>78.133759793109405</v>
      </c>
      <c r="AM3845">
        <v>87.002608620700798</v>
      </c>
      <c r="AN3845">
        <v>1.00000003396188</v>
      </c>
    </row>
    <row r="3846" spans="1:40" x14ac:dyDescent="0.25">
      <c r="A3846" t="str">
        <f>"20190303170615760"</f>
        <v>20190303170615760</v>
      </c>
      <c r="B3846" t="str">
        <f>"1551603975748541"</f>
        <v>1551603975748541</v>
      </c>
      <c r="C3846" t="s">
        <v>40</v>
      </c>
      <c r="D3846">
        <v>5.1929119999999998</v>
      </c>
      <c r="E3846">
        <v>0.49132150000000002</v>
      </c>
      <c r="F3846" t="s">
        <v>41</v>
      </c>
      <c r="G3846">
        <v>-351.61680000000001</v>
      </c>
      <c r="H3846" s="1">
        <v>-3.8937069999999996E-6</v>
      </c>
      <c r="I3846">
        <v>140.80029999999999</v>
      </c>
      <c r="J3846">
        <v>-303.04169999999999</v>
      </c>
      <c r="K3846">
        <v>1.1203430000000001</v>
      </c>
      <c r="L3846">
        <v>141.6977</v>
      </c>
      <c r="M3846">
        <v>-0.99942089999999995</v>
      </c>
      <c r="N3846">
        <v>-7.1895529999999996E-3</v>
      </c>
      <c r="O3846">
        <v>-3.3259610000000002E-2</v>
      </c>
      <c r="P3846">
        <v>-0.97974669999999997</v>
      </c>
      <c r="Q3846">
        <v>0.19920499999999999</v>
      </c>
      <c r="R3846">
        <v>2.0346079999999999E-2</v>
      </c>
      <c r="S3846">
        <v>-3.076813</v>
      </c>
      <c r="T3846">
        <v>-7.0174570000000006E-2</v>
      </c>
      <c r="U3846">
        <v>-5.732727E-2</v>
      </c>
      <c r="V3846">
        <v>5.2415240000000002E-2</v>
      </c>
      <c r="W3846">
        <v>0.20636389999999999</v>
      </c>
      <c r="X3846">
        <v>0.97707040000000001</v>
      </c>
      <c r="Y3846">
        <v>1.462716E-2</v>
      </c>
      <c r="Z3846">
        <v>7.3847219999999996E-4</v>
      </c>
      <c r="AA3846">
        <v>0.99989280000000003</v>
      </c>
      <c r="AB3846">
        <v>57</v>
      </c>
      <c r="AC3846">
        <v>-48.575099999999999</v>
      </c>
      <c r="AD3846">
        <v>-1.120346893707</v>
      </c>
      <c r="AE3846">
        <v>-0.89740000000000397</v>
      </c>
      <c r="AF3846">
        <v>0.71834513278018997</v>
      </c>
      <c r="AG3846">
        <v>-1.120346893707</v>
      </c>
      <c r="AH3846">
        <v>48.552253230095502</v>
      </c>
      <c r="AI3846">
        <v>91.321725235326198</v>
      </c>
      <c r="AJ3846">
        <v>89.1523536228772</v>
      </c>
      <c r="AK3846">
        <v>48.570489915290601</v>
      </c>
      <c r="AL3846">
        <v>78.090647781672502</v>
      </c>
      <c r="AM3846">
        <v>86.929293798395506</v>
      </c>
      <c r="AN3846">
        <v>0.99999999158181296</v>
      </c>
    </row>
    <row r="3847" spans="1:40" x14ac:dyDescent="0.25">
      <c r="A3847" t="str">
        <f>"20190303170615785"</f>
        <v>20190303170615785</v>
      </c>
      <c r="B3847" t="str">
        <f>"1551603975769037"</f>
        <v>1551603975769037</v>
      </c>
      <c r="C3847" t="s">
        <v>40</v>
      </c>
      <c r="D3847">
        <v>5.2798689999999997</v>
      </c>
      <c r="E3847">
        <v>0.49140050000000002</v>
      </c>
      <c r="F3847" t="s">
        <v>41</v>
      </c>
      <c r="G3847">
        <v>-352.53469999999999</v>
      </c>
      <c r="H3847" s="1">
        <v>-3.5119819999999999E-6</v>
      </c>
      <c r="I3847">
        <v>140.84559999999999</v>
      </c>
      <c r="J3847">
        <v>-303.65780000000001</v>
      </c>
      <c r="K3847">
        <v>1.120188</v>
      </c>
      <c r="L3847">
        <v>141.67750000000001</v>
      </c>
      <c r="M3847">
        <v>-0.99941530000000001</v>
      </c>
      <c r="N3847">
        <v>-7.2080260000000002E-3</v>
      </c>
      <c r="O3847">
        <v>-3.3425499999999997E-2</v>
      </c>
      <c r="P3847">
        <v>-0.97950380000000004</v>
      </c>
      <c r="Q3847">
        <v>0.2004465</v>
      </c>
      <c r="R3847">
        <v>1.983379E-2</v>
      </c>
      <c r="S3847">
        <v>-3.0772710000000001</v>
      </c>
      <c r="T3847">
        <v>-6.9658520000000002E-2</v>
      </c>
      <c r="U3847">
        <v>-5.2978520000000001E-2</v>
      </c>
      <c r="V3847">
        <v>5.2138179999999999E-2</v>
      </c>
      <c r="W3847">
        <v>0.20760010000000001</v>
      </c>
      <c r="X3847">
        <v>0.97682329999999995</v>
      </c>
      <c r="Y3847">
        <v>1.620806E-2</v>
      </c>
      <c r="Z3847">
        <v>7.5721339999999999E-4</v>
      </c>
      <c r="AA3847">
        <v>0.99986830000000004</v>
      </c>
      <c r="AB3847">
        <v>57</v>
      </c>
      <c r="AC3847">
        <v>-48.8768999999999</v>
      </c>
      <c r="AD3847">
        <v>-1.1201915119820001</v>
      </c>
      <c r="AE3847">
        <v>-0.83190000000001796</v>
      </c>
      <c r="AF3847">
        <v>0.80192091360798101</v>
      </c>
      <c r="AG3847">
        <v>-1.1201915119820001</v>
      </c>
      <c r="AH3847">
        <v>48.851741539204802</v>
      </c>
      <c r="AI3847">
        <v>91.313409863064194</v>
      </c>
      <c r="AJ3847">
        <v>89.059551286012805</v>
      </c>
      <c r="AK3847">
        <v>48.8711628426055</v>
      </c>
      <c r="AL3847">
        <v>78.018250764880307</v>
      </c>
      <c r="AM3847">
        <v>86.944723113179506</v>
      </c>
      <c r="AN3847">
        <v>0.99999997537830498</v>
      </c>
    </row>
    <row r="3848" spans="1:40" x14ac:dyDescent="0.25">
      <c r="A3848" t="str">
        <f>"20190303170615807"</f>
        <v>20190303170615807</v>
      </c>
      <c r="B3848" t="str">
        <f>"1551603975799292"</f>
        <v>1551603975799292</v>
      </c>
      <c r="C3848" t="s">
        <v>40</v>
      </c>
      <c r="D3848">
        <v>5.2067449999999997</v>
      </c>
      <c r="E3848">
        <v>0.49138219999999999</v>
      </c>
      <c r="F3848" t="s">
        <v>41</v>
      </c>
      <c r="G3848">
        <v>-356.14870000000002</v>
      </c>
      <c r="H3848" s="1">
        <v>-1.9399409999999999E-6</v>
      </c>
      <c r="I3848">
        <v>140.76410000000001</v>
      </c>
      <c r="J3848">
        <v>-304.24520000000001</v>
      </c>
      <c r="K3848">
        <v>1.1200239999999999</v>
      </c>
      <c r="L3848">
        <v>141.65809999999999</v>
      </c>
      <c r="M3848">
        <v>-0.99941619999999998</v>
      </c>
      <c r="N3848">
        <v>-7.2290660000000001E-3</v>
      </c>
      <c r="O3848">
        <v>-3.3392440000000002E-2</v>
      </c>
      <c r="P3848">
        <v>-0.97940340000000004</v>
      </c>
      <c r="Q3848">
        <v>0.20096600000000001</v>
      </c>
      <c r="R3848">
        <v>1.953825E-2</v>
      </c>
      <c r="S3848">
        <v>-3.0773009999999998</v>
      </c>
      <c r="T3848">
        <v>-6.5671679999999996E-2</v>
      </c>
      <c r="U3848">
        <v>-5.3543090000000002E-2</v>
      </c>
      <c r="V3848">
        <v>5.1893719999999997E-2</v>
      </c>
      <c r="W3848">
        <v>0.208117</v>
      </c>
      <c r="X3848">
        <v>0.97672639999999999</v>
      </c>
      <c r="Y3848">
        <v>1.5993029999999998E-2</v>
      </c>
      <c r="Z3848">
        <v>6.9935699999999995E-4</v>
      </c>
      <c r="AA3848">
        <v>0.99987190000000004</v>
      </c>
      <c r="AB3848">
        <v>58</v>
      </c>
      <c r="AC3848">
        <v>-51.903500000000001</v>
      </c>
      <c r="AD3848">
        <v>-1.120025939941</v>
      </c>
      <c r="AE3848">
        <v>-0.89399999999997704</v>
      </c>
      <c r="AF3848">
        <v>0.83933762108540599</v>
      </c>
      <c r="AG3848">
        <v>-1.120025939941</v>
      </c>
      <c r="AH3848">
        <v>51.880255350349501</v>
      </c>
      <c r="AI3848">
        <v>91.236586043408195</v>
      </c>
      <c r="AJ3848">
        <v>89.073128921944004</v>
      </c>
      <c r="AK3848">
        <v>51.899131408587003</v>
      </c>
      <c r="AL3848">
        <v>77.987974217661204</v>
      </c>
      <c r="AM3848">
        <v>86.958720296798404</v>
      </c>
      <c r="AN3848">
        <v>1.00000005216069</v>
      </c>
    </row>
    <row r="3849" spans="1:40" x14ac:dyDescent="0.25">
      <c r="A3849" t="str">
        <f>"20190303170615828"</f>
        <v>20190303170615828</v>
      </c>
      <c r="B3849" t="str">
        <f>"1551603975818813"</f>
        <v>1551603975818813</v>
      </c>
      <c r="C3849" t="s">
        <v>40</v>
      </c>
      <c r="D3849">
        <v>5.2685979999999999</v>
      </c>
      <c r="E3849">
        <v>0.49153170000000002</v>
      </c>
      <c r="F3849" t="s">
        <v>41</v>
      </c>
      <c r="G3849">
        <v>-357.77940000000001</v>
      </c>
      <c r="H3849" s="1">
        <v>-1.22659E-6</v>
      </c>
      <c r="I3849">
        <v>140.7123</v>
      </c>
      <c r="J3849">
        <v>-304.80160000000001</v>
      </c>
      <c r="K3849">
        <v>1.1198589999999999</v>
      </c>
      <c r="L3849">
        <v>141.63980000000001</v>
      </c>
      <c r="M3849">
        <v>-0.99942149999999996</v>
      </c>
      <c r="N3849">
        <v>-7.2524919999999897E-3</v>
      </c>
      <c r="O3849">
        <v>-3.322758E-2</v>
      </c>
      <c r="P3849">
        <v>-0.97939770000000004</v>
      </c>
      <c r="Q3849">
        <v>0.2010749</v>
      </c>
      <c r="R3849">
        <v>1.869498E-2</v>
      </c>
      <c r="S3849">
        <v>-3.0773619999999999</v>
      </c>
      <c r="T3849">
        <v>-6.4383629999999997E-2</v>
      </c>
      <c r="U3849">
        <v>-5.4367070000000003E-2</v>
      </c>
      <c r="V3849">
        <v>5.0973409999999997E-2</v>
      </c>
      <c r="W3849">
        <v>0.2082271</v>
      </c>
      <c r="X3849">
        <v>0.97675129999999999</v>
      </c>
      <c r="Y3849">
        <v>1.556133E-2</v>
      </c>
      <c r="Z3849">
        <v>6.7309589999999995E-4</v>
      </c>
      <c r="AA3849">
        <v>0.99987870000000001</v>
      </c>
      <c r="AB3849">
        <v>58</v>
      </c>
      <c r="AC3849">
        <v>-52.977800000000002</v>
      </c>
      <c r="AD3849">
        <v>-1.11986022659</v>
      </c>
      <c r="AE3849">
        <v>-0.92750000000000898</v>
      </c>
      <c r="AF3849">
        <v>0.83301046406349899</v>
      </c>
      <c r="AG3849">
        <v>-1.11986022659</v>
      </c>
      <c r="AH3849">
        <v>52.9557093085185</v>
      </c>
      <c r="AI3849">
        <v>91.211309791964595</v>
      </c>
      <c r="AJ3849">
        <v>89.098793153084202</v>
      </c>
      <c r="AK3849">
        <v>52.974098781655997</v>
      </c>
      <c r="AL3849">
        <v>77.981523507077497</v>
      </c>
      <c r="AM3849">
        <v>87.012633358748303</v>
      </c>
      <c r="AN3849">
        <v>0.99999995787656304</v>
      </c>
    </row>
    <row r="3850" spans="1:40" x14ac:dyDescent="0.25">
      <c r="A3850" t="str">
        <f>"20190303170615850"</f>
        <v>20190303170615850</v>
      </c>
      <c r="B3850" t="str">
        <f>"1551603975838332"</f>
        <v>1551603975838332</v>
      </c>
      <c r="C3850" t="s">
        <v>40</v>
      </c>
      <c r="D3850">
        <v>5.3729230000000001</v>
      </c>
      <c r="E3850">
        <v>0.49165540000000002</v>
      </c>
      <c r="F3850" t="s">
        <v>41</v>
      </c>
      <c r="G3850">
        <v>-358.23099999999999</v>
      </c>
      <c r="H3850" s="1">
        <v>-1.0278060000000001E-6</v>
      </c>
      <c r="I3850">
        <v>140.6935</v>
      </c>
      <c r="J3850">
        <v>-305.34829999999999</v>
      </c>
      <c r="K3850">
        <v>1.11969599999999</v>
      </c>
      <c r="L3850">
        <v>141.62190000000001</v>
      </c>
      <c r="M3850">
        <v>-0.99943079999999995</v>
      </c>
      <c r="N3850">
        <v>-7.2800149999999999E-3</v>
      </c>
      <c r="O3850">
        <v>-3.2946120000000002E-2</v>
      </c>
      <c r="P3850">
        <v>-0.97922319999999996</v>
      </c>
      <c r="Q3850">
        <v>0.20193649999999999</v>
      </c>
      <c r="R3850">
        <v>1.8550339999999998E-2</v>
      </c>
      <c r="S3850">
        <v>-3.0773929999999998</v>
      </c>
      <c r="T3850">
        <v>-6.4500929999999998E-2</v>
      </c>
      <c r="U3850">
        <v>-5.450439E-2</v>
      </c>
      <c r="V3850">
        <v>5.063078E-2</v>
      </c>
      <c r="W3850">
        <v>0.2090931</v>
      </c>
      <c r="X3850">
        <v>0.97658409999999995</v>
      </c>
      <c r="Y3850">
        <v>1.5235399999999901E-2</v>
      </c>
      <c r="Z3850">
        <v>6.6550229999999999E-4</v>
      </c>
      <c r="AA3850">
        <v>0.99988370000000004</v>
      </c>
      <c r="AB3850">
        <v>58</v>
      </c>
      <c r="AC3850">
        <v>-52.8827</v>
      </c>
      <c r="AD3850">
        <v>-1.1196970278059999</v>
      </c>
      <c r="AE3850">
        <v>-0.92840000000001</v>
      </c>
      <c r="AF3850">
        <v>0.81406481999742397</v>
      </c>
      <c r="AG3850">
        <v>-1.1196970278059999</v>
      </c>
      <c r="AH3850">
        <v>52.8608874885213</v>
      </c>
      <c r="AI3850">
        <v>91.213311432255395</v>
      </c>
      <c r="AJ3850">
        <v>89.117706987752001</v>
      </c>
      <c r="AK3850">
        <v>52.879011422674502</v>
      </c>
      <c r="AL3850">
        <v>77.930788524758995</v>
      </c>
      <c r="AM3850">
        <v>87.032170528401295</v>
      </c>
      <c r="AN3850">
        <v>0.99999995236191297</v>
      </c>
    </row>
    <row r="3851" spans="1:40" x14ac:dyDescent="0.25">
      <c r="A3851" t="str">
        <f>"20190303170615871"</f>
        <v>20190303170615871</v>
      </c>
      <c r="B3851" t="str">
        <f>"1551603975858829"</f>
        <v>1551603975858829</v>
      </c>
      <c r="C3851" t="s">
        <v>40</v>
      </c>
      <c r="D3851">
        <v>5.4306510000000001</v>
      </c>
      <c r="E3851">
        <v>0.49178929999999998</v>
      </c>
      <c r="F3851" t="s">
        <v>41</v>
      </c>
      <c r="G3851">
        <v>-360.52019999999999</v>
      </c>
      <c r="H3851" s="1">
        <v>-4.2803509999999998E-6</v>
      </c>
      <c r="I3851">
        <v>140.6387</v>
      </c>
      <c r="J3851">
        <v>-305.92930000000001</v>
      </c>
      <c r="K3851">
        <v>1.119524</v>
      </c>
      <c r="L3851">
        <v>141.60299999999901</v>
      </c>
      <c r="M3851">
        <v>-0.9994442</v>
      </c>
      <c r="N3851">
        <v>-7.3157319999999897E-3</v>
      </c>
      <c r="O3851">
        <v>-3.2522429999999998E-2</v>
      </c>
      <c r="P3851">
        <v>-0.97903419999999997</v>
      </c>
      <c r="Q3851">
        <v>0.20285449999999999</v>
      </c>
      <c r="R3851">
        <v>1.850127E-2</v>
      </c>
      <c r="S3851">
        <v>-3.0775450000000002</v>
      </c>
      <c r="T3851">
        <v>-6.2458039999999999E-2</v>
      </c>
      <c r="U3851">
        <v>-5.4840090000000001E-2</v>
      </c>
      <c r="V3851">
        <v>5.0250999999999997E-2</v>
      </c>
      <c r="W3851">
        <v>0.21002280000000001</v>
      </c>
      <c r="X3851">
        <v>0.97640420000000006</v>
      </c>
      <c r="Y3851">
        <v>1.4704109999999999E-2</v>
      </c>
      <c r="Z3851">
        <v>6.2481599999999896E-4</v>
      </c>
      <c r="AA3851">
        <v>0.99989170000000005</v>
      </c>
      <c r="AB3851">
        <v>58</v>
      </c>
      <c r="AC3851">
        <v>-54.590899999999898</v>
      </c>
      <c r="AD3851">
        <v>-1.119528280351</v>
      </c>
      <c r="AE3851">
        <v>-0.96429999999997995</v>
      </c>
      <c r="AF3851">
        <v>0.81134531400784204</v>
      </c>
      <c r="AG3851">
        <v>-1.119528280351</v>
      </c>
      <c r="AH3851">
        <v>54.570439331986698</v>
      </c>
      <c r="AI3851">
        <v>91.175144714523398</v>
      </c>
      <c r="AJ3851">
        <v>89.148197487436093</v>
      </c>
      <c r="AK3851">
        <v>54.587951726320597</v>
      </c>
      <c r="AL3851">
        <v>77.876311006664693</v>
      </c>
      <c r="AM3851">
        <v>87.053851013253606</v>
      </c>
      <c r="AN3851">
        <v>0.99999995064923797</v>
      </c>
    </row>
    <row r="3852" spans="1:40" x14ac:dyDescent="0.25">
      <c r="A3852" t="str">
        <f>"20190303170615895"</f>
        <v>20190303170615895</v>
      </c>
      <c r="B3852" t="str">
        <f>"1551603975889085"</f>
        <v>1551603975889085</v>
      </c>
      <c r="C3852" t="s">
        <v>40</v>
      </c>
      <c r="D3852">
        <v>5.2218080000000002</v>
      </c>
      <c r="E3852">
        <v>0.5161405</v>
      </c>
      <c r="F3852" t="s">
        <v>41</v>
      </c>
      <c r="G3852">
        <v>-363.36380000000003</v>
      </c>
      <c r="H3852" s="1">
        <v>-3.0878829999999999E-6</v>
      </c>
      <c r="I3852">
        <v>140.58840000000001</v>
      </c>
      <c r="J3852">
        <v>-306.52999999999997</v>
      </c>
      <c r="K3852">
        <v>1.1193470000000001</v>
      </c>
      <c r="L3852">
        <v>141.5838</v>
      </c>
      <c r="M3852">
        <v>-0.99946179999999996</v>
      </c>
      <c r="N3852">
        <v>-7.3599529999999998E-3</v>
      </c>
      <c r="O3852">
        <v>-3.1965639999999997E-2</v>
      </c>
      <c r="P3852">
        <v>-0.97899239999999998</v>
      </c>
      <c r="Q3852">
        <v>0.20310310000000001</v>
      </c>
      <c r="R3852">
        <v>1.7974159999999999E-2</v>
      </c>
      <c r="S3852">
        <v>-3.0776669999999999</v>
      </c>
      <c r="T3852">
        <v>-5.9990759999999997E-2</v>
      </c>
      <c r="U3852">
        <v>-5.4367070000000003E-2</v>
      </c>
      <c r="V3852">
        <v>4.9271929999999999E-2</v>
      </c>
      <c r="W3852">
        <v>0.21029220000000001</v>
      </c>
      <c r="X3852">
        <v>0.97639609999999999</v>
      </c>
      <c r="Y3852">
        <v>1.4302189999999999E-2</v>
      </c>
      <c r="Z3852">
        <v>5.7957940000000002E-4</v>
      </c>
      <c r="AA3852">
        <v>0.99989749999999999</v>
      </c>
      <c r="AB3852">
        <v>58</v>
      </c>
      <c r="AC3852">
        <v>-56.833799999999997</v>
      </c>
      <c r="AD3852">
        <v>-1.1193500878829901</v>
      </c>
      <c r="AE3852">
        <v>-0.99539999999998896</v>
      </c>
      <c r="AF3852">
        <v>0.82156824516536697</v>
      </c>
      <c r="AG3852">
        <v>-1.1193500878829901</v>
      </c>
      <c r="AH3852">
        <v>56.814542476614001</v>
      </c>
      <c r="AI3852">
        <v>91.128567353728201</v>
      </c>
      <c r="AJ3852">
        <v>89.171530556501096</v>
      </c>
      <c r="AK3852">
        <v>56.831506717908503</v>
      </c>
      <c r="AL3852">
        <v>77.860522783983996</v>
      </c>
      <c r="AM3852">
        <v>87.111130457742803</v>
      </c>
      <c r="AN3852">
        <v>0.99999993828098499</v>
      </c>
    </row>
    <row r="3853" spans="1:40" x14ac:dyDescent="0.25">
      <c r="A3853" t="str">
        <f>"20190303170615917"</f>
        <v>20190303170615917</v>
      </c>
      <c r="B3853" t="str">
        <f>"1551603975908422"</f>
        <v>1551603975908422</v>
      </c>
      <c r="C3853" t="s">
        <v>40</v>
      </c>
      <c r="D3853">
        <v>5.2459920000000002</v>
      </c>
      <c r="E3853">
        <v>0.51638700000000004</v>
      </c>
      <c r="F3853" t="s">
        <v>41</v>
      </c>
      <c r="G3853">
        <v>-359.00400000000002</v>
      </c>
      <c r="H3853" s="1">
        <v>-1.5620119999999999E-6</v>
      </c>
      <c r="I3853">
        <v>143.94739999999999</v>
      </c>
      <c r="J3853">
        <v>-307.10399999999998</v>
      </c>
      <c r="K3853">
        <v>1.119178</v>
      </c>
      <c r="L3853">
        <v>141.56559999999999</v>
      </c>
      <c r="M3853">
        <v>-0.99948139999999996</v>
      </c>
      <c r="N3853">
        <v>-7.4105509999999996E-3</v>
      </c>
      <c r="O3853">
        <v>-3.1337770000000001E-2</v>
      </c>
      <c r="P3853">
        <v>-0.97905520000000001</v>
      </c>
      <c r="Q3853">
        <v>0.2029058</v>
      </c>
      <c r="R3853">
        <v>1.6745220000000002E-2</v>
      </c>
      <c r="S3853">
        <v>-3.0754090000000001</v>
      </c>
      <c r="T3853">
        <v>-6.5603140000000004E-2</v>
      </c>
      <c r="U3853">
        <v>0.1385345</v>
      </c>
      <c r="V3853">
        <v>4.7519110000000003E-2</v>
      </c>
      <c r="W3853">
        <v>0.21012529999999999</v>
      </c>
      <c r="X3853">
        <v>0.97651900000000003</v>
      </c>
      <c r="Y3853">
        <v>7.6258679999999995E-2</v>
      </c>
      <c r="Z3853">
        <v>1.5316189999999999E-3</v>
      </c>
      <c r="AA3853">
        <v>0.9970869</v>
      </c>
      <c r="AB3853">
        <v>58</v>
      </c>
      <c r="AC3853">
        <v>-51.899999999999899</v>
      </c>
      <c r="AD3853">
        <v>-1.119179562012</v>
      </c>
      <c r="AE3853">
        <v>2.3817999999999899</v>
      </c>
      <c r="AF3853">
        <v>4.0052464322359702</v>
      </c>
      <c r="AG3853">
        <v>-1.119179562012</v>
      </c>
      <c r="AH3853">
        <v>51.775839820281</v>
      </c>
      <c r="AI3853">
        <v>91.234617566801504</v>
      </c>
      <c r="AJ3853">
        <v>85.576554681466206</v>
      </c>
      <c r="AK3853">
        <v>51.942585139462999</v>
      </c>
      <c r="AL3853">
        <v>77.870305155961205</v>
      </c>
      <c r="AM3853">
        <v>87.214085485782306</v>
      </c>
      <c r="AN3853">
        <v>1.00000003243814</v>
      </c>
    </row>
    <row r="3854" spans="1:40" x14ac:dyDescent="0.25">
      <c r="A3854" t="str">
        <f>"20190303170615938"</f>
        <v>20190303170615938</v>
      </c>
      <c r="B3854" t="str">
        <f>"1551603975928914"</f>
        <v>1551603975928914</v>
      </c>
      <c r="C3854" t="s">
        <v>40</v>
      </c>
      <c r="D3854">
        <v>5.2720969999999996</v>
      </c>
      <c r="E3854">
        <v>0.51688500000000004</v>
      </c>
      <c r="F3854" t="s">
        <v>41</v>
      </c>
      <c r="G3854">
        <v>-354.01170000000002</v>
      </c>
      <c r="H3854" s="1">
        <v>-3.6225730000000002E-6</v>
      </c>
      <c r="I3854">
        <v>143.64250000000001</v>
      </c>
      <c r="J3854">
        <v>-307.67329999999998</v>
      </c>
      <c r="K3854">
        <v>1.119019</v>
      </c>
      <c r="L3854">
        <v>141.548</v>
      </c>
      <c r="M3854">
        <v>-0.99950269999999997</v>
      </c>
      <c r="N3854">
        <v>-7.4733269999999897E-3</v>
      </c>
      <c r="O3854">
        <v>-3.064095E-2</v>
      </c>
      <c r="P3854">
        <v>-0.97918490000000002</v>
      </c>
      <c r="Q3854">
        <v>0.20226330000000001</v>
      </c>
      <c r="R3854">
        <v>1.6938700000000001E-2</v>
      </c>
      <c r="S3854">
        <v>-3.0770569999999999</v>
      </c>
      <c r="T3854">
        <v>-7.3416350000000005E-2</v>
      </c>
      <c r="U3854">
        <v>0.1362457</v>
      </c>
      <c r="V3854">
        <v>4.7117039999999999E-2</v>
      </c>
      <c r="W3854">
        <v>0.20952709999999999</v>
      </c>
      <c r="X3854">
        <v>0.97666699999999995</v>
      </c>
      <c r="Y3854">
        <v>7.4793609999999996E-2</v>
      </c>
      <c r="Z3854">
        <v>1.673169E-3</v>
      </c>
      <c r="AA3854">
        <v>0.99719760000000002</v>
      </c>
      <c r="AB3854">
        <v>58</v>
      </c>
      <c r="AC3854">
        <v>-46.3384</v>
      </c>
      <c r="AD3854">
        <v>-1.119022622573</v>
      </c>
      <c r="AE3854">
        <v>2.0945000000000098</v>
      </c>
      <c r="AF3854">
        <v>3.5113649245756</v>
      </c>
      <c r="AG3854">
        <v>-1.119022622573</v>
      </c>
      <c r="AH3854">
        <v>46.225559190928799</v>
      </c>
      <c r="AI3854">
        <v>91.382756235601207</v>
      </c>
      <c r="AJ3854">
        <v>85.656066270832596</v>
      </c>
      <c r="AK3854">
        <v>46.372235419240198</v>
      </c>
      <c r="AL3854">
        <v>77.905359762417902</v>
      </c>
      <c r="AM3854">
        <v>87.2380390264357</v>
      </c>
      <c r="AN3854">
        <v>1.00000002499088</v>
      </c>
    </row>
    <row r="3855" spans="1:40" x14ac:dyDescent="0.25">
      <c r="A3855" t="str">
        <f>"20190303170615962"</f>
        <v>20190303170615962</v>
      </c>
      <c r="B3855" t="str">
        <f>"1551603975948434"</f>
        <v>1551603975948434</v>
      </c>
      <c r="C3855" t="s">
        <v>40</v>
      </c>
      <c r="D3855">
        <v>5.2620690000000003</v>
      </c>
      <c r="E3855">
        <v>0.51696339999999996</v>
      </c>
      <c r="F3855" t="s">
        <v>41</v>
      </c>
      <c r="G3855">
        <v>-355.50540000000001</v>
      </c>
      <c r="H3855" s="1">
        <v>-3.0063910000000001E-6</v>
      </c>
      <c r="I3855">
        <v>143.73500000000001</v>
      </c>
      <c r="J3855">
        <v>-308.26710000000003</v>
      </c>
      <c r="K3855">
        <v>1.1188670000000001</v>
      </c>
      <c r="L3855">
        <v>141.53</v>
      </c>
      <c r="M3855">
        <v>-0.99952580000000002</v>
      </c>
      <c r="N3855">
        <v>-7.5520359999999998E-3</v>
      </c>
      <c r="O3855">
        <v>-2.9855469999999999E-2</v>
      </c>
      <c r="P3855">
        <v>-0.97924049999999996</v>
      </c>
      <c r="Q3855">
        <v>0.20189319999999999</v>
      </c>
      <c r="R3855">
        <v>1.8087369999999998E-2</v>
      </c>
      <c r="S3855">
        <v>-3.0761720000000001</v>
      </c>
      <c r="T3855">
        <v>-7.1966530000000001E-2</v>
      </c>
      <c r="U3855">
        <v>0.14065549999999999</v>
      </c>
      <c r="V3855">
        <v>4.7577660000000001E-2</v>
      </c>
      <c r="W3855">
        <v>0.20921619999999999</v>
      </c>
      <c r="X3855">
        <v>0.97671129999999995</v>
      </c>
      <c r="Y3855">
        <v>7.5450260000000005E-2</v>
      </c>
      <c r="Z3855">
        <v>1.639822E-3</v>
      </c>
      <c r="AA3855">
        <v>0.99714820000000004</v>
      </c>
      <c r="AB3855">
        <v>58</v>
      </c>
      <c r="AC3855">
        <v>-47.238299999999903</v>
      </c>
      <c r="AD3855">
        <v>-1.118870006391</v>
      </c>
      <c r="AE3855">
        <v>2.2050000000000098</v>
      </c>
      <c r="AF3855">
        <v>3.61235657156903</v>
      </c>
      <c r="AG3855">
        <v>-1.118870006391</v>
      </c>
      <c r="AH3855">
        <v>47.125027877914697</v>
      </c>
      <c r="AI3855">
        <v>91.356117508761002</v>
      </c>
      <c r="AJ3855">
        <v>85.616579319916298</v>
      </c>
      <c r="AK3855">
        <v>47.276518934726901</v>
      </c>
      <c r="AL3855">
        <v>77.923576568738696</v>
      </c>
      <c r="AM3855">
        <v>87.2112065913946</v>
      </c>
      <c r="AN3855">
        <v>1.0000000078105999</v>
      </c>
    </row>
    <row r="3856" spans="1:40" x14ac:dyDescent="0.25">
      <c r="A3856" t="str">
        <f>"20190303170615985"</f>
        <v>20190303170615985</v>
      </c>
      <c r="B3856" t="str">
        <f>"1551603975978691"</f>
        <v>1551603975978691</v>
      </c>
      <c r="C3856" t="s">
        <v>40</v>
      </c>
      <c r="D3856">
        <v>5.2465020000000004</v>
      </c>
      <c r="E3856">
        <v>0.51535169999999997</v>
      </c>
      <c r="F3856" t="s">
        <v>41</v>
      </c>
      <c r="G3856">
        <v>-355.7663</v>
      </c>
      <c r="H3856" s="1">
        <v>-2.8984539999999999E-6</v>
      </c>
      <c r="I3856">
        <v>143.75</v>
      </c>
      <c r="J3856">
        <v>-308.87079999999997</v>
      </c>
      <c r="K3856">
        <v>1.118733</v>
      </c>
      <c r="L3856">
        <v>141.5121</v>
      </c>
      <c r="M3856">
        <v>-0.99954989999999999</v>
      </c>
      <c r="N3856">
        <v>-7.6472049999999998E-3</v>
      </c>
      <c r="O3856">
        <v>-2.900985E-2</v>
      </c>
      <c r="P3856">
        <v>-0.97923870000000002</v>
      </c>
      <c r="Q3856">
        <v>0.20178650000000001</v>
      </c>
      <c r="R3856">
        <v>1.9336059999999999E-2</v>
      </c>
      <c r="S3856">
        <v>-3.0758969999999999</v>
      </c>
      <c r="T3856">
        <v>-7.2454450000000004E-2</v>
      </c>
      <c r="U3856">
        <v>0.14376829999999999</v>
      </c>
      <c r="V3856">
        <v>4.8071450000000002E-2</v>
      </c>
      <c r="W3856">
        <v>0.20918490000000001</v>
      </c>
      <c r="X3856">
        <v>0.97669379999999995</v>
      </c>
      <c r="Y3856">
        <v>7.5617329999999996E-2</v>
      </c>
      <c r="Z3856">
        <v>1.64056799999999E-3</v>
      </c>
      <c r="AA3856">
        <v>0.99713560000000001</v>
      </c>
      <c r="AB3856">
        <v>58</v>
      </c>
      <c r="AC3856">
        <v>-46.895499999999998</v>
      </c>
      <c r="AD3856">
        <v>-1.1187358984539999</v>
      </c>
      <c r="AE3856">
        <v>2.23789999999999</v>
      </c>
      <c r="AF3856">
        <v>3.5953877292068599</v>
      </c>
      <c r="AG3856">
        <v>-1.1187358984539999</v>
      </c>
      <c r="AH3856">
        <v>46.784274003920103</v>
      </c>
      <c r="AI3856">
        <v>91.365807035538595</v>
      </c>
      <c r="AJ3856">
        <v>85.605437227119893</v>
      </c>
      <c r="AK3856">
        <v>46.9355587695267</v>
      </c>
      <c r="AL3856">
        <v>77.925410200382501</v>
      </c>
      <c r="AM3856">
        <v>87.182258791100296</v>
      </c>
      <c r="AN3856">
        <v>0.99999998282577596</v>
      </c>
    </row>
    <row r="3857" spans="1:40" x14ac:dyDescent="0.25">
      <c r="A3857" t="str">
        <f>"20190303170616007"</f>
        <v>20190303170616007</v>
      </c>
      <c r="B3857" t="str">
        <f>"1551603975999186"</f>
        <v>1551603975999186</v>
      </c>
      <c r="C3857" t="s">
        <v>40</v>
      </c>
      <c r="D3857">
        <v>5.2800649999999996</v>
      </c>
      <c r="E3857">
        <v>0.51817479999999905</v>
      </c>
      <c r="F3857" t="s">
        <v>42</v>
      </c>
      <c r="G3857">
        <v>-310.08929999999998</v>
      </c>
      <c r="H3857">
        <v>1.0511469999999901</v>
      </c>
      <c r="I3857">
        <v>141.56270000000001</v>
      </c>
      <c r="J3857">
        <v>-309.46109999999999</v>
      </c>
      <c r="K3857">
        <v>1.1186179999999999</v>
      </c>
      <c r="L3857">
        <v>141.49520000000001</v>
      </c>
      <c r="M3857">
        <v>-0.99957370000000001</v>
      </c>
      <c r="N3857">
        <v>-7.7557700000000004E-3</v>
      </c>
      <c r="O3857">
        <v>-2.8150140000000001E-2</v>
      </c>
      <c r="P3857">
        <v>-0.97918329999999998</v>
      </c>
      <c r="Q3857">
        <v>0.20199439999999999</v>
      </c>
      <c r="R3857">
        <v>1.996885E-2</v>
      </c>
      <c r="S3857">
        <v>-3.0964659999999999</v>
      </c>
      <c r="T3857">
        <v>-0.17179159999999999</v>
      </c>
      <c r="U3857">
        <v>0.12806699999999999</v>
      </c>
      <c r="V3857">
        <v>4.7925179999999998E-2</v>
      </c>
      <c r="W3857">
        <v>0.20948430000000001</v>
      </c>
      <c r="X3857">
        <v>0.97663679999999997</v>
      </c>
      <c r="Y3857">
        <v>6.9281049999999997E-2</v>
      </c>
      <c r="Z3857">
        <v>3.5304659999999999E-3</v>
      </c>
      <c r="AA3857">
        <v>0.99759100000000001</v>
      </c>
      <c r="AB3857">
        <v>58</v>
      </c>
      <c r="AC3857">
        <v>-0.62819999999999199</v>
      </c>
      <c r="AD3857">
        <v>-6.7471000000000197E-2</v>
      </c>
      <c r="AE3857">
        <v>6.7499999999995397E-2</v>
      </c>
      <c r="AF3857">
        <v>8.4197517721036896E-2</v>
      </c>
      <c r="AG3857">
        <v>-6.7471000000000197E-2</v>
      </c>
      <c r="AH3857">
        <v>0.61899192606902698</v>
      </c>
      <c r="AI3857">
        <v>96.164437989032294</v>
      </c>
      <c r="AJ3857">
        <v>82.253961145482904</v>
      </c>
      <c r="AK3857">
        <v>0.62832520430906502</v>
      </c>
      <c r="AL3857">
        <v>77.9078669666293</v>
      </c>
      <c r="AM3857">
        <v>87.190655062430395</v>
      </c>
      <c r="AN3857">
        <v>0.99999996696937998</v>
      </c>
    </row>
    <row r="3858" spans="1:40" x14ac:dyDescent="0.25">
      <c r="A3858" t="str">
        <f>"20190303170616028"</f>
        <v>20190303170616028</v>
      </c>
      <c r="B3858" t="str">
        <f>"1551603976018707"</f>
        <v>1551603976018707</v>
      </c>
      <c r="C3858" t="s">
        <v>40</v>
      </c>
      <c r="D3858">
        <v>5.4167930000000002</v>
      </c>
      <c r="E3858">
        <v>0.51871889999999998</v>
      </c>
      <c r="F3858" t="s">
        <v>41</v>
      </c>
      <c r="G3858">
        <v>-365.46890000000002</v>
      </c>
      <c r="H3858" s="1">
        <v>-3.2031989999999999E-6</v>
      </c>
      <c r="I3858">
        <v>144.41589999999999</v>
      </c>
      <c r="J3858">
        <v>-310.01029999999997</v>
      </c>
      <c r="K3858">
        <v>1.1185290000000001</v>
      </c>
      <c r="L3858">
        <v>141.47989999999999</v>
      </c>
      <c r="M3858">
        <v>-0.99959560000000003</v>
      </c>
      <c r="N3858">
        <v>-7.8652700000000006E-3</v>
      </c>
      <c r="O3858">
        <v>-2.7330759999999999E-2</v>
      </c>
      <c r="P3858">
        <v>-0.97922180000000003</v>
      </c>
      <c r="Q3858">
        <v>0.20182729999999999</v>
      </c>
      <c r="R3858">
        <v>1.976733E-2</v>
      </c>
      <c r="S3858">
        <v>-3.0731809999999999</v>
      </c>
      <c r="T3858">
        <v>-6.1379429999999999E-2</v>
      </c>
      <c r="U3858">
        <v>0.16026309999999999</v>
      </c>
      <c r="V3858">
        <v>4.6975669999999997E-2</v>
      </c>
      <c r="W3858">
        <v>0.2094153</v>
      </c>
      <c r="X3858">
        <v>0.97669779999999995</v>
      </c>
      <c r="Y3858">
        <v>7.9329199999999905E-2</v>
      </c>
      <c r="Z3858">
        <v>1.434519E-3</v>
      </c>
      <c r="AA3858">
        <v>0.9968475</v>
      </c>
      <c r="AB3858">
        <v>58</v>
      </c>
      <c r="AC3858">
        <v>-55.458599999999997</v>
      </c>
      <c r="AD3858">
        <v>-1.1185322031989999</v>
      </c>
      <c r="AE3858">
        <v>2.9359999999999999</v>
      </c>
      <c r="AF3858">
        <v>4.4488709458369096</v>
      </c>
      <c r="AG3858">
        <v>-1.1185322031989999</v>
      </c>
      <c r="AH3858">
        <v>55.335189982336601</v>
      </c>
      <c r="AI3858">
        <v>91.154281808126996</v>
      </c>
      <c r="AJ3858">
        <v>85.403387481116596</v>
      </c>
      <c r="AK3858">
        <v>55.5250107371768</v>
      </c>
      <c r="AL3858">
        <v>77.911910912790006</v>
      </c>
      <c r="AM3858">
        <v>87.246399945092193</v>
      </c>
      <c r="AN3858">
        <v>1.0000000369854301</v>
      </c>
    </row>
    <row r="3859" spans="1:40" x14ac:dyDescent="0.25">
      <c r="A3859" t="str">
        <f>"20190303170616050"</f>
        <v>20190303170616050</v>
      </c>
      <c r="B3859" t="str">
        <f>"1551603976039203"</f>
        <v>1551603976039203</v>
      </c>
      <c r="C3859" t="s">
        <v>40</v>
      </c>
      <c r="D3859">
        <v>5.4772610000000004</v>
      </c>
      <c r="E3859">
        <v>0.51928640000000004</v>
      </c>
      <c r="F3859" t="s">
        <v>41</v>
      </c>
      <c r="G3859">
        <v>-362.08280000000002</v>
      </c>
      <c r="H3859" s="1">
        <v>-4.3920280000000004E-6</v>
      </c>
      <c r="I3859">
        <v>144.26599999999999</v>
      </c>
      <c r="J3859">
        <v>-310.60109999999997</v>
      </c>
      <c r="K3859">
        <v>1.1184559999999999</v>
      </c>
      <c r="L3859">
        <v>141.46379999999999</v>
      </c>
      <c r="M3859">
        <v>-0.99961860000000002</v>
      </c>
      <c r="N3859">
        <v>-8.0017909999999994E-3</v>
      </c>
      <c r="O3859">
        <v>-2.6434490000000001E-2</v>
      </c>
      <c r="P3859">
        <v>-0.97912750000000004</v>
      </c>
      <c r="Q3859">
        <v>0.2022806</v>
      </c>
      <c r="R3859">
        <v>1.9800089999999999E-2</v>
      </c>
      <c r="S3859">
        <v>-3.073944</v>
      </c>
      <c r="T3859">
        <v>-6.6029309999999994E-2</v>
      </c>
      <c r="U3859">
        <v>0.1644745</v>
      </c>
      <c r="V3859">
        <v>4.6180909999999999E-2</v>
      </c>
      <c r="W3859">
        <v>0.2099915</v>
      </c>
      <c r="X3859">
        <v>0.97661200000000004</v>
      </c>
      <c r="Y3859">
        <v>7.9780900000000002E-2</v>
      </c>
      <c r="Z3859">
        <v>1.5316869999999999E-3</v>
      </c>
      <c r="AA3859">
        <v>0.99681129999999996</v>
      </c>
      <c r="AB3859">
        <v>59</v>
      </c>
      <c r="AC3859">
        <v>-51.481699999999996</v>
      </c>
      <c r="AD3859">
        <v>-1.1184603920280001</v>
      </c>
      <c r="AE3859">
        <v>2.8021999999999898</v>
      </c>
      <c r="AF3859">
        <v>4.16019886617081</v>
      </c>
      <c r="AG3859">
        <v>-1.1184603920280001</v>
      </c>
      <c r="AH3859">
        <v>51.365458849411297</v>
      </c>
      <c r="AI3859">
        <v>91.243323429897899</v>
      </c>
      <c r="AJ3859">
        <v>85.369598796646301</v>
      </c>
      <c r="AK3859">
        <v>51.545791012120397</v>
      </c>
      <c r="AL3859">
        <v>77.878146522755301</v>
      </c>
      <c r="AM3859">
        <v>87.292679480626205</v>
      </c>
      <c r="AN3859">
        <v>1.00000005253233</v>
      </c>
    </row>
    <row r="3860" spans="1:40" x14ac:dyDescent="0.25">
      <c r="A3860" t="str">
        <f>"20190303170616073"</f>
        <v>20190303170616073</v>
      </c>
      <c r="B3860" t="str">
        <f>"1551603976058723"</f>
        <v>1551603976058723</v>
      </c>
      <c r="C3860" t="s">
        <v>40</v>
      </c>
      <c r="D3860">
        <v>5.3885550000000002</v>
      </c>
      <c r="E3860">
        <v>0.51967180000000002</v>
      </c>
      <c r="F3860" t="s">
        <v>41</v>
      </c>
      <c r="G3860">
        <v>-361.50540000000001</v>
      </c>
      <c r="H3860" s="1">
        <v>-4.5913980000000001E-6</v>
      </c>
      <c r="I3860">
        <v>144.28219999999999</v>
      </c>
      <c r="J3860">
        <v>-311.18009999999998</v>
      </c>
      <c r="K3860">
        <v>1.1183920000000001</v>
      </c>
      <c r="L3860">
        <v>141.4487</v>
      </c>
      <c r="M3860">
        <v>-0.99964030000000004</v>
      </c>
      <c r="N3860">
        <v>-8.1719500000000007E-3</v>
      </c>
      <c r="O3860">
        <v>-2.5546510000000001E-2</v>
      </c>
      <c r="P3860">
        <v>-0.97900889999999996</v>
      </c>
      <c r="Q3860">
        <v>0.20278189999999999</v>
      </c>
      <c r="R3860">
        <v>2.0525419999999999E-2</v>
      </c>
      <c r="S3860">
        <v>-3.0744630000000002</v>
      </c>
      <c r="T3860">
        <v>-6.7551730000000004E-2</v>
      </c>
      <c r="U3860">
        <v>0.17022709999999999</v>
      </c>
      <c r="V3860">
        <v>4.6080139999999999E-2</v>
      </c>
      <c r="W3860">
        <v>0.21064930000000001</v>
      </c>
      <c r="X3860">
        <v>0.97647510000000004</v>
      </c>
      <c r="Y3860">
        <v>8.0744529999999995E-2</v>
      </c>
      <c r="Z3860">
        <v>1.56879E-3</v>
      </c>
      <c r="AA3860">
        <v>0.9967336</v>
      </c>
      <c r="AB3860">
        <v>59</v>
      </c>
      <c r="AC3860">
        <v>-50.325299999999999</v>
      </c>
      <c r="AD3860">
        <v>-1.1183965913980001</v>
      </c>
      <c r="AE3860">
        <v>2.8334999999999799</v>
      </c>
      <c r="AF3860">
        <v>4.1162273191218599</v>
      </c>
      <c r="AG3860">
        <v>-1.1183965913980001</v>
      </c>
      <c r="AH3860">
        <v>50.211765944830802</v>
      </c>
      <c r="AI3860">
        <v>91.271707511550602</v>
      </c>
      <c r="AJ3860">
        <v>85.313523453832701</v>
      </c>
      <c r="AK3860">
        <v>50.392614315758699</v>
      </c>
      <c r="AL3860">
        <v>77.839595201338298</v>
      </c>
      <c r="AM3860">
        <v>87.298200110952493</v>
      </c>
      <c r="AN3860">
        <v>1.0000000639064499</v>
      </c>
    </row>
    <row r="3861" spans="1:40" x14ac:dyDescent="0.25">
      <c r="A3861" t="str">
        <f>"20190303170616096"</f>
        <v>20190303170616096</v>
      </c>
      <c r="B3861" t="str">
        <f>"1551603976088978"</f>
        <v>1551603976088978</v>
      </c>
      <c r="C3861" t="s">
        <v>40</v>
      </c>
      <c r="D3861">
        <v>5.3077459999999999</v>
      </c>
      <c r="E3861">
        <v>0.51985539999999997</v>
      </c>
      <c r="F3861" t="s">
        <v>41</v>
      </c>
      <c r="G3861">
        <v>-361.60910000000001</v>
      </c>
      <c r="H3861" s="1">
        <v>-4.5624029999999996E-6</v>
      </c>
      <c r="I3861">
        <v>144.31780000000001</v>
      </c>
      <c r="J3861">
        <v>-311.80329999999998</v>
      </c>
      <c r="K3861">
        <v>1.118349</v>
      </c>
      <c r="L3861">
        <v>141.43289999999999</v>
      </c>
      <c r="M3861">
        <v>-0.99966250000000001</v>
      </c>
      <c r="N3861">
        <v>-8.4105450000000002E-3</v>
      </c>
      <c r="O3861">
        <v>-2.4583750000000001E-2</v>
      </c>
      <c r="P3861">
        <v>-0.97895129999999997</v>
      </c>
      <c r="Q3861">
        <v>0.2029012</v>
      </c>
      <c r="R3861">
        <v>2.2036469999999999E-2</v>
      </c>
      <c r="S3861">
        <v>-3.074738</v>
      </c>
      <c r="T3861">
        <v>-6.8190459999999994E-2</v>
      </c>
      <c r="U3861">
        <v>0.17494199999999999</v>
      </c>
      <c r="V3861">
        <v>4.6691030000000001E-2</v>
      </c>
      <c r="W3861">
        <v>0.2109895</v>
      </c>
      <c r="X3861">
        <v>0.97637249999999998</v>
      </c>
      <c r="Y3861">
        <v>8.1302639999999995E-2</v>
      </c>
      <c r="Z3861">
        <v>1.5811449999999999E-3</v>
      </c>
      <c r="AA3861">
        <v>0.99668820000000002</v>
      </c>
      <c r="AB3861">
        <v>59</v>
      </c>
      <c r="AC3861">
        <v>-49.805799999999998</v>
      </c>
      <c r="AD3861">
        <v>-1.1183535624030001</v>
      </c>
      <c r="AE3861">
        <v>2.8849000000000098</v>
      </c>
      <c r="AF3861">
        <v>4.1064210475330603</v>
      </c>
      <c r="AG3861">
        <v>-1.1183535624030001</v>
      </c>
      <c r="AH3861">
        <v>49.694850061878597</v>
      </c>
      <c r="AI3861">
        <v>91.284812910022296</v>
      </c>
      <c r="AJ3861">
        <v>85.276225481401099</v>
      </c>
      <c r="AK3861">
        <v>49.876763439328698</v>
      </c>
      <c r="AL3861">
        <v>77.819653491944194</v>
      </c>
      <c r="AM3861">
        <v>87.262148920912693</v>
      </c>
      <c r="AN3861">
        <v>0.99999994007447801</v>
      </c>
    </row>
    <row r="3862" spans="1:40" x14ac:dyDescent="0.25">
      <c r="A3862" t="str">
        <f>"20190303170616118"</f>
        <v>20190303170616118</v>
      </c>
      <c r="B3862" t="str">
        <f>"1551603976108498"</f>
        <v>1551603976108498</v>
      </c>
      <c r="C3862" t="s">
        <v>40</v>
      </c>
      <c r="D3862">
        <v>5.3153959999999998</v>
      </c>
      <c r="E3862">
        <v>0.51984470000000005</v>
      </c>
      <c r="F3862" t="s">
        <v>41</v>
      </c>
      <c r="G3862">
        <v>-361.89139999999998</v>
      </c>
      <c r="H3862" s="1">
        <v>-4.4769140000000002E-6</v>
      </c>
      <c r="I3862">
        <v>144.3775</v>
      </c>
      <c r="J3862">
        <v>-312.37470000000002</v>
      </c>
      <c r="K3862">
        <v>1.1183350000000001</v>
      </c>
      <c r="L3862">
        <v>141.41899999999899</v>
      </c>
      <c r="M3862">
        <v>-0.9996815</v>
      </c>
      <c r="N3862">
        <v>-8.6830169999999995E-3</v>
      </c>
      <c r="O3862">
        <v>-2.36957E-2</v>
      </c>
      <c r="P3862">
        <v>-0.97905779999999998</v>
      </c>
      <c r="Q3862">
        <v>0.2022651</v>
      </c>
      <c r="R3862">
        <v>2.3121550000000001E-2</v>
      </c>
      <c r="S3862">
        <v>-3.0746150000000001</v>
      </c>
      <c r="T3862">
        <v>-6.8649169999999995E-2</v>
      </c>
      <c r="U3862">
        <v>0.18075559999999999</v>
      </c>
      <c r="V3862">
        <v>4.6943249999999999E-2</v>
      </c>
      <c r="W3862">
        <v>0.21061289999999999</v>
      </c>
      <c r="X3862">
        <v>0.97644169999999997</v>
      </c>
      <c r="Y3862">
        <v>8.2296980000000006E-2</v>
      </c>
      <c r="Z3862">
        <v>1.5985800000000001E-3</v>
      </c>
      <c r="AA3862">
        <v>0.99660660000000001</v>
      </c>
      <c r="AB3862">
        <v>59</v>
      </c>
      <c r="AC3862">
        <v>-49.516699999999901</v>
      </c>
      <c r="AD3862">
        <v>-1.118339476914</v>
      </c>
      <c r="AE3862">
        <v>2.9585000000000101</v>
      </c>
      <c r="AF3862">
        <v>4.12894772551864</v>
      </c>
      <c r="AG3862">
        <v>-1.118339476914</v>
      </c>
      <c r="AH3862">
        <v>49.4075766580346</v>
      </c>
      <c r="AI3862">
        <v>91.292164647255603</v>
      </c>
      <c r="AJ3862">
        <v>85.222942133629005</v>
      </c>
      <c r="AK3862">
        <v>49.592413973563097</v>
      </c>
      <c r="AL3862">
        <v>77.841726951245207</v>
      </c>
      <c r="AM3862">
        <v>87.247576801482197</v>
      </c>
      <c r="AN3862">
        <v>0.99999992793292802</v>
      </c>
    </row>
    <row r="3863" spans="1:40" x14ac:dyDescent="0.25">
      <c r="A3863" t="str">
        <f>"20190303170616139"</f>
        <v>20190303170616139</v>
      </c>
      <c r="B3863" t="str">
        <f>"1551603976128994"</f>
        <v>1551603976128994</v>
      </c>
      <c r="C3863" t="s">
        <v>40</v>
      </c>
      <c r="D3863">
        <v>5.3410869999999999</v>
      </c>
      <c r="E3863">
        <v>0.51959429999999995</v>
      </c>
      <c r="F3863" t="s">
        <v>41</v>
      </c>
      <c r="G3863">
        <v>-361.45060000000001</v>
      </c>
      <c r="H3863" s="1">
        <v>-4.6217010000000004E-6</v>
      </c>
      <c r="I3863">
        <v>144.34799999999899</v>
      </c>
      <c r="J3863">
        <v>-312.92899999999997</v>
      </c>
      <c r="K3863">
        <v>1.118325</v>
      </c>
      <c r="L3863">
        <v>141.40600000000001</v>
      </c>
      <c r="M3863">
        <v>-0.99969909999999995</v>
      </c>
      <c r="N3863">
        <v>-8.9844469999999996E-3</v>
      </c>
      <c r="O3863">
        <v>-2.2830799999999998E-2</v>
      </c>
      <c r="P3863">
        <v>-0.9790624</v>
      </c>
      <c r="Q3863">
        <v>0.2020882</v>
      </c>
      <c r="R3863">
        <v>2.4434529999999999E-2</v>
      </c>
      <c r="S3863">
        <v>-3.0742799999999999</v>
      </c>
      <c r="T3863">
        <v>-7.0056679999999996E-2</v>
      </c>
      <c r="U3863">
        <v>0.18348690000000001</v>
      </c>
      <c r="V3863">
        <v>4.7440089999999997E-2</v>
      </c>
      <c r="W3863">
        <v>0.21072199999999999</v>
      </c>
      <c r="X3863">
        <v>0.97639419999999999</v>
      </c>
      <c r="Y3863">
        <v>8.232225E-2</v>
      </c>
      <c r="Z3863">
        <v>1.622124E-3</v>
      </c>
      <c r="AA3863">
        <v>0.99660439999999995</v>
      </c>
      <c r="AB3863">
        <v>59</v>
      </c>
      <c r="AC3863">
        <v>-48.5215999999999</v>
      </c>
      <c r="AD3863">
        <v>-1.1183296217009999</v>
      </c>
      <c r="AE3863">
        <v>2.94199999999997</v>
      </c>
      <c r="AF3863">
        <v>4.0469226955681403</v>
      </c>
      <c r="AG3863">
        <v>-1.1183296217009999</v>
      </c>
      <c r="AH3863">
        <v>48.416155458435199</v>
      </c>
      <c r="AI3863">
        <v>91.318601664979894</v>
      </c>
      <c r="AJ3863">
        <v>85.221970051845602</v>
      </c>
      <c r="AK3863">
        <v>48.597863675495503</v>
      </c>
      <c r="AL3863">
        <v>77.835333100906496</v>
      </c>
      <c r="AM3863">
        <v>87.218355992060495</v>
      </c>
      <c r="AN3863">
        <v>0.99999997860842305</v>
      </c>
    </row>
    <row r="3864" spans="1:40" x14ac:dyDescent="0.25">
      <c r="A3864" t="str">
        <f>"20190303170616162"</f>
        <v>20190303170616162</v>
      </c>
      <c r="B3864" t="str">
        <f>"1551603976148514"</f>
        <v>1551603976148514</v>
      </c>
      <c r="C3864" t="s">
        <v>40</v>
      </c>
      <c r="D3864">
        <v>5.3327530000000003</v>
      </c>
      <c r="E3864">
        <v>0.51951840000000005</v>
      </c>
      <c r="F3864" t="s">
        <v>41</v>
      </c>
      <c r="G3864">
        <v>-360.11529999999999</v>
      </c>
      <c r="H3864" s="1">
        <v>-5.0594640000000003E-6</v>
      </c>
      <c r="I3864">
        <v>144.25399999999999</v>
      </c>
      <c r="J3864">
        <v>-313.52370000000002</v>
      </c>
      <c r="K3864">
        <v>1.118322</v>
      </c>
      <c r="L3864">
        <v>141.39259999999999</v>
      </c>
      <c r="M3864">
        <v>-0.99971659999999996</v>
      </c>
      <c r="N3864">
        <v>-9.3309900000000008E-3</v>
      </c>
      <c r="O3864">
        <v>-2.1899439999999999E-2</v>
      </c>
      <c r="P3864">
        <v>-0.97910079999999999</v>
      </c>
      <c r="Q3864">
        <v>0.201654</v>
      </c>
      <c r="R3864">
        <v>2.6405890000000001E-2</v>
      </c>
      <c r="S3864">
        <v>-3.0745239999999998</v>
      </c>
      <c r="T3864">
        <v>-7.2867269999999998E-2</v>
      </c>
      <c r="U3864">
        <v>0.1855774</v>
      </c>
      <c r="V3864">
        <v>4.8528969999999998E-2</v>
      </c>
      <c r="W3864">
        <v>0.21061669999999999</v>
      </c>
      <c r="X3864">
        <v>0.97636339999999999</v>
      </c>
      <c r="Y3864">
        <v>8.2061919999999997E-2</v>
      </c>
      <c r="Z3864">
        <v>1.6691290000000001E-3</v>
      </c>
      <c r="AA3864">
        <v>0.99662580000000001</v>
      </c>
      <c r="AB3864">
        <v>59</v>
      </c>
      <c r="AC3864">
        <v>-46.5915999999999</v>
      </c>
      <c r="AD3864">
        <v>-1.118327059464</v>
      </c>
      <c r="AE3864">
        <v>2.8614000000000002</v>
      </c>
      <c r="AF3864">
        <v>3.8788617780372201</v>
      </c>
      <c r="AG3864">
        <v>-1.118327059464</v>
      </c>
      <c r="AH3864">
        <v>46.4910751958219</v>
      </c>
      <c r="AI3864">
        <v>91.373195567592504</v>
      </c>
      <c r="AJ3864">
        <v>85.230721648978999</v>
      </c>
      <c r="AK3864">
        <v>46.666007939062197</v>
      </c>
      <c r="AL3864">
        <v>77.8415047761126</v>
      </c>
      <c r="AM3864">
        <v>87.154523779617506</v>
      </c>
      <c r="AN3864">
        <v>0.99999997205385505</v>
      </c>
    </row>
    <row r="3865" spans="1:40" x14ac:dyDescent="0.25">
      <c r="A3865" t="str">
        <f>"20190303170616186"</f>
        <v>20190303170616186</v>
      </c>
      <c r="B3865" t="str">
        <f>"1551603976178770"</f>
        <v>1551603976178770</v>
      </c>
      <c r="C3865" t="s">
        <v>40</v>
      </c>
      <c r="D3865">
        <v>5.3440450000000004</v>
      </c>
      <c r="E3865">
        <v>0.51949409999999996</v>
      </c>
      <c r="F3865" t="s">
        <v>41</v>
      </c>
      <c r="G3865">
        <v>-360.9615</v>
      </c>
      <c r="H3865" s="1">
        <v>-4.7879289999999997E-6</v>
      </c>
      <c r="I3865">
        <v>144.3467</v>
      </c>
      <c r="J3865">
        <v>-314.15069999999997</v>
      </c>
      <c r="K3865">
        <v>1.118325</v>
      </c>
      <c r="L3865">
        <v>141.3792</v>
      </c>
      <c r="M3865">
        <v>-0.99973420000000002</v>
      </c>
      <c r="N3865">
        <v>-9.7105999999999998E-3</v>
      </c>
      <c r="O3865">
        <v>-2.0914140000000001E-2</v>
      </c>
      <c r="P3865">
        <v>-0.97903600000000002</v>
      </c>
      <c r="Q3865">
        <v>0.2016809</v>
      </c>
      <c r="R3865">
        <v>2.8518990000000001E-2</v>
      </c>
      <c r="S3865">
        <v>-3.0737610000000002</v>
      </c>
      <c r="T3865">
        <v>-7.2462799999999994E-2</v>
      </c>
      <c r="U3865">
        <v>0.19142149999999999</v>
      </c>
      <c r="V3865">
        <v>4.9702490000000002E-2</v>
      </c>
      <c r="W3865">
        <v>0.211004</v>
      </c>
      <c r="X3865">
        <v>0.9762208</v>
      </c>
      <c r="Y3865">
        <v>8.2982200000000006E-2</v>
      </c>
      <c r="Z3865">
        <v>1.6701299999999999E-3</v>
      </c>
      <c r="AA3865">
        <v>0.99654960000000004</v>
      </c>
      <c r="AB3865">
        <v>59</v>
      </c>
      <c r="AC3865">
        <v>-46.8108</v>
      </c>
      <c r="AD3865">
        <v>-1.118329787929</v>
      </c>
      <c r="AE3865">
        <v>2.9674999999999998</v>
      </c>
      <c r="AF3865">
        <v>3.9436627326920801</v>
      </c>
      <c r="AG3865">
        <v>-1.118329787929</v>
      </c>
      <c r="AH3865">
        <v>46.711940501101203</v>
      </c>
      <c r="AI3865">
        <v>91.366595538552005</v>
      </c>
      <c r="AJ3865">
        <v>85.174238702018997</v>
      </c>
      <c r="AK3865">
        <v>46.891454686778602</v>
      </c>
      <c r="AL3865">
        <v>77.818804778978603</v>
      </c>
      <c r="AM3865">
        <v>87.085407178775796</v>
      </c>
      <c r="AN3865">
        <v>1.0000000379404099</v>
      </c>
    </row>
    <row r="3866" spans="1:40" x14ac:dyDescent="0.25">
      <c r="A3866" t="str">
        <f>"20190303170616228"</f>
        <v>20190303170616228</v>
      </c>
      <c r="B3866" t="str">
        <f>"1551603976218786"</f>
        <v>1551603976218786</v>
      </c>
      <c r="C3866" t="s">
        <v>40</v>
      </c>
      <c r="D3866">
        <v>5.2907650000000004</v>
      </c>
      <c r="E3866">
        <v>0.51970950000000005</v>
      </c>
      <c r="F3866" t="s">
        <v>41</v>
      </c>
      <c r="G3866">
        <v>-361.44319999999999</v>
      </c>
      <c r="H3866" s="1">
        <v>-4.6368960000000003E-6</v>
      </c>
      <c r="I3866">
        <v>144.4194</v>
      </c>
      <c r="J3866">
        <v>-315.25909999999999</v>
      </c>
      <c r="K3866">
        <v>1.1183350000000001</v>
      </c>
      <c r="L3866">
        <v>141.357</v>
      </c>
      <c r="M3866">
        <v>-0.9997627</v>
      </c>
      <c r="N3866">
        <v>-1.0386619999999999E-2</v>
      </c>
      <c r="O3866">
        <v>-1.9158809999999998E-2</v>
      </c>
      <c r="P3866">
        <v>-0.9790894</v>
      </c>
      <c r="Q3866">
        <v>0.2009417</v>
      </c>
      <c r="R3866">
        <v>3.1729029999999998E-2</v>
      </c>
      <c r="S3866">
        <v>-3.0734560000000002</v>
      </c>
      <c r="T3866">
        <v>-7.2678329999999999E-2</v>
      </c>
      <c r="U3866">
        <v>0.19758609999999999</v>
      </c>
      <c r="V3866">
        <v>5.1227780000000001E-2</v>
      </c>
      <c r="W3866">
        <v>0.21091260000000001</v>
      </c>
      <c r="X3866">
        <v>0.97616170000000002</v>
      </c>
      <c r="Y3866">
        <v>8.3228999999999997E-2</v>
      </c>
      <c r="Z3866">
        <v>1.6694990000000001E-3</v>
      </c>
      <c r="AA3866">
        <v>0.996529</v>
      </c>
      <c r="AB3866">
        <v>59</v>
      </c>
      <c r="AC3866">
        <v>-46.184100000000001</v>
      </c>
      <c r="AD3866">
        <v>-1.1183396368959999</v>
      </c>
      <c r="AE3866">
        <v>3.06239999999999</v>
      </c>
      <c r="AF3866">
        <v>3.9444150863413698</v>
      </c>
      <c r="AG3866">
        <v>-1.1183396368959999</v>
      </c>
      <c r="AH3866">
        <v>46.0900401151709</v>
      </c>
      <c r="AI3866">
        <v>91.384905288878997</v>
      </c>
      <c r="AJ3866">
        <v>85.108509175045199</v>
      </c>
      <c r="AK3866">
        <v>46.272031420015203</v>
      </c>
      <c r="AL3866">
        <v>77.824162174523394</v>
      </c>
      <c r="AM3866">
        <v>86.995942829325102</v>
      </c>
      <c r="AN3866">
        <v>1.00000003741468</v>
      </c>
    </row>
    <row r="3867" spans="1:40" x14ac:dyDescent="0.25">
      <c r="A3867" t="str">
        <f>"20190303170616251"</f>
        <v>20190303170616251</v>
      </c>
      <c r="B3867" t="str">
        <f>"1551603976239282"</f>
        <v>1551603976239282</v>
      </c>
      <c r="C3867" t="s">
        <v>40</v>
      </c>
      <c r="D3867">
        <v>5.3346140000000002</v>
      </c>
      <c r="E3867">
        <v>0.51991579999999904</v>
      </c>
      <c r="F3867" t="s">
        <v>41</v>
      </c>
      <c r="G3867">
        <v>-359.91640000000001</v>
      </c>
      <c r="H3867" s="1">
        <v>-1.2881340000000001E-6</v>
      </c>
      <c r="I3867">
        <v>144.38919999999999</v>
      </c>
      <c r="J3867">
        <v>-315.87790000000001</v>
      </c>
      <c r="K3867">
        <v>1.1183449999999999</v>
      </c>
      <c r="L3867">
        <v>141.34549999999999</v>
      </c>
      <c r="M3867">
        <v>-0.99977720000000003</v>
      </c>
      <c r="N3867">
        <v>-1.075106E-2</v>
      </c>
      <c r="O3867">
        <v>-1.8169970000000001E-2</v>
      </c>
      <c r="P3867">
        <v>-0.97938440000000004</v>
      </c>
      <c r="Q3867">
        <v>0.1993943</v>
      </c>
      <c r="R3867">
        <v>3.2374840000000002E-2</v>
      </c>
      <c r="S3867">
        <v>-3.0730900000000001</v>
      </c>
      <c r="T3867">
        <v>-7.6958299999999993E-2</v>
      </c>
      <c r="U3867">
        <v>0.20866390000000001</v>
      </c>
      <c r="V3867">
        <v>5.0918409999999997E-2</v>
      </c>
      <c r="W3867">
        <v>0.20972299999999999</v>
      </c>
      <c r="X3867">
        <v>0.97643409999999997</v>
      </c>
      <c r="Y3867">
        <v>8.5822309999999999E-2</v>
      </c>
      <c r="Z3867">
        <v>1.7945859999999999E-3</v>
      </c>
      <c r="AA3867">
        <v>0.99630890000000005</v>
      </c>
      <c r="AB3867">
        <v>59</v>
      </c>
      <c r="AC3867">
        <v>-44.038499999999999</v>
      </c>
      <c r="AD3867">
        <v>-1.1183462881340001</v>
      </c>
      <c r="AE3867">
        <v>3.0436999999999999</v>
      </c>
      <c r="AF3867">
        <v>3.8409566346877799</v>
      </c>
      <c r="AG3867">
        <v>-1.1183462881340001</v>
      </c>
      <c r="AH3867">
        <v>43.947714995967402</v>
      </c>
      <c r="AI3867">
        <v>91.452169319351498</v>
      </c>
      <c r="AJ3867">
        <v>85.005136795210902</v>
      </c>
      <c r="AK3867">
        <v>44.129415355933702</v>
      </c>
      <c r="AL3867">
        <v>77.893879996849705</v>
      </c>
      <c r="AM3867">
        <v>87.014883215748895</v>
      </c>
      <c r="AN3867">
        <v>0.99999998642436805</v>
      </c>
    </row>
    <row r="3868" spans="1:40" x14ac:dyDescent="0.25">
      <c r="A3868" t="str">
        <f>"20190303170616275"</f>
        <v>20190303170616275</v>
      </c>
      <c r="B3868" t="str">
        <f>"1551603976268563"</f>
        <v>1551603976268563</v>
      </c>
      <c r="C3868" t="s">
        <v>40</v>
      </c>
      <c r="D3868">
        <v>5.2970119999999996</v>
      </c>
      <c r="E3868">
        <v>0.52003009999999905</v>
      </c>
      <c r="F3868" t="s">
        <v>41</v>
      </c>
      <c r="G3868">
        <v>-356.94490000000002</v>
      </c>
      <c r="H3868" s="1">
        <v>-2.507634E-6</v>
      </c>
      <c r="I3868">
        <v>144.1815</v>
      </c>
      <c r="J3868">
        <v>-316.48469999999998</v>
      </c>
      <c r="K3868">
        <v>1.1183639999999999</v>
      </c>
      <c r="L3868">
        <v>141.3349</v>
      </c>
      <c r="M3868">
        <v>-0.99979059999999997</v>
      </c>
      <c r="N3868">
        <v>-1.110536E-2</v>
      </c>
      <c r="O3868">
        <v>-1.71954E-2</v>
      </c>
      <c r="P3868">
        <v>-0.97947899999999999</v>
      </c>
      <c r="Q3868">
        <v>0.198821</v>
      </c>
      <c r="R3868">
        <v>3.3037839999999999E-2</v>
      </c>
      <c r="S3868">
        <v>-3.0731809999999999</v>
      </c>
      <c r="T3868">
        <v>-8.3689689999999997E-2</v>
      </c>
      <c r="U3868">
        <v>0.21223449999999999</v>
      </c>
      <c r="V3868">
        <v>5.0636029999999999E-2</v>
      </c>
      <c r="W3868">
        <v>0.2094964</v>
      </c>
      <c r="X3868">
        <v>0.97649750000000002</v>
      </c>
      <c r="Y3868">
        <v>8.5994559999999998E-2</v>
      </c>
      <c r="Z3868">
        <v>1.9244920000000001E-3</v>
      </c>
      <c r="AA3868">
        <v>0.99629369999999995</v>
      </c>
      <c r="AB3868">
        <v>59</v>
      </c>
      <c r="AC3868">
        <v>-40.4602</v>
      </c>
      <c r="AD3868">
        <v>-1.1183665076339999</v>
      </c>
      <c r="AE3868">
        <v>2.8465999999999898</v>
      </c>
      <c r="AF3868">
        <v>3.5392604200122202</v>
      </c>
      <c r="AG3868">
        <v>-1.1183665076339999</v>
      </c>
      <c r="AH3868">
        <v>40.374570137749402</v>
      </c>
      <c r="AI3868">
        <v>91.580616157990306</v>
      </c>
      <c r="AJ3868">
        <v>84.990221803720701</v>
      </c>
      <c r="AK3868">
        <v>40.544827312175201</v>
      </c>
      <c r="AL3868">
        <v>77.907159076688004</v>
      </c>
      <c r="AM3868">
        <v>87.031600582492999</v>
      </c>
      <c r="AN3868">
        <v>1.0000000583266799</v>
      </c>
    </row>
    <row r="3869" spans="1:40" x14ac:dyDescent="0.25">
      <c r="A3869" t="str">
        <f>"20190303170616298"</f>
        <v>20190303170616298</v>
      </c>
      <c r="B3869" t="str">
        <f>"1551603976289059"</f>
        <v>1551603976289059</v>
      </c>
      <c r="C3869" t="s">
        <v>40</v>
      </c>
      <c r="D3869">
        <v>5.2493879999999997</v>
      </c>
      <c r="E3869">
        <v>0.52015</v>
      </c>
      <c r="F3869" t="s">
        <v>41</v>
      </c>
      <c r="G3869">
        <v>-355.31189999999998</v>
      </c>
      <c r="H3869" s="1">
        <v>-3.172986E-6</v>
      </c>
      <c r="I3869">
        <v>144.04920000000001</v>
      </c>
      <c r="J3869">
        <v>-317.096</v>
      </c>
      <c r="K3869">
        <v>1.11839</v>
      </c>
      <c r="L3869">
        <v>141.32480000000001</v>
      </c>
      <c r="M3869">
        <v>-0.99980309999999994</v>
      </c>
      <c r="N3869">
        <v>-1.146088E-2</v>
      </c>
      <c r="O3869">
        <v>-1.621044E-2</v>
      </c>
      <c r="P3869">
        <v>-0.9794737</v>
      </c>
      <c r="Q3869">
        <v>0.19864039999999999</v>
      </c>
      <c r="R3869">
        <v>3.4254550000000002E-2</v>
      </c>
      <c r="S3869">
        <v>-3.0735779999999999</v>
      </c>
      <c r="T3869">
        <v>-8.8530540000000005E-2</v>
      </c>
      <c r="U3869">
        <v>0.21487429999999999</v>
      </c>
      <c r="V3869">
        <v>5.0893870000000001E-2</v>
      </c>
      <c r="W3869">
        <v>0.20966099999999999</v>
      </c>
      <c r="X3869">
        <v>0.97644869999999995</v>
      </c>
      <c r="Y3869">
        <v>8.5850770000000007E-2</v>
      </c>
      <c r="Z3869">
        <v>2.0081539999999998E-3</v>
      </c>
      <c r="AA3869">
        <v>0.99630600000000002</v>
      </c>
      <c r="AB3869">
        <v>59</v>
      </c>
      <c r="AC3869">
        <v>-38.215899999999898</v>
      </c>
      <c r="AD3869">
        <v>-1.1183931729859999</v>
      </c>
      <c r="AE3869">
        <v>2.7244000000000002</v>
      </c>
      <c r="AF3869">
        <v>3.3407324076473599</v>
      </c>
      <c r="AG3869">
        <v>-1.1183931729859999</v>
      </c>
      <c r="AH3869">
        <v>38.1342164261318</v>
      </c>
      <c r="AI3869">
        <v>91.673472744180202</v>
      </c>
      <c r="AJ3869">
        <v>84.993408403987004</v>
      </c>
      <c r="AK3869">
        <v>38.2966024438715</v>
      </c>
      <c r="AL3869">
        <v>77.897513180950895</v>
      </c>
      <c r="AM3869">
        <v>87.016363816959398</v>
      </c>
      <c r="AN3869">
        <v>0.99999999232813297</v>
      </c>
    </row>
    <row r="3870" spans="1:40" x14ac:dyDescent="0.25">
      <c r="A3870" t="str">
        <f>"20190303170616319"</f>
        <v>20190303170616319</v>
      </c>
      <c r="B3870" t="str">
        <f>"1551603976308579"</f>
        <v>1551603976308579</v>
      </c>
      <c r="C3870" t="s">
        <v>40</v>
      </c>
      <c r="D3870">
        <v>5.2485140000000001</v>
      </c>
      <c r="E3870">
        <v>0.52027709999999905</v>
      </c>
      <c r="F3870" t="s">
        <v>41</v>
      </c>
      <c r="G3870">
        <v>-355.17689999999999</v>
      </c>
      <c r="H3870" s="1">
        <v>-3.2287309999999999E-6</v>
      </c>
      <c r="I3870">
        <v>144.041</v>
      </c>
      <c r="J3870">
        <v>-317.64620000000002</v>
      </c>
      <c r="K3870">
        <v>1.1184270000000001</v>
      </c>
      <c r="L3870">
        <v>141.31620000000001</v>
      </c>
      <c r="M3870">
        <v>-0.99981330000000002</v>
      </c>
      <c r="N3870">
        <v>-1.1774919999999999E-2</v>
      </c>
      <c r="O3870">
        <v>-1.532318E-2</v>
      </c>
      <c r="P3870">
        <v>-0.97947759999999995</v>
      </c>
      <c r="Q3870">
        <v>0.1985894</v>
      </c>
      <c r="R3870">
        <v>3.4438509999999999E-2</v>
      </c>
      <c r="S3870">
        <v>-3.0735169999999998</v>
      </c>
      <c r="T3870">
        <v>-9.0265750000000006E-2</v>
      </c>
      <c r="U3870">
        <v>0.2192383</v>
      </c>
      <c r="V3870">
        <v>5.0212569999999998E-2</v>
      </c>
      <c r="W3870">
        <v>0.2099192</v>
      </c>
      <c r="X3870">
        <v>0.97642850000000003</v>
      </c>
      <c r="Y3870">
        <v>8.6373320000000003E-2</v>
      </c>
      <c r="Z3870">
        <v>2.0450400000000001E-3</v>
      </c>
      <c r="AA3870">
        <v>0.99626079999999995</v>
      </c>
      <c r="AB3870">
        <v>59</v>
      </c>
      <c r="AC3870">
        <v>-37.530699999999896</v>
      </c>
      <c r="AD3870">
        <v>-1.118430228731</v>
      </c>
      <c r="AE3870">
        <v>2.7247999999999801</v>
      </c>
      <c r="AF3870">
        <v>3.2966972365893401</v>
      </c>
      <c r="AG3870">
        <v>-1.118430228731</v>
      </c>
      <c r="AH3870">
        <v>37.451452625165103</v>
      </c>
      <c r="AI3870">
        <v>91.703957294465397</v>
      </c>
      <c r="AJ3870">
        <v>84.969454755539601</v>
      </c>
      <c r="AK3870">
        <v>37.612902076033102</v>
      </c>
      <c r="AL3870">
        <v>77.882382726206004</v>
      </c>
      <c r="AM3870">
        <v>87.056173282790695</v>
      </c>
      <c r="AN3870">
        <v>0.99999999416344698</v>
      </c>
    </row>
    <row r="3871" spans="1:40" x14ac:dyDescent="0.25">
      <c r="A3871" t="str">
        <f>"20190303170616341"</f>
        <v>20190303170616341</v>
      </c>
      <c r="B3871" t="str">
        <f>"1551603976329075"</f>
        <v>1551603976329075</v>
      </c>
      <c r="C3871" t="s">
        <v>40</v>
      </c>
      <c r="D3871">
        <v>5.3508719999999999</v>
      </c>
      <c r="E3871">
        <v>0.5202563</v>
      </c>
      <c r="F3871" t="s">
        <v>41</v>
      </c>
      <c r="G3871">
        <v>-355.56139999999999</v>
      </c>
      <c r="H3871" s="1">
        <v>-3.0635570000000001E-6</v>
      </c>
      <c r="I3871">
        <v>144.0403</v>
      </c>
      <c r="J3871">
        <v>-318.22710000000001</v>
      </c>
      <c r="K3871">
        <v>1.118455</v>
      </c>
      <c r="L3871">
        <v>141.30760000000001</v>
      </c>
      <c r="M3871">
        <v>-0.99982329999999997</v>
      </c>
      <c r="N3871">
        <v>-1.209932E-2</v>
      </c>
      <c r="O3871">
        <v>-1.439087E-2</v>
      </c>
      <c r="P3871">
        <v>-0.97966940000000002</v>
      </c>
      <c r="Q3871">
        <v>0.1977139</v>
      </c>
      <c r="R3871">
        <v>3.4017850000000002E-2</v>
      </c>
      <c r="S3871">
        <v>-3.0734859999999999</v>
      </c>
      <c r="T3871">
        <v>-9.0662240000000005E-2</v>
      </c>
      <c r="U3871">
        <v>0.2208252</v>
      </c>
      <c r="V3871">
        <v>4.888004E-2</v>
      </c>
      <c r="W3871">
        <v>0.2093682</v>
      </c>
      <c r="X3871">
        <v>0.97661439999999999</v>
      </c>
      <c r="Y3871">
        <v>8.5956500000000005E-2</v>
      </c>
      <c r="Z3871">
        <v>2.036777E-3</v>
      </c>
      <c r="AA3871">
        <v>0.99629679999999998</v>
      </c>
      <c r="AB3871">
        <v>59</v>
      </c>
      <c r="AC3871">
        <v>-37.334299999999899</v>
      </c>
      <c r="AD3871">
        <v>-1.1184580635570001</v>
      </c>
      <c r="AE3871">
        <v>2.7326999999999901</v>
      </c>
      <c r="AF3871">
        <v>3.2668130669564599</v>
      </c>
      <c r="AG3871">
        <v>-1.1184580635570001</v>
      </c>
      <c r="AH3871">
        <v>37.2578446430648</v>
      </c>
      <c r="AI3871">
        <v>91.7129005783911</v>
      </c>
      <c r="AJ3871">
        <v>84.989051629693805</v>
      </c>
      <c r="AK3871">
        <v>37.4175093171784</v>
      </c>
      <c r="AL3871">
        <v>77.9146701950975</v>
      </c>
      <c r="AM3871">
        <v>87.134708502918699</v>
      </c>
      <c r="AN3871">
        <v>0.9999999938845</v>
      </c>
    </row>
    <row r="3872" spans="1:40" x14ac:dyDescent="0.25">
      <c r="A3872" t="str">
        <f>"20190303170616365"</f>
        <v>20190303170616365</v>
      </c>
      <c r="B3872" t="str">
        <f>"1551603976359331"</f>
        <v>1551603976359331</v>
      </c>
      <c r="C3872" t="s">
        <v>40</v>
      </c>
      <c r="D3872">
        <v>5.3747259999999999</v>
      </c>
      <c r="E3872">
        <v>0.47518909999999998</v>
      </c>
      <c r="F3872" t="s">
        <v>41</v>
      </c>
      <c r="G3872">
        <v>-355.22669999999999</v>
      </c>
      <c r="H3872" s="1">
        <v>-3.1851779999999998E-6</v>
      </c>
      <c r="I3872">
        <v>143.95760000000001</v>
      </c>
      <c r="J3872">
        <v>-318.82089999999999</v>
      </c>
      <c r="K3872">
        <v>1.1184940000000001</v>
      </c>
      <c r="L3872">
        <v>141.29939999999999</v>
      </c>
      <c r="M3872">
        <v>-0.99983239999999995</v>
      </c>
      <c r="N3872">
        <v>-1.2425240000000001E-2</v>
      </c>
      <c r="O3872">
        <v>-1.344819E-2</v>
      </c>
      <c r="P3872">
        <v>-0.97991600000000001</v>
      </c>
      <c r="Q3872">
        <v>0.19662180000000001</v>
      </c>
      <c r="R3872">
        <v>3.3236250000000002E-2</v>
      </c>
      <c r="S3872">
        <v>-3.0733640000000002</v>
      </c>
      <c r="T3872">
        <v>-9.2904570000000006E-2</v>
      </c>
      <c r="U3872">
        <v>0.22012329999999999</v>
      </c>
      <c r="V3872">
        <v>4.7173890000000003E-2</v>
      </c>
      <c r="W3872">
        <v>0.20860529999999999</v>
      </c>
      <c r="X3872">
        <v>0.97686150000000005</v>
      </c>
      <c r="Y3872">
        <v>8.4791729999999996E-2</v>
      </c>
      <c r="Z3872">
        <v>2.0463949999999999E-3</v>
      </c>
      <c r="AA3872">
        <v>0.99639659999999997</v>
      </c>
      <c r="AB3872">
        <v>59</v>
      </c>
      <c r="AC3872">
        <v>-36.405799999999999</v>
      </c>
      <c r="AD3872">
        <v>-1.1184971851779999</v>
      </c>
      <c r="AE3872">
        <v>2.6582000000000199</v>
      </c>
      <c r="AF3872">
        <v>3.1446369753287899</v>
      </c>
      <c r="AG3872">
        <v>-1.1184971851779999</v>
      </c>
      <c r="AH3872">
        <v>36.332643815918402</v>
      </c>
      <c r="AI3872">
        <v>91.756725043223</v>
      </c>
      <c r="AJ3872">
        <v>85.053304238722404</v>
      </c>
      <c r="AK3872">
        <v>36.485624351438098</v>
      </c>
      <c r="AL3872">
        <v>77.959367837281505</v>
      </c>
      <c r="AM3872">
        <v>87.235261431125593</v>
      </c>
      <c r="AN3872">
        <v>0.99999996863403495</v>
      </c>
    </row>
    <row r="3873" spans="1:40" x14ac:dyDescent="0.25">
      <c r="A3873" t="str">
        <f>"20190303170616388"</f>
        <v>20190303170616388</v>
      </c>
      <c r="B3873" t="str">
        <f>"1551603976378851"</f>
        <v>1551603976378851</v>
      </c>
      <c r="C3873" t="s">
        <v>40</v>
      </c>
      <c r="D3873">
        <v>5.3696400000000004</v>
      </c>
      <c r="E3873">
        <v>0.4673464</v>
      </c>
      <c r="F3873" t="s">
        <v>41</v>
      </c>
      <c r="G3873">
        <v>-373.51530000000002</v>
      </c>
      <c r="H3873" s="1">
        <v>-2.907319E-6</v>
      </c>
      <c r="I3873">
        <v>138.80959999999999</v>
      </c>
      <c r="J3873">
        <v>-319.4633</v>
      </c>
      <c r="K3873">
        <v>1.1185449999999999</v>
      </c>
      <c r="L3873">
        <v>141.2912</v>
      </c>
      <c r="M3873">
        <v>-0.99984099999999998</v>
      </c>
      <c r="N3873">
        <v>-1.277265E-2</v>
      </c>
      <c r="O3873">
        <v>-1.2449480000000001E-2</v>
      </c>
      <c r="P3873">
        <v>-0.97987849999999999</v>
      </c>
      <c r="Q3873">
        <v>0.19678799999999999</v>
      </c>
      <c r="R3873">
        <v>3.3359510000000002E-2</v>
      </c>
      <c r="S3873">
        <v>-3.0789179999999998</v>
      </c>
      <c r="T3873">
        <v>-6.2963720000000001E-2</v>
      </c>
      <c r="U3873">
        <v>-0.140152</v>
      </c>
      <c r="V3873">
        <v>4.6314309999999997E-2</v>
      </c>
      <c r="W3873">
        <v>0.209115</v>
      </c>
      <c r="X3873">
        <v>0.97679369999999999</v>
      </c>
      <c r="Y3873">
        <v>-3.3020819999999999E-2</v>
      </c>
      <c r="Z3873">
        <v>-4.5299750000000002E-4</v>
      </c>
      <c r="AA3873">
        <v>0.99945459999999997</v>
      </c>
      <c r="AB3873">
        <v>59</v>
      </c>
      <c r="AC3873">
        <v>-54.052</v>
      </c>
      <c r="AD3873">
        <v>-1.1185479073189999</v>
      </c>
      <c r="AE3873">
        <v>-2.48160000000001</v>
      </c>
      <c r="AF3873">
        <v>-1.8076610309103101</v>
      </c>
      <c r="AG3873">
        <v>-1.1185479073189999</v>
      </c>
      <c r="AH3873">
        <v>54.055607557327399</v>
      </c>
      <c r="AI3873">
        <v>91.184764049260096</v>
      </c>
      <c r="AJ3873">
        <v>91.915301131495397</v>
      </c>
      <c r="AK3873">
        <v>54.097388996285403</v>
      </c>
      <c r="AL3873">
        <v>77.929506154125605</v>
      </c>
      <c r="AM3873">
        <v>87.2853749974647</v>
      </c>
      <c r="AN3873">
        <v>1.00000001544773</v>
      </c>
    </row>
    <row r="3874" spans="1:40" x14ac:dyDescent="0.25">
      <c r="A3874" t="str">
        <f>"20190303170616409"</f>
        <v>20190303170616409</v>
      </c>
      <c r="B3874" t="str">
        <f>"1551603976398372"</f>
        <v>1551603976398372</v>
      </c>
      <c r="C3874" t="s">
        <v>40</v>
      </c>
      <c r="D3874">
        <v>5.3564449999999999</v>
      </c>
      <c r="E3874">
        <v>0.46374720000000003</v>
      </c>
      <c r="F3874" t="s">
        <v>41</v>
      </c>
      <c r="G3874">
        <v>-391.7817</v>
      </c>
      <c r="H3874" s="1">
        <v>-4.0513840000000003E-6</v>
      </c>
      <c r="I3874">
        <v>136.55240000000001</v>
      </c>
      <c r="J3874">
        <v>-320.00049999999999</v>
      </c>
      <c r="K3874">
        <v>1.1185889999999901</v>
      </c>
      <c r="L3874">
        <v>141.28489999999999</v>
      </c>
      <c r="M3874">
        <v>-0.99984720000000005</v>
      </c>
      <c r="N3874">
        <v>-1.3052390000000001E-2</v>
      </c>
      <c r="O3874">
        <v>-1.1630069999999999E-2</v>
      </c>
      <c r="P3874">
        <v>-0.97983929999999997</v>
      </c>
      <c r="Q3874">
        <v>0.1969429</v>
      </c>
      <c r="R3874">
        <v>3.3597210000000002E-2</v>
      </c>
      <c r="S3874">
        <v>-3.078033</v>
      </c>
      <c r="T3874">
        <v>-4.7608020000000001E-2</v>
      </c>
      <c r="U3874">
        <v>-0.2016907</v>
      </c>
      <c r="V3874">
        <v>4.5743649999999997E-2</v>
      </c>
      <c r="W3874">
        <v>0.2095467</v>
      </c>
      <c r="X3874">
        <v>0.97672800000000004</v>
      </c>
      <c r="Y3874">
        <v>-5.376322E-2</v>
      </c>
      <c r="Z3874">
        <v>-7.3860769999999998E-4</v>
      </c>
      <c r="AA3874">
        <v>0.99855349999999998</v>
      </c>
      <c r="AB3874">
        <v>59</v>
      </c>
      <c r="AC3874">
        <v>-71.781199999999998</v>
      </c>
      <c r="AD3874">
        <v>-1.1185930513839999</v>
      </c>
      <c r="AE3874">
        <v>-4.7324999999999804</v>
      </c>
      <c r="AF3874">
        <v>-3.8963462975384999</v>
      </c>
      <c r="AG3874">
        <v>-1.1185930513839999</v>
      </c>
      <c r="AH3874">
        <v>71.814024547571094</v>
      </c>
      <c r="AI3874">
        <v>90.891070746129103</v>
      </c>
      <c r="AJ3874">
        <v>93.105598519181797</v>
      </c>
      <c r="AK3874">
        <v>71.928345501645495</v>
      </c>
      <c r="AL3874">
        <v>77.904210268748102</v>
      </c>
      <c r="AM3874">
        <v>87.318593941006895</v>
      </c>
      <c r="AN3874">
        <v>0.99999994349010402</v>
      </c>
    </row>
    <row r="3875" spans="1:40" x14ac:dyDescent="0.25">
      <c r="A3875" t="str">
        <f>"20190303170616431"</f>
        <v>20190303170616431</v>
      </c>
      <c r="B3875" t="str">
        <f>"1551603976418867"</f>
        <v>1551603976418867</v>
      </c>
      <c r="C3875" t="s">
        <v>40</v>
      </c>
      <c r="D3875">
        <v>5.3243580000000001</v>
      </c>
      <c r="E3875">
        <v>0.4615977</v>
      </c>
      <c r="F3875" t="s">
        <v>84</v>
      </c>
      <c r="G3875">
        <v>-403.41980000000001</v>
      </c>
      <c r="H3875" s="1">
        <v>-4.750749E-6</v>
      </c>
      <c r="I3875">
        <v>135.0506</v>
      </c>
      <c r="J3875">
        <v>-320.57619999999997</v>
      </c>
      <c r="K3875">
        <v>1.1186389999999999</v>
      </c>
      <c r="L3875">
        <v>141.27850000000001</v>
      </c>
      <c r="M3875">
        <v>-0.99985299999999999</v>
      </c>
      <c r="N3875">
        <v>-1.334163E-2</v>
      </c>
      <c r="O3875">
        <v>-1.077854E-2</v>
      </c>
      <c r="P3875">
        <v>-0.97983730000000002</v>
      </c>
      <c r="Q3875">
        <v>0.19691059999999999</v>
      </c>
      <c r="R3875">
        <v>3.3847090000000003E-2</v>
      </c>
      <c r="S3875">
        <v>-3.0779109999999998</v>
      </c>
      <c r="T3875">
        <v>-4.1272639999999999E-2</v>
      </c>
      <c r="U3875">
        <v>-0.23002619999999999</v>
      </c>
      <c r="V3875">
        <v>4.5149549999999997E-2</v>
      </c>
      <c r="W3875">
        <v>0.2098013</v>
      </c>
      <c r="X3875">
        <v>0.97670100000000004</v>
      </c>
      <c r="Y3875">
        <v>-6.3761440000000003E-2</v>
      </c>
      <c r="Z3875">
        <v>-8.5219119999999896E-4</v>
      </c>
      <c r="AA3875">
        <v>0.99796479999999999</v>
      </c>
      <c r="AB3875">
        <v>59</v>
      </c>
      <c r="AC3875">
        <v>-82.843599999999995</v>
      </c>
      <c r="AD3875">
        <v>-1.1186437507489999</v>
      </c>
      <c r="AE3875">
        <v>-6.2279</v>
      </c>
      <c r="AF3875">
        <v>-5.3335586871689404</v>
      </c>
      <c r="AG3875">
        <v>-1.1186437507489999</v>
      </c>
      <c r="AH3875">
        <v>82.890891561754501</v>
      </c>
      <c r="AI3875">
        <v>90.771585739502299</v>
      </c>
      <c r="AJ3875">
        <v>93.681583187181502</v>
      </c>
      <c r="AK3875">
        <v>83.069838786488006</v>
      </c>
      <c r="AL3875">
        <v>77.889291276173495</v>
      </c>
      <c r="AM3875">
        <v>87.353296055039806</v>
      </c>
      <c r="AN3875">
        <v>0.99999995537394504</v>
      </c>
    </row>
    <row r="3876" spans="1:40" x14ac:dyDescent="0.25">
      <c r="A3876" t="str">
        <f>"20190303170616452"</f>
        <v>20190303170616452</v>
      </c>
      <c r="B3876" t="str">
        <f>"1551603976438386"</f>
        <v>1551603976438386</v>
      </c>
      <c r="C3876" t="s">
        <v>40</v>
      </c>
      <c r="D3876">
        <v>5.3426049999999998</v>
      </c>
      <c r="E3876">
        <v>0.4602868</v>
      </c>
      <c r="F3876" t="s">
        <v>84</v>
      </c>
      <c r="G3876">
        <v>-413.13959999999997</v>
      </c>
      <c r="H3876" s="1">
        <v>-7.8971150000000004E-6</v>
      </c>
      <c r="I3876">
        <v>133.8954</v>
      </c>
      <c r="J3876">
        <v>-321.13670000000002</v>
      </c>
      <c r="K3876">
        <v>1.1186969999999901</v>
      </c>
      <c r="L3876">
        <v>141.27279999999999</v>
      </c>
      <c r="M3876">
        <v>-0.99985749999999995</v>
      </c>
      <c r="N3876">
        <v>-1.360919E-2</v>
      </c>
      <c r="O3876">
        <v>-9.98835E-3</v>
      </c>
      <c r="P3876">
        <v>-0.97998079999999999</v>
      </c>
      <c r="Q3876">
        <v>0.19618240000000001</v>
      </c>
      <c r="R3876">
        <v>3.3916160000000001E-2</v>
      </c>
      <c r="S3876">
        <v>-3.0776669999999999</v>
      </c>
      <c r="T3876">
        <v>-3.7194249999999998E-2</v>
      </c>
      <c r="U3876">
        <v>-0.24548339999999999</v>
      </c>
      <c r="V3876">
        <v>4.4428809999999999E-2</v>
      </c>
      <c r="W3876">
        <v>0.209343</v>
      </c>
      <c r="X3876">
        <v>0.97683240000000005</v>
      </c>
      <c r="Y3876">
        <v>-6.9537940000000006E-2</v>
      </c>
      <c r="Z3876">
        <v>-9.0873319999999996E-4</v>
      </c>
      <c r="AA3876">
        <v>0.99757890000000005</v>
      </c>
      <c r="AB3876">
        <v>58</v>
      </c>
      <c r="AC3876">
        <v>-92.002899999999897</v>
      </c>
      <c r="AD3876">
        <v>-1.11870489711499</v>
      </c>
      <c r="AE3876">
        <v>-7.37739999999999</v>
      </c>
      <c r="AF3876">
        <v>-6.4570410434115102</v>
      </c>
      <c r="AG3876">
        <v>-1.11870489711499</v>
      </c>
      <c r="AH3876">
        <v>92.058480382293993</v>
      </c>
      <c r="AI3876">
        <v>90.694524252674398</v>
      </c>
      <c r="AJ3876">
        <v>94.012191841691504</v>
      </c>
      <c r="AK3876">
        <v>92.291433459342997</v>
      </c>
      <c r="AL3876">
        <v>77.916146529423699</v>
      </c>
      <c r="AM3876">
        <v>87.395837646993101</v>
      </c>
      <c r="AN3876">
        <v>0.99999997424838705</v>
      </c>
    </row>
    <row r="3877" spans="1:40" x14ac:dyDescent="0.25">
      <c r="A3877" t="str">
        <f>"20190303170616476"</f>
        <v>20190303170616476</v>
      </c>
      <c r="B3877" t="str">
        <f>"1551603976468643"</f>
        <v>1551603976468643</v>
      </c>
      <c r="C3877" t="s">
        <v>40</v>
      </c>
      <c r="D3877">
        <v>5.302092</v>
      </c>
      <c r="E3877">
        <v>0.4590611</v>
      </c>
      <c r="F3877" t="s">
        <v>84</v>
      </c>
      <c r="G3877">
        <v>-416.53800000000001</v>
      </c>
      <c r="H3877" s="1">
        <v>-7.4407020000000002E-6</v>
      </c>
      <c r="I3877">
        <v>133.33940000000001</v>
      </c>
      <c r="J3877">
        <v>-321.76530000000002</v>
      </c>
      <c r="K3877">
        <v>1.1187689999999999</v>
      </c>
      <c r="L3877">
        <v>141.26679999999999</v>
      </c>
      <c r="M3877">
        <v>-0.99986169999999996</v>
      </c>
      <c r="N3877">
        <v>-1.3884560000000001E-2</v>
      </c>
      <c r="O3877">
        <v>-9.1598579999999999E-3</v>
      </c>
      <c r="P3877">
        <v>-0.98012290000000002</v>
      </c>
      <c r="Q3877">
        <v>0.1952576</v>
      </c>
      <c r="R3877">
        <v>3.512378E-2</v>
      </c>
      <c r="S3877">
        <v>-3.0773320000000002</v>
      </c>
      <c r="T3877">
        <v>-3.6085720000000002E-2</v>
      </c>
      <c r="U3877">
        <v>-0.2559052</v>
      </c>
      <c r="V3877">
        <v>4.4799470000000001E-2</v>
      </c>
      <c r="W3877">
        <v>0.20869389999999999</v>
      </c>
      <c r="X3877">
        <v>0.9769544</v>
      </c>
      <c r="Y3877">
        <v>-7.3728360000000007E-2</v>
      </c>
      <c r="Z3877">
        <v>-9.6407929999999995E-4</v>
      </c>
      <c r="AA3877">
        <v>0.99727790000000005</v>
      </c>
      <c r="AB3877">
        <v>58</v>
      </c>
      <c r="AC3877">
        <v>-94.7727</v>
      </c>
      <c r="AD3877">
        <v>-1.118776440702</v>
      </c>
      <c r="AE3877">
        <v>-7.9273999999999702</v>
      </c>
      <c r="AF3877">
        <v>-7.0579025293104003</v>
      </c>
      <c r="AG3877">
        <v>-1.118776440702</v>
      </c>
      <c r="AH3877">
        <v>94.828221253112105</v>
      </c>
      <c r="AI3877">
        <v>90.674075775073703</v>
      </c>
      <c r="AJ3877">
        <v>94.256578705129996</v>
      </c>
      <c r="AK3877">
        <v>95.097093514295693</v>
      </c>
      <c r="AL3877">
        <v>77.9541777913565</v>
      </c>
      <c r="AM3877">
        <v>87.374469417176201</v>
      </c>
      <c r="AN3877">
        <v>1.00000001804442</v>
      </c>
    </row>
    <row r="3878" spans="1:40" x14ac:dyDescent="0.25">
      <c r="A3878" t="str">
        <f>"20190303170616497"</f>
        <v>20190303170616497</v>
      </c>
      <c r="B3878" t="str">
        <f>"1551603976489139"</f>
        <v>1551603976489139</v>
      </c>
      <c r="C3878" t="s">
        <v>40</v>
      </c>
      <c r="D3878">
        <v>5.3228619999999998</v>
      </c>
      <c r="E3878">
        <v>0.45844889999999999</v>
      </c>
      <c r="F3878" t="s">
        <v>84</v>
      </c>
      <c r="G3878">
        <v>-417.09370000000001</v>
      </c>
      <c r="H3878" s="1">
        <v>-7.3218309999999997E-6</v>
      </c>
      <c r="I3878">
        <v>133.1267</v>
      </c>
      <c r="J3878">
        <v>-322.322</v>
      </c>
      <c r="K3878">
        <v>1.1188370000000001</v>
      </c>
      <c r="L3878">
        <v>141.2619</v>
      </c>
      <c r="M3878">
        <v>-0.99986459999999999</v>
      </c>
      <c r="N3878">
        <v>-1.4102170000000001E-2</v>
      </c>
      <c r="O3878">
        <v>-8.4846260000000003E-3</v>
      </c>
      <c r="P3878">
        <v>-0.98015140000000001</v>
      </c>
      <c r="Q3878">
        <v>0.19484509999999999</v>
      </c>
      <c r="R3878">
        <v>3.6588710000000003E-2</v>
      </c>
      <c r="S3878">
        <v>-3.0774840000000001</v>
      </c>
      <c r="T3878">
        <v>-3.6117429999999999E-2</v>
      </c>
      <c r="U3878">
        <v>-0.26278689999999999</v>
      </c>
      <c r="V3878">
        <v>4.5575119999999997E-2</v>
      </c>
      <c r="W3878">
        <v>0.20849799999999999</v>
      </c>
      <c r="X3878">
        <v>0.9769603</v>
      </c>
      <c r="Y3878">
        <v>-7.6611239999999997E-2</v>
      </c>
      <c r="Z3878">
        <v>-1.010036E-3</v>
      </c>
      <c r="AA3878">
        <v>0.99706050000000002</v>
      </c>
      <c r="AB3878">
        <v>58</v>
      </c>
      <c r="AC3878">
        <v>-94.771699999999996</v>
      </c>
      <c r="AD3878">
        <v>-1.118844321831</v>
      </c>
      <c r="AE3878">
        <v>-8.1351999999999904</v>
      </c>
      <c r="AF3878">
        <v>-7.3297106486450998</v>
      </c>
      <c r="AG3878">
        <v>-1.118844321831</v>
      </c>
      <c r="AH3878">
        <v>94.824199632743699</v>
      </c>
      <c r="AI3878">
        <v>90.673999368184994</v>
      </c>
      <c r="AJ3878">
        <v>94.420053682503095</v>
      </c>
      <c r="AK3878">
        <v>95.113644167384194</v>
      </c>
      <c r="AL3878">
        <v>77.965653884801895</v>
      </c>
      <c r="AM3878">
        <v>87.329092826259</v>
      </c>
      <c r="AN3878">
        <v>0.99999996767155097</v>
      </c>
    </row>
    <row r="3879" spans="1:40" x14ac:dyDescent="0.25">
      <c r="A3879" t="str">
        <f>"20190303170616520"</f>
        <v>20190303170616520</v>
      </c>
      <c r="B3879" t="str">
        <f>"1551603976508659"</f>
        <v>1551603976508659</v>
      </c>
      <c r="C3879" t="s">
        <v>40</v>
      </c>
      <c r="D3879">
        <v>5.3193219999999997</v>
      </c>
      <c r="E3879">
        <v>0.45806599999999997</v>
      </c>
      <c r="F3879" t="s">
        <v>84</v>
      </c>
      <c r="G3879">
        <v>-419.94540000000001</v>
      </c>
      <c r="H3879" s="1">
        <v>-7.0722340000000003E-6</v>
      </c>
      <c r="I3879">
        <v>132.9203</v>
      </c>
      <c r="J3879">
        <v>-322.90159999999997</v>
      </c>
      <c r="K3879">
        <v>1.1189089999999999</v>
      </c>
      <c r="L3879">
        <v>141.25720000000001</v>
      </c>
      <c r="M3879">
        <v>-0.99986699999999995</v>
      </c>
      <c r="N3879">
        <v>-1.430298E-2</v>
      </c>
      <c r="O3879">
        <v>-7.8416939999999997E-3</v>
      </c>
      <c r="P3879">
        <v>-0.98023780000000005</v>
      </c>
      <c r="Q3879">
        <v>0.19430320000000001</v>
      </c>
      <c r="R3879">
        <v>3.7151860000000002E-2</v>
      </c>
      <c r="S3879">
        <v>-3.0775760000000001</v>
      </c>
      <c r="T3879">
        <v>-3.5271530000000002E-2</v>
      </c>
      <c r="U3879">
        <v>-0.26296999999999998</v>
      </c>
      <c r="V3879">
        <v>4.5475420000000003E-2</v>
      </c>
      <c r="W3879">
        <v>0.20816080000000001</v>
      </c>
      <c r="X3879">
        <v>0.97703689999999999</v>
      </c>
      <c r="Y3879">
        <v>-7.73089E-2</v>
      </c>
      <c r="Z3879">
        <v>-1.0184149999999999E-3</v>
      </c>
      <c r="AA3879">
        <v>0.99700670000000002</v>
      </c>
      <c r="AB3879">
        <v>58</v>
      </c>
      <c r="AC3879">
        <v>-97.043800000000005</v>
      </c>
      <c r="AD3879">
        <v>-1.1189160722339999</v>
      </c>
      <c r="AE3879">
        <v>-8.3369000000000106</v>
      </c>
      <c r="AF3879">
        <v>-7.5745784173659896</v>
      </c>
      <c r="AG3879">
        <v>-1.1189160722339999</v>
      </c>
      <c r="AH3879">
        <v>97.093384589614203</v>
      </c>
      <c r="AI3879">
        <v>90.658254483458805</v>
      </c>
      <c r="AJ3879">
        <v>94.460799697820804</v>
      </c>
      <c r="AK3879">
        <v>97.394822975578407</v>
      </c>
      <c r="AL3879">
        <v>77.9854080570978</v>
      </c>
      <c r="AM3879">
        <v>87.335135903115201</v>
      </c>
      <c r="AN3879">
        <v>1.0000000182212101</v>
      </c>
    </row>
    <row r="3880" spans="1:40" x14ac:dyDescent="0.25">
      <c r="A3880" t="str">
        <f>"20190303170616541"</f>
        <v>20190303170616541</v>
      </c>
      <c r="B3880" t="str">
        <f>"1551603976529155"</f>
        <v>1551603976529155</v>
      </c>
      <c r="C3880" t="s">
        <v>40</v>
      </c>
      <c r="D3880">
        <v>5.328074</v>
      </c>
      <c r="E3880">
        <v>0.45768150000000002</v>
      </c>
      <c r="F3880" t="s">
        <v>84</v>
      </c>
      <c r="G3880">
        <v>-416.57819999999998</v>
      </c>
      <c r="H3880" s="1">
        <v>-7.3915869999999999E-6</v>
      </c>
      <c r="I3880">
        <v>133.22450000000001</v>
      </c>
      <c r="J3880">
        <v>-323.46969999999999</v>
      </c>
      <c r="K3880">
        <v>1.118995</v>
      </c>
      <c r="L3880">
        <v>141.25299999999999</v>
      </c>
      <c r="M3880">
        <v>-0.99986889999999995</v>
      </c>
      <c r="N3880">
        <v>-1.4476279999999999E-2</v>
      </c>
      <c r="O3880">
        <v>-7.2660509999999999E-3</v>
      </c>
      <c r="P3880">
        <v>-0.98026199999999997</v>
      </c>
      <c r="Q3880">
        <v>0.19419980000000001</v>
      </c>
      <c r="R3880">
        <v>3.7053719999999998E-2</v>
      </c>
      <c r="S3880">
        <v>-3.0777589999999999</v>
      </c>
      <c r="T3880">
        <v>-3.6762120000000002E-2</v>
      </c>
      <c r="U3880">
        <v>-0.26391599999999998</v>
      </c>
      <c r="V3880">
        <v>4.4780170000000001E-2</v>
      </c>
      <c r="W3880">
        <v>0.2082368</v>
      </c>
      <c r="X3880">
        <v>0.97705280000000005</v>
      </c>
      <c r="Y3880">
        <v>-7.8181120000000007E-2</v>
      </c>
      <c r="Z3880">
        <v>-1.0514280000000001E-3</v>
      </c>
      <c r="AA3880">
        <v>0.99693860000000001</v>
      </c>
      <c r="AB3880">
        <v>58</v>
      </c>
      <c r="AC3880">
        <v>-93.108500000000006</v>
      </c>
      <c r="AD3880">
        <v>-1.119002391587</v>
      </c>
      <c r="AE3880">
        <v>-8.0284999999999798</v>
      </c>
      <c r="AF3880">
        <v>-7.3506321898120097</v>
      </c>
      <c r="AG3880">
        <v>-1.119002391587</v>
      </c>
      <c r="AH3880">
        <v>93.151027888486396</v>
      </c>
      <c r="AI3880">
        <v>90.686115557807696</v>
      </c>
      <c r="AJ3880">
        <v>94.511912362204498</v>
      </c>
      <c r="AK3880">
        <v>93.447300424484396</v>
      </c>
      <c r="AL3880">
        <v>77.980955811216404</v>
      </c>
      <c r="AM3880">
        <v>87.375862873441307</v>
      </c>
      <c r="AN3880">
        <v>1.0000000012436501</v>
      </c>
    </row>
    <row r="3881" spans="1:40" x14ac:dyDescent="0.25">
      <c r="A3881" t="str">
        <f>"20190303170616565"</f>
        <v>20190303170616565</v>
      </c>
      <c r="B3881" t="str">
        <f>"1551603976558435"</f>
        <v>1551603976558435</v>
      </c>
      <c r="C3881" t="s">
        <v>40</v>
      </c>
      <c r="D3881">
        <v>5.3278930000000004</v>
      </c>
      <c r="E3881">
        <v>0.4572485</v>
      </c>
      <c r="F3881" t="s">
        <v>84</v>
      </c>
      <c r="G3881">
        <v>-418.53870000000001</v>
      </c>
      <c r="H3881" s="1">
        <v>-7.1902779999999901E-6</v>
      </c>
      <c r="I3881">
        <v>133.00960000000001</v>
      </c>
      <c r="J3881">
        <v>-324.06889999999999</v>
      </c>
      <c r="K3881">
        <v>1.119083</v>
      </c>
      <c r="L3881">
        <v>141.24879999999999</v>
      </c>
      <c r="M3881">
        <v>-0.99987040000000005</v>
      </c>
      <c r="N3881">
        <v>-1.4635810000000001E-2</v>
      </c>
      <c r="O3881">
        <v>-6.7087630000000004E-3</v>
      </c>
      <c r="P3881">
        <v>-0.98021579999999997</v>
      </c>
      <c r="Q3881">
        <v>0.19447130000000001</v>
      </c>
      <c r="R3881">
        <v>3.6851960000000003E-2</v>
      </c>
      <c r="S3881">
        <v>-3.0776669999999999</v>
      </c>
      <c r="T3881">
        <v>-3.6225439999999998E-2</v>
      </c>
      <c r="U3881">
        <v>-0.26686100000000001</v>
      </c>
      <c r="V3881">
        <v>4.3998669999999997E-2</v>
      </c>
      <c r="W3881">
        <v>0.20867340000000001</v>
      </c>
      <c r="X3881">
        <v>0.97699519999999995</v>
      </c>
      <c r="Y3881">
        <v>-7.9686049999999994E-2</v>
      </c>
      <c r="Z3881">
        <v>-1.0715880000000001E-3</v>
      </c>
      <c r="AA3881">
        <v>0.99681940000000002</v>
      </c>
      <c r="AB3881">
        <v>58</v>
      </c>
      <c r="AC3881">
        <v>-94.469800000000006</v>
      </c>
      <c r="AD3881">
        <v>-1.1190901902779999</v>
      </c>
      <c r="AE3881">
        <v>-8.2391999999999808</v>
      </c>
      <c r="AF3881">
        <v>-7.6041121517688497</v>
      </c>
      <c r="AG3881">
        <v>-1.1190901902779999</v>
      </c>
      <c r="AH3881">
        <v>94.509792109086305</v>
      </c>
      <c r="AI3881">
        <v>90.676222414044503</v>
      </c>
      <c r="AJ3881">
        <v>94.600020978858794</v>
      </c>
      <c r="AK3881">
        <v>94.821810196670299</v>
      </c>
      <c r="AL3881">
        <v>77.955379136759902</v>
      </c>
      <c r="AM3881">
        <v>87.421444947988107</v>
      </c>
      <c r="AN3881">
        <v>1.00000004582618</v>
      </c>
    </row>
    <row r="3882" spans="1:40" x14ac:dyDescent="0.25">
      <c r="A3882" t="str">
        <f>"20190303170616588"</f>
        <v>20190303170616588</v>
      </c>
      <c r="B3882" t="str">
        <f>"1551603976578930"</f>
        <v>1551603976578930</v>
      </c>
      <c r="C3882" t="s">
        <v>40</v>
      </c>
      <c r="D3882">
        <v>5.3335019999999904</v>
      </c>
      <c r="E3882">
        <v>0.45705000000000001</v>
      </c>
      <c r="F3882" t="s">
        <v>84</v>
      </c>
      <c r="G3882">
        <v>-422.40769999999998</v>
      </c>
      <c r="H3882" s="1">
        <v>-7.2927069999999996E-6</v>
      </c>
      <c r="I3882">
        <v>132.59950000000001</v>
      </c>
      <c r="J3882">
        <v>-324.678</v>
      </c>
      <c r="K3882">
        <v>1.1191679999999999</v>
      </c>
      <c r="L3882">
        <v>141.245</v>
      </c>
      <c r="M3882">
        <v>-0.99987170000000003</v>
      </c>
      <c r="N3882">
        <v>-1.477592E-2</v>
      </c>
      <c r="O3882">
        <v>-6.1816149999999997E-3</v>
      </c>
      <c r="P3882">
        <v>-0.97988810000000004</v>
      </c>
      <c r="Q3882">
        <v>0.19628319999999999</v>
      </c>
      <c r="R3882">
        <v>3.5946239999999997E-2</v>
      </c>
      <c r="S3882">
        <v>-3.0776370000000002</v>
      </c>
      <c r="T3882">
        <v>-3.5023329999999998E-2</v>
      </c>
      <c r="U3882">
        <v>-0.27069090000000001</v>
      </c>
      <c r="V3882">
        <v>4.2547330000000001E-2</v>
      </c>
      <c r="W3882">
        <v>0.21062790000000001</v>
      </c>
      <c r="X3882">
        <v>0.97663999999999995</v>
      </c>
      <c r="Y3882">
        <v>-8.1443669999999996E-2</v>
      </c>
      <c r="Z3882">
        <v>-1.086416E-3</v>
      </c>
      <c r="AA3882">
        <v>0.99667729999999999</v>
      </c>
      <c r="AB3882">
        <v>58</v>
      </c>
      <c r="AC3882">
        <v>-97.729699999999895</v>
      </c>
      <c r="AD3882">
        <v>-1.119175292707</v>
      </c>
      <c r="AE3882">
        <v>-8.6454999999999895</v>
      </c>
      <c r="AF3882">
        <v>-8.0400952176620706</v>
      </c>
      <c r="AG3882">
        <v>-1.119175292707</v>
      </c>
      <c r="AH3882">
        <v>97.768559278719493</v>
      </c>
      <c r="AI3882">
        <v>90.653640748160697</v>
      </c>
      <c r="AJ3882">
        <v>94.701197066324497</v>
      </c>
      <c r="AK3882">
        <v>98.104978812909295</v>
      </c>
      <c r="AL3882">
        <v>77.840849159018106</v>
      </c>
      <c r="AM3882">
        <v>87.505486195684398</v>
      </c>
      <c r="AN3882">
        <v>1.00000003857426</v>
      </c>
    </row>
    <row r="3883" spans="1:40" x14ac:dyDescent="0.25">
      <c r="A3883" t="str">
        <f>"20190303170616620"</f>
        <v>20190303170616620</v>
      </c>
      <c r="B3883" t="str">
        <f>"1551603976609186"</f>
        <v>1551603976609186</v>
      </c>
      <c r="C3883" t="s">
        <v>40</v>
      </c>
      <c r="D3883">
        <v>5.3566120000000002</v>
      </c>
      <c r="E3883">
        <v>0.45684609999999898</v>
      </c>
      <c r="F3883" t="s">
        <v>41</v>
      </c>
      <c r="G3883">
        <v>-444.4785</v>
      </c>
      <c r="H3883" s="1">
        <v>-3.259297E-6</v>
      </c>
      <c r="I3883">
        <v>130.56799999999899</v>
      </c>
      <c r="J3883">
        <v>-325.50799999999998</v>
      </c>
      <c r="K3883">
        <v>1.119262</v>
      </c>
      <c r="L3883">
        <v>141.24019999999999</v>
      </c>
      <c r="M3883">
        <v>-0.99987349999999997</v>
      </c>
      <c r="N3883">
        <v>-1.493829E-2</v>
      </c>
      <c r="O3883">
        <v>-5.5055909999999998E-3</v>
      </c>
      <c r="P3883">
        <v>-0.97977239999999999</v>
      </c>
      <c r="Q3883">
        <v>0.19683899999999999</v>
      </c>
      <c r="R3883">
        <v>3.60691E-2</v>
      </c>
      <c r="S3883">
        <v>-3.0773929999999998</v>
      </c>
      <c r="T3883">
        <v>-2.8748869999999999E-2</v>
      </c>
      <c r="U3883">
        <v>-0.27426149999999999</v>
      </c>
      <c r="V3883">
        <v>4.1970670000000002E-2</v>
      </c>
      <c r="W3883">
        <v>0.2113498</v>
      </c>
      <c r="X3883">
        <v>0.97650890000000001</v>
      </c>
      <c r="Y3883">
        <v>-8.3274390000000004E-2</v>
      </c>
      <c r="Z3883">
        <v>-1.0422490000000001E-3</v>
      </c>
      <c r="AA3883">
        <v>0.99652609999999997</v>
      </c>
      <c r="AB3883">
        <v>58</v>
      </c>
      <c r="AC3883">
        <v>-118.9705</v>
      </c>
      <c r="AD3883">
        <v>-1.119265259297</v>
      </c>
      <c r="AE3883">
        <v>-10.6722</v>
      </c>
      <c r="AF3883">
        <v>-10.0160829287644</v>
      </c>
      <c r="AG3883">
        <v>-1.119265259297</v>
      </c>
      <c r="AH3883">
        <v>119.017009819433</v>
      </c>
      <c r="AI3883">
        <v>90.536909904346501</v>
      </c>
      <c r="AJ3883">
        <v>94.810490553565401</v>
      </c>
      <c r="AK3883">
        <v>119.44297090375601</v>
      </c>
      <c r="AL3883">
        <v>77.798533720014504</v>
      </c>
      <c r="AM3883">
        <v>87.538923478710103</v>
      </c>
      <c r="AN3883">
        <v>0.99999995343974801</v>
      </c>
    </row>
    <row r="3884" spans="1:40" x14ac:dyDescent="0.25">
      <c r="A3884" t="str">
        <f>"20190303170616642"</f>
        <v>20190303170616642</v>
      </c>
      <c r="B3884" t="str">
        <f>"1551603976628707"</f>
        <v>1551603976628707</v>
      </c>
      <c r="C3884" t="s">
        <v>40</v>
      </c>
      <c r="D3884">
        <v>5.3697089999999896</v>
      </c>
      <c r="E3884">
        <v>0.45668379999999997</v>
      </c>
      <c r="F3884" t="s">
        <v>41</v>
      </c>
      <c r="G3884">
        <v>-455.12020000000001</v>
      </c>
      <c r="H3884">
        <v>6.9446109999999998E-3</v>
      </c>
      <c r="I3884">
        <v>129.6164</v>
      </c>
      <c r="J3884">
        <v>-326.07389999999998</v>
      </c>
      <c r="K3884">
        <v>1.1193109999999999</v>
      </c>
      <c r="L3884">
        <v>141.2373</v>
      </c>
      <c r="M3884">
        <v>-0.99987420000000005</v>
      </c>
      <c r="N3884">
        <v>-1.50315E-2</v>
      </c>
      <c r="O3884">
        <v>-5.0628299999999999E-3</v>
      </c>
      <c r="P3884">
        <v>-0.97977820000000004</v>
      </c>
      <c r="Q3884">
        <v>0.1966215</v>
      </c>
      <c r="R3884">
        <v>3.7077230000000003E-2</v>
      </c>
      <c r="S3884">
        <v>-3.077423</v>
      </c>
      <c r="T3884">
        <v>-2.6410099999999999E-2</v>
      </c>
      <c r="U3884">
        <v>-0.2759857</v>
      </c>
      <c r="V3884">
        <v>4.2521780000000002E-2</v>
      </c>
      <c r="W3884">
        <v>0.21122730000000001</v>
      </c>
      <c r="X3884">
        <v>0.97651160000000004</v>
      </c>
      <c r="Y3884">
        <v>-8.4269590000000005E-2</v>
      </c>
      <c r="Z3884">
        <v>-1.0281520000000001E-3</v>
      </c>
      <c r="AA3884">
        <v>0.99644239999999995</v>
      </c>
      <c r="AB3884">
        <v>58</v>
      </c>
      <c r="AC3884">
        <v>-129.0463</v>
      </c>
      <c r="AD3884">
        <v>-1.112366389</v>
      </c>
      <c r="AE3884">
        <v>-11.620900000000001</v>
      </c>
      <c r="AF3884">
        <v>-10.966529439263001</v>
      </c>
      <c r="AG3884">
        <v>-1.112366389</v>
      </c>
      <c r="AH3884">
        <v>129.093972160448</v>
      </c>
      <c r="AI3884">
        <v>90.491917688950906</v>
      </c>
      <c r="AJ3884">
        <v>94.855617127278904</v>
      </c>
      <c r="AK3884">
        <v>129.5637131881</v>
      </c>
      <c r="AL3884">
        <v>77.805715016492798</v>
      </c>
      <c r="AM3884">
        <v>87.506654890560299</v>
      </c>
      <c r="AN3884">
        <v>0.999999989487109</v>
      </c>
    </row>
    <row r="3885" spans="1:40" x14ac:dyDescent="0.25">
      <c r="A3885" t="str">
        <f>"20190303170616666"</f>
        <v>20190303170616666</v>
      </c>
      <c r="B3885" t="str">
        <f>"1551603976658963"</f>
        <v>1551603976658963</v>
      </c>
      <c r="C3885" t="s">
        <v>40</v>
      </c>
      <c r="D3885">
        <v>5.3859309999999896</v>
      </c>
      <c r="E3885">
        <v>0.45641199999999998</v>
      </c>
      <c r="F3885" t="s">
        <v>41</v>
      </c>
      <c r="G3885">
        <v>-456.5025</v>
      </c>
      <c r="H3885">
        <v>5.4178480000000003E-3</v>
      </c>
      <c r="I3885">
        <v>129.6164</v>
      </c>
      <c r="J3885">
        <v>-326.72039999999998</v>
      </c>
      <c r="K3885">
        <v>1.119373</v>
      </c>
      <c r="L3885">
        <v>141.23429999999999</v>
      </c>
      <c r="M3885">
        <v>-0.99987530000000002</v>
      </c>
      <c r="N3885">
        <v>-1.512199E-2</v>
      </c>
      <c r="O3885">
        <v>-4.5687030000000003E-3</v>
      </c>
      <c r="P3885">
        <v>-0.97969839999999997</v>
      </c>
      <c r="Q3885">
        <v>0.19687550000000001</v>
      </c>
      <c r="R3885">
        <v>3.7835889999999997E-2</v>
      </c>
      <c r="S3885">
        <v>-3.0775450000000002</v>
      </c>
      <c r="T3885">
        <v>-2.6283029999999999E-2</v>
      </c>
      <c r="U3885">
        <v>-0.27420040000000001</v>
      </c>
      <c r="V3885">
        <v>4.2773749999999999E-2</v>
      </c>
      <c r="W3885">
        <v>0.21157210000000001</v>
      </c>
      <c r="X3885">
        <v>0.97642589999999996</v>
      </c>
      <c r="Y3885">
        <v>-8.4185070000000001E-2</v>
      </c>
      <c r="Z3885">
        <v>-1.026636E-3</v>
      </c>
      <c r="AA3885">
        <v>0.99644960000000005</v>
      </c>
      <c r="AB3885">
        <v>58</v>
      </c>
      <c r="AC3885">
        <v>-129.78210000000001</v>
      </c>
      <c r="AD3885">
        <v>-1.1139551519999999</v>
      </c>
      <c r="AE3885">
        <v>-11.617899999999899</v>
      </c>
      <c r="AF3885">
        <v>-11.023969386069</v>
      </c>
      <c r="AG3885">
        <v>-1.1139551519999999</v>
      </c>
      <c r="AH3885">
        <v>129.82434155306399</v>
      </c>
      <c r="AI3885">
        <v>90.489850450962194</v>
      </c>
      <c r="AJ3885">
        <v>94.853599381573005</v>
      </c>
      <c r="AK3885">
        <v>130.29631021940901</v>
      </c>
      <c r="AL3885">
        <v>77.785502044772699</v>
      </c>
      <c r="AM3885">
        <v>87.491679111511402</v>
      </c>
      <c r="AN3885">
        <v>0.99999994268913905</v>
      </c>
    </row>
    <row r="3886" spans="1:40" x14ac:dyDescent="0.25">
      <c r="A3886" t="str">
        <f>"20190303170616687"</f>
        <v>20190303170616687</v>
      </c>
      <c r="B3886" t="str">
        <f>"1551603976678483"</f>
        <v>1551603976678483</v>
      </c>
      <c r="C3886" t="s">
        <v>40</v>
      </c>
      <c r="D3886">
        <v>5.3722240000000001</v>
      </c>
      <c r="E3886">
        <v>0.45625700000000002</v>
      </c>
      <c r="F3886" t="s">
        <v>41</v>
      </c>
      <c r="G3886">
        <v>-457.14769999999999</v>
      </c>
      <c r="H3886">
        <v>6.3718230000000001E-2</v>
      </c>
      <c r="I3886">
        <v>129.6026</v>
      </c>
      <c r="J3886">
        <v>-327.25130000000001</v>
      </c>
      <c r="K3886">
        <v>1.119421</v>
      </c>
      <c r="L3886">
        <v>141.232</v>
      </c>
      <c r="M3886">
        <v>-0.99987610000000005</v>
      </c>
      <c r="N3886">
        <v>-1.518634E-2</v>
      </c>
      <c r="O3886">
        <v>-4.1667429999999997E-3</v>
      </c>
      <c r="P3886">
        <v>-0.97935499999999998</v>
      </c>
      <c r="Q3886">
        <v>0.1984349</v>
      </c>
      <c r="R3886">
        <v>3.8569199999999998E-2</v>
      </c>
      <c r="S3886">
        <v>-3.0777589999999999</v>
      </c>
      <c r="T3886">
        <v>-2.4910809999999999E-2</v>
      </c>
      <c r="U3886">
        <v>-0.27447510000000003</v>
      </c>
      <c r="V3886">
        <v>4.3097879999999998E-2</v>
      </c>
      <c r="W3886">
        <v>0.2131923</v>
      </c>
      <c r="X3886">
        <v>0.97605929999999996</v>
      </c>
      <c r="Y3886">
        <v>-8.4668279999999999E-2</v>
      </c>
      <c r="Z3886">
        <v>-1.0157059999999999E-3</v>
      </c>
      <c r="AA3886">
        <v>0.99640870000000004</v>
      </c>
      <c r="AB3886">
        <v>58</v>
      </c>
      <c r="AC3886">
        <v>-129.89639999999901</v>
      </c>
      <c r="AD3886">
        <v>-1.0557027699999999</v>
      </c>
      <c r="AE3886">
        <v>-11.6294</v>
      </c>
      <c r="AF3886">
        <v>-11.087265221091799</v>
      </c>
      <c r="AG3886">
        <v>-1.0557027699999999</v>
      </c>
      <c r="AH3886">
        <v>129.935220127696</v>
      </c>
      <c r="AI3886">
        <v>90.463823324276802</v>
      </c>
      <c r="AJ3886">
        <v>94.877187484791804</v>
      </c>
      <c r="AK3886">
        <v>130.411668910624</v>
      </c>
      <c r="AL3886">
        <v>77.690505787206703</v>
      </c>
      <c r="AM3886">
        <v>87.471748160969597</v>
      </c>
      <c r="AN3886">
        <v>1.00000007057813</v>
      </c>
    </row>
    <row r="3887" spans="1:40" x14ac:dyDescent="0.25">
      <c r="A3887" t="str">
        <f>"20190303170616708"</f>
        <v>20190303170616708</v>
      </c>
      <c r="B3887" t="str">
        <f>"1551603976698979"</f>
        <v>1551603976698979</v>
      </c>
      <c r="C3887" t="s">
        <v>40</v>
      </c>
      <c r="D3887">
        <v>5.4262290000000002</v>
      </c>
      <c r="E3887">
        <v>0.45609870000000002</v>
      </c>
      <c r="F3887" t="s">
        <v>71</v>
      </c>
      <c r="G3887">
        <v>-491.13229999999999</v>
      </c>
      <c r="H3887">
        <v>7.9986440000000006E-2</v>
      </c>
      <c r="I3887">
        <v>126.62820000000001</v>
      </c>
      <c r="J3887">
        <v>-327.8107</v>
      </c>
      <c r="K3887">
        <v>1.119472</v>
      </c>
      <c r="L3887">
        <v>141.22989999999999</v>
      </c>
      <c r="M3887">
        <v>-0.99987669999999995</v>
      </c>
      <c r="N3887">
        <v>-1.524475E-2</v>
      </c>
      <c r="O3887">
        <v>-3.745057E-3</v>
      </c>
      <c r="P3887">
        <v>-0.97903200000000001</v>
      </c>
      <c r="Q3887">
        <v>0.1997382</v>
      </c>
      <c r="R3887">
        <v>4.0011770000000002E-2</v>
      </c>
      <c r="S3887">
        <v>-3.078033</v>
      </c>
      <c r="T3887">
        <v>-1.9522790000000002E-2</v>
      </c>
      <c r="U3887">
        <v>-0.27429199999999998</v>
      </c>
      <c r="V3887">
        <v>4.4112600000000002E-2</v>
      </c>
      <c r="W3887">
        <v>0.2145492</v>
      </c>
      <c r="X3887">
        <v>0.97571649999999999</v>
      </c>
      <c r="Y3887">
        <v>-8.5024009999999997E-2</v>
      </c>
      <c r="Z3887">
        <v>-9.5180869999999997E-4</v>
      </c>
      <c r="AA3887">
        <v>0.9963784</v>
      </c>
      <c r="AB3887">
        <v>58</v>
      </c>
      <c r="AC3887">
        <v>-163.32159999999999</v>
      </c>
      <c r="AD3887">
        <v>-1.0394855599999999</v>
      </c>
      <c r="AE3887">
        <v>-14.6016999999999</v>
      </c>
      <c r="AF3887">
        <v>-13.989315545027599</v>
      </c>
      <c r="AG3887">
        <v>-1.0394855599999999</v>
      </c>
      <c r="AH3887">
        <v>163.3685795673</v>
      </c>
      <c r="AI3887">
        <v>90.363228824450502</v>
      </c>
      <c r="AJ3887">
        <v>94.894320733957798</v>
      </c>
      <c r="AK3887">
        <v>163.96973583404099</v>
      </c>
      <c r="AL3887">
        <v>77.610918593604495</v>
      </c>
      <c r="AM3887">
        <v>87.411393702092496</v>
      </c>
      <c r="AN3887">
        <v>0.99999998453582495</v>
      </c>
    </row>
    <row r="3888" spans="1:40" x14ac:dyDescent="0.25">
      <c r="A3888" t="str">
        <f>"20190303170616731"</f>
        <v>20190303170616731</v>
      </c>
      <c r="B3888" t="str">
        <f>"1551603976718499"</f>
        <v>1551603976718499</v>
      </c>
      <c r="C3888" t="s">
        <v>40</v>
      </c>
      <c r="D3888">
        <v>5.4093289999999996</v>
      </c>
      <c r="E3888">
        <v>0.45588620000000002</v>
      </c>
      <c r="F3888" t="s">
        <v>51</v>
      </c>
      <c r="G3888">
        <v>-581.14940000000001</v>
      </c>
      <c r="H3888">
        <v>-0.1</v>
      </c>
      <c r="I3888">
        <v>118.8854</v>
      </c>
      <c r="J3888">
        <v>-328.39100000000002</v>
      </c>
      <c r="K3888">
        <v>1.1195139999999999</v>
      </c>
      <c r="L3888">
        <v>141.22799999999901</v>
      </c>
      <c r="M3888">
        <v>-0.99987749999999997</v>
      </c>
      <c r="N3888">
        <v>-1.529693E-2</v>
      </c>
      <c r="O3888">
        <v>-3.308989E-3</v>
      </c>
      <c r="P3888">
        <v>-0.97875919999999905</v>
      </c>
      <c r="Q3888">
        <v>0.20092599999999999</v>
      </c>
      <c r="R3888">
        <v>4.0730780000000001E-2</v>
      </c>
      <c r="S3888">
        <v>-3.0783999999999998</v>
      </c>
      <c r="T3888">
        <v>-1.481819E-2</v>
      </c>
      <c r="U3888">
        <v>-0.2715149</v>
      </c>
      <c r="V3888">
        <v>4.4391260000000002E-2</v>
      </c>
      <c r="W3888">
        <v>0.21578600000000001</v>
      </c>
      <c r="X3888">
        <v>0.9754311</v>
      </c>
      <c r="Y3888">
        <v>-8.4557960000000001E-2</v>
      </c>
      <c r="Z3888">
        <v>-8.8579209999999997E-4</v>
      </c>
      <c r="AA3888">
        <v>0.99641820000000003</v>
      </c>
      <c r="AB3888">
        <v>58</v>
      </c>
      <c r="AC3888">
        <v>-252.75839999999999</v>
      </c>
      <c r="AD3888">
        <v>-1.219514</v>
      </c>
      <c r="AE3888">
        <v>-22.342599999999901</v>
      </c>
      <c r="AF3888">
        <v>-21.505508255639</v>
      </c>
      <c r="AG3888">
        <v>-1.219514</v>
      </c>
      <c r="AH3888">
        <v>252.825116106465</v>
      </c>
      <c r="AI3888">
        <v>90.275372384833005</v>
      </c>
      <c r="AJ3888">
        <v>94.861921860714503</v>
      </c>
      <c r="AK3888">
        <v>253.741036164782</v>
      </c>
      <c r="AL3888">
        <v>77.538355807885793</v>
      </c>
      <c r="AM3888">
        <v>87.3943027644616</v>
      </c>
      <c r="AN3888">
        <v>1.0000000063037899</v>
      </c>
    </row>
    <row r="3889" spans="1:40" x14ac:dyDescent="0.25">
      <c r="A3889" t="str">
        <f>"20190303170616754"</f>
        <v>20190303170616754</v>
      </c>
      <c r="B3889" t="str">
        <f>"1551603976748755"</f>
        <v>1551603976748755</v>
      </c>
      <c r="C3889" t="s">
        <v>40</v>
      </c>
      <c r="D3889">
        <v>5.4226479999999997</v>
      </c>
      <c r="E3889">
        <v>0.45554169999999999</v>
      </c>
      <c r="F3889" t="s">
        <v>51</v>
      </c>
      <c r="G3889">
        <v>-674.93939999999998</v>
      </c>
      <c r="H3889">
        <v>-0.1</v>
      </c>
      <c r="I3889">
        <v>110.7466</v>
      </c>
      <c r="J3889">
        <v>-328.9948</v>
      </c>
      <c r="K3889">
        <v>1.1195469999999901</v>
      </c>
      <c r="L3889">
        <v>141.22620000000001</v>
      </c>
      <c r="M3889">
        <v>-0.9998783</v>
      </c>
      <c r="N3889">
        <v>-1.534317E-2</v>
      </c>
      <c r="O3889">
        <v>-2.856866E-3</v>
      </c>
      <c r="P3889">
        <v>-0.97868820000000001</v>
      </c>
      <c r="Q3889">
        <v>0.20116629999999999</v>
      </c>
      <c r="R3889">
        <v>4.1253409999999997E-2</v>
      </c>
      <c r="S3889">
        <v>-3.0785830000000001</v>
      </c>
      <c r="T3889">
        <v>-1.083362E-2</v>
      </c>
      <c r="U3889">
        <v>-0.27078249999999998</v>
      </c>
      <c r="V3889">
        <v>4.4458249999999998E-2</v>
      </c>
      <c r="W3889">
        <v>0.21607370000000001</v>
      </c>
      <c r="X3889">
        <v>0.97536429999999996</v>
      </c>
      <c r="Y3889">
        <v>-8.4769410000000003E-2</v>
      </c>
      <c r="Z3889">
        <v>-8.3420259999999905E-4</v>
      </c>
      <c r="AA3889">
        <v>0.99640019999999996</v>
      </c>
      <c r="AB3889">
        <v>58</v>
      </c>
      <c r="AC3889">
        <v>-345.94459999999998</v>
      </c>
      <c r="AD3889">
        <v>-1.2195469999999999</v>
      </c>
      <c r="AE3889">
        <v>-30.479600000000001</v>
      </c>
      <c r="AF3889">
        <v>-29.490678291646802</v>
      </c>
      <c r="AG3889">
        <v>-1.2195469999999999</v>
      </c>
      <c r="AH3889">
        <v>346.02600717933001</v>
      </c>
      <c r="AI3889">
        <v>90.201205143018996</v>
      </c>
      <c r="AJ3889">
        <v>94.871362330496396</v>
      </c>
      <c r="AK3889">
        <v>347.28257233189299</v>
      </c>
      <c r="AL3889">
        <v>77.521472811044006</v>
      </c>
      <c r="AM3889">
        <v>87.390197509727201</v>
      </c>
      <c r="AN3889">
        <v>0.99999994876961895</v>
      </c>
    </row>
    <row r="3890" spans="1:40" x14ac:dyDescent="0.25">
      <c r="A3890" t="str">
        <f>"20190303170616776"</f>
        <v>20190303170616776</v>
      </c>
      <c r="B3890" t="str">
        <f>"1551603976769251"</f>
        <v>1551603976769251</v>
      </c>
      <c r="C3890" t="s">
        <v>40</v>
      </c>
      <c r="D3890">
        <v>5.4678740000000001</v>
      </c>
      <c r="E3890">
        <v>0.4553258</v>
      </c>
      <c r="F3890" t="s">
        <v>51</v>
      </c>
      <c r="G3890">
        <v>-687.58579999999995</v>
      </c>
      <c r="H3890">
        <v>-0.1</v>
      </c>
      <c r="I3890">
        <v>109.666</v>
      </c>
      <c r="J3890">
        <v>-329.5625</v>
      </c>
      <c r="K3890">
        <v>1.1195710000000001</v>
      </c>
      <c r="L3890">
        <v>141.22479999999999</v>
      </c>
      <c r="M3890">
        <v>-0.99987890000000001</v>
      </c>
      <c r="N3890">
        <v>-1.538015E-2</v>
      </c>
      <c r="O3890">
        <v>-2.4332080000000001E-3</v>
      </c>
      <c r="P3890">
        <v>-0.97862490000000002</v>
      </c>
      <c r="Q3890">
        <v>0.20154259999999999</v>
      </c>
      <c r="R3890">
        <v>4.091388E-2</v>
      </c>
      <c r="S3890">
        <v>-3.0789179999999998</v>
      </c>
      <c r="T3890">
        <v>-1.047122E-2</v>
      </c>
      <c r="U3890">
        <v>-0.27098080000000002</v>
      </c>
      <c r="V3890">
        <v>4.369402E-2</v>
      </c>
      <c r="W3890">
        <v>0.2164885</v>
      </c>
      <c r="X3890">
        <v>0.97530689999999998</v>
      </c>
      <c r="Y3890">
        <v>-8.5245840000000003E-2</v>
      </c>
      <c r="Z3890">
        <v>-8.3063429999999903E-4</v>
      </c>
      <c r="AA3890">
        <v>0.99635960000000001</v>
      </c>
      <c r="AB3890">
        <v>58</v>
      </c>
      <c r="AC3890">
        <v>-358.02329999999898</v>
      </c>
      <c r="AD3890">
        <v>-1.219571</v>
      </c>
      <c r="AE3890">
        <v>-31.558799999999898</v>
      </c>
      <c r="AF3890">
        <v>-30.687105134805499</v>
      </c>
      <c r="AG3890">
        <v>-1.219571</v>
      </c>
      <c r="AH3890">
        <v>358.094914964319</v>
      </c>
      <c r="AI3890">
        <v>90.194420054625198</v>
      </c>
      <c r="AJ3890">
        <v>94.898021156557405</v>
      </c>
      <c r="AK3890">
        <v>359.40945159842602</v>
      </c>
      <c r="AL3890">
        <v>77.497130931690194</v>
      </c>
      <c r="AM3890">
        <v>87.434848388949803</v>
      </c>
      <c r="AN3890">
        <v>0.99999999360181002</v>
      </c>
    </row>
    <row r="3891" spans="1:40" x14ac:dyDescent="0.25">
      <c r="A3891" t="str">
        <f>"20190303170616799"</f>
        <v>20190303170616799</v>
      </c>
      <c r="B3891" t="str">
        <f>"1551603976788772"</f>
        <v>1551603976788772</v>
      </c>
      <c r="C3891" t="s">
        <v>40</v>
      </c>
      <c r="D3891">
        <v>5.455171</v>
      </c>
      <c r="E3891">
        <v>0.45511230000000003</v>
      </c>
      <c r="F3891" t="s">
        <v>51</v>
      </c>
      <c r="G3891">
        <v>-721.69090000000006</v>
      </c>
      <c r="H3891">
        <v>-0.1</v>
      </c>
      <c r="I3891">
        <v>106.4195</v>
      </c>
      <c r="J3891">
        <v>-330.14350000000002</v>
      </c>
      <c r="K3891">
        <v>1.1196010000000001</v>
      </c>
      <c r="L3891">
        <v>141.2236</v>
      </c>
      <c r="M3891">
        <v>-0.99987930000000003</v>
      </c>
      <c r="N3891">
        <v>-1.5412439999999999E-2</v>
      </c>
      <c r="O3891">
        <v>-2.0017239999999999E-3</v>
      </c>
      <c r="P3891">
        <v>-0.97851750000000004</v>
      </c>
      <c r="Q3891">
        <v>0.20233390000000001</v>
      </c>
      <c r="R3891">
        <v>3.9556830000000001E-2</v>
      </c>
      <c r="S3891">
        <v>-3.0789179999999998</v>
      </c>
      <c r="T3891">
        <v>-9.575844E-3</v>
      </c>
      <c r="U3891">
        <v>-0.2732849</v>
      </c>
      <c r="V3891">
        <v>4.190692E-2</v>
      </c>
      <c r="W3891">
        <v>0.2173147</v>
      </c>
      <c r="X3891">
        <v>0.97520150000000005</v>
      </c>
      <c r="Y3891">
        <v>-8.6415820000000004E-2</v>
      </c>
      <c r="Z3891">
        <v>-8.2599379999999997E-4</v>
      </c>
      <c r="AA3891">
        <v>0.9962588</v>
      </c>
      <c r="AB3891">
        <v>58</v>
      </c>
      <c r="AC3891">
        <v>-391.54739999999998</v>
      </c>
      <c r="AD3891">
        <v>-1.2196009999999999</v>
      </c>
      <c r="AE3891">
        <v>-34.804099999999998</v>
      </c>
      <c r="AF3891">
        <v>-34.0198399084966</v>
      </c>
      <c r="AG3891">
        <v>-1.2196009999999999</v>
      </c>
      <c r="AH3891">
        <v>391.61252215158402</v>
      </c>
      <c r="AI3891">
        <v>90.177766478489005</v>
      </c>
      <c r="AJ3891">
        <v>94.964887377263096</v>
      </c>
      <c r="AK3891">
        <v>393.089308478269</v>
      </c>
      <c r="AL3891">
        <v>77.448637750985</v>
      </c>
      <c r="AM3891">
        <v>87.539366685448698</v>
      </c>
      <c r="AN3891">
        <v>0.99999991719110903</v>
      </c>
    </row>
    <row r="3892" spans="1:40" x14ac:dyDescent="0.25">
      <c r="A3892" t="str">
        <f>"20190303170616822"</f>
        <v>20190303170616822</v>
      </c>
      <c r="B3892" t="str">
        <f>"1551603976809266"</f>
        <v>1551603976809266</v>
      </c>
      <c r="C3892" t="s">
        <v>40</v>
      </c>
      <c r="D3892">
        <v>5.4907190000000003</v>
      </c>
      <c r="E3892">
        <v>0.45490849999999999</v>
      </c>
      <c r="F3892" t="s">
        <v>51</v>
      </c>
      <c r="G3892">
        <v>-854.40930000000003</v>
      </c>
      <c r="H3892">
        <v>-0.1</v>
      </c>
      <c r="I3892">
        <v>93.674769999999995</v>
      </c>
      <c r="J3892">
        <v>-330.74360000000001</v>
      </c>
      <c r="K3892">
        <v>1.119631</v>
      </c>
      <c r="L3892">
        <v>141.2226</v>
      </c>
      <c r="M3892">
        <v>-0.99987950000000003</v>
      </c>
      <c r="N3892">
        <v>-1.5440870000000001E-2</v>
      </c>
      <c r="O3892">
        <v>-1.55849E-3</v>
      </c>
      <c r="P3892">
        <v>-0.97840830000000001</v>
      </c>
      <c r="Q3892">
        <v>0.20304639999999999</v>
      </c>
      <c r="R3892">
        <v>3.8592670000000003E-2</v>
      </c>
      <c r="S3892">
        <v>-3.0786440000000002</v>
      </c>
      <c r="T3892">
        <v>-7.1618559999999899E-3</v>
      </c>
      <c r="U3892">
        <v>-0.27922059999999999</v>
      </c>
      <c r="V3892">
        <v>4.0502280000000002E-2</v>
      </c>
      <c r="W3892">
        <v>0.21805749999999999</v>
      </c>
      <c r="X3892">
        <v>0.97509509999999999</v>
      </c>
      <c r="Y3892">
        <v>-8.877111E-2</v>
      </c>
      <c r="Z3892">
        <v>-8.1024509999999897E-4</v>
      </c>
      <c r="AA3892">
        <v>0.99605169999999998</v>
      </c>
      <c r="AB3892">
        <v>58</v>
      </c>
      <c r="AC3892">
        <v>-523.66570000000002</v>
      </c>
      <c r="AD3892">
        <v>-1.2196309999999999</v>
      </c>
      <c r="AE3892">
        <v>-47.547829999999998</v>
      </c>
      <c r="AF3892">
        <v>-46.731295706674302</v>
      </c>
      <c r="AG3892">
        <v>-1.2196309999999999</v>
      </c>
      <c r="AH3892">
        <v>523.73635783686996</v>
      </c>
      <c r="AI3892">
        <v>90.132897138778603</v>
      </c>
      <c r="AJ3892">
        <v>95.098813836107993</v>
      </c>
      <c r="AK3892">
        <v>525.81848010357203</v>
      </c>
      <c r="AL3892">
        <v>77.4050335591688</v>
      </c>
      <c r="AM3892">
        <v>87.6214868675833</v>
      </c>
      <c r="AN3892">
        <v>0.99999998101772902</v>
      </c>
    </row>
    <row r="3893" spans="1:40" x14ac:dyDescent="0.25">
      <c r="A3893" t="str">
        <f>"20190303170616844"</f>
        <v>20190303170616844</v>
      </c>
      <c r="B3893" t="str">
        <f>"1551603976838547"</f>
        <v>1551603976838547</v>
      </c>
      <c r="C3893" t="s">
        <v>40</v>
      </c>
      <c r="D3893">
        <v>5.5182209999999996</v>
      </c>
      <c r="E3893">
        <v>0.45456489999999999</v>
      </c>
      <c r="F3893" t="s">
        <v>51</v>
      </c>
      <c r="G3893">
        <v>-1078.5160000000001</v>
      </c>
      <c r="H3893">
        <v>-0.1</v>
      </c>
      <c r="I3893">
        <v>72.300749999999994</v>
      </c>
      <c r="J3893">
        <v>-331.28870000000001</v>
      </c>
      <c r="K3893">
        <v>1.1196549999999901</v>
      </c>
      <c r="L3893">
        <v>141.22190000000001</v>
      </c>
      <c r="M3893">
        <v>-0.99987979999999999</v>
      </c>
      <c r="N3893">
        <v>-1.546265E-2</v>
      </c>
      <c r="O3893">
        <v>-1.1578230000000001E-3</v>
      </c>
      <c r="P3893">
        <v>-0.97828219999999999</v>
      </c>
      <c r="Q3893">
        <v>0.20381920000000001</v>
      </c>
      <c r="R3893">
        <v>3.7706759999999999E-2</v>
      </c>
      <c r="S3893">
        <v>-3.07843</v>
      </c>
      <c r="T3893">
        <v>-5.0209759999999999E-3</v>
      </c>
      <c r="U3893">
        <v>-0.28373720000000002</v>
      </c>
      <c r="V3893">
        <v>3.921993E-2</v>
      </c>
      <c r="W3893">
        <v>0.2188532</v>
      </c>
      <c r="X3893">
        <v>0.97496930000000004</v>
      </c>
      <c r="Y3893">
        <v>-9.0626109999999996E-2</v>
      </c>
      <c r="Z3893">
        <v>-7.9192059999999998E-4</v>
      </c>
      <c r="AA3893">
        <v>0.99588469999999996</v>
      </c>
      <c r="AB3893">
        <v>58</v>
      </c>
      <c r="AC3893">
        <v>-747.22730000000001</v>
      </c>
      <c r="AD3893">
        <v>-1.2196549999999999</v>
      </c>
      <c r="AE3893">
        <v>-68.921149999999997</v>
      </c>
      <c r="AF3893">
        <v>-68.0556636291399</v>
      </c>
      <c r="AG3893">
        <v>-1.2196549999999999</v>
      </c>
      <c r="AH3893">
        <v>747.30463288123701</v>
      </c>
      <c r="AI3893">
        <v>90.093125391432906</v>
      </c>
      <c r="AJ3893">
        <v>95.203468498228503</v>
      </c>
      <c r="AK3893">
        <v>750.39807784673997</v>
      </c>
      <c r="AL3893">
        <v>77.358315549199403</v>
      </c>
      <c r="AM3893">
        <v>87.696414099250802</v>
      </c>
      <c r="AN3893">
        <v>1.00000003100096</v>
      </c>
    </row>
    <row r="3894" spans="1:40" x14ac:dyDescent="0.25">
      <c r="A3894" t="str">
        <f>"20190303170616865"</f>
        <v>20190303170616865</v>
      </c>
      <c r="B3894" t="str">
        <f>"1551603976859043"</f>
        <v>1551603976859043</v>
      </c>
      <c r="C3894" t="s">
        <v>40</v>
      </c>
      <c r="D3894">
        <v>5.5437279999999998</v>
      </c>
      <c r="E3894">
        <v>0.45442559999999899</v>
      </c>
      <c r="F3894" t="s">
        <v>46</v>
      </c>
      <c r="G3894">
        <v>0</v>
      </c>
      <c r="H3894">
        <v>0</v>
      </c>
      <c r="I3894">
        <v>0</v>
      </c>
      <c r="J3894">
        <v>-331.86509999999998</v>
      </c>
      <c r="K3894">
        <v>1.119678</v>
      </c>
      <c r="L3894">
        <v>141.22149999999999</v>
      </c>
      <c r="M3894">
        <v>-0.99987999999999999</v>
      </c>
      <c r="N3894">
        <v>-1.548157E-2</v>
      </c>
      <c r="O3894">
        <v>-7.3589719999999996E-4</v>
      </c>
      <c r="P3894">
        <v>-0.97835819999999996</v>
      </c>
      <c r="Q3894">
        <v>0.20349790000000001</v>
      </c>
      <c r="R3894">
        <v>3.7469509999999998E-2</v>
      </c>
      <c r="S3894">
        <v>-3.0782470000000002</v>
      </c>
      <c r="T3894">
        <v>-2.4244789999999998E-3</v>
      </c>
      <c r="U3894">
        <v>-0.2893829</v>
      </c>
      <c r="V3894">
        <v>3.8564220000000003E-2</v>
      </c>
      <c r="W3894">
        <v>0.218554</v>
      </c>
      <c r="X3894">
        <v>0.97506250000000005</v>
      </c>
      <c r="Y3894">
        <v>-9.2863009999999996E-2</v>
      </c>
      <c r="Z3894">
        <v>-7.6773949999999998E-4</v>
      </c>
      <c r="AA3894">
        <v>0.99567859999999997</v>
      </c>
      <c r="AB3894">
        <v>58</v>
      </c>
      <c r="AC3894">
        <v>-3.0782470000000002</v>
      </c>
      <c r="AD3894">
        <v>-2.4244789999999998E-3</v>
      </c>
      <c r="AE3894">
        <v>-0.2893829</v>
      </c>
      <c r="AF3894">
        <v>-0.28711710047431099</v>
      </c>
      <c r="AG3894">
        <v>-2.4244789999999998E-3</v>
      </c>
      <c r="AH3894">
        <v>3.0784572549006799</v>
      </c>
      <c r="AI3894">
        <v>90.044929038296004</v>
      </c>
      <c r="AJ3894">
        <v>95.328365739085001</v>
      </c>
      <c r="AK3894">
        <v>3.09181842573813</v>
      </c>
      <c r="AL3894">
        <v>77.375882894449802</v>
      </c>
      <c r="AM3894">
        <v>87.735103107294194</v>
      </c>
      <c r="AN3894">
        <v>0.99999996444322803</v>
      </c>
    </row>
    <row r="3895" spans="1:40" x14ac:dyDescent="0.25">
      <c r="A3895" t="str">
        <f>"20190303170616887"</f>
        <v>20190303170616887</v>
      </c>
      <c r="B3895" t="str">
        <f>"1551603976878563"</f>
        <v>1551603976878563</v>
      </c>
      <c r="C3895" t="s">
        <v>40</v>
      </c>
      <c r="D3895">
        <v>5.5161989999999896</v>
      </c>
      <c r="E3895">
        <v>0.4542581</v>
      </c>
      <c r="F3895" t="s">
        <v>46</v>
      </c>
      <c r="G3895">
        <v>0</v>
      </c>
      <c r="H3895">
        <v>0</v>
      </c>
      <c r="I3895">
        <v>0</v>
      </c>
      <c r="J3895">
        <v>-332.41539999999998</v>
      </c>
      <c r="K3895">
        <v>1.1196950000000001</v>
      </c>
      <c r="L3895">
        <v>141.22130000000001</v>
      </c>
      <c r="M3895">
        <v>-0.99987979999999999</v>
      </c>
      <c r="N3895">
        <v>-1.549671E-2</v>
      </c>
      <c r="O3895">
        <v>-3.334632E-4</v>
      </c>
      <c r="P3895">
        <v>-0.97856180000000004</v>
      </c>
      <c r="Q3895">
        <v>0.2024273</v>
      </c>
      <c r="R3895">
        <v>3.7948540000000003E-2</v>
      </c>
      <c r="S3895">
        <v>-3.078217</v>
      </c>
      <c r="T3895">
        <v>-3.4338239999999998E-3</v>
      </c>
      <c r="U3895">
        <v>-0.29130549999999999</v>
      </c>
      <c r="V3895">
        <v>3.8643919999999998E-2</v>
      </c>
      <c r="W3895">
        <v>0.2175019</v>
      </c>
      <c r="X3895">
        <v>0.97529460000000001</v>
      </c>
      <c r="Y3895">
        <v>-9.3880699999999997E-2</v>
      </c>
      <c r="Z3895">
        <v>-7.8612119999999896E-4</v>
      </c>
      <c r="AA3895">
        <v>0.99558310000000005</v>
      </c>
      <c r="AB3895">
        <v>58</v>
      </c>
      <c r="AC3895">
        <v>-3.078217</v>
      </c>
      <c r="AD3895">
        <v>-3.4338239999999998E-3</v>
      </c>
      <c r="AE3895">
        <v>-0.29130549999999999</v>
      </c>
      <c r="AF3895">
        <v>-0.29027853035471501</v>
      </c>
      <c r="AG3895">
        <v>-3.4338239999999998E-3</v>
      </c>
      <c r="AH3895">
        <v>3.07831018352333</v>
      </c>
      <c r="AI3895">
        <v>90.063630559592596</v>
      </c>
      <c r="AJ3895">
        <v>95.386948662994001</v>
      </c>
      <c r="AK3895">
        <v>3.0919681438067199</v>
      </c>
      <c r="AL3895">
        <v>77.437650107710795</v>
      </c>
      <c r="AM3895">
        <v>87.730966721150594</v>
      </c>
      <c r="AN3895">
        <v>0.99999999292286801</v>
      </c>
    </row>
    <row r="3896" spans="1:40" x14ac:dyDescent="0.25">
      <c r="A3896" t="str">
        <f>"20190303170616910"</f>
        <v>20190303170616910</v>
      </c>
      <c r="B3896" t="str">
        <f>"1551603976899059"</f>
        <v>1551603976899059</v>
      </c>
      <c r="C3896" t="s">
        <v>40</v>
      </c>
      <c r="D3896">
        <v>5.5497870000000002</v>
      </c>
      <c r="E3896">
        <v>0.45408310000000002</v>
      </c>
      <c r="F3896" t="s">
        <v>51</v>
      </c>
      <c r="G3896">
        <v>-868.51409999999998</v>
      </c>
      <c r="H3896">
        <v>-0.1</v>
      </c>
      <c r="I3896">
        <v>90.513099999999994</v>
      </c>
      <c r="J3896">
        <v>-333.00130000000001</v>
      </c>
      <c r="K3896">
        <v>1.119704</v>
      </c>
      <c r="L3896">
        <v>141.22130000000001</v>
      </c>
      <c r="M3896">
        <v>-0.99987979999999999</v>
      </c>
      <c r="N3896">
        <v>-1.5510120000000001E-2</v>
      </c>
      <c r="O3896" s="1">
        <v>9.3490929999999998E-5</v>
      </c>
      <c r="P3896">
        <v>-0.97864600000000002</v>
      </c>
      <c r="Q3896">
        <v>0.20198050000000001</v>
      </c>
      <c r="R3896">
        <v>3.8159609999999997E-2</v>
      </c>
      <c r="S3896">
        <v>-3.0784609999999999</v>
      </c>
      <c r="T3896">
        <v>-7.0039029999999997E-3</v>
      </c>
      <c r="U3896">
        <v>-0.29118349999999998</v>
      </c>
      <c r="V3896">
        <v>3.8432760000000003E-2</v>
      </c>
      <c r="W3896">
        <v>0.21707090000000001</v>
      </c>
      <c r="X3896">
        <v>0.97539900000000002</v>
      </c>
      <c r="Y3896">
        <v>-9.42582E-2</v>
      </c>
      <c r="Z3896">
        <v>-8.3840849999999997E-4</v>
      </c>
      <c r="AA3896">
        <v>0.99554739999999997</v>
      </c>
      <c r="AB3896">
        <v>58</v>
      </c>
      <c r="AC3896">
        <v>-535.51279999999997</v>
      </c>
      <c r="AD3896">
        <v>-1.2197039999999999</v>
      </c>
      <c r="AE3896">
        <v>-50.708199999999998</v>
      </c>
      <c r="AF3896">
        <v>-50.758010412520399</v>
      </c>
      <c r="AG3896">
        <v>-1.2197039999999999</v>
      </c>
      <c r="AH3896">
        <v>535.505303015099</v>
      </c>
      <c r="AI3896">
        <v>90.129918311508405</v>
      </c>
      <c r="AJ3896">
        <v>95.414618713940797</v>
      </c>
      <c r="AK3896">
        <v>537.90686262231202</v>
      </c>
      <c r="AL3896">
        <v>77.462949518029404</v>
      </c>
      <c r="AM3896">
        <v>87.743593716897195</v>
      </c>
      <c r="AN3896">
        <v>1.0000000309345101</v>
      </c>
    </row>
    <row r="3897" spans="1:40" x14ac:dyDescent="0.25">
      <c r="A3897" t="str">
        <f>"20190303170616933"</f>
        <v>20190303170616933</v>
      </c>
      <c r="B3897" t="str">
        <f>"1551603976929315"</f>
        <v>1551603976929315</v>
      </c>
      <c r="C3897" t="s">
        <v>40</v>
      </c>
      <c r="D3897">
        <v>5.5418180000000001</v>
      </c>
      <c r="E3897">
        <v>0.45384360000000001</v>
      </c>
      <c r="F3897" t="s">
        <v>51</v>
      </c>
      <c r="G3897">
        <v>-734.80799999999999</v>
      </c>
      <c r="H3897">
        <v>-0.1</v>
      </c>
      <c r="I3897">
        <v>103.22280000000001</v>
      </c>
      <c r="J3897">
        <v>-333.59480000000002</v>
      </c>
      <c r="K3897">
        <v>1.119715</v>
      </c>
      <c r="L3897">
        <v>141.22149999999999</v>
      </c>
      <c r="M3897">
        <v>-0.99987950000000003</v>
      </c>
      <c r="N3897">
        <v>-1.552129E-2</v>
      </c>
      <c r="O3897">
        <v>5.2595759999999995E-4</v>
      </c>
      <c r="P3897">
        <v>-0.97836100000000004</v>
      </c>
      <c r="Q3897">
        <v>0.20328370000000001</v>
      </c>
      <c r="R3897">
        <v>3.8544469999999997E-2</v>
      </c>
      <c r="S3897">
        <v>-3.078735</v>
      </c>
      <c r="T3897">
        <v>-9.345651E-3</v>
      </c>
      <c r="U3897">
        <v>-0.291153</v>
      </c>
      <c r="V3897">
        <v>3.8393509999999999E-2</v>
      </c>
      <c r="W3897">
        <v>0.2183814</v>
      </c>
      <c r="X3897">
        <v>0.97510799999999997</v>
      </c>
      <c r="Y3897">
        <v>-9.4669890000000007E-2</v>
      </c>
      <c r="Z3897">
        <v>-8.7320399999999895E-4</v>
      </c>
      <c r="AA3897">
        <v>0.99550830000000001</v>
      </c>
      <c r="AB3897">
        <v>57</v>
      </c>
      <c r="AC3897">
        <v>-401.21319999999997</v>
      </c>
      <c r="AD3897">
        <v>-1.2197149999999899</v>
      </c>
      <c r="AE3897">
        <v>-37.9986999999999</v>
      </c>
      <c r="AF3897">
        <v>-38.209391284510197</v>
      </c>
      <c r="AG3897">
        <v>-1.2197149999999899</v>
      </c>
      <c r="AH3897">
        <v>401.189481548451</v>
      </c>
      <c r="AI3897">
        <v>90.173408081517394</v>
      </c>
      <c r="AJ3897">
        <v>95.440455054321305</v>
      </c>
      <c r="AK3897">
        <v>403.00675601300901</v>
      </c>
      <c r="AL3897">
        <v>77.3860180982076</v>
      </c>
      <c r="AM3897">
        <v>87.745223730797704</v>
      </c>
      <c r="AN3897">
        <v>1.0000000545700301</v>
      </c>
    </row>
    <row r="3898" spans="1:40" x14ac:dyDescent="0.25">
      <c r="A3898" t="str">
        <f>"20190303170616955"</f>
        <v>20190303170616955</v>
      </c>
      <c r="B3898" t="str">
        <f>"1551603976948835"</f>
        <v>1551603976948835</v>
      </c>
      <c r="C3898" t="s">
        <v>40</v>
      </c>
      <c r="D3898">
        <v>5.5630670000000002</v>
      </c>
      <c r="E3898">
        <v>0.45365060000000001</v>
      </c>
      <c r="F3898" t="s">
        <v>51</v>
      </c>
      <c r="G3898">
        <v>-982.3297</v>
      </c>
      <c r="H3898">
        <v>-0.1</v>
      </c>
      <c r="I3898">
        <v>79.735929999999996</v>
      </c>
      <c r="J3898">
        <v>-334.16239999999999</v>
      </c>
      <c r="K3898">
        <v>1.1197330000000001</v>
      </c>
      <c r="L3898">
        <v>141.22200000000001</v>
      </c>
      <c r="M3898">
        <v>-0.99987910000000002</v>
      </c>
      <c r="N3898">
        <v>-1.552999E-2</v>
      </c>
      <c r="O3898">
        <v>9.3885129999999998E-4</v>
      </c>
      <c r="P3898">
        <v>-0.97805279999999994</v>
      </c>
      <c r="Q3898">
        <v>0.20462040000000001</v>
      </c>
      <c r="R3898">
        <v>3.9287570000000001E-2</v>
      </c>
      <c r="S3898">
        <v>-3.0790410000000001</v>
      </c>
      <c r="T3898">
        <v>-5.7890420000000003E-3</v>
      </c>
      <c r="U3898">
        <v>-0.29182429999999998</v>
      </c>
      <c r="V3898">
        <v>3.8732410000000002E-2</v>
      </c>
      <c r="W3898">
        <v>0.2197219</v>
      </c>
      <c r="X3898">
        <v>0.97479340000000003</v>
      </c>
      <c r="Y3898">
        <v>-9.5287910000000003E-2</v>
      </c>
      <c r="Z3898">
        <v>-8.1820509999999897E-4</v>
      </c>
      <c r="AA3898">
        <v>0.99544940000000004</v>
      </c>
      <c r="AB3898">
        <v>57</v>
      </c>
      <c r="AC3898">
        <v>-648.16729999999995</v>
      </c>
      <c r="AD3898">
        <v>-1.219733</v>
      </c>
      <c r="AE3898">
        <v>-61.486069999999998</v>
      </c>
      <c r="AF3898">
        <v>-62.094430989529599</v>
      </c>
      <c r="AG3898">
        <v>-1.219733</v>
      </c>
      <c r="AH3898">
        <v>648.10700640550294</v>
      </c>
      <c r="AI3898">
        <v>90.1073386192257</v>
      </c>
      <c r="AJ3898">
        <v>95.472742028703493</v>
      </c>
      <c r="AK3898">
        <v>651.07595398725005</v>
      </c>
      <c r="AL3898">
        <v>77.307301178054601</v>
      </c>
      <c r="AM3898">
        <v>87.724608266489298</v>
      </c>
      <c r="AN3898">
        <v>1.0000000428037801</v>
      </c>
    </row>
    <row r="3899" spans="1:40" x14ac:dyDescent="0.25">
      <c r="A3899" t="str">
        <f>"20190303170616977"</f>
        <v>20190303170616977</v>
      </c>
      <c r="B3899" t="str">
        <f>"1551603976969332"</f>
        <v>1551603976969332</v>
      </c>
      <c r="C3899" t="s">
        <v>40</v>
      </c>
      <c r="D3899">
        <v>5.5708399999999996</v>
      </c>
      <c r="E3899">
        <v>0.45345180000000002</v>
      </c>
      <c r="F3899" t="s">
        <v>46</v>
      </c>
      <c r="G3899">
        <v>0</v>
      </c>
      <c r="H3899">
        <v>0</v>
      </c>
      <c r="I3899">
        <v>0</v>
      </c>
      <c r="J3899">
        <v>-334.71910000000003</v>
      </c>
      <c r="K3899">
        <v>1.1197459999999999</v>
      </c>
      <c r="L3899">
        <v>141.2227</v>
      </c>
      <c r="M3899">
        <v>-0.9998783</v>
      </c>
      <c r="N3899">
        <v>-1.5536879999999999E-2</v>
      </c>
      <c r="O3899">
        <v>1.344257E-3</v>
      </c>
      <c r="P3899">
        <v>-0.97798320000000005</v>
      </c>
      <c r="Q3899">
        <v>0.2048962</v>
      </c>
      <c r="R3899">
        <v>3.9578519999999999E-2</v>
      </c>
      <c r="S3899">
        <v>-3.0793759999999999</v>
      </c>
      <c r="T3899">
        <v>-1.5348200000000001E-3</v>
      </c>
      <c r="U3899">
        <v>-0.29180909999999999</v>
      </c>
      <c r="V3899">
        <v>3.8625270000000003E-2</v>
      </c>
      <c r="W3899">
        <v>0.2200037</v>
      </c>
      <c r="X3899">
        <v>0.97473410000000005</v>
      </c>
      <c r="Y3899">
        <v>-9.567755E-2</v>
      </c>
      <c r="Z3899">
        <v>-7.485921E-4</v>
      </c>
      <c r="AA3899">
        <v>0.99541210000000002</v>
      </c>
      <c r="AB3899">
        <v>57</v>
      </c>
      <c r="AC3899">
        <v>-3.0793759999999999</v>
      </c>
      <c r="AD3899">
        <v>-1.5348200000000001E-3</v>
      </c>
      <c r="AE3899">
        <v>-0.29180909999999999</v>
      </c>
      <c r="AF3899">
        <v>-0.29594873625433199</v>
      </c>
      <c r="AG3899">
        <v>-1.5348200000000001E-3</v>
      </c>
      <c r="AH3899">
        <v>3.0789801451755299</v>
      </c>
      <c r="AI3899">
        <v>90.028429955000107</v>
      </c>
      <c r="AJ3899">
        <v>95.490350796081501</v>
      </c>
      <c r="AK3899">
        <v>3.0931709853398099</v>
      </c>
      <c r="AL3899">
        <v>77.290750366475805</v>
      </c>
      <c r="AM3899">
        <v>87.730757871872896</v>
      </c>
      <c r="AN3899">
        <v>1.0000000525995301</v>
      </c>
    </row>
    <row r="3900" spans="1:40" x14ac:dyDescent="0.25">
      <c r="A3900" t="str">
        <f>"20190303170617000"</f>
        <v>20190303170617000</v>
      </c>
      <c r="B3900" t="str">
        <f>"1551603976988851"</f>
        <v>1551603976988851</v>
      </c>
      <c r="C3900" t="s">
        <v>40</v>
      </c>
      <c r="D3900">
        <v>5.5713160000000004</v>
      </c>
      <c r="E3900">
        <v>0.45334380000000002</v>
      </c>
      <c r="F3900" t="s">
        <v>46</v>
      </c>
      <c r="G3900">
        <v>0</v>
      </c>
      <c r="H3900">
        <v>0</v>
      </c>
      <c r="I3900">
        <v>0</v>
      </c>
      <c r="J3900">
        <v>-335.30829999999997</v>
      </c>
      <c r="K3900">
        <v>1.1197549999999901</v>
      </c>
      <c r="L3900">
        <v>141.22370000000001</v>
      </c>
      <c r="M3900">
        <v>-0.99987769999999998</v>
      </c>
      <c r="N3900">
        <v>-1.554264E-2</v>
      </c>
      <c r="O3900">
        <v>1.7725060000000001E-3</v>
      </c>
      <c r="P3900">
        <v>-0.97821089999999999</v>
      </c>
      <c r="Q3900">
        <v>0.2037542</v>
      </c>
      <c r="R3900">
        <v>3.9849349999999999E-2</v>
      </c>
      <c r="S3900">
        <v>-3.0796199999999998</v>
      </c>
      <c r="T3900">
        <v>-1.0629890000000001E-3</v>
      </c>
      <c r="U3900">
        <v>-0.292724599999999</v>
      </c>
      <c r="V3900">
        <v>3.8472920000000001E-2</v>
      </c>
      <c r="W3900">
        <v>0.21887229999999999</v>
      </c>
      <c r="X3900">
        <v>0.97499469999999999</v>
      </c>
      <c r="Y3900">
        <v>-9.6389790000000003E-2</v>
      </c>
      <c r="Z3900">
        <v>-7.4052639999999995E-4</v>
      </c>
      <c r="AA3900">
        <v>0.99534339999999999</v>
      </c>
      <c r="AB3900">
        <v>57</v>
      </c>
      <c r="AC3900">
        <v>-3.0796199999999998</v>
      </c>
      <c r="AD3900">
        <v>-1.0629890000000001E-3</v>
      </c>
      <c r="AE3900">
        <v>-0.292724599999999</v>
      </c>
      <c r="AF3900">
        <v>-0.29818340886646799</v>
      </c>
      <c r="AG3900">
        <v>-1.0629890000000001E-3</v>
      </c>
      <c r="AH3900">
        <v>3.07909587876556</v>
      </c>
      <c r="AI3900">
        <v>90.019687982199301</v>
      </c>
      <c r="AJ3900">
        <v>95.531344965747394</v>
      </c>
      <c r="AK3900">
        <v>3.0935005909002</v>
      </c>
      <c r="AL3900">
        <v>77.357193059751495</v>
      </c>
      <c r="AM3900">
        <v>87.740302676915604</v>
      </c>
      <c r="AN3900">
        <v>0.99999995715435197</v>
      </c>
    </row>
    <row r="3901" spans="1:40" x14ac:dyDescent="0.25">
      <c r="A3901" t="str">
        <f>"20190303170617023"</f>
        <v>20190303170617023</v>
      </c>
      <c r="B3901" t="str">
        <f>"1551603977009347"</f>
        <v>1551603977009347</v>
      </c>
      <c r="C3901" t="s">
        <v>40</v>
      </c>
      <c r="D3901">
        <v>5.5892790000000003</v>
      </c>
      <c r="E3901">
        <v>0.44699529999999899</v>
      </c>
      <c r="F3901" t="s">
        <v>51</v>
      </c>
      <c r="G3901">
        <v>-1118.6959999999999</v>
      </c>
      <c r="H3901">
        <v>-0.1</v>
      </c>
      <c r="I3901">
        <v>66.825519999999997</v>
      </c>
      <c r="J3901">
        <v>-335.87939999999998</v>
      </c>
      <c r="K3901">
        <v>1.119758</v>
      </c>
      <c r="L3901">
        <v>141.22489999999999</v>
      </c>
      <c r="M3901">
        <v>-0.99987680000000001</v>
      </c>
      <c r="N3901">
        <v>-1.5546880000000001E-2</v>
      </c>
      <c r="O3901">
        <v>2.187544E-3</v>
      </c>
      <c r="P3901">
        <v>-0.97837739999999995</v>
      </c>
      <c r="Q3901">
        <v>0.2029494</v>
      </c>
      <c r="R3901">
        <v>3.9864089999999998E-2</v>
      </c>
      <c r="S3901">
        <v>-3.0797119999999998</v>
      </c>
      <c r="T3901">
        <v>-4.795194E-3</v>
      </c>
      <c r="U3901">
        <v>-0.29248049999999998</v>
      </c>
      <c r="V3901">
        <v>3.8078069999999999E-2</v>
      </c>
      <c r="W3901">
        <v>0.2180752</v>
      </c>
      <c r="X3901">
        <v>0.97518890000000003</v>
      </c>
      <c r="Y3901">
        <v>-9.6720929999999997E-2</v>
      </c>
      <c r="Z3901">
        <v>-7.9818610000000003E-4</v>
      </c>
      <c r="AA3901">
        <v>0.99531119999999995</v>
      </c>
      <c r="AB3901">
        <v>57</v>
      </c>
      <c r="AC3901">
        <v>-782.81659999999999</v>
      </c>
      <c r="AD3901">
        <v>-1.2197579999999999</v>
      </c>
      <c r="AE3901">
        <v>-74.399379999999994</v>
      </c>
      <c r="AF3901">
        <v>-76.111671464371895</v>
      </c>
      <c r="AG3901">
        <v>-1.2197579999999999</v>
      </c>
      <c r="AH3901">
        <v>782.65007176798099</v>
      </c>
      <c r="AI3901">
        <v>90.088875969840899</v>
      </c>
      <c r="AJ3901">
        <v>95.554471671869393</v>
      </c>
      <c r="AK3901">
        <v>786.34318791549595</v>
      </c>
      <c r="AL3901">
        <v>77.403995445879104</v>
      </c>
      <c r="AM3901">
        <v>87.763915352356705</v>
      </c>
      <c r="AN3901">
        <v>1.00000006147658</v>
      </c>
    </row>
    <row r="3902" spans="1:40" x14ac:dyDescent="0.25">
      <c r="A3902" t="str">
        <f>"20190303170617046"</f>
        <v>20190303170617046</v>
      </c>
      <c r="B3902" t="str">
        <f>"1551603977038627"</f>
        <v>1551603977038627</v>
      </c>
      <c r="C3902" t="s">
        <v>40</v>
      </c>
      <c r="D3902">
        <v>5.5903929999999997</v>
      </c>
      <c r="E3902">
        <v>0.4462412</v>
      </c>
      <c r="F3902" t="s">
        <v>71</v>
      </c>
      <c r="G3902">
        <v>-473.37819999999999</v>
      </c>
      <c r="H3902">
        <v>7.9986799999999997E-2</v>
      </c>
      <c r="I3902">
        <v>125.919</v>
      </c>
      <c r="J3902">
        <v>-336.47489999999999</v>
      </c>
      <c r="K3902">
        <v>1.119772</v>
      </c>
      <c r="L3902">
        <v>141.22649999999999</v>
      </c>
      <c r="M3902">
        <v>-0.99987559999999998</v>
      </c>
      <c r="N3902">
        <v>-1.5550019999999999E-2</v>
      </c>
      <c r="O3902">
        <v>2.6203580000000001E-3</v>
      </c>
      <c r="P3902">
        <v>-0.97811519999999996</v>
      </c>
      <c r="Q3902">
        <v>0.20402429999999999</v>
      </c>
      <c r="R3902">
        <v>4.0801179999999999E-2</v>
      </c>
      <c r="S3902">
        <v>-3.0851440000000001</v>
      </c>
      <c r="T3902">
        <v>-2.3329969999999998E-2</v>
      </c>
      <c r="U3902">
        <v>-0.3434296</v>
      </c>
      <c r="V3902">
        <v>3.8592590000000003E-2</v>
      </c>
      <c r="W3902">
        <v>0.21914910000000001</v>
      </c>
      <c r="X3902">
        <v>0.97492780000000001</v>
      </c>
      <c r="Y3902">
        <v>-0.1132281</v>
      </c>
      <c r="Z3902">
        <v>-1.289077E-3</v>
      </c>
      <c r="AA3902">
        <v>0.99356820000000001</v>
      </c>
      <c r="AB3902">
        <v>57</v>
      </c>
      <c r="AC3902">
        <v>-136.9033</v>
      </c>
      <c r="AD3902">
        <v>-1.0397851999999901</v>
      </c>
      <c r="AE3902">
        <v>-15.3074999999999</v>
      </c>
      <c r="AF3902">
        <v>-15.6653340023993</v>
      </c>
      <c r="AG3902">
        <v>-1.0397851999999901</v>
      </c>
      <c r="AH3902">
        <v>136.85491695946499</v>
      </c>
      <c r="AI3902">
        <v>90.432484839924896</v>
      </c>
      <c r="AJ3902">
        <v>96.530038920298793</v>
      </c>
      <c r="AK3902">
        <v>137.752503202849</v>
      </c>
      <c r="AL3902">
        <v>77.340939087029099</v>
      </c>
      <c r="AM3902">
        <v>87.733125828719494</v>
      </c>
      <c r="AN3902">
        <v>0.99999996562327798</v>
      </c>
    </row>
    <row r="3903" spans="1:40" x14ac:dyDescent="0.25">
      <c r="A3903" t="str">
        <f>"20190303170617067"</f>
        <v>20190303170617067</v>
      </c>
      <c r="B3903" t="str">
        <f>"1551603977059123"</f>
        <v>1551603977059123</v>
      </c>
      <c r="C3903" t="s">
        <v>40</v>
      </c>
      <c r="D3903">
        <v>5.6242210000000004</v>
      </c>
      <c r="E3903">
        <v>0.44601229999999997</v>
      </c>
      <c r="F3903" t="s">
        <v>51</v>
      </c>
      <c r="G3903">
        <v>-585.84500000000003</v>
      </c>
      <c r="H3903">
        <v>-0.1</v>
      </c>
      <c r="I3903">
        <v>113.15689999999999</v>
      </c>
      <c r="J3903">
        <v>-337.03960000000001</v>
      </c>
      <c r="K3903">
        <v>1.1197889999999999</v>
      </c>
      <c r="L3903">
        <v>141.22810000000001</v>
      </c>
      <c r="M3903">
        <v>-0.99987470000000001</v>
      </c>
      <c r="N3903">
        <v>-1.555203E-2</v>
      </c>
      <c r="O3903">
        <v>3.0303600000000002E-3</v>
      </c>
      <c r="P3903">
        <v>-0.977769</v>
      </c>
      <c r="Q3903">
        <v>0.2054407</v>
      </c>
      <c r="R3903">
        <v>4.1982159999999998E-2</v>
      </c>
      <c r="S3903">
        <v>-3.084778</v>
      </c>
      <c r="T3903">
        <v>-1.508892E-2</v>
      </c>
      <c r="U3903">
        <v>-0.34722900000000001</v>
      </c>
      <c r="V3903">
        <v>3.9374670000000001E-2</v>
      </c>
      <c r="W3903">
        <v>0.22056100000000001</v>
      </c>
      <c r="X3903">
        <v>0.9745781</v>
      </c>
      <c r="Y3903">
        <v>-0.114861</v>
      </c>
      <c r="Z3903">
        <v>-1.143874E-3</v>
      </c>
      <c r="AA3903">
        <v>0.99338090000000001</v>
      </c>
      <c r="AB3903">
        <v>57</v>
      </c>
      <c r="AC3903">
        <v>-248.80539999999999</v>
      </c>
      <c r="AD3903">
        <v>-1.219789</v>
      </c>
      <c r="AE3903">
        <v>-28.071200000000001</v>
      </c>
      <c r="AF3903">
        <v>-28.8244479349115</v>
      </c>
      <c r="AG3903">
        <v>-1.219789</v>
      </c>
      <c r="AH3903">
        <v>248.71327844602899</v>
      </c>
      <c r="AI3903">
        <v>90.279130787220893</v>
      </c>
      <c r="AJ3903">
        <v>96.610761305139505</v>
      </c>
      <c r="AK3903">
        <v>250.38097283805101</v>
      </c>
      <c r="AL3903">
        <v>77.258014600386403</v>
      </c>
      <c r="AM3903">
        <v>87.686407975963803</v>
      </c>
      <c r="AN3903">
        <v>0.99999999617910895</v>
      </c>
    </row>
    <row r="3904" spans="1:40" x14ac:dyDescent="0.25">
      <c r="A3904" t="str">
        <f>"20190303170617088"</f>
        <v>20190303170617088</v>
      </c>
      <c r="B3904" t="str">
        <f>"1551603977078643"</f>
        <v>1551603977078643</v>
      </c>
      <c r="C3904" t="s">
        <v>40</v>
      </c>
      <c r="D3904">
        <v>5.6666860000000003</v>
      </c>
      <c r="E3904">
        <v>0.4457836</v>
      </c>
      <c r="F3904" t="s">
        <v>51</v>
      </c>
      <c r="G3904">
        <v>-730.05550000000005</v>
      </c>
      <c r="H3904">
        <v>-0.1</v>
      </c>
      <c r="I3904">
        <v>97.082179999999994</v>
      </c>
      <c r="J3904">
        <v>-337.55689999999998</v>
      </c>
      <c r="K3904">
        <v>1.1197950000000001</v>
      </c>
      <c r="L3904">
        <v>141.22989999999999</v>
      </c>
      <c r="M3904">
        <v>-0.99987309999999996</v>
      </c>
      <c r="N3904">
        <v>-1.555316E-2</v>
      </c>
      <c r="O3904">
        <v>3.4062850000000002E-3</v>
      </c>
      <c r="P3904">
        <v>-0.97762099999999996</v>
      </c>
      <c r="Q3904">
        <v>0.2059724</v>
      </c>
      <c r="R3904">
        <v>4.2810809999999998E-2</v>
      </c>
      <c r="S3904">
        <v>-3.0851440000000001</v>
      </c>
      <c r="T3904">
        <v>-9.5752479999999997E-3</v>
      </c>
      <c r="U3904">
        <v>-0.34654239999999997</v>
      </c>
      <c r="V3904">
        <v>3.9836070000000001E-2</v>
      </c>
      <c r="W3904">
        <v>0.2210907</v>
      </c>
      <c r="X3904">
        <v>0.97443930000000001</v>
      </c>
      <c r="Y3904">
        <v>-0.1150053</v>
      </c>
      <c r="Z3904">
        <v>-1.032853E-3</v>
      </c>
      <c r="AA3904">
        <v>0.99336429999999998</v>
      </c>
      <c r="AB3904">
        <v>57</v>
      </c>
      <c r="AC3904">
        <v>-392.49860000000001</v>
      </c>
      <c r="AD3904">
        <v>-1.219795</v>
      </c>
      <c r="AE3904">
        <v>-44.1477199999999</v>
      </c>
      <c r="AF3904">
        <v>-45.4841540276798</v>
      </c>
      <c r="AG3904">
        <v>-1.219795</v>
      </c>
      <c r="AH3904">
        <v>392.34218248670697</v>
      </c>
      <c r="AI3904">
        <v>90.176947379750004</v>
      </c>
      <c r="AJ3904">
        <v>96.612769578647104</v>
      </c>
      <c r="AK3904">
        <v>394.971751301138</v>
      </c>
      <c r="AL3904">
        <v>77.226896615412798</v>
      </c>
      <c r="AM3904">
        <v>87.658993800266998</v>
      </c>
      <c r="AN3904">
        <v>0.99999997974201205</v>
      </c>
    </row>
    <row r="3905" spans="1:40" x14ac:dyDescent="0.25">
      <c r="A3905" t="str">
        <f>"20190303170617110"</f>
        <v>20190303170617110</v>
      </c>
      <c r="B3905" t="str">
        <f>"1551603977099140"</f>
        <v>1551603977099140</v>
      </c>
      <c r="C3905" t="s">
        <v>40</v>
      </c>
      <c r="D3905">
        <v>5.6419489999999897</v>
      </c>
      <c r="E3905">
        <v>0.44562689999999999</v>
      </c>
      <c r="F3905" t="s">
        <v>51</v>
      </c>
      <c r="G3905">
        <v>-842.52919999999995</v>
      </c>
      <c r="H3905">
        <v>-0.1</v>
      </c>
      <c r="I3905">
        <v>84.602699999999999</v>
      </c>
      <c r="J3905">
        <v>-338.13</v>
      </c>
      <c r="K3905">
        <v>1.119799</v>
      </c>
      <c r="L3905">
        <v>141.2321</v>
      </c>
      <c r="M3905">
        <v>-0.99987170000000003</v>
      </c>
      <c r="N3905">
        <v>-1.555372E-2</v>
      </c>
      <c r="O3905">
        <v>3.8225630000000002E-3</v>
      </c>
      <c r="P3905">
        <v>-0.97781070000000003</v>
      </c>
      <c r="Q3905">
        <v>0.20499619999999999</v>
      </c>
      <c r="R3905">
        <v>4.3161409999999997E-2</v>
      </c>
      <c r="S3905">
        <v>-3.085388</v>
      </c>
      <c r="T3905">
        <v>-7.4529649999999998E-3</v>
      </c>
      <c r="U3905">
        <v>-0.34599299999999999</v>
      </c>
      <c r="V3905">
        <v>3.977609E-2</v>
      </c>
      <c r="W3905">
        <v>0.2201186</v>
      </c>
      <c r="X3905">
        <v>0.97466180000000002</v>
      </c>
      <c r="Y3905">
        <v>-0.1152363</v>
      </c>
      <c r="Z3905">
        <v>-9.87721E-4</v>
      </c>
      <c r="AA3905">
        <v>0.99333760000000004</v>
      </c>
      <c r="AB3905">
        <v>57</v>
      </c>
      <c r="AC3905">
        <v>-504.39920000000001</v>
      </c>
      <c r="AD3905">
        <v>-1.2197990000000001</v>
      </c>
      <c r="AE3905">
        <v>-56.629399999999997</v>
      </c>
      <c r="AF3905">
        <v>-58.5569790037516</v>
      </c>
      <c r="AG3905">
        <v>-1.2197990000000001</v>
      </c>
      <c r="AH3905">
        <v>504.17610645639797</v>
      </c>
      <c r="AI3905">
        <v>90.137695010241401</v>
      </c>
      <c r="AJ3905">
        <v>96.624873124517094</v>
      </c>
      <c r="AK3905">
        <v>507.566699086119</v>
      </c>
      <c r="AL3905">
        <v>77.284000704068504</v>
      </c>
      <c r="AM3905">
        <v>87.663047691360902</v>
      </c>
      <c r="AN3905">
        <v>0.99999997989044398</v>
      </c>
    </row>
    <row r="3906" spans="1:40" x14ac:dyDescent="0.25">
      <c r="A3906" t="str">
        <f>"20190303170617134"</f>
        <v>20190303170617134</v>
      </c>
      <c r="B3906" t="str">
        <f>"1551603977128420"</f>
        <v>1551603977128420</v>
      </c>
      <c r="C3906" t="s">
        <v>40</v>
      </c>
      <c r="D3906">
        <v>5.6756349999999998</v>
      </c>
      <c r="E3906">
        <v>0.44539840000000003</v>
      </c>
      <c r="F3906" t="s">
        <v>51</v>
      </c>
      <c r="G3906">
        <v>-676.44709999999998</v>
      </c>
      <c r="H3906">
        <v>-0.1</v>
      </c>
      <c r="I3906">
        <v>103.3236</v>
      </c>
      <c r="J3906">
        <v>-338.72930000000002</v>
      </c>
      <c r="K3906">
        <v>1.119799</v>
      </c>
      <c r="L3906">
        <v>141.2346</v>
      </c>
      <c r="M3906">
        <v>-0.99987009999999998</v>
      </c>
      <c r="N3906">
        <v>-1.555365E-2</v>
      </c>
      <c r="O3906">
        <v>4.2573849999999998E-3</v>
      </c>
      <c r="P3906">
        <v>-0.97809100000000004</v>
      </c>
      <c r="Q3906">
        <v>0.20349339999999999</v>
      </c>
      <c r="R3906">
        <v>4.3915610000000001E-2</v>
      </c>
      <c r="S3906">
        <v>-3.0856629999999998</v>
      </c>
      <c r="T3906">
        <v>-1.1125329999999999E-2</v>
      </c>
      <c r="U3906">
        <v>-0.34574890000000003</v>
      </c>
      <c r="V3906">
        <v>4.010056E-2</v>
      </c>
      <c r="W3906">
        <v>0.2186206</v>
      </c>
      <c r="X3906">
        <v>0.97498560000000001</v>
      </c>
      <c r="Y3906">
        <v>-0.115579399999999</v>
      </c>
      <c r="Z3906">
        <v>-1.058715E-3</v>
      </c>
      <c r="AA3906">
        <v>0.99329769999999995</v>
      </c>
      <c r="AB3906">
        <v>57</v>
      </c>
      <c r="AC3906">
        <v>-337.71779999999899</v>
      </c>
      <c r="AD3906">
        <v>-1.2197990000000001</v>
      </c>
      <c r="AE3906">
        <v>-37.911000000000001</v>
      </c>
      <c r="AF3906">
        <v>-39.348117858301897</v>
      </c>
      <c r="AG3906">
        <v>-1.2197990000000001</v>
      </c>
      <c r="AH3906">
        <v>337.54896862108001</v>
      </c>
      <c r="AI3906">
        <v>90.205656006701005</v>
      </c>
      <c r="AJ3906">
        <v>96.648966559253196</v>
      </c>
      <c r="AK3906">
        <v>339.83682629424698</v>
      </c>
      <c r="AL3906">
        <v>77.371972513479705</v>
      </c>
      <c r="AM3906">
        <v>87.644787162813302</v>
      </c>
      <c r="AN3906">
        <v>0.99999997093201598</v>
      </c>
    </row>
    <row r="3907" spans="1:40" x14ac:dyDescent="0.25">
      <c r="A3907" t="str">
        <f>"20190303170617156"</f>
        <v>20190303170617156</v>
      </c>
      <c r="B3907" t="str">
        <f>"1551603977148915"</f>
        <v>1551603977148915</v>
      </c>
      <c r="C3907" t="s">
        <v>40</v>
      </c>
      <c r="D3907">
        <v>5.7000970000000004</v>
      </c>
      <c r="E3907">
        <v>0.44431670000000001</v>
      </c>
      <c r="F3907" t="s">
        <v>51</v>
      </c>
      <c r="G3907">
        <v>-601.93619999999999</v>
      </c>
      <c r="H3907">
        <v>-0.1</v>
      </c>
      <c r="I3907">
        <v>111.79430000000001</v>
      </c>
      <c r="J3907">
        <v>-339.29520000000002</v>
      </c>
      <c r="K3907">
        <v>1.119799</v>
      </c>
      <c r="L3907">
        <v>141.2372</v>
      </c>
      <c r="M3907">
        <v>-0.99986819999999998</v>
      </c>
      <c r="N3907">
        <v>-1.555291E-2</v>
      </c>
      <c r="O3907">
        <v>4.6687889999999996E-3</v>
      </c>
      <c r="P3907">
        <v>-0.97811820000000005</v>
      </c>
      <c r="Q3907">
        <v>0.20324349999999999</v>
      </c>
      <c r="R3907">
        <v>4.4467149999999997E-2</v>
      </c>
      <c r="S3907">
        <v>-3.0856629999999998</v>
      </c>
      <c r="T3907">
        <v>-1.430011E-2</v>
      </c>
      <c r="U3907">
        <v>-0.34513850000000001</v>
      </c>
      <c r="V3907">
        <v>4.0248310000000002E-2</v>
      </c>
      <c r="W3907">
        <v>0.2183707</v>
      </c>
      <c r="X3907">
        <v>0.97503550000000005</v>
      </c>
      <c r="Y3907">
        <v>-0.1157926</v>
      </c>
      <c r="Z3907">
        <v>-1.1199910000000001E-3</v>
      </c>
      <c r="AA3907">
        <v>0.99327279999999996</v>
      </c>
      <c r="AB3907">
        <v>57</v>
      </c>
      <c r="AC3907">
        <v>-262.64100000000002</v>
      </c>
      <c r="AD3907">
        <v>-1.2197990000000001</v>
      </c>
      <c r="AE3907">
        <v>-29.442899999999899</v>
      </c>
      <c r="AF3907">
        <v>-30.668289400536299</v>
      </c>
      <c r="AG3907">
        <v>-1.2197990000000001</v>
      </c>
      <c r="AH3907">
        <v>262.49506574893798</v>
      </c>
      <c r="AI3907">
        <v>90.264449430983703</v>
      </c>
      <c r="AJ3907">
        <v>96.663870884758097</v>
      </c>
      <c r="AK3907">
        <v>264.28335442644601</v>
      </c>
      <c r="AL3907">
        <v>77.386645083079202</v>
      </c>
      <c r="AM3907">
        <v>87.636240077854595</v>
      </c>
      <c r="AN3907">
        <v>0.99999995766829697</v>
      </c>
    </row>
    <row r="3908" spans="1:40" x14ac:dyDescent="0.25">
      <c r="A3908" t="str">
        <f>"20190303170617177"</f>
        <v>20190303170617177</v>
      </c>
      <c r="B3908" t="str">
        <f>"1551603977168435"</f>
        <v>1551603977168435</v>
      </c>
      <c r="C3908" t="s">
        <v>40</v>
      </c>
      <c r="D3908">
        <v>5.6877079999999998</v>
      </c>
      <c r="E3908">
        <v>0.44228770000000001</v>
      </c>
      <c r="F3908" t="s">
        <v>43</v>
      </c>
      <c r="G3908">
        <v>-559.44979999999998</v>
      </c>
      <c r="H3908">
        <v>-0.05</v>
      </c>
      <c r="I3908">
        <v>116.1344</v>
      </c>
      <c r="J3908">
        <v>-339.83920000000001</v>
      </c>
      <c r="K3908">
        <v>1.119807</v>
      </c>
      <c r="L3908">
        <v>141.23990000000001</v>
      </c>
      <c r="M3908">
        <v>-0.99986629999999999</v>
      </c>
      <c r="N3908">
        <v>-1.555175E-2</v>
      </c>
      <c r="O3908">
        <v>5.063087E-3</v>
      </c>
      <c r="P3908">
        <v>-0.97784099999999996</v>
      </c>
      <c r="Q3908">
        <v>0.2044089</v>
      </c>
      <c r="R3908">
        <v>4.5210599999999997E-2</v>
      </c>
      <c r="S3908">
        <v>-3.0864560000000001</v>
      </c>
      <c r="T3908">
        <v>-1.6399980000000002E-2</v>
      </c>
      <c r="U3908">
        <v>-0.35192869999999998</v>
      </c>
      <c r="V3908">
        <v>4.0607909999999997E-2</v>
      </c>
      <c r="W3908">
        <v>0.21953059999999999</v>
      </c>
      <c r="X3908">
        <v>0.97476010000000002</v>
      </c>
      <c r="Y3908">
        <v>-0.1183123</v>
      </c>
      <c r="Z3908">
        <v>-1.184676E-3</v>
      </c>
      <c r="AA3908">
        <v>0.99297570000000002</v>
      </c>
      <c r="AB3908">
        <v>57</v>
      </c>
      <c r="AC3908">
        <v>-219.61060000000001</v>
      </c>
      <c r="AD3908">
        <v>-1.169807</v>
      </c>
      <c r="AE3908">
        <v>-25.105499999999999</v>
      </c>
      <c r="AF3908">
        <v>-26.216485858089499</v>
      </c>
      <c r="AG3908">
        <v>-1.169807</v>
      </c>
      <c r="AH3908">
        <v>219.474510706839</v>
      </c>
      <c r="AI3908">
        <v>90.303230036193497</v>
      </c>
      <c r="AJ3908">
        <v>96.811771832640105</v>
      </c>
      <c r="AK3908">
        <v>221.03785519492101</v>
      </c>
      <c r="AL3908">
        <v>77.318535229344704</v>
      </c>
      <c r="AM3908">
        <v>87.614472237660294</v>
      </c>
      <c r="AN3908">
        <v>0.99999996962146798</v>
      </c>
    </row>
    <row r="3909" spans="1:40" x14ac:dyDescent="0.25">
      <c r="A3909" t="str">
        <f>"20190303170617200"</f>
        <v>20190303170617200</v>
      </c>
      <c r="B3909" t="str">
        <f>"1551603977188931"</f>
        <v>1551603977188931</v>
      </c>
      <c r="C3909" t="s">
        <v>40</v>
      </c>
      <c r="D3909">
        <v>5.6775279999999997</v>
      </c>
      <c r="E3909">
        <v>0.44046849999999999</v>
      </c>
      <c r="F3909" t="s">
        <v>51</v>
      </c>
      <c r="G3909">
        <v>-694.42880000000002</v>
      </c>
      <c r="H3909">
        <v>-0.1</v>
      </c>
      <c r="I3909">
        <v>99.190719999999999</v>
      </c>
      <c r="J3909">
        <v>-340.40899999999999</v>
      </c>
      <c r="K3909">
        <v>1.119815</v>
      </c>
      <c r="L3909">
        <v>141.24299999999999</v>
      </c>
      <c r="M3909">
        <v>-0.99986419999999998</v>
      </c>
      <c r="N3909">
        <v>-1.5550359999999999E-2</v>
      </c>
      <c r="O3909">
        <v>5.472261E-3</v>
      </c>
      <c r="P3909">
        <v>-0.97756019999999999</v>
      </c>
      <c r="Q3909">
        <v>0.2056673</v>
      </c>
      <c r="R3909">
        <v>4.5576609999999997E-2</v>
      </c>
      <c r="S3909">
        <v>-3.0871279999999999</v>
      </c>
      <c r="T3909">
        <v>-1.061988E-2</v>
      </c>
      <c r="U3909">
        <v>-0.36608889999999999</v>
      </c>
      <c r="V3909">
        <v>4.0575640000000003E-2</v>
      </c>
      <c r="W3909">
        <v>0.2207837</v>
      </c>
      <c r="X3909">
        <v>0.97447839999999997</v>
      </c>
      <c r="Y3909">
        <v>-0.1231891</v>
      </c>
      <c r="Z3909">
        <v>-1.106346E-3</v>
      </c>
      <c r="AA3909">
        <v>0.9923826</v>
      </c>
      <c r="AB3909">
        <v>57</v>
      </c>
      <c r="AC3909">
        <v>-354.01979999999998</v>
      </c>
      <c r="AD3909">
        <v>-1.2198149999999901</v>
      </c>
      <c r="AE3909">
        <v>-42.052280000000003</v>
      </c>
      <c r="AF3909">
        <v>-43.9886580705207</v>
      </c>
      <c r="AG3909">
        <v>-1.2198149999999901</v>
      </c>
      <c r="AH3909">
        <v>353.78020741893101</v>
      </c>
      <c r="AI3909">
        <v>90.196042362460503</v>
      </c>
      <c r="AJ3909">
        <v>97.087720411447506</v>
      </c>
      <c r="AK3909">
        <v>356.50655695072601</v>
      </c>
      <c r="AL3909">
        <v>77.244932225120905</v>
      </c>
      <c r="AM3909">
        <v>87.615677503708</v>
      </c>
      <c r="AN3909">
        <v>0.99999998840682902</v>
      </c>
    </row>
    <row r="3910" spans="1:40" x14ac:dyDescent="0.25">
      <c r="A3910" t="str">
        <f>"20190303170617224"</f>
        <v>20190303170617224</v>
      </c>
      <c r="B3910" t="str">
        <f>"1551603977208451"</f>
        <v>1551603977208451</v>
      </c>
      <c r="C3910" t="s">
        <v>40</v>
      </c>
      <c r="D3910">
        <v>5.6680789999999996</v>
      </c>
      <c r="E3910">
        <v>0.43893569999999998</v>
      </c>
      <c r="F3910" t="s">
        <v>51</v>
      </c>
      <c r="G3910">
        <v>-1090.376</v>
      </c>
      <c r="H3910">
        <v>-0.1</v>
      </c>
      <c r="I3910">
        <v>49.02966</v>
      </c>
      <c r="J3910">
        <v>-340.99779999999998</v>
      </c>
      <c r="K3910">
        <v>1.1198239999999999</v>
      </c>
      <c r="L3910">
        <v>141.24639999999999</v>
      </c>
      <c r="M3910">
        <v>-0.99986180000000002</v>
      </c>
      <c r="N3910">
        <v>-1.554873E-2</v>
      </c>
      <c r="O3910">
        <v>5.8870499999999996E-3</v>
      </c>
      <c r="P3910">
        <v>-0.97768310000000003</v>
      </c>
      <c r="Q3910">
        <v>0.20507590000000001</v>
      </c>
      <c r="R3910">
        <v>4.5604980000000003E-2</v>
      </c>
      <c r="S3910">
        <v>-3.0875849999999998</v>
      </c>
      <c r="T3910">
        <v>-5.02193E-3</v>
      </c>
      <c r="U3910">
        <v>-0.3796387</v>
      </c>
      <c r="V3910">
        <v>4.0193350000000003E-2</v>
      </c>
      <c r="W3910">
        <v>0.220194</v>
      </c>
      <c r="X3910">
        <v>0.97462769999999999</v>
      </c>
      <c r="Y3910">
        <v>-0.12787670000000001</v>
      </c>
      <c r="Z3910">
        <v>-1.0199110000000001E-3</v>
      </c>
      <c r="AA3910">
        <v>0.99178960000000005</v>
      </c>
      <c r="AB3910">
        <v>57</v>
      </c>
      <c r="AC3910">
        <v>-749.37819999999999</v>
      </c>
      <c r="AD3910">
        <v>-1.219824</v>
      </c>
      <c r="AE3910">
        <v>-92.216740000000001</v>
      </c>
      <c r="AF3910">
        <v>-96.627049620766499</v>
      </c>
      <c r="AG3910">
        <v>-1.219824</v>
      </c>
      <c r="AH3910">
        <v>748.82030629752705</v>
      </c>
      <c r="AI3910">
        <v>90.092566928580197</v>
      </c>
      <c r="AJ3910">
        <v>97.352761283529304</v>
      </c>
      <c r="AK3910">
        <v>755.02988405263</v>
      </c>
      <c r="AL3910">
        <v>77.279572567050806</v>
      </c>
      <c r="AM3910">
        <v>87.638477624667502</v>
      </c>
      <c r="AN3910">
        <v>1.00000002831375</v>
      </c>
    </row>
    <row r="3911" spans="1:40" x14ac:dyDescent="0.25">
      <c r="A3911" t="str">
        <f>"20190303170617246"</f>
        <v>20190303170617246</v>
      </c>
      <c r="B3911" t="str">
        <f>"1551603977238707"</f>
        <v>1551603977238707</v>
      </c>
      <c r="C3911" t="s">
        <v>40</v>
      </c>
      <c r="D3911">
        <v>5.739249</v>
      </c>
      <c r="E3911">
        <v>0.43760510000000002</v>
      </c>
      <c r="F3911" t="s">
        <v>48</v>
      </c>
      <c r="G3911">
        <v>-460.7441</v>
      </c>
      <c r="H3911">
        <v>0.8825885</v>
      </c>
      <c r="I3911">
        <v>126.057</v>
      </c>
      <c r="J3911">
        <v>-341.57499999999999</v>
      </c>
      <c r="K3911">
        <v>1.1198380000000001</v>
      </c>
      <c r="L3911">
        <v>141.25</v>
      </c>
      <c r="M3911">
        <v>-0.99985950000000001</v>
      </c>
      <c r="N3911">
        <v>-1.554672E-2</v>
      </c>
      <c r="O3911">
        <v>6.2767819999999998E-3</v>
      </c>
      <c r="P3911">
        <v>-0.97784139999999997</v>
      </c>
      <c r="Q3911">
        <v>0.20439779999999999</v>
      </c>
      <c r="R3911">
        <v>4.525378E-2</v>
      </c>
      <c r="S3911">
        <v>-3.0880429999999999</v>
      </c>
      <c r="T3911">
        <v>-6.1171050000000003E-3</v>
      </c>
      <c r="U3911">
        <v>-0.39170840000000001</v>
      </c>
      <c r="V3911">
        <v>3.9452969999999997E-2</v>
      </c>
      <c r="W3911">
        <v>0.21951899999999999</v>
      </c>
      <c r="X3911">
        <v>0.97481019999999896</v>
      </c>
      <c r="Y3911">
        <v>-0.1320607</v>
      </c>
      <c r="Z3911">
        <v>-1.0761950000000001E-3</v>
      </c>
      <c r="AA3911">
        <v>0.99124100000000004</v>
      </c>
      <c r="AB3911">
        <v>57</v>
      </c>
      <c r="AC3911">
        <v>-119.1691</v>
      </c>
      <c r="AD3911">
        <v>-0.237249499999999</v>
      </c>
      <c r="AE3911">
        <v>-15.1929999999999</v>
      </c>
      <c r="AF3911">
        <v>-15.9407272964869</v>
      </c>
      <c r="AG3911">
        <v>-0.237249499999999</v>
      </c>
      <c r="AH3911">
        <v>119.07091283381099</v>
      </c>
      <c r="AI3911">
        <v>90.113152532374897</v>
      </c>
      <c r="AJ3911">
        <v>97.625185767188896</v>
      </c>
      <c r="AK3911">
        <v>120.133448119761</v>
      </c>
      <c r="AL3911">
        <v>77.319217219349994</v>
      </c>
      <c r="AM3911">
        <v>87.682363561880393</v>
      </c>
      <c r="AN3911">
        <v>1.0000000271134299</v>
      </c>
    </row>
    <row r="3912" spans="1:40" x14ac:dyDescent="0.25">
      <c r="A3912" t="str">
        <f>"20190303170617267"</f>
        <v>20190303170617267</v>
      </c>
      <c r="B3912" t="str">
        <f>"1551603977259203"</f>
        <v>1551603977259203</v>
      </c>
      <c r="C3912" t="s">
        <v>40</v>
      </c>
      <c r="D3912">
        <v>5.7220940000000002</v>
      </c>
      <c r="E3912">
        <v>0.43574109999999999</v>
      </c>
      <c r="F3912" t="s">
        <v>48</v>
      </c>
      <c r="G3912">
        <v>-460.73090000000002</v>
      </c>
      <c r="H3912">
        <v>0.82359539999999998</v>
      </c>
      <c r="I3912">
        <v>125.7089</v>
      </c>
      <c r="J3912">
        <v>-342.12979999999999</v>
      </c>
      <c r="K3912">
        <v>1.119861</v>
      </c>
      <c r="L3912">
        <v>141.25370000000001</v>
      </c>
      <c r="M3912">
        <v>-0.9998572</v>
      </c>
      <c r="N3912">
        <v>-1.554437E-2</v>
      </c>
      <c r="O3912">
        <v>6.6354680000000003E-3</v>
      </c>
      <c r="P3912">
        <v>-0.97778180000000003</v>
      </c>
      <c r="Q3912">
        <v>0.20467930000000001</v>
      </c>
      <c r="R3912">
        <v>4.5269579999999997E-2</v>
      </c>
      <c r="S3912">
        <v>-3.0882260000000001</v>
      </c>
      <c r="T3912">
        <v>-7.6770780000000004E-3</v>
      </c>
      <c r="U3912">
        <v>-0.40278629999999999</v>
      </c>
      <c r="V3912">
        <v>3.911092E-2</v>
      </c>
      <c r="W3912">
        <v>0.21979899999999999</v>
      </c>
      <c r="X3912">
        <v>0.97476079999999998</v>
      </c>
      <c r="Y3912">
        <v>-0.1359051</v>
      </c>
      <c r="Z3912">
        <v>-1.1427430000000001E-3</v>
      </c>
      <c r="AA3912">
        <v>0.99072119999999997</v>
      </c>
      <c r="AB3912">
        <v>57</v>
      </c>
      <c r="AC3912">
        <v>-118.6011</v>
      </c>
      <c r="AD3912">
        <v>-0.29626560000000002</v>
      </c>
      <c r="AE3912">
        <v>-15.5448</v>
      </c>
      <c r="AF3912">
        <v>-16.331426379922899</v>
      </c>
      <c r="AG3912">
        <v>-0.29626560000000002</v>
      </c>
      <c r="AH3912">
        <v>118.494601968406</v>
      </c>
      <c r="AI3912">
        <v>90.141911721662694</v>
      </c>
      <c r="AJ3912">
        <v>97.847307592847002</v>
      </c>
      <c r="AK3912">
        <v>119.61510755987101</v>
      </c>
      <c r="AL3912">
        <v>77.302771660360506</v>
      </c>
      <c r="AM3912">
        <v>87.702319102704905</v>
      </c>
      <c r="AN3912">
        <v>0.99999994084044097</v>
      </c>
    </row>
    <row r="3913" spans="1:40" x14ac:dyDescent="0.25">
      <c r="A3913" t="str">
        <f>"20190303170617290"</f>
        <v>20190303170617290</v>
      </c>
      <c r="B3913" t="str">
        <f>"1551603977278725"</f>
        <v>1551603977278725</v>
      </c>
      <c r="C3913" t="s">
        <v>40</v>
      </c>
      <c r="D3913">
        <v>5.7045789999999998</v>
      </c>
      <c r="E3913">
        <v>0.43469600000000003</v>
      </c>
      <c r="F3913" t="s">
        <v>51</v>
      </c>
      <c r="G3913">
        <v>-1220.191</v>
      </c>
      <c r="H3913">
        <v>-0.1</v>
      </c>
      <c r="I3913">
        <v>22.59836</v>
      </c>
      <c r="J3913">
        <v>-342.68790000000001</v>
      </c>
      <c r="K3913">
        <v>1.1198939999999999</v>
      </c>
      <c r="L3913">
        <v>141.2576</v>
      </c>
      <c r="M3913">
        <v>-0.99985500000000005</v>
      </c>
      <c r="N3913">
        <v>-1.554173E-2</v>
      </c>
      <c r="O3913">
        <v>6.9679219999999997E-3</v>
      </c>
      <c r="P3913">
        <v>-0.97746960000000005</v>
      </c>
      <c r="Q3913">
        <v>0.20600299999999999</v>
      </c>
      <c r="R3913">
        <v>4.6001979999999998E-2</v>
      </c>
      <c r="S3913">
        <v>-3.0883790000000002</v>
      </c>
      <c r="T3913">
        <v>-4.2905809999999999E-3</v>
      </c>
      <c r="U3913">
        <v>-0.41734310000000002</v>
      </c>
      <c r="V3913">
        <v>3.951031E-2</v>
      </c>
      <c r="W3913">
        <v>0.22111720000000001</v>
      </c>
      <c r="X3913">
        <v>0.97444660000000005</v>
      </c>
      <c r="Y3913">
        <v>-0.14081659999999999</v>
      </c>
      <c r="Z3913">
        <v>-1.0985019999999999E-3</v>
      </c>
      <c r="AA3913">
        <v>0.99003509999999995</v>
      </c>
      <c r="AB3913">
        <v>57</v>
      </c>
      <c r="AC3913">
        <v>-877.50310000000002</v>
      </c>
      <c r="AD3913">
        <v>-1.219894</v>
      </c>
      <c r="AE3913">
        <v>-118.65924</v>
      </c>
      <c r="AF3913">
        <v>-124.771233272654</v>
      </c>
      <c r="AG3913">
        <v>-1.219894</v>
      </c>
      <c r="AH3913">
        <v>876.653220390103</v>
      </c>
      <c r="AI3913">
        <v>90.078933588495701</v>
      </c>
      <c r="AJ3913">
        <v>98.100320550660697</v>
      </c>
      <c r="AK3913">
        <v>885.48868858618903</v>
      </c>
      <c r="AL3913">
        <v>77.225340378357402</v>
      </c>
      <c r="AM3913">
        <v>87.678133747026294</v>
      </c>
      <c r="AN3913">
        <v>1.00000002849184</v>
      </c>
    </row>
    <row r="3914" spans="1:40" x14ac:dyDescent="0.25">
      <c r="A3914" t="str">
        <f>"20190303170617313"</f>
        <v>20190303170617313</v>
      </c>
      <c r="B3914" t="str">
        <f>"1551603977308897"</f>
        <v>1551603977308897</v>
      </c>
      <c r="C3914" t="s">
        <v>40</v>
      </c>
      <c r="D3914">
        <v>5.7379959999999999</v>
      </c>
      <c r="E3914">
        <v>0.43334400000000001</v>
      </c>
      <c r="F3914" t="s">
        <v>46</v>
      </c>
      <c r="G3914">
        <v>0</v>
      </c>
      <c r="H3914">
        <v>0</v>
      </c>
      <c r="I3914">
        <v>0</v>
      </c>
      <c r="J3914">
        <v>-343.28019999999998</v>
      </c>
      <c r="K3914">
        <v>1.119945</v>
      </c>
      <c r="L3914">
        <v>141.26179999999999</v>
      </c>
      <c r="M3914">
        <v>-0.99985299999999999</v>
      </c>
      <c r="N3914">
        <v>-1.5538700000000001E-2</v>
      </c>
      <c r="O3914">
        <v>7.2672619999999896E-3</v>
      </c>
      <c r="P3914">
        <v>-0.97709270000000004</v>
      </c>
      <c r="Q3914">
        <v>0.20767820000000001</v>
      </c>
      <c r="R3914">
        <v>4.6476169999999997E-2</v>
      </c>
      <c r="S3914">
        <v>-3.0887449999999999</v>
      </c>
      <c r="T3914">
        <v>1.449943E-3</v>
      </c>
      <c r="U3914">
        <v>-0.42405700000000002</v>
      </c>
      <c r="V3914">
        <v>3.9676450000000002E-2</v>
      </c>
      <c r="W3914">
        <v>0.22278680000000001</v>
      </c>
      <c r="X3914">
        <v>0.97405949999999997</v>
      </c>
      <c r="Y3914">
        <v>-0.1432117</v>
      </c>
      <c r="Z3914">
        <v>-9.6867899999999996E-4</v>
      </c>
      <c r="AA3914">
        <v>0.9896916</v>
      </c>
      <c r="AB3914">
        <v>57</v>
      </c>
      <c r="AC3914">
        <v>-3.0887449999999999</v>
      </c>
      <c r="AD3914">
        <v>1.449943E-3</v>
      </c>
      <c r="AE3914">
        <v>-0.42405700000000002</v>
      </c>
      <c r="AF3914">
        <v>-0.44649512903926802</v>
      </c>
      <c r="AG3914">
        <v>1.449943E-3</v>
      </c>
      <c r="AH3914">
        <v>3.08558064379302</v>
      </c>
      <c r="AI3914">
        <v>89.973353713440403</v>
      </c>
      <c r="AJ3914">
        <v>98.233762890674399</v>
      </c>
      <c r="AK3914">
        <v>3.1177183823977099</v>
      </c>
      <c r="AL3914">
        <v>77.127232488380201</v>
      </c>
      <c r="AM3914">
        <v>87.667455519489295</v>
      </c>
      <c r="AN3914">
        <v>1.00000004423954</v>
      </c>
    </row>
    <row r="3915" spans="1:40" x14ac:dyDescent="0.25">
      <c r="A3915" t="str">
        <f>"20190303170617335"</f>
        <v>20190303170617335</v>
      </c>
      <c r="B3915" t="str">
        <f>"1551603977328438"</f>
        <v>1551603977328438</v>
      </c>
      <c r="C3915" t="s">
        <v>40</v>
      </c>
      <c r="D3915">
        <v>5.7266620000000001</v>
      </c>
      <c r="E3915">
        <v>0.43256280000000003</v>
      </c>
      <c r="F3915" t="s">
        <v>46</v>
      </c>
      <c r="G3915">
        <v>0</v>
      </c>
      <c r="H3915">
        <v>0</v>
      </c>
      <c r="I3915">
        <v>0</v>
      </c>
      <c r="J3915">
        <v>-343.83620000000002</v>
      </c>
      <c r="K3915">
        <v>1.119998</v>
      </c>
      <c r="L3915">
        <v>141.26589999999999</v>
      </c>
      <c r="M3915">
        <v>-0.9998513</v>
      </c>
      <c r="N3915">
        <v>-1.55357E-2</v>
      </c>
      <c r="O3915">
        <v>7.4865829999999998E-3</v>
      </c>
      <c r="P3915">
        <v>-0.97704170000000001</v>
      </c>
      <c r="Q3915">
        <v>0.20790710000000001</v>
      </c>
      <c r="R3915">
        <v>4.6523420000000003E-2</v>
      </c>
      <c r="S3915">
        <v>-3.0891419999999998</v>
      </c>
      <c r="T3915">
        <v>8.7671280000000008E-3</v>
      </c>
      <c r="U3915">
        <v>-0.4338379</v>
      </c>
      <c r="V3915">
        <v>3.9482829999999997E-2</v>
      </c>
      <c r="W3915">
        <v>0.2230173</v>
      </c>
      <c r="X3915">
        <v>0.97401459999999995</v>
      </c>
      <c r="Y3915">
        <v>-0.14648699999999901</v>
      </c>
      <c r="Z3915">
        <v>-7.9977199999999905E-4</v>
      </c>
      <c r="AA3915">
        <v>0.98921230000000004</v>
      </c>
      <c r="AB3915">
        <v>57</v>
      </c>
      <c r="AC3915">
        <v>-3.0891419999999998</v>
      </c>
      <c r="AD3915">
        <v>8.7671280000000008E-3</v>
      </c>
      <c r="AE3915">
        <v>-0.4338379</v>
      </c>
      <c r="AF3915">
        <v>-0.45695203859413203</v>
      </c>
      <c r="AG3915">
        <v>8.7671280000000008E-3</v>
      </c>
      <c r="AH3915">
        <v>3.0857826771857502</v>
      </c>
      <c r="AI3915">
        <v>89.838971322415006</v>
      </c>
      <c r="AJ3915">
        <v>98.423317936024404</v>
      </c>
      <c r="AK3915">
        <v>3.1194449440450698</v>
      </c>
      <c r="AL3915">
        <v>77.113684721839604</v>
      </c>
      <c r="AM3915">
        <v>87.678718908265495</v>
      </c>
      <c r="AN3915">
        <v>1.0000000254886201</v>
      </c>
    </row>
    <row r="3916" spans="1:40" x14ac:dyDescent="0.25">
      <c r="A3916" t="str">
        <f>"20190303170617356"</f>
        <v>20190303170617356</v>
      </c>
      <c r="B3916" t="str">
        <f>"1551603977348914"</f>
        <v>1551603977348914</v>
      </c>
      <c r="C3916" t="s">
        <v>40</v>
      </c>
      <c r="D3916">
        <v>5.726153</v>
      </c>
      <c r="E3916">
        <v>0.4318497</v>
      </c>
      <c r="F3916" t="s">
        <v>46</v>
      </c>
      <c r="G3916">
        <v>0</v>
      </c>
      <c r="H3916">
        <v>0</v>
      </c>
      <c r="I3916">
        <v>0</v>
      </c>
      <c r="J3916">
        <v>-344.39</v>
      </c>
      <c r="K3916">
        <v>1.120055</v>
      </c>
      <c r="L3916">
        <v>141.27010000000001</v>
      </c>
      <c r="M3916">
        <v>-0.99985029999999997</v>
      </c>
      <c r="N3916">
        <v>-1.5532600000000001E-2</v>
      </c>
      <c r="O3916">
        <v>7.6446379999999996E-3</v>
      </c>
      <c r="P3916">
        <v>-0.97725649999999997</v>
      </c>
      <c r="Q3916">
        <v>0.20686969999999999</v>
      </c>
      <c r="R3916">
        <v>4.6636230000000001E-2</v>
      </c>
      <c r="S3916">
        <v>-3.0892940000000002</v>
      </c>
      <c r="T3916">
        <v>9.9771019999999998E-3</v>
      </c>
      <c r="U3916">
        <v>-0.43984990000000002</v>
      </c>
      <c r="V3916">
        <v>3.9406030000000002E-2</v>
      </c>
      <c r="W3916">
        <v>0.22198619999999999</v>
      </c>
      <c r="X3916">
        <v>0.97425320000000004</v>
      </c>
      <c r="Y3916">
        <v>-0.14852379999999901</v>
      </c>
      <c r="Z3916">
        <v>-7.7799270000000005E-4</v>
      </c>
      <c r="AA3916">
        <v>0.98890849999999997</v>
      </c>
      <c r="AB3916">
        <v>57</v>
      </c>
      <c r="AC3916">
        <v>-3.0892940000000002</v>
      </c>
      <c r="AD3916">
        <v>9.9771019999999998E-3</v>
      </c>
      <c r="AE3916">
        <v>-0.43984990000000002</v>
      </c>
      <c r="AF3916">
        <v>-0.46345168623786298</v>
      </c>
      <c r="AG3916">
        <v>9.9771019999999998E-3</v>
      </c>
      <c r="AH3916">
        <v>3.08580926264302</v>
      </c>
      <c r="AI3916">
        <v>89.816805327471698</v>
      </c>
      <c r="AJ3916">
        <v>98.541302888442104</v>
      </c>
      <c r="AK3916">
        <v>3.1204335938222498</v>
      </c>
      <c r="AL3916">
        <v>77.174281128175096</v>
      </c>
      <c r="AM3916">
        <v>87.683795993738599</v>
      </c>
      <c r="AN3916">
        <v>1.0000000029505201</v>
      </c>
    </row>
    <row r="3917" spans="1:40" x14ac:dyDescent="0.25">
      <c r="A3917" t="str">
        <f>"20190303170617379"</f>
        <v>20190303170617379</v>
      </c>
      <c r="B3917" t="str">
        <f>"1551603977368434"</f>
        <v>1551603977368434</v>
      </c>
      <c r="C3917" t="s">
        <v>40</v>
      </c>
      <c r="D3917">
        <v>5.7409270000000001</v>
      </c>
      <c r="E3917">
        <v>0.43121609999999999</v>
      </c>
      <c r="F3917" t="s">
        <v>46</v>
      </c>
      <c r="G3917">
        <v>0</v>
      </c>
      <c r="H3917">
        <v>0</v>
      </c>
      <c r="I3917">
        <v>0</v>
      </c>
      <c r="J3917">
        <v>-344.94009999999997</v>
      </c>
      <c r="K3917">
        <v>1.1201209999999999</v>
      </c>
      <c r="L3917">
        <v>141.27430000000001</v>
      </c>
      <c r="M3917">
        <v>-0.99984960000000001</v>
      </c>
      <c r="N3917">
        <v>-1.552943E-2</v>
      </c>
      <c r="O3917">
        <v>7.7310469999999996E-3</v>
      </c>
      <c r="P3917">
        <v>-0.97743769999999996</v>
      </c>
      <c r="Q3917">
        <v>0.20603540000000001</v>
      </c>
      <c r="R3917">
        <v>4.6531570000000001E-2</v>
      </c>
      <c r="S3917">
        <v>-3.0895389999999998</v>
      </c>
      <c r="T3917">
        <v>7.0450309999999898E-3</v>
      </c>
      <c r="U3917">
        <v>-0.44540410000000002</v>
      </c>
      <c r="V3917">
        <v>3.9177120000000003E-2</v>
      </c>
      <c r="W3917">
        <v>0.22115899999999999</v>
      </c>
      <c r="X3917">
        <v>0.9744505</v>
      </c>
      <c r="Y3917">
        <v>-0.15033959999999999</v>
      </c>
      <c r="Z3917">
        <v>-8.659106E-4</v>
      </c>
      <c r="AA3917">
        <v>0.98863400000000001</v>
      </c>
      <c r="AB3917">
        <v>57</v>
      </c>
      <c r="AC3917">
        <v>-3.0895389999999998</v>
      </c>
      <c r="AD3917">
        <v>7.0450309999999898E-3</v>
      </c>
      <c r="AE3917">
        <v>-0.44540410000000002</v>
      </c>
      <c r="AF3917">
        <v>-0.46927664550065201</v>
      </c>
      <c r="AG3917">
        <v>7.0450309999999898E-3</v>
      </c>
      <c r="AH3917">
        <v>3.0859870723384901</v>
      </c>
      <c r="AI3917">
        <v>89.870685719128403</v>
      </c>
      <c r="AJ3917">
        <v>98.646551937283206</v>
      </c>
      <c r="AK3917">
        <v>3.12147183442594</v>
      </c>
      <c r="AL3917">
        <v>77.222883771630194</v>
      </c>
      <c r="AM3917">
        <v>87.697702063904899</v>
      </c>
      <c r="AN3917">
        <v>0.99999996348137099</v>
      </c>
    </row>
    <row r="3918" spans="1:40" x14ac:dyDescent="0.25">
      <c r="A3918" t="str">
        <f>"20190303170617401"</f>
        <v>20190303170617401</v>
      </c>
      <c r="B3918" t="str">
        <f>"1551603977388930"</f>
        <v>1551603977388930</v>
      </c>
      <c r="C3918" t="s">
        <v>40</v>
      </c>
      <c r="D3918">
        <v>5.7462770000000001</v>
      </c>
      <c r="E3918">
        <v>0.4306122</v>
      </c>
      <c r="F3918" t="s">
        <v>46</v>
      </c>
      <c r="G3918">
        <v>0</v>
      </c>
      <c r="H3918">
        <v>0</v>
      </c>
      <c r="I3918">
        <v>0</v>
      </c>
      <c r="J3918">
        <v>-345.49900000000002</v>
      </c>
      <c r="K3918">
        <v>1.1202030000000001</v>
      </c>
      <c r="L3918">
        <v>141.27860000000001</v>
      </c>
      <c r="M3918">
        <v>-0.99984969999999995</v>
      </c>
      <c r="N3918">
        <v>-1.5526150000000001E-2</v>
      </c>
      <c r="O3918">
        <v>7.7299150000000004E-3</v>
      </c>
      <c r="P3918">
        <v>-0.97724089999999997</v>
      </c>
      <c r="Q3918">
        <v>0.20705680000000001</v>
      </c>
      <c r="R3918">
        <v>4.6132140000000002E-2</v>
      </c>
      <c r="S3918">
        <v>-3.0896910000000002</v>
      </c>
      <c r="T3918">
        <v>5.0340890000000003E-3</v>
      </c>
      <c r="U3918">
        <v>-0.4510498</v>
      </c>
      <c r="V3918">
        <v>3.8735609999999997E-2</v>
      </c>
      <c r="W3918">
        <v>0.22218199999999999</v>
      </c>
      <c r="X3918">
        <v>0.97423550000000003</v>
      </c>
      <c r="Y3918">
        <v>-0.15210019999999999</v>
      </c>
      <c r="Z3918">
        <v>-9.3189520000000004E-4</v>
      </c>
      <c r="AA3918">
        <v>0.98836460000000004</v>
      </c>
      <c r="AB3918">
        <v>57</v>
      </c>
      <c r="AC3918">
        <v>-3.0896910000000002</v>
      </c>
      <c r="AD3918">
        <v>5.0340890000000003E-3</v>
      </c>
      <c r="AE3918">
        <v>-0.4510498</v>
      </c>
      <c r="AF3918">
        <v>-0.47492101178187202</v>
      </c>
      <c r="AG3918">
        <v>5.0340890000000003E-3</v>
      </c>
      <c r="AH3918">
        <v>3.0861036512441702</v>
      </c>
      <c r="AI3918">
        <v>89.907625933068104</v>
      </c>
      <c r="AJ3918">
        <v>98.748625807421305</v>
      </c>
      <c r="AK3918">
        <v>3.1224367176464201</v>
      </c>
      <c r="AL3918">
        <v>77.162775886724901</v>
      </c>
      <c r="AM3918">
        <v>87.7231187264955</v>
      </c>
      <c r="AN3918">
        <v>1.00000004903316</v>
      </c>
    </row>
    <row r="3919" spans="1:40" x14ac:dyDescent="0.25">
      <c r="A3919" t="str">
        <f>"20190303170617426"</f>
        <v>20190303170617426</v>
      </c>
      <c r="B3919" t="str">
        <f>"1551603977419186"</f>
        <v>1551603977419186</v>
      </c>
      <c r="C3919" t="s">
        <v>40</v>
      </c>
      <c r="D3919">
        <v>5.7513629999999996</v>
      </c>
      <c r="E3919">
        <v>0.42981740000000002</v>
      </c>
      <c r="F3919" t="s">
        <v>46</v>
      </c>
      <c r="G3919">
        <v>0</v>
      </c>
      <c r="H3919">
        <v>0</v>
      </c>
      <c r="I3919">
        <v>0</v>
      </c>
      <c r="J3919">
        <v>-346.10919999999999</v>
      </c>
      <c r="K3919">
        <v>1.1203240000000001</v>
      </c>
      <c r="L3919">
        <v>141.28319999999999</v>
      </c>
      <c r="M3919">
        <v>-0.99985069999999998</v>
      </c>
      <c r="N3919">
        <v>-1.5522579999999999E-2</v>
      </c>
      <c r="O3919">
        <v>7.6046689999999997E-3</v>
      </c>
      <c r="P3919">
        <v>-0.97689590000000004</v>
      </c>
      <c r="Q3919">
        <v>0.2088245</v>
      </c>
      <c r="R3919">
        <v>4.5465419999999999E-2</v>
      </c>
      <c r="S3919">
        <v>-3.089569</v>
      </c>
      <c r="T3919">
        <v>8.6972709999999995E-3</v>
      </c>
      <c r="U3919">
        <v>-0.45701599999999998</v>
      </c>
      <c r="V3919">
        <v>3.8134719999999997E-2</v>
      </c>
      <c r="W3919">
        <v>0.22395109999999999</v>
      </c>
      <c r="X3919">
        <v>0.973854</v>
      </c>
      <c r="Y3919">
        <v>-0.15385090000000001</v>
      </c>
      <c r="Z3919">
        <v>-8.4653919999999995E-4</v>
      </c>
      <c r="AA3919">
        <v>0.98809369999999996</v>
      </c>
      <c r="AB3919">
        <v>56</v>
      </c>
      <c r="AC3919">
        <v>-3.089569</v>
      </c>
      <c r="AD3919">
        <v>8.6972709999999995E-3</v>
      </c>
      <c r="AE3919">
        <v>-0.45701599999999998</v>
      </c>
      <c r="AF3919">
        <v>-0.48049703392889598</v>
      </c>
      <c r="AG3919">
        <v>8.6972709999999995E-3</v>
      </c>
      <c r="AH3919">
        <v>3.0859798358246899</v>
      </c>
      <c r="AI3919">
        <v>89.840445219507004</v>
      </c>
      <c r="AJ3919">
        <v>98.850075700804993</v>
      </c>
      <c r="AK3919">
        <v>3.1231754016151401</v>
      </c>
      <c r="AL3919">
        <v>77.058793027432301</v>
      </c>
      <c r="AM3919">
        <v>87.757525527025194</v>
      </c>
      <c r="AN3919">
        <v>0.999999982688344</v>
      </c>
    </row>
    <row r="3920" spans="1:40" x14ac:dyDescent="0.25">
      <c r="A3920" t="str">
        <f>"20190303170617447"</f>
        <v>20190303170617447</v>
      </c>
      <c r="B3920" t="str">
        <f>"1551603977438706"</f>
        <v>1551603977438706</v>
      </c>
      <c r="C3920" t="s">
        <v>40</v>
      </c>
      <c r="D3920">
        <v>5.7550809999999997</v>
      </c>
      <c r="E3920">
        <v>0.4170777</v>
      </c>
      <c r="F3920" t="s">
        <v>46</v>
      </c>
      <c r="G3920">
        <v>0</v>
      </c>
      <c r="H3920">
        <v>0</v>
      </c>
      <c r="I3920">
        <v>0</v>
      </c>
      <c r="J3920">
        <v>-346.66950000000003</v>
      </c>
      <c r="K3920">
        <v>1.1204499999999999</v>
      </c>
      <c r="L3920">
        <v>141.28729999999999</v>
      </c>
      <c r="M3920">
        <v>-0.99985239999999997</v>
      </c>
      <c r="N3920">
        <v>-1.5519420000000001E-2</v>
      </c>
      <c r="O3920">
        <v>7.3714669999999996E-3</v>
      </c>
      <c r="P3920">
        <v>-0.97676719999999895</v>
      </c>
      <c r="Q3920">
        <v>0.2096566</v>
      </c>
      <c r="R3920">
        <v>4.4385439999999998E-2</v>
      </c>
      <c r="S3920">
        <v>-3.0894469999999998</v>
      </c>
      <c r="T3920">
        <v>1.4815450000000001E-2</v>
      </c>
      <c r="U3920">
        <v>-0.4653931</v>
      </c>
      <c r="V3920">
        <v>3.7220330000000003E-2</v>
      </c>
      <c r="W3920">
        <v>0.22478880000000001</v>
      </c>
      <c r="X3920">
        <v>0.97369640000000002</v>
      </c>
      <c r="Y3920">
        <v>-0.15624749999999901</v>
      </c>
      <c r="Z3920">
        <v>-6.9785159999999997E-4</v>
      </c>
      <c r="AA3920">
        <v>0.98771770000000003</v>
      </c>
      <c r="AB3920">
        <v>56</v>
      </c>
      <c r="AC3920">
        <v>-3.0894469999999998</v>
      </c>
      <c r="AD3920">
        <v>1.4815450000000001E-2</v>
      </c>
      <c r="AE3920">
        <v>-0.4653931</v>
      </c>
      <c r="AF3920">
        <v>-0.48814597518252201</v>
      </c>
      <c r="AG3920">
        <v>1.4815450000000001E-2</v>
      </c>
      <c r="AH3920">
        <v>3.0858626071066499</v>
      </c>
      <c r="AI3920">
        <v>89.728299305148994</v>
      </c>
      <c r="AJ3920">
        <v>98.989011587069797</v>
      </c>
      <c r="AK3920">
        <v>3.1242685576922899</v>
      </c>
      <c r="AL3920">
        <v>77.009541085768802</v>
      </c>
      <c r="AM3920">
        <v>87.810888466486901</v>
      </c>
      <c r="AN3920">
        <v>1.00000001847185</v>
      </c>
    </row>
    <row r="3921" spans="1:40" x14ac:dyDescent="0.25">
      <c r="A3921" t="str">
        <f>"20190303170617467"</f>
        <v>20190303170617467</v>
      </c>
      <c r="B3921" t="str">
        <f>"1551603977459203"</f>
        <v>1551603977459203</v>
      </c>
      <c r="C3921" t="s">
        <v>40</v>
      </c>
      <c r="D3921">
        <v>5.7538619999999998</v>
      </c>
      <c r="E3921">
        <v>0.41675830000000003</v>
      </c>
      <c r="F3921" t="s">
        <v>91</v>
      </c>
      <c r="G3921">
        <v>-463.21980000000002</v>
      </c>
      <c r="H3921">
        <v>2.1781269999999999</v>
      </c>
      <c r="I3921">
        <v>119.8177</v>
      </c>
      <c r="J3921">
        <v>-347.18709999999999</v>
      </c>
      <c r="K3921">
        <v>1.1205639999999999</v>
      </c>
      <c r="L3921">
        <v>141.29089999999999</v>
      </c>
      <c r="M3921">
        <v>-0.99985460000000004</v>
      </c>
      <c r="N3921">
        <v>-1.551658E-2</v>
      </c>
      <c r="O3921">
        <v>7.0717410000000003E-3</v>
      </c>
      <c r="P3921">
        <v>-0.9768635</v>
      </c>
      <c r="Q3921">
        <v>0.20947640000000001</v>
      </c>
      <c r="R3921">
        <v>4.3095759999999997E-2</v>
      </c>
      <c r="S3921">
        <v>-3.0912169999999999</v>
      </c>
      <c r="T3921">
        <v>2.805305E-2</v>
      </c>
      <c r="U3921">
        <v>-0.56942749999999998</v>
      </c>
      <c r="V3921">
        <v>3.6161930000000002E-2</v>
      </c>
      <c r="W3921">
        <v>0.22461700000000001</v>
      </c>
      <c r="X3921">
        <v>0.97377590000000003</v>
      </c>
      <c r="Y3921">
        <v>-0.18811459999999999</v>
      </c>
      <c r="Z3921">
        <v>-4.5280230000000003E-4</v>
      </c>
      <c r="AA3921">
        <v>0.98214699999999999</v>
      </c>
      <c r="AB3921">
        <v>56</v>
      </c>
      <c r="AC3921">
        <v>-116.03270000000001</v>
      </c>
      <c r="AD3921">
        <v>1.057563</v>
      </c>
      <c r="AE3921">
        <v>-21.473199999999899</v>
      </c>
      <c r="AF3921">
        <v>-22.2915244643217</v>
      </c>
      <c r="AG3921">
        <v>1.057563</v>
      </c>
      <c r="AH3921">
        <v>115.868620061952</v>
      </c>
      <c r="AI3921">
        <v>89.486477554516298</v>
      </c>
      <c r="AJ3921">
        <v>100.889865185191</v>
      </c>
      <c r="AK3921">
        <v>117.998167856553</v>
      </c>
      <c r="AL3921">
        <v>77.019642488048405</v>
      </c>
      <c r="AM3921">
        <v>87.873253677525497</v>
      </c>
      <c r="AN3921">
        <v>0.99999999264556705</v>
      </c>
    </row>
    <row r="3922" spans="1:40" x14ac:dyDescent="0.25">
      <c r="A3922" t="str">
        <f>"20190303170617490"</f>
        <v>20190303170617490</v>
      </c>
      <c r="B3922" t="str">
        <f>"1551603977478722"</f>
        <v>1551603977478722</v>
      </c>
      <c r="C3922" t="s">
        <v>40</v>
      </c>
      <c r="D3922">
        <v>5.7574630000000004</v>
      </c>
      <c r="E3922">
        <v>0.41681319999999999</v>
      </c>
      <c r="F3922" t="s">
        <v>91</v>
      </c>
      <c r="G3922">
        <v>-462.52440000000001</v>
      </c>
      <c r="H3922">
        <v>2.0995200000000001</v>
      </c>
      <c r="I3922">
        <v>119.8177</v>
      </c>
      <c r="J3922">
        <v>-347.75779999999997</v>
      </c>
      <c r="K3922">
        <v>1.12069</v>
      </c>
      <c r="L3922">
        <v>141.2946</v>
      </c>
      <c r="M3922">
        <v>-0.99985760000000001</v>
      </c>
      <c r="N3922">
        <v>-1.551344E-2</v>
      </c>
      <c r="O3922">
        <v>6.6458250000000002E-3</v>
      </c>
      <c r="P3922">
        <v>-0.97704550000000001</v>
      </c>
      <c r="Q3922">
        <v>0.2088295</v>
      </c>
      <c r="R3922">
        <v>4.2101260000000001E-2</v>
      </c>
      <c r="S3922">
        <v>-3.0908199999999999</v>
      </c>
      <c r="T3922">
        <v>2.623487E-2</v>
      </c>
      <c r="U3922">
        <v>-0.57543949999999999</v>
      </c>
      <c r="V3922">
        <v>3.5513929999999999E-2</v>
      </c>
      <c r="W3922">
        <v>0.2239804</v>
      </c>
      <c r="X3922">
        <v>0.97394639999999999</v>
      </c>
      <c r="Y3922">
        <v>-0.18956590000000001</v>
      </c>
      <c r="Z3922">
        <v>-5.2720909999999998E-4</v>
      </c>
      <c r="AA3922">
        <v>0.98186779999999996</v>
      </c>
      <c r="AB3922">
        <v>56</v>
      </c>
      <c r="AC3922">
        <v>-114.7666</v>
      </c>
      <c r="AD3922">
        <v>0.97882999999999998</v>
      </c>
      <c r="AE3922">
        <v>-21.476900000000001</v>
      </c>
      <c r="AF3922">
        <v>-22.237673236511299</v>
      </c>
      <c r="AG3922">
        <v>0.97882999999999998</v>
      </c>
      <c r="AH3922">
        <v>114.61326094239</v>
      </c>
      <c r="AI3922">
        <v>89.519647084768494</v>
      </c>
      <c r="AJ3922">
        <v>100.980302810371</v>
      </c>
      <c r="AK3922">
        <v>116.75475066561999</v>
      </c>
      <c r="AL3922">
        <v>77.057071053601305</v>
      </c>
      <c r="AM3922">
        <v>87.911694949631894</v>
      </c>
      <c r="AN3922">
        <v>1.00000002444058</v>
      </c>
    </row>
    <row r="3923" spans="1:40" x14ac:dyDescent="0.25">
      <c r="A3923" t="str">
        <f>"20190303170617513"</f>
        <v>20190303170617513</v>
      </c>
      <c r="B3923" t="str">
        <f>"1551603977508979"</f>
        <v>1551603977508979</v>
      </c>
      <c r="C3923" t="s">
        <v>40</v>
      </c>
      <c r="D3923">
        <v>5.7791180000000004</v>
      </c>
      <c r="E3923">
        <v>0.4167109</v>
      </c>
      <c r="F3923" t="s">
        <v>91</v>
      </c>
      <c r="G3923">
        <v>-462.5847</v>
      </c>
      <c r="H3923">
        <v>1.944771</v>
      </c>
      <c r="I3923">
        <v>119.8177</v>
      </c>
      <c r="J3923">
        <v>-348.32990000000001</v>
      </c>
      <c r="K3923">
        <v>1.120822</v>
      </c>
      <c r="L3923">
        <v>141.29810000000001</v>
      </c>
      <c r="M3923">
        <v>-0.99986109999999995</v>
      </c>
      <c r="N3923">
        <v>-1.551028E-2</v>
      </c>
      <c r="O3923">
        <v>6.1185859999999996E-3</v>
      </c>
      <c r="P3923">
        <v>-0.97702089999999997</v>
      </c>
      <c r="Q3923">
        <v>0.20912790000000001</v>
      </c>
      <c r="R3923">
        <v>4.1180670000000003E-2</v>
      </c>
      <c r="S3923">
        <v>-3.0906370000000001</v>
      </c>
      <c r="T3923">
        <v>2.2181389999999999E-2</v>
      </c>
      <c r="U3923">
        <v>-0.57806400000000002</v>
      </c>
      <c r="V3923">
        <v>3.5038010000000001E-2</v>
      </c>
      <c r="W3923">
        <v>0.2242856</v>
      </c>
      <c r="X3923">
        <v>0.97389329999999996</v>
      </c>
      <c r="Y3923">
        <v>-0.1898647</v>
      </c>
      <c r="Z3923">
        <v>-6.7207499999999995E-4</v>
      </c>
      <c r="AA3923">
        <v>0.98180999999999996</v>
      </c>
      <c r="AB3923">
        <v>56</v>
      </c>
      <c r="AC3923">
        <v>-114.2548</v>
      </c>
      <c r="AD3923">
        <v>0.82394899999999904</v>
      </c>
      <c r="AE3923">
        <v>-21.480399999999999</v>
      </c>
      <c r="AF3923">
        <v>-22.178045650508398</v>
      </c>
      <c r="AG3923">
        <v>0.82394899999999904</v>
      </c>
      <c r="AH3923">
        <v>114.115483247063</v>
      </c>
      <c r="AI3923">
        <v>89.593911798130193</v>
      </c>
      <c r="AJ3923">
        <v>100.998182203798</v>
      </c>
      <c r="AK3923">
        <v>116.253550988954</v>
      </c>
      <c r="AL3923">
        <v>77.039126585908704</v>
      </c>
      <c r="AM3923">
        <v>87.939543674862904</v>
      </c>
      <c r="AN3923">
        <v>0.99999992614850197</v>
      </c>
    </row>
    <row r="3924" spans="1:40" x14ac:dyDescent="0.25">
      <c r="A3924" t="str">
        <f>"20190303170617537"</f>
        <v>20190303170617537</v>
      </c>
      <c r="B3924" t="str">
        <f>"1551603977528498"</f>
        <v>1551603977528498</v>
      </c>
      <c r="C3924" t="s">
        <v>40</v>
      </c>
      <c r="D3924">
        <v>5.7952079999999997</v>
      </c>
      <c r="E3924">
        <v>0.41650740000000003</v>
      </c>
      <c r="F3924" t="s">
        <v>91</v>
      </c>
      <c r="G3924">
        <v>-462.4074</v>
      </c>
      <c r="H3924">
        <v>1.9329460000000001</v>
      </c>
      <c r="I3924">
        <v>119.8177</v>
      </c>
      <c r="J3924">
        <v>-348.91500000000002</v>
      </c>
      <c r="K3924">
        <v>1.120965</v>
      </c>
      <c r="L3924">
        <v>141.3013</v>
      </c>
      <c r="M3924">
        <v>-0.9998648</v>
      </c>
      <c r="N3924">
        <v>-1.5506900000000001E-2</v>
      </c>
      <c r="O3924">
        <v>5.4703740000000001E-3</v>
      </c>
      <c r="P3924">
        <v>-0.97680929999999999</v>
      </c>
      <c r="Q3924">
        <v>0.21023459999999999</v>
      </c>
      <c r="R3924">
        <v>4.056096E-2</v>
      </c>
      <c r="S3924">
        <v>-3.0903930000000002</v>
      </c>
      <c r="T3924">
        <v>2.2001389999999999E-2</v>
      </c>
      <c r="U3924">
        <v>-0.58190920000000002</v>
      </c>
      <c r="V3924">
        <v>3.497629E-2</v>
      </c>
      <c r="W3924">
        <v>0.2253975</v>
      </c>
      <c r="X3924">
        <v>0.97363880000000003</v>
      </c>
      <c r="Y3924">
        <v>-0.19042239999999999</v>
      </c>
      <c r="Z3924">
        <v>-6.9474309999999998E-4</v>
      </c>
      <c r="AA3924">
        <v>0.98170199999999996</v>
      </c>
      <c r="AB3924">
        <v>56</v>
      </c>
      <c r="AC3924">
        <v>-113.49239999999899</v>
      </c>
      <c r="AD3924">
        <v>0.81198099999999895</v>
      </c>
      <c r="AE3924">
        <v>-21.483599999999999</v>
      </c>
      <c r="AF3924">
        <v>-22.103106753440301</v>
      </c>
      <c r="AG3924">
        <v>0.81198099999999895</v>
      </c>
      <c r="AH3924">
        <v>113.36756180677401</v>
      </c>
      <c r="AI3924">
        <v>89.597216937598304</v>
      </c>
      <c r="AJ3924">
        <v>101.032471886751</v>
      </c>
      <c r="AK3924">
        <v>115.505024614997</v>
      </c>
      <c r="AL3924">
        <v>76.973745563199998</v>
      </c>
      <c r="AM3924">
        <v>87.942632906583597</v>
      </c>
      <c r="AN3924">
        <v>0.99999994336692499</v>
      </c>
    </row>
    <row r="3925" spans="1:40" x14ac:dyDescent="0.25">
      <c r="A3925" t="str">
        <f>"20190303170617557"</f>
        <v>20190303170617557</v>
      </c>
      <c r="B3925" t="str">
        <f>"1551603977548994"</f>
        <v>1551603977548994</v>
      </c>
      <c r="C3925" t="s">
        <v>40</v>
      </c>
      <c r="D3925">
        <v>5.7958119999999997</v>
      </c>
      <c r="E3925">
        <v>0.41637259999999998</v>
      </c>
      <c r="F3925" t="s">
        <v>91</v>
      </c>
      <c r="G3925">
        <v>-462.36610000000002</v>
      </c>
      <c r="H3925">
        <v>2.07369</v>
      </c>
      <c r="I3925">
        <v>119.8177</v>
      </c>
      <c r="J3925">
        <v>-349.43630000000002</v>
      </c>
      <c r="K3925">
        <v>1.121097</v>
      </c>
      <c r="L3925">
        <v>141.3038</v>
      </c>
      <c r="M3925">
        <v>-0.99986839999999999</v>
      </c>
      <c r="N3925">
        <v>-1.5503980000000001E-2</v>
      </c>
      <c r="O3925">
        <v>4.7958899999999997E-3</v>
      </c>
      <c r="P3925">
        <v>-0.97671430000000004</v>
      </c>
      <c r="Q3925">
        <v>0.2107406</v>
      </c>
      <c r="R3925">
        <v>4.02244E-2</v>
      </c>
      <c r="S3925">
        <v>-3.089966</v>
      </c>
      <c r="T3925">
        <v>2.5949239999999998E-2</v>
      </c>
      <c r="U3925">
        <v>-0.5851288</v>
      </c>
      <c r="V3925">
        <v>3.5227899999999999E-2</v>
      </c>
      <c r="W3925">
        <v>0.22590940000000001</v>
      </c>
      <c r="X3925">
        <v>0.97351120000000002</v>
      </c>
      <c r="Y3925">
        <v>-0.19077250000000001</v>
      </c>
      <c r="Z3925">
        <v>-5.843663E-4</v>
      </c>
      <c r="AA3925">
        <v>0.98163409999999995</v>
      </c>
      <c r="AB3925">
        <v>56</v>
      </c>
      <c r="AC3925">
        <v>-112.9298</v>
      </c>
      <c r="AD3925">
        <v>0.95259300000000002</v>
      </c>
      <c r="AE3925">
        <v>-21.4861</v>
      </c>
      <c r="AF3925">
        <v>-22.026004312683799</v>
      </c>
      <c r="AG3925">
        <v>0.95259300000000002</v>
      </c>
      <c r="AH3925">
        <v>112.81769664081099</v>
      </c>
      <c r="AI3925">
        <v>89.525190141054594</v>
      </c>
      <c r="AJ3925">
        <v>101.04719991482</v>
      </c>
      <c r="AK3925">
        <v>114.95166364496001</v>
      </c>
      <c r="AL3925">
        <v>76.943640880490804</v>
      </c>
      <c r="AM3925">
        <v>87.927574254019902</v>
      </c>
      <c r="AN3925">
        <v>1.0000000592361</v>
      </c>
    </row>
    <row r="3926" spans="1:40" x14ac:dyDescent="0.25">
      <c r="A3926" t="str">
        <f>"20190303170617580"</f>
        <v>20190303170617580</v>
      </c>
      <c r="B3926" t="str">
        <f>"1551603977568514"</f>
        <v>1551603977568514</v>
      </c>
      <c r="C3926" t="s">
        <v>40</v>
      </c>
      <c r="D3926">
        <v>5.7784690000000003</v>
      </c>
      <c r="E3926">
        <v>0.4161514</v>
      </c>
      <c r="F3926" t="s">
        <v>91</v>
      </c>
      <c r="G3926">
        <v>-462.5471</v>
      </c>
      <c r="H3926">
        <v>2.1398290000000002</v>
      </c>
      <c r="I3926">
        <v>119.8177</v>
      </c>
      <c r="J3926">
        <v>-349.9932</v>
      </c>
      <c r="K3926">
        <v>1.1212390000000001</v>
      </c>
      <c r="L3926">
        <v>141.30600000000001</v>
      </c>
      <c r="M3926">
        <v>-0.99987190000000004</v>
      </c>
      <c r="N3926">
        <v>-1.550121E-2</v>
      </c>
      <c r="O3926">
        <v>3.978713E-3</v>
      </c>
      <c r="P3926">
        <v>-0.97685469999999996</v>
      </c>
      <c r="Q3926">
        <v>0.21011440000000001</v>
      </c>
      <c r="R3926">
        <v>4.008507E-2</v>
      </c>
      <c r="S3926">
        <v>-3.089661</v>
      </c>
      <c r="T3926">
        <v>2.782774E-2</v>
      </c>
      <c r="U3926">
        <v>-0.58689880000000005</v>
      </c>
      <c r="V3926">
        <v>3.5809590000000002E-2</v>
      </c>
      <c r="W3926">
        <v>0.22529579999999999</v>
      </c>
      <c r="X3926">
        <v>0.9736321</v>
      </c>
      <c r="Y3926">
        <v>-0.1905309</v>
      </c>
      <c r="Z3926">
        <v>-5.4283139999999896E-4</v>
      </c>
      <c r="AA3926">
        <v>0.98168100000000003</v>
      </c>
      <c r="AB3926">
        <v>56</v>
      </c>
      <c r="AC3926">
        <v>-112.5539</v>
      </c>
      <c r="AD3926">
        <v>1.0185900000000001</v>
      </c>
      <c r="AE3926">
        <v>-21.488299999999999</v>
      </c>
      <c r="AF3926">
        <v>-21.934270151694498</v>
      </c>
      <c r="AG3926">
        <v>1.0185900000000001</v>
      </c>
      <c r="AH3926">
        <v>112.45861652075401</v>
      </c>
      <c r="AI3926">
        <v>89.490656878701003</v>
      </c>
      <c r="AJ3926">
        <v>101.036584517636</v>
      </c>
      <c r="AK3926">
        <v>114.582241915742</v>
      </c>
      <c r="AL3926">
        <v>76.979727065622001</v>
      </c>
      <c r="AM3926">
        <v>87.893645886810901</v>
      </c>
      <c r="AN3926">
        <v>0.99999999519200899</v>
      </c>
    </row>
    <row r="3927" spans="1:40" x14ac:dyDescent="0.25">
      <c r="A3927" t="str">
        <f>"20190303170617602"</f>
        <v>20190303170617602</v>
      </c>
      <c r="B3927" t="str">
        <f>"1551603977598770"</f>
        <v>1551603977598770</v>
      </c>
      <c r="C3927" t="s">
        <v>40</v>
      </c>
      <c r="D3927">
        <v>5.7917990000000001</v>
      </c>
      <c r="E3927">
        <v>0.41591879999999998</v>
      </c>
      <c r="F3927" t="s">
        <v>91</v>
      </c>
      <c r="G3927">
        <v>-462.68099999999998</v>
      </c>
      <c r="H3927">
        <v>2.0669559999999998</v>
      </c>
      <c r="I3927">
        <v>119.8177</v>
      </c>
      <c r="J3927">
        <v>-350.55270000000002</v>
      </c>
      <c r="K3927">
        <v>1.1213820000000001</v>
      </c>
      <c r="L3927">
        <v>141.30779999999999</v>
      </c>
      <c r="M3927">
        <v>-0.99987539999999997</v>
      </c>
      <c r="N3927">
        <v>-1.5498690000000001E-2</v>
      </c>
      <c r="O3927">
        <v>3.0649319999999998E-3</v>
      </c>
      <c r="P3927">
        <v>-0.97719940000000005</v>
      </c>
      <c r="Q3927">
        <v>0.20869740000000001</v>
      </c>
      <c r="R3927">
        <v>3.9078340000000003E-2</v>
      </c>
      <c r="S3927">
        <v>-3.0896300000000001</v>
      </c>
      <c r="T3927">
        <v>2.593005E-2</v>
      </c>
      <c r="U3927">
        <v>-0.58915709999999999</v>
      </c>
      <c r="V3927">
        <v>3.5620560000000002E-2</v>
      </c>
      <c r="W3927">
        <v>0.22389390000000001</v>
      </c>
      <c r="X3927">
        <v>0.97396240000000001</v>
      </c>
      <c r="Y3927">
        <v>-0.19032840000000001</v>
      </c>
      <c r="Z3927">
        <v>-6.2405570000000001E-4</v>
      </c>
      <c r="AA3927">
        <v>0.98172029999999999</v>
      </c>
      <c r="AB3927">
        <v>56</v>
      </c>
      <c r="AC3927">
        <v>-112.128299999999</v>
      </c>
      <c r="AD3927">
        <v>0.94557400000000003</v>
      </c>
      <c r="AE3927">
        <v>-21.490099999999899</v>
      </c>
      <c r="AF3927">
        <v>-21.832208279068499</v>
      </c>
      <c r="AG3927">
        <v>0.94557400000000003</v>
      </c>
      <c r="AH3927">
        <v>112.05421323698</v>
      </c>
      <c r="AI3927">
        <v>89.525441790399498</v>
      </c>
      <c r="AJ3927">
        <v>101.02516312423</v>
      </c>
      <c r="AK3927">
        <v>114.165170400997</v>
      </c>
      <c r="AL3927">
        <v>77.062156354038905</v>
      </c>
      <c r="AM3927">
        <v>87.905464802417299</v>
      </c>
      <c r="AN3927">
        <v>1.00000002968284</v>
      </c>
    </row>
    <row r="3928" spans="1:40" x14ac:dyDescent="0.25">
      <c r="A3928" t="str">
        <f>"20190303170617627"</f>
        <v>20190303170617627</v>
      </c>
      <c r="B3928" t="str">
        <f>"1551603977619266"</f>
        <v>1551603977619266</v>
      </c>
      <c r="C3928" t="s">
        <v>40</v>
      </c>
      <c r="D3928">
        <v>5.7964000000000002</v>
      </c>
      <c r="E3928">
        <v>0.4157361</v>
      </c>
      <c r="F3928" t="s">
        <v>91</v>
      </c>
      <c r="G3928">
        <v>-462.3784</v>
      </c>
      <c r="H3928">
        <v>1.871427</v>
      </c>
      <c r="I3928">
        <v>119.8177</v>
      </c>
      <c r="J3928">
        <v>-351.14139999999998</v>
      </c>
      <c r="K3928">
        <v>1.1215250000000001</v>
      </c>
      <c r="L3928">
        <v>141.309</v>
      </c>
      <c r="M3928">
        <v>-0.99987800000000004</v>
      </c>
      <c r="N3928">
        <v>-1.5495999999999999E-2</v>
      </c>
      <c r="O3928">
        <v>2.012074E-3</v>
      </c>
      <c r="P3928">
        <v>-0.97719929999999999</v>
      </c>
      <c r="Q3928">
        <v>0.20897930000000001</v>
      </c>
      <c r="R3928">
        <v>3.7545149999999999E-2</v>
      </c>
      <c r="S3928">
        <v>-3.0893250000000001</v>
      </c>
      <c r="T3928">
        <v>2.0721670000000001E-2</v>
      </c>
      <c r="U3928">
        <v>-0.59368900000000002</v>
      </c>
      <c r="V3928">
        <v>3.5039790000000001E-2</v>
      </c>
      <c r="W3928">
        <v>0.22418289999999999</v>
      </c>
      <c r="X3928">
        <v>0.97391689999999997</v>
      </c>
      <c r="Y3928">
        <v>-0.19070190000000001</v>
      </c>
      <c r="Z3928">
        <v>-8.1298989999999995E-4</v>
      </c>
      <c r="AA3928">
        <v>0.98164770000000001</v>
      </c>
      <c r="AB3928">
        <v>56</v>
      </c>
      <c r="AC3928">
        <v>-111.23699999999999</v>
      </c>
      <c r="AD3928">
        <v>0.74990199999999896</v>
      </c>
      <c r="AE3928">
        <v>-21.491299999999899</v>
      </c>
      <c r="AF3928">
        <v>-21.714149073922801</v>
      </c>
      <c r="AG3928">
        <v>0.74990199999999896</v>
      </c>
      <c r="AH3928">
        <v>111.18865608764</v>
      </c>
      <c r="AI3928">
        <v>89.620743832403605</v>
      </c>
      <c r="AJ3928">
        <v>101.050273027535</v>
      </c>
      <c r="AK3928">
        <v>113.291587797107</v>
      </c>
      <c r="AL3928">
        <v>77.045164852723801</v>
      </c>
      <c r="AM3928">
        <v>87.939488978417103</v>
      </c>
      <c r="AN3928">
        <v>0.99999994382062996</v>
      </c>
    </row>
    <row r="3929" spans="1:40" x14ac:dyDescent="0.25">
      <c r="A3929" t="str">
        <f>"20190303170617658"</f>
        <v>20190303170617658</v>
      </c>
      <c r="B3929" t="str">
        <f>"1551603977648546"</f>
        <v>1551603977648546</v>
      </c>
      <c r="C3929" t="s">
        <v>40</v>
      </c>
      <c r="D3929">
        <v>5.8140010000000002</v>
      </c>
      <c r="E3929">
        <v>0.41532780000000002</v>
      </c>
      <c r="F3929" t="s">
        <v>91</v>
      </c>
      <c r="G3929">
        <v>-461.72050000000002</v>
      </c>
      <c r="H3929">
        <v>1.915869</v>
      </c>
      <c r="I3929">
        <v>119.8177</v>
      </c>
      <c r="J3929">
        <v>-351.95760000000001</v>
      </c>
      <c r="K3929">
        <v>1.1217060000000001</v>
      </c>
      <c r="L3929">
        <v>141.30959999999999</v>
      </c>
      <c r="M3929">
        <v>-0.99988010000000005</v>
      </c>
      <c r="N3929">
        <v>-1.549175E-2</v>
      </c>
      <c r="O3929">
        <v>4.4063069999999998E-4</v>
      </c>
      <c r="P3929">
        <v>-0.97679530000000003</v>
      </c>
      <c r="Q3929">
        <v>0.21133759999999999</v>
      </c>
      <c r="R3929">
        <v>3.4757290000000003E-2</v>
      </c>
      <c r="S3929">
        <v>-3.0883180000000001</v>
      </c>
      <c r="T3929">
        <v>2.2185679999999999E-2</v>
      </c>
      <c r="U3929">
        <v>-0.60021969999999902</v>
      </c>
      <c r="V3929">
        <v>3.368898E-2</v>
      </c>
      <c r="W3929">
        <v>0.22654060000000001</v>
      </c>
      <c r="X3929">
        <v>0.97341889999999998</v>
      </c>
      <c r="Y3929">
        <v>-0.19122</v>
      </c>
      <c r="Z3929">
        <v>-8.046005E-4</v>
      </c>
      <c r="AA3929">
        <v>0.9815469</v>
      </c>
      <c r="AB3929">
        <v>56</v>
      </c>
      <c r="AC3929">
        <v>-109.7629</v>
      </c>
      <c r="AD3929">
        <v>0.79416299999999995</v>
      </c>
      <c r="AE3929">
        <v>-21.491899999999902</v>
      </c>
      <c r="AF3929">
        <v>-21.539182690377</v>
      </c>
      <c r="AG3929">
        <v>0.79416299999999995</v>
      </c>
      <c r="AH3929">
        <v>109.74788515818599</v>
      </c>
      <c r="AI3929">
        <v>89.593161762513503</v>
      </c>
      <c r="AJ3929">
        <v>101.10377217041101</v>
      </c>
      <c r="AK3929">
        <v>111.844380200949</v>
      </c>
      <c r="AL3929">
        <v>76.906512103822493</v>
      </c>
      <c r="AM3929">
        <v>88.017845904913599</v>
      </c>
      <c r="AN3929">
        <v>0.99999997284950404</v>
      </c>
    </row>
    <row r="3930" spans="1:40" x14ac:dyDescent="0.25">
      <c r="A3930" t="str">
        <f>"20190303170617680"</f>
        <v>20190303170617680</v>
      </c>
      <c r="B3930" t="str">
        <f>"1551603977669042"</f>
        <v>1551603977669042</v>
      </c>
      <c r="C3930" t="s">
        <v>40</v>
      </c>
      <c r="D3930">
        <v>5.814279</v>
      </c>
      <c r="E3930">
        <v>0.41510019999999997</v>
      </c>
      <c r="F3930" t="s">
        <v>91</v>
      </c>
      <c r="G3930">
        <v>-461.03219999999999</v>
      </c>
      <c r="H3930">
        <v>2.2253759999999998</v>
      </c>
      <c r="I3930">
        <v>119.6778</v>
      </c>
      <c r="J3930">
        <v>-352.50150000000002</v>
      </c>
      <c r="K3930">
        <v>1.121812</v>
      </c>
      <c r="L3930">
        <v>141.3092</v>
      </c>
      <c r="M3930">
        <v>-0.99987979999999999</v>
      </c>
      <c r="N3930">
        <v>-1.548854E-2</v>
      </c>
      <c r="O3930">
        <v>-6.5750619999999896E-4</v>
      </c>
      <c r="P3930">
        <v>-0.97669360000000005</v>
      </c>
      <c r="Q3930">
        <v>0.2121614</v>
      </c>
      <c r="R3930">
        <v>3.2515879999999997E-2</v>
      </c>
      <c r="S3930">
        <v>-3.0863040000000002</v>
      </c>
      <c r="T3930">
        <v>3.12295E-2</v>
      </c>
      <c r="U3930">
        <v>-0.61207579999999995</v>
      </c>
      <c r="V3930">
        <v>3.246454E-2</v>
      </c>
      <c r="W3930">
        <v>0.22736310000000001</v>
      </c>
      <c r="X3930">
        <v>0.97326869999999999</v>
      </c>
      <c r="Y3930">
        <v>-0.1938918</v>
      </c>
      <c r="Z3930">
        <v>-5.6129070000000001E-4</v>
      </c>
      <c r="AA3930">
        <v>0.98102279999999997</v>
      </c>
      <c r="AB3930">
        <v>56</v>
      </c>
      <c r="AC3930">
        <v>-108.530699999999</v>
      </c>
      <c r="AD3930">
        <v>1.10356399999999</v>
      </c>
      <c r="AE3930">
        <v>-21.631399999999999</v>
      </c>
      <c r="AF3930">
        <v>-21.557883385491099</v>
      </c>
      <c r="AG3930">
        <v>1.10356399999999</v>
      </c>
      <c r="AH3930">
        <v>108.534108134972</v>
      </c>
      <c r="AI3930">
        <v>89.428604133922505</v>
      </c>
      <c r="AJ3930">
        <v>101.23431125992199</v>
      </c>
      <c r="AK3930">
        <v>110.659897064014</v>
      </c>
      <c r="AL3930">
        <v>76.858123287587901</v>
      </c>
      <c r="AM3930">
        <v>88.089539176815194</v>
      </c>
      <c r="AN3930">
        <v>0.99999994399935399</v>
      </c>
    </row>
    <row r="3931" spans="1:40" x14ac:dyDescent="0.25">
      <c r="A3931" t="str">
        <f>"20190303170617704"</f>
        <v>20190303170617704</v>
      </c>
      <c r="B3931" t="str">
        <f>"1551603977699298"</f>
        <v>1551603977699298</v>
      </c>
      <c r="C3931" t="s">
        <v>40</v>
      </c>
      <c r="D3931">
        <v>5.8010149999999996</v>
      </c>
      <c r="E3931">
        <v>0.41491670000000003</v>
      </c>
      <c r="F3931" t="s">
        <v>91</v>
      </c>
      <c r="G3931">
        <v>-461.03219999999999</v>
      </c>
      <c r="H3931">
        <v>2.3379560000000001</v>
      </c>
      <c r="I3931">
        <v>119.48439999999999</v>
      </c>
      <c r="J3931">
        <v>-353.08229999999998</v>
      </c>
      <c r="K3931">
        <v>1.121899</v>
      </c>
      <c r="L3931">
        <v>141.3083</v>
      </c>
      <c r="M3931">
        <v>-0.99987839999999995</v>
      </c>
      <c r="N3931">
        <v>-1.5484799999999899E-2</v>
      </c>
      <c r="O3931">
        <v>-1.862729E-3</v>
      </c>
      <c r="P3931">
        <v>-0.97676660000000004</v>
      </c>
      <c r="Q3931">
        <v>0.21205679999999999</v>
      </c>
      <c r="R3931">
        <v>3.0970540000000001E-2</v>
      </c>
      <c r="S3931">
        <v>-3.0847169999999999</v>
      </c>
      <c r="T3931">
        <v>3.4566640000000003E-2</v>
      </c>
      <c r="U3931">
        <v>-0.62031559999999997</v>
      </c>
      <c r="V3931">
        <v>3.2047590000000001E-2</v>
      </c>
      <c r="W3931">
        <v>0.2272614</v>
      </c>
      <c r="X3931">
        <v>0.97330640000000002</v>
      </c>
      <c r="Y3931">
        <v>-0.1953252</v>
      </c>
      <c r="Z3931">
        <v>-4.9306290000000004E-4</v>
      </c>
      <c r="AA3931">
        <v>0.98073840000000001</v>
      </c>
      <c r="AB3931">
        <v>56</v>
      </c>
      <c r="AC3931">
        <v>-107.9499</v>
      </c>
      <c r="AD3931">
        <v>1.2160569999999999</v>
      </c>
      <c r="AE3931">
        <v>-21.823899999999998</v>
      </c>
      <c r="AF3931">
        <v>-21.6201207418545</v>
      </c>
      <c r="AG3931">
        <v>1.2160569999999999</v>
      </c>
      <c r="AH3931">
        <v>107.977205241932</v>
      </c>
      <c r="AI3931">
        <v>89.367309868945696</v>
      </c>
      <c r="AJ3931">
        <v>101.322523985798</v>
      </c>
      <c r="AK3931">
        <v>110.127132294353</v>
      </c>
      <c r="AL3931">
        <v>76.864108594716399</v>
      </c>
      <c r="AM3931">
        <v>88.114130853931698</v>
      </c>
      <c r="AN3931">
        <v>1.00000007011786</v>
      </c>
    </row>
    <row r="3932" spans="1:40" x14ac:dyDescent="0.25">
      <c r="A3932" t="str">
        <f>"20190303170617725"</f>
        <v>20190303170617725</v>
      </c>
      <c r="B3932" t="str">
        <f>"1551603977718818"</f>
        <v>1551603977718818</v>
      </c>
      <c r="C3932" t="s">
        <v>40</v>
      </c>
      <c r="D3932">
        <v>5.8016589999999999</v>
      </c>
      <c r="E3932">
        <v>0.414769</v>
      </c>
      <c r="F3932" t="s">
        <v>91</v>
      </c>
      <c r="G3932">
        <v>-460.93020000000001</v>
      </c>
      <c r="H3932">
        <v>2.311925</v>
      </c>
      <c r="I3932">
        <v>119.395</v>
      </c>
      <c r="J3932">
        <v>-353.6354</v>
      </c>
      <c r="K3932">
        <v>1.121969</v>
      </c>
      <c r="L3932">
        <v>141.30670000000001</v>
      </c>
      <c r="M3932">
        <v>-0.99987559999999998</v>
      </c>
      <c r="N3932">
        <v>-1.5481150000000001E-2</v>
      </c>
      <c r="O3932">
        <v>-3.034106E-3</v>
      </c>
      <c r="P3932">
        <v>-0.97718989999999994</v>
      </c>
      <c r="Q3932">
        <v>0.2102581</v>
      </c>
      <c r="R3932">
        <v>2.986078E-2</v>
      </c>
      <c r="S3932">
        <v>-3.0838009999999998</v>
      </c>
      <c r="T3932">
        <v>3.4028170000000003E-2</v>
      </c>
      <c r="U3932">
        <v>-0.62658689999999995</v>
      </c>
      <c r="V3932">
        <v>3.204895E-2</v>
      </c>
      <c r="W3932">
        <v>0.2254709</v>
      </c>
      <c r="X3932">
        <v>0.97372259999999999</v>
      </c>
      <c r="Y3932">
        <v>-0.19614909999999999</v>
      </c>
      <c r="Z3932">
        <v>-5.4214550000000002E-4</v>
      </c>
      <c r="AA3932">
        <v>0.98057399999999995</v>
      </c>
      <c r="AB3932">
        <v>56</v>
      </c>
      <c r="AC3932">
        <v>-107.2948</v>
      </c>
      <c r="AD3932">
        <v>1.189956</v>
      </c>
      <c r="AE3932">
        <v>-21.9117</v>
      </c>
      <c r="AF3932">
        <v>-21.5834678414103</v>
      </c>
      <c r="AG3932">
        <v>1.189956</v>
      </c>
      <c r="AH3932">
        <v>107.348121226263</v>
      </c>
      <c r="AI3932">
        <v>89.377360694207098</v>
      </c>
      <c r="AJ3932">
        <v>101.368346176998</v>
      </c>
      <c r="AK3932">
        <v>109.502882200203</v>
      </c>
      <c r="AL3932">
        <v>76.969429446060104</v>
      </c>
      <c r="AM3932">
        <v>88.1148564141604</v>
      </c>
      <c r="AN3932">
        <v>0.99999998184683603</v>
      </c>
    </row>
    <row r="3933" spans="1:40" x14ac:dyDescent="0.25">
      <c r="A3933" t="str">
        <f>"20190303170617747"</f>
        <v>20190303170617747</v>
      </c>
      <c r="B3933" t="str">
        <f>"1551603977738341"</f>
        <v>1551603977738341</v>
      </c>
      <c r="C3933" t="s">
        <v>40</v>
      </c>
      <c r="D3933">
        <v>5.8213530000000002</v>
      </c>
      <c r="E3933">
        <v>0.41463850000000002</v>
      </c>
      <c r="F3933" t="s">
        <v>91</v>
      </c>
      <c r="G3933">
        <v>-460.6232</v>
      </c>
      <c r="H3933">
        <v>2.117664</v>
      </c>
      <c r="I3933">
        <v>119.395</v>
      </c>
      <c r="J3933">
        <v>-354.17110000000002</v>
      </c>
      <c r="K3933">
        <v>1.1220250000000001</v>
      </c>
      <c r="L3933">
        <v>141.30449999999999</v>
      </c>
      <c r="M3933">
        <v>-0.99987170000000003</v>
      </c>
      <c r="N3933">
        <v>-1.547756E-2</v>
      </c>
      <c r="O3933">
        <v>-4.1805729999999999E-3</v>
      </c>
      <c r="P3933">
        <v>-0.97712109999999996</v>
      </c>
      <c r="Q3933">
        <v>0.21074390000000001</v>
      </c>
      <c r="R3933">
        <v>2.8666609999999999E-2</v>
      </c>
      <c r="S3933">
        <v>-3.0831300000000001</v>
      </c>
      <c r="T3933">
        <v>2.8694150000000002E-2</v>
      </c>
      <c r="U3933">
        <v>-0.63143919999999998</v>
      </c>
      <c r="V3933">
        <v>3.1938939999999999E-2</v>
      </c>
      <c r="W3933">
        <v>0.22595680000000001</v>
      </c>
      <c r="X3933">
        <v>0.97361359999999997</v>
      </c>
      <c r="Y3933">
        <v>-0.196549</v>
      </c>
      <c r="Z3933">
        <v>-7.3408339999999999E-4</v>
      </c>
      <c r="AA3933">
        <v>0.98049370000000002</v>
      </c>
      <c r="AB3933">
        <v>56</v>
      </c>
      <c r="AC3933">
        <v>-106.45209999999901</v>
      </c>
      <c r="AD3933">
        <v>0.99563900000000005</v>
      </c>
      <c r="AE3933">
        <v>-21.909499999999898</v>
      </c>
      <c r="AF3933">
        <v>-21.4624233289329</v>
      </c>
      <c r="AG3933">
        <v>0.99563900000000005</v>
      </c>
      <c r="AH3933">
        <v>106.533834179667</v>
      </c>
      <c r="AI3933">
        <v>89.475088950465903</v>
      </c>
      <c r="AJ3933">
        <v>101.390404823289</v>
      </c>
      <c r="AK3933">
        <v>108.678814573906</v>
      </c>
      <c r="AL3933">
        <v>76.940852275479898</v>
      </c>
      <c r="AM3933">
        <v>88.121112466130796</v>
      </c>
      <c r="AN3933">
        <v>1.0000000067297601</v>
      </c>
    </row>
    <row r="3934" spans="1:40" x14ac:dyDescent="0.25">
      <c r="A3934" t="str">
        <f>"20190303170617769"</f>
        <v>20190303170617769</v>
      </c>
      <c r="B3934" t="str">
        <f>"1551603977758834"</f>
        <v>1551603977758834</v>
      </c>
      <c r="C3934" t="s">
        <v>40</v>
      </c>
      <c r="D3934">
        <v>5.8134620000000004</v>
      </c>
      <c r="E3934">
        <v>0.4145122</v>
      </c>
      <c r="F3934" t="s">
        <v>91</v>
      </c>
      <c r="G3934">
        <v>-460.35430000000002</v>
      </c>
      <c r="H3934">
        <v>2.1586110000000001</v>
      </c>
      <c r="I3934">
        <v>119.395</v>
      </c>
      <c r="J3934">
        <v>-354.72910000000002</v>
      </c>
      <c r="K3934">
        <v>1.1220859999999999</v>
      </c>
      <c r="L3934">
        <v>141.30160000000001</v>
      </c>
      <c r="M3934">
        <v>-0.99986580000000003</v>
      </c>
      <c r="N3934">
        <v>-1.5473809999999999E-2</v>
      </c>
      <c r="O3934">
        <v>-5.3825940000000001E-3</v>
      </c>
      <c r="P3934">
        <v>-0.97684439999999995</v>
      </c>
      <c r="Q3934">
        <v>0.2120319</v>
      </c>
      <c r="R3934">
        <v>2.8589280000000002E-2</v>
      </c>
      <c r="S3934">
        <v>-3.0824280000000002</v>
      </c>
      <c r="T3934">
        <v>3.009212E-2</v>
      </c>
      <c r="U3934">
        <v>-0.63601680000000005</v>
      </c>
      <c r="V3934">
        <v>3.2998329999999999E-2</v>
      </c>
      <c r="W3934">
        <v>0.22724420000000001</v>
      </c>
      <c r="X3934">
        <v>0.97327859999999999</v>
      </c>
      <c r="Y3934">
        <v>-0.1968115</v>
      </c>
      <c r="Z3934">
        <v>-7.2242879999999995E-4</v>
      </c>
      <c r="AA3934">
        <v>0.98044109999999995</v>
      </c>
      <c r="AB3934">
        <v>56</v>
      </c>
      <c r="AC3934">
        <v>-105.62520000000001</v>
      </c>
      <c r="AD3934">
        <v>1.0365249999999999</v>
      </c>
      <c r="AE3934">
        <v>-21.906600000000001</v>
      </c>
      <c r="AF3934">
        <v>-21.335707056188699</v>
      </c>
      <c r="AG3934">
        <v>1.0365249999999999</v>
      </c>
      <c r="AH3934">
        <v>105.731835945529</v>
      </c>
      <c r="AI3934">
        <v>89.449425079687998</v>
      </c>
      <c r="AJ3934">
        <v>101.40855488692</v>
      </c>
      <c r="AK3934">
        <v>107.868011532962</v>
      </c>
      <c r="AL3934">
        <v>76.865119952291806</v>
      </c>
      <c r="AM3934">
        <v>88.058170498767396</v>
      </c>
      <c r="AN3934">
        <v>1.0000000247171901</v>
      </c>
    </row>
    <row r="3935" spans="1:40" x14ac:dyDescent="0.25">
      <c r="A3935" t="str">
        <f>"20190303170617792"</f>
        <v>20190303170617792</v>
      </c>
      <c r="B3935" t="str">
        <f>"1551603977779330"</f>
        <v>1551603977779330</v>
      </c>
      <c r="C3935" t="s">
        <v>40</v>
      </c>
      <c r="D3935">
        <v>5.8048169999999999</v>
      </c>
      <c r="E3935">
        <v>0.4143983</v>
      </c>
      <c r="F3935" t="s">
        <v>91</v>
      </c>
      <c r="G3935">
        <v>-460.60230000000001</v>
      </c>
      <c r="H3935">
        <v>2.3077969999999999</v>
      </c>
      <c r="I3935">
        <v>119.395</v>
      </c>
      <c r="J3935">
        <v>-355.29039999999998</v>
      </c>
      <c r="K3935">
        <v>1.122136</v>
      </c>
      <c r="L3935">
        <v>141.298</v>
      </c>
      <c r="M3935">
        <v>-0.99985860000000004</v>
      </c>
      <c r="N3935">
        <v>-1.5469989999999999E-2</v>
      </c>
      <c r="O3935">
        <v>-6.5969710000000001E-3</v>
      </c>
      <c r="P3935">
        <v>-0.97694990000000004</v>
      </c>
      <c r="Q3935">
        <v>0.21159</v>
      </c>
      <c r="R3935">
        <v>2.8265740000000001E-2</v>
      </c>
      <c r="S3935">
        <v>-3.0822449999999999</v>
      </c>
      <c r="T3935">
        <v>3.4519910000000001E-2</v>
      </c>
      <c r="U3935">
        <v>-0.63775630000000005</v>
      </c>
      <c r="V3935">
        <v>3.3836089999999999E-2</v>
      </c>
      <c r="W3935">
        <v>0.22680719999999999</v>
      </c>
      <c r="X3935">
        <v>0.97335170000000004</v>
      </c>
      <c r="Y3935">
        <v>-0.1961627</v>
      </c>
      <c r="Z3935">
        <v>-6.2046080000000003E-4</v>
      </c>
      <c r="AA3935">
        <v>0.98057119999999998</v>
      </c>
      <c r="AB3935">
        <v>56</v>
      </c>
      <c r="AC3935">
        <v>-105.31189999999999</v>
      </c>
      <c r="AD3935">
        <v>1.1856610000000001</v>
      </c>
      <c r="AE3935">
        <v>-21.902999999999999</v>
      </c>
      <c r="AF3935">
        <v>-21.205124179109198</v>
      </c>
      <c r="AG3935">
        <v>1.1856610000000001</v>
      </c>
      <c r="AH3935">
        <v>105.441307500767</v>
      </c>
      <c r="AI3935">
        <v>89.368395346324604</v>
      </c>
      <c r="AJ3935">
        <v>101.370979094842</v>
      </c>
      <c r="AK3935">
        <v>107.55897178259799</v>
      </c>
      <c r="AL3935">
        <v>76.890828644749803</v>
      </c>
      <c r="AM3935">
        <v>88.009060028804598</v>
      </c>
      <c r="AN3935">
        <v>0.99999995942560804</v>
      </c>
    </row>
    <row r="3936" spans="1:40" x14ac:dyDescent="0.25">
      <c r="A3936" t="str">
        <f>"20190303170617818"</f>
        <v>20190303170617818</v>
      </c>
      <c r="B3936" t="str">
        <f>"1551603977808610"</f>
        <v>1551603977808610</v>
      </c>
      <c r="C3936" t="s">
        <v>40</v>
      </c>
      <c r="D3936">
        <v>5.8238479999999999</v>
      </c>
      <c r="E3936">
        <v>0.41419679999999998</v>
      </c>
      <c r="F3936" t="s">
        <v>91</v>
      </c>
      <c r="G3936">
        <v>-460.75689999999997</v>
      </c>
      <c r="H3936">
        <v>2.2824800000000001</v>
      </c>
      <c r="I3936">
        <v>119.395</v>
      </c>
      <c r="J3936">
        <v>-355.91809999999998</v>
      </c>
      <c r="K3936">
        <v>1.122179</v>
      </c>
      <c r="L3936">
        <v>141.29320000000001</v>
      </c>
      <c r="M3936">
        <v>-0.99984870000000003</v>
      </c>
      <c r="N3936">
        <v>-1.5465700000000001E-2</v>
      </c>
      <c r="O3936">
        <v>-7.9605330000000005E-3</v>
      </c>
      <c r="P3936">
        <v>-0.97716599999999998</v>
      </c>
      <c r="Q3936">
        <v>0.21071860000000001</v>
      </c>
      <c r="R3936">
        <v>2.728442E-2</v>
      </c>
      <c r="S3936">
        <v>-3.082001</v>
      </c>
      <c r="T3936">
        <v>3.3908840000000003E-2</v>
      </c>
      <c r="U3936">
        <v>-0.64006039999999997</v>
      </c>
      <c r="V3936">
        <v>3.4165679999999997E-2</v>
      </c>
      <c r="W3936">
        <v>0.22593959999999999</v>
      </c>
      <c r="X3936">
        <v>0.97354200000000002</v>
      </c>
      <c r="Y3936">
        <v>-0.1955442</v>
      </c>
      <c r="Z3936">
        <v>-6.7230239999999998E-4</v>
      </c>
      <c r="AA3936">
        <v>0.98069470000000003</v>
      </c>
      <c r="AB3936">
        <v>56</v>
      </c>
      <c r="AC3936">
        <v>-104.83880000000001</v>
      </c>
      <c r="AD3936">
        <v>1.160301</v>
      </c>
      <c r="AE3936">
        <v>-21.898199999999999</v>
      </c>
      <c r="AF3936">
        <v>-21.0603615936365</v>
      </c>
      <c r="AG3936">
        <v>1.160301</v>
      </c>
      <c r="AH3936">
        <v>104.997496138568</v>
      </c>
      <c r="AI3936">
        <v>89.379227862149605</v>
      </c>
      <c r="AJ3936">
        <v>101.341863342229</v>
      </c>
      <c r="AK3936">
        <v>107.09509477204701</v>
      </c>
      <c r="AL3936">
        <v>76.941863983576496</v>
      </c>
      <c r="AM3936">
        <v>87.990075189030094</v>
      </c>
      <c r="AN3936">
        <v>1.0000000111510099</v>
      </c>
    </row>
    <row r="3937" spans="1:40" x14ac:dyDescent="0.25">
      <c r="A3937" t="str">
        <f>"20190303170617837"</f>
        <v>20190303170617837</v>
      </c>
      <c r="B3937" t="str">
        <f>"1551603977829107"</f>
        <v>1551603977829107</v>
      </c>
      <c r="C3937" t="s">
        <v>40</v>
      </c>
      <c r="D3937">
        <v>5.819769</v>
      </c>
      <c r="E3937">
        <v>0.41415669999999999</v>
      </c>
      <c r="F3937" t="s">
        <v>91</v>
      </c>
      <c r="G3937">
        <v>-460.57459999999998</v>
      </c>
      <c r="H3937">
        <v>2.178706</v>
      </c>
      <c r="I3937">
        <v>119.395</v>
      </c>
      <c r="J3937">
        <v>-356.41469999999998</v>
      </c>
      <c r="K3937">
        <v>1.1222099999999999</v>
      </c>
      <c r="L3937">
        <v>141.28880000000001</v>
      </c>
      <c r="M3937">
        <v>-0.99983949999999999</v>
      </c>
      <c r="N3937">
        <v>-1.546234E-2</v>
      </c>
      <c r="O3937">
        <v>-9.0430079999999999E-3</v>
      </c>
      <c r="P3937">
        <v>-0.97737989999999997</v>
      </c>
      <c r="Q3937">
        <v>0.2098438</v>
      </c>
      <c r="R3937">
        <v>2.6347209999999999E-2</v>
      </c>
      <c r="S3937">
        <v>-3.0813899999999999</v>
      </c>
      <c r="T3937">
        <v>3.1107900000000001E-2</v>
      </c>
      <c r="U3937">
        <v>-0.64474489999999995</v>
      </c>
      <c r="V3937">
        <v>3.427434E-2</v>
      </c>
      <c r="W3937">
        <v>0.22506770000000001</v>
      </c>
      <c r="X3937">
        <v>0.9737401</v>
      </c>
      <c r="Y3937">
        <v>-0.1959505</v>
      </c>
      <c r="Z3937">
        <v>-7.8139589999999895E-4</v>
      </c>
      <c r="AA3937">
        <v>0.98061350000000003</v>
      </c>
      <c r="AB3937">
        <v>56</v>
      </c>
      <c r="AC3937">
        <v>-104.15989999999999</v>
      </c>
      <c r="AD3937">
        <v>1.0564959999999901</v>
      </c>
      <c r="AE3937">
        <v>-21.893799999999999</v>
      </c>
      <c r="AF3937">
        <v>-20.948809052934202</v>
      </c>
      <c r="AG3937">
        <v>1.0564959999999901</v>
      </c>
      <c r="AH3937">
        <v>104.343368778277</v>
      </c>
      <c r="AI3937">
        <v>89.431238167225402</v>
      </c>
      <c r="AJ3937">
        <v>101.352236731391</v>
      </c>
      <c r="AK3937">
        <v>106.430763374758</v>
      </c>
      <c r="AL3937">
        <v>76.993140686017199</v>
      </c>
      <c r="AM3937">
        <v>87.984097988021304</v>
      </c>
      <c r="AN3937">
        <v>0.999999991156867</v>
      </c>
    </row>
    <row r="3938" spans="1:40" x14ac:dyDescent="0.25">
      <c r="A3938" t="str">
        <f>"20190303170617860"</f>
        <v>20190303170617860</v>
      </c>
      <c r="B3938" t="str">
        <f>"1551603977848626"</f>
        <v>1551603977848626</v>
      </c>
      <c r="C3938" t="s">
        <v>40</v>
      </c>
      <c r="D3938">
        <v>5.8176819999999996</v>
      </c>
      <c r="E3938">
        <v>0.4140914</v>
      </c>
      <c r="F3938" t="s">
        <v>91</v>
      </c>
      <c r="G3938">
        <v>-460.62220000000002</v>
      </c>
      <c r="H3938">
        <v>2.0501969999999998</v>
      </c>
      <c r="I3938">
        <v>119.395</v>
      </c>
      <c r="J3938">
        <v>-356.9692</v>
      </c>
      <c r="K3938">
        <v>1.1222430000000001</v>
      </c>
      <c r="L3938">
        <v>141.28319999999999</v>
      </c>
      <c r="M3938">
        <v>-0.99982800000000005</v>
      </c>
      <c r="N3938">
        <v>-1.545845E-2</v>
      </c>
      <c r="O3938">
        <v>-1.02562E-2</v>
      </c>
      <c r="P3938">
        <v>-0.97731500000000004</v>
      </c>
      <c r="Q3938">
        <v>0.2103246</v>
      </c>
      <c r="R3938">
        <v>2.4883720000000002E-2</v>
      </c>
      <c r="S3938">
        <v>-3.080994</v>
      </c>
      <c r="T3938">
        <v>2.7437570000000001E-2</v>
      </c>
      <c r="U3938">
        <v>-0.64730829999999995</v>
      </c>
      <c r="V3938">
        <v>3.3978010000000003E-2</v>
      </c>
      <c r="W3938">
        <v>0.2255443</v>
      </c>
      <c r="X3938">
        <v>0.97364019999999996</v>
      </c>
      <c r="Y3938">
        <v>-0.19556789999999999</v>
      </c>
      <c r="Z3938">
        <v>-9.1379299999999998E-4</v>
      </c>
      <c r="AA3938">
        <v>0.98068979999999994</v>
      </c>
      <c r="AB3938">
        <v>56</v>
      </c>
      <c r="AC3938">
        <v>-103.65300000000001</v>
      </c>
      <c r="AD3938">
        <v>0.92795399999999995</v>
      </c>
      <c r="AE3938">
        <v>-21.888200000000001</v>
      </c>
      <c r="AF3938">
        <v>-20.822238038534</v>
      </c>
      <c r="AG3938">
        <v>0.92795399999999995</v>
      </c>
      <c r="AH3938">
        <v>103.864094432291</v>
      </c>
      <c r="AI3938">
        <v>89.498101287797198</v>
      </c>
      <c r="AJ3938">
        <v>101.336143219718</v>
      </c>
      <c r="AK3938">
        <v>105.934776196485</v>
      </c>
      <c r="AL3938">
        <v>76.9651128217712</v>
      </c>
      <c r="AM3938">
        <v>88.001308044876197</v>
      </c>
      <c r="AN3938">
        <v>0.99999998774104404</v>
      </c>
    </row>
    <row r="3939" spans="1:40" x14ac:dyDescent="0.25">
      <c r="A3939" t="str">
        <f>"20190303170617881"</f>
        <v>20190303170617881</v>
      </c>
      <c r="B3939" t="str">
        <f>"1551603977869122"</f>
        <v>1551603977869122</v>
      </c>
      <c r="C3939" t="s">
        <v>40</v>
      </c>
      <c r="D3939">
        <v>5.8049660000000003</v>
      </c>
      <c r="E3939">
        <v>0.41401909999999997</v>
      </c>
      <c r="F3939" t="s">
        <v>91</v>
      </c>
      <c r="G3939">
        <v>-460.3211</v>
      </c>
      <c r="H3939">
        <v>2.0832899999999999</v>
      </c>
      <c r="I3939">
        <v>119.395</v>
      </c>
      <c r="J3939">
        <v>-357.50839999999999</v>
      </c>
      <c r="K3939">
        <v>1.1222840000000001</v>
      </c>
      <c r="L3939">
        <v>141.27709999999999</v>
      </c>
      <c r="M3939">
        <v>-0.99981529999999996</v>
      </c>
      <c r="N3939">
        <v>-1.5454809999999999E-2</v>
      </c>
      <c r="O3939">
        <v>-1.1439919999999999E-2</v>
      </c>
      <c r="P3939">
        <v>-0.97699360000000002</v>
      </c>
      <c r="Q3939">
        <v>0.2119798</v>
      </c>
      <c r="R3939">
        <v>2.341785E-2</v>
      </c>
      <c r="S3939">
        <v>-3.0801090000000002</v>
      </c>
      <c r="T3939">
        <v>2.864206E-2</v>
      </c>
      <c r="U3939">
        <v>-0.65231319999999904</v>
      </c>
      <c r="V3939">
        <v>3.3645500000000002E-2</v>
      </c>
      <c r="W3939">
        <v>0.22719130000000001</v>
      </c>
      <c r="X3939">
        <v>0.97326869999999999</v>
      </c>
      <c r="Y3939">
        <v>-0.19598950000000001</v>
      </c>
      <c r="Z3939">
        <v>-9.100251E-4</v>
      </c>
      <c r="AA3939">
        <v>0.98060559999999997</v>
      </c>
      <c r="AB3939">
        <v>56</v>
      </c>
      <c r="AC3939">
        <v>-102.81270000000001</v>
      </c>
      <c r="AD3939">
        <v>0.96100600000000003</v>
      </c>
      <c r="AE3939">
        <v>-21.882099999999902</v>
      </c>
      <c r="AF3939">
        <v>-20.702628005011601</v>
      </c>
      <c r="AG3939">
        <v>0.96100600000000003</v>
      </c>
      <c r="AH3939">
        <v>103.047716820273</v>
      </c>
      <c r="AI3939">
        <v>89.476151160430902</v>
      </c>
      <c r="AJ3939">
        <v>101.359689383949</v>
      </c>
      <c r="AK3939">
        <v>105.111152028303</v>
      </c>
      <c r="AL3939">
        <v>76.868231098934899</v>
      </c>
      <c r="AM3939">
        <v>88.020096836291103</v>
      </c>
      <c r="AN3939">
        <v>0.99999993443281199</v>
      </c>
    </row>
    <row r="3940" spans="1:40" x14ac:dyDescent="0.25">
      <c r="A3940" t="str">
        <f>"20190303170617905"</f>
        <v>20190303170617905</v>
      </c>
      <c r="B3940" t="str">
        <f>"1551603977898406"</f>
        <v>1551603977898406</v>
      </c>
      <c r="C3940" t="s">
        <v>40</v>
      </c>
      <c r="D3940">
        <v>6.0739679999999998</v>
      </c>
      <c r="E3940">
        <v>0.41397060000000002</v>
      </c>
      <c r="F3940" t="s">
        <v>91</v>
      </c>
      <c r="G3940">
        <v>-459.88409999999999</v>
      </c>
      <c r="H3940">
        <v>2.2676530000000001</v>
      </c>
      <c r="I3940">
        <v>119.395</v>
      </c>
      <c r="J3940">
        <v>-358.07510000000002</v>
      </c>
      <c r="K3940">
        <v>1.122314</v>
      </c>
      <c r="L3940">
        <v>141.27000000000001</v>
      </c>
      <c r="M3940">
        <v>-0.99980029999999998</v>
      </c>
      <c r="N3940">
        <v>-1.545091E-2</v>
      </c>
      <c r="O3940">
        <v>-1.268935E-2</v>
      </c>
      <c r="P3940">
        <v>-0.97683880000000001</v>
      </c>
      <c r="Q3940">
        <v>0.2129144</v>
      </c>
      <c r="R3940">
        <v>2.1294199999999999E-2</v>
      </c>
      <c r="S3940">
        <v>-3.0789179999999998</v>
      </c>
      <c r="T3940">
        <v>3.4447310000000002E-2</v>
      </c>
      <c r="U3940">
        <v>-0.65809629999999997</v>
      </c>
      <c r="V3940">
        <v>3.2725860000000002E-2</v>
      </c>
      <c r="W3940">
        <v>0.22811670000000001</v>
      </c>
      <c r="X3940">
        <v>0.9730837</v>
      </c>
      <c r="Y3940">
        <v>-0.196603</v>
      </c>
      <c r="Z3940">
        <v>-7.8265859999999997E-4</v>
      </c>
      <c r="AA3940">
        <v>0.98048290000000005</v>
      </c>
      <c r="AB3940">
        <v>56</v>
      </c>
      <c r="AC3940">
        <v>-101.808999999999</v>
      </c>
      <c r="AD3940">
        <v>1.1453389999999899</v>
      </c>
      <c r="AE3940">
        <v>-21.875</v>
      </c>
      <c r="AF3940">
        <v>-20.578704835061099</v>
      </c>
      <c r="AG3940">
        <v>1.1453389999999899</v>
      </c>
      <c r="AH3940">
        <v>102.066066282921</v>
      </c>
      <c r="AI3940">
        <v>89.369761115751203</v>
      </c>
      <c r="AJ3940">
        <v>101.399231776411</v>
      </c>
      <c r="AK3940">
        <v>104.126254040867</v>
      </c>
      <c r="AL3940">
        <v>76.813781338804304</v>
      </c>
      <c r="AM3940">
        <v>88.073806793893496</v>
      </c>
      <c r="AN3940">
        <v>1.00000004896865</v>
      </c>
    </row>
    <row r="3941" spans="1:40" x14ac:dyDescent="0.25">
      <c r="A3941" t="str">
        <f>"20190303170617926"</f>
        <v>20190303170617926</v>
      </c>
      <c r="B3941" t="str">
        <f>"1551603977918898"</f>
        <v>1551603977918898</v>
      </c>
      <c r="C3941" t="s">
        <v>40</v>
      </c>
      <c r="D3941">
        <v>5.8779909999999997</v>
      </c>
      <c r="E3941">
        <v>0.41397149999999999</v>
      </c>
      <c r="F3941" t="s">
        <v>91</v>
      </c>
      <c r="G3941">
        <v>-459.26</v>
      </c>
      <c r="H3941">
        <v>2.3468719999999998</v>
      </c>
      <c r="I3941">
        <v>119.395</v>
      </c>
      <c r="J3941">
        <v>-358.62569999999999</v>
      </c>
      <c r="K3941">
        <v>1.1223289999999999</v>
      </c>
      <c r="L3941">
        <v>141.26249999999999</v>
      </c>
      <c r="M3941">
        <v>-0.99978400000000001</v>
      </c>
      <c r="N3941">
        <v>-1.5447229999999999E-2</v>
      </c>
      <c r="O3941">
        <v>-1.3906140000000001E-2</v>
      </c>
      <c r="P3941">
        <v>-0.97688629999999999</v>
      </c>
      <c r="Q3941">
        <v>0.21290880000000001</v>
      </c>
      <c r="R3941">
        <v>1.9055590000000001E-2</v>
      </c>
      <c r="S3941">
        <v>-3.0775450000000002</v>
      </c>
      <c r="T3941">
        <v>3.724599E-2</v>
      </c>
      <c r="U3941">
        <v>-0.66532899999999995</v>
      </c>
      <c r="V3941">
        <v>3.1668410000000001E-2</v>
      </c>
      <c r="W3941">
        <v>0.22810549999999999</v>
      </c>
      <c r="X3941">
        <v>0.97312129999999997</v>
      </c>
      <c r="Y3941">
        <v>-0.19770170000000001</v>
      </c>
      <c r="Z3941">
        <v>-7.4058960000000004E-4</v>
      </c>
      <c r="AA3941">
        <v>0.98026199999999997</v>
      </c>
      <c r="AB3941">
        <v>55</v>
      </c>
      <c r="AC3941">
        <v>-100.6343</v>
      </c>
      <c r="AD3941">
        <v>1.2245429999999999</v>
      </c>
      <c r="AE3941">
        <v>-21.8675</v>
      </c>
      <c r="AF3941">
        <v>-20.4628901387815</v>
      </c>
      <c r="AG3941">
        <v>1.2245429999999999</v>
      </c>
      <c r="AH3941">
        <v>100.914427336809</v>
      </c>
      <c r="AI3941">
        <v>89.318645620115703</v>
      </c>
      <c r="AJ3941">
        <v>101.462713213138</v>
      </c>
      <c r="AK3941">
        <v>102.975487486619</v>
      </c>
      <c r="AL3941">
        <v>76.814440253140205</v>
      </c>
      <c r="AM3941">
        <v>88.136073988218897</v>
      </c>
      <c r="AN3941">
        <v>1.00000003591793</v>
      </c>
    </row>
    <row r="3942" spans="1:40" x14ac:dyDescent="0.25">
      <c r="A3942" t="str">
        <f>"20190303170617948"</f>
        <v>20190303170617948</v>
      </c>
      <c r="B3942" t="str">
        <f>"1551603977938418"</f>
        <v>1551603977938418</v>
      </c>
      <c r="C3942" t="s">
        <v>40</v>
      </c>
      <c r="D3942">
        <v>5.8685900000000002</v>
      </c>
      <c r="E3942">
        <v>0.43823679999999898</v>
      </c>
      <c r="F3942" t="s">
        <v>91</v>
      </c>
      <c r="G3942">
        <v>-458.65269999999998</v>
      </c>
      <c r="H3942">
        <v>2.3232490000000001</v>
      </c>
      <c r="I3942">
        <v>119.395</v>
      </c>
      <c r="J3942">
        <v>-359.15649999999999</v>
      </c>
      <c r="K3942">
        <v>1.1223399999999999</v>
      </c>
      <c r="L3942">
        <v>141.25450000000001</v>
      </c>
      <c r="M3942">
        <v>-0.99976699999999996</v>
      </c>
      <c r="N3942">
        <v>-1.544364E-2</v>
      </c>
      <c r="O3942">
        <v>-1.5083040000000001E-2</v>
      </c>
      <c r="P3942">
        <v>-0.97703499999999999</v>
      </c>
      <c r="Q3942">
        <v>0.2123382</v>
      </c>
      <c r="R3942">
        <v>1.7747369999999998E-2</v>
      </c>
      <c r="S3942">
        <v>-3.07605</v>
      </c>
      <c r="T3942">
        <v>3.6931749999999999E-2</v>
      </c>
      <c r="U3942">
        <v>-0.67247009999999996</v>
      </c>
      <c r="V3942">
        <v>3.1507970000000003E-2</v>
      </c>
      <c r="W3942">
        <v>0.2275335</v>
      </c>
      <c r="X3942">
        <v>0.97326029999999997</v>
      </c>
      <c r="Y3942">
        <v>-0.19881950000000001</v>
      </c>
      <c r="Z3942">
        <v>-7.8288469999999999E-4</v>
      </c>
      <c r="AA3942">
        <v>0.98003580000000001</v>
      </c>
      <c r="AB3942">
        <v>55</v>
      </c>
      <c r="AC3942">
        <v>-99.496200000000002</v>
      </c>
      <c r="AD3942">
        <v>1.200909</v>
      </c>
      <c r="AE3942">
        <v>-21.859500000000001</v>
      </c>
      <c r="AF3942">
        <v>-20.353300066207801</v>
      </c>
      <c r="AG3942">
        <v>1.200909</v>
      </c>
      <c r="AH3942">
        <v>99.800756346932701</v>
      </c>
      <c r="AI3942">
        <v>89.324492594827603</v>
      </c>
      <c r="AJ3942">
        <v>101.526793473913</v>
      </c>
      <c r="AK3942">
        <v>101.862112551385</v>
      </c>
      <c r="AL3942">
        <v>76.848097101641997</v>
      </c>
      <c r="AM3942">
        <v>88.145775159280205</v>
      </c>
      <c r="AN3942">
        <v>0.99999992867592702</v>
      </c>
    </row>
    <row r="3943" spans="1:40" x14ac:dyDescent="0.25">
      <c r="A3943" t="str">
        <f>"20190303170617970"</f>
        <v>20190303170617970</v>
      </c>
      <c r="B3943" t="str">
        <f>"1551603977958914"</f>
        <v>1551603977958914</v>
      </c>
      <c r="C3943" t="s">
        <v>40</v>
      </c>
      <c r="D3943">
        <v>5.8162839999999996</v>
      </c>
      <c r="E3943">
        <v>0.44015389999999999</v>
      </c>
      <c r="F3943" t="s">
        <v>84</v>
      </c>
      <c r="G3943">
        <v>-433.10610000000003</v>
      </c>
      <c r="H3943">
        <v>2.2814230000000001E-2</v>
      </c>
      <c r="I3943">
        <v>129.56799999999899</v>
      </c>
      <c r="J3943">
        <v>-359.70659999999998</v>
      </c>
      <c r="K3943">
        <v>1.1223479999999999</v>
      </c>
      <c r="L3943">
        <v>141.2456</v>
      </c>
      <c r="M3943">
        <v>-0.99974790000000002</v>
      </c>
      <c r="N3943">
        <v>-1.544003E-2</v>
      </c>
      <c r="O3943">
        <v>-1.6303990000000001E-2</v>
      </c>
      <c r="P3943">
        <v>-0.97725340000000005</v>
      </c>
      <c r="Q3943">
        <v>0.21141170000000001</v>
      </c>
      <c r="R3943">
        <v>1.676047E-2</v>
      </c>
      <c r="S3943">
        <v>-3.0893549999999999</v>
      </c>
      <c r="T3943">
        <v>-4.5934320000000001E-2</v>
      </c>
      <c r="U3943">
        <v>-0.48822019999999999</v>
      </c>
      <c r="V3943">
        <v>3.1716029999999999E-2</v>
      </c>
      <c r="W3943">
        <v>0.226608</v>
      </c>
      <c r="X3943">
        <v>0.97346949999999999</v>
      </c>
      <c r="Y3943">
        <v>-0.1399379</v>
      </c>
      <c r="Z3943">
        <v>-2.1305009999999999E-3</v>
      </c>
      <c r="AA3943">
        <v>0.99015799999999998</v>
      </c>
      <c r="AB3943">
        <v>55</v>
      </c>
      <c r="AC3943">
        <v>-73.399500000000003</v>
      </c>
      <c r="AD3943">
        <v>-1.0995337700000001</v>
      </c>
      <c r="AE3943">
        <v>-11.6776</v>
      </c>
      <c r="AF3943">
        <v>-10.476907098316</v>
      </c>
      <c r="AG3943">
        <v>-1.0995337700000001</v>
      </c>
      <c r="AH3943">
        <v>73.564055109905496</v>
      </c>
      <c r="AI3943">
        <v>90.847761124134294</v>
      </c>
      <c r="AJ3943">
        <v>98.105489973563806</v>
      </c>
      <c r="AK3943">
        <v>74.314498996301694</v>
      </c>
      <c r="AL3943">
        <v>76.902547350938704</v>
      </c>
      <c r="AM3943">
        <v>88.133940408501402</v>
      </c>
      <c r="AN3943">
        <v>0.99999997982660505</v>
      </c>
    </row>
    <row r="3944" spans="1:40" x14ac:dyDescent="0.25">
      <c r="A3944" t="str">
        <f>"20190303170617994"</f>
        <v>20190303170617994</v>
      </c>
      <c r="B3944" t="str">
        <f>"1551603977989171"</f>
        <v>1551603977989171</v>
      </c>
      <c r="C3944" t="s">
        <v>40</v>
      </c>
      <c r="D3944">
        <v>5.8177250000000003</v>
      </c>
      <c r="E3944">
        <v>0.44177650000000002</v>
      </c>
      <c r="F3944" t="s">
        <v>84</v>
      </c>
      <c r="G3944">
        <v>-430.98989999999998</v>
      </c>
      <c r="H3944" s="1">
        <v>-7.1326470000000004E-6</v>
      </c>
      <c r="I3944">
        <v>130.2533</v>
      </c>
      <c r="J3944">
        <v>-360.28629999999998</v>
      </c>
      <c r="K3944">
        <v>1.1223609999999999</v>
      </c>
      <c r="L3944">
        <v>141.2355</v>
      </c>
      <c r="M3944">
        <v>-0.99972620000000001</v>
      </c>
      <c r="N3944">
        <v>-1.543636E-2</v>
      </c>
      <c r="O3944">
        <v>-1.759285E-2</v>
      </c>
      <c r="P3944">
        <v>-0.97732339999999995</v>
      </c>
      <c r="Q3944">
        <v>0.21123330000000001</v>
      </c>
      <c r="R3944">
        <v>1.482724E-2</v>
      </c>
      <c r="S3944">
        <v>-3.088562</v>
      </c>
      <c r="T3944">
        <v>-4.8629400000000003E-2</v>
      </c>
      <c r="U3944">
        <v>-0.47627259999999999</v>
      </c>
      <c r="V3944">
        <v>3.1040129999999999E-2</v>
      </c>
      <c r="W3944">
        <v>0.2264245</v>
      </c>
      <c r="X3944">
        <v>0.97353400000000001</v>
      </c>
      <c r="Y3944">
        <v>-0.1349582</v>
      </c>
      <c r="Z3944">
        <v>-2.098932E-3</v>
      </c>
      <c r="AA3944">
        <v>0.99084910000000004</v>
      </c>
      <c r="AB3944">
        <v>55</v>
      </c>
      <c r="AC3944">
        <v>-70.703599999999994</v>
      </c>
      <c r="AD3944">
        <v>-1.1223681326469901</v>
      </c>
      <c r="AE3944">
        <v>-10.982200000000001</v>
      </c>
      <c r="AF3944">
        <v>-9.7340789063144406</v>
      </c>
      <c r="AG3944">
        <v>-1.1223681326469901</v>
      </c>
      <c r="AH3944">
        <v>70.868448457463003</v>
      </c>
      <c r="AI3944">
        <v>90.898898857793498</v>
      </c>
      <c r="AJ3944">
        <v>97.820877522597399</v>
      </c>
      <c r="AK3944">
        <v>71.542637560741497</v>
      </c>
      <c r="AL3944">
        <v>76.913341922320399</v>
      </c>
      <c r="AM3944">
        <v>88.173801679726495</v>
      </c>
      <c r="AN3944">
        <v>0.99999999651333304</v>
      </c>
    </row>
    <row r="3945" spans="1:40" x14ac:dyDescent="0.25">
      <c r="A3945" t="str">
        <f>"20190303170618016"</f>
        <v>20190303170618016</v>
      </c>
      <c r="B3945" t="str">
        <f>"1551603978008690"</f>
        <v>1551603978008690</v>
      </c>
      <c r="C3945" t="s">
        <v>40</v>
      </c>
      <c r="D3945">
        <v>5.8381540000000003</v>
      </c>
      <c r="E3945">
        <v>0.44220429999999999</v>
      </c>
      <c r="F3945" t="s">
        <v>84</v>
      </c>
      <c r="G3945">
        <v>-427.73820000000001</v>
      </c>
      <c r="H3945" s="1">
        <v>-7.4794860000000002E-6</v>
      </c>
      <c r="I3945">
        <v>130.9804</v>
      </c>
      <c r="J3945">
        <v>-360.8467</v>
      </c>
      <c r="K3945">
        <v>1.1223730000000001</v>
      </c>
      <c r="L3945">
        <v>141.22499999999999</v>
      </c>
      <c r="M3945">
        <v>-0.99970360000000003</v>
      </c>
      <c r="N3945">
        <v>-1.5432929999999999E-2</v>
      </c>
      <c r="O3945">
        <v>-1.8840780000000001E-2</v>
      </c>
      <c r="P3945">
        <v>-0.97717719999999997</v>
      </c>
      <c r="Q3945">
        <v>0.21203449999999999</v>
      </c>
      <c r="R3945">
        <v>1.2906859999999999E-2</v>
      </c>
      <c r="S3945">
        <v>-3.087799</v>
      </c>
      <c r="T3945">
        <v>-5.1379559999999998E-2</v>
      </c>
      <c r="U3945">
        <v>-0.46945189999999998</v>
      </c>
      <c r="V3945">
        <v>3.0329829999999999E-2</v>
      </c>
      <c r="W3945">
        <v>0.22721730000000001</v>
      </c>
      <c r="X3945">
        <v>0.97337169999999895</v>
      </c>
      <c r="Y3945">
        <v>-0.13161689999999901</v>
      </c>
      <c r="Z3945">
        <v>-2.0879819999999999E-3</v>
      </c>
      <c r="AA3945">
        <v>0.99129840000000002</v>
      </c>
      <c r="AB3945">
        <v>55</v>
      </c>
      <c r="AC3945">
        <v>-66.891499999999994</v>
      </c>
      <c r="AD3945">
        <v>-1.1223804794859999</v>
      </c>
      <c r="AE3945">
        <v>-10.244599999999901</v>
      </c>
      <c r="AF3945">
        <v>-8.9798730050821494</v>
      </c>
      <c r="AG3945">
        <v>-1.1223804794859999</v>
      </c>
      <c r="AH3945">
        <v>67.054217209439599</v>
      </c>
      <c r="AI3945">
        <v>90.950466671761006</v>
      </c>
      <c r="AJ3945">
        <v>97.627643909862101</v>
      </c>
      <c r="AK3945">
        <v>67.662145271184201</v>
      </c>
      <c r="AL3945">
        <v>76.866702722724895</v>
      </c>
      <c r="AM3945">
        <v>88.215266409876094</v>
      </c>
      <c r="AN3945">
        <v>1.000000033184</v>
      </c>
    </row>
    <row r="3946" spans="1:40" x14ac:dyDescent="0.25">
      <c r="A3946" t="str">
        <f>"20190303170618038"</f>
        <v>20190303170618038</v>
      </c>
      <c r="B3946" t="str">
        <f>"1551603978029186"</f>
        <v>1551603978029186</v>
      </c>
      <c r="C3946" t="s">
        <v>40</v>
      </c>
      <c r="D3946">
        <v>5.8008670000000002</v>
      </c>
      <c r="E3946">
        <v>0.4425576</v>
      </c>
      <c r="F3946" t="s">
        <v>84</v>
      </c>
      <c r="G3946">
        <v>-430.89019999999999</v>
      </c>
      <c r="H3946" s="1">
        <v>-7.282174E-6</v>
      </c>
      <c r="I3946">
        <v>130.52209999999999</v>
      </c>
      <c r="J3946">
        <v>-361.3716</v>
      </c>
      <c r="K3946">
        <v>1.1223700000000001</v>
      </c>
      <c r="L3946">
        <v>141.21449999999999</v>
      </c>
      <c r="M3946">
        <v>-0.99968080000000004</v>
      </c>
      <c r="N3946">
        <v>-1.5429689999999999E-2</v>
      </c>
      <c r="O3946">
        <v>-2.000565E-2</v>
      </c>
      <c r="P3946">
        <v>-0.97711709999999996</v>
      </c>
      <c r="Q3946">
        <v>0.2124298</v>
      </c>
      <c r="R3946">
        <v>1.0769300000000001E-2</v>
      </c>
      <c r="S3946">
        <v>-3.0870359999999999</v>
      </c>
      <c r="T3946">
        <v>-4.946685E-2</v>
      </c>
      <c r="U3946">
        <v>-0.47171020000000002</v>
      </c>
      <c r="V3946">
        <v>2.9326680000000001E-2</v>
      </c>
      <c r="W3946">
        <v>0.227605</v>
      </c>
      <c r="X3946">
        <v>0.97331179999999995</v>
      </c>
      <c r="Y3946">
        <v>-0.13120899999999999</v>
      </c>
      <c r="Z3946">
        <v>-2.0518889999999999E-3</v>
      </c>
      <c r="AA3946">
        <v>0.99135260000000003</v>
      </c>
      <c r="AB3946">
        <v>55</v>
      </c>
      <c r="AC3946">
        <v>-69.518599999999907</v>
      </c>
      <c r="AD3946">
        <v>-1.1223772821739999</v>
      </c>
      <c r="AE3946">
        <v>-10.6923999999999</v>
      </c>
      <c r="AF3946">
        <v>-9.2969618766066606</v>
      </c>
      <c r="AG3946">
        <v>-1.1223772821739999</v>
      </c>
      <c r="AH3946">
        <v>69.700869177173004</v>
      </c>
      <c r="AI3946">
        <v>90.914443925124303</v>
      </c>
      <c r="AJ3946">
        <v>97.597480398109894</v>
      </c>
      <c r="AK3946">
        <v>70.327124176607697</v>
      </c>
      <c r="AL3946">
        <v>76.8438906902919</v>
      </c>
      <c r="AM3946">
        <v>88.274153489536005</v>
      </c>
      <c r="AN3946">
        <v>0.99999997510202998</v>
      </c>
    </row>
    <row r="3947" spans="1:40" x14ac:dyDescent="0.25">
      <c r="A3947" t="str">
        <f>"20190303170618062"</f>
        <v>20190303170618062</v>
      </c>
      <c r="B3947" t="str">
        <f>"1551603978048706"</f>
        <v>1551603978048706</v>
      </c>
      <c r="C3947" t="s">
        <v>40</v>
      </c>
      <c r="D3947">
        <v>5.8467510000000003</v>
      </c>
      <c r="E3947">
        <v>0.44278319999999999</v>
      </c>
      <c r="F3947" t="s">
        <v>84</v>
      </c>
      <c r="G3947">
        <v>-433.37209999999999</v>
      </c>
      <c r="H3947" s="1">
        <v>-6.1212279999999999E-6</v>
      </c>
      <c r="I3947">
        <v>130.119</v>
      </c>
      <c r="J3947">
        <v>-361.97219999999999</v>
      </c>
      <c r="K3947">
        <v>1.1223609999999999</v>
      </c>
      <c r="L3947">
        <v>141.20189999999999</v>
      </c>
      <c r="M3947">
        <v>-0.99965369999999998</v>
      </c>
      <c r="N3947">
        <v>-1.542553E-2</v>
      </c>
      <c r="O3947">
        <v>-2.132098E-2</v>
      </c>
      <c r="P3947">
        <v>-0.97744430000000004</v>
      </c>
      <c r="Q3947">
        <v>0.21107699999999999</v>
      </c>
      <c r="R3947">
        <v>7.0404119999999898E-3</v>
      </c>
      <c r="S3947">
        <v>-3.0859380000000001</v>
      </c>
      <c r="T3947">
        <v>-4.8105000000000002E-2</v>
      </c>
      <c r="U3947">
        <v>-0.47555540000000002</v>
      </c>
      <c r="V3947">
        <v>2.6900150000000001E-2</v>
      </c>
      <c r="W3947">
        <v>0.22624240000000001</v>
      </c>
      <c r="X3947">
        <v>0.97369950000000005</v>
      </c>
      <c r="Y3947">
        <v>-0.13116549999999999</v>
      </c>
      <c r="Z3947">
        <v>-2.0309339999999999E-3</v>
      </c>
      <c r="AA3947">
        <v>0.99135839999999997</v>
      </c>
      <c r="AB3947">
        <v>55</v>
      </c>
      <c r="AC3947">
        <v>-71.399900000000002</v>
      </c>
      <c r="AD3947">
        <v>-1.122367121228</v>
      </c>
      <c r="AE3947">
        <v>-11.082899999999899</v>
      </c>
      <c r="AF3947">
        <v>-9.5555774688346204</v>
      </c>
      <c r="AG3947">
        <v>-1.122367121228</v>
      </c>
      <c r="AH3947">
        <v>71.602715223023907</v>
      </c>
      <c r="AI3947">
        <v>90.890143153959102</v>
      </c>
      <c r="AJ3947">
        <v>97.601364418780094</v>
      </c>
      <c r="AK3947">
        <v>72.246228939835802</v>
      </c>
      <c r="AL3947">
        <v>76.924053215688005</v>
      </c>
      <c r="AM3947">
        <v>88.417506503995895</v>
      </c>
      <c r="AN3947">
        <v>0.99999997896401605</v>
      </c>
    </row>
    <row r="3948" spans="1:40" x14ac:dyDescent="0.25">
      <c r="A3948" t="str">
        <f>"20190303170618083"</f>
        <v>20190303170618083</v>
      </c>
      <c r="B3948" t="str">
        <f>"1551603978078962"</f>
        <v>1551603978078962</v>
      </c>
      <c r="C3948" t="s">
        <v>40</v>
      </c>
      <c r="D3948">
        <v>5.8460340000000004</v>
      </c>
      <c r="E3948">
        <v>0.4432276</v>
      </c>
      <c r="F3948" t="s">
        <v>84</v>
      </c>
      <c r="G3948">
        <v>-428.06529999999998</v>
      </c>
      <c r="H3948" s="1">
        <v>-7.4606570000000003E-6</v>
      </c>
      <c r="I3948">
        <v>130.80330000000001</v>
      </c>
      <c r="J3948">
        <v>-362.48559999999998</v>
      </c>
      <c r="K3948">
        <v>1.122336</v>
      </c>
      <c r="L3948">
        <v>141.19040000000001</v>
      </c>
      <c r="M3948">
        <v>-0.99963000000000002</v>
      </c>
      <c r="N3948">
        <v>-1.542162E-2</v>
      </c>
      <c r="O3948">
        <v>-2.241085E-2</v>
      </c>
      <c r="P3948">
        <v>-0.97774349999999999</v>
      </c>
      <c r="Q3948">
        <v>0.20977460000000001</v>
      </c>
      <c r="R3948">
        <v>3.5095819999999998E-3</v>
      </c>
      <c r="S3948">
        <v>-3.084015</v>
      </c>
      <c r="T3948">
        <v>-5.2371620000000001E-2</v>
      </c>
      <c r="U3948">
        <v>-0.48521419999999998</v>
      </c>
      <c r="V3948">
        <v>2.4457840000000002E-2</v>
      </c>
      <c r="W3948">
        <v>0.22493009999999999</v>
      </c>
      <c r="X3948">
        <v>0.97406789999999999</v>
      </c>
      <c r="Y3948">
        <v>-0.13320379999999901</v>
      </c>
      <c r="Z3948">
        <v>-2.1232669999999999E-3</v>
      </c>
      <c r="AA3948">
        <v>0.99108640000000003</v>
      </c>
      <c r="AB3948">
        <v>55</v>
      </c>
      <c r="AC3948">
        <v>-65.579700000000003</v>
      </c>
      <c r="AD3948">
        <v>-1.122343460657</v>
      </c>
      <c r="AE3948">
        <v>-10.3871</v>
      </c>
      <c r="AF3948">
        <v>-8.9120727245003302</v>
      </c>
      <c r="AG3948">
        <v>-1.122343460657</v>
      </c>
      <c r="AH3948">
        <v>65.777242477231596</v>
      </c>
      <c r="AI3948">
        <v>90.968682160826603</v>
      </c>
      <c r="AJ3948">
        <v>97.715944961381894</v>
      </c>
      <c r="AK3948">
        <v>66.387727201637105</v>
      </c>
      <c r="AL3948">
        <v>77.001232236710905</v>
      </c>
      <c r="AM3948">
        <v>88.561664310219598</v>
      </c>
      <c r="AN3948">
        <v>1.00000000481694</v>
      </c>
    </row>
    <row r="3949" spans="1:40" x14ac:dyDescent="0.25">
      <c r="A3949" t="str">
        <f>"20190303170618106"</f>
        <v>20190303170618106</v>
      </c>
      <c r="B3949" t="str">
        <f>"1551603978099459"</f>
        <v>1551603978099459</v>
      </c>
      <c r="C3949" t="s">
        <v>40</v>
      </c>
      <c r="D3949">
        <v>5.8471549999999999</v>
      </c>
      <c r="E3949">
        <v>0.44344670000000003</v>
      </c>
      <c r="F3949" t="s">
        <v>84</v>
      </c>
      <c r="G3949">
        <v>-422.55619999999999</v>
      </c>
      <c r="H3949" s="1">
        <v>-6.912435E-6</v>
      </c>
      <c r="I3949">
        <v>131.59440000000001</v>
      </c>
      <c r="J3949">
        <v>-363.04500000000002</v>
      </c>
      <c r="K3949">
        <v>1.1223000000000001</v>
      </c>
      <c r="L3949">
        <v>141.1773</v>
      </c>
      <c r="M3949">
        <v>-0.99960400000000005</v>
      </c>
      <c r="N3949">
        <v>-1.5417419999999999E-2</v>
      </c>
      <c r="O3949">
        <v>-2.3536540000000002E-2</v>
      </c>
      <c r="P3949">
        <v>-0.97770389999999996</v>
      </c>
      <c r="Q3949">
        <v>0.20998710000000001</v>
      </c>
      <c r="R3949">
        <v>6.854017E-4</v>
      </c>
      <c r="S3949">
        <v>-3.0823969999999998</v>
      </c>
      <c r="T3949">
        <v>-5.7590599999999902E-2</v>
      </c>
      <c r="U3949">
        <v>-0.49240109999999898</v>
      </c>
      <c r="V3949">
        <v>2.2755170000000002E-2</v>
      </c>
      <c r="W3949">
        <v>0.225129</v>
      </c>
      <c r="X3949">
        <v>0.97406320000000002</v>
      </c>
      <c r="Y3949">
        <v>-0.1344157</v>
      </c>
      <c r="Z3949">
        <v>-2.2146890000000002E-3</v>
      </c>
      <c r="AA3949">
        <v>0.99092259999999999</v>
      </c>
      <c r="AB3949">
        <v>55</v>
      </c>
      <c r="AC3949">
        <v>-59.511199999999903</v>
      </c>
      <c r="AD3949">
        <v>-1.122306912435</v>
      </c>
      <c r="AE3949">
        <v>-9.5828999999999898</v>
      </c>
      <c r="AF3949">
        <v>-8.1765558097406199</v>
      </c>
      <c r="AG3949">
        <v>-1.122306912435</v>
      </c>
      <c r="AH3949">
        <v>59.699589585421997</v>
      </c>
      <c r="AI3949">
        <v>91.067031130232294</v>
      </c>
      <c r="AJ3949">
        <v>97.798802904311103</v>
      </c>
      <c r="AK3949">
        <v>60.267376202911997</v>
      </c>
      <c r="AL3949">
        <v>76.989535940641403</v>
      </c>
      <c r="AM3949">
        <v>88.661752023297396</v>
      </c>
      <c r="AN3949">
        <v>0.99999999099848402</v>
      </c>
    </row>
    <row r="3950" spans="1:40" x14ac:dyDescent="0.25">
      <c r="A3950" t="str">
        <f>"20190303170618127"</f>
        <v>20190303170618127</v>
      </c>
      <c r="B3950" t="str">
        <f>"1551603978118978"</f>
        <v>1551603978118978</v>
      </c>
      <c r="C3950" t="s">
        <v>40</v>
      </c>
      <c r="D3950">
        <v>5.8473579999999998</v>
      </c>
      <c r="E3950">
        <v>0.44370419999999999</v>
      </c>
      <c r="F3950" t="s">
        <v>84</v>
      </c>
      <c r="G3950">
        <v>-423.96289999999999</v>
      </c>
      <c r="H3950" s="1">
        <v>-7.0169639999999998E-6</v>
      </c>
      <c r="I3950">
        <v>131.30260000000001</v>
      </c>
      <c r="J3950">
        <v>-363.56939999999997</v>
      </c>
      <c r="K3950">
        <v>1.12226</v>
      </c>
      <c r="L3950">
        <v>141.1644</v>
      </c>
      <c r="M3950">
        <v>-0.99958029999999998</v>
      </c>
      <c r="N3950">
        <v>-1.541321E-2</v>
      </c>
      <c r="O3950">
        <v>-2.4534819999999999E-2</v>
      </c>
      <c r="P3950">
        <v>-0.97739180000000003</v>
      </c>
      <c r="Q3950">
        <v>0.21143799999999999</v>
      </c>
      <c r="R3950">
        <v>-1.747389E-4</v>
      </c>
      <c r="S3950">
        <v>-3.0809630000000001</v>
      </c>
      <c r="T3950">
        <v>-5.676138E-2</v>
      </c>
      <c r="U3950">
        <v>-0.49942019999999998</v>
      </c>
      <c r="V3950">
        <v>2.2885579999999999E-2</v>
      </c>
      <c r="W3950">
        <v>0.22656850000000001</v>
      </c>
      <c r="X3950">
        <v>0.97372630000000004</v>
      </c>
      <c r="Y3950">
        <v>-0.13569879999999901</v>
      </c>
      <c r="Z3950">
        <v>-2.2217349999999999E-3</v>
      </c>
      <c r="AA3950">
        <v>0.99074759999999995</v>
      </c>
      <c r="AB3950">
        <v>55</v>
      </c>
      <c r="AC3950">
        <v>-60.393500000000003</v>
      </c>
      <c r="AD3950">
        <v>-1.1222670169640001</v>
      </c>
      <c r="AE3950">
        <v>-9.8617999999999792</v>
      </c>
      <c r="AF3950">
        <v>-8.3740946146179294</v>
      </c>
      <c r="AG3950">
        <v>-1.1222670169640001</v>
      </c>
      <c r="AH3950">
        <v>60.5969205871829</v>
      </c>
      <c r="AI3950">
        <v>91.051021766493193</v>
      </c>
      <c r="AJ3950">
        <v>97.8680646821811</v>
      </c>
      <c r="AK3950">
        <v>61.183100023791603</v>
      </c>
      <c r="AL3950">
        <v>76.904870854325296</v>
      </c>
      <c r="AM3950">
        <v>88.653619827864105</v>
      </c>
      <c r="AN3950">
        <v>0.99999997113793704</v>
      </c>
    </row>
    <row r="3951" spans="1:40" x14ac:dyDescent="0.25">
      <c r="A3951" t="str">
        <f>"20190303170618150"</f>
        <v>20190303170618150</v>
      </c>
      <c r="B3951" t="str">
        <f>"1551603978139475"</f>
        <v>1551603978139475</v>
      </c>
      <c r="C3951" t="s">
        <v>40</v>
      </c>
      <c r="D3951">
        <v>5.8409149999999999</v>
      </c>
      <c r="E3951">
        <v>0.44388939999999999</v>
      </c>
      <c r="F3951" t="s">
        <v>84</v>
      </c>
      <c r="G3951">
        <v>-430.1189</v>
      </c>
      <c r="H3951" s="1">
        <v>-7.519756E-6</v>
      </c>
      <c r="I3951">
        <v>130.3579</v>
      </c>
      <c r="J3951">
        <v>-364.11930000000001</v>
      </c>
      <c r="K3951">
        <v>1.122196</v>
      </c>
      <c r="L3951">
        <v>141.15049999999999</v>
      </c>
      <c r="M3951">
        <v>-0.99955609999999995</v>
      </c>
      <c r="N3951">
        <v>-1.5408740000000001E-2</v>
      </c>
      <c r="O3951">
        <v>-2.550301E-2</v>
      </c>
      <c r="P3951">
        <v>-0.97728769999999998</v>
      </c>
      <c r="Q3951">
        <v>0.2119152</v>
      </c>
      <c r="R3951">
        <v>-7.9754320000000002E-4</v>
      </c>
      <c r="S3951">
        <v>-3.0805359999999999</v>
      </c>
      <c r="T3951">
        <v>-5.1949019999999999E-2</v>
      </c>
      <c r="U3951">
        <v>-0.50022889999999998</v>
      </c>
      <c r="V3951">
        <v>2.3241729999999999E-2</v>
      </c>
      <c r="W3951">
        <v>0.22703709999999999</v>
      </c>
      <c r="X3951">
        <v>0.97360869999999999</v>
      </c>
      <c r="Y3951">
        <v>-0.13501959999999999</v>
      </c>
      <c r="Z3951">
        <v>-2.1418639999999998E-3</v>
      </c>
      <c r="AA3951">
        <v>0.99084059999999896</v>
      </c>
      <c r="AB3951">
        <v>55</v>
      </c>
      <c r="AC3951">
        <v>-65.999599999999901</v>
      </c>
      <c r="AD3951">
        <v>-1.1222035197560001</v>
      </c>
      <c r="AE3951">
        <v>-10.792599999999901</v>
      </c>
      <c r="AF3951">
        <v>-9.1031374531263403</v>
      </c>
      <c r="AG3951">
        <v>-1.1222035197560001</v>
      </c>
      <c r="AH3951">
        <v>66.234754361752394</v>
      </c>
      <c r="AI3951">
        <v>90.961621353703904</v>
      </c>
      <c r="AJ3951">
        <v>97.825560583008993</v>
      </c>
      <c r="AK3951">
        <v>66.866801460754402</v>
      </c>
      <c r="AL3951">
        <v>76.877303544066905</v>
      </c>
      <c r="AM3951">
        <v>88.632509988666897</v>
      </c>
      <c r="AN3951">
        <v>0.99999996175274497</v>
      </c>
    </row>
    <row r="3952" spans="1:40" x14ac:dyDescent="0.25">
      <c r="A3952" t="str">
        <f>"20190303170618172"</f>
        <v>20190303170618172</v>
      </c>
      <c r="B3952" t="str">
        <f>"1551603978168755"</f>
        <v>1551603978168755</v>
      </c>
      <c r="C3952" t="s">
        <v>40</v>
      </c>
      <c r="D3952">
        <v>5.7993110000000003</v>
      </c>
      <c r="E3952">
        <v>0.44416650000000002</v>
      </c>
      <c r="F3952" t="s">
        <v>84</v>
      </c>
      <c r="G3952">
        <v>-431.3107</v>
      </c>
      <c r="H3952" s="1">
        <v>-7.000878E-6</v>
      </c>
      <c r="I3952">
        <v>130.24610000000001</v>
      </c>
      <c r="J3952">
        <v>-364.66410000000002</v>
      </c>
      <c r="K3952">
        <v>1.1221129999999999</v>
      </c>
      <c r="L3952">
        <v>141.1362</v>
      </c>
      <c r="M3952">
        <v>-0.99953409999999998</v>
      </c>
      <c r="N3952">
        <v>-1.540409E-2</v>
      </c>
      <c r="O3952">
        <v>-2.6353310000000001E-2</v>
      </c>
      <c r="P3952">
        <v>-0.97742620000000002</v>
      </c>
      <c r="Q3952">
        <v>0.21124970000000001</v>
      </c>
      <c r="R3952">
        <v>-3.416915E-3</v>
      </c>
      <c r="S3952">
        <v>-3.080444</v>
      </c>
      <c r="T3952">
        <v>-5.1448349999999997E-2</v>
      </c>
      <c r="U3952">
        <v>-0.49992370000000003</v>
      </c>
      <c r="V3952">
        <v>2.1509540000000001E-2</v>
      </c>
      <c r="W3952">
        <v>0.22635810000000001</v>
      </c>
      <c r="X3952">
        <v>0.97380659999999997</v>
      </c>
      <c r="Y3952">
        <v>-0.1340865</v>
      </c>
      <c r="Z3952">
        <v>-2.1186289999999999E-3</v>
      </c>
      <c r="AA3952">
        <v>0.99096740000000005</v>
      </c>
      <c r="AB3952">
        <v>55</v>
      </c>
      <c r="AC3952">
        <v>-66.646599999999907</v>
      </c>
      <c r="AD3952">
        <v>-1.1221200008779999</v>
      </c>
      <c r="AE3952">
        <v>-10.890099999999901</v>
      </c>
      <c r="AF3952">
        <v>-9.1272300221476801</v>
      </c>
      <c r="AG3952">
        <v>-1.1221200008779999</v>
      </c>
      <c r="AH3952">
        <v>66.892002344850397</v>
      </c>
      <c r="AI3952">
        <v>90.952230547725193</v>
      </c>
      <c r="AJ3952">
        <v>97.769869431682693</v>
      </c>
      <c r="AK3952">
        <v>67.521148234290493</v>
      </c>
      <c r="AL3952">
        <v>76.917247445142493</v>
      </c>
      <c r="AM3952">
        <v>88.734650703635197</v>
      </c>
      <c r="AN3952">
        <v>0.99999997197509005</v>
      </c>
    </row>
    <row r="3953" spans="1:40" x14ac:dyDescent="0.25">
      <c r="A3953" t="str">
        <f>"20190303170618195"</f>
        <v>20190303170618195</v>
      </c>
      <c r="B3953" t="str">
        <f>"1551603978189252"</f>
        <v>1551603978189252</v>
      </c>
      <c r="C3953" t="s">
        <v>40</v>
      </c>
      <c r="D3953">
        <v>5.8780809999999999</v>
      </c>
      <c r="E3953">
        <v>0.44417089999999998</v>
      </c>
      <c r="F3953" t="s">
        <v>84</v>
      </c>
      <c r="G3953">
        <v>-426.23039999999997</v>
      </c>
      <c r="H3953" s="1">
        <v>-7.2774829999999902E-6</v>
      </c>
      <c r="I3953">
        <v>131.06530000000001</v>
      </c>
      <c r="J3953">
        <v>-365.22269999999997</v>
      </c>
      <c r="K3953">
        <v>1.1219939999999999</v>
      </c>
      <c r="L3953">
        <v>141.12119999999999</v>
      </c>
      <c r="M3953">
        <v>-0.99951460000000003</v>
      </c>
      <c r="N3953">
        <v>-1.539925E-2</v>
      </c>
      <c r="O3953">
        <v>-2.7083869999999999E-2</v>
      </c>
      <c r="P3953">
        <v>-0.97771169999999996</v>
      </c>
      <c r="Q3953">
        <v>0.20985619999999999</v>
      </c>
      <c r="R3953">
        <v>-6.3695289999999996E-3</v>
      </c>
      <c r="S3953">
        <v>-3.07959</v>
      </c>
      <c r="T3953">
        <v>-5.6129220000000001E-2</v>
      </c>
      <c r="U3953">
        <v>-0.50375369999999997</v>
      </c>
      <c r="V3953">
        <v>1.9349479999999999E-2</v>
      </c>
      <c r="W3953">
        <v>0.2249515</v>
      </c>
      <c r="X3953">
        <v>0.97417779999999998</v>
      </c>
      <c r="Y3953">
        <v>-0.1346011</v>
      </c>
      <c r="Z3953">
        <v>-2.186459E-3</v>
      </c>
      <c r="AA3953">
        <v>0.99089749999999999</v>
      </c>
      <c r="AB3953">
        <v>55</v>
      </c>
      <c r="AC3953">
        <v>-61.0077</v>
      </c>
      <c r="AD3953">
        <v>-1.1220012774829999</v>
      </c>
      <c r="AE3953">
        <v>-10.0558999999999</v>
      </c>
      <c r="AF3953">
        <v>-8.3969247876002893</v>
      </c>
      <c r="AG3953">
        <v>-1.1220012774829999</v>
      </c>
      <c r="AH3953">
        <v>61.237535119729998</v>
      </c>
      <c r="AI3953">
        <v>91.039933776430203</v>
      </c>
      <c r="AJ3953">
        <v>97.807738213976094</v>
      </c>
      <c r="AK3953">
        <v>61.820732285338202</v>
      </c>
      <c r="AL3953">
        <v>76.999973567544899</v>
      </c>
      <c r="AM3953">
        <v>88.8621196432848</v>
      </c>
      <c r="AN3953">
        <v>0.99999998287068004</v>
      </c>
    </row>
    <row r="3954" spans="1:40" x14ac:dyDescent="0.25">
      <c r="A3954" t="str">
        <f>"20190303170618217"</f>
        <v>20190303170618217</v>
      </c>
      <c r="B3954" t="str">
        <f>"1551603978208770"</f>
        <v>1551603978208770</v>
      </c>
      <c r="C3954" t="s">
        <v>40</v>
      </c>
      <c r="D3954">
        <v>5.8629389999999999</v>
      </c>
      <c r="E3954">
        <v>0.44433909999999999</v>
      </c>
      <c r="F3954" t="s">
        <v>84</v>
      </c>
      <c r="G3954">
        <v>-420.8528</v>
      </c>
      <c r="H3954" s="1">
        <v>-6.7756739999999999E-6</v>
      </c>
      <c r="I3954">
        <v>131.8784</v>
      </c>
      <c r="J3954">
        <v>-365.77089999999998</v>
      </c>
      <c r="K3954">
        <v>1.121856</v>
      </c>
      <c r="L3954">
        <v>141.1061</v>
      </c>
      <c r="M3954">
        <v>-0.99949940000000004</v>
      </c>
      <c r="N3954">
        <v>-1.5394440000000001E-2</v>
      </c>
      <c r="O3954">
        <v>-2.7643959999999999E-2</v>
      </c>
      <c r="P3954">
        <v>-0.97773779999999999</v>
      </c>
      <c r="Q3954">
        <v>0.2096655</v>
      </c>
      <c r="R3954">
        <v>-8.3400290000000005E-3</v>
      </c>
      <c r="S3954">
        <v>-3.07843</v>
      </c>
      <c r="T3954">
        <v>-6.2088730000000002E-2</v>
      </c>
      <c r="U3954">
        <v>-0.5114746</v>
      </c>
      <c r="V3954">
        <v>1.800628E-2</v>
      </c>
      <c r="W3954">
        <v>0.22474659999999999</v>
      </c>
      <c r="X3954">
        <v>0.97425090000000003</v>
      </c>
      <c r="Y3954">
        <v>-0.13651720000000001</v>
      </c>
      <c r="Z3954">
        <v>-2.2950370000000002E-3</v>
      </c>
      <c r="AA3954">
        <v>0.99063500000000004</v>
      </c>
      <c r="AB3954">
        <v>55</v>
      </c>
      <c r="AC3954">
        <v>-55.081899999999997</v>
      </c>
      <c r="AD3954">
        <v>-1.1218627756739901</v>
      </c>
      <c r="AE3954">
        <v>-9.2277000000000005</v>
      </c>
      <c r="AF3954">
        <v>-7.6982043044984101</v>
      </c>
      <c r="AG3954">
        <v>-1.1218627756739901</v>
      </c>
      <c r="AH3954">
        <v>55.293654029096501</v>
      </c>
      <c r="AI3954">
        <v>91.151224087086504</v>
      </c>
      <c r="AJ3954">
        <v>97.925999550975405</v>
      </c>
      <c r="AK3954">
        <v>55.838240494222802</v>
      </c>
      <c r="AL3954">
        <v>77.012022721337502</v>
      </c>
      <c r="AM3954">
        <v>88.941169670451799</v>
      </c>
      <c r="AN3954">
        <v>1.0000000382409</v>
      </c>
    </row>
    <row r="3955" spans="1:40" x14ac:dyDescent="0.25">
      <c r="A3955" t="str">
        <f>"20190303170618239"</f>
        <v>20190303170618239</v>
      </c>
      <c r="B3955" t="str">
        <f>"1551603978229267"</f>
        <v>1551603978229267</v>
      </c>
      <c r="C3955" t="s">
        <v>40</v>
      </c>
      <c r="D3955">
        <v>5.9034879999999896</v>
      </c>
      <c r="E3955">
        <v>0.44445600000000002</v>
      </c>
      <c r="F3955" t="s">
        <v>84</v>
      </c>
      <c r="G3955">
        <v>-421.322</v>
      </c>
      <c r="H3955" s="1">
        <v>-6.7991459999999998E-6</v>
      </c>
      <c r="I3955">
        <v>131.7705</v>
      </c>
      <c r="J3955">
        <v>-366.28899999999999</v>
      </c>
      <c r="K3955">
        <v>1.121718</v>
      </c>
      <c r="L3955">
        <v>141.0917</v>
      </c>
      <c r="M3955">
        <v>-0.9994885</v>
      </c>
      <c r="N3955">
        <v>-1.5389969999999999E-2</v>
      </c>
      <c r="O3955">
        <v>-2.803748E-2</v>
      </c>
      <c r="P3955">
        <v>-0.97768029999999995</v>
      </c>
      <c r="Q3955">
        <v>0.20987539999999999</v>
      </c>
      <c r="R3955">
        <v>-9.6840520000000003E-3</v>
      </c>
      <c r="S3955">
        <v>-3.0772089999999999</v>
      </c>
      <c r="T3955">
        <v>-6.2144640000000001E-2</v>
      </c>
      <c r="U3955">
        <v>-0.51713560000000003</v>
      </c>
      <c r="V3955">
        <v>1.7125439999999999E-2</v>
      </c>
      <c r="W3955">
        <v>0.22494220000000001</v>
      </c>
      <c r="X3955">
        <v>0.97422160000000002</v>
      </c>
      <c r="Y3955">
        <v>-0.1379629</v>
      </c>
      <c r="Z3955">
        <v>-2.3194819999999999E-3</v>
      </c>
      <c r="AA3955">
        <v>0.9904347</v>
      </c>
      <c r="AB3955">
        <v>55</v>
      </c>
      <c r="AC3955">
        <v>-55.032999999999902</v>
      </c>
      <c r="AD3955">
        <v>-1.121724799146</v>
      </c>
      <c r="AE3955">
        <v>-9.3211999999999993</v>
      </c>
      <c r="AF3955">
        <v>-7.7712269060253902</v>
      </c>
      <c r="AG3955">
        <v>-1.121724799146</v>
      </c>
      <c r="AH3955">
        <v>55.250419740275099</v>
      </c>
      <c r="AI3955">
        <v>91.151756921725905</v>
      </c>
      <c r="AJ3955">
        <v>98.006393155977605</v>
      </c>
      <c r="AK3955">
        <v>55.805547355317103</v>
      </c>
      <c r="AL3955">
        <v>77.000520660116706</v>
      </c>
      <c r="AM3955">
        <v>88.992924827738605</v>
      </c>
      <c r="AN3955">
        <v>0.99999999997129596</v>
      </c>
    </row>
    <row r="3956" spans="1:40" x14ac:dyDescent="0.25">
      <c r="A3956" t="str">
        <f>"20190303170618264"</f>
        <v>20190303170618264</v>
      </c>
      <c r="B3956" t="str">
        <f>"1551603978248787"</f>
        <v>1551603978248787</v>
      </c>
      <c r="C3956" t="s">
        <v>40</v>
      </c>
      <c r="D3956">
        <v>5.9342930000000003</v>
      </c>
      <c r="E3956">
        <v>0.42800899999999997</v>
      </c>
      <c r="F3956" t="s">
        <v>84</v>
      </c>
      <c r="G3956">
        <v>-422.99200000000002</v>
      </c>
      <c r="H3956" s="1">
        <v>-6.9340639999999899E-6</v>
      </c>
      <c r="I3956">
        <v>131.47669999999999</v>
      </c>
      <c r="J3956">
        <v>-366.89870000000002</v>
      </c>
      <c r="K3956">
        <v>1.1215440000000001</v>
      </c>
      <c r="L3956">
        <v>141.0745</v>
      </c>
      <c r="M3956">
        <v>-0.99947989999999998</v>
      </c>
      <c r="N3956">
        <v>-1.538484E-2</v>
      </c>
      <c r="O3956">
        <v>-2.8345470000000001E-2</v>
      </c>
      <c r="P3956">
        <v>-0.97764479999999998</v>
      </c>
      <c r="Q3956">
        <v>0.20989830000000001</v>
      </c>
      <c r="R3956">
        <v>-1.2387850000000001E-2</v>
      </c>
      <c r="S3956">
        <v>-3.0763850000000001</v>
      </c>
      <c r="T3956">
        <v>-6.0858490000000001E-2</v>
      </c>
      <c r="U3956">
        <v>-0.52165220000000001</v>
      </c>
      <c r="V3956">
        <v>1.4820959999999999E-2</v>
      </c>
      <c r="W3956">
        <v>0.2249478</v>
      </c>
      <c r="X3956">
        <v>0.97425810000000002</v>
      </c>
      <c r="Y3956">
        <v>-0.13911579999999901</v>
      </c>
      <c r="Z3956">
        <v>-2.3211070000000002E-3</v>
      </c>
      <c r="AA3956">
        <v>0.99027339999999997</v>
      </c>
      <c r="AB3956">
        <v>55</v>
      </c>
      <c r="AC3956">
        <v>-56.0932999999999</v>
      </c>
      <c r="AD3956">
        <v>-1.121550934064</v>
      </c>
      <c r="AE3956">
        <v>-9.5977999999999994</v>
      </c>
      <c r="AF3956">
        <v>-8.0006560997902803</v>
      </c>
      <c r="AG3956">
        <v>-1.121550934064</v>
      </c>
      <c r="AH3956">
        <v>56.320966643358403</v>
      </c>
      <c r="AI3956">
        <v>91.129475903791302</v>
      </c>
      <c r="AJ3956">
        <v>98.085038328807201</v>
      </c>
      <c r="AK3956">
        <v>56.897448608589698</v>
      </c>
      <c r="AL3956">
        <v>77.0001914903971</v>
      </c>
      <c r="AM3956">
        <v>89.128451732412898</v>
      </c>
      <c r="AN3956">
        <v>1.00000000949788</v>
      </c>
    </row>
    <row r="3957" spans="1:40" x14ac:dyDescent="0.25">
      <c r="A3957" t="str">
        <f>"20190303170618285"</f>
        <v>20190303170618285</v>
      </c>
      <c r="B3957" t="str">
        <f>"1551603978279042"</f>
        <v>1551603978279042</v>
      </c>
      <c r="C3957" t="s">
        <v>40</v>
      </c>
      <c r="D3957">
        <v>5.891</v>
      </c>
      <c r="E3957">
        <v>0.41856409999999999</v>
      </c>
      <c r="F3957" t="s">
        <v>43</v>
      </c>
      <c r="G3957">
        <v>-484.81529999999998</v>
      </c>
      <c r="H3957">
        <v>-0.05</v>
      </c>
      <c r="I3957">
        <v>115.74939999999999</v>
      </c>
      <c r="J3957">
        <v>-367.44380000000001</v>
      </c>
      <c r="K3957">
        <v>1.121383</v>
      </c>
      <c r="L3957">
        <v>141.059</v>
      </c>
      <c r="M3957">
        <v>-0.99947699999999995</v>
      </c>
      <c r="N3957">
        <v>-1.538078E-2</v>
      </c>
      <c r="O3957">
        <v>-2.8449740000000001E-2</v>
      </c>
      <c r="P3957">
        <v>-0.97769090000000003</v>
      </c>
      <c r="Q3957">
        <v>0.20948739999999999</v>
      </c>
      <c r="R3957">
        <v>-1.534746E-2</v>
      </c>
      <c r="S3957">
        <v>-3.0668030000000002</v>
      </c>
      <c r="T3957">
        <v>-3.0469779999999998E-2</v>
      </c>
      <c r="U3957">
        <v>-0.65866089999999999</v>
      </c>
      <c r="V3957">
        <v>1.205843E-2</v>
      </c>
      <c r="W3957">
        <v>0.224524</v>
      </c>
      <c r="X3957">
        <v>0.97439399999999998</v>
      </c>
      <c r="Y3957">
        <v>-0.18205689999999999</v>
      </c>
      <c r="Z3957">
        <v>-2.4640560000000001E-3</v>
      </c>
      <c r="AA3957">
        <v>0.98328490000000002</v>
      </c>
      <c r="AB3957">
        <v>55</v>
      </c>
      <c r="AC3957">
        <v>-117.371499999999</v>
      </c>
      <c r="AD3957">
        <v>-1.1713830000000001</v>
      </c>
      <c r="AE3957">
        <v>-25.3096</v>
      </c>
      <c r="AF3957">
        <v>-21.9576796726545</v>
      </c>
      <c r="AG3957">
        <v>-1.1713830000000001</v>
      </c>
      <c r="AH3957">
        <v>118.032882212023</v>
      </c>
      <c r="AI3957">
        <v>90.559006685400405</v>
      </c>
      <c r="AJ3957">
        <v>100.53827993071801</v>
      </c>
      <c r="AK3957">
        <v>120.063621126538</v>
      </c>
      <c r="AL3957">
        <v>77.025111418761398</v>
      </c>
      <c r="AM3957">
        <v>89.290983031633502</v>
      </c>
      <c r="AN3957">
        <v>1.0000000497730299</v>
      </c>
    </row>
    <row r="3958" spans="1:40" x14ac:dyDescent="0.25">
      <c r="A3958" t="str">
        <f>"20190303170618308"</f>
        <v>20190303170618308</v>
      </c>
      <c r="B3958" t="str">
        <f>"1551603978298563"</f>
        <v>1551603978298563</v>
      </c>
      <c r="C3958" t="s">
        <v>40</v>
      </c>
      <c r="D3958">
        <v>5.9129849999999999</v>
      </c>
      <c r="E3958">
        <v>0.41608420000000002</v>
      </c>
      <c r="F3958" t="s">
        <v>91</v>
      </c>
      <c r="G3958">
        <v>-456.97320000000002</v>
      </c>
      <c r="H3958">
        <v>1.254043</v>
      </c>
      <c r="I3958">
        <v>119.395</v>
      </c>
      <c r="J3958">
        <v>-367.97629999999998</v>
      </c>
      <c r="K3958">
        <v>1.121229</v>
      </c>
      <c r="L3958">
        <v>141.04390000000001</v>
      </c>
      <c r="M3958">
        <v>-0.99947770000000002</v>
      </c>
      <c r="N3958">
        <v>-1.5376839999999999E-2</v>
      </c>
      <c r="O3958">
        <v>-2.842592E-2</v>
      </c>
      <c r="P3958">
        <v>-0.97770360000000001</v>
      </c>
      <c r="Q3958">
        <v>0.20921699999999999</v>
      </c>
      <c r="R3958">
        <v>-1.8001199999999998E-2</v>
      </c>
      <c r="S3958">
        <v>-3.055847</v>
      </c>
      <c r="T3958">
        <v>4.5289989999999997E-3</v>
      </c>
      <c r="U3958">
        <v>-0.73944089999999996</v>
      </c>
      <c r="V3958">
        <v>9.473057E-3</v>
      </c>
      <c r="W3958">
        <v>0.224242</v>
      </c>
      <c r="X3958">
        <v>0.97448749999999995</v>
      </c>
      <c r="Y3958">
        <v>-0.20746700000000001</v>
      </c>
      <c r="Z3958">
        <v>-1.939135E-3</v>
      </c>
      <c r="AA3958">
        <v>0.97824009999999995</v>
      </c>
      <c r="AB3958">
        <v>55</v>
      </c>
      <c r="AC3958">
        <v>-88.996899999999997</v>
      </c>
      <c r="AD3958">
        <v>0.13281399999999999</v>
      </c>
      <c r="AE3958">
        <v>-21.648900000000001</v>
      </c>
      <c r="AF3958">
        <v>-19.109991766835702</v>
      </c>
      <c r="AG3958">
        <v>0.13281399999999999</v>
      </c>
      <c r="AH3958">
        <v>89.576202288808503</v>
      </c>
      <c r="AI3958">
        <v>89.916917641843199</v>
      </c>
      <c r="AJ3958">
        <v>102.042821048139</v>
      </c>
      <c r="AK3958">
        <v>91.592059925370506</v>
      </c>
      <c r="AL3958">
        <v>77.041691615159706</v>
      </c>
      <c r="AM3958">
        <v>89.443041507273406</v>
      </c>
      <c r="AN3958">
        <v>1.0000000505145801</v>
      </c>
    </row>
    <row r="3959" spans="1:40" x14ac:dyDescent="0.25">
      <c r="A3959" t="str">
        <f>"20190303170618329"</f>
        <v>20190303170618329</v>
      </c>
      <c r="B3959" t="str">
        <f>"1551603978319059"</f>
        <v>1551603978319059</v>
      </c>
      <c r="C3959" t="s">
        <v>40</v>
      </c>
      <c r="D3959">
        <v>5.8913440000000001</v>
      </c>
      <c r="E3959">
        <v>0.41507769999999999</v>
      </c>
      <c r="F3959" t="s">
        <v>91</v>
      </c>
      <c r="G3959">
        <v>-452.34769999999997</v>
      </c>
      <c r="H3959">
        <v>1.420204</v>
      </c>
      <c r="I3959">
        <v>119.8177</v>
      </c>
      <c r="J3959">
        <v>-368.50810000000001</v>
      </c>
      <c r="K3959">
        <v>1.121067</v>
      </c>
      <c r="L3959">
        <v>141.02889999999999</v>
      </c>
      <c r="M3959">
        <v>-0.99948210000000004</v>
      </c>
      <c r="N3959">
        <v>-1.5373019999999999E-2</v>
      </c>
      <c r="O3959">
        <v>-2.8274290000000001E-2</v>
      </c>
      <c r="P3959">
        <v>-0.97756860000000001</v>
      </c>
      <c r="Q3959">
        <v>0.20959369999999999</v>
      </c>
      <c r="R3959">
        <v>-2.0743959999999999E-2</v>
      </c>
      <c r="S3959">
        <v>-3.0519409999999998</v>
      </c>
      <c r="T3959">
        <v>1.0815740000000001E-2</v>
      </c>
      <c r="U3959">
        <v>-0.76780700000000002</v>
      </c>
      <c r="V3959">
        <v>6.6708679999999999E-3</v>
      </c>
      <c r="W3959">
        <v>0.22460720000000001</v>
      </c>
      <c r="X3959">
        <v>0.97442660000000003</v>
      </c>
      <c r="Y3959">
        <v>-0.21646560000000001</v>
      </c>
      <c r="Z3959">
        <v>-1.8388040000000001E-3</v>
      </c>
      <c r="AA3959">
        <v>0.9762885</v>
      </c>
      <c r="AB3959">
        <v>55</v>
      </c>
      <c r="AC3959">
        <v>-83.839599999999905</v>
      </c>
      <c r="AD3959">
        <v>0.29913699999999999</v>
      </c>
      <c r="AE3959">
        <v>-21.211199999999899</v>
      </c>
      <c r="AF3959">
        <v>-18.831707448443201</v>
      </c>
      <c r="AG3959">
        <v>0.29913699999999999</v>
      </c>
      <c r="AH3959">
        <v>84.404865769092495</v>
      </c>
      <c r="AI3959">
        <v>89.801813233764804</v>
      </c>
      <c r="AJ3959">
        <v>102.57735995214701</v>
      </c>
      <c r="AK3959">
        <v>86.480657108205605</v>
      </c>
      <c r="AL3959">
        <v>77.020219425092293</v>
      </c>
      <c r="AM3959">
        <v>89.607762543413301</v>
      </c>
      <c r="AN3959">
        <v>1.0000000467796299</v>
      </c>
    </row>
    <row r="3960" spans="1:40" x14ac:dyDescent="0.25">
      <c r="A3960" t="str">
        <f>"20190303170618350"</f>
        <v>20190303170618350</v>
      </c>
      <c r="B3960" t="str">
        <f>"1551603978338579"</f>
        <v>1551603978338579</v>
      </c>
      <c r="C3960" t="s">
        <v>40</v>
      </c>
      <c r="D3960">
        <v>5.8945780000000001</v>
      </c>
      <c r="E3960">
        <v>0.41416219999999998</v>
      </c>
      <c r="F3960" t="s">
        <v>91</v>
      </c>
      <c r="G3960">
        <v>-450.96589999999998</v>
      </c>
      <c r="H3960">
        <v>1.492111</v>
      </c>
      <c r="I3960">
        <v>119.8177</v>
      </c>
      <c r="J3960">
        <v>-369.02190000000002</v>
      </c>
      <c r="K3960">
        <v>1.120895</v>
      </c>
      <c r="L3960">
        <v>141.0145</v>
      </c>
      <c r="M3960">
        <v>-0.99948979999999998</v>
      </c>
      <c r="N3960">
        <v>-1.536949E-2</v>
      </c>
      <c r="O3960">
        <v>-2.800507E-2</v>
      </c>
      <c r="P3960">
        <v>-0.97748120000000005</v>
      </c>
      <c r="Q3960">
        <v>0.20961299999999999</v>
      </c>
      <c r="R3960">
        <v>-2.435851E-2</v>
      </c>
      <c r="S3960">
        <v>-3.049255</v>
      </c>
      <c r="T3960">
        <v>1.3722059999999999E-2</v>
      </c>
      <c r="U3960">
        <v>-0.78437809999999997</v>
      </c>
      <c r="V3960">
        <v>2.8854459999999998E-3</v>
      </c>
      <c r="W3960">
        <v>0.22461790000000001</v>
      </c>
      <c r="X3960">
        <v>0.97444269999999999</v>
      </c>
      <c r="Y3960">
        <v>-0.22191279999999999</v>
      </c>
      <c r="Z3960">
        <v>-1.789281E-3</v>
      </c>
      <c r="AA3960">
        <v>0.97506490000000001</v>
      </c>
      <c r="AB3960">
        <v>55</v>
      </c>
      <c r="AC3960">
        <v>-81.943999999999903</v>
      </c>
      <c r="AD3960">
        <v>0.37121599999999999</v>
      </c>
      <c r="AE3960">
        <v>-21.1968</v>
      </c>
      <c r="AF3960">
        <v>-18.893002717136198</v>
      </c>
      <c r="AG3960">
        <v>0.37121599999999999</v>
      </c>
      <c r="AH3960">
        <v>82.503953359124196</v>
      </c>
      <c r="AI3960">
        <v>89.748711069979393</v>
      </c>
      <c r="AJ3960">
        <v>102.898069865596</v>
      </c>
      <c r="AK3960">
        <v>84.640331242693705</v>
      </c>
      <c r="AL3960">
        <v>77.019590342843003</v>
      </c>
      <c r="AM3960">
        <v>89.830340568393893</v>
      </c>
      <c r="AN3960">
        <v>1.00000005119115</v>
      </c>
    </row>
    <row r="3961" spans="1:40" x14ac:dyDescent="0.25">
      <c r="A3961" t="str">
        <f>"20190303170618372"</f>
        <v>20190303170618372</v>
      </c>
      <c r="B3961" t="str">
        <f>"1551603978368835"</f>
        <v>1551603978368835</v>
      </c>
      <c r="C3961" t="s">
        <v>40</v>
      </c>
      <c r="D3961">
        <v>5.8847370000000003</v>
      </c>
      <c r="E3961">
        <v>0.41340850000000001</v>
      </c>
      <c r="F3961" t="s">
        <v>91</v>
      </c>
      <c r="G3961">
        <v>-450.29239999999999</v>
      </c>
      <c r="H3961">
        <v>1.503825</v>
      </c>
      <c r="I3961">
        <v>119.634</v>
      </c>
      <c r="J3961">
        <v>-369.5686</v>
      </c>
      <c r="K3961">
        <v>1.120709</v>
      </c>
      <c r="L3961">
        <v>140.99940000000001</v>
      </c>
      <c r="M3961">
        <v>-0.99950090000000003</v>
      </c>
      <c r="N3961">
        <v>-1.536594E-2</v>
      </c>
      <c r="O3961">
        <v>-2.760025E-2</v>
      </c>
      <c r="P3961">
        <v>-0.9771533</v>
      </c>
      <c r="Q3961">
        <v>0.21073120000000001</v>
      </c>
      <c r="R3961">
        <v>-2.7640720000000001E-2</v>
      </c>
      <c r="S3961">
        <v>-3.0460509999999998</v>
      </c>
      <c r="T3961">
        <v>1.4353390000000001E-2</v>
      </c>
      <c r="U3961">
        <v>-0.8013458</v>
      </c>
      <c r="V3961">
        <v>-6.9941209999999998E-4</v>
      </c>
      <c r="W3961">
        <v>0.22572690000000001</v>
      </c>
      <c r="X3961">
        <v>0.97419040000000001</v>
      </c>
      <c r="Y3961">
        <v>-0.22763849999999999</v>
      </c>
      <c r="Z3961">
        <v>-1.796127E-3</v>
      </c>
      <c r="AA3961">
        <v>0.9737441</v>
      </c>
      <c r="AB3961">
        <v>55</v>
      </c>
      <c r="AC3961">
        <v>-80.723799999999898</v>
      </c>
      <c r="AD3961">
        <v>0.38311600000000001</v>
      </c>
      <c r="AE3961">
        <v>-21.365400000000001</v>
      </c>
      <c r="AF3961">
        <v>-19.128595859575</v>
      </c>
      <c r="AG3961">
        <v>0.38311600000000001</v>
      </c>
      <c r="AH3961">
        <v>81.281089298624096</v>
      </c>
      <c r="AI3961">
        <v>89.737121521656704</v>
      </c>
      <c r="AJ3961">
        <v>103.24294693026199</v>
      </c>
      <c r="AK3961">
        <v>83.502487597671703</v>
      </c>
      <c r="AL3961">
        <v>76.954374216377303</v>
      </c>
      <c r="AM3961">
        <v>90.041135033341703</v>
      </c>
      <c r="AN3961">
        <v>1.0000000290065201</v>
      </c>
    </row>
    <row r="3962" spans="1:40" x14ac:dyDescent="0.25">
      <c r="A3962" t="str">
        <f>"20190303170618397"</f>
        <v>20190303170618397</v>
      </c>
      <c r="B3962" t="str">
        <f>"1551603978389331"</f>
        <v>1551603978389331</v>
      </c>
      <c r="C3962" t="s">
        <v>40</v>
      </c>
      <c r="D3962">
        <v>5.9198969999999997</v>
      </c>
      <c r="E3962">
        <v>0.4129854</v>
      </c>
      <c r="F3962" t="s">
        <v>91</v>
      </c>
      <c r="G3962">
        <v>-450.11239999999998</v>
      </c>
      <c r="H3962">
        <v>1.5748139999999999</v>
      </c>
      <c r="I3962">
        <v>119.395</v>
      </c>
      <c r="J3962">
        <v>-370.14159999999998</v>
      </c>
      <c r="K3962">
        <v>1.120533</v>
      </c>
      <c r="L3962">
        <v>140.9838</v>
      </c>
      <c r="M3962">
        <v>-0.9995153</v>
      </c>
      <c r="N3962">
        <v>-1.536263E-2</v>
      </c>
      <c r="O3962">
        <v>-2.7077259999999999E-2</v>
      </c>
      <c r="P3962">
        <v>-0.97682550000000001</v>
      </c>
      <c r="Q3962">
        <v>0.2119229</v>
      </c>
      <c r="R3962">
        <v>-3.0008320000000002E-2</v>
      </c>
      <c r="S3962">
        <v>-3.0433349999999999</v>
      </c>
      <c r="T3962">
        <v>1.7159099999999899E-2</v>
      </c>
      <c r="U3962">
        <v>-0.81631469999999995</v>
      </c>
      <c r="V3962">
        <v>-3.483744E-3</v>
      </c>
      <c r="W3962">
        <v>0.22691220000000001</v>
      </c>
      <c r="X3962">
        <v>0.97390900000000002</v>
      </c>
      <c r="Y3962">
        <v>-0.23283300000000001</v>
      </c>
      <c r="Z3962">
        <v>-1.73367799999999E-3</v>
      </c>
      <c r="AA3962">
        <v>0.97251520000000002</v>
      </c>
      <c r="AB3962">
        <v>55</v>
      </c>
      <c r="AC3962">
        <v>-79.970799999999997</v>
      </c>
      <c r="AD3962">
        <v>0.45428099999999899</v>
      </c>
      <c r="AE3962">
        <v>-21.588799999999999</v>
      </c>
      <c r="AF3962">
        <v>-19.414652835473198</v>
      </c>
      <c r="AG3962">
        <v>0.45428099999999899</v>
      </c>
      <c r="AH3962">
        <v>80.523683904330497</v>
      </c>
      <c r="AI3962">
        <v>89.685768743770396</v>
      </c>
      <c r="AJ3962">
        <v>103.55557523367401</v>
      </c>
      <c r="AK3962">
        <v>82.832353494715093</v>
      </c>
      <c r="AL3962">
        <v>76.884652231530694</v>
      </c>
      <c r="AM3962">
        <v>90.204950335986197</v>
      </c>
      <c r="AN3962">
        <v>1.0000000116310399</v>
      </c>
    </row>
    <row r="3963" spans="1:40" x14ac:dyDescent="0.25">
      <c r="A3963" t="str">
        <f>"20190303170618417"</f>
        <v>20190303170618417</v>
      </c>
      <c r="B3963" t="str">
        <f>"1551603978408853"</f>
        <v>1551603978408853</v>
      </c>
      <c r="C3963" t="s">
        <v>40</v>
      </c>
      <c r="D3963">
        <v>5.8940270000000003</v>
      </c>
      <c r="E3963">
        <v>0.41264400000000001</v>
      </c>
      <c r="F3963" t="s">
        <v>91</v>
      </c>
      <c r="G3963">
        <v>-449.56290000000001</v>
      </c>
      <c r="H3963">
        <v>1.6769959999999999</v>
      </c>
      <c r="I3963">
        <v>119.395</v>
      </c>
      <c r="J3963">
        <v>-370.6585</v>
      </c>
      <c r="K3963">
        <v>1.120385</v>
      </c>
      <c r="L3963">
        <v>140.9701</v>
      </c>
      <c r="M3963">
        <v>-0.99952989999999997</v>
      </c>
      <c r="N3963">
        <v>-1.5359660000000001E-2</v>
      </c>
      <c r="O3963">
        <v>-2.653983E-2</v>
      </c>
      <c r="P3963">
        <v>-0.97674030000000001</v>
      </c>
      <c r="Q3963">
        <v>0.2118177</v>
      </c>
      <c r="R3963">
        <v>-3.3345720000000002E-2</v>
      </c>
      <c r="S3963">
        <v>-3.0411990000000002</v>
      </c>
      <c r="T3963">
        <v>2.1309020000000001E-2</v>
      </c>
      <c r="U3963">
        <v>-0.82667539999999995</v>
      </c>
      <c r="V3963">
        <v>-7.263144E-3</v>
      </c>
      <c r="W3963">
        <v>0.22680810000000001</v>
      </c>
      <c r="X3963">
        <v>0.97391240000000001</v>
      </c>
      <c r="Y3963">
        <v>-0.2366142</v>
      </c>
      <c r="Z3963">
        <v>-1.618705E-3</v>
      </c>
      <c r="AA3963">
        <v>0.97160230000000003</v>
      </c>
      <c r="AB3963">
        <v>54</v>
      </c>
      <c r="AC3963">
        <v>-78.904399999999995</v>
      </c>
      <c r="AD3963">
        <v>0.55661099999999997</v>
      </c>
      <c r="AE3963">
        <v>-21.575099999999999</v>
      </c>
      <c r="AF3963">
        <v>-19.472240836737001</v>
      </c>
      <c r="AG3963">
        <v>0.55661099999999997</v>
      </c>
      <c r="AH3963">
        <v>79.445588471524701</v>
      </c>
      <c r="AI3963">
        <v>89.610121152516399</v>
      </c>
      <c r="AJ3963">
        <v>103.771792166195</v>
      </c>
      <c r="AK3963">
        <v>81.799018983090903</v>
      </c>
      <c r="AL3963">
        <v>76.890776442675104</v>
      </c>
      <c r="AM3963">
        <v>90.427286666090197</v>
      </c>
      <c r="AN3963">
        <v>1.0000000151800601</v>
      </c>
    </row>
    <row r="3964" spans="1:40" x14ac:dyDescent="0.25">
      <c r="A3964" t="str">
        <f>"20190303170618440"</f>
        <v>20190303170618440</v>
      </c>
      <c r="B3964" t="str">
        <f>"1551603978429347"</f>
        <v>1551603978429347</v>
      </c>
      <c r="C3964" t="s">
        <v>40</v>
      </c>
      <c r="D3964">
        <v>5.9065120000000002</v>
      </c>
      <c r="E3964">
        <v>0.41243249999999998</v>
      </c>
      <c r="F3964" t="s">
        <v>91</v>
      </c>
      <c r="G3964">
        <v>-448.71850000000001</v>
      </c>
      <c r="H3964">
        <v>1.6665730000000001</v>
      </c>
      <c r="I3964">
        <v>119.395</v>
      </c>
      <c r="J3964">
        <v>-371.20510000000002</v>
      </c>
      <c r="K3964">
        <v>1.120242</v>
      </c>
      <c r="L3964">
        <v>140.95590000000001</v>
      </c>
      <c r="M3964">
        <v>-0.99954620000000005</v>
      </c>
      <c r="N3964">
        <v>-1.535626E-2</v>
      </c>
      <c r="O3964">
        <v>-2.5918879999999998E-2</v>
      </c>
      <c r="P3964">
        <v>-0.97661600000000004</v>
      </c>
      <c r="Q3964">
        <v>0.21170919999999999</v>
      </c>
      <c r="R3964">
        <v>-3.7427250000000002E-2</v>
      </c>
      <c r="S3964">
        <v>-3.0381770000000001</v>
      </c>
      <c r="T3964">
        <v>2.125931E-2</v>
      </c>
      <c r="U3964">
        <v>-0.83972169999999902</v>
      </c>
      <c r="V3964">
        <v>-1.187528E-2</v>
      </c>
      <c r="W3964">
        <v>0.22670319999999999</v>
      </c>
      <c r="X3964">
        <v>0.97389150000000002</v>
      </c>
      <c r="Y3964">
        <v>-0.24133979999999999</v>
      </c>
      <c r="Z3964">
        <v>-1.6273399999999999E-3</v>
      </c>
      <c r="AA3964">
        <v>0.9704393</v>
      </c>
      <c r="AB3964">
        <v>54</v>
      </c>
      <c r="AC3964">
        <v>-77.513399999999905</v>
      </c>
      <c r="AD3964">
        <v>0.54633099999999901</v>
      </c>
      <c r="AE3964">
        <v>-21.5609</v>
      </c>
      <c r="AF3964">
        <v>-19.543456523763499</v>
      </c>
      <c r="AG3964">
        <v>0.54633099999999901</v>
      </c>
      <c r="AH3964">
        <v>78.042654885877994</v>
      </c>
      <c r="AI3964">
        <v>89.610925895358704</v>
      </c>
      <c r="AJ3964">
        <v>104.058900198014</v>
      </c>
      <c r="AK3964">
        <v>80.454342033814797</v>
      </c>
      <c r="AL3964">
        <v>76.896947426439695</v>
      </c>
      <c r="AM3964">
        <v>90.698609347819797</v>
      </c>
      <c r="AN3964">
        <v>1.0000000084687799</v>
      </c>
    </row>
    <row r="3965" spans="1:40" x14ac:dyDescent="0.25">
      <c r="A3965" t="str">
        <f>"20190303170618463"</f>
        <v>20190303170618463</v>
      </c>
      <c r="B3965" t="str">
        <f>"1551603978448867"</f>
        <v>1551603978448867</v>
      </c>
      <c r="C3965" t="s">
        <v>40</v>
      </c>
      <c r="D3965">
        <v>5.8959539999999997</v>
      </c>
      <c r="E3965">
        <v>0.41232400000000002</v>
      </c>
      <c r="F3965" t="s">
        <v>91</v>
      </c>
      <c r="G3965">
        <v>-447.90300000000002</v>
      </c>
      <c r="H3965">
        <v>1.633062</v>
      </c>
      <c r="I3965">
        <v>119.395</v>
      </c>
      <c r="J3965">
        <v>-371.74549999999999</v>
      </c>
      <c r="K3965">
        <v>1.120123</v>
      </c>
      <c r="L3965">
        <v>140.94220000000001</v>
      </c>
      <c r="M3965">
        <v>-0.99956310000000004</v>
      </c>
      <c r="N3965">
        <v>-1.5352589999999999E-2</v>
      </c>
      <c r="O3965">
        <v>-2.5261100000000002E-2</v>
      </c>
      <c r="P3965">
        <v>-0.97639969999999998</v>
      </c>
      <c r="Q3965">
        <v>0.2122213</v>
      </c>
      <c r="R3965">
        <v>-4.0077429999999997E-2</v>
      </c>
      <c r="S3965">
        <v>-3.0347900000000001</v>
      </c>
      <c r="T3965">
        <v>2.0292399999999999E-2</v>
      </c>
      <c r="U3965">
        <v>-0.85311890000000001</v>
      </c>
      <c r="V3965">
        <v>-1.5107809999999999E-2</v>
      </c>
      <c r="W3965">
        <v>0.2272168</v>
      </c>
      <c r="X3965">
        <v>0.97372700000000001</v>
      </c>
      <c r="Y3965">
        <v>-0.246228</v>
      </c>
      <c r="Z3965">
        <v>-1.6649620000000001E-3</v>
      </c>
      <c r="AA3965">
        <v>0.96921049999999997</v>
      </c>
      <c r="AB3965">
        <v>54</v>
      </c>
      <c r="AC3965">
        <v>-76.157499999999999</v>
      </c>
      <c r="AD3965">
        <v>0.51293900000000003</v>
      </c>
      <c r="AE3965">
        <v>-21.5472</v>
      </c>
      <c r="AF3965">
        <v>-19.6154497453023</v>
      </c>
      <c r="AG3965">
        <v>0.51293900000000003</v>
      </c>
      <c r="AH3965">
        <v>76.674341116795006</v>
      </c>
      <c r="AI3965">
        <v>89.628664825993297</v>
      </c>
      <c r="AJ3965">
        <v>104.35009190695401</v>
      </c>
      <c r="AK3965">
        <v>79.145331895335701</v>
      </c>
      <c r="AL3965">
        <v>76.866731633969906</v>
      </c>
      <c r="AM3965">
        <v>90.888898326986293</v>
      </c>
      <c r="AN3965">
        <v>0.99999999532711703</v>
      </c>
    </row>
    <row r="3966" spans="1:40" x14ac:dyDescent="0.25">
      <c r="A3966" t="str">
        <f>"20190303170618485"</f>
        <v>20190303170618485</v>
      </c>
      <c r="B3966" t="str">
        <f>"1551603978479123"</f>
        <v>1551603978479123</v>
      </c>
      <c r="C3966" t="s">
        <v>40</v>
      </c>
      <c r="D3966">
        <v>5.8892879999999996</v>
      </c>
      <c r="E3966">
        <v>0.41228530000000002</v>
      </c>
      <c r="F3966" t="s">
        <v>91</v>
      </c>
      <c r="G3966">
        <v>-447.64400000000001</v>
      </c>
      <c r="H3966">
        <v>1.629067</v>
      </c>
      <c r="I3966">
        <v>119.395</v>
      </c>
      <c r="J3966">
        <v>-372.30189999999999</v>
      </c>
      <c r="K3966">
        <v>1.120031</v>
      </c>
      <c r="L3966">
        <v>140.92850000000001</v>
      </c>
      <c r="M3966">
        <v>-0.99958089999999999</v>
      </c>
      <c r="N3966">
        <v>-1.534843E-2</v>
      </c>
      <c r="O3966">
        <v>-2.4547619999999999E-2</v>
      </c>
      <c r="P3966">
        <v>-0.97604539999999995</v>
      </c>
      <c r="Q3966">
        <v>0.21353169999999999</v>
      </c>
      <c r="R3966">
        <v>-4.1710030000000002E-2</v>
      </c>
      <c r="S3966">
        <v>-3.0327449999999998</v>
      </c>
      <c r="T3966">
        <v>2.033722E-2</v>
      </c>
      <c r="U3966">
        <v>-0.860977199999999</v>
      </c>
      <c r="V3966">
        <v>-1.7389020000000002E-2</v>
      </c>
      <c r="W3966">
        <v>0.22852520000000001</v>
      </c>
      <c r="X3966">
        <v>0.97338270000000005</v>
      </c>
      <c r="Y3966">
        <v>-0.24941430000000001</v>
      </c>
      <c r="Z3966">
        <v>-1.662279E-3</v>
      </c>
      <c r="AA3966">
        <v>0.96839549999999996</v>
      </c>
      <c r="AB3966">
        <v>54</v>
      </c>
      <c r="AC3966">
        <v>-75.342100000000002</v>
      </c>
      <c r="AD3966">
        <v>0.50903599999999904</v>
      </c>
      <c r="AE3966">
        <v>-21.5335</v>
      </c>
      <c r="AF3966">
        <v>-19.676492245235298</v>
      </c>
      <c r="AG3966">
        <v>0.50903599999999904</v>
      </c>
      <c r="AH3966">
        <v>75.8448489027937</v>
      </c>
      <c r="AI3966">
        <v>89.627784213276797</v>
      </c>
      <c r="AJ3966">
        <v>104.543665946514</v>
      </c>
      <c r="AK3966">
        <v>78.357287917676899</v>
      </c>
      <c r="AL3966">
        <v>76.789740525033594</v>
      </c>
      <c r="AM3966">
        <v>91.023453044200096</v>
      </c>
      <c r="AN3966">
        <v>1.00000001285544</v>
      </c>
    </row>
    <row r="3967" spans="1:40" x14ac:dyDescent="0.25">
      <c r="A3967" t="str">
        <f>"20190303170618507"</f>
        <v>20190303170618507</v>
      </c>
      <c r="B3967" t="str">
        <f>"1551603978498643"</f>
        <v>1551603978498643</v>
      </c>
      <c r="C3967" t="s">
        <v>40</v>
      </c>
      <c r="D3967">
        <v>5.9079920000000001</v>
      </c>
      <c r="E3967">
        <v>0.41230990000000001</v>
      </c>
      <c r="F3967" t="s">
        <v>91</v>
      </c>
      <c r="G3967">
        <v>-447.68669999999997</v>
      </c>
      <c r="H3967">
        <v>1.701681</v>
      </c>
      <c r="I3967">
        <v>119.395</v>
      </c>
      <c r="J3967">
        <v>-372.83530000000002</v>
      </c>
      <c r="K3967">
        <v>1.119977</v>
      </c>
      <c r="L3967">
        <v>140.91569999999999</v>
      </c>
      <c r="M3967">
        <v>-0.99959799999999999</v>
      </c>
      <c r="N3967">
        <v>-1.5344480000000001E-2</v>
      </c>
      <c r="O3967">
        <v>-2.3841640000000001E-2</v>
      </c>
      <c r="P3967">
        <v>-0.97566909999999896</v>
      </c>
      <c r="Q3967">
        <v>0.214833</v>
      </c>
      <c r="R3967">
        <v>-4.3778640000000001E-2</v>
      </c>
      <c r="S3967">
        <v>-3.0314939999999999</v>
      </c>
      <c r="T3967">
        <v>2.3391490000000001E-2</v>
      </c>
      <c r="U3967">
        <v>-0.86593629999999999</v>
      </c>
      <c r="V3967">
        <v>-2.0108540000000001E-2</v>
      </c>
      <c r="W3967">
        <v>0.22982569999999999</v>
      </c>
      <c r="X3967">
        <v>0.973024</v>
      </c>
      <c r="Y3967">
        <v>-0.25166840000000001</v>
      </c>
      <c r="Z3967">
        <v>-1.5561010000000001E-3</v>
      </c>
      <c r="AA3967">
        <v>0.96781220000000001</v>
      </c>
      <c r="AB3967">
        <v>54</v>
      </c>
      <c r="AC3967">
        <v>-74.851399999999899</v>
      </c>
      <c r="AD3967">
        <v>0.581704</v>
      </c>
      <c r="AE3967">
        <v>-21.520699999999898</v>
      </c>
      <c r="AF3967">
        <v>-19.7286904751947</v>
      </c>
      <c r="AG3967">
        <v>0.581704</v>
      </c>
      <c r="AH3967">
        <v>75.339064768028194</v>
      </c>
      <c r="AI3967">
        <v>89.572048857999505</v>
      </c>
      <c r="AJ3967">
        <v>104.67427986987499</v>
      </c>
      <c r="AK3967">
        <v>77.8815400947542</v>
      </c>
      <c r="AL3967">
        <v>76.713189194955902</v>
      </c>
      <c r="AM3967">
        <v>91.183907587617</v>
      </c>
      <c r="AN3967">
        <v>0.99999995516870899</v>
      </c>
    </row>
    <row r="3968" spans="1:40" x14ac:dyDescent="0.25">
      <c r="A3968" t="str">
        <f>"20190303170618529"</f>
        <v>20190303170618529</v>
      </c>
      <c r="B3968" t="str">
        <f>"1551603978519139"</f>
        <v>1551603978519139</v>
      </c>
      <c r="C3968" t="s">
        <v>40</v>
      </c>
      <c r="D3968">
        <v>5.919556</v>
      </c>
      <c r="E3968">
        <v>0.41240480000000002</v>
      </c>
      <c r="F3968" t="s">
        <v>91</v>
      </c>
      <c r="G3968">
        <v>-447.6918</v>
      </c>
      <c r="H3968">
        <v>1.760705</v>
      </c>
      <c r="I3968">
        <v>119.395</v>
      </c>
      <c r="J3968">
        <v>-373.35950000000003</v>
      </c>
      <c r="K3968">
        <v>1.1199110000000001</v>
      </c>
      <c r="L3968">
        <v>140.90360000000001</v>
      </c>
      <c r="M3968">
        <v>-0.99961480000000003</v>
      </c>
      <c r="N3968">
        <v>-1.5340609999999999E-2</v>
      </c>
      <c r="O3968">
        <v>-2.3135280000000001E-2</v>
      </c>
      <c r="P3968">
        <v>-0.97548559999999995</v>
      </c>
      <c r="Q3968">
        <v>0.215055</v>
      </c>
      <c r="R3968">
        <v>-4.668539E-2</v>
      </c>
      <c r="S3968">
        <v>-3.0300289999999999</v>
      </c>
      <c r="T3968">
        <v>2.5936480000000001E-2</v>
      </c>
      <c r="U3968">
        <v>-0.87110900000000002</v>
      </c>
      <c r="V3968">
        <v>-2.3669490000000001E-2</v>
      </c>
      <c r="W3968">
        <v>0.2300517</v>
      </c>
      <c r="X3968">
        <v>0.97289049999999999</v>
      </c>
      <c r="Y3968">
        <v>-0.25400230000000001</v>
      </c>
      <c r="Z3968">
        <v>-1.463645E-3</v>
      </c>
      <c r="AA3968">
        <v>0.96720249999999997</v>
      </c>
      <c r="AB3968">
        <v>54</v>
      </c>
      <c r="AC3968">
        <v>-74.332299999999904</v>
      </c>
      <c r="AD3968">
        <v>0.64079399999999898</v>
      </c>
      <c r="AE3968">
        <v>-21.508600000000001</v>
      </c>
      <c r="AF3968">
        <v>-19.781584540310401</v>
      </c>
      <c r="AG3968">
        <v>0.64079399999999898</v>
      </c>
      <c r="AH3968">
        <v>74.804936073024507</v>
      </c>
      <c r="AI3968">
        <v>89.525514151793104</v>
      </c>
      <c r="AJ3968">
        <v>104.812362357681</v>
      </c>
      <c r="AK3968">
        <v>77.378938767375104</v>
      </c>
      <c r="AL3968">
        <v>76.6998841310035</v>
      </c>
      <c r="AM3968">
        <v>91.393676270379501</v>
      </c>
      <c r="AN3968">
        <v>0.999999977209999</v>
      </c>
    </row>
    <row r="3969" spans="1:40" x14ac:dyDescent="0.25">
      <c r="A3969" t="str">
        <f>"20190303170618552"</f>
        <v>20190303170618552</v>
      </c>
      <c r="B3969" t="str">
        <f>"1551603978538659"</f>
        <v>1551603978538659</v>
      </c>
      <c r="C3969" t="s">
        <v>40</v>
      </c>
      <c r="D3969">
        <v>5.9121489999999897</v>
      </c>
      <c r="E3969">
        <v>0.41252559999999999</v>
      </c>
      <c r="F3969" t="s">
        <v>91</v>
      </c>
      <c r="G3969">
        <v>-447.49169999999998</v>
      </c>
      <c r="H3969">
        <v>1.727104</v>
      </c>
      <c r="I3969">
        <v>119.395</v>
      </c>
      <c r="J3969">
        <v>-373.90719999999999</v>
      </c>
      <c r="K3969">
        <v>1.119848</v>
      </c>
      <c r="L3969">
        <v>140.8912</v>
      </c>
      <c r="M3969">
        <v>-0.99963179999999996</v>
      </c>
      <c r="N3969">
        <v>-1.533662E-2</v>
      </c>
      <c r="O3969">
        <v>-2.2390299999999998E-2</v>
      </c>
      <c r="P3969">
        <v>-0.97532980000000002</v>
      </c>
      <c r="Q3969">
        <v>0.2152686</v>
      </c>
      <c r="R3969">
        <v>-4.8904490000000002E-2</v>
      </c>
      <c r="S3969">
        <v>-3.027863</v>
      </c>
      <c r="T3969">
        <v>2.4801489999999999E-2</v>
      </c>
      <c r="U3969">
        <v>-0.87849429999999995</v>
      </c>
      <c r="V3969">
        <v>-2.6584119999999999E-2</v>
      </c>
      <c r="W3969">
        <v>0.2302689</v>
      </c>
      <c r="X3969">
        <v>0.97276379999999996</v>
      </c>
      <c r="Y3969">
        <v>-0.2570827</v>
      </c>
      <c r="Z3969">
        <v>-1.495999E-3</v>
      </c>
      <c r="AA3969">
        <v>0.96638820000000003</v>
      </c>
      <c r="AB3969">
        <v>54</v>
      </c>
      <c r="AC3969">
        <v>-73.584499999999906</v>
      </c>
      <c r="AD3969">
        <v>0.60725600000000002</v>
      </c>
      <c r="AE3969">
        <v>-21.496200000000002</v>
      </c>
      <c r="AF3969">
        <v>-19.841792108096001</v>
      </c>
      <c r="AG3969">
        <v>0.60725600000000002</v>
      </c>
      <c r="AH3969">
        <v>74.042765280221005</v>
      </c>
      <c r="AI3969">
        <v>89.546117496992807</v>
      </c>
      <c r="AJ3969">
        <v>105.001511062718</v>
      </c>
      <c r="AK3969">
        <v>76.657658223117807</v>
      </c>
      <c r="AL3969">
        <v>76.687095744525706</v>
      </c>
      <c r="AM3969">
        <v>91.565414811789097</v>
      </c>
      <c r="AN3969">
        <v>0.99999994616691001</v>
      </c>
    </row>
    <row r="3970" spans="1:40" x14ac:dyDescent="0.25">
      <c r="A3970" t="str">
        <f>"20190303170618575"</f>
        <v>20190303170618575</v>
      </c>
      <c r="B3970" t="str">
        <f>"1551603978568914"</f>
        <v>1551603978568914</v>
      </c>
      <c r="C3970" t="s">
        <v>40</v>
      </c>
      <c r="D3970">
        <v>5.9531599999999996</v>
      </c>
      <c r="E3970">
        <v>0.41272009999999998</v>
      </c>
      <c r="F3970" t="s">
        <v>91</v>
      </c>
      <c r="G3970">
        <v>-447.46710000000002</v>
      </c>
      <c r="H3970">
        <v>1.717997</v>
      </c>
      <c r="I3970">
        <v>119.395</v>
      </c>
      <c r="J3970">
        <v>-374.47559999999999</v>
      </c>
      <c r="K3970">
        <v>1.119799</v>
      </c>
      <c r="L3970">
        <v>140.87889999999999</v>
      </c>
      <c r="M3970">
        <v>-0.99964889999999995</v>
      </c>
      <c r="N3970">
        <v>-1.5332500000000001E-2</v>
      </c>
      <c r="O3970">
        <v>-2.1612900000000001E-2</v>
      </c>
      <c r="P3970">
        <v>-0.97515850000000004</v>
      </c>
      <c r="Q3970">
        <v>0.215618</v>
      </c>
      <c r="R3970">
        <v>-5.0743620000000003E-2</v>
      </c>
      <c r="S3970">
        <v>-3.026154</v>
      </c>
      <c r="T3970">
        <v>2.4608140000000001E-2</v>
      </c>
      <c r="U3970">
        <v>-0.88432310000000003</v>
      </c>
      <c r="V3970">
        <v>-2.9153579999999998E-2</v>
      </c>
      <c r="W3970">
        <v>0.2306211</v>
      </c>
      <c r="X3970">
        <v>0.97260679999999999</v>
      </c>
      <c r="Y3970">
        <v>-0.25969500000000001</v>
      </c>
      <c r="Z3970">
        <v>-1.4943879999999999E-3</v>
      </c>
      <c r="AA3970">
        <v>0.96568949999999998</v>
      </c>
      <c r="AB3970">
        <v>54</v>
      </c>
      <c r="AC3970">
        <v>-72.991500000000002</v>
      </c>
      <c r="AD3970">
        <v>0.59819800000000001</v>
      </c>
      <c r="AE3970">
        <v>-21.483899999999899</v>
      </c>
      <c r="AF3970">
        <v>-19.899907104032302</v>
      </c>
      <c r="AG3970">
        <v>0.59819800000000001</v>
      </c>
      <c r="AH3970">
        <v>73.434291127279295</v>
      </c>
      <c r="AI3970">
        <v>89.549523835133002</v>
      </c>
      <c r="AJ3970">
        <v>105.162393237327</v>
      </c>
      <c r="AK3970">
        <v>76.085210500874197</v>
      </c>
      <c r="AL3970">
        <v>76.666358822816306</v>
      </c>
      <c r="AM3970">
        <v>91.716908717402305</v>
      </c>
      <c r="AN3970">
        <v>1.00000000519913</v>
      </c>
    </row>
    <row r="3971" spans="1:40" x14ac:dyDescent="0.25">
      <c r="A3971" t="str">
        <f>"20190303170618597"</f>
        <v>20190303170618597</v>
      </c>
      <c r="B3971" t="str">
        <f>"1551603978589411"</f>
        <v>1551603978589411</v>
      </c>
      <c r="C3971" t="s">
        <v>40</v>
      </c>
      <c r="D3971">
        <v>5.9390970000000003</v>
      </c>
      <c r="E3971">
        <v>0.41278189999999998</v>
      </c>
      <c r="F3971" t="s">
        <v>91</v>
      </c>
      <c r="G3971">
        <v>-447.67899999999997</v>
      </c>
      <c r="H3971">
        <v>1.690002</v>
      </c>
      <c r="I3971">
        <v>119.395</v>
      </c>
      <c r="J3971">
        <v>-374.99380000000002</v>
      </c>
      <c r="K3971">
        <v>1.119767</v>
      </c>
      <c r="L3971">
        <v>140.86799999999999</v>
      </c>
      <c r="M3971">
        <v>-0.99966410000000006</v>
      </c>
      <c r="N3971">
        <v>-1.532877E-2</v>
      </c>
      <c r="O3971">
        <v>-2.09015E-2</v>
      </c>
      <c r="P3971">
        <v>-0.97509509999999999</v>
      </c>
      <c r="Q3971">
        <v>0.2153426</v>
      </c>
      <c r="R3971">
        <v>-5.3074919999999998E-2</v>
      </c>
      <c r="S3971">
        <v>-3.0250240000000002</v>
      </c>
      <c r="T3971">
        <v>2.3563859999999999E-2</v>
      </c>
      <c r="U3971">
        <v>-0.88778690000000005</v>
      </c>
      <c r="V3971">
        <v>-3.2156619999999997E-2</v>
      </c>
      <c r="W3971">
        <v>0.230352</v>
      </c>
      <c r="X3971">
        <v>0.97257590000000005</v>
      </c>
      <c r="Y3971">
        <v>-0.26149679999999997</v>
      </c>
      <c r="Z3971">
        <v>-1.5216279999999999E-3</v>
      </c>
      <c r="AA3971">
        <v>0.96520309999999998</v>
      </c>
      <c r="AB3971">
        <v>54</v>
      </c>
      <c r="AC3971">
        <v>-72.685199999999995</v>
      </c>
      <c r="AD3971">
        <v>0.57023500000000005</v>
      </c>
      <c r="AE3971">
        <v>-21.472999999999999</v>
      </c>
      <c r="AF3971">
        <v>-19.947770595298</v>
      </c>
      <c r="AG3971">
        <v>0.57023500000000005</v>
      </c>
      <c r="AH3971">
        <v>73.114049235587004</v>
      </c>
      <c r="AI3971">
        <v>89.568900960969998</v>
      </c>
      <c r="AJ3971">
        <v>105.260643992696</v>
      </c>
      <c r="AK3971">
        <v>75.788540791479207</v>
      </c>
      <c r="AL3971">
        <v>76.682203482094494</v>
      </c>
      <c r="AM3971">
        <v>91.893700711511798</v>
      </c>
      <c r="AN3971">
        <v>0.99999998668731704</v>
      </c>
    </row>
    <row r="3972" spans="1:40" x14ac:dyDescent="0.25">
      <c r="A3972" t="str">
        <f>"20190303170618617"</f>
        <v>20190303170618617</v>
      </c>
      <c r="B3972" t="str">
        <f>"1551603978608931"</f>
        <v>1551603978608931</v>
      </c>
      <c r="C3972" t="s">
        <v>40</v>
      </c>
      <c r="D3972">
        <v>5.9439129999999896</v>
      </c>
      <c r="E3972">
        <v>0.41282770000000002</v>
      </c>
      <c r="F3972" t="s">
        <v>91</v>
      </c>
      <c r="G3972">
        <v>-447.75709999999998</v>
      </c>
      <c r="H3972">
        <v>1.591723</v>
      </c>
      <c r="I3972">
        <v>119.395</v>
      </c>
      <c r="J3972">
        <v>-375.51600000000002</v>
      </c>
      <c r="K3972">
        <v>1.1197239999999999</v>
      </c>
      <c r="L3972">
        <v>140.85740000000001</v>
      </c>
      <c r="M3972">
        <v>-0.99967899999999998</v>
      </c>
      <c r="N3972">
        <v>-1.532493E-2</v>
      </c>
      <c r="O3972">
        <v>-2.0181520000000001E-2</v>
      </c>
      <c r="P3972">
        <v>-0.97496459999999996</v>
      </c>
      <c r="Q3972">
        <v>0.21537700000000001</v>
      </c>
      <c r="R3972">
        <v>-5.5289610000000003E-2</v>
      </c>
      <c r="S3972">
        <v>-3.0237120000000002</v>
      </c>
      <c r="T3972">
        <v>1.9613619999999998E-2</v>
      </c>
      <c r="U3972">
        <v>-0.89231870000000002</v>
      </c>
      <c r="V3972">
        <v>-3.5056039999999997E-2</v>
      </c>
      <c r="W3972">
        <v>0.2303905</v>
      </c>
      <c r="X3972">
        <v>0.97246659999999996</v>
      </c>
      <c r="Y3972">
        <v>-0.26363490000000001</v>
      </c>
      <c r="Z3972">
        <v>-1.6563120000000001E-3</v>
      </c>
      <c r="AA3972">
        <v>0.96462110000000001</v>
      </c>
      <c r="AB3972">
        <v>54</v>
      </c>
      <c r="AC3972">
        <v>-72.241100000000003</v>
      </c>
      <c r="AD3972">
        <v>0.471999</v>
      </c>
      <c r="AE3972">
        <v>-21.462399999999999</v>
      </c>
      <c r="AF3972">
        <v>-19.999137030767201</v>
      </c>
      <c r="AG3972">
        <v>0.471999</v>
      </c>
      <c r="AH3972">
        <v>72.656727982329201</v>
      </c>
      <c r="AI3972">
        <v>89.641141355083107</v>
      </c>
      <c r="AJ3972">
        <v>105.389840426359</v>
      </c>
      <c r="AK3972">
        <v>75.360390034351497</v>
      </c>
      <c r="AL3972">
        <v>76.679936779571705</v>
      </c>
      <c r="AM3972">
        <v>92.064537510600999</v>
      </c>
      <c r="AN3972">
        <v>0.99999999827314501</v>
      </c>
    </row>
    <row r="3973" spans="1:40" x14ac:dyDescent="0.25">
      <c r="A3973" t="str">
        <f>"20190303170618641"</f>
        <v>20190303170618641</v>
      </c>
      <c r="B3973" t="str">
        <f>"1551603978629427"</f>
        <v>1551603978629427</v>
      </c>
      <c r="C3973" t="s">
        <v>40</v>
      </c>
      <c r="D3973">
        <v>5.9158540000000004</v>
      </c>
      <c r="E3973">
        <v>0.412887</v>
      </c>
      <c r="F3973" t="s">
        <v>91</v>
      </c>
      <c r="G3973">
        <v>-447.76339999999999</v>
      </c>
      <c r="H3973">
        <v>1.543377</v>
      </c>
      <c r="I3973">
        <v>119.395</v>
      </c>
      <c r="J3973">
        <v>-376.06130000000002</v>
      </c>
      <c r="K3973">
        <v>1.1196809999999999</v>
      </c>
      <c r="L3973">
        <v>140.8468</v>
      </c>
      <c r="M3973">
        <v>-0.99969399999999997</v>
      </c>
      <c r="N3973">
        <v>-1.5321029999999999E-2</v>
      </c>
      <c r="O3973">
        <v>-1.9425379999999999E-2</v>
      </c>
      <c r="P3973">
        <v>-0.97486070000000002</v>
      </c>
      <c r="Q3973">
        <v>0.21553639999999999</v>
      </c>
      <c r="R3973">
        <v>-5.6485029999999999E-2</v>
      </c>
      <c r="S3973">
        <v>-3.0222470000000001</v>
      </c>
      <c r="T3973">
        <v>1.7723320000000001E-2</v>
      </c>
      <c r="U3973">
        <v>-0.8978119</v>
      </c>
      <c r="V3973">
        <v>-3.6973810000000003E-2</v>
      </c>
      <c r="W3973">
        <v>0.23055200000000001</v>
      </c>
      <c r="X3973">
        <v>0.97235729999999998</v>
      </c>
      <c r="Y3973">
        <v>-0.2661017</v>
      </c>
      <c r="Z3973">
        <v>-1.7209009999999999E-3</v>
      </c>
      <c r="AA3973">
        <v>0.96394340000000001</v>
      </c>
      <c r="AB3973">
        <v>54</v>
      </c>
      <c r="AC3973">
        <v>-71.702099999999902</v>
      </c>
      <c r="AD3973">
        <v>0.42369600000000002</v>
      </c>
      <c r="AE3973">
        <v>-21.451799999999999</v>
      </c>
      <c r="AF3973">
        <v>-20.0541046645228</v>
      </c>
      <c r="AG3973">
        <v>0.42369600000000002</v>
      </c>
      <c r="AH3973">
        <v>72.103014738725903</v>
      </c>
      <c r="AI3973">
        <v>89.675631172559804</v>
      </c>
      <c r="AJ3973">
        <v>105.542913246175</v>
      </c>
      <c r="AK3973">
        <v>74.841107465142301</v>
      </c>
      <c r="AL3973">
        <v>76.670427578962403</v>
      </c>
      <c r="AM3973">
        <v>92.177618386891595</v>
      </c>
      <c r="AN3973">
        <v>1.0000000030966001</v>
      </c>
    </row>
    <row r="3974" spans="1:40" x14ac:dyDescent="0.25">
      <c r="A3974" t="str">
        <f>"20190303170618665"</f>
        <v>20190303170618665</v>
      </c>
      <c r="B3974" t="str">
        <f>"1551603978658707"</f>
        <v>1551603978658707</v>
      </c>
      <c r="C3974" t="s">
        <v>40</v>
      </c>
      <c r="D3974">
        <v>5.954898</v>
      </c>
      <c r="E3974">
        <v>0.41296890000000003</v>
      </c>
      <c r="F3974" t="s">
        <v>91</v>
      </c>
      <c r="G3974">
        <v>-447.86849999999998</v>
      </c>
      <c r="H3974">
        <v>1.567939</v>
      </c>
      <c r="I3974">
        <v>119.395</v>
      </c>
      <c r="J3974">
        <v>-376.62959999999998</v>
      </c>
      <c r="K3974">
        <v>1.119661</v>
      </c>
      <c r="L3974">
        <v>140.83609999999999</v>
      </c>
      <c r="M3974">
        <v>-0.99970910000000002</v>
      </c>
      <c r="N3974">
        <v>-1.531706E-2</v>
      </c>
      <c r="O3974">
        <v>-1.8632260000000001E-2</v>
      </c>
      <c r="P3974">
        <v>-0.97458920000000004</v>
      </c>
      <c r="Q3974">
        <v>0.21632009999999999</v>
      </c>
      <c r="R3974">
        <v>-5.8154310000000001E-2</v>
      </c>
      <c r="S3974">
        <v>-3.020905</v>
      </c>
      <c r="T3974">
        <v>1.8859150000000002E-2</v>
      </c>
      <c r="U3974">
        <v>-0.90246579999999998</v>
      </c>
      <c r="V3974">
        <v>-3.9405450000000002E-2</v>
      </c>
      <c r="W3974">
        <v>0.23133600000000001</v>
      </c>
      <c r="X3974">
        <v>0.97207549999999998</v>
      </c>
      <c r="Y3974">
        <v>-0.2683469</v>
      </c>
      <c r="Z3974">
        <v>-1.672691E-3</v>
      </c>
      <c r="AA3974">
        <v>0.96332090000000004</v>
      </c>
      <c r="AB3974">
        <v>54</v>
      </c>
      <c r="AC3974">
        <v>-71.238900000000001</v>
      </c>
      <c r="AD3974">
        <v>0.44827800000000001</v>
      </c>
      <c r="AE3974">
        <v>-21.441099999999899</v>
      </c>
      <c r="AF3974">
        <v>-20.1091495242616</v>
      </c>
      <c r="AG3974">
        <v>0.44827800000000001</v>
      </c>
      <c r="AH3974">
        <v>71.623472852046106</v>
      </c>
      <c r="AI3974">
        <v>89.654750178708596</v>
      </c>
      <c r="AJ3974">
        <v>105.682723805104</v>
      </c>
      <c r="AK3974">
        <v>74.394224985157194</v>
      </c>
      <c r="AL3974">
        <v>76.624258989367306</v>
      </c>
      <c r="AM3974">
        <v>92.321353100618097</v>
      </c>
      <c r="AN3974">
        <v>0.99999995604297498</v>
      </c>
    </row>
    <row r="3975" spans="1:40" x14ac:dyDescent="0.25">
      <c r="A3975" t="str">
        <f>"20190303170618696"</f>
        <v>20190303170618696</v>
      </c>
      <c r="B3975" t="str">
        <f>"1551603978688963"</f>
        <v>1551603978688963</v>
      </c>
      <c r="C3975" t="s">
        <v>40</v>
      </c>
      <c r="D3975">
        <v>5.9546739999999998</v>
      </c>
      <c r="E3975">
        <v>0.41302260000000002</v>
      </c>
      <c r="F3975" t="s">
        <v>91</v>
      </c>
      <c r="G3975">
        <v>-447.98320000000001</v>
      </c>
      <c r="H3975">
        <v>1.600876</v>
      </c>
      <c r="I3975">
        <v>119.395</v>
      </c>
      <c r="J3975">
        <v>-377.41989999999998</v>
      </c>
      <c r="K3975">
        <v>1.1196440000000001</v>
      </c>
      <c r="L3975">
        <v>140.82220000000001</v>
      </c>
      <c r="M3975">
        <v>-0.99972930000000004</v>
      </c>
      <c r="N3975">
        <v>-1.531164E-2</v>
      </c>
      <c r="O3975">
        <v>-1.7521800000000001E-2</v>
      </c>
      <c r="P3975">
        <v>-0.97511720000000002</v>
      </c>
      <c r="Q3975">
        <v>0.21295739999999999</v>
      </c>
      <c r="R3975">
        <v>-6.1610829999999998E-2</v>
      </c>
      <c r="S3975">
        <v>-3.0195620000000001</v>
      </c>
      <c r="T3975">
        <v>2.036512E-2</v>
      </c>
      <c r="U3975">
        <v>-0.90734859999999995</v>
      </c>
      <c r="V3975">
        <v>-4.3929370000000002E-2</v>
      </c>
      <c r="W3975">
        <v>0.22799079999999999</v>
      </c>
      <c r="X3975">
        <v>0.97267179999999998</v>
      </c>
      <c r="Y3975">
        <v>-0.27096300000000001</v>
      </c>
      <c r="Z3975">
        <v>-1.603602E-3</v>
      </c>
      <c r="AA3975">
        <v>0.96258840000000001</v>
      </c>
      <c r="AB3975">
        <v>54</v>
      </c>
      <c r="AC3975">
        <v>-70.563299999999998</v>
      </c>
      <c r="AD3975">
        <v>0.48123199999999899</v>
      </c>
      <c r="AE3975">
        <v>-21.427199999999999</v>
      </c>
      <c r="AF3975">
        <v>-20.1865092291218</v>
      </c>
      <c r="AG3975">
        <v>0.48123199999999899</v>
      </c>
      <c r="AH3975">
        <v>70.9249315331395</v>
      </c>
      <c r="AI3975">
        <v>89.626098066742898</v>
      </c>
      <c r="AJ3975">
        <v>105.887304931457</v>
      </c>
      <c r="AK3975">
        <v>73.743288861263693</v>
      </c>
      <c r="AL3975">
        <v>76.821189619341197</v>
      </c>
      <c r="AM3975">
        <v>92.585926989422902</v>
      </c>
      <c r="AN3975">
        <v>1.0000000124742301</v>
      </c>
    </row>
    <row r="3976" spans="1:40" x14ac:dyDescent="0.25">
      <c r="A3976" t="str">
        <f>"20190303170618718"</f>
        <v>20190303170618718</v>
      </c>
      <c r="B3976" t="str">
        <f>"1551603978708483"</f>
        <v>1551603978708483</v>
      </c>
      <c r="C3976" t="s">
        <v>40</v>
      </c>
      <c r="D3976">
        <v>5.9704959999999998</v>
      </c>
      <c r="E3976">
        <v>0.41302100000000003</v>
      </c>
      <c r="F3976" t="s">
        <v>91</v>
      </c>
      <c r="G3976">
        <v>-448.12090000000001</v>
      </c>
      <c r="H3976">
        <v>1.2408129999999999</v>
      </c>
      <c r="I3976">
        <v>119.395</v>
      </c>
      <c r="J3976">
        <v>-377.92649999999998</v>
      </c>
      <c r="K3976">
        <v>1.119621</v>
      </c>
      <c r="L3976">
        <v>140.81370000000001</v>
      </c>
      <c r="M3976">
        <v>-0.99974169999999996</v>
      </c>
      <c r="N3976">
        <v>-1.530808E-2</v>
      </c>
      <c r="O3976">
        <v>-1.6806479999999999E-2</v>
      </c>
      <c r="P3976">
        <v>-0.97554180000000001</v>
      </c>
      <c r="Q3976">
        <v>0.21013889999999999</v>
      </c>
      <c r="R3976">
        <v>-6.4498710000000001E-2</v>
      </c>
      <c r="S3976">
        <v>-3.0176090000000002</v>
      </c>
      <c r="T3976">
        <v>5.172729E-3</v>
      </c>
      <c r="U3976">
        <v>-0.91453549999999995</v>
      </c>
      <c r="V3976">
        <v>-4.750853E-2</v>
      </c>
      <c r="W3976">
        <v>0.22518659999999999</v>
      </c>
      <c r="X3976">
        <v>0.97315669999999999</v>
      </c>
      <c r="Y3976">
        <v>-0.27391670000000001</v>
      </c>
      <c r="Z3976">
        <v>-2.1930890000000001E-3</v>
      </c>
      <c r="AA3976">
        <v>0.96175089999999996</v>
      </c>
      <c r="AB3976">
        <v>54</v>
      </c>
      <c r="AC3976">
        <v>-70.194400000000002</v>
      </c>
      <c r="AD3976">
        <v>0.12119199999999899</v>
      </c>
      <c r="AE3976">
        <v>-21.418700000000001</v>
      </c>
      <c r="AF3976">
        <v>-20.2357600807739</v>
      </c>
      <c r="AG3976">
        <v>0.12119199999999899</v>
      </c>
      <c r="AH3976">
        <v>70.544306220429903</v>
      </c>
      <c r="AI3976">
        <v>89.905384210988103</v>
      </c>
      <c r="AJ3976">
        <v>106.005632841817</v>
      </c>
      <c r="AK3976">
        <v>73.389371258168595</v>
      </c>
      <c r="AL3976">
        <v>76.986149032489493</v>
      </c>
      <c r="AM3976">
        <v>92.794903302169004</v>
      </c>
      <c r="AN3976">
        <v>1.0000000139986001</v>
      </c>
    </row>
    <row r="3977" spans="1:40" x14ac:dyDescent="0.25">
      <c r="A3977" t="str">
        <f>"20190303170618741"</f>
        <v>20190303170618741</v>
      </c>
      <c r="B3977" t="str">
        <f>"1551603978728979"</f>
        <v>1551603978728979</v>
      </c>
      <c r="C3977" t="s">
        <v>40</v>
      </c>
      <c r="D3977">
        <v>5.9539049999999998</v>
      </c>
      <c r="E3977">
        <v>0.41302119999999998</v>
      </c>
      <c r="F3977" t="s">
        <v>91</v>
      </c>
      <c r="G3977">
        <v>-447.98349999999999</v>
      </c>
      <c r="H3977">
        <v>0.98373069999999896</v>
      </c>
      <c r="I3977">
        <v>119.395</v>
      </c>
      <c r="J3977">
        <v>-378.4853</v>
      </c>
      <c r="K3977">
        <v>1.119602</v>
      </c>
      <c r="L3977">
        <v>140.8047</v>
      </c>
      <c r="M3977">
        <v>-0.9997547</v>
      </c>
      <c r="N3977">
        <v>-1.530424E-2</v>
      </c>
      <c r="O3977">
        <v>-1.6014299999999999E-2</v>
      </c>
      <c r="P3977">
        <v>-0.97562789999999999</v>
      </c>
      <c r="Q3977">
        <v>0.20910409999999999</v>
      </c>
      <c r="R3977">
        <v>-6.6528390000000007E-2</v>
      </c>
      <c r="S3977">
        <v>-3.0155639999999999</v>
      </c>
      <c r="T3977">
        <v>-5.8481690000000003E-3</v>
      </c>
      <c r="U3977">
        <v>-0.92195130000000003</v>
      </c>
      <c r="V3977">
        <v>-5.0306660000000003E-2</v>
      </c>
      <c r="W3977">
        <v>0.22415789999999999</v>
      </c>
      <c r="X3977">
        <v>0.97325349999999999</v>
      </c>
      <c r="Y3977">
        <v>-0.27701419999999999</v>
      </c>
      <c r="Z3977">
        <v>-2.6392920000000001E-3</v>
      </c>
      <c r="AA3977">
        <v>0.9608622</v>
      </c>
      <c r="AB3977">
        <v>54</v>
      </c>
      <c r="AC3977">
        <v>-69.498199999999997</v>
      </c>
      <c r="AD3977">
        <v>-0.1358713</v>
      </c>
      <c r="AE3977">
        <v>-21.409700000000001</v>
      </c>
      <c r="AF3977">
        <v>-20.293787686179499</v>
      </c>
      <c r="AG3977">
        <v>-0.1358713</v>
      </c>
      <c r="AH3977">
        <v>69.831943384466001</v>
      </c>
      <c r="AI3977">
        <v>90.107050881970096</v>
      </c>
      <c r="AJ3977">
        <v>106.204337349664</v>
      </c>
      <c r="AK3977">
        <v>72.721087701664402</v>
      </c>
      <c r="AL3977">
        <v>77.046634731499793</v>
      </c>
      <c r="AM3977">
        <v>92.958937631915305</v>
      </c>
      <c r="AN3977">
        <v>0.99999994971750605</v>
      </c>
    </row>
    <row r="3978" spans="1:40" x14ac:dyDescent="0.25">
      <c r="A3978" t="str">
        <f>"20190303170618765"</f>
        <v>20190303170618765</v>
      </c>
      <c r="B3978" t="str">
        <f>"1551603978759235"</f>
        <v>1551603978759235</v>
      </c>
      <c r="C3978" t="s">
        <v>40</v>
      </c>
      <c r="D3978">
        <v>5.9696509999999998</v>
      </c>
      <c r="E3978">
        <v>0.41295159999999997</v>
      </c>
      <c r="F3978" t="s">
        <v>91</v>
      </c>
      <c r="G3978">
        <v>-447.9923</v>
      </c>
      <c r="H3978">
        <v>0.89841740000000003</v>
      </c>
      <c r="I3978">
        <v>119.395</v>
      </c>
      <c r="J3978">
        <v>-379.0471</v>
      </c>
      <c r="K3978">
        <v>1.1195949999999999</v>
      </c>
      <c r="L3978">
        <v>140.7962</v>
      </c>
      <c r="M3978">
        <v>-0.99976710000000002</v>
      </c>
      <c r="N3978">
        <v>-1.530044E-2</v>
      </c>
      <c r="O3978">
        <v>-1.521607E-2</v>
      </c>
      <c r="P3978">
        <v>-0.97555270000000005</v>
      </c>
      <c r="Q3978">
        <v>0.2088168</v>
      </c>
      <c r="R3978">
        <v>-6.8502809999999997E-2</v>
      </c>
      <c r="S3978">
        <v>-3.0137019999999999</v>
      </c>
      <c r="T3978">
        <v>-9.5888380000000006E-3</v>
      </c>
      <c r="U3978">
        <v>-0.92828370000000004</v>
      </c>
      <c r="V3978">
        <v>-5.3056930000000002E-2</v>
      </c>
      <c r="W3978">
        <v>0.22387389999999999</v>
      </c>
      <c r="X3978">
        <v>0.97317279999999995</v>
      </c>
      <c r="Y3978">
        <v>-0.27978740000000002</v>
      </c>
      <c r="Z3978">
        <v>-2.8045230000000002E-3</v>
      </c>
      <c r="AA3978">
        <v>0.96005790000000002</v>
      </c>
      <c r="AB3978">
        <v>54</v>
      </c>
      <c r="AC3978">
        <v>-68.9452</v>
      </c>
      <c r="AD3978">
        <v>-0.2211776</v>
      </c>
      <c r="AE3978">
        <v>-21.401199999999999</v>
      </c>
      <c r="AF3978">
        <v>-20.349332894894999</v>
      </c>
      <c r="AG3978">
        <v>-0.2211776</v>
      </c>
      <c r="AH3978">
        <v>69.262246408334505</v>
      </c>
      <c r="AI3978">
        <v>90.175544457451906</v>
      </c>
      <c r="AJ3978">
        <v>106.372852740979</v>
      </c>
      <c r="AK3978">
        <v>72.190048111404195</v>
      </c>
      <c r="AL3978">
        <v>77.063330800643499</v>
      </c>
      <c r="AM3978">
        <v>93.120649871034303</v>
      </c>
      <c r="AN3978">
        <v>0.99999992979103502</v>
      </c>
    </row>
    <row r="3979" spans="1:40" x14ac:dyDescent="0.25">
      <c r="A3979" t="str">
        <f>"20190303170618786"</f>
        <v>20190303170618786</v>
      </c>
      <c r="B3979" t="str">
        <f>"1551603978778755"</f>
        <v>1551603978778755</v>
      </c>
      <c r="C3979" t="s">
        <v>40</v>
      </c>
      <c r="D3979">
        <v>5.970097</v>
      </c>
      <c r="E3979">
        <v>0.41289360000000003</v>
      </c>
      <c r="F3979" t="s">
        <v>91</v>
      </c>
      <c r="G3979">
        <v>-448.07679999999999</v>
      </c>
      <c r="H3979">
        <v>0.848280699999999</v>
      </c>
      <c r="I3979">
        <v>119.395</v>
      </c>
      <c r="J3979">
        <v>-379.56099999999998</v>
      </c>
      <c r="K3979">
        <v>1.1195820000000001</v>
      </c>
      <c r="L3979">
        <v>140.78880000000001</v>
      </c>
      <c r="M3979">
        <v>-0.99977819999999995</v>
      </c>
      <c r="N3979">
        <v>-1.5296809999999999E-2</v>
      </c>
      <c r="O3979">
        <v>-1.448464E-2</v>
      </c>
      <c r="P3979">
        <v>-0.97575060000000002</v>
      </c>
      <c r="Q3979">
        <v>0.2067601</v>
      </c>
      <c r="R3979">
        <v>-7.1841479999999999E-2</v>
      </c>
      <c r="S3979">
        <v>-3.0121150000000001</v>
      </c>
      <c r="T3979">
        <v>-1.1837479999999999E-2</v>
      </c>
      <c r="U3979">
        <v>-0.9338379</v>
      </c>
      <c r="V3979">
        <v>-5.71085E-2</v>
      </c>
      <c r="W3979">
        <v>0.22182859999999999</v>
      </c>
      <c r="X3979">
        <v>0.9734119</v>
      </c>
      <c r="Y3979">
        <v>-0.28224460000000001</v>
      </c>
      <c r="Z3979">
        <v>-2.9113379999999999E-3</v>
      </c>
      <c r="AA3979">
        <v>0.95933809999999997</v>
      </c>
      <c r="AB3979">
        <v>54</v>
      </c>
      <c r="AC3979">
        <v>-68.515799999999999</v>
      </c>
      <c r="AD3979">
        <v>-0.27130130000000002</v>
      </c>
      <c r="AE3979">
        <v>-21.393799999999999</v>
      </c>
      <c r="AF3979">
        <v>-20.398720969540499</v>
      </c>
      <c r="AG3979">
        <v>-0.27130130000000002</v>
      </c>
      <c r="AH3979">
        <v>68.817545039405402</v>
      </c>
      <c r="AI3979">
        <v>90.216563917963896</v>
      </c>
      <c r="AJ3979">
        <v>106.510742348861</v>
      </c>
      <c r="AK3979">
        <v>71.777684044827893</v>
      </c>
      <c r="AL3979">
        <v>77.183542026911894</v>
      </c>
      <c r="AM3979">
        <v>93.357601873812399</v>
      </c>
      <c r="AN3979">
        <v>1.0000000178059001</v>
      </c>
    </row>
    <row r="3980" spans="1:40" x14ac:dyDescent="0.25">
      <c r="A3980" t="str">
        <f>"20190303170618808"</f>
        <v>20190303170618808</v>
      </c>
      <c r="B3980" t="str">
        <f>"1551603978799251"</f>
        <v>1551603978799251</v>
      </c>
      <c r="C3980" t="s">
        <v>40</v>
      </c>
      <c r="D3980">
        <v>5.9690570000000003</v>
      </c>
      <c r="E3980">
        <v>0.4128405</v>
      </c>
      <c r="F3980" t="s">
        <v>91</v>
      </c>
      <c r="G3980">
        <v>-448.02870000000001</v>
      </c>
      <c r="H3980">
        <v>0.597383</v>
      </c>
      <c r="I3980">
        <v>119.395</v>
      </c>
      <c r="J3980">
        <v>-380.08929999999998</v>
      </c>
      <c r="K3980">
        <v>1.119575</v>
      </c>
      <c r="L3980">
        <v>140.7816</v>
      </c>
      <c r="M3980">
        <v>-0.99978880000000003</v>
      </c>
      <c r="N3980">
        <v>-1.5293380000000001E-2</v>
      </c>
      <c r="O3980">
        <v>-1.373188E-2</v>
      </c>
      <c r="P3980">
        <v>-0.97553339999999999</v>
      </c>
      <c r="Q3980">
        <v>0.2072428</v>
      </c>
      <c r="R3980">
        <v>-7.3384160000000004E-2</v>
      </c>
      <c r="S3980">
        <v>-3.0101619999999998</v>
      </c>
      <c r="T3980">
        <v>-2.2956850000000001E-2</v>
      </c>
      <c r="U3980">
        <v>-0.94056700000000004</v>
      </c>
      <c r="V3980">
        <v>-5.9385300000000002E-2</v>
      </c>
      <c r="W3980">
        <v>0.2223117</v>
      </c>
      <c r="X3980">
        <v>0.97316539999999996</v>
      </c>
      <c r="Y3980">
        <v>-0.28508280000000003</v>
      </c>
      <c r="Z3980">
        <v>-3.395702E-3</v>
      </c>
      <c r="AA3980">
        <v>0.95849689999999999</v>
      </c>
      <c r="AB3980">
        <v>54</v>
      </c>
      <c r="AC3980">
        <v>-67.939400000000006</v>
      </c>
      <c r="AD3980">
        <v>-0.52219199999999999</v>
      </c>
      <c r="AE3980">
        <v>-21.386600000000001</v>
      </c>
      <c r="AF3980">
        <v>-20.450439071033902</v>
      </c>
      <c r="AG3980">
        <v>-0.52219199999999999</v>
      </c>
      <c r="AH3980">
        <v>68.223038254829007</v>
      </c>
      <c r="AI3980">
        <v>90.420077683290998</v>
      </c>
      <c r="AJ3980">
        <v>106.686551623436</v>
      </c>
      <c r="AK3980">
        <v>71.224125767908205</v>
      </c>
      <c r="AL3980">
        <v>77.155153374163504</v>
      </c>
      <c r="AM3980">
        <v>93.492019999933703</v>
      </c>
      <c r="AN3980">
        <v>1.00000000078506</v>
      </c>
    </row>
    <row r="3981" spans="1:40" x14ac:dyDescent="0.25">
      <c r="A3981" t="str">
        <f>"20190303170618830"</f>
        <v>20190303170618830</v>
      </c>
      <c r="B3981" t="str">
        <f>"1551603978818771"</f>
        <v>1551603978818771</v>
      </c>
      <c r="C3981" t="s">
        <v>40</v>
      </c>
      <c r="D3981">
        <v>5.9824320000000002</v>
      </c>
      <c r="E3981">
        <v>0.41274699999999998</v>
      </c>
      <c r="F3981" t="s">
        <v>91</v>
      </c>
      <c r="G3981">
        <v>-448.3888</v>
      </c>
      <c r="H3981">
        <v>0.54795380000000005</v>
      </c>
      <c r="I3981">
        <v>119.395</v>
      </c>
      <c r="J3981">
        <v>-380.62580000000003</v>
      </c>
      <c r="K3981">
        <v>1.1195889999999999</v>
      </c>
      <c r="L3981">
        <v>140.7747</v>
      </c>
      <c r="M3981">
        <v>-0.99979899999999999</v>
      </c>
      <c r="N3981">
        <v>-1.528991E-2</v>
      </c>
      <c r="O3981">
        <v>-1.296639E-2</v>
      </c>
      <c r="P3981">
        <v>-0.97475639999999997</v>
      </c>
      <c r="Q3981">
        <v>0.21117179999999999</v>
      </c>
      <c r="R3981">
        <v>-7.2500999999999996E-2</v>
      </c>
      <c r="S3981">
        <v>-3.009674</v>
      </c>
      <c r="T3981">
        <v>-2.518749E-2</v>
      </c>
      <c r="U3981">
        <v>-0.94241330000000001</v>
      </c>
      <c r="V3981">
        <v>-5.9247010000000003E-2</v>
      </c>
      <c r="W3981">
        <v>0.22622390000000001</v>
      </c>
      <c r="X3981">
        <v>0.97227189999999997</v>
      </c>
      <c r="Y3981">
        <v>-0.28639290000000001</v>
      </c>
      <c r="Z3981">
        <v>-3.4990590000000001E-3</v>
      </c>
      <c r="AA3981">
        <v>0.95810589999999995</v>
      </c>
      <c r="AB3981">
        <v>54</v>
      </c>
      <c r="AC3981">
        <v>-67.762999999999906</v>
      </c>
      <c r="AD3981">
        <v>-0.57163519999999901</v>
      </c>
      <c r="AE3981">
        <v>-21.3797</v>
      </c>
      <c r="AF3981">
        <v>-20.497831394179901</v>
      </c>
      <c r="AG3981">
        <v>-0.57163519999999901</v>
      </c>
      <c r="AH3981">
        <v>68.030149044829898</v>
      </c>
      <c r="AI3981">
        <v>90.460957909395503</v>
      </c>
      <c r="AJ3981">
        <v>106.767822476755</v>
      </c>
      <c r="AK3981">
        <v>71.053423828326999</v>
      </c>
      <c r="AL3981">
        <v>76.925142403644799</v>
      </c>
      <c r="AM3981">
        <v>93.487101968596505</v>
      </c>
      <c r="AN3981">
        <v>1.0000000543273699</v>
      </c>
    </row>
    <row r="3982" spans="1:40" x14ac:dyDescent="0.25">
      <c r="A3982" t="str">
        <f>"20190303170618853"</f>
        <v>20190303170618853</v>
      </c>
      <c r="B3982" t="str">
        <f>"1551603978849028"</f>
        <v>1551603978849028</v>
      </c>
      <c r="C3982" t="s">
        <v>40</v>
      </c>
      <c r="D3982">
        <v>5.9728729999999999</v>
      </c>
      <c r="E3982">
        <v>0.41258</v>
      </c>
      <c r="F3982" t="s">
        <v>91</v>
      </c>
      <c r="G3982">
        <v>-448.85210000000001</v>
      </c>
      <c r="H3982">
        <v>0.89297490000000002</v>
      </c>
      <c r="I3982">
        <v>119.395</v>
      </c>
      <c r="J3982">
        <v>-381.17070000000001</v>
      </c>
      <c r="K3982">
        <v>1.119604</v>
      </c>
      <c r="L3982">
        <v>140.7681</v>
      </c>
      <c r="M3982">
        <v>-0.99980869999999999</v>
      </c>
      <c r="N3982">
        <v>-1.528645E-2</v>
      </c>
      <c r="O3982">
        <v>-1.219837E-2</v>
      </c>
      <c r="P3982">
        <v>-0.97403419999999996</v>
      </c>
      <c r="Q3982">
        <v>0.21496689999999999</v>
      </c>
      <c r="R3982">
        <v>-7.1039969999999994E-2</v>
      </c>
      <c r="S3982">
        <v>-3.0097049999999999</v>
      </c>
      <c r="T3982">
        <v>-9.9955800000000004E-3</v>
      </c>
      <c r="U3982">
        <v>-0.94313049999999998</v>
      </c>
      <c r="V3982">
        <v>-5.8534500000000003E-2</v>
      </c>
      <c r="W3982">
        <v>0.23000119999999999</v>
      </c>
      <c r="X3982">
        <v>0.97142850000000003</v>
      </c>
      <c r="Y3982">
        <v>-0.28735290000000002</v>
      </c>
      <c r="Z3982">
        <v>-2.8565510000000001E-3</v>
      </c>
      <c r="AA3982">
        <v>0.95782049999999996</v>
      </c>
      <c r="AB3982">
        <v>54</v>
      </c>
      <c r="AC3982">
        <v>-67.681399999999996</v>
      </c>
      <c r="AD3982">
        <v>-0.2266291</v>
      </c>
      <c r="AE3982">
        <v>-21.373100000000001</v>
      </c>
      <c r="AF3982">
        <v>-20.545600660867301</v>
      </c>
      <c r="AG3982">
        <v>-0.2266291</v>
      </c>
      <c r="AH3982">
        <v>67.936417944480695</v>
      </c>
      <c r="AI3982">
        <v>90.182949077469999</v>
      </c>
      <c r="AJ3982">
        <v>106.82657446831099</v>
      </c>
      <c r="AK3982">
        <v>70.975558824090697</v>
      </c>
      <c r="AL3982">
        <v>76.702858756843995</v>
      </c>
      <c r="AM3982">
        <v>93.448251373324695</v>
      </c>
      <c r="AN3982">
        <v>1.0000000851519599</v>
      </c>
    </row>
    <row r="3983" spans="1:40" x14ac:dyDescent="0.25">
      <c r="A3983" t="str">
        <f>"20190303170618877"</f>
        <v>20190303170618877</v>
      </c>
      <c r="B3983" t="str">
        <f>"1551603978868548"</f>
        <v>1551603978868548</v>
      </c>
      <c r="C3983" t="s">
        <v>40</v>
      </c>
      <c r="D3983">
        <v>5.9685560000000004</v>
      </c>
      <c r="E3983">
        <v>0.41246240000000001</v>
      </c>
      <c r="F3983" t="s">
        <v>91</v>
      </c>
      <c r="G3983">
        <v>-449.45049999999998</v>
      </c>
      <c r="H3983">
        <v>1.220035</v>
      </c>
      <c r="I3983">
        <v>119.395</v>
      </c>
      <c r="J3983">
        <v>-381.72050000000002</v>
      </c>
      <c r="K3983">
        <v>1.1196189999999999</v>
      </c>
      <c r="L3983">
        <v>140.76179999999999</v>
      </c>
      <c r="M3983">
        <v>-0.99981730000000002</v>
      </c>
      <c r="N3983">
        <v>-1.5282769999999999E-2</v>
      </c>
      <c r="O3983">
        <v>-1.147837E-2</v>
      </c>
      <c r="P3983">
        <v>-0.97436020000000001</v>
      </c>
      <c r="Q3983">
        <v>0.21357419999999999</v>
      </c>
      <c r="R3983">
        <v>-7.0770169999999993E-2</v>
      </c>
      <c r="S3983">
        <v>-3.0103149999999999</v>
      </c>
      <c r="T3983">
        <v>4.4291019999999999E-3</v>
      </c>
      <c r="U3983">
        <v>-0.94229130000000005</v>
      </c>
      <c r="V3983">
        <v>-5.8980079999999997E-2</v>
      </c>
      <c r="W3983">
        <v>0.22860739999999999</v>
      </c>
      <c r="X3983">
        <v>0.97173039999999999</v>
      </c>
      <c r="Y3983">
        <v>-0.28775610000000001</v>
      </c>
      <c r="Z3983">
        <v>-2.231509E-3</v>
      </c>
      <c r="AA3983">
        <v>0.95770109999999997</v>
      </c>
      <c r="AB3983">
        <v>54</v>
      </c>
      <c r="AC3983">
        <v>-67.729999999999905</v>
      </c>
      <c r="AD3983">
        <v>0.10041599999999901</v>
      </c>
      <c r="AE3983">
        <v>-21.366800000000001</v>
      </c>
      <c r="AF3983">
        <v>-20.587830072156098</v>
      </c>
      <c r="AG3983">
        <v>0.10041599999999901</v>
      </c>
      <c r="AH3983">
        <v>67.970685802589799</v>
      </c>
      <c r="AI3983">
        <v>89.918989148977403</v>
      </c>
      <c r="AJ3983">
        <v>106.85118177211601</v>
      </c>
      <c r="AK3983">
        <v>71.0202996257226</v>
      </c>
      <c r="AL3983">
        <v>76.784902329270096</v>
      </c>
      <c r="AM3983">
        <v>93.473359504178504</v>
      </c>
      <c r="AN3983">
        <v>0.99999998172786297</v>
      </c>
    </row>
    <row r="3984" spans="1:40" x14ac:dyDescent="0.25">
      <c r="A3984" t="str">
        <f>"20190303170618898"</f>
        <v>20190303170618898</v>
      </c>
      <c r="B3984" t="str">
        <f>"1551603978889043"</f>
        <v>1551603978889043</v>
      </c>
      <c r="C3984" t="s">
        <v>40</v>
      </c>
      <c r="D3984">
        <v>5.9416760000000002</v>
      </c>
      <c r="E3984">
        <v>0.4084102</v>
      </c>
      <c r="F3984" t="s">
        <v>91</v>
      </c>
      <c r="G3984">
        <v>-449.9178</v>
      </c>
      <c r="H3984">
        <v>1.140334</v>
      </c>
      <c r="I3984">
        <v>119.395</v>
      </c>
      <c r="J3984">
        <v>-382.25259999999997</v>
      </c>
      <c r="K3984">
        <v>1.1196520000000001</v>
      </c>
      <c r="L3984">
        <v>140.756</v>
      </c>
      <c r="M3984">
        <v>-0.99982400000000005</v>
      </c>
      <c r="N3984">
        <v>-1.527864E-2</v>
      </c>
      <c r="O3984">
        <v>-1.08967E-2</v>
      </c>
      <c r="P3984">
        <v>-0.97519239999999996</v>
      </c>
      <c r="Q3984">
        <v>0.20984949999999999</v>
      </c>
      <c r="R3984">
        <v>-7.0449150000000002E-2</v>
      </c>
      <c r="S3984">
        <v>-3.0101930000000001</v>
      </c>
      <c r="T3984">
        <v>9.1552729999999996E-4</v>
      </c>
      <c r="U3984">
        <v>-0.94311520000000004</v>
      </c>
      <c r="V3984">
        <v>-5.9263129999999997E-2</v>
      </c>
      <c r="W3984">
        <v>0.22488230000000001</v>
      </c>
      <c r="X3984">
        <v>0.97258199999999995</v>
      </c>
      <c r="Y3984">
        <v>-0.2885605</v>
      </c>
      <c r="Z3984">
        <v>-2.3791860000000001E-3</v>
      </c>
      <c r="AA3984">
        <v>0.9574587</v>
      </c>
      <c r="AB3984">
        <v>54</v>
      </c>
      <c r="AC3984">
        <v>-67.665199999999999</v>
      </c>
      <c r="AD3984">
        <v>2.0681999999999801E-2</v>
      </c>
      <c r="AE3984">
        <v>-21.361000000000001</v>
      </c>
      <c r="AF3984">
        <v>-20.6223163488525</v>
      </c>
      <c r="AG3984">
        <v>2.0681999999999801E-2</v>
      </c>
      <c r="AH3984">
        <v>67.8939675152197</v>
      </c>
      <c r="AI3984">
        <v>89.983299826216296</v>
      </c>
      <c r="AJ3984">
        <v>106.89579074259601</v>
      </c>
      <c r="AK3984">
        <v>70.956826199421997</v>
      </c>
      <c r="AL3984">
        <v>77.004042353869707</v>
      </c>
      <c r="AM3984">
        <v>93.486939009596895</v>
      </c>
      <c r="AN3984">
        <v>0.99999995707734202</v>
      </c>
    </row>
    <row r="3985" spans="1:40" x14ac:dyDescent="0.25">
      <c r="A3985" t="str">
        <f>"20190303170618919"</f>
        <v>20190303170618919</v>
      </c>
      <c r="B3985" t="str">
        <f>"1551603978908564"</f>
        <v>1551603978908564</v>
      </c>
      <c r="C3985" t="s">
        <v>40</v>
      </c>
      <c r="D3985">
        <v>5.9485530000000004</v>
      </c>
      <c r="E3985">
        <v>0.4083543</v>
      </c>
      <c r="F3985" t="s">
        <v>91</v>
      </c>
      <c r="G3985">
        <v>-448.15629999999999</v>
      </c>
      <c r="H3985">
        <v>0.86562689999999998</v>
      </c>
      <c r="I3985">
        <v>119.395</v>
      </c>
      <c r="J3985">
        <v>-382.76580000000001</v>
      </c>
      <c r="K3985">
        <v>1.1197589999999999</v>
      </c>
      <c r="L3985">
        <v>140.75059999999999</v>
      </c>
      <c r="M3985">
        <v>-0.99982789999999999</v>
      </c>
      <c r="N3985">
        <v>-1.527445E-2</v>
      </c>
      <c r="O3985">
        <v>-1.0535030000000001E-2</v>
      </c>
      <c r="P3985">
        <v>-0.97578690000000001</v>
      </c>
      <c r="Q3985">
        <v>0.20804210000000001</v>
      </c>
      <c r="R3985">
        <v>-6.7518170000000002E-2</v>
      </c>
      <c r="S3985">
        <v>-3.008362</v>
      </c>
      <c r="T3985">
        <v>-1.1594409999999999E-2</v>
      </c>
      <c r="U3985">
        <v>-0.97508240000000002</v>
      </c>
      <c r="V3985">
        <v>-5.675384E-2</v>
      </c>
      <c r="W3985">
        <v>0.223055</v>
      </c>
      <c r="X3985">
        <v>0.97315229999999997</v>
      </c>
      <c r="Y3985">
        <v>-0.29828149999999998</v>
      </c>
      <c r="Z3985">
        <v>-3.0129570000000001E-3</v>
      </c>
      <c r="AA3985">
        <v>0.95447320000000002</v>
      </c>
      <c r="AB3985">
        <v>53</v>
      </c>
      <c r="AC3985">
        <v>-65.390499999999903</v>
      </c>
      <c r="AD3985">
        <v>-0.25413210000000003</v>
      </c>
      <c r="AE3985">
        <v>-21.3555999999999</v>
      </c>
      <c r="AF3985">
        <v>-20.665161340154601</v>
      </c>
      <c r="AG3985">
        <v>-0.25413210000000003</v>
      </c>
      <c r="AH3985">
        <v>65.610982958580607</v>
      </c>
      <c r="AI3985">
        <v>90.211672626317807</v>
      </c>
      <c r="AJ3985">
        <v>107.482601456732</v>
      </c>
      <c r="AK3985">
        <v>68.788913068386407</v>
      </c>
      <c r="AL3985">
        <v>77.111468063104198</v>
      </c>
      <c r="AM3985">
        <v>93.337685594066301</v>
      </c>
      <c r="AN3985">
        <v>0.99999996518751699</v>
      </c>
    </row>
    <row r="3986" spans="1:40" x14ac:dyDescent="0.25">
      <c r="A3986" t="str">
        <f>"20190303170618942"</f>
        <v>20190303170618942</v>
      </c>
      <c r="B3986" t="str">
        <f>"1551603978928720"</f>
        <v>1551603978928720</v>
      </c>
      <c r="C3986" t="s">
        <v>40</v>
      </c>
      <c r="D3986">
        <v>5.9833369999999997</v>
      </c>
      <c r="E3986">
        <v>0.40757759999999998</v>
      </c>
      <c r="F3986" t="s">
        <v>91</v>
      </c>
      <c r="G3986">
        <v>-449.02800000000002</v>
      </c>
      <c r="H3986">
        <v>0.92994589999999999</v>
      </c>
      <c r="I3986">
        <v>119.395</v>
      </c>
      <c r="J3986">
        <v>-383.29230000000001</v>
      </c>
      <c r="K3986">
        <v>1.119982</v>
      </c>
      <c r="L3986">
        <v>140.74510000000001</v>
      </c>
      <c r="M3986">
        <v>-0.99982859999999996</v>
      </c>
      <c r="N3986">
        <v>-1.527017E-2</v>
      </c>
      <c r="O3986">
        <v>-1.0489750000000001E-2</v>
      </c>
      <c r="P3986">
        <v>-0.97612549999999998</v>
      </c>
      <c r="Q3986">
        <v>0.20760890000000001</v>
      </c>
      <c r="R3986">
        <v>-6.3859330000000006E-2</v>
      </c>
      <c r="S3986">
        <v>-3.0091549999999998</v>
      </c>
      <c r="T3986">
        <v>-8.6187119999999902E-3</v>
      </c>
      <c r="U3986">
        <v>-0.96981810000000002</v>
      </c>
      <c r="V3986">
        <v>-5.3260990000000001E-2</v>
      </c>
      <c r="W3986">
        <v>0.22258500000000001</v>
      </c>
      <c r="X3986">
        <v>0.97345729999999997</v>
      </c>
      <c r="Y3986">
        <v>-0.2967419</v>
      </c>
      <c r="Z3986">
        <v>-2.8632549999999999E-3</v>
      </c>
      <c r="AA3986">
        <v>0.95495339999999995</v>
      </c>
      <c r="AB3986">
        <v>53</v>
      </c>
      <c r="AC3986">
        <v>-65.735699999999994</v>
      </c>
      <c r="AD3986">
        <v>-0.19003610000000001</v>
      </c>
      <c r="AE3986">
        <v>-21.350100000000001</v>
      </c>
      <c r="AF3986">
        <v>-20.659137570916201</v>
      </c>
      <c r="AG3986">
        <v>-0.19003610000000001</v>
      </c>
      <c r="AH3986">
        <v>65.955567109277297</v>
      </c>
      <c r="AI3986">
        <v>90.157537119168296</v>
      </c>
      <c r="AJ3986">
        <v>107.392022804661</v>
      </c>
      <c r="AK3986">
        <v>69.115648818482001</v>
      </c>
      <c r="AL3986">
        <v>77.139091544944506</v>
      </c>
      <c r="AM3986">
        <v>93.131714499871904</v>
      </c>
      <c r="AN3986">
        <v>0.99999996510203404</v>
      </c>
    </row>
    <row r="3987" spans="1:40" x14ac:dyDescent="0.25">
      <c r="A3987" t="str">
        <f>"20190303170618965"</f>
        <v>20190303170618965</v>
      </c>
      <c r="B3987" t="str">
        <f>"1551603978958976"</f>
        <v>1551603978958976</v>
      </c>
      <c r="C3987" t="s">
        <v>40</v>
      </c>
      <c r="D3987">
        <v>5.9630809999999999</v>
      </c>
      <c r="E3987">
        <v>0.4042829</v>
      </c>
      <c r="F3987" t="s">
        <v>91</v>
      </c>
      <c r="G3987">
        <v>-449.72649999999999</v>
      </c>
      <c r="H3987">
        <v>0.96532859999999998</v>
      </c>
      <c r="I3987">
        <v>119.395</v>
      </c>
      <c r="J3987">
        <v>-383.85879999999997</v>
      </c>
      <c r="K3987">
        <v>1.1203749999999999</v>
      </c>
      <c r="L3987">
        <v>140.73869999999999</v>
      </c>
      <c r="M3987">
        <v>-0.99982300000000002</v>
      </c>
      <c r="N3987">
        <v>-1.5267630000000001E-2</v>
      </c>
      <c r="O3987">
        <v>-1.100548E-2</v>
      </c>
      <c r="P3987">
        <v>-0.97640680000000002</v>
      </c>
      <c r="Q3987">
        <v>0.20676259999999999</v>
      </c>
      <c r="R3987">
        <v>-6.2282780000000003E-2</v>
      </c>
      <c r="S3987">
        <v>-3.011536</v>
      </c>
      <c r="T3987">
        <v>-7.0093869999999997E-3</v>
      </c>
      <c r="U3987">
        <v>-0.96781919999999999</v>
      </c>
      <c r="V3987">
        <v>-5.1391260000000001E-2</v>
      </c>
      <c r="W3987">
        <v>0.2216882</v>
      </c>
      <c r="X3987">
        <v>0.97376249999999998</v>
      </c>
      <c r="Y3987">
        <v>-0.29545579999999999</v>
      </c>
      <c r="Z3987">
        <v>-2.7854289999999999E-3</v>
      </c>
      <c r="AA3987">
        <v>0.95535230000000004</v>
      </c>
      <c r="AB3987">
        <v>53</v>
      </c>
      <c r="AC3987">
        <v>-65.867699999999999</v>
      </c>
      <c r="AD3987">
        <v>-0.155046399999999</v>
      </c>
      <c r="AE3987">
        <v>-21.343699999999998</v>
      </c>
      <c r="AF3987">
        <v>-20.617313630186299</v>
      </c>
      <c r="AG3987">
        <v>-0.155046399999999</v>
      </c>
      <c r="AH3987">
        <v>66.098303557987407</v>
      </c>
      <c r="AI3987">
        <v>90.128301546145906</v>
      </c>
      <c r="AJ3987">
        <v>107.323689952658</v>
      </c>
      <c r="AK3987">
        <v>69.239319710374602</v>
      </c>
      <c r="AL3987">
        <v>77.191792347885496</v>
      </c>
      <c r="AM3987">
        <v>93.021037557349999</v>
      </c>
      <c r="AN3987">
        <v>1.0000000630149299</v>
      </c>
    </row>
    <row r="3988" spans="1:40" x14ac:dyDescent="0.25">
      <c r="A3988" t="str">
        <f>"20190303170618988"</f>
        <v>20190303170618988</v>
      </c>
      <c r="B3988" t="str">
        <f>"1551603978979473"</f>
        <v>1551603978979473</v>
      </c>
      <c r="C3988" t="s">
        <v>40</v>
      </c>
      <c r="D3988">
        <v>5.9908299999999999</v>
      </c>
      <c r="E3988">
        <v>0.4037848</v>
      </c>
      <c r="F3988" t="s">
        <v>91</v>
      </c>
      <c r="G3988">
        <v>-448.7004</v>
      </c>
      <c r="H3988">
        <v>0.98836820000000003</v>
      </c>
      <c r="I3988">
        <v>119.395</v>
      </c>
      <c r="J3988">
        <v>-384.37270000000001</v>
      </c>
      <c r="K3988">
        <v>1.1208469999999999</v>
      </c>
      <c r="L3988">
        <v>140.73230000000001</v>
      </c>
      <c r="M3988">
        <v>-0.99981089999999995</v>
      </c>
      <c r="N3988">
        <v>-1.5269919999999999E-2</v>
      </c>
      <c r="O3988">
        <v>-1.2043659999999999E-2</v>
      </c>
      <c r="P3988">
        <v>-0.97656949999999998</v>
      </c>
      <c r="Q3988">
        <v>0.20524590000000001</v>
      </c>
      <c r="R3988">
        <v>-6.4699209999999993E-2</v>
      </c>
      <c r="S3988">
        <v>-3.0105900000000001</v>
      </c>
      <c r="T3988">
        <v>-6.1275959999999999E-3</v>
      </c>
      <c r="U3988">
        <v>-0.99098209999999998</v>
      </c>
      <c r="V3988">
        <v>-5.304449E-2</v>
      </c>
      <c r="W3988">
        <v>0.2201177</v>
      </c>
      <c r="X3988">
        <v>0.97402999999999995</v>
      </c>
      <c r="Y3988">
        <v>-0.30119359999999901</v>
      </c>
      <c r="Z3988">
        <v>-2.812939E-3</v>
      </c>
      <c r="AA3988">
        <v>0.95355889999999999</v>
      </c>
      <c r="AB3988">
        <v>53</v>
      </c>
      <c r="AC3988">
        <v>-64.327699999999993</v>
      </c>
      <c r="AD3988">
        <v>-0.13247879999999901</v>
      </c>
      <c r="AE3988">
        <v>-21.337299999999999</v>
      </c>
      <c r="AF3988">
        <v>-20.5608422724431</v>
      </c>
      <c r="AG3988">
        <v>-0.13247879999999901</v>
      </c>
      <c r="AH3988">
        <v>64.579795776728702</v>
      </c>
      <c r="AI3988">
        <v>90.111996936048797</v>
      </c>
      <c r="AJ3988">
        <v>107.66037582823</v>
      </c>
      <c r="AK3988">
        <v>67.774005401398</v>
      </c>
      <c r="AL3988">
        <v>77.284053572589201</v>
      </c>
      <c r="AM3988">
        <v>93.117179349341498</v>
      </c>
      <c r="AN3988">
        <v>0.99999998033632398</v>
      </c>
    </row>
    <row r="3989" spans="1:40" x14ac:dyDescent="0.25">
      <c r="A3989" t="str">
        <f>"20190303170619009"</f>
        <v>20190303170619009</v>
      </c>
      <c r="B3989" t="str">
        <f>"1551603978998993"</f>
        <v>1551603978998993</v>
      </c>
      <c r="C3989" t="s">
        <v>40</v>
      </c>
      <c r="D3989">
        <v>5.988321</v>
      </c>
      <c r="E3989">
        <v>0.40339399999999997</v>
      </c>
      <c r="F3989" t="s">
        <v>91</v>
      </c>
      <c r="G3989">
        <v>-448.43079999999998</v>
      </c>
      <c r="H3989">
        <v>0.91643010000000003</v>
      </c>
      <c r="I3989">
        <v>119.395</v>
      </c>
      <c r="J3989">
        <v>-384.8877</v>
      </c>
      <c r="K3989">
        <v>1.1213759999999999</v>
      </c>
      <c r="L3989">
        <v>140.72489999999999</v>
      </c>
      <c r="M3989">
        <v>-0.99979070000000003</v>
      </c>
      <c r="N3989">
        <v>-1.5278399999999999E-2</v>
      </c>
      <c r="O3989">
        <v>-1.360813E-2</v>
      </c>
      <c r="P3989">
        <v>-0.97625910000000005</v>
      </c>
      <c r="Q3989">
        <v>0.20539250000000001</v>
      </c>
      <c r="R3989">
        <v>-6.8791619999999998E-2</v>
      </c>
      <c r="S3989">
        <v>-3.0076290000000001</v>
      </c>
      <c r="T3989">
        <v>-9.5962289999999995E-3</v>
      </c>
      <c r="U3989">
        <v>-1.001816</v>
      </c>
      <c r="V3989">
        <v>-5.5895449999999999E-2</v>
      </c>
      <c r="W3989">
        <v>0.2201968</v>
      </c>
      <c r="X3989">
        <v>0.97385270000000002</v>
      </c>
      <c r="Y3989">
        <v>-0.30307119999999999</v>
      </c>
      <c r="Z3989">
        <v>-3.0073869999999998E-3</v>
      </c>
      <c r="AA3989">
        <v>0.95296320000000001</v>
      </c>
      <c r="AB3989">
        <v>53</v>
      </c>
      <c r="AC3989">
        <v>-63.543099999999903</v>
      </c>
      <c r="AD3989">
        <v>-0.20494589999999999</v>
      </c>
      <c r="AE3989">
        <v>-21.329899999999899</v>
      </c>
      <c r="AF3989">
        <v>-20.462929505238101</v>
      </c>
      <c r="AG3989">
        <v>-0.20494589999999999</v>
      </c>
      <c r="AH3989">
        <v>63.826912060805903</v>
      </c>
      <c r="AI3989">
        <v>90.175190817049</v>
      </c>
      <c r="AJ3989">
        <v>107.77586789678401</v>
      </c>
      <c r="AK3989">
        <v>67.027219769106694</v>
      </c>
      <c r="AL3989">
        <v>77.279407822394205</v>
      </c>
      <c r="AM3989">
        <v>93.284956279304396</v>
      </c>
      <c r="AN3989">
        <v>1.0000000066791099</v>
      </c>
    </row>
    <row r="3990" spans="1:40" x14ac:dyDescent="0.25">
      <c r="A3990" t="str">
        <f>"20190303170619032"</f>
        <v>20190303170619032</v>
      </c>
      <c r="B3990" t="str">
        <f>"1551603979019099"</f>
        <v>1551603979019099</v>
      </c>
      <c r="C3990" t="s">
        <v>40</v>
      </c>
      <c r="D3990">
        <v>5.954879</v>
      </c>
      <c r="E3990">
        <v>0.4031593</v>
      </c>
      <c r="F3990" t="s">
        <v>91</v>
      </c>
      <c r="G3990">
        <v>-447.89429999999999</v>
      </c>
      <c r="H3990">
        <v>0.92937329999999996</v>
      </c>
      <c r="I3990">
        <v>119.395</v>
      </c>
      <c r="J3990">
        <v>-385.42469999999997</v>
      </c>
      <c r="K3990">
        <v>1.12199</v>
      </c>
      <c r="L3990">
        <v>140.7159</v>
      </c>
      <c r="M3990">
        <v>-0.99975740000000002</v>
      </c>
      <c r="N3990">
        <v>-1.5291509999999999E-2</v>
      </c>
      <c r="O3990">
        <v>-1.5859760000000001E-2</v>
      </c>
      <c r="P3990">
        <v>-0.97582760000000002</v>
      </c>
      <c r="Q3990">
        <v>0.2066548</v>
      </c>
      <c r="R3990">
        <v>-7.1094130000000005E-2</v>
      </c>
      <c r="S3990">
        <v>-3.0032350000000001</v>
      </c>
      <c r="T3990">
        <v>-9.1503859999999999E-3</v>
      </c>
      <c r="U3990">
        <v>-1.0166930000000001</v>
      </c>
      <c r="V3990">
        <v>-5.6332199999999999E-2</v>
      </c>
      <c r="W3990">
        <v>0.22138450000000001</v>
      </c>
      <c r="X3990">
        <v>0.97355820000000004</v>
      </c>
      <c r="Y3990">
        <v>-0.30558410000000003</v>
      </c>
      <c r="Z3990">
        <v>-3.042014E-3</v>
      </c>
      <c r="AA3990">
        <v>0.95216020000000001</v>
      </c>
      <c r="AB3990">
        <v>53</v>
      </c>
      <c r="AC3990">
        <v>-62.4696</v>
      </c>
      <c r="AD3990">
        <v>-0.1926167</v>
      </c>
      <c r="AE3990">
        <v>-21.320900000000002</v>
      </c>
      <c r="AF3990">
        <v>-20.327176061618399</v>
      </c>
      <c r="AG3990">
        <v>-0.1926167</v>
      </c>
      <c r="AH3990">
        <v>62.799390227067398</v>
      </c>
      <c r="AI3990">
        <v>90.1671951502627</v>
      </c>
      <c r="AJ3990">
        <v>107.93595245761</v>
      </c>
      <c r="AK3990">
        <v>66.007534423917406</v>
      </c>
      <c r="AL3990">
        <v>77.209635529393694</v>
      </c>
      <c r="AM3990">
        <v>93.3115662693248</v>
      </c>
      <c r="AN3990">
        <v>0.99999999119216498</v>
      </c>
    </row>
    <row r="3991" spans="1:40" x14ac:dyDescent="0.25">
      <c r="A3991" t="str">
        <f>"20190303170619056"</f>
        <v>20190303170619056</v>
      </c>
      <c r="B3991" t="str">
        <f>"1551603979049355"</f>
        <v>1551603979049355</v>
      </c>
      <c r="C3991" t="s">
        <v>40</v>
      </c>
      <c r="D3991">
        <v>5.981128</v>
      </c>
      <c r="E3991">
        <v>0.3980436</v>
      </c>
      <c r="F3991" t="s">
        <v>91</v>
      </c>
      <c r="G3991">
        <v>-447.6961</v>
      </c>
      <c r="H3991">
        <v>1.0604709999999999</v>
      </c>
      <c r="I3991">
        <v>119.395</v>
      </c>
      <c r="J3991">
        <v>-385.9907</v>
      </c>
      <c r="K3991">
        <v>1.122695</v>
      </c>
      <c r="L3991">
        <v>140.70480000000001</v>
      </c>
      <c r="M3991">
        <v>-0.99970289999999995</v>
      </c>
      <c r="N3991">
        <v>-1.530945E-2</v>
      </c>
      <c r="O3991">
        <v>-1.896807E-2</v>
      </c>
      <c r="P3991">
        <v>-0.97537339999999995</v>
      </c>
      <c r="Q3991">
        <v>0.20814060000000001</v>
      </c>
      <c r="R3991">
        <v>-7.2967870000000004E-2</v>
      </c>
      <c r="S3991">
        <v>-3.000092</v>
      </c>
      <c r="T3991">
        <v>-2.9625889999999998E-3</v>
      </c>
      <c r="U3991">
        <v>-1.027191</v>
      </c>
      <c r="V3991">
        <v>-5.5556250000000001E-2</v>
      </c>
      <c r="W3991">
        <v>0.22279470000000001</v>
      </c>
      <c r="X3991">
        <v>0.97328110000000001</v>
      </c>
      <c r="Y3991">
        <v>-0.30591849999999998</v>
      </c>
      <c r="Z3991">
        <v>-2.8180330000000002E-3</v>
      </c>
      <c r="AA3991">
        <v>0.9520535</v>
      </c>
      <c r="AB3991">
        <v>53</v>
      </c>
      <c r="AC3991">
        <v>-61.705399999999997</v>
      </c>
      <c r="AD3991">
        <v>-6.2224000000000002E-2</v>
      </c>
      <c r="AE3991">
        <v>-21.309799999999999</v>
      </c>
      <c r="AF3991">
        <v>-20.135377460334301</v>
      </c>
      <c r="AG3991">
        <v>-6.2224000000000002E-2</v>
      </c>
      <c r="AH3991">
        <v>62.098492703833401</v>
      </c>
      <c r="AI3991">
        <v>90.054612394667799</v>
      </c>
      <c r="AJ3991">
        <v>107.96523739640899</v>
      </c>
      <c r="AK3991">
        <v>65.281391631799394</v>
      </c>
      <c r="AL3991">
        <v>77.126768092961299</v>
      </c>
      <c r="AM3991">
        <v>93.266978266657205</v>
      </c>
      <c r="AN3991">
        <v>1.00000003743968</v>
      </c>
    </row>
    <row r="3992" spans="1:40" x14ac:dyDescent="0.25">
      <c r="A3992" t="str">
        <f>"20190303170619077"</f>
        <v>20190303170619077</v>
      </c>
      <c r="B3992" t="str">
        <f>"1551603979068874"</f>
        <v>1551603979068874</v>
      </c>
      <c r="C3992" t="s">
        <v>40</v>
      </c>
      <c r="D3992">
        <v>6.0012869999999996</v>
      </c>
      <c r="E3992">
        <v>0.39770670000000002</v>
      </c>
      <c r="F3992" t="s">
        <v>91</v>
      </c>
      <c r="G3992">
        <v>-445.37819999999999</v>
      </c>
      <c r="H3992">
        <v>1.4723170000000001</v>
      </c>
      <c r="I3992">
        <v>119.395</v>
      </c>
      <c r="J3992">
        <v>-386.50549999999998</v>
      </c>
      <c r="K3992">
        <v>1.123375</v>
      </c>
      <c r="L3992">
        <v>140.69290000000001</v>
      </c>
      <c r="M3992">
        <v>-0.99962969999999896</v>
      </c>
      <c r="N3992">
        <v>-1.533057E-2</v>
      </c>
      <c r="O3992">
        <v>-2.2482640000000002E-2</v>
      </c>
      <c r="P3992">
        <v>-0.97499939999999996</v>
      </c>
      <c r="Q3992">
        <v>0.20808689999999999</v>
      </c>
      <c r="R3992">
        <v>-7.7948879999999998E-2</v>
      </c>
      <c r="S3992">
        <v>-2.9916689999999999</v>
      </c>
      <c r="T3992">
        <v>1.7613650000000002E-2</v>
      </c>
      <c r="U3992">
        <v>-1.0734859999999999</v>
      </c>
      <c r="V3992">
        <v>-5.7476100000000002E-2</v>
      </c>
      <c r="W3992">
        <v>0.22265850000000001</v>
      </c>
      <c r="X3992">
        <v>0.97320070000000003</v>
      </c>
      <c r="Y3992">
        <v>-0.31650329999999999</v>
      </c>
      <c r="Z3992">
        <v>-2.0589779999999999E-3</v>
      </c>
      <c r="AA3992">
        <v>0.94858909999999996</v>
      </c>
      <c r="AB3992">
        <v>53</v>
      </c>
      <c r="AC3992">
        <v>-58.872700000000002</v>
      </c>
      <c r="AD3992">
        <v>0.34894199999999997</v>
      </c>
      <c r="AE3992">
        <v>-21.297899999999998</v>
      </c>
      <c r="AF3992">
        <v>-19.968125769968999</v>
      </c>
      <c r="AG3992">
        <v>0.34894199999999997</v>
      </c>
      <c r="AH3992">
        <v>59.334861533864</v>
      </c>
      <c r="AI3992">
        <v>89.680651959887598</v>
      </c>
      <c r="AJ3992">
        <v>108.599773359894</v>
      </c>
      <c r="AK3992">
        <v>62.605699425271801</v>
      </c>
      <c r="AL3992">
        <v>77.134771785164304</v>
      </c>
      <c r="AM3992">
        <v>93.379896030874505</v>
      </c>
      <c r="AN3992">
        <v>0.99999995608697401</v>
      </c>
    </row>
    <row r="3993" spans="1:40" x14ac:dyDescent="0.25">
      <c r="A3993" t="str">
        <f>"20190303170619100"</f>
        <v>20190303170619100</v>
      </c>
      <c r="B3993" t="str">
        <f>"1551603979089371"</f>
        <v>1551603979089371</v>
      </c>
      <c r="C3993" t="s">
        <v>40</v>
      </c>
      <c r="D3993">
        <v>5.9794650000000003</v>
      </c>
      <c r="E3993">
        <v>0.397337</v>
      </c>
      <c r="F3993" t="s">
        <v>91</v>
      </c>
      <c r="G3993">
        <v>-444.84840000000003</v>
      </c>
      <c r="H3993">
        <v>1.4519599999999999</v>
      </c>
      <c r="I3993">
        <v>119.395</v>
      </c>
      <c r="J3993">
        <v>-387.02</v>
      </c>
      <c r="K3993">
        <v>1.1240779999999999</v>
      </c>
      <c r="L3993">
        <v>140.6788</v>
      </c>
      <c r="M3993">
        <v>-0.99952680000000005</v>
      </c>
      <c r="N3993">
        <v>-1.5357269999999999E-2</v>
      </c>
      <c r="O3993">
        <v>-2.6650529999999999E-2</v>
      </c>
      <c r="P3993">
        <v>-0.97493569999999996</v>
      </c>
      <c r="Q3993">
        <v>0.20486509999999999</v>
      </c>
      <c r="R3993">
        <v>-8.6777679999999996E-2</v>
      </c>
      <c r="S3993">
        <v>-2.9861759999999999</v>
      </c>
      <c r="T3993">
        <v>1.6819600000000001E-2</v>
      </c>
      <c r="U3993">
        <v>-1.0900879999999999</v>
      </c>
      <c r="V3993">
        <v>-6.2589800000000001E-2</v>
      </c>
      <c r="W3993">
        <v>0.2193301</v>
      </c>
      <c r="X3993">
        <v>0.97364099999999998</v>
      </c>
      <c r="Y3993">
        <v>-0.31776470000000001</v>
      </c>
      <c r="Z3993">
        <v>-2.1917439999999998E-3</v>
      </c>
      <c r="AA3993">
        <v>0.94816710000000004</v>
      </c>
      <c r="AB3993">
        <v>53</v>
      </c>
      <c r="AC3993">
        <v>-57.828400000000002</v>
      </c>
      <c r="AD3993">
        <v>0.32788200000000001</v>
      </c>
      <c r="AE3993">
        <v>-21.283799999999999</v>
      </c>
      <c r="AF3993">
        <v>-19.734340384147099</v>
      </c>
      <c r="AG3993">
        <v>0.32788200000000001</v>
      </c>
      <c r="AH3993">
        <v>58.373493937932302</v>
      </c>
      <c r="AI3993">
        <v>89.695125559976702</v>
      </c>
      <c r="AJ3993">
        <v>108.67886437361</v>
      </c>
      <c r="AK3993">
        <v>61.619935828635199</v>
      </c>
      <c r="AL3993">
        <v>77.330310221959806</v>
      </c>
      <c r="AM3993">
        <v>93.678156256754804</v>
      </c>
      <c r="AN3993">
        <v>0.99999998635552401</v>
      </c>
    </row>
    <row r="3994" spans="1:40" x14ac:dyDescent="0.25">
      <c r="A3994" t="str">
        <f>"20190303170619121"</f>
        <v>20190303170619121</v>
      </c>
      <c r="B3994" t="str">
        <f>"1551603979108891"</f>
        <v>1551603979108891</v>
      </c>
      <c r="C3994" t="s">
        <v>40</v>
      </c>
      <c r="D3994">
        <v>6.1967309999999998</v>
      </c>
      <c r="E3994">
        <v>0.39730369999999998</v>
      </c>
      <c r="F3994" t="s">
        <v>91</v>
      </c>
      <c r="G3994">
        <v>-442.51220000000001</v>
      </c>
      <c r="H3994">
        <v>1.2124919999999999</v>
      </c>
      <c r="I3994">
        <v>119.8177</v>
      </c>
      <c r="J3994">
        <v>-387.53870000000001</v>
      </c>
      <c r="K3994">
        <v>1.124808</v>
      </c>
      <c r="L3994">
        <v>140.66220000000001</v>
      </c>
      <c r="M3994">
        <v>-0.99938570000000004</v>
      </c>
      <c r="N3994">
        <v>-1.53893E-2</v>
      </c>
      <c r="O3994">
        <v>-3.1487800000000003E-2</v>
      </c>
      <c r="P3994">
        <v>-0.97452000000000005</v>
      </c>
      <c r="Q3994">
        <v>0.2026164</v>
      </c>
      <c r="R3994">
        <v>-9.6215019999999998E-2</v>
      </c>
      <c r="S3994">
        <v>-2.9765320000000002</v>
      </c>
      <c r="T3994">
        <v>4.743934E-3</v>
      </c>
      <c r="U3994">
        <v>-1.1189579999999999</v>
      </c>
      <c r="V3994">
        <v>-6.7677920000000003E-2</v>
      </c>
      <c r="W3994">
        <v>0.21695500000000001</v>
      </c>
      <c r="X3994">
        <v>0.97383280000000005</v>
      </c>
      <c r="Y3994">
        <v>-0.32223780000000002</v>
      </c>
      <c r="Z3994">
        <v>-2.8310760000000001E-3</v>
      </c>
      <c r="AA3994">
        <v>0.94665449999999995</v>
      </c>
      <c r="AB3994">
        <v>53</v>
      </c>
      <c r="AC3994">
        <v>-54.973500000000001</v>
      </c>
      <c r="AD3994">
        <v>8.7683999999999804E-2</v>
      </c>
      <c r="AE3994">
        <v>-20.8445</v>
      </c>
      <c r="AF3994">
        <v>-19.102919521480601</v>
      </c>
      <c r="AG3994">
        <v>8.7683999999999804E-2</v>
      </c>
      <c r="AH3994">
        <v>55.602535655664298</v>
      </c>
      <c r="AI3994">
        <v>89.914548361683003</v>
      </c>
      <c r="AJ3994">
        <v>108.96077502991299</v>
      </c>
      <c r="AK3994">
        <v>58.792611730279901</v>
      </c>
      <c r="AL3994">
        <v>77.469752428069697</v>
      </c>
      <c r="AM3994">
        <v>93.975461182206203</v>
      </c>
      <c r="AN3994">
        <v>1.0000000476181801</v>
      </c>
    </row>
    <row r="3995" spans="1:40" x14ac:dyDescent="0.25">
      <c r="A3995" t="str">
        <f>"20190303170619144"</f>
        <v>20190303170619144</v>
      </c>
      <c r="B3995" t="str">
        <f>"1551603979128970"</f>
        <v>1551603979128970</v>
      </c>
      <c r="C3995" t="s">
        <v>40</v>
      </c>
      <c r="D3995">
        <v>6.0745459999999998</v>
      </c>
      <c r="E3995">
        <v>0.42969360000000001</v>
      </c>
      <c r="F3995" t="s">
        <v>91</v>
      </c>
      <c r="G3995">
        <v>-441.4452</v>
      </c>
      <c r="H3995">
        <v>1.0496859999999999</v>
      </c>
      <c r="I3995">
        <v>119.8177</v>
      </c>
      <c r="J3995">
        <v>-388.0609</v>
      </c>
      <c r="K3995">
        <v>1.1255409999999999</v>
      </c>
      <c r="L3995">
        <v>140.6429</v>
      </c>
      <c r="M3995">
        <v>-0.99919749999999996</v>
      </c>
      <c r="N3995">
        <v>-1.542519E-2</v>
      </c>
      <c r="O3995">
        <v>-3.6966980000000003E-2</v>
      </c>
      <c r="P3995">
        <v>-0.97348939999999995</v>
      </c>
      <c r="Q3995">
        <v>0.2030236</v>
      </c>
      <c r="R3995">
        <v>-0.1053567</v>
      </c>
      <c r="S3995">
        <v>-2.9660639999999998</v>
      </c>
      <c r="T3995">
        <v>-4.1317940000000003E-3</v>
      </c>
      <c r="U3995">
        <v>-1.1469119999999999</v>
      </c>
      <c r="V3995">
        <v>-7.1892049999999999E-2</v>
      </c>
      <c r="W3995">
        <v>0.21722259999999999</v>
      </c>
      <c r="X3995">
        <v>0.97347099999999998</v>
      </c>
      <c r="Y3995">
        <v>-0.32592259999999901</v>
      </c>
      <c r="Z3995">
        <v>-3.322429E-3</v>
      </c>
      <c r="AA3995">
        <v>0.94539059999999997</v>
      </c>
      <c r="AB3995">
        <v>53</v>
      </c>
      <c r="AC3995">
        <v>-53.384300000000003</v>
      </c>
      <c r="AD3995">
        <v>-7.58549999999997E-2</v>
      </c>
      <c r="AE3995">
        <v>-20.825199999999899</v>
      </c>
      <c r="AF3995">
        <v>-18.837238286576099</v>
      </c>
      <c r="AG3995">
        <v>-7.58549999999997E-2</v>
      </c>
      <c r="AH3995">
        <v>54.117643955857297</v>
      </c>
      <c r="AI3995">
        <v>90.075846239210506</v>
      </c>
      <c r="AJ3995">
        <v>109.191955545686</v>
      </c>
      <c r="AK3995">
        <v>57.302414325918399</v>
      </c>
      <c r="AL3995">
        <v>77.454044333031106</v>
      </c>
      <c r="AM3995">
        <v>94.223697369955602</v>
      </c>
      <c r="AN3995">
        <v>0.99999995632247995</v>
      </c>
    </row>
    <row r="3996" spans="1:40" x14ac:dyDescent="0.25">
      <c r="A3996" t="str">
        <f>"20190303170619167"</f>
        <v>20190303170619167</v>
      </c>
      <c r="B3996" t="str">
        <f>"1551603979159226"</f>
        <v>1551603979159226</v>
      </c>
      <c r="C3996" t="s">
        <v>40</v>
      </c>
      <c r="D3996">
        <v>5.9988910000000004</v>
      </c>
      <c r="E3996">
        <v>0.4546675</v>
      </c>
      <c r="F3996" t="s">
        <v>84</v>
      </c>
      <c r="G3996">
        <v>-430.25729999999999</v>
      </c>
      <c r="H3996">
        <v>2.6566380000000001E-2</v>
      </c>
      <c r="I3996">
        <v>127.6554</v>
      </c>
      <c r="J3996">
        <v>-388.6028</v>
      </c>
      <c r="K3996">
        <v>1.1263099999999999</v>
      </c>
      <c r="L3996">
        <v>140.61930000000001</v>
      </c>
      <c r="M3996">
        <v>-0.99894240000000001</v>
      </c>
      <c r="N3996">
        <v>-1.5464800000000001E-2</v>
      </c>
      <c r="O3996">
        <v>-4.3299410000000003E-2</v>
      </c>
      <c r="P3996">
        <v>-0.97252629999999995</v>
      </c>
      <c r="Q3996">
        <v>0.2036096</v>
      </c>
      <c r="R3996">
        <v>-0.11285340000000001</v>
      </c>
      <c r="S3996">
        <v>-2.9981080000000002</v>
      </c>
      <c r="T3996">
        <v>-7.8083630000000001E-2</v>
      </c>
      <c r="U3996">
        <v>-0.92277529999999997</v>
      </c>
      <c r="V3996">
        <v>-7.3641929999999994E-2</v>
      </c>
      <c r="W3996">
        <v>0.21769179999999999</v>
      </c>
      <c r="X3996">
        <v>0.97323539999999997</v>
      </c>
      <c r="Y3996">
        <v>-0.25237690000000002</v>
      </c>
      <c r="Z3996">
        <v>-4.7636520000000002E-3</v>
      </c>
      <c r="AA3996">
        <v>0.96761730000000001</v>
      </c>
      <c r="AB3996">
        <v>53</v>
      </c>
      <c r="AC3996">
        <v>-41.654499999999899</v>
      </c>
      <c r="AD3996">
        <v>-1.0997436199999999</v>
      </c>
      <c r="AE3996">
        <v>-12.963900000000001</v>
      </c>
      <c r="AF3996">
        <v>-11.140827846203599</v>
      </c>
      <c r="AG3996">
        <v>-1.0997436199999999</v>
      </c>
      <c r="AH3996">
        <v>42.1500351138301</v>
      </c>
      <c r="AI3996">
        <v>91.444974683125906</v>
      </c>
      <c r="AJ3996">
        <v>104.805473981826</v>
      </c>
      <c r="AK3996">
        <v>43.611385454094297</v>
      </c>
      <c r="AL3996">
        <v>77.426502603161097</v>
      </c>
      <c r="AM3996">
        <v>94.327161387074099</v>
      </c>
      <c r="AN3996">
        <v>0.99999999872726197</v>
      </c>
    </row>
    <row r="3997" spans="1:40" x14ac:dyDescent="0.25">
      <c r="A3997" t="str">
        <f>"20190303170619187"</f>
        <v>20190303170619187</v>
      </c>
      <c r="B3997" t="str">
        <f>"1551603979178749"</f>
        <v>1551603979178749</v>
      </c>
      <c r="C3997" t="s">
        <v>40</v>
      </c>
      <c r="D3997">
        <v>5.9511770000000004</v>
      </c>
      <c r="E3997">
        <v>0.46215519999999999</v>
      </c>
      <c r="F3997" t="s">
        <v>84</v>
      </c>
      <c r="G3997">
        <v>-419.86559999999997</v>
      </c>
      <c r="H3997" s="1">
        <v>-7.0454199999999899E-6</v>
      </c>
      <c r="I3997">
        <v>132.84309999999999</v>
      </c>
      <c r="J3997">
        <v>-389.10469999999998</v>
      </c>
      <c r="K3997">
        <v>1.126981</v>
      </c>
      <c r="L3997">
        <v>140.59440000000001</v>
      </c>
      <c r="M3997">
        <v>-0.99864810000000004</v>
      </c>
      <c r="N3997">
        <v>-1.549994E-2</v>
      </c>
      <c r="O3997">
        <v>-4.96184E-2</v>
      </c>
      <c r="P3997">
        <v>-0.97217679999999995</v>
      </c>
      <c r="Q3997">
        <v>0.20179510000000001</v>
      </c>
      <c r="R3997">
        <v>-0.1189586</v>
      </c>
      <c r="S3997">
        <v>-3.0203250000000001</v>
      </c>
      <c r="T3997">
        <v>-0.10881440000000001</v>
      </c>
      <c r="U3997">
        <v>-0.75126649999999995</v>
      </c>
      <c r="V3997">
        <v>-7.3906260000000001E-2</v>
      </c>
      <c r="W3997">
        <v>0.21579809999999999</v>
      </c>
      <c r="X3997">
        <v>0.97363699999999997</v>
      </c>
      <c r="Y3997">
        <v>-0.19276650000000001</v>
      </c>
      <c r="Z3997">
        <v>-3.9382130000000003E-3</v>
      </c>
      <c r="AA3997">
        <v>0.98123680000000002</v>
      </c>
      <c r="AB3997">
        <v>53</v>
      </c>
      <c r="AC3997">
        <v>-30.7608999999999</v>
      </c>
      <c r="AD3997">
        <v>-1.1269880454200001</v>
      </c>
      <c r="AE3997">
        <v>-7.7513000000000103</v>
      </c>
      <c r="AF3997">
        <v>-6.2074256279774698</v>
      </c>
      <c r="AG3997">
        <v>-1.1269880454200001</v>
      </c>
      <c r="AH3997">
        <v>31.0684419385504</v>
      </c>
      <c r="AI3997">
        <v>92.037227604318701</v>
      </c>
      <c r="AJ3997">
        <v>101.298826608767</v>
      </c>
      <c r="AK3997">
        <v>31.702528597423701</v>
      </c>
      <c r="AL3997">
        <v>77.537645486639406</v>
      </c>
      <c r="AM3997">
        <v>94.340849594677593</v>
      </c>
      <c r="AN3997">
        <v>0.99999998149989799</v>
      </c>
    </row>
    <row r="3998" spans="1:40" x14ac:dyDescent="0.25">
      <c r="A3998" t="str">
        <f>"20190303170619210"</f>
        <v>20190303170619210</v>
      </c>
      <c r="B3998" t="str">
        <f>"1551603979199241"</f>
        <v>1551603979199241</v>
      </c>
      <c r="C3998" t="s">
        <v>40</v>
      </c>
      <c r="D3998">
        <v>5.9327959999999997</v>
      </c>
      <c r="E3998">
        <v>0.46658519999999998</v>
      </c>
      <c r="F3998" t="s">
        <v>84</v>
      </c>
      <c r="G3998">
        <v>-417.69200000000001</v>
      </c>
      <c r="H3998" s="1">
        <v>-7.5901259999999998E-6</v>
      </c>
      <c r="I3998">
        <v>133.8707</v>
      </c>
      <c r="J3998">
        <v>-389.62990000000002</v>
      </c>
      <c r="K3998">
        <v>1.127648</v>
      </c>
      <c r="L3998">
        <v>140.565</v>
      </c>
      <c r="M3998">
        <v>-0.99827120000000003</v>
      </c>
      <c r="N3998">
        <v>-1.553276E-2</v>
      </c>
      <c r="O3998">
        <v>-5.6689280000000002E-2</v>
      </c>
      <c r="P3998">
        <v>-0.9719643</v>
      </c>
      <c r="Q3998">
        <v>0.19923769999999999</v>
      </c>
      <c r="R3998">
        <v>-0.1248591</v>
      </c>
      <c r="S3998">
        <v>-3.02359</v>
      </c>
      <c r="T3998">
        <v>-0.1191982</v>
      </c>
      <c r="U3998">
        <v>-0.71115109999999904</v>
      </c>
      <c r="V3998">
        <v>-7.3199520000000004E-2</v>
      </c>
      <c r="W3998">
        <v>0.21317920000000001</v>
      </c>
      <c r="X3998">
        <v>0.97426710000000005</v>
      </c>
      <c r="Y3998">
        <v>-0.17323050000000001</v>
      </c>
      <c r="Z3998">
        <v>-3.4025840000000002E-3</v>
      </c>
      <c r="AA3998">
        <v>0.98487539999999996</v>
      </c>
      <c r="AB3998">
        <v>53</v>
      </c>
      <c r="AC3998">
        <v>-28.062099999999901</v>
      </c>
      <c r="AD3998">
        <v>-1.1276555901259999</v>
      </c>
      <c r="AE3998">
        <v>-6.6942999999999904</v>
      </c>
      <c r="AF3998">
        <v>-5.0847515282702798</v>
      </c>
      <c r="AG3998">
        <v>-1.1276555901259999</v>
      </c>
      <c r="AH3998">
        <v>28.353183473672299</v>
      </c>
      <c r="AI3998">
        <v>92.241825245535196</v>
      </c>
      <c r="AJ3998">
        <v>100.167128839013</v>
      </c>
      <c r="AK3998">
        <v>28.827579127042799</v>
      </c>
      <c r="AL3998">
        <v>77.691272659781504</v>
      </c>
      <c r="AM3998">
        <v>94.296725703113694</v>
      </c>
      <c r="AN3998">
        <v>0.99999996159163895</v>
      </c>
    </row>
    <row r="3999" spans="1:40" x14ac:dyDescent="0.25">
      <c r="A3999" t="str">
        <f>"20190303170619233"</f>
        <v>20190303170619233</v>
      </c>
      <c r="B3999" t="str">
        <f>"1551603979218717"</f>
        <v>1551603979218717</v>
      </c>
      <c r="C3999" t="s">
        <v>40</v>
      </c>
      <c r="D3999">
        <v>5.9444350000000004</v>
      </c>
      <c r="E3999">
        <v>0.46988560000000001</v>
      </c>
      <c r="F3999" t="s">
        <v>84</v>
      </c>
      <c r="G3999">
        <v>-415.66660000000002</v>
      </c>
      <c r="H3999" s="1">
        <v>-8.0075829999999995E-6</v>
      </c>
      <c r="I3999">
        <v>134.607</v>
      </c>
      <c r="J3999">
        <v>-390.15249999999997</v>
      </c>
      <c r="K3999">
        <v>1.1282749999999999</v>
      </c>
      <c r="L3999">
        <v>140.53200000000001</v>
      </c>
      <c r="M3999">
        <v>-0.99781690000000001</v>
      </c>
      <c r="N3999">
        <v>-1.556312E-2</v>
      </c>
      <c r="O3999">
        <v>-6.4181550000000004E-2</v>
      </c>
      <c r="P3999">
        <v>-0.97095469999999895</v>
      </c>
      <c r="Q3999">
        <v>0.19878180000000001</v>
      </c>
      <c r="R3999">
        <v>-0.13316639999999999</v>
      </c>
      <c r="S3999">
        <v>-3.0244749999999998</v>
      </c>
      <c r="T3999">
        <v>-0.1309911</v>
      </c>
      <c r="U3999">
        <v>-0.69209290000000001</v>
      </c>
      <c r="V3999">
        <v>-7.4543940000000003E-2</v>
      </c>
      <c r="W3999">
        <v>0.21261730000000001</v>
      </c>
      <c r="X3999">
        <v>0.97428800000000004</v>
      </c>
      <c r="Y3999">
        <v>-0.1598609</v>
      </c>
      <c r="Z3999">
        <v>-2.92838E-3</v>
      </c>
      <c r="AA3999">
        <v>0.98713519999999999</v>
      </c>
      <c r="AB3999">
        <v>53</v>
      </c>
      <c r="AC3999">
        <v>-25.514099999999999</v>
      </c>
      <c r="AD3999">
        <v>-1.1282830075829999</v>
      </c>
      <c r="AE3999">
        <v>-5.9250000000000096</v>
      </c>
      <c r="AF3999">
        <v>-4.2671305813871196</v>
      </c>
      <c r="AG3999">
        <v>-1.1282830075829999</v>
      </c>
      <c r="AH3999">
        <v>25.7939439436546</v>
      </c>
      <c r="AI3999">
        <v>92.471101626224296</v>
      </c>
      <c r="AJ3999">
        <v>99.393450754057795</v>
      </c>
      <c r="AK3999">
        <v>26.168854963719902</v>
      </c>
      <c r="AL3999">
        <v>77.724223174256096</v>
      </c>
      <c r="AM3999">
        <v>94.375244389171897</v>
      </c>
      <c r="AN3999">
        <v>1.000000011097</v>
      </c>
    </row>
    <row r="4000" spans="1:40" x14ac:dyDescent="0.25">
      <c r="A4000" t="str">
        <f>"20190303170619255"</f>
        <v>20190303170619255</v>
      </c>
      <c r="B4000" t="str">
        <f>"1551603979248972"</f>
        <v>1551603979248972</v>
      </c>
      <c r="C4000" t="s">
        <v>40</v>
      </c>
      <c r="D4000">
        <v>5.9593489999999996</v>
      </c>
      <c r="E4000">
        <v>0.47333969999999997</v>
      </c>
      <c r="F4000" t="s">
        <v>84</v>
      </c>
      <c r="G4000">
        <v>-415.31</v>
      </c>
      <c r="H4000" s="1">
        <v>-8.1010689999999996E-6</v>
      </c>
      <c r="I4000">
        <v>134.78569999999999</v>
      </c>
      <c r="J4000">
        <v>-390.69</v>
      </c>
      <c r="K4000">
        <v>1.128911</v>
      </c>
      <c r="L4000">
        <v>140.494</v>
      </c>
      <c r="M4000">
        <v>-0.99725680000000005</v>
      </c>
      <c r="N4000">
        <v>-1.559556E-2</v>
      </c>
      <c r="O4000">
        <v>-7.235917E-2</v>
      </c>
      <c r="P4000">
        <v>-0.96877630000000003</v>
      </c>
      <c r="Q4000">
        <v>0.20111100000000001</v>
      </c>
      <c r="R4000">
        <v>-0.14500779999999999</v>
      </c>
      <c r="S4000">
        <v>-3.0227970000000002</v>
      </c>
      <c r="T4000">
        <v>-0.135569</v>
      </c>
      <c r="U4000">
        <v>-0.69044490000000003</v>
      </c>
      <c r="V4000">
        <v>-7.8884780000000002E-2</v>
      </c>
      <c r="W4000">
        <v>0.21476619999999999</v>
      </c>
      <c r="X4000">
        <v>0.97347459999999997</v>
      </c>
      <c r="Y4000">
        <v>-0.15137539999999999</v>
      </c>
      <c r="Z4000">
        <v>-2.469087E-3</v>
      </c>
      <c r="AA4000">
        <v>0.98847320000000005</v>
      </c>
      <c r="AB4000">
        <v>53</v>
      </c>
      <c r="AC4000">
        <v>-24.62</v>
      </c>
      <c r="AD4000">
        <v>-1.1289191010690001</v>
      </c>
      <c r="AE4000">
        <v>-5.7083000000000004</v>
      </c>
      <c r="AF4000">
        <v>-3.9038442143011598</v>
      </c>
      <c r="AG4000">
        <v>-1.1289191010690001</v>
      </c>
      <c r="AH4000">
        <v>24.918823830891601</v>
      </c>
      <c r="AI4000">
        <v>92.562731103170606</v>
      </c>
      <c r="AJ4000">
        <v>98.903726645676301</v>
      </c>
      <c r="AK4000">
        <v>25.248014557610301</v>
      </c>
      <c r="AL4000">
        <v>77.598189654974803</v>
      </c>
      <c r="AM4000">
        <v>94.632797478198398</v>
      </c>
      <c r="AN4000">
        <v>1.0000000630116199</v>
      </c>
    </row>
    <row r="4001" spans="1:40" x14ac:dyDescent="0.25">
      <c r="A4001" t="str">
        <f>"20190303170619279"</f>
        <v>20190303170619279</v>
      </c>
      <c r="B4001" t="str">
        <f>"1551603979269469"</f>
        <v>1551603979269469</v>
      </c>
      <c r="C4001" t="s">
        <v>40</v>
      </c>
      <c r="D4001">
        <v>5.991371</v>
      </c>
      <c r="E4001">
        <v>0.47525149999999999</v>
      </c>
      <c r="F4001" t="s">
        <v>84</v>
      </c>
      <c r="G4001">
        <v>-416.17070000000001</v>
      </c>
      <c r="H4001" s="1">
        <v>-7.9667279999999994E-6</v>
      </c>
      <c r="I4001">
        <v>134.57849999999999</v>
      </c>
      <c r="J4001">
        <v>-391.22859999999997</v>
      </c>
      <c r="K4001">
        <v>1.1295440000000001</v>
      </c>
      <c r="L4001">
        <v>140.45150000000001</v>
      </c>
      <c r="M4001">
        <v>-0.99658789999999997</v>
      </c>
      <c r="N4001">
        <v>-1.5632380000000001E-2</v>
      </c>
      <c r="O4001">
        <v>-8.1043359999999995E-2</v>
      </c>
      <c r="P4001">
        <v>-0.96668279999999995</v>
      </c>
      <c r="Q4001">
        <v>0.20269090000000001</v>
      </c>
      <c r="R4001">
        <v>-0.15633569999999999</v>
      </c>
      <c r="S4001">
        <v>-3.0195620000000001</v>
      </c>
      <c r="T4001">
        <v>-0.13378139999999999</v>
      </c>
      <c r="U4001">
        <v>-0.70100399999999996</v>
      </c>
      <c r="V4001">
        <v>-8.2212720000000003E-2</v>
      </c>
      <c r="W4001">
        <v>0.21618129999999999</v>
      </c>
      <c r="X4001">
        <v>0.97288580000000002</v>
      </c>
      <c r="Y4001">
        <v>-0.146288</v>
      </c>
      <c r="Z4001">
        <v>-2.0790919999999998E-3</v>
      </c>
      <c r="AA4001">
        <v>0.98923989999999995</v>
      </c>
      <c r="AB4001">
        <v>53</v>
      </c>
      <c r="AC4001">
        <v>-24.9421</v>
      </c>
      <c r="AD4001">
        <v>-1.1295519667280001</v>
      </c>
      <c r="AE4001">
        <v>-5.87300000000001</v>
      </c>
      <c r="AF4001">
        <v>-3.8246058357864499</v>
      </c>
      <c r="AG4001">
        <v>-1.1295519667280001</v>
      </c>
      <c r="AH4001">
        <v>25.286923792806501</v>
      </c>
      <c r="AI4001">
        <v>92.528943817488695</v>
      </c>
      <c r="AJ4001">
        <v>98.600704793027703</v>
      </c>
      <c r="AK4001">
        <v>25.5994533603332</v>
      </c>
      <c r="AL4001">
        <v>77.515159614462505</v>
      </c>
      <c r="AM4001">
        <v>94.830245620357303</v>
      </c>
      <c r="AN4001">
        <v>1.00000003282056</v>
      </c>
    </row>
    <row r="4002" spans="1:40" x14ac:dyDescent="0.25">
      <c r="A4002" t="str">
        <f>"20190303170619301"</f>
        <v>20190303170619301</v>
      </c>
      <c r="B4002" t="str">
        <f>"1551603979288989"</f>
        <v>1551603979288989</v>
      </c>
      <c r="C4002" t="s">
        <v>40</v>
      </c>
      <c r="D4002">
        <v>6.006564</v>
      </c>
      <c r="E4002">
        <v>0.4768578</v>
      </c>
      <c r="F4002" t="s">
        <v>84</v>
      </c>
      <c r="G4002">
        <v>-417.52870000000001</v>
      </c>
      <c r="H4002" s="1">
        <v>-7.7081699999999998E-6</v>
      </c>
      <c r="I4002">
        <v>134.13720000000001</v>
      </c>
      <c r="J4002">
        <v>-391.7482</v>
      </c>
      <c r="K4002">
        <v>1.130139</v>
      </c>
      <c r="L4002">
        <v>140.40610000000001</v>
      </c>
      <c r="M4002">
        <v>-0.99582660000000001</v>
      </c>
      <c r="N4002">
        <v>-1.567327E-2</v>
      </c>
      <c r="O4002">
        <v>-8.9909299999999998E-2</v>
      </c>
      <c r="P4002">
        <v>-0.96560049999999997</v>
      </c>
      <c r="Q4002">
        <v>0.20061899999999999</v>
      </c>
      <c r="R4002">
        <v>-0.16543250000000001</v>
      </c>
      <c r="S4002">
        <v>-3.01355</v>
      </c>
      <c r="T4002">
        <v>-0.1294276</v>
      </c>
      <c r="U4002">
        <v>-0.72351069999999995</v>
      </c>
      <c r="V4002">
        <v>-8.2967600000000002E-2</v>
      </c>
      <c r="W4002">
        <v>0.21401680000000001</v>
      </c>
      <c r="X4002">
        <v>0.97330019999999995</v>
      </c>
      <c r="Y4002">
        <v>-0.14492759999999999</v>
      </c>
      <c r="Z4002">
        <v>-1.8222729999999999E-3</v>
      </c>
      <c r="AA4002">
        <v>0.9894406</v>
      </c>
      <c r="AB4002">
        <v>53</v>
      </c>
      <c r="AC4002">
        <v>-25.7805</v>
      </c>
      <c r="AD4002">
        <v>-1.1301467081700001</v>
      </c>
      <c r="AE4002">
        <v>-6.2689000000000004</v>
      </c>
      <c r="AF4002">
        <v>-3.9182036470695798</v>
      </c>
      <c r="AG4002">
        <v>-1.1301467081700001</v>
      </c>
      <c r="AH4002">
        <v>26.192240072274998</v>
      </c>
      <c r="AI4002">
        <v>92.443518177143801</v>
      </c>
      <c r="AJ4002">
        <v>98.508017656000902</v>
      </c>
      <c r="AK4002">
        <v>26.5077911453517</v>
      </c>
      <c r="AL4002">
        <v>77.642149058315397</v>
      </c>
      <c r="AM4002">
        <v>94.872319012406507</v>
      </c>
      <c r="AN4002">
        <v>1.0000000463260099</v>
      </c>
    </row>
    <row r="4003" spans="1:40" x14ac:dyDescent="0.25">
      <c r="A4003" t="str">
        <f>"20190303170619323"</f>
        <v>20190303170619323</v>
      </c>
      <c r="B4003" t="str">
        <f>"1551603979309484"</f>
        <v>1551603979309484</v>
      </c>
      <c r="C4003" t="s">
        <v>40</v>
      </c>
      <c r="D4003">
        <v>5.9979360000000002</v>
      </c>
      <c r="E4003">
        <v>0.47820469999999998</v>
      </c>
      <c r="F4003" t="s">
        <v>84</v>
      </c>
      <c r="G4003">
        <v>-416.37099999999998</v>
      </c>
      <c r="H4003" s="1">
        <v>-7.8675789999999999E-6</v>
      </c>
      <c r="I4003">
        <v>134.36359999999999</v>
      </c>
      <c r="J4003">
        <v>-392.25020000000001</v>
      </c>
      <c r="K4003">
        <v>1.1307149999999999</v>
      </c>
      <c r="L4003">
        <v>140.3579</v>
      </c>
      <c r="M4003">
        <v>-0.99496770000000001</v>
      </c>
      <c r="N4003">
        <v>-1.5718989999999999E-2</v>
      </c>
      <c r="O4003">
        <v>-9.895669E-2</v>
      </c>
      <c r="P4003">
        <v>-0.96427759999999996</v>
      </c>
      <c r="Q4003">
        <v>0.1972922</v>
      </c>
      <c r="R4003">
        <v>-0.17676229999999901</v>
      </c>
      <c r="S4003">
        <v>-3.009064</v>
      </c>
      <c r="T4003">
        <v>-0.1381114</v>
      </c>
      <c r="U4003">
        <v>-0.73843380000000003</v>
      </c>
      <c r="V4003">
        <v>-8.5734779999999997E-2</v>
      </c>
      <c r="W4003">
        <v>0.2105551</v>
      </c>
      <c r="X4003">
        <v>0.97381519999999999</v>
      </c>
      <c r="Y4003">
        <v>-0.14089689999999999</v>
      </c>
      <c r="Z4003">
        <v>-1.393469E-3</v>
      </c>
      <c r="AA4003">
        <v>0.99002330000000005</v>
      </c>
      <c r="AB4003">
        <v>53</v>
      </c>
      <c r="AC4003">
        <v>-24.1207999999999</v>
      </c>
      <c r="AD4003">
        <v>-1.130722867579</v>
      </c>
      <c r="AE4003">
        <v>-5.9943000000000097</v>
      </c>
      <c r="AF4003">
        <v>-3.5702726303834602</v>
      </c>
      <c r="AG4003">
        <v>-1.130722867579</v>
      </c>
      <c r="AH4003">
        <v>24.544828919572598</v>
      </c>
      <c r="AI4003">
        <v>92.610187191887803</v>
      </c>
      <c r="AJ4003">
        <v>98.276157305653399</v>
      </c>
      <c r="AK4003">
        <v>24.828894609901901</v>
      </c>
      <c r="AL4003">
        <v>77.845115171828098</v>
      </c>
      <c r="AM4003">
        <v>95.031353035868094</v>
      </c>
      <c r="AN4003">
        <v>0.99999997319434797</v>
      </c>
    </row>
    <row r="4004" spans="1:40" x14ac:dyDescent="0.25">
      <c r="A4004" t="str">
        <f>"20190303170619356"</f>
        <v>20190303170619356</v>
      </c>
      <c r="B4004" t="str">
        <f>"1551603979349032"</f>
        <v>1551603979349032</v>
      </c>
      <c r="C4004" t="s">
        <v>40</v>
      </c>
      <c r="D4004">
        <v>6.0285780000000004</v>
      </c>
      <c r="E4004">
        <v>0.48028419999999999</v>
      </c>
      <c r="F4004" t="s">
        <v>84</v>
      </c>
      <c r="G4004">
        <v>-414.85289999999998</v>
      </c>
      <c r="H4004" s="1">
        <v>-8.0728809999999999E-6</v>
      </c>
      <c r="I4004">
        <v>134.64179999999999</v>
      </c>
      <c r="J4004">
        <v>-393.03149999999999</v>
      </c>
      <c r="K4004">
        <v>1.131621</v>
      </c>
      <c r="L4004">
        <v>140.27289999999999</v>
      </c>
      <c r="M4004">
        <v>-0.99334469999999997</v>
      </c>
      <c r="N4004">
        <v>-1.5808240000000001E-2</v>
      </c>
      <c r="O4004">
        <v>-0.1140902</v>
      </c>
      <c r="P4004">
        <v>-0.96027989999999996</v>
      </c>
      <c r="Q4004">
        <v>0.19450600000000001</v>
      </c>
      <c r="R4004">
        <v>-0.20007510000000001</v>
      </c>
      <c r="S4004">
        <v>-3.0026860000000002</v>
      </c>
      <c r="T4004">
        <v>-0.15021199999999901</v>
      </c>
      <c r="U4004">
        <v>-0.75935359999999996</v>
      </c>
      <c r="V4004">
        <v>-9.4888979999999998E-2</v>
      </c>
      <c r="W4004">
        <v>0.20741309999999999</v>
      </c>
      <c r="X4004">
        <v>0.97364050000000002</v>
      </c>
      <c r="Y4004">
        <v>-0.13280449999999999</v>
      </c>
      <c r="Z4004">
        <v>-5.3305589999999895E-4</v>
      </c>
      <c r="AA4004">
        <v>0.99114210000000003</v>
      </c>
      <c r="AB4004">
        <v>53</v>
      </c>
      <c r="AC4004">
        <v>-21.821399999999901</v>
      </c>
      <c r="AD4004">
        <v>-1.1316290728809999</v>
      </c>
      <c r="AE4004">
        <v>-5.6311</v>
      </c>
      <c r="AF4004">
        <v>-3.09659530196345</v>
      </c>
      <c r="AG4004">
        <v>-1.1316290728809999</v>
      </c>
      <c r="AH4004">
        <v>22.265272695108902</v>
      </c>
      <c r="AI4004">
        <v>92.8818554184367</v>
      </c>
      <c r="AJ4004">
        <v>97.917756554433396</v>
      </c>
      <c r="AK4004">
        <v>22.508039786047402</v>
      </c>
      <c r="AL4004">
        <v>78.029203386116706</v>
      </c>
      <c r="AM4004">
        <v>95.56634888472</v>
      </c>
      <c r="AN4004">
        <v>0.99999996790864898</v>
      </c>
    </row>
    <row r="4005" spans="1:40" x14ac:dyDescent="0.25">
      <c r="A4005" t="str">
        <f>"20190303170619378"</f>
        <v>20190303170619378</v>
      </c>
      <c r="B4005" t="str">
        <f>"1551603979368552"</f>
        <v>1551603979368552</v>
      </c>
      <c r="C4005" t="s">
        <v>40</v>
      </c>
      <c r="D4005">
        <v>6.038119</v>
      </c>
      <c r="E4005">
        <v>0.49773830000000002</v>
      </c>
      <c r="F4005" t="s">
        <v>84</v>
      </c>
      <c r="G4005">
        <v>-414.1447</v>
      </c>
      <c r="H4005" s="1">
        <v>-8.0813849999999992E-6</v>
      </c>
      <c r="I4005">
        <v>134.5189</v>
      </c>
      <c r="J4005">
        <v>-393.51990000000001</v>
      </c>
      <c r="K4005">
        <v>1.132193</v>
      </c>
      <c r="L4005">
        <v>140.214</v>
      </c>
      <c r="M4005">
        <v>-0.99214119999999995</v>
      </c>
      <c r="N4005">
        <v>-1.587243E-2</v>
      </c>
      <c r="O4005">
        <v>-0.12411229999999999</v>
      </c>
      <c r="P4005">
        <v>-0.95691870000000001</v>
      </c>
      <c r="Q4005">
        <v>0.1946619</v>
      </c>
      <c r="R4005">
        <v>-0.21543799999999999</v>
      </c>
      <c r="S4005">
        <v>-2.9869379999999999</v>
      </c>
      <c r="T4005">
        <v>-0.16009489999999901</v>
      </c>
      <c r="U4005">
        <v>-0.81402589999999997</v>
      </c>
      <c r="V4005">
        <v>-0.10098500000000001</v>
      </c>
      <c r="W4005">
        <v>0.20731939999999999</v>
      </c>
      <c r="X4005">
        <v>0.97304710000000005</v>
      </c>
      <c r="Y4005">
        <v>-0.14097960000000001</v>
      </c>
      <c r="Z4005">
        <v>-3.0483680000000001E-4</v>
      </c>
      <c r="AA4005">
        <v>0.99001249999999996</v>
      </c>
      <c r="AB4005">
        <v>52</v>
      </c>
      <c r="AC4005">
        <v>-20.6248</v>
      </c>
      <c r="AD4005">
        <v>-1.1322010813850001</v>
      </c>
      <c r="AE4005">
        <v>-5.6950999999999903</v>
      </c>
      <c r="AF4005">
        <v>-3.0823110059822199</v>
      </c>
      <c r="AG4005">
        <v>-1.1322010813850001</v>
      </c>
      <c r="AH4005">
        <v>21.113097049059501</v>
      </c>
      <c r="AI4005">
        <v>93.037439676206205</v>
      </c>
      <c r="AJ4005">
        <v>98.305960669999394</v>
      </c>
      <c r="AK4005">
        <v>21.366922741220598</v>
      </c>
      <c r="AL4005">
        <v>78.0346914522774</v>
      </c>
      <c r="AM4005">
        <v>95.925072152050305</v>
      </c>
      <c r="AN4005">
        <v>0.99999998132988399</v>
      </c>
    </row>
    <row r="4006" spans="1:40" x14ac:dyDescent="0.25">
      <c r="A4006" t="str">
        <f>"20190303170619400"</f>
        <v>20190303170619400</v>
      </c>
      <c r="B4006" t="str">
        <f>"1551603979389049"</f>
        <v>1551603979389049</v>
      </c>
      <c r="C4006" t="s">
        <v>40</v>
      </c>
      <c r="D4006">
        <v>5.9897589999999896</v>
      </c>
      <c r="E4006">
        <v>0.49844739999999998</v>
      </c>
      <c r="F4006" t="s">
        <v>84</v>
      </c>
      <c r="G4006">
        <v>-414.71559999999999</v>
      </c>
      <c r="H4006" s="1">
        <v>-8.2818060000000006E-6</v>
      </c>
      <c r="I4006">
        <v>135.09219999999999</v>
      </c>
      <c r="J4006">
        <v>-394.03179999999998</v>
      </c>
      <c r="K4006">
        <v>1.132765</v>
      </c>
      <c r="L4006">
        <v>140.1472</v>
      </c>
      <c r="M4006">
        <v>-0.99070550000000002</v>
      </c>
      <c r="N4006">
        <v>-1.5943390000000002E-2</v>
      </c>
      <c r="O4006">
        <v>-0.13508680000000001</v>
      </c>
      <c r="P4006">
        <v>-0.9536538</v>
      </c>
      <c r="Q4006">
        <v>0.19496079999999999</v>
      </c>
      <c r="R4006">
        <v>-0.22920550000000001</v>
      </c>
      <c r="S4006">
        <v>-3.0042719999999998</v>
      </c>
      <c r="T4006">
        <v>-0.16047800000000001</v>
      </c>
      <c r="U4006">
        <v>-0.72596740000000004</v>
      </c>
      <c r="V4006">
        <v>-0.1045664</v>
      </c>
      <c r="W4006">
        <v>0.20743510000000001</v>
      </c>
      <c r="X4006">
        <v>0.97264410000000001</v>
      </c>
      <c r="Y4006">
        <v>-0.1013163</v>
      </c>
      <c r="Z4006">
        <v>1.442203E-3</v>
      </c>
      <c r="AA4006">
        <v>0.99485319999999999</v>
      </c>
      <c r="AB4006">
        <v>52</v>
      </c>
      <c r="AC4006">
        <v>-20.683800000000002</v>
      </c>
      <c r="AD4006">
        <v>-1.1327732818059999</v>
      </c>
      <c r="AE4006">
        <v>-5.0549999999999997</v>
      </c>
      <c r="AF4006">
        <v>-2.2079402473552898</v>
      </c>
      <c r="AG4006">
        <v>-1.1327732818059999</v>
      </c>
      <c r="AH4006">
        <v>21.117341475353101</v>
      </c>
      <c r="AI4006">
        <v>93.053893531368303</v>
      </c>
      <c r="AJ4006">
        <v>95.968917775706402</v>
      </c>
      <c r="AK4006">
        <v>21.2626500331105</v>
      </c>
      <c r="AL4006">
        <v>78.027915232460501</v>
      </c>
      <c r="AM4006">
        <v>96.136150253560203</v>
      </c>
      <c r="AN4006">
        <v>0.99999999899289005</v>
      </c>
    </row>
    <row r="4007" spans="1:40" x14ac:dyDescent="0.25">
      <c r="A4007" t="str">
        <f>"20190303170619423"</f>
        <v>20190303170619423</v>
      </c>
      <c r="B4007" t="str">
        <f>"1551603979408569"</f>
        <v>1551603979408569</v>
      </c>
      <c r="C4007" t="s">
        <v>40</v>
      </c>
      <c r="D4007">
        <v>6.0464510000000002</v>
      </c>
      <c r="E4007">
        <v>0.50012699999999999</v>
      </c>
      <c r="F4007" t="s">
        <v>84</v>
      </c>
      <c r="G4007">
        <v>-416.17899999999997</v>
      </c>
      <c r="H4007" s="1">
        <v>-7.9272430000000002E-6</v>
      </c>
      <c r="I4007">
        <v>134.4828</v>
      </c>
      <c r="J4007">
        <v>-394.54969999999997</v>
      </c>
      <c r="K4007">
        <v>1.1333249999999999</v>
      </c>
      <c r="L4007">
        <v>140.07409999999999</v>
      </c>
      <c r="M4007">
        <v>-0.98905310000000002</v>
      </c>
      <c r="N4007">
        <v>-1.6016030000000001E-2</v>
      </c>
      <c r="O4007">
        <v>-0.14668870000000001</v>
      </c>
      <c r="P4007">
        <v>-0.95081689999999996</v>
      </c>
      <c r="Q4007">
        <v>0.19434509999999999</v>
      </c>
      <c r="R4007">
        <v>-0.24119889999999999</v>
      </c>
      <c r="S4007">
        <v>-2.9930729999999999</v>
      </c>
      <c r="T4007">
        <v>-0.1530879</v>
      </c>
      <c r="U4007">
        <v>-0.76551819999999904</v>
      </c>
      <c r="V4007">
        <v>-0.105682</v>
      </c>
      <c r="W4007">
        <v>0.20671429999999999</v>
      </c>
      <c r="X4007">
        <v>0.97267700000000001</v>
      </c>
      <c r="Y4007">
        <v>-0.1028897</v>
      </c>
      <c r="Z4007">
        <v>1.5710699999999999E-3</v>
      </c>
      <c r="AA4007">
        <v>0.99469160000000001</v>
      </c>
      <c r="AB4007">
        <v>52</v>
      </c>
      <c r="AC4007">
        <v>-21.629300000000001</v>
      </c>
      <c r="AD4007">
        <v>-1.1333329272429999</v>
      </c>
      <c r="AE4007">
        <v>-5.5912999999999897</v>
      </c>
      <c r="AF4007">
        <v>-2.3515690157635598</v>
      </c>
      <c r="AG4007">
        <v>-1.1333329272429999</v>
      </c>
      <c r="AH4007">
        <v>22.158528227541701</v>
      </c>
      <c r="AI4007">
        <v>92.911610111702501</v>
      </c>
      <c r="AJ4007">
        <v>96.057828075673697</v>
      </c>
      <c r="AK4007">
        <v>22.311761328291301</v>
      </c>
      <c r="AL4007">
        <v>78.070129222985997</v>
      </c>
      <c r="AM4007">
        <v>96.2009002443002</v>
      </c>
      <c r="AN4007">
        <v>1.0000000166387399</v>
      </c>
    </row>
    <row r="4008" spans="1:40" x14ac:dyDescent="0.25">
      <c r="A4008" t="str">
        <f>"20190303170619445"</f>
        <v>20190303170619445</v>
      </c>
      <c r="B4008" t="str">
        <f>"1551603979438824"</f>
        <v>1551603979438824</v>
      </c>
      <c r="C4008" t="s">
        <v>40</v>
      </c>
      <c r="D4008">
        <v>6.0310100000000002</v>
      </c>
      <c r="E4008">
        <v>0.44746720000000001</v>
      </c>
      <c r="F4008" t="s">
        <v>84</v>
      </c>
      <c r="G4008">
        <v>-416.33539999999999</v>
      </c>
      <c r="H4008" s="1">
        <v>-7.8413280000000006E-6</v>
      </c>
      <c r="I4008">
        <v>134.29409999999999</v>
      </c>
      <c r="J4008">
        <v>-395.06659999999999</v>
      </c>
      <c r="K4008">
        <v>1.1338699999999999</v>
      </c>
      <c r="L4008">
        <v>139.99469999999999</v>
      </c>
      <c r="M4008">
        <v>-0.98717960000000005</v>
      </c>
      <c r="N4008">
        <v>-1.6093240000000002E-2</v>
      </c>
      <c r="O4008">
        <v>-0.1588</v>
      </c>
      <c r="P4008">
        <v>-0.94748980000000005</v>
      </c>
      <c r="Q4008">
        <v>0.19350100000000001</v>
      </c>
      <c r="R4008">
        <v>-0.2545984</v>
      </c>
      <c r="S4008">
        <v>-2.9859619999999998</v>
      </c>
      <c r="T4008">
        <v>-0.1553358</v>
      </c>
      <c r="U4008">
        <v>-0.79220579999999996</v>
      </c>
      <c r="V4008">
        <v>-0.1077308</v>
      </c>
      <c r="W4008">
        <v>0.20574010000000001</v>
      </c>
      <c r="X4008">
        <v>0.97265880000000005</v>
      </c>
      <c r="Y4008">
        <v>-9.9600820000000007E-2</v>
      </c>
      <c r="Z4008">
        <v>2.154272E-3</v>
      </c>
      <c r="AA4008">
        <v>0.99502520000000005</v>
      </c>
      <c r="AB4008">
        <v>52</v>
      </c>
      <c r="AC4008">
        <v>-21.268799999999999</v>
      </c>
      <c r="AD4008">
        <v>-1.133877841328</v>
      </c>
      <c r="AE4008">
        <v>-5.7005999999999997</v>
      </c>
      <c r="AF4008">
        <v>-2.2443707189721902</v>
      </c>
      <c r="AG4008">
        <v>-1.133877841328</v>
      </c>
      <c r="AH4008">
        <v>21.846288642609199</v>
      </c>
      <c r="AI4008">
        <v>92.955601803231204</v>
      </c>
      <c r="AJ4008">
        <v>95.865683088758701</v>
      </c>
      <c r="AK4008">
        <v>21.9905253766123</v>
      </c>
      <c r="AL4008">
        <v>78.1271731101331</v>
      </c>
      <c r="AM4008">
        <v>96.320267412655099</v>
      </c>
      <c r="AN4008">
        <v>1.00000002761704</v>
      </c>
    </row>
    <row r="4009" spans="1:40" x14ac:dyDescent="0.25">
      <c r="A4009" t="str">
        <f>"20190303170619467"</f>
        <v>20190303170619467</v>
      </c>
      <c r="B4009" t="str">
        <f>"1551603979459321"</f>
        <v>1551603979459321</v>
      </c>
      <c r="C4009" t="s">
        <v>40</v>
      </c>
      <c r="D4009">
        <v>6.025868</v>
      </c>
      <c r="E4009">
        <v>0.44038179999999999</v>
      </c>
      <c r="F4009" t="s">
        <v>84</v>
      </c>
      <c r="G4009">
        <v>-420.15839999999997</v>
      </c>
      <c r="H4009" s="1">
        <v>-5.5260680000000003E-6</v>
      </c>
      <c r="I4009">
        <v>129.137</v>
      </c>
      <c r="J4009">
        <v>-395.55450000000002</v>
      </c>
      <c r="K4009">
        <v>1.134363</v>
      </c>
      <c r="L4009">
        <v>139.91419999999999</v>
      </c>
      <c r="M4009">
        <v>-0.9851972</v>
      </c>
      <c r="N4009">
        <v>-1.6171129999999999E-2</v>
      </c>
      <c r="O4009">
        <v>-0.1706607</v>
      </c>
      <c r="P4009">
        <v>-0.94360909999999998</v>
      </c>
      <c r="Q4009">
        <v>0.19320799999999999</v>
      </c>
      <c r="R4009">
        <v>-0.26883620000000003</v>
      </c>
      <c r="S4009">
        <v>-2.860077</v>
      </c>
      <c r="T4009">
        <v>-0.12924389999999999</v>
      </c>
      <c r="U4009">
        <v>-1.2376100000000001</v>
      </c>
      <c r="V4009">
        <v>-0.11092689999999999</v>
      </c>
      <c r="W4009">
        <v>0.2052823</v>
      </c>
      <c r="X4009">
        <v>0.97239620000000004</v>
      </c>
      <c r="Y4009">
        <v>-0.23443539999999999</v>
      </c>
      <c r="Z4009">
        <v>-2.4354730000000001E-3</v>
      </c>
      <c r="AA4009">
        <v>0.97212860000000001</v>
      </c>
      <c r="AB4009">
        <v>52</v>
      </c>
      <c r="AC4009">
        <v>-24.6038999999999</v>
      </c>
      <c r="AD4009">
        <v>-1.1343685260680001</v>
      </c>
      <c r="AE4009">
        <v>-10.777199999999899</v>
      </c>
      <c r="AF4009">
        <v>-6.4081586476575296</v>
      </c>
      <c r="AG4009">
        <v>-1.1343685260680001</v>
      </c>
      <c r="AH4009">
        <v>26.035912169884199</v>
      </c>
      <c r="AI4009">
        <v>92.422554836001297</v>
      </c>
      <c r="AJ4009">
        <v>103.827237379895</v>
      </c>
      <c r="AK4009">
        <v>26.836915093289001</v>
      </c>
      <c r="AL4009">
        <v>78.153974700266602</v>
      </c>
      <c r="AM4009">
        <v>96.507930819879206</v>
      </c>
      <c r="AN4009">
        <v>0.99999998480566898</v>
      </c>
    </row>
    <row r="4010" spans="1:40" x14ac:dyDescent="0.25">
      <c r="A4010" t="str">
        <f>"20190303170619489"</f>
        <v>20190303170619489</v>
      </c>
      <c r="B4010" t="str">
        <f>"1551603979478840"</f>
        <v>1551603979478840</v>
      </c>
      <c r="C4010" t="s">
        <v>40</v>
      </c>
      <c r="D4010">
        <v>6.039104</v>
      </c>
      <c r="E4010">
        <v>0.39743309999999998</v>
      </c>
      <c r="F4010" t="s">
        <v>84</v>
      </c>
      <c r="G4010">
        <v>-425.50749999999999</v>
      </c>
      <c r="H4010" s="1">
        <v>-4.9860019999999998E-6</v>
      </c>
      <c r="I4010">
        <v>125.74939999999999</v>
      </c>
      <c r="J4010">
        <v>-396.07170000000002</v>
      </c>
      <c r="K4010">
        <v>1.1348579999999999</v>
      </c>
      <c r="L4010">
        <v>139.82259999999999</v>
      </c>
      <c r="M4010">
        <v>-0.98285900000000004</v>
      </c>
      <c r="N4010">
        <v>-1.6258080000000001E-2</v>
      </c>
      <c r="O4010">
        <v>-0.18364059999999999</v>
      </c>
      <c r="P4010">
        <v>-0.9392045</v>
      </c>
      <c r="Q4010">
        <v>0.19442719999999999</v>
      </c>
      <c r="R4010">
        <v>-0.28300740000000002</v>
      </c>
      <c r="S4010">
        <v>-2.8210449999999998</v>
      </c>
      <c r="T4010">
        <v>-0.1068374</v>
      </c>
      <c r="U4010">
        <v>-1.334076</v>
      </c>
      <c r="V4010">
        <v>-0.1130901</v>
      </c>
      <c r="W4010">
        <v>0.2063728</v>
      </c>
      <c r="X4010">
        <v>0.97191609999999995</v>
      </c>
      <c r="Y4010">
        <v>-0.25401200000000002</v>
      </c>
      <c r="Z4010">
        <v>-3.1089030000000001E-3</v>
      </c>
      <c r="AA4010">
        <v>0.9671961</v>
      </c>
      <c r="AB4010">
        <v>52</v>
      </c>
      <c r="AC4010">
        <v>-29.435799999999901</v>
      </c>
      <c r="AD4010">
        <v>-1.1348629860020001</v>
      </c>
      <c r="AE4010">
        <v>-14.0732</v>
      </c>
      <c r="AF4010">
        <v>-8.4172934524603296</v>
      </c>
      <c r="AG4010">
        <v>-1.1348629860020001</v>
      </c>
      <c r="AH4010">
        <v>31.481729460922601</v>
      </c>
      <c r="AI4010">
        <v>91.994520613117402</v>
      </c>
      <c r="AJ4010">
        <v>104.969073054557</v>
      </c>
      <c r="AK4010">
        <v>32.607330968856502</v>
      </c>
      <c r="AL4010">
        <v>78.090126785660004</v>
      </c>
      <c r="AM4010">
        <v>96.636970008182701</v>
      </c>
      <c r="AN4010">
        <v>1.00000000436853</v>
      </c>
    </row>
    <row r="4011" spans="1:40" x14ac:dyDescent="0.25">
      <c r="A4011" t="str">
        <f>"20190303170619513"</f>
        <v>20190303170619513</v>
      </c>
      <c r="B4011" t="str">
        <f>"1551603979499337"</f>
        <v>1551603979499337</v>
      </c>
      <c r="C4011" t="s">
        <v>40</v>
      </c>
      <c r="D4011">
        <v>6.0136079999999996</v>
      </c>
      <c r="E4011">
        <v>0.39568310000000001</v>
      </c>
      <c r="F4011" t="s">
        <v>91</v>
      </c>
      <c r="G4011">
        <v>-440.75</v>
      </c>
      <c r="H4011">
        <v>1.4184859999999999</v>
      </c>
      <c r="I4011">
        <v>111.5797</v>
      </c>
      <c r="J4011">
        <v>-396.57960000000003</v>
      </c>
      <c r="K4011">
        <v>1.135308</v>
      </c>
      <c r="L4011">
        <v>139.72640000000001</v>
      </c>
      <c r="M4011">
        <v>-0.98031650000000004</v>
      </c>
      <c r="N4011">
        <v>-1.6342579999999999E-2</v>
      </c>
      <c r="O4011">
        <v>-0.1967546</v>
      </c>
      <c r="P4011">
        <v>-0.93490079999999998</v>
      </c>
      <c r="Q4011">
        <v>0.19625989999999999</v>
      </c>
      <c r="R4011">
        <v>-0.29570679999999999</v>
      </c>
      <c r="S4011">
        <v>-2.680145</v>
      </c>
      <c r="T4011">
        <v>1.7015579999999999E-2</v>
      </c>
      <c r="U4011">
        <v>-1.6942140000000001</v>
      </c>
      <c r="V4011">
        <v>-0.11365690000000001</v>
      </c>
      <c r="W4011">
        <v>0.20813989999999999</v>
      </c>
      <c r="X4011">
        <v>0.97147300000000003</v>
      </c>
      <c r="Y4011">
        <v>-0.35759079999999999</v>
      </c>
      <c r="Z4011">
        <v>-6.2615700000000002E-3</v>
      </c>
      <c r="AA4011">
        <v>0.93385739999999995</v>
      </c>
      <c r="AB4011">
        <v>52</v>
      </c>
      <c r="AC4011">
        <v>-44.170399999999901</v>
      </c>
      <c r="AD4011">
        <v>0.28317799999999999</v>
      </c>
      <c r="AE4011">
        <v>-28.146699999999999</v>
      </c>
      <c r="AF4011">
        <v>-18.903918140896099</v>
      </c>
      <c r="AG4011">
        <v>0.28317799999999999</v>
      </c>
      <c r="AH4011">
        <v>48.844062724602097</v>
      </c>
      <c r="AI4011">
        <v>89.690217382994703</v>
      </c>
      <c r="AJ4011">
        <v>111.15772895113599</v>
      </c>
      <c r="AK4011">
        <v>52.375383285492497</v>
      </c>
      <c r="AL4011">
        <v>77.986631514641402</v>
      </c>
      <c r="AM4011">
        <v>96.672949885893601</v>
      </c>
      <c r="AN4011">
        <v>0.99999994930930802</v>
      </c>
    </row>
    <row r="4012" spans="1:40" x14ac:dyDescent="0.25">
      <c r="A4012" t="str">
        <f>"20190303170619534"</f>
        <v>20190303170619534</v>
      </c>
      <c r="B4012" t="str">
        <f>"1551603979528617"</f>
        <v>1551603979528617</v>
      </c>
      <c r="C4012" t="s">
        <v>40</v>
      </c>
      <c r="D4012">
        <v>5.9896940000000001</v>
      </c>
      <c r="E4012">
        <v>0.39615240000000002</v>
      </c>
      <c r="F4012" t="s">
        <v>91</v>
      </c>
      <c r="G4012">
        <v>-440.75</v>
      </c>
      <c r="H4012">
        <v>1.5802130000000001</v>
      </c>
      <c r="I4012">
        <v>110.65949999999999</v>
      </c>
      <c r="J4012">
        <v>-397.0813</v>
      </c>
      <c r="K4012">
        <v>1.1357090000000001</v>
      </c>
      <c r="L4012">
        <v>139.625</v>
      </c>
      <c r="M4012">
        <v>-0.97755499999999995</v>
      </c>
      <c r="N4012">
        <v>-1.6422579999999999E-2</v>
      </c>
      <c r="O4012">
        <v>-0.21003949999999999</v>
      </c>
      <c r="P4012">
        <v>-0.93087730000000002</v>
      </c>
      <c r="Q4012">
        <v>0.19647999999999999</v>
      </c>
      <c r="R4012">
        <v>-0.30799870000000001</v>
      </c>
      <c r="S4012">
        <v>-2.6514280000000001</v>
      </c>
      <c r="T4012">
        <v>2.6707769999999999E-2</v>
      </c>
      <c r="U4012">
        <v>-1.7447969999999999</v>
      </c>
      <c r="V4012">
        <v>-0.11351459999999999</v>
      </c>
      <c r="W4012">
        <v>0.2083306</v>
      </c>
      <c r="X4012">
        <v>0.9714488</v>
      </c>
      <c r="Y4012">
        <v>-0.36202659999999998</v>
      </c>
      <c r="Z4012">
        <v>-6.6839859999999899E-3</v>
      </c>
      <c r="AA4012">
        <v>0.93214379999999997</v>
      </c>
      <c r="AB4012">
        <v>52</v>
      </c>
      <c r="AC4012">
        <v>-43.668700000000001</v>
      </c>
      <c r="AD4012">
        <v>0.44450399999999901</v>
      </c>
      <c r="AE4012">
        <v>-28.965499999999999</v>
      </c>
      <c r="AF4012">
        <v>-19.144421230801399</v>
      </c>
      <c r="AG4012">
        <v>0.44450399999999901</v>
      </c>
      <c r="AH4012">
        <v>48.775522147001503</v>
      </c>
      <c r="AI4012">
        <v>89.513959582659695</v>
      </c>
      <c r="AJ4012">
        <v>111.43003660438799</v>
      </c>
      <c r="AK4012">
        <v>52.399980999815398</v>
      </c>
      <c r="AL4012">
        <v>77.975460784627799</v>
      </c>
      <c r="AM4012">
        <v>96.664834996574101</v>
      </c>
      <c r="AN4012">
        <v>0.999999987165479</v>
      </c>
    </row>
    <row r="4013" spans="1:40" x14ac:dyDescent="0.25">
      <c r="A4013" t="str">
        <f>"20190303170619556"</f>
        <v>20190303170619556</v>
      </c>
      <c r="B4013" t="str">
        <f>"1551603979549113"</f>
        <v>1551603979549113</v>
      </c>
      <c r="C4013" t="s">
        <v>40</v>
      </c>
      <c r="D4013">
        <v>5.9522389999999996</v>
      </c>
      <c r="E4013">
        <v>0.39679409999999998</v>
      </c>
      <c r="F4013" t="s">
        <v>91</v>
      </c>
      <c r="G4013">
        <v>-440.75</v>
      </c>
      <c r="H4013">
        <v>1.507315</v>
      </c>
      <c r="I4013">
        <v>110.13420000000001</v>
      </c>
      <c r="J4013">
        <v>-397.57729999999998</v>
      </c>
      <c r="K4013">
        <v>1.1360680000000001</v>
      </c>
      <c r="L4013">
        <v>139.51840000000001</v>
      </c>
      <c r="M4013">
        <v>-0.97457380000000005</v>
      </c>
      <c r="N4013">
        <v>-1.6498160000000001E-2</v>
      </c>
      <c r="O4013">
        <v>-0.22345889999999999</v>
      </c>
      <c r="P4013">
        <v>-0.92661280000000001</v>
      </c>
      <c r="Q4013">
        <v>0.19316700000000001</v>
      </c>
      <c r="R4013">
        <v>-0.32260709999999998</v>
      </c>
      <c r="S4013">
        <v>-2.6303100000000001</v>
      </c>
      <c r="T4013">
        <v>2.2384520000000001E-2</v>
      </c>
      <c r="U4013">
        <v>-1.77632099999999</v>
      </c>
      <c r="V4013">
        <v>-0.1153725</v>
      </c>
      <c r="W4013">
        <v>0.20492160000000001</v>
      </c>
      <c r="X4013">
        <v>0.97195489999999996</v>
      </c>
      <c r="Y4013">
        <v>-0.36035</v>
      </c>
      <c r="Z4013">
        <v>-6.9793959999999997E-3</v>
      </c>
      <c r="AA4013">
        <v>0.93279109999999998</v>
      </c>
      <c r="AB4013">
        <v>52</v>
      </c>
      <c r="AC4013">
        <v>-43.172699999999999</v>
      </c>
      <c r="AD4013">
        <v>0.37124699999999899</v>
      </c>
      <c r="AE4013">
        <v>-29.3842</v>
      </c>
      <c r="AF4013">
        <v>-18.991371078095199</v>
      </c>
      <c r="AG4013">
        <v>0.37124699999999899</v>
      </c>
      <c r="AH4013">
        <v>48.645302257540202</v>
      </c>
      <c r="AI4013">
        <v>89.592682841444599</v>
      </c>
      <c r="AJ4013">
        <v>111.32592404620399</v>
      </c>
      <c r="AK4013">
        <v>52.222365242186903</v>
      </c>
      <c r="AL4013">
        <v>78.175090394233493</v>
      </c>
      <c r="AM4013">
        <v>96.769419481197602</v>
      </c>
      <c r="AN4013">
        <v>1.0000000017684001</v>
      </c>
    </row>
    <row r="4014" spans="1:40" x14ac:dyDescent="0.25">
      <c r="A4014" t="str">
        <f>"20190303170619579"</f>
        <v>20190303170619579</v>
      </c>
      <c r="B4014" t="str">
        <f>"1551603979568633"</f>
        <v>1551603979568633</v>
      </c>
      <c r="C4014" t="s">
        <v>40</v>
      </c>
      <c r="D4014">
        <v>5.9275719999999996</v>
      </c>
      <c r="E4014">
        <v>0.3976768</v>
      </c>
      <c r="F4014" t="s">
        <v>91</v>
      </c>
      <c r="G4014">
        <v>-440.40800000000002</v>
      </c>
      <c r="H4014">
        <v>1.2653760000000001</v>
      </c>
      <c r="I4014">
        <v>109.7255</v>
      </c>
      <c r="J4014">
        <v>-398.07049999999998</v>
      </c>
      <c r="K4014">
        <v>1.1364080000000001</v>
      </c>
      <c r="L4014">
        <v>139.40600000000001</v>
      </c>
      <c r="M4014">
        <v>-0.97135530000000003</v>
      </c>
      <c r="N4014">
        <v>-1.6570120000000001E-2</v>
      </c>
      <c r="O4014">
        <v>-0.23705380000000001</v>
      </c>
      <c r="P4014">
        <v>-0.92118719999999998</v>
      </c>
      <c r="Q4014">
        <v>0.1912239</v>
      </c>
      <c r="R4014">
        <v>-0.33889170000000002</v>
      </c>
      <c r="S4014">
        <v>-2.6050719999999998</v>
      </c>
      <c r="T4014">
        <v>7.8663829999999994E-3</v>
      </c>
      <c r="U4014">
        <v>-1.812073</v>
      </c>
      <c r="V4014">
        <v>-0.1189508</v>
      </c>
      <c r="W4014">
        <v>0.20280780000000001</v>
      </c>
      <c r="X4014">
        <v>0.97196689999999997</v>
      </c>
      <c r="Y4014">
        <v>-0.36015340000000001</v>
      </c>
      <c r="Z4014">
        <v>-7.0668669999999897E-3</v>
      </c>
      <c r="AA4014">
        <v>0.93286630000000004</v>
      </c>
      <c r="AB4014">
        <v>52</v>
      </c>
      <c r="AC4014">
        <v>-42.337499999999999</v>
      </c>
      <c r="AD4014">
        <v>0.128967999999999</v>
      </c>
      <c r="AE4014">
        <v>-29.680499999999999</v>
      </c>
      <c r="AF4014">
        <v>-18.796507638460501</v>
      </c>
      <c r="AG4014">
        <v>0.128967999999999</v>
      </c>
      <c r="AH4014">
        <v>48.166939096414303</v>
      </c>
      <c r="AI4014">
        <v>89.8570860072291</v>
      </c>
      <c r="AJ4014">
        <v>111.317554430214</v>
      </c>
      <c r="AK4014">
        <v>51.704732414600301</v>
      </c>
      <c r="AL4014">
        <v>78.298799951078294</v>
      </c>
      <c r="AM4014">
        <v>96.9772501005191</v>
      </c>
      <c r="AN4014">
        <v>0.99999997562854404</v>
      </c>
    </row>
    <row r="4015" spans="1:40" x14ac:dyDescent="0.25">
      <c r="A4015" t="str">
        <f>"20190303170619601"</f>
        <v>20190303170619601</v>
      </c>
      <c r="B4015" t="str">
        <f>"1551603979589129"</f>
        <v>1551603979589129</v>
      </c>
      <c r="C4015" t="s">
        <v>40</v>
      </c>
      <c r="D4015">
        <v>5.9362640000000004</v>
      </c>
      <c r="E4015">
        <v>0.39849000000000001</v>
      </c>
      <c r="F4015" t="s">
        <v>91</v>
      </c>
      <c r="G4015">
        <v>-440.20710000000003</v>
      </c>
      <c r="H4015">
        <v>1.108625</v>
      </c>
      <c r="I4015">
        <v>109.1221</v>
      </c>
      <c r="J4015">
        <v>-398.56779999999998</v>
      </c>
      <c r="K4015">
        <v>1.136733</v>
      </c>
      <c r="L4015">
        <v>139.2861</v>
      </c>
      <c r="M4015">
        <v>-0.96784939999999997</v>
      </c>
      <c r="N4015">
        <v>-1.663918E-2</v>
      </c>
      <c r="O4015">
        <v>-0.25097969999999997</v>
      </c>
      <c r="P4015">
        <v>-0.91577149999999996</v>
      </c>
      <c r="Q4015">
        <v>0.19109999999999999</v>
      </c>
      <c r="R4015">
        <v>-0.35333209999999998</v>
      </c>
      <c r="S4015">
        <v>-2.5759280000000002</v>
      </c>
      <c r="T4015">
        <v>-1.6968249999999999E-3</v>
      </c>
      <c r="U4015">
        <v>-1.851334</v>
      </c>
      <c r="V4015">
        <v>-0.1204382</v>
      </c>
      <c r="W4015">
        <v>0.20259530000000001</v>
      </c>
      <c r="X4015">
        <v>0.97182800000000003</v>
      </c>
      <c r="Y4015">
        <v>-0.36110940000000002</v>
      </c>
      <c r="Z4015">
        <v>-7.1488489999999997E-3</v>
      </c>
      <c r="AA4015">
        <v>0.93249610000000005</v>
      </c>
      <c r="AB4015">
        <v>52</v>
      </c>
      <c r="AC4015">
        <v>-41.639299999999999</v>
      </c>
      <c r="AD4015">
        <v>-2.8108000000000001E-2</v>
      </c>
      <c r="AE4015">
        <v>-30.164000000000001</v>
      </c>
      <c r="AF4015">
        <v>-18.746178664053399</v>
      </c>
      <c r="AG4015">
        <v>-2.8108000000000001E-2</v>
      </c>
      <c r="AH4015">
        <v>47.877733925769398</v>
      </c>
      <c r="AI4015">
        <v>90.031321801007294</v>
      </c>
      <c r="AJ4015">
        <v>111.38246597862199</v>
      </c>
      <c r="AK4015">
        <v>51.416898101995997</v>
      </c>
      <c r="AL4015">
        <v>78.311232977278905</v>
      </c>
      <c r="AM4015">
        <v>97.064619330268798</v>
      </c>
      <c r="AN4015">
        <v>0.99999993859266301</v>
      </c>
    </row>
    <row r="4016" spans="1:40" x14ac:dyDescent="0.25">
      <c r="A4016" t="str">
        <f>"20190303170619624"</f>
        <v>20190303170619624</v>
      </c>
      <c r="B4016" t="str">
        <f>"1551603979619385"</f>
        <v>1551603979619385</v>
      </c>
      <c r="C4016" t="s">
        <v>40</v>
      </c>
      <c r="D4016">
        <v>5.9585970000000001</v>
      </c>
      <c r="E4016">
        <v>0.39956209999999998</v>
      </c>
      <c r="F4016" t="s">
        <v>91</v>
      </c>
      <c r="G4016">
        <v>-440.20710000000003</v>
      </c>
      <c r="H4016">
        <v>1.0495350000000001</v>
      </c>
      <c r="I4016">
        <v>108.48399999999999</v>
      </c>
      <c r="J4016">
        <v>-399.05889999999999</v>
      </c>
      <c r="K4016">
        <v>1.137025</v>
      </c>
      <c r="L4016">
        <v>139.16079999999999</v>
      </c>
      <c r="M4016">
        <v>-0.96412520000000002</v>
      </c>
      <c r="N4016">
        <v>-1.6703719999999998E-2</v>
      </c>
      <c r="O4016">
        <v>-0.26492189999999999</v>
      </c>
      <c r="P4016">
        <v>-0.91067189999999998</v>
      </c>
      <c r="Q4016">
        <v>0.1919882</v>
      </c>
      <c r="R4016">
        <v>-0.36581049999999998</v>
      </c>
      <c r="S4016">
        <v>-2.5494080000000001</v>
      </c>
      <c r="T4016">
        <v>-5.3372380000000002E-3</v>
      </c>
      <c r="U4016">
        <v>-1.88588</v>
      </c>
      <c r="V4016">
        <v>-0.11993189999999999</v>
      </c>
      <c r="W4016">
        <v>0.20347960000000001</v>
      </c>
      <c r="X4016">
        <v>0.97170590000000001</v>
      </c>
      <c r="Y4016">
        <v>-0.36044389999999998</v>
      </c>
      <c r="Z4016">
        <v>-7.2863839999999999E-3</v>
      </c>
      <c r="AA4016">
        <v>0.93275240000000004</v>
      </c>
      <c r="AB4016">
        <v>52</v>
      </c>
      <c r="AC4016">
        <v>-41.148200000000003</v>
      </c>
      <c r="AD4016">
        <v>-8.7489999999999804E-2</v>
      </c>
      <c r="AE4016">
        <v>-30.6768</v>
      </c>
      <c r="AF4016">
        <v>-18.677767940158098</v>
      </c>
      <c r="AG4016">
        <v>-8.7489999999999804E-2</v>
      </c>
      <c r="AH4016">
        <v>47.805502793299098</v>
      </c>
      <c r="AI4016">
        <v>90.097668425250802</v>
      </c>
      <c r="AJ4016">
        <v>111.340751774916</v>
      </c>
      <c r="AK4016">
        <v>51.324777320964799</v>
      </c>
      <c r="AL4016">
        <v>78.259489046671405</v>
      </c>
      <c r="AM4016">
        <v>97.036094348674098</v>
      </c>
      <c r="AN4016">
        <v>0.99999998217428898</v>
      </c>
    </row>
    <row r="4017" spans="1:40" x14ac:dyDescent="0.25">
      <c r="A4017" t="str">
        <f>"20190303170619646"</f>
        <v>20190303170619646</v>
      </c>
      <c r="B4017" t="str">
        <f>"1551603979638905"</f>
        <v>1551603979638905</v>
      </c>
      <c r="C4017" t="s">
        <v>40</v>
      </c>
      <c r="D4017">
        <v>5.9398999999999997</v>
      </c>
      <c r="E4017">
        <v>0.40025139999999998</v>
      </c>
      <c r="F4017" t="s">
        <v>91</v>
      </c>
      <c r="G4017">
        <v>-440.20710000000003</v>
      </c>
      <c r="H4017">
        <v>0.98122509999999996</v>
      </c>
      <c r="I4017">
        <v>108.01819999999999</v>
      </c>
      <c r="J4017">
        <v>-399.57130000000001</v>
      </c>
      <c r="K4017">
        <v>1.137292</v>
      </c>
      <c r="L4017">
        <v>139.02209999999999</v>
      </c>
      <c r="M4017">
        <v>-0.95995699999999995</v>
      </c>
      <c r="N4017">
        <v>-1.6767290000000001E-2</v>
      </c>
      <c r="O4017">
        <v>-0.2796457</v>
      </c>
      <c r="P4017">
        <v>-0.90535639999999995</v>
      </c>
      <c r="Q4017">
        <v>0.1910279</v>
      </c>
      <c r="R4017">
        <v>-0.3792606</v>
      </c>
      <c r="S4017">
        <v>-2.5278019999999999</v>
      </c>
      <c r="T4017">
        <v>-9.5694070000000003E-3</v>
      </c>
      <c r="U4017">
        <v>-1.9131320000000001</v>
      </c>
      <c r="V4017">
        <v>-0.119509</v>
      </c>
      <c r="W4017">
        <v>0.2025206</v>
      </c>
      <c r="X4017">
        <v>0.97195830000000005</v>
      </c>
      <c r="Y4017">
        <v>-0.35638350000000002</v>
      </c>
      <c r="Z4017">
        <v>-7.3454039999999998E-3</v>
      </c>
      <c r="AA4017">
        <v>0.93431090000000006</v>
      </c>
      <c r="AB4017">
        <v>51</v>
      </c>
      <c r="AC4017">
        <v>-40.635800000000003</v>
      </c>
      <c r="AD4017">
        <v>-0.15606689999999901</v>
      </c>
      <c r="AE4017">
        <v>-31.003900000000002</v>
      </c>
      <c r="AF4017">
        <v>-18.401196646036102</v>
      </c>
      <c r="AG4017">
        <v>-0.15606689999999901</v>
      </c>
      <c r="AH4017">
        <v>47.684979875958803</v>
      </c>
      <c r="AI4017">
        <v>90.174947262083904</v>
      </c>
      <c r="AJ4017">
        <v>111.101144414007</v>
      </c>
      <c r="AK4017">
        <v>51.112480869685498</v>
      </c>
      <c r="AL4017">
        <v>78.315603894990204</v>
      </c>
      <c r="AM4017">
        <v>97.009728636147003</v>
      </c>
      <c r="AN4017">
        <v>0.99999996572212402</v>
      </c>
    </row>
    <row r="4018" spans="1:40" x14ac:dyDescent="0.25">
      <c r="A4018" t="str">
        <f>"20190303170619668"</f>
        <v>20190303170619668</v>
      </c>
      <c r="B4018" t="str">
        <f>"1551603979659402"</f>
        <v>1551603979659402</v>
      </c>
      <c r="C4018" t="s">
        <v>40</v>
      </c>
      <c r="D4018">
        <v>5.9244000000000003</v>
      </c>
      <c r="E4018">
        <v>0.40772380000000003</v>
      </c>
      <c r="F4018" t="s">
        <v>91</v>
      </c>
      <c r="G4018">
        <v>-440.20710000000003</v>
      </c>
      <c r="H4018">
        <v>0.86677469999999901</v>
      </c>
      <c r="I4018">
        <v>107.43389999999999</v>
      </c>
      <c r="J4018">
        <v>-400.03250000000003</v>
      </c>
      <c r="K4018">
        <v>1.1375040000000001</v>
      </c>
      <c r="L4018">
        <v>138.89089999999999</v>
      </c>
      <c r="M4018">
        <v>-0.95596300000000001</v>
      </c>
      <c r="N4018">
        <v>-1.6820160000000001E-2</v>
      </c>
      <c r="O4018">
        <v>-0.2930045</v>
      </c>
      <c r="P4018">
        <v>-0.89975579999999999</v>
      </c>
      <c r="Q4018">
        <v>0.18950910000000001</v>
      </c>
      <c r="R4018">
        <v>-0.39309719999999998</v>
      </c>
      <c r="S4018">
        <v>-2.5022890000000002</v>
      </c>
      <c r="T4018">
        <v>-1.6656399999999998E-2</v>
      </c>
      <c r="U4018">
        <v>-1.9451449999999999</v>
      </c>
      <c r="V4018">
        <v>-0.12082710000000001</v>
      </c>
      <c r="W4018">
        <v>0.20093130000000001</v>
      </c>
      <c r="X4018">
        <v>0.97212520000000002</v>
      </c>
      <c r="Y4018">
        <v>-0.355402</v>
      </c>
      <c r="Z4018">
        <v>-7.2665869999999997E-3</v>
      </c>
      <c r="AA4018">
        <v>0.93468530000000005</v>
      </c>
      <c r="AB4018">
        <v>51</v>
      </c>
      <c r="AC4018">
        <v>-40.174599999999998</v>
      </c>
      <c r="AD4018">
        <v>-0.27072930000000001</v>
      </c>
      <c r="AE4018">
        <v>-31.456999999999901</v>
      </c>
      <c r="AF4018">
        <v>-18.3024652797424</v>
      </c>
      <c r="AG4018">
        <v>-0.27072930000000001</v>
      </c>
      <c r="AH4018">
        <v>47.627875412681703</v>
      </c>
      <c r="AI4018">
        <v>90.304007154700201</v>
      </c>
      <c r="AJ4018">
        <v>111.020795862526</v>
      </c>
      <c r="AK4018">
        <v>51.024190792172199</v>
      </c>
      <c r="AL4018">
        <v>78.408575684282795</v>
      </c>
      <c r="AM4018">
        <v>97.085054983229895</v>
      </c>
      <c r="AN4018">
        <v>0.99999998994456996</v>
      </c>
    </row>
    <row r="4019" spans="1:40" x14ac:dyDescent="0.25">
      <c r="A4019" t="str">
        <f>"20190303170619702"</f>
        <v>20190303170619702</v>
      </c>
      <c r="B4019" t="str">
        <f>"1551603979688682"</f>
        <v>1551603979688682</v>
      </c>
      <c r="C4019" t="s">
        <v>40</v>
      </c>
      <c r="D4019">
        <v>5.9264580000000002</v>
      </c>
      <c r="E4019">
        <v>0.40856989999999999</v>
      </c>
      <c r="F4019" t="s">
        <v>91</v>
      </c>
      <c r="G4019">
        <v>-440.20710000000003</v>
      </c>
      <c r="H4019">
        <v>0.2555732</v>
      </c>
      <c r="I4019">
        <v>107.8626</v>
      </c>
      <c r="J4019">
        <v>-400.77089999999998</v>
      </c>
      <c r="K4019">
        <v>1.137807</v>
      </c>
      <c r="L4019">
        <v>138.66800000000001</v>
      </c>
      <c r="M4019">
        <v>-0.94908930000000002</v>
      </c>
      <c r="N4019">
        <v>-1.6894429999999998E-2</v>
      </c>
      <c r="O4019">
        <v>-0.31455359999999899</v>
      </c>
      <c r="P4019">
        <v>-0.89081699999999997</v>
      </c>
      <c r="Q4019">
        <v>0.18797639999999999</v>
      </c>
      <c r="R4019">
        <v>-0.41365489999999999</v>
      </c>
      <c r="S4019">
        <v>-2.5016780000000001</v>
      </c>
      <c r="T4019">
        <v>-5.4916140000000002E-2</v>
      </c>
      <c r="U4019">
        <v>-1.932129</v>
      </c>
      <c r="V4019">
        <v>-0.121168899999999</v>
      </c>
      <c r="W4019">
        <v>0.19936290000000001</v>
      </c>
      <c r="X4019">
        <v>0.97240559999999998</v>
      </c>
      <c r="Y4019">
        <v>-0.33112609999999998</v>
      </c>
      <c r="Z4019">
        <v>-5.3923180000000001E-3</v>
      </c>
      <c r="AA4019">
        <v>0.9435711</v>
      </c>
      <c r="AB4019">
        <v>51</v>
      </c>
      <c r="AC4019">
        <v>-39.436199999999999</v>
      </c>
      <c r="AD4019">
        <v>-0.88223379999999996</v>
      </c>
      <c r="AE4019">
        <v>-30.805399999999999</v>
      </c>
      <c r="AF4019">
        <v>-16.829449614678801</v>
      </c>
      <c r="AG4019">
        <v>-0.88223379999999996</v>
      </c>
      <c r="AH4019">
        <v>47.110510693097602</v>
      </c>
      <c r="AI4019">
        <v>91.010329266255596</v>
      </c>
      <c r="AJ4019">
        <v>109.65842664103501</v>
      </c>
      <c r="AK4019">
        <v>50.034077672875497</v>
      </c>
      <c r="AL4019">
        <v>78.500295054429699</v>
      </c>
      <c r="AM4019">
        <v>97.1028650759595</v>
      </c>
      <c r="AN4019">
        <v>1.0000000595674801</v>
      </c>
    </row>
    <row r="4020" spans="1:40" x14ac:dyDescent="0.25">
      <c r="A4020" t="str">
        <f>"20190303170619725"</f>
        <v>20190303170619725</v>
      </c>
      <c r="B4020" t="str">
        <f>"1551603979718937"</f>
        <v>1551603979718937</v>
      </c>
      <c r="C4020" t="s">
        <v>40</v>
      </c>
      <c r="D4020">
        <v>5.9141339999999998</v>
      </c>
      <c r="E4020">
        <v>0.41008280000000003</v>
      </c>
      <c r="F4020" t="s">
        <v>91</v>
      </c>
      <c r="G4020">
        <v>-440.75</v>
      </c>
      <c r="H4020">
        <v>0.19459609999999999</v>
      </c>
      <c r="I4020">
        <v>106.4186</v>
      </c>
      <c r="J4020">
        <v>-401.26459999999997</v>
      </c>
      <c r="K4020">
        <v>1.1379840000000001</v>
      </c>
      <c r="L4020">
        <v>138.5093</v>
      </c>
      <c r="M4020">
        <v>-0.94416160000000005</v>
      </c>
      <c r="N4020">
        <v>-1.6936329999999999E-2</v>
      </c>
      <c r="O4020">
        <v>-0.32904709999999998</v>
      </c>
      <c r="P4020">
        <v>-0.8851059</v>
      </c>
      <c r="Q4020">
        <v>0.18718180000000001</v>
      </c>
      <c r="R4020">
        <v>-0.42608740000000001</v>
      </c>
      <c r="S4020">
        <v>-2.4588930000000002</v>
      </c>
      <c r="T4020">
        <v>-5.8009860000000003E-2</v>
      </c>
      <c r="U4020">
        <v>-1.9834750000000001</v>
      </c>
      <c r="V4020">
        <v>-0.11990679999999999</v>
      </c>
      <c r="W4020">
        <v>0.1986115</v>
      </c>
      <c r="X4020">
        <v>0.97271569999999996</v>
      </c>
      <c r="Y4020">
        <v>-0.33661390000000002</v>
      </c>
      <c r="Z4020">
        <v>-5.3107939999999998E-3</v>
      </c>
      <c r="AA4020">
        <v>0.94162780000000001</v>
      </c>
      <c r="AB4020">
        <v>51</v>
      </c>
      <c r="AC4020">
        <v>-39.485399999999998</v>
      </c>
      <c r="AD4020">
        <v>-0.94338789999999995</v>
      </c>
      <c r="AE4020">
        <v>-32.090699999999998</v>
      </c>
      <c r="AF4020">
        <v>-17.3027851099035</v>
      </c>
      <c r="AG4020">
        <v>-0.94338789999999995</v>
      </c>
      <c r="AH4020">
        <v>47.830371345487102</v>
      </c>
      <c r="AI4020">
        <v>91.062561189687003</v>
      </c>
      <c r="AJ4020">
        <v>109.887747693237</v>
      </c>
      <c r="AK4020">
        <v>50.8725935680162</v>
      </c>
      <c r="AL4020">
        <v>78.544224939157701</v>
      </c>
      <c r="AM4020">
        <v>97.027406780199698</v>
      </c>
      <c r="AN4020">
        <v>1.0000000008224801</v>
      </c>
    </row>
    <row r="4021" spans="1:40" x14ac:dyDescent="0.25">
      <c r="A4021" t="str">
        <f>"20190303170619748"</f>
        <v>20190303170619748</v>
      </c>
      <c r="B4021" t="str">
        <f>"1551603979739434"</f>
        <v>1551603979739434</v>
      </c>
      <c r="C4021" t="s">
        <v>40</v>
      </c>
      <c r="D4021">
        <v>5.9046900000000004</v>
      </c>
      <c r="E4021">
        <v>0.4111302</v>
      </c>
      <c r="F4021" t="s">
        <v>43</v>
      </c>
      <c r="G4021">
        <v>-445.952</v>
      </c>
      <c r="H4021">
        <v>-0.05</v>
      </c>
      <c r="I4021">
        <v>101.6909</v>
      </c>
      <c r="J4021">
        <v>-401.74279999999999</v>
      </c>
      <c r="K4021">
        <v>1.1381319999999999</v>
      </c>
      <c r="L4021">
        <v>138.34790000000001</v>
      </c>
      <c r="M4021">
        <v>-0.93913630000000003</v>
      </c>
      <c r="N4021">
        <v>-1.6971489999999999E-2</v>
      </c>
      <c r="O4021">
        <v>-0.34312559999999998</v>
      </c>
      <c r="P4021">
        <v>-0.8794476</v>
      </c>
      <c r="Q4021">
        <v>0.18657960000000001</v>
      </c>
      <c r="R4021">
        <v>-0.43790459999999898</v>
      </c>
      <c r="S4021">
        <v>-2.4366759999999998</v>
      </c>
      <c r="T4021">
        <v>-6.4777260000000003E-2</v>
      </c>
      <c r="U4021">
        <v>-2.0075989999999999</v>
      </c>
      <c r="V4021">
        <v>-0.1184094</v>
      </c>
      <c r="W4021">
        <v>0.1980652</v>
      </c>
      <c r="X4021">
        <v>0.9730105</v>
      </c>
      <c r="Y4021">
        <v>-0.33227800000000002</v>
      </c>
      <c r="Z4021">
        <v>-4.8059579999999999E-3</v>
      </c>
      <c r="AA4021">
        <v>0.94316920000000004</v>
      </c>
      <c r="AB4021">
        <v>51</v>
      </c>
      <c r="AC4021">
        <v>-44.209200000000003</v>
      </c>
      <c r="AD4021">
        <v>-1.188132</v>
      </c>
      <c r="AE4021">
        <v>-36.656999999999996</v>
      </c>
      <c r="AF4021">
        <v>-19.251143332140199</v>
      </c>
      <c r="AG4021">
        <v>-1.188132</v>
      </c>
      <c r="AH4021">
        <v>54.081059441574801</v>
      </c>
      <c r="AI4021">
        <v>91.185696110472094</v>
      </c>
      <c r="AJ4021">
        <v>109.594118009802</v>
      </c>
      <c r="AK4021">
        <v>57.417585873730197</v>
      </c>
      <c r="AL4021">
        <v>78.576160296304295</v>
      </c>
      <c r="AM4021">
        <v>96.938427282992606</v>
      </c>
      <c r="AN4021">
        <v>1.0000000212848199</v>
      </c>
    </row>
    <row r="4022" spans="1:40" x14ac:dyDescent="0.25">
      <c r="A4022" t="str">
        <f>"20190303170619768"</f>
        <v>20190303170619768</v>
      </c>
      <c r="B4022" t="str">
        <f>"1551603979758953"</f>
        <v>1551603979758953</v>
      </c>
      <c r="C4022" t="s">
        <v>40</v>
      </c>
      <c r="D4022">
        <v>5.9320570000000004</v>
      </c>
      <c r="E4022">
        <v>0.41161619999999999</v>
      </c>
      <c r="F4022" t="s">
        <v>43</v>
      </c>
      <c r="G4022">
        <v>-442.68130000000002</v>
      </c>
      <c r="H4022">
        <v>-0.05</v>
      </c>
      <c r="I4022">
        <v>103.88890000000001</v>
      </c>
      <c r="J4022">
        <v>-402.19220000000001</v>
      </c>
      <c r="K4022">
        <v>1.1382669999999999</v>
      </c>
      <c r="L4022">
        <v>138.18969999999999</v>
      </c>
      <c r="M4022">
        <v>-0.93418970000000001</v>
      </c>
      <c r="N4022">
        <v>-1.6999719999999999E-2</v>
      </c>
      <c r="O4022">
        <v>-0.35637160000000001</v>
      </c>
      <c r="P4022">
        <v>-0.87347059999999999</v>
      </c>
      <c r="Q4022">
        <v>0.18552769999999999</v>
      </c>
      <c r="R4022">
        <v>-0.45014320000000002</v>
      </c>
      <c r="S4022">
        <v>-2.4142459999999999</v>
      </c>
      <c r="T4022">
        <v>-7.0067050000000006E-2</v>
      </c>
      <c r="U4022">
        <v>-2.0321349999999998</v>
      </c>
      <c r="V4022">
        <v>-0.11818670000000001</v>
      </c>
      <c r="W4022">
        <v>0.19701199999999999</v>
      </c>
      <c r="X4022">
        <v>0.97325130000000004</v>
      </c>
      <c r="Y4022">
        <v>-0.32885009999999998</v>
      </c>
      <c r="Z4022">
        <v>-4.3419979999999997E-3</v>
      </c>
      <c r="AA4022">
        <v>0.94437219999999999</v>
      </c>
      <c r="AB4022">
        <v>51</v>
      </c>
      <c r="AC4022">
        <v>-40.489100000000001</v>
      </c>
      <c r="AD4022">
        <v>-1.188267</v>
      </c>
      <c r="AE4022">
        <v>-34.300799999999903</v>
      </c>
      <c r="AF4022">
        <v>-17.608004379727799</v>
      </c>
      <c r="AG4022">
        <v>-1.188267</v>
      </c>
      <c r="AH4022">
        <v>50.030475181496001</v>
      </c>
      <c r="AI4022">
        <v>91.283430005600096</v>
      </c>
      <c r="AJ4022">
        <v>109.389293942894</v>
      </c>
      <c r="AK4022">
        <v>53.0518825640155</v>
      </c>
      <c r="AL4022">
        <v>78.637716462961805</v>
      </c>
      <c r="AM4022">
        <v>96.923807737698397</v>
      </c>
      <c r="AN4022">
        <v>0.99999995857628898</v>
      </c>
    </row>
    <row r="4023" spans="1:40" x14ac:dyDescent="0.25">
      <c r="A4023" t="str">
        <f>"20190303170619790"</f>
        <v>20190303170619790</v>
      </c>
      <c r="B4023" t="str">
        <f>"1551603979779451"</f>
        <v>1551603979779451</v>
      </c>
      <c r="C4023" t="s">
        <v>40</v>
      </c>
      <c r="D4023">
        <v>5.9206729999999999</v>
      </c>
      <c r="E4023">
        <v>0.41864059999999997</v>
      </c>
      <c r="F4023" t="s">
        <v>43</v>
      </c>
      <c r="G4023">
        <v>-439.70670000000001</v>
      </c>
      <c r="H4023">
        <v>-0.05</v>
      </c>
      <c r="I4023">
        <v>105.8142</v>
      </c>
      <c r="J4023">
        <v>-402.65879999999999</v>
      </c>
      <c r="K4023">
        <v>1.1383920000000001</v>
      </c>
      <c r="L4023">
        <v>138.01820000000001</v>
      </c>
      <c r="M4023">
        <v>-0.92882310000000001</v>
      </c>
      <c r="N4023">
        <v>-1.7024060000000001E-2</v>
      </c>
      <c r="O4023">
        <v>-0.37013210000000002</v>
      </c>
      <c r="P4023">
        <v>-0.86668750000000006</v>
      </c>
      <c r="Q4023">
        <v>0.1844847</v>
      </c>
      <c r="R4023">
        <v>-0.46348499999999998</v>
      </c>
      <c r="S4023">
        <v>-2.3883969999999999</v>
      </c>
      <c r="T4023">
        <v>-7.5652239999999996E-2</v>
      </c>
      <c r="U4023">
        <v>-2.0612180000000002</v>
      </c>
      <c r="V4023">
        <v>-0.1186783</v>
      </c>
      <c r="W4023">
        <v>0.19593289999999999</v>
      </c>
      <c r="X4023">
        <v>0.97340939999999998</v>
      </c>
      <c r="Y4023">
        <v>-0.32653070000000001</v>
      </c>
      <c r="Z4023">
        <v>-3.821386E-3</v>
      </c>
      <c r="AA4023">
        <v>0.94517890000000004</v>
      </c>
      <c r="AB4023">
        <v>51</v>
      </c>
      <c r="AC4023">
        <v>-37.047899999999998</v>
      </c>
      <c r="AD4023">
        <v>-1.1883919999999999</v>
      </c>
      <c r="AE4023">
        <v>-32.204000000000001</v>
      </c>
      <c r="AF4023">
        <v>-16.192060435426701</v>
      </c>
      <c r="AG4023">
        <v>-1.1883919999999999</v>
      </c>
      <c r="AH4023">
        <v>46.310253933757501</v>
      </c>
      <c r="AI4023">
        <v>91.387635501586104</v>
      </c>
      <c r="AJ4023">
        <v>109.271826598093</v>
      </c>
      <c r="AK4023">
        <v>49.073768105774001</v>
      </c>
      <c r="AL4023">
        <v>78.700774412869805</v>
      </c>
      <c r="AM4023">
        <v>96.951208032797993</v>
      </c>
      <c r="AN4023">
        <v>1.0000000501008199</v>
      </c>
    </row>
    <row r="4024" spans="1:40" x14ac:dyDescent="0.25">
      <c r="A4024" t="str">
        <f>"20190303170619813"</f>
        <v>20190303170619813</v>
      </c>
      <c r="B4024" t="str">
        <f>"1551603979808729"</f>
        <v>1551603979808729</v>
      </c>
      <c r="C4024" t="s">
        <v>40</v>
      </c>
      <c r="D4024">
        <v>5.9297360000000001</v>
      </c>
      <c r="E4024">
        <v>0.41962179999999999</v>
      </c>
      <c r="F4024" t="s">
        <v>41</v>
      </c>
      <c r="G4024">
        <v>-429.95780000000002</v>
      </c>
      <c r="H4024">
        <v>3.4789920000000002E-2</v>
      </c>
      <c r="I4024">
        <v>114.55970000000001</v>
      </c>
      <c r="J4024">
        <v>-403.14479999999998</v>
      </c>
      <c r="K4024">
        <v>1.138496</v>
      </c>
      <c r="L4024">
        <v>137.83179999999999</v>
      </c>
      <c r="M4024">
        <v>-0.92298800000000003</v>
      </c>
      <c r="N4024">
        <v>-1.7044299999999998E-2</v>
      </c>
      <c r="O4024">
        <v>-0.38445099999999999</v>
      </c>
      <c r="P4024">
        <v>-0.85877289999999995</v>
      </c>
      <c r="Q4024">
        <v>0.18218419999999999</v>
      </c>
      <c r="R4024">
        <v>-0.47887190000000002</v>
      </c>
      <c r="S4024">
        <v>-2.3856510000000002</v>
      </c>
      <c r="T4024">
        <v>-9.6443769999999998E-2</v>
      </c>
      <c r="U4024">
        <v>-2.0500340000000001</v>
      </c>
      <c r="V4024">
        <v>-0.12076820000000001</v>
      </c>
      <c r="W4024">
        <v>0.1935219</v>
      </c>
      <c r="X4024">
        <v>0.97363460000000002</v>
      </c>
      <c r="Y4024">
        <v>-0.30982659999999901</v>
      </c>
      <c r="Z4024">
        <v>-1.761571E-3</v>
      </c>
      <c r="AA4024">
        <v>0.95079139999999995</v>
      </c>
      <c r="AB4024">
        <v>51</v>
      </c>
      <c r="AC4024">
        <v>-26.812999999999999</v>
      </c>
      <c r="AD4024">
        <v>-1.10370608</v>
      </c>
      <c r="AE4024">
        <v>-23.272099999999899</v>
      </c>
      <c r="AF4024">
        <v>-11.162420544382</v>
      </c>
      <c r="AG4024">
        <v>-1.10370608</v>
      </c>
      <c r="AH4024">
        <v>33.667419977235802</v>
      </c>
      <c r="AI4024">
        <v>91.782293699944702</v>
      </c>
      <c r="AJ4024">
        <v>108.342920709973</v>
      </c>
      <c r="AK4024">
        <v>35.486799904249601</v>
      </c>
      <c r="AL4024">
        <v>78.841610075332696</v>
      </c>
      <c r="AM4024">
        <v>97.070769019837897</v>
      </c>
      <c r="AN4024">
        <v>1.000000009114</v>
      </c>
    </row>
    <row r="4025" spans="1:40" x14ac:dyDescent="0.25">
      <c r="A4025" t="str">
        <f>"20190303170619836"</f>
        <v>20190303170619836</v>
      </c>
      <c r="B4025" t="str">
        <f>"1551603979829225"</f>
        <v>1551603979829225</v>
      </c>
      <c r="C4025" t="s">
        <v>40</v>
      </c>
      <c r="D4025">
        <v>5.944655</v>
      </c>
      <c r="E4025">
        <v>0.42411339999999997</v>
      </c>
      <c r="F4025" t="s">
        <v>41</v>
      </c>
      <c r="G4025">
        <v>-427.48680000000002</v>
      </c>
      <c r="H4025" s="1">
        <v>-4.4858189999999998E-6</v>
      </c>
      <c r="I4025">
        <v>116.26609999999999</v>
      </c>
      <c r="J4025">
        <v>-403.60649999999998</v>
      </c>
      <c r="K4025">
        <v>1.1385829999999999</v>
      </c>
      <c r="L4025">
        <v>137.6472</v>
      </c>
      <c r="M4025">
        <v>-0.91720959999999996</v>
      </c>
      <c r="N4025">
        <v>-1.7059339999999999E-2</v>
      </c>
      <c r="O4025">
        <v>-0.3980399</v>
      </c>
      <c r="P4025">
        <v>-0.85097369999999894</v>
      </c>
      <c r="Q4025">
        <v>0.18041470000000001</v>
      </c>
      <c r="R4025">
        <v>-0.4932493</v>
      </c>
      <c r="S4025">
        <v>-2.3538510000000001</v>
      </c>
      <c r="T4025">
        <v>-0.1100917</v>
      </c>
      <c r="U4025">
        <v>-2.085388</v>
      </c>
      <c r="V4025">
        <v>-0.1225956</v>
      </c>
      <c r="W4025">
        <v>0.19165209999999999</v>
      </c>
      <c r="X4025">
        <v>0.97377599999999997</v>
      </c>
      <c r="Y4025">
        <v>-0.31013429999999997</v>
      </c>
      <c r="Z4025">
        <v>-4.5269940000000001E-4</v>
      </c>
      <c r="AA4025">
        <v>0.95069269999999995</v>
      </c>
      <c r="AB4025">
        <v>51</v>
      </c>
      <c r="AC4025">
        <v>-23.880299999999998</v>
      </c>
      <c r="AD4025">
        <v>-1.1385874858189999</v>
      </c>
      <c r="AE4025">
        <v>-21.3811</v>
      </c>
      <c r="AF4025">
        <v>-10.094370665677401</v>
      </c>
      <c r="AG4025">
        <v>-1.1385874858189999</v>
      </c>
      <c r="AH4025">
        <v>30.3798614587398</v>
      </c>
      <c r="AI4025">
        <v>92.0369464561782</v>
      </c>
      <c r="AJ4025">
        <v>108.380191166402</v>
      </c>
      <c r="AK4025">
        <v>32.033243401990603</v>
      </c>
      <c r="AL4025">
        <v>78.950784892178007</v>
      </c>
      <c r="AM4025">
        <v>97.175621502268399</v>
      </c>
      <c r="AN4025">
        <v>0.99999995337488301</v>
      </c>
    </row>
    <row r="4026" spans="1:40" x14ac:dyDescent="0.25">
      <c r="A4026" t="str">
        <f>"20190303170619857"</f>
        <v>20190303170619857</v>
      </c>
      <c r="B4026" t="str">
        <f>"1551603979848745"</f>
        <v>1551603979848745</v>
      </c>
      <c r="C4026" t="s">
        <v>40</v>
      </c>
      <c r="D4026">
        <v>5.9181889999999999</v>
      </c>
      <c r="E4026">
        <v>0.42511589999999999</v>
      </c>
      <c r="F4026" t="s">
        <v>41</v>
      </c>
      <c r="G4026">
        <v>-424.67430000000002</v>
      </c>
      <c r="H4026" s="1">
        <v>-4.8449949999999998E-6</v>
      </c>
      <c r="I4026">
        <v>118.78749999999999</v>
      </c>
      <c r="J4026">
        <v>-404.05200000000002</v>
      </c>
      <c r="K4026">
        <v>1.138665</v>
      </c>
      <c r="L4026">
        <v>137.46199999999999</v>
      </c>
      <c r="M4026">
        <v>-0.91141899999999998</v>
      </c>
      <c r="N4026">
        <v>-1.7070390000000001E-2</v>
      </c>
      <c r="O4026">
        <v>-0.41112549999999998</v>
      </c>
      <c r="P4026">
        <v>-0.84283359999999996</v>
      </c>
      <c r="Q4026">
        <v>0.18101390000000001</v>
      </c>
      <c r="R4026">
        <v>-0.50681940000000003</v>
      </c>
      <c r="S4026">
        <v>-2.3386840000000002</v>
      </c>
      <c r="T4026">
        <v>-0.12639149999999999</v>
      </c>
      <c r="U4026">
        <v>-2.0935670000000002</v>
      </c>
      <c r="V4026">
        <v>-0.1243913</v>
      </c>
      <c r="W4026">
        <v>0.19214719999999999</v>
      </c>
      <c r="X4026">
        <v>0.9734507</v>
      </c>
      <c r="Y4026">
        <v>-0.30140080000000002</v>
      </c>
      <c r="Z4026">
        <v>1.4680349999999999E-3</v>
      </c>
      <c r="AA4026">
        <v>0.95349640000000002</v>
      </c>
      <c r="AB4026">
        <v>51</v>
      </c>
      <c r="AC4026">
        <v>-20.622299999999999</v>
      </c>
      <c r="AD4026">
        <v>-1.1386698449949999</v>
      </c>
      <c r="AE4026">
        <v>-18.674499999999998</v>
      </c>
      <c r="AF4026">
        <v>-8.5288979056749294</v>
      </c>
      <c r="AG4026">
        <v>-1.1386698449949999</v>
      </c>
      <c r="AH4026">
        <v>26.432697009979002</v>
      </c>
      <c r="AI4026">
        <v>92.3476274363465</v>
      </c>
      <c r="AJ4026">
        <v>107.88305788820399</v>
      </c>
      <c r="AK4026">
        <v>27.797952077854202</v>
      </c>
      <c r="AL4026">
        <v>78.921881113981797</v>
      </c>
      <c r="AM4026">
        <v>97.282012391500203</v>
      </c>
      <c r="AN4026">
        <v>1.000000003657</v>
      </c>
    </row>
    <row r="4027" spans="1:40" x14ac:dyDescent="0.25">
      <c r="A4027" t="str">
        <f>"20190303170619879"</f>
        <v>20190303170619879</v>
      </c>
      <c r="B4027" t="str">
        <f>"1551603979869242"</f>
        <v>1551603979869242</v>
      </c>
      <c r="C4027" t="s">
        <v>40</v>
      </c>
      <c r="D4027">
        <v>5.9688530000000002</v>
      </c>
      <c r="E4027">
        <v>0.4251491</v>
      </c>
      <c r="F4027" t="s">
        <v>41</v>
      </c>
      <c r="G4027">
        <v>-424.68619999999999</v>
      </c>
      <c r="H4027" s="1">
        <v>-4.7472869999999997E-6</v>
      </c>
      <c r="I4027">
        <v>118.49420000000001</v>
      </c>
      <c r="J4027">
        <v>-404.51429999999999</v>
      </c>
      <c r="K4027">
        <v>1.13874599999999</v>
      </c>
      <c r="L4027">
        <v>137.26220000000001</v>
      </c>
      <c r="M4027">
        <v>-0.90518529999999997</v>
      </c>
      <c r="N4027">
        <v>-1.707885E-2</v>
      </c>
      <c r="O4027">
        <v>-0.42467379999999999</v>
      </c>
      <c r="P4027">
        <v>-0.83387869999999997</v>
      </c>
      <c r="Q4027">
        <v>0.18223629999999999</v>
      </c>
      <c r="R4027">
        <v>-0.52099569999999995</v>
      </c>
      <c r="S4027">
        <v>-2.3099370000000001</v>
      </c>
      <c r="T4027">
        <v>-0.12747069999999999</v>
      </c>
      <c r="U4027">
        <v>-2.123383</v>
      </c>
      <c r="V4027">
        <v>-0.12654669999999901</v>
      </c>
      <c r="W4027">
        <v>0.1932449</v>
      </c>
      <c r="X4027">
        <v>0.97295549999999997</v>
      </c>
      <c r="Y4027">
        <v>-0.29976079999999999</v>
      </c>
      <c r="Z4027">
        <v>1.9809929999999999E-3</v>
      </c>
      <c r="AA4027">
        <v>0.95401230000000004</v>
      </c>
      <c r="AB4027">
        <v>51</v>
      </c>
      <c r="AC4027">
        <v>-20.171899999999901</v>
      </c>
      <c r="AD4027">
        <v>-1.13875074728699</v>
      </c>
      <c r="AE4027">
        <v>-18.768000000000001</v>
      </c>
      <c r="AF4027">
        <v>-8.4089051396389998</v>
      </c>
      <c r="AG4027">
        <v>-1.13875074728699</v>
      </c>
      <c r="AH4027">
        <v>26.188677163870999</v>
      </c>
      <c r="AI4027">
        <v>92.370733185383003</v>
      </c>
      <c r="AJ4027">
        <v>107.80127085882501</v>
      </c>
      <c r="AK4027">
        <v>27.5291345760333</v>
      </c>
      <c r="AL4027">
        <v>78.857786617857798</v>
      </c>
      <c r="AM4027">
        <v>97.410530587158206</v>
      </c>
      <c r="AN4027">
        <v>1.00000003181857</v>
      </c>
    </row>
    <row r="4028" spans="1:40" x14ac:dyDescent="0.25">
      <c r="A4028" t="str">
        <f>"20190303170619903"</f>
        <v>20190303170619903</v>
      </c>
      <c r="B4028" t="str">
        <f>"1551603979888760"</f>
        <v>1551603979888760</v>
      </c>
      <c r="C4028" t="s">
        <v>40</v>
      </c>
      <c r="D4028">
        <v>5.8612000000000002</v>
      </c>
      <c r="E4028">
        <v>0.38463510000000001</v>
      </c>
      <c r="F4028" t="s">
        <v>41</v>
      </c>
      <c r="G4028">
        <v>-426.13150000000002</v>
      </c>
      <c r="H4028" s="1">
        <v>-4.3942549999999998E-6</v>
      </c>
      <c r="I4028">
        <v>116.70350000000001</v>
      </c>
      <c r="J4028">
        <v>-404.97669999999999</v>
      </c>
      <c r="K4028">
        <v>1.1388100000000001</v>
      </c>
      <c r="L4028">
        <v>137.05449999999999</v>
      </c>
      <c r="M4028">
        <v>-0.89872289999999999</v>
      </c>
      <c r="N4028">
        <v>-1.708461E-2</v>
      </c>
      <c r="O4028">
        <v>-0.43818410000000002</v>
      </c>
      <c r="P4028">
        <v>-0.82554419999999995</v>
      </c>
      <c r="Q4028">
        <v>0.18152479999999999</v>
      </c>
      <c r="R4028">
        <v>-0.53434619999999999</v>
      </c>
      <c r="S4028">
        <v>-2.2731020000000002</v>
      </c>
      <c r="T4028">
        <v>-0.1197428</v>
      </c>
      <c r="U4028">
        <v>-2.1618040000000001</v>
      </c>
      <c r="V4028">
        <v>-0.1275685</v>
      </c>
      <c r="W4028">
        <v>0.19246779999999999</v>
      </c>
      <c r="X4028">
        <v>0.97297610000000001</v>
      </c>
      <c r="Y4028">
        <v>-0.30166700000000002</v>
      </c>
      <c r="Z4028">
        <v>1.5655440000000001E-3</v>
      </c>
      <c r="AA4028">
        <v>0.95341209999999998</v>
      </c>
      <c r="AB4028">
        <v>51</v>
      </c>
      <c r="AC4028">
        <v>-21.154800000000002</v>
      </c>
      <c r="AD4028">
        <v>-1.138814394255</v>
      </c>
      <c r="AE4028">
        <v>-20.3509999999999</v>
      </c>
      <c r="AF4028">
        <v>-9.0079716832900694</v>
      </c>
      <c r="AG4028">
        <v>-1.138814394255</v>
      </c>
      <c r="AH4028">
        <v>27.891885159775999</v>
      </c>
      <c r="AI4028">
        <v>92.225026160443605</v>
      </c>
      <c r="AJ4028">
        <v>107.898396987141</v>
      </c>
      <c r="AK4028">
        <v>29.3325367099003</v>
      </c>
      <c r="AL4028">
        <v>78.903163040205499</v>
      </c>
      <c r="AM4028">
        <v>97.469537427820001</v>
      </c>
      <c r="AN4028">
        <v>1.00000003370014</v>
      </c>
    </row>
    <row r="4029" spans="1:40" x14ac:dyDescent="0.25">
      <c r="A4029" t="str">
        <f>"20190303170619926"</f>
        <v>20190303170619926</v>
      </c>
      <c r="B4029" t="str">
        <f>"1551603979919017"</f>
        <v>1551603979919017</v>
      </c>
      <c r="C4029" t="s">
        <v>40</v>
      </c>
      <c r="D4029">
        <v>5.8177000000000003</v>
      </c>
      <c r="E4029">
        <v>0.36454150000000002</v>
      </c>
      <c r="F4029" t="s">
        <v>91</v>
      </c>
      <c r="G4029">
        <v>-440.75</v>
      </c>
      <c r="H4029">
        <v>1.4217360000000001</v>
      </c>
      <c r="I4029">
        <v>94.160420000000002</v>
      </c>
      <c r="J4029">
        <v>-405.44549999999998</v>
      </c>
      <c r="K4029">
        <v>1.138868</v>
      </c>
      <c r="L4029">
        <v>136.83500000000001</v>
      </c>
      <c r="M4029">
        <v>-0.89193219999999995</v>
      </c>
      <c r="N4029">
        <v>-1.7088490000000001E-2</v>
      </c>
      <c r="O4029">
        <v>-0.45184659999999899</v>
      </c>
      <c r="P4029">
        <v>-0.81751289999999999</v>
      </c>
      <c r="Q4029">
        <v>0.18099100000000001</v>
      </c>
      <c r="R4029">
        <v>-0.54673179999999999</v>
      </c>
      <c r="S4029">
        <v>-2.0440369999999999</v>
      </c>
      <c r="T4029">
        <v>1.616716E-2</v>
      </c>
      <c r="U4029">
        <v>-2.4508969999999999</v>
      </c>
      <c r="V4029">
        <v>-0.1273465</v>
      </c>
      <c r="W4029">
        <v>0.19192970000000001</v>
      </c>
      <c r="X4029">
        <v>0.97311150000000002</v>
      </c>
      <c r="Y4029">
        <v>-0.39569670000000001</v>
      </c>
      <c r="Z4029">
        <v>-1.2223400000000001E-2</v>
      </c>
      <c r="AA4029">
        <v>0.91829989999999995</v>
      </c>
      <c r="AB4029">
        <v>50</v>
      </c>
      <c r="AC4029">
        <v>-35.304499999999997</v>
      </c>
      <c r="AD4029">
        <v>0.28286800000000001</v>
      </c>
      <c r="AE4029">
        <v>-42.674579999999999</v>
      </c>
      <c r="AF4029">
        <v>-22.1132613649586</v>
      </c>
      <c r="AG4029">
        <v>0.28286800000000001</v>
      </c>
      <c r="AH4029">
        <v>50.777663867902703</v>
      </c>
      <c r="AI4029">
        <v>89.7073693770662</v>
      </c>
      <c r="AJ4029">
        <v>113.532735301291</v>
      </c>
      <c r="AK4029">
        <v>55.384541980430797</v>
      </c>
      <c r="AL4029">
        <v>78.934579991969002</v>
      </c>
      <c r="AM4029">
        <v>97.455659175096102</v>
      </c>
      <c r="AN4029">
        <v>1.00000006611829</v>
      </c>
    </row>
    <row r="4030" spans="1:40" x14ac:dyDescent="0.25">
      <c r="A4030" t="str">
        <f>"20190303170619947"</f>
        <v>20190303170619947</v>
      </c>
      <c r="B4030" t="str">
        <f>"1551603979938537"</f>
        <v>1551603979938537</v>
      </c>
      <c r="C4030" t="s">
        <v>40</v>
      </c>
      <c r="D4030">
        <v>5.9491310000000004</v>
      </c>
      <c r="E4030">
        <v>0.36091640000000003</v>
      </c>
      <c r="F4030" t="s">
        <v>91</v>
      </c>
      <c r="G4030">
        <v>-440.35980000000001</v>
      </c>
      <c r="H4030">
        <v>2.6882679999999999</v>
      </c>
      <c r="I4030">
        <v>89.215289999999996</v>
      </c>
      <c r="J4030">
        <v>-405.86840000000001</v>
      </c>
      <c r="K4030">
        <v>1.1389180000000001</v>
      </c>
      <c r="L4030">
        <v>136.62960000000001</v>
      </c>
      <c r="M4030">
        <v>-0.88560069999999902</v>
      </c>
      <c r="N4030">
        <v>-1.709049E-2</v>
      </c>
      <c r="O4030">
        <v>-0.46413280000000001</v>
      </c>
      <c r="P4030">
        <v>-0.81012919999999999</v>
      </c>
      <c r="Q4030">
        <v>0.1817561</v>
      </c>
      <c r="R4030">
        <v>-0.55736490000000005</v>
      </c>
      <c r="S4030">
        <v>-1.909332</v>
      </c>
      <c r="T4030">
        <v>8.4731699999999993E-2</v>
      </c>
      <c r="U4030">
        <v>-2.6041259999999999</v>
      </c>
      <c r="V4030">
        <v>-0.12674679999999999</v>
      </c>
      <c r="W4030">
        <v>0.1927083</v>
      </c>
      <c r="X4030">
        <v>0.97303589999999995</v>
      </c>
      <c r="Y4030">
        <v>-0.44006699999999999</v>
      </c>
      <c r="Z4030">
        <v>-1.8229100000000002E-2</v>
      </c>
      <c r="AA4030">
        <v>0.89777989999999996</v>
      </c>
      <c r="AB4030">
        <v>50</v>
      </c>
      <c r="AC4030">
        <v>-34.491399999999999</v>
      </c>
      <c r="AD4030">
        <v>1.54934999999999</v>
      </c>
      <c r="AE4030">
        <v>-47.41431</v>
      </c>
      <c r="AF4030">
        <v>-25.9672200139834</v>
      </c>
      <c r="AG4030">
        <v>1.54934999999999</v>
      </c>
      <c r="AH4030">
        <v>52.523147320982197</v>
      </c>
      <c r="AI4030">
        <v>88.485269068522101</v>
      </c>
      <c r="AJ4030">
        <v>116.307595170894</v>
      </c>
      <c r="AK4030">
        <v>58.612097771524297</v>
      </c>
      <c r="AL4030">
        <v>78.8891207252002</v>
      </c>
      <c r="AM4030">
        <v>97.421511387622601</v>
      </c>
      <c r="AN4030">
        <v>1.00000005144396</v>
      </c>
    </row>
    <row r="4031" spans="1:40" x14ac:dyDescent="0.25">
      <c r="A4031" t="str">
        <f>"20190303170619969"</f>
        <v>20190303170619969</v>
      </c>
      <c r="B4031" t="str">
        <f>"1551603979959033"</f>
        <v>1551603979959033</v>
      </c>
      <c r="C4031" t="s">
        <v>40</v>
      </c>
      <c r="D4031">
        <v>5.9202389999999996</v>
      </c>
      <c r="E4031">
        <v>0.36045749999999999</v>
      </c>
      <c r="F4031" t="s">
        <v>91</v>
      </c>
      <c r="G4031">
        <v>-440.20710000000003</v>
      </c>
      <c r="H4031">
        <v>2.8345319999999998</v>
      </c>
      <c r="I4031">
        <v>87.662980000000005</v>
      </c>
      <c r="J4031">
        <v>-406.30680000000001</v>
      </c>
      <c r="K4031">
        <v>1.13896</v>
      </c>
      <c r="L4031">
        <v>136.4091</v>
      </c>
      <c r="M4031">
        <v>-0.87882979999999999</v>
      </c>
      <c r="N4031">
        <v>-1.7091510000000001E-2</v>
      </c>
      <c r="O4031">
        <v>-0.47682930000000001</v>
      </c>
      <c r="P4031">
        <v>-0.80224519999999899</v>
      </c>
      <c r="Q4031">
        <v>0.1819827</v>
      </c>
      <c r="R4031">
        <v>-0.56858180000000003</v>
      </c>
      <c r="S4031">
        <v>-1.8588560000000001</v>
      </c>
      <c r="T4031">
        <v>9.1789250000000003E-2</v>
      </c>
      <c r="U4031">
        <v>-2.6506959999999999</v>
      </c>
      <c r="V4031">
        <v>-0.12633810000000001</v>
      </c>
      <c r="W4031">
        <v>0.1929408</v>
      </c>
      <c r="X4031">
        <v>0.97304290000000004</v>
      </c>
      <c r="Y4031">
        <v>-0.44608389999999998</v>
      </c>
      <c r="Z4031">
        <v>-1.933489E-2</v>
      </c>
      <c r="AA4031">
        <v>0.89478230000000003</v>
      </c>
      <c r="AB4031">
        <v>50</v>
      </c>
      <c r="AC4031">
        <v>-33.900300000000001</v>
      </c>
      <c r="AD4031">
        <v>1.6955720000000001</v>
      </c>
      <c r="AE4031">
        <v>-48.746119999999898</v>
      </c>
      <c r="AF4031">
        <v>-26.657043241036199</v>
      </c>
      <c r="AG4031">
        <v>1.6955720000000001</v>
      </c>
      <c r="AH4031">
        <v>53.000695258728797</v>
      </c>
      <c r="AI4031">
        <v>88.362921189031994</v>
      </c>
      <c r="AJ4031">
        <v>116.700406016735</v>
      </c>
      <c r="AK4031">
        <v>59.351045624068902</v>
      </c>
      <c r="AL4031">
        <v>78.875543834858803</v>
      </c>
      <c r="AM4031">
        <v>97.397793311258596</v>
      </c>
      <c r="AN4031">
        <v>0.99999997652832895</v>
      </c>
    </row>
    <row r="4032" spans="1:40" x14ac:dyDescent="0.25">
      <c r="A4032" t="str">
        <f>"20190303170619992"</f>
        <v>20190303170619992</v>
      </c>
      <c r="B4032" t="str">
        <f>"1551603979989290"</f>
        <v>1551603979989290</v>
      </c>
      <c r="C4032" t="s">
        <v>40</v>
      </c>
      <c r="D4032">
        <v>5.8645769999999997</v>
      </c>
      <c r="E4032">
        <v>0.35999589999999998</v>
      </c>
      <c r="F4032" t="s">
        <v>91</v>
      </c>
      <c r="G4032">
        <v>-440.20710000000003</v>
      </c>
      <c r="H4032">
        <v>2.7809409999999999</v>
      </c>
      <c r="I4032">
        <v>86.517969999999906</v>
      </c>
      <c r="J4032">
        <v>-406.74709999999999</v>
      </c>
      <c r="K4032">
        <v>1.1389929999999999</v>
      </c>
      <c r="L4032">
        <v>136.1797</v>
      </c>
      <c r="M4032">
        <v>-0.87181169999999997</v>
      </c>
      <c r="N4032">
        <v>-1.7091780000000001E-2</v>
      </c>
      <c r="O4032">
        <v>-0.4895429</v>
      </c>
      <c r="P4032">
        <v>-0.79345219999999905</v>
      </c>
      <c r="Q4032">
        <v>0.18192520000000001</v>
      </c>
      <c r="R4032">
        <v>-0.58080719999999997</v>
      </c>
      <c r="S4032">
        <v>-1.820557</v>
      </c>
      <c r="T4032">
        <v>8.8180300000000003E-2</v>
      </c>
      <c r="U4032">
        <v>-2.679306</v>
      </c>
      <c r="V4032">
        <v>-0.1271273</v>
      </c>
      <c r="W4032">
        <v>0.1928337</v>
      </c>
      <c r="X4032">
        <v>0.97296139999999998</v>
      </c>
      <c r="Y4032">
        <v>-0.44628060000000003</v>
      </c>
      <c r="Z4032">
        <v>-1.9609479999999999E-2</v>
      </c>
      <c r="AA4032">
        <v>0.89467819999999998</v>
      </c>
      <c r="AB4032">
        <v>50</v>
      </c>
      <c r="AC4032">
        <v>-33.46</v>
      </c>
      <c r="AD4032">
        <v>1.641948</v>
      </c>
      <c r="AE4032">
        <v>-49.661729999999999</v>
      </c>
      <c r="AF4032">
        <v>-26.899279859467999</v>
      </c>
      <c r="AG4032">
        <v>1.641948</v>
      </c>
      <c r="AH4032">
        <v>53.449993993866102</v>
      </c>
      <c r="AI4032">
        <v>88.428179839902</v>
      </c>
      <c r="AJ4032">
        <v>116.71431432381</v>
      </c>
      <c r="AK4032">
        <v>59.859578248906899</v>
      </c>
      <c r="AL4032">
        <v>78.8817983244126</v>
      </c>
      <c r="AM4032">
        <v>97.444105209394493</v>
      </c>
      <c r="AN4032">
        <v>1.00000003607546</v>
      </c>
    </row>
    <row r="4033" spans="1:40" x14ac:dyDescent="0.25">
      <c r="A4033" t="str">
        <f>"20190303170620015"</f>
        <v>20190303170620015</v>
      </c>
      <c r="B4033" t="str">
        <f>"1551603980008809"</f>
        <v>1551603980008809</v>
      </c>
      <c r="C4033" t="s">
        <v>40</v>
      </c>
      <c r="D4033">
        <v>5.8788369999999999</v>
      </c>
      <c r="E4033">
        <v>0.36008370000000001</v>
      </c>
      <c r="F4033" t="s">
        <v>72</v>
      </c>
      <c r="G4033">
        <v>-453.77210000000002</v>
      </c>
      <c r="H4033">
        <v>3.495968</v>
      </c>
      <c r="I4033">
        <v>64.450009999999907</v>
      </c>
      <c r="J4033">
        <v>-407.20100000000002</v>
      </c>
      <c r="K4033">
        <v>1.139008</v>
      </c>
      <c r="L4033">
        <v>135.9348</v>
      </c>
      <c r="M4033">
        <v>-0.86434840000000002</v>
      </c>
      <c r="N4033">
        <v>-1.709157E-2</v>
      </c>
      <c r="O4033">
        <v>-0.50260329999999998</v>
      </c>
      <c r="P4033">
        <v>-0.7844428</v>
      </c>
      <c r="Q4033">
        <v>0.18020220000000001</v>
      </c>
      <c r="R4033">
        <v>-0.59344509999999995</v>
      </c>
      <c r="S4033">
        <v>-1.7767329999999999</v>
      </c>
      <c r="T4033">
        <v>8.9053629999999995E-2</v>
      </c>
      <c r="U4033">
        <v>-2.7101440000000001</v>
      </c>
      <c r="V4033">
        <v>-0.1278157</v>
      </c>
      <c r="W4033">
        <v>0.1910703</v>
      </c>
      <c r="X4033">
        <v>0.97321899999999995</v>
      </c>
      <c r="Y4033">
        <v>-0.4476176</v>
      </c>
      <c r="Z4033">
        <v>-2.027578E-2</v>
      </c>
      <c r="AA4033">
        <v>0.89399519999999899</v>
      </c>
      <c r="AB4033">
        <v>50</v>
      </c>
      <c r="AC4033">
        <v>-46.571100000000001</v>
      </c>
      <c r="AD4033">
        <v>2.3569599999999999</v>
      </c>
      <c r="AE4033">
        <v>-71.484790000000004</v>
      </c>
      <c r="AF4033">
        <v>-38.357301536031201</v>
      </c>
      <c r="AG4033">
        <v>2.3569599999999999</v>
      </c>
      <c r="AH4033">
        <v>76.135157193462007</v>
      </c>
      <c r="AI4033">
        <v>88.416341967345801</v>
      </c>
      <c r="AJ4033">
        <v>116.739211153263</v>
      </c>
      <c r="AK4033">
        <v>85.284230678600807</v>
      </c>
      <c r="AL4033">
        <v>78.984747368957997</v>
      </c>
      <c r="AM4033">
        <v>97.482001166998103</v>
      </c>
      <c r="AN4033">
        <v>0.99999996733478902</v>
      </c>
    </row>
    <row r="4034" spans="1:40" x14ac:dyDescent="0.25">
      <c r="A4034" t="str">
        <f>"20190303170620037"</f>
        <v>20190303170620037</v>
      </c>
      <c r="B4034" t="str">
        <f>"1551603980029305"</f>
        <v>1551603980029305</v>
      </c>
      <c r="C4034" t="s">
        <v>40</v>
      </c>
      <c r="D4034">
        <v>5.7086100000000002</v>
      </c>
      <c r="E4034">
        <v>0.35891309999999998</v>
      </c>
      <c r="F4034" t="s">
        <v>72</v>
      </c>
      <c r="G4034">
        <v>-452.45420000000001</v>
      </c>
      <c r="H4034">
        <v>3.316004</v>
      </c>
      <c r="I4034">
        <v>64.450009999999907</v>
      </c>
      <c r="J4034">
        <v>-407.61860000000001</v>
      </c>
      <c r="K4034">
        <v>1.1390260000000001</v>
      </c>
      <c r="L4034">
        <v>135.70160000000001</v>
      </c>
      <c r="M4034">
        <v>-0.8572689</v>
      </c>
      <c r="N4034">
        <v>-1.7091220000000001E-2</v>
      </c>
      <c r="O4034">
        <v>-0.51458519999999996</v>
      </c>
      <c r="P4034">
        <v>-0.77576590000000001</v>
      </c>
      <c r="Q4034">
        <v>0.17895659999999999</v>
      </c>
      <c r="R4034">
        <v>-0.60511329999999997</v>
      </c>
      <c r="S4034">
        <v>-1.7335509999999901</v>
      </c>
      <c r="T4034">
        <v>8.3396429999999994E-2</v>
      </c>
      <c r="U4034">
        <v>-2.7384189999999999</v>
      </c>
      <c r="V4034">
        <v>-0.12863550000000001</v>
      </c>
      <c r="W4034">
        <v>0.18977930000000001</v>
      </c>
      <c r="X4034">
        <v>0.9733636</v>
      </c>
      <c r="Y4034">
        <v>-0.44939659999999898</v>
      </c>
      <c r="Z4034">
        <v>-2.0274150000000001E-2</v>
      </c>
      <c r="AA4034">
        <v>0.89310230000000002</v>
      </c>
      <c r="AB4034">
        <v>50</v>
      </c>
      <c r="AC4034">
        <v>-44.835599999999999</v>
      </c>
      <c r="AD4034">
        <v>2.1769780000000001</v>
      </c>
      <c r="AE4034">
        <v>-71.251589999999993</v>
      </c>
      <c r="AF4034">
        <v>-37.990183865556297</v>
      </c>
      <c r="AG4034">
        <v>2.1769780000000001</v>
      </c>
      <c r="AH4034">
        <v>75.061954860745004</v>
      </c>
      <c r="AI4034">
        <v>88.517692670484607</v>
      </c>
      <c r="AJ4034">
        <v>116.844779092368</v>
      </c>
      <c r="AK4034">
        <v>84.156344804582503</v>
      </c>
      <c r="AL4034">
        <v>79.060095163827796</v>
      </c>
      <c r="AM4034">
        <v>97.528335552275806</v>
      </c>
      <c r="AN4034">
        <v>0.99999998618685004</v>
      </c>
    </row>
    <row r="4035" spans="1:40" x14ac:dyDescent="0.25">
      <c r="A4035" t="str">
        <f>"20190303170620058"</f>
        <v>20190303170620058</v>
      </c>
      <c r="B4035" t="str">
        <f>"1551603980048825"</f>
        <v>1551603980048825</v>
      </c>
      <c r="C4035" t="s">
        <v>40</v>
      </c>
      <c r="D4035">
        <v>5.7305359999999999</v>
      </c>
      <c r="E4035">
        <v>0.358294</v>
      </c>
      <c r="F4035" t="s">
        <v>72</v>
      </c>
      <c r="G4035">
        <v>-451.01659999999998</v>
      </c>
      <c r="H4035">
        <v>3.3902139999999998</v>
      </c>
      <c r="I4035">
        <v>64.450009999999907</v>
      </c>
      <c r="J4035">
        <v>-408.03339999999997</v>
      </c>
      <c r="K4035">
        <v>1.1390370000000001</v>
      </c>
      <c r="L4035">
        <v>135.4622</v>
      </c>
      <c r="M4035">
        <v>-0.85003109999999904</v>
      </c>
      <c r="N4035">
        <v>-1.7090689999999999E-2</v>
      </c>
      <c r="O4035">
        <v>-0.52645500000000001</v>
      </c>
      <c r="P4035">
        <v>-0.76708219999999905</v>
      </c>
      <c r="Q4035">
        <v>0.1796837</v>
      </c>
      <c r="R4035">
        <v>-0.61587239999999999</v>
      </c>
      <c r="S4035">
        <v>-1.686798</v>
      </c>
      <c r="T4035">
        <v>8.7499980000000005E-2</v>
      </c>
      <c r="U4035">
        <v>-2.769409</v>
      </c>
      <c r="V4035">
        <v>-0.1288067</v>
      </c>
      <c r="W4035">
        <v>0.1904913</v>
      </c>
      <c r="X4035">
        <v>0.97320189999999995</v>
      </c>
      <c r="Y4035">
        <v>-0.45243519999999998</v>
      </c>
      <c r="Z4035">
        <v>-2.1187669999999999E-2</v>
      </c>
      <c r="AA4035">
        <v>0.89154560000000005</v>
      </c>
      <c r="AB4035">
        <v>50</v>
      </c>
      <c r="AC4035">
        <v>-42.983199999999997</v>
      </c>
      <c r="AD4035">
        <v>2.2511770000000002</v>
      </c>
      <c r="AE4035">
        <v>-71.012190000000004</v>
      </c>
      <c r="AF4035">
        <v>-37.7116278584095</v>
      </c>
      <c r="AG4035">
        <v>2.2511770000000002</v>
      </c>
      <c r="AH4035">
        <v>73.878246530741606</v>
      </c>
      <c r="AI4035">
        <v>88.445372519177496</v>
      </c>
      <c r="AJ4035">
        <v>117.042332435258</v>
      </c>
      <c r="AK4035">
        <v>82.977285952684298</v>
      </c>
      <c r="AL4035">
        <v>79.018542933525396</v>
      </c>
      <c r="AM4035">
        <v>97.539477898436104</v>
      </c>
      <c r="AN4035">
        <v>1.00000001975209</v>
      </c>
    </row>
    <row r="4036" spans="1:40" x14ac:dyDescent="0.25">
      <c r="A4036" t="str">
        <f>"20190303170620082"</f>
        <v>20190303170620082</v>
      </c>
      <c r="B4036" t="str">
        <f>"1551603980069321"</f>
        <v>1551603980069321</v>
      </c>
      <c r="C4036" t="s">
        <v>40</v>
      </c>
      <c r="D4036">
        <v>5.8486200000000004</v>
      </c>
      <c r="E4036">
        <v>0.35817739999999998</v>
      </c>
      <c r="F4036" t="s">
        <v>72</v>
      </c>
      <c r="G4036">
        <v>-449.79399999999998</v>
      </c>
      <c r="H4036">
        <v>3.5758510000000001</v>
      </c>
      <c r="I4036">
        <v>64.450009999999907</v>
      </c>
      <c r="J4036">
        <v>-408.46140000000003</v>
      </c>
      <c r="K4036">
        <v>1.1390480000000001</v>
      </c>
      <c r="L4036">
        <v>135.2071</v>
      </c>
      <c r="M4036">
        <v>-0.84234589999999998</v>
      </c>
      <c r="N4036">
        <v>-1.7089879999999998E-2</v>
      </c>
      <c r="O4036">
        <v>-0.53866630000000004</v>
      </c>
      <c r="P4036">
        <v>-0.75843509999999903</v>
      </c>
      <c r="Q4036">
        <v>0.18006820000000001</v>
      </c>
      <c r="R4036">
        <v>-0.62638000000000005</v>
      </c>
      <c r="S4036">
        <v>-1.6439820000000001</v>
      </c>
      <c r="T4036">
        <v>9.5930100000000004E-2</v>
      </c>
      <c r="U4036">
        <v>-2.7955169999999998</v>
      </c>
      <c r="V4036">
        <v>-0.12823999999999999</v>
      </c>
      <c r="W4036">
        <v>0.1908986</v>
      </c>
      <c r="X4036">
        <v>0.97319690000000003</v>
      </c>
      <c r="Y4036">
        <v>-0.45338250000000002</v>
      </c>
      <c r="Z4036">
        <v>-2.2611429999999998E-2</v>
      </c>
      <c r="AA4036">
        <v>0.89102919999999997</v>
      </c>
      <c r="AB4036">
        <v>50</v>
      </c>
      <c r="AC4036">
        <v>-41.332599999999999</v>
      </c>
      <c r="AD4036">
        <v>2.4368029999999998</v>
      </c>
      <c r="AE4036">
        <v>-70.757090000000005</v>
      </c>
      <c r="AF4036">
        <v>-37.309925397588003</v>
      </c>
      <c r="AG4036">
        <v>2.4368029999999998</v>
      </c>
      <c r="AH4036">
        <v>72.877011405981506</v>
      </c>
      <c r="AI4036">
        <v>88.295184609899493</v>
      </c>
      <c r="AJ4036">
        <v>117.110512615895</v>
      </c>
      <c r="AK4036">
        <v>81.908652372639807</v>
      </c>
      <c r="AL4036">
        <v>78.994769780358297</v>
      </c>
      <c r="AM4036">
        <v>97.506724329872696</v>
      </c>
      <c r="AN4036">
        <v>0.99999998962578496</v>
      </c>
    </row>
    <row r="4037" spans="1:40" x14ac:dyDescent="0.25">
      <c r="A4037" t="str">
        <f>"20190303170620105"</f>
        <v>20190303170620105</v>
      </c>
      <c r="B4037" t="str">
        <f>"1551603980098601"</f>
        <v>1551603980098601</v>
      </c>
      <c r="C4037" t="s">
        <v>40</v>
      </c>
      <c r="D4037">
        <v>5.7807029999999999</v>
      </c>
      <c r="E4037">
        <v>0.35862460000000002</v>
      </c>
      <c r="F4037" t="s">
        <v>72</v>
      </c>
      <c r="G4037">
        <v>-448.71640000000002</v>
      </c>
      <c r="H4037">
        <v>3.7335919999999998</v>
      </c>
      <c r="I4037">
        <v>64.450009999999907</v>
      </c>
      <c r="J4037">
        <v>-408.89389999999997</v>
      </c>
      <c r="K4037">
        <v>1.1390499999999999</v>
      </c>
      <c r="L4037">
        <v>134.94040000000001</v>
      </c>
      <c r="M4037">
        <v>-0.834345</v>
      </c>
      <c r="N4037">
        <v>-1.708873E-2</v>
      </c>
      <c r="O4037">
        <v>-0.55097790000000002</v>
      </c>
      <c r="P4037">
        <v>-0.74959799999999999</v>
      </c>
      <c r="Q4037">
        <v>0.17904400000000001</v>
      </c>
      <c r="R4037">
        <v>-0.63721759999999905</v>
      </c>
      <c r="S4037">
        <v>-1.603394</v>
      </c>
      <c r="T4037">
        <v>0.1033435</v>
      </c>
      <c r="U4037">
        <v>-2.818314</v>
      </c>
      <c r="V4037">
        <v>-0.12775710000000001</v>
      </c>
      <c r="W4037">
        <v>0.18989729999999999</v>
      </c>
      <c r="X4037">
        <v>0.97345630000000005</v>
      </c>
      <c r="Y4037">
        <v>-0.45311190000000001</v>
      </c>
      <c r="Z4037">
        <v>-2.4013739999999999E-2</v>
      </c>
      <c r="AA4037">
        <v>0.89113009999999904</v>
      </c>
      <c r="AB4037">
        <v>50</v>
      </c>
      <c r="AC4037">
        <v>-39.822499999999998</v>
      </c>
      <c r="AD4037">
        <v>2.5945420000000001</v>
      </c>
      <c r="AE4037">
        <v>-70.490390000000005</v>
      </c>
      <c r="AF4037">
        <v>-36.839533469398901</v>
      </c>
      <c r="AG4037">
        <v>2.5945420000000001</v>
      </c>
      <c r="AH4037">
        <v>72.000922061121699</v>
      </c>
      <c r="AI4037">
        <v>88.162603335180194</v>
      </c>
      <c r="AJ4037">
        <v>117.096720756354</v>
      </c>
      <c r="AK4037">
        <v>80.919810010185103</v>
      </c>
      <c r="AL4037">
        <v>79.053209354766395</v>
      </c>
      <c r="AM4037">
        <v>97.476807275692394</v>
      </c>
      <c r="AN4037">
        <v>1.00000001457869</v>
      </c>
    </row>
    <row r="4038" spans="1:40" x14ac:dyDescent="0.25">
      <c r="A4038" t="str">
        <f>"20190303170620126"</f>
        <v>20190303170620126</v>
      </c>
      <c r="B4038" t="str">
        <f>"1551603980119097"</f>
        <v>1551603980119097</v>
      </c>
      <c r="C4038" t="s">
        <v>40</v>
      </c>
      <c r="D4038">
        <v>5.8393050000000004</v>
      </c>
      <c r="E4038">
        <v>0.35920410000000003</v>
      </c>
      <c r="F4038" t="s">
        <v>72</v>
      </c>
      <c r="G4038">
        <v>-447.7482</v>
      </c>
      <c r="H4038">
        <v>3.8250150000000001</v>
      </c>
      <c r="I4038">
        <v>64.450009999999907</v>
      </c>
      <c r="J4038">
        <v>-409.30189999999999</v>
      </c>
      <c r="K4038">
        <v>1.139041</v>
      </c>
      <c r="L4038">
        <v>134.6799</v>
      </c>
      <c r="M4038">
        <v>-0.82656890000000005</v>
      </c>
      <c r="N4038">
        <v>-1.7086710000000001E-2</v>
      </c>
      <c r="O4038">
        <v>-0.56257639999999998</v>
      </c>
      <c r="P4038">
        <v>-0.74034549999999999</v>
      </c>
      <c r="Q4038">
        <v>0.17770659999999999</v>
      </c>
      <c r="R4038">
        <v>-0.64831269999999996</v>
      </c>
      <c r="S4038">
        <v>-1.564117</v>
      </c>
      <c r="T4038">
        <v>0.108126399999999</v>
      </c>
      <c r="U4038">
        <v>-2.8376459999999999</v>
      </c>
      <c r="V4038">
        <v>-0.12842010000000001</v>
      </c>
      <c r="W4038">
        <v>0.18852769999999999</v>
      </c>
      <c r="X4038">
        <v>0.97363529999999998</v>
      </c>
      <c r="Y4038">
        <v>-0.45270120000000003</v>
      </c>
      <c r="Z4038">
        <v>-2.5156040000000001E-2</v>
      </c>
      <c r="AA4038">
        <v>0.89130739999999997</v>
      </c>
      <c r="AB4038">
        <v>50</v>
      </c>
      <c r="AC4038">
        <v>-38.446300000000001</v>
      </c>
      <c r="AD4038">
        <v>2.6859739999999999</v>
      </c>
      <c r="AE4038">
        <v>-70.229889999999997</v>
      </c>
      <c r="AF4038">
        <v>-36.385224762301497</v>
      </c>
      <c r="AG4038">
        <v>2.6859739999999999</v>
      </c>
      <c r="AH4038">
        <v>71.218440457559097</v>
      </c>
      <c r="AI4038">
        <v>88.0764270233486</v>
      </c>
      <c r="AJ4038">
        <v>117.062312610799</v>
      </c>
      <c r="AK4038">
        <v>80.019780670399101</v>
      </c>
      <c r="AL4038">
        <v>79.133125709832001</v>
      </c>
      <c r="AM4038">
        <v>97.513800205603104</v>
      </c>
      <c r="AN4038">
        <v>1.00000005657869</v>
      </c>
    </row>
    <row r="4039" spans="1:40" x14ac:dyDescent="0.25">
      <c r="A4039" t="str">
        <f>"20190303170620148"</f>
        <v>20190303170620148</v>
      </c>
      <c r="B4039" t="str">
        <f>"1551603980138617"</f>
        <v>1551603980138617</v>
      </c>
      <c r="C4039" t="s">
        <v>40</v>
      </c>
      <c r="D4039">
        <v>5.8651980000000004</v>
      </c>
      <c r="E4039">
        <v>0.35984319999999997</v>
      </c>
      <c r="F4039" t="s">
        <v>72</v>
      </c>
      <c r="G4039">
        <v>-446.81079999999997</v>
      </c>
      <c r="H4039">
        <v>3.7432880000000002</v>
      </c>
      <c r="I4039">
        <v>64.450009999999907</v>
      </c>
      <c r="J4039">
        <v>-409.69510000000002</v>
      </c>
      <c r="K4039">
        <v>1.139046</v>
      </c>
      <c r="L4039">
        <v>134.4211</v>
      </c>
      <c r="M4039">
        <v>-0.8188607</v>
      </c>
      <c r="N4039">
        <v>-1.7083910000000001E-2</v>
      </c>
      <c r="O4039">
        <v>-0.57373819999999998</v>
      </c>
      <c r="P4039">
        <v>-0.73076269999999999</v>
      </c>
      <c r="Q4039">
        <v>0.1777995</v>
      </c>
      <c r="R4039">
        <v>-0.6590703</v>
      </c>
      <c r="S4039">
        <v>-1.5255129999999999</v>
      </c>
      <c r="T4039">
        <v>0.105917</v>
      </c>
      <c r="U4039">
        <v>-2.856293</v>
      </c>
      <c r="V4039">
        <v>-0.12946679999999999</v>
      </c>
      <c r="W4039">
        <v>0.1885675</v>
      </c>
      <c r="X4039">
        <v>0.97348889999999999</v>
      </c>
      <c r="Y4039">
        <v>-0.45238669999999997</v>
      </c>
      <c r="Z4039">
        <v>-2.5499770000000001E-2</v>
      </c>
      <c r="AA4039">
        <v>0.89145730000000001</v>
      </c>
      <c r="AB4039">
        <v>50</v>
      </c>
      <c r="AC4039">
        <v>-37.115699999999897</v>
      </c>
      <c r="AD4039">
        <v>2.6042420000000002</v>
      </c>
      <c r="AE4039">
        <v>-69.971090000000004</v>
      </c>
      <c r="AF4039">
        <v>-35.968247700625199</v>
      </c>
      <c r="AG4039">
        <v>2.6042420000000002</v>
      </c>
      <c r="AH4039">
        <v>70.471778682806004</v>
      </c>
      <c r="AI4039">
        <v>88.114786633471198</v>
      </c>
      <c r="AJ4039">
        <v>117.03941278702101</v>
      </c>
      <c r="AK4039">
        <v>79.162923832855597</v>
      </c>
      <c r="AL4039">
        <v>79.130803028164394</v>
      </c>
      <c r="AM4039">
        <v>97.575459787061703</v>
      </c>
      <c r="AN4039">
        <v>0.99999999639085002</v>
      </c>
    </row>
    <row r="4040" spans="1:40" x14ac:dyDescent="0.25">
      <c r="A4040" t="str">
        <f>"20190303170620170"</f>
        <v>20190303170620170</v>
      </c>
      <c r="B4040" t="str">
        <f>"1551603980159113"</f>
        <v>1551603980159113</v>
      </c>
      <c r="C4040" t="s">
        <v>40</v>
      </c>
      <c r="D4040">
        <v>5.8066259999999996</v>
      </c>
      <c r="E4040">
        <v>0.36067379999999999</v>
      </c>
      <c r="F4040" t="s">
        <v>72</v>
      </c>
      <c r="G4040">
        <v>-445.89550000000003</v>
      </c>
      <c r="H4040">
        <v>3.698191</v>
      </c>
      <c r="I4040">
        <v>64.450009999999907</v>
      </c>
      <c r="J4040">
        <v>-410.10169999999999</v>
      </c>
      <c r="K4040">
        <v>1.1390469999999999</v>
      </c>
      <c r="L4040">
        <v>134.14510000000001</v>
      </c>
      <c r="M4040">
        <v>-0.81066159999999998</v>
      </c>
      <c r="N4040">
        <v>-1.7080250000000002E-2</v>
      </c>
      <c r="O4040">
        <v>-0.585265699999999</v>
      </c>
      <c r="P4040">
        <v>-0.72107310000000002</v>
      </c>
      <c r="Q4040">
        <v>0.1795107</v>
      </c>
      <c r="R4040">
        <v>-0.66920049999999998</v>
      </c>
      <c r="S4040">
        <v>-1.4871829999999999</v>
      </c>
      <c r="T4040">
        <v>0.1051351</v>
      </c>
      <c r="U4040">
        <v>-2.8745419999999999</v>
      </c>
      <c r="V4040">
        <v>-0.12959849999999901</v>
      </c>
      <c r="W4040">
        <v>0.19026850000000001</v>
      </c>
      <c r="X4040">
        <v>0.97314040000000002</v>
      </c>
      <c r="Y4040">
        <v>-0.45145299999999999</v>
      </c>
      <c r="Z4040">
        <v>-2.6020379999999999E-2</v>
      </c>
      <c r="AA4040">
        <v>0.89191540000000002</v>
      </c>
      <c r="AB4040">
        <v>49</v>
      </c>
      <c r="AC4040">
        <v>-35.793799999999997</v>
      </c>
      <c r="AD4040">
        <v>2.5591439999999999</v>
      </c>
      <c r="AE4040">
        <v>-69.695089999999993</v>
      </c>
      <c r="AF4040">
        <v>-35.517544877593302</v>
      </c>
      <c r="AG4040">
        <v>2.5591439999999999</v>
      </c>
      <c r="AH4040">
        <v>69.742585200967298</v>
      </c>
      <c r="AI4040">
        <v>88.127201639738999</v>
      </c>
      <c r="AJ4040">
        <v>116.988208665684</v>
      </c>
      <c r="AK4040">
        <v>78.307556485046703</v>
      </c>
      <c r="AL4040">
        <v>79.0315466565592</v>
      </c>
      <c r="AM4040">
        <v>97.585760312834196</v>
      </c>
      <c r="AN4040">
        <v>1.00000005570332</v>
      </c>
    </row>
    <row r="4041" spans="1:40" x14ac:dyDescent="0.25">
      <c r="A4041" t="str">
        <f>"20190303170620193"</f>
        <v>20190303170620193</v>
      </c>
      <c r="B4041" t="str">
        <f>"1551603980178634"</f>
        <v>1551603980178634</v>
      </c>
      <c r="C4041" t="s">
        <v>40</v>
      </c>
      <c r="D4041">
        <v>5.8142870000000002</v>
      </c>
      <c r="E4041">
        <v>0.36154760000000002</v>
      </c>
      <c r="F4041" t="s">
        <v>72</v>
      </c>
      <c r="G4041">
        <v>-444.4504</v>
      </c>
      <c r="H4041">
        <v>3.7179129999999998</v>
      </c>
      <c r="I4041">
        <v>65.675449999999998</v>
      </c>
      <c r="J4041">
        <v>-410.49900000000002</v>
      </c>
      <c r="K4041">
        <v>1.1390389999999999</v>
      </c>
      <c r="L4041">
        <v>133.86689999999999</v>
      </c>
      <c r="M4041">
        <v>-0.80241130000000005</v>
      </c>
      <c r="N4041">
        <v>-1.707637E-2</v>
      </c>
      <c r="O4041">
        <v>-0.59652720000000004</v>
      </c>
      <c r="P4041">
        <v>-0.71141239999999994</v>
      </c>
      <c r="Q4041">
        <v>0.1801161</v>
      </c>
      <c r="R4041">
        <v>-0.67930199999999996</v>
      </c>
      <c r="S4041">
        <v>-1.4503170000000001</v>
      </c>
      <c r="T4041">
        <v>0.1088886</v>
      </c>
      <c r="U4041">
        <v>-2.891006</v>
      </c>
      <c r="V4041">
        <v>-0.12984689999999999</v>
      </c>
      <c r="W4041">
        <v>0.19086020000000001</v>
      </c>
      <c r="X4041">
        <v>0.9729913</v>
      </c>
      <c r="Y4041">
        <v>-0.45012730000000001</v>
      </c>
      <c r="Z4041">
        <v>-2.7093510000000001E-2</v>
      </c>
      <c r="AA4041">
        <v>0.89255329999999999</v>
      </c>
      <c r="AB4041">
        <v>49</v>
      </c>
      <c r="AC4041">
        <v>-33.9513999999999</v>
      </c>
      <c r="AD4041">
        <v>2.5788739999999999</v>
      </c>
      <c r="AE4041">
        <v>-68.191449999999904</v>
      </c>
      <c r="AF4041">
        <v>-34.430218474897003</v>
      </c>
      <c r="AG4041">
        <v>2.5788739999999999</v>
      </c>
      <c r="AH4041">
        <v>67.853173253509993</v>
      </c>
      <c r="AI4041">
        <v>88.058817920286899</v>
      </c>
      <c r="AJ4041">
        <v>116.90425682873401</v>
      </c>
      <c r="AK4041">
        <v>76.132408709483599</v>
      </c>
      <c r="AL4041">
        <v>78.997010725967499</v>
      </c>
      <c r="AM4041">
        <v>97.601281080150599</v>
      </c>
      <c r="AN4041">
        <v>0.99999995162966804</v>
      </c>
    </row>
    <row r="4042" spans="1:40" x14ac:dyDescent="0.25">
      <c r="A4042" t="str">
        <f>"20190303170620215"</f>
        <v>20190303170620215</v>
      </c>
      <c r="B4042" t="str">
        <f>"1551603980208889"</f>
        <v>1551603980208889</v>
      </c>
      <c r="C4042" t="s">
        <v>40</v>
      </c>
      <c r="D4042">
        <v>5.8337430000000001</v>
      </c>
      <c r="E4042">
        <v>0.36307020000000001</v>
      </c>
      <c r="F4042" t="s">
        <v>72</v>
      </c>
      <c r="G4042">
        <v>-443.66390000000001</v>
      </c>
      <c r="H4042">
        <v>3.7123110000000001</v>
      </c>
      <c r="I4042">
        <v>65.675449999999998</v>
      </c>
      <c r="J4042">
        <v>-410.89920000000001</v>
      </c>
      <c r="K4042">
        <v>1.139016</v>
      </c>
      <c r="L4042">
        <v>133.5779</v>
      </c>
      <c r="M4042">
        <v>-0.7938558</v>
      </c>
      <c r="N4042">
        <v>-1.7072569999999999E-2</v>
      </c>
      <c r="O4042">
        <v>-0.60786619999999902</v>
      </c>
      <c r="P4042">
        <v>-0.70143990000000001</v>
      </c>
      <c r="Q4042">
        <v>0.18040829999999999</v>
      </c>
      <c r="R4042">
        <v>-0.68951759999999995</v>
      </c>
      <c r="S4042">
        <v>-1.4136959999999901</v>
      </c>
      <c r="T4042">
        <v>0.1096895</v>
      </c>
      <c r="U4042">
        <v>-2.9067379999999998</v>
      </c>
      <c r="V4042">
        <v>-0.1301455</v>
      </c>
      <c r="W4042">
        <v>0.19113830000000001</v>
      </c>
      <c r="X4042">
        <v>0.97289689999999995</v>
      </c>
      <c r="Y4042">
        <v>-0.44843559999999999</v>
      </c>
      <c r="Z4042">
        <v>-2.782546E-2</v>
      </c>
      <c r="AA4042">
        <v>0.89338189999999995</v>
      </c>
      <c r="AB4042">
        <v>49</v>
      </c>
      <c r="AC4042">
        <v>-32.764699999999998</v>
      </c>
      <c r="AD4042">
        <v>2.5732949999999999</v>
      </c>
      <c r="AE4042">
        <v>-67.902450000000002</v>
      </c>
      <c r="AF4042">
        <v>-33.9536035217604</v>
      </c>
      <c r="AG4042">
        <v>2.5732949999999999</v>
      </c>
      <c r="AH4042">
        <v>67.2175609643092</v>
      </c>
      <c r="AI4042">
        <v>88.042906348016601</v>
      </c>
      <c r="AJ4042">
        <v>116.799708151072</v>
      </c>
      <c r="AK4042">
        <v>75.350312151049195</v>
      </c>
      <c r="AL4042">
        <v>78.980778905911905</v>
      </c>
      <c r="AM4042">
        <v>97.619286684894803</v>
      </c>
      <c r="AN4042">
        <v>1.0000000394633699</v>
      </c>
    </row>
    <row r="4043" spans="1:40" x14ac:dyDescent="0.25">
      <c r="A4043" t="str">
        <f>"20190303170620239"</f>
        <v>20190303170620239</v>
      </c>
      <c r="B4043" t="str">
        <f>"1551603980229387"</f>
        <v>1551603980229387</v>
      </c>
      <c r="C4043" t="s">
        <v>40</v>
      </c>
      <c r="D4043">
        <v>5.847601</v>
      </c>
      <c r="E4043">
        <v>0.3636123</v>
      </c>
      <c r="F4043" t="s">
        <v>72</v>
      </c>
      <c r="G4043">
        <v>-442.98930000000001</v>
      </c>
      <c r="H4043">
        <v>3.6217570000000001</v>
      </c>
      <c r="I4043">
        <v>65.675449999999998</v>
      </c>
      <c r="J4043">
        <v>-411.2962</v>
      </c>
      <c r="K4043">
        <v>1.138992</v>
      </c>
      <c r="L4043">
        <v>133.2824</v>
      </c>
      <c r="M4043">
        <v>-0.78511149999999996</v>
      </c>
      <c r="N4043">
        <v>-1.706916E-2</v>
      </c>
      <c r="O4043">
        <v>-0.61911930000000004</v>
      </c>
      <c r="P4043">
        <v>-0.69121630000000001</v>
      </c>
      <c r="Q4043">
        <v>0.18024229999999999</v>
      </c>
      <c r="R4043">
        <v>-0.69980929999999997</v>
      </c>
      <c r="S4043">
        <v>-1.3796999999999999</v>
      </c>
      <c r="T4043">
        <v>0.10674500000000001</v>
      </c>
      <c r="U4043">
        <v>-2.9194339999999999</v>
      </c>
      <c r="V4043">
        <v>-0.13061420000000001</v>
      </c>
      <c r="W4043">
        <v>0.19095239999999999</v>
      </c>
      <c r="X4043">
        <v>0.97287049999999997</v>
      </c>
      <c r="Y4043">
        <v>-0.44568409999999897</v>
      </c>
      <c r="Z4043">
        <v>-2.8072159999999999E-2</v>
      </c>
      <c r="AA4043">
        <v>0.89475009999999999</v>
      </c>
      <c r="AB4043">
        <v>49</v>
      </c>
      <c r="AC4043">
        <v>-31.693100000000001</v>
      </c>
      <c r="AD4043">
        <v>2.4827650000000001</v>
      </c>
      <c r="AE4043">
        <v>-67.606949999999998</v>
      </c>
      <c r="AF4043">
        <v>-33.425100693191297</v>
      </c>
      <c r="AG4043">
        <v>2.4827650000000001</v>
      </c>
      <c r="AH4043">
        <v>66.675385947946495</v>
      </c>
      <c r="AI4043">
        <v>88.093444493639495</v>
      </c>
      <c r="AJ4043">
        <v>116.62510892399401</v>
      </c>
      <c r="AK4043">
        <v>74.625790245081006</v>
      </c>
      <c r="AL4043">
        <v>78.991629048085997</v>
      </c>
      <c r="AM4043">
        <v>97.646607396694705</v>
      </c>
      <c r="AN4043">
        <v>0.99999994903882305</v>
      </c>
    </row>
    <row r="4044" spans="1:40" x14ac:dyDescent="0.25">
      <c r="A4044" t="str">
        <f>"20190303170620259"</f>
        <v>20190303170620259</v>
      </c>
      <c r="B4044" t="str">
        <f>"1551603980248906"</f>
        <v>1551603980248906</v>
      </c>
      <c r="C4044" t="s">
        <v>40</v>
      </c>
      <c r="D4044">
        <v>5.8729079999999998</v>
      </c>
      <c r="E4044">
        <v>0.38490200000000002</v>
      </c>
      <c r="F4044" t="s">
        <v>72</v>
      </c>
      <c r="G4044">
        <v>-442.1311</v>
      </c>
      <c r="H4044">
        <v>3.5598079999999999</v>
      </c>
      <c r="I4044">
        <v>65.675449999999998</v>
      </c>
      <c r="J4044">
        <v>-411.66449999999998</v>
      </c>
      <c r="K4044">
        <v>1.1389689999999999</v>
      </c>
      <c r="L4044">
        <v>132.99979999999999</v>
      </c>
      <c r="M4044">
        <v>-0.77675569999999905</v>
      </c>
      <c r="N4044">
        <v>-1.706647E-2</v>
      </c>
      <c r="O4044">
        <v>-0.62957099999999999</v>
      </c>
      <c r="P4044">
        <v>-0.68168499999999999</v>
      </c>
      <c r="Q4044">
        <v>0.1805243</v>
      </c>
      <c r="R4044">
        <v>-0.70902540000000003</v>
      </c>
      <c r="S4044">
        <v>-1.3394170000000001</v>
      </c>
      <c r="T4044">
        <v>0.10515670000000001</v>
      </c>
      <c r="U4044">
        <v>-2.9367220000000001</v>
      </c>
      <c r="V4044">
        <v>-0.1307043</v>
      </c>
      <c r="W4044">
        <v>0.19123319999999999</v>
      </c>
      <c r="X4044">
        <v>0.97280330000000004</v>
      </c>
      <c r="Y4044">
        <v>-0.44584669999999998</v>
      </c>
      <c r="Z4044">
        <v>-2.84102E-2</v>
      </c>
      <c r="AA4044">
        <v>0.89465839999999996</v>
      </c>
      <c r="AB4044">
        <v>49</v>
      </c>
      <c r="AC4044">
        <v>-30.4666</v>
      </c>
      <c r="AD4044">
        <v>2.420839</v>
      </c>
      <c r="AE4044">
        <v>-67.324349999999995</v>
      </c>
      <c r="AF4044">
        <v>-33.0829984829642</v>
      </c>
      <c r="AG4044">
        <v>2.420839</v>
      </c>
      <c r="AH4044">
        <v>65.989354809319195</v>
      </c>
      <c r="AI4044">
        <v>88.121672414248494</v>
      </c>
      <c r="AJ4044">
        <v>116.62636670755801</v>
      </c>
      <c r="AK4044">
        <v>73.857566966682299</v>
      </c>
      <c r="AL4044">
        <v>78.975238975986997</v>
      </c>
      <c r="AM4044">
        <v>97.6523420031385</v>
      </c>
      <c r="AN4044">
        <v>1.00000000565581</v>
      </c>
    </row>
    <row r="4045" spans="1:40" x14ac:dyDescent="0.25">
      <c r="A4045" t="str">
        <f>"20190303170620282"</f>
        <v>20190303170620282</v>
      </c>
      <c r="B4045" t="str">
        <f>"1551603980269402"</f>
        <v>1551603980269402</v>
      </c>
      <c r="C4045" t="s">
        <v>40</v>
      </c>
      <c r="D4045">
        <v>5.8589690000000001</v>
      </c>
      <c r="E4045">
        <v>0.38588699999999998</v>
      </c>
      <c r="F4045" t="s">
        <v>72</v>
      </c>
      <c r="G4045">
        <v>-446.04730000000001</v>
      </c>
      <c r="H4045">
        <v>1.8802460000000001</v>
      </c>
      <c r="I4045">
        <v>64.450009999999907</v>
      </c>
      <c r="J4045">
        <v>-412.04849999999999</v>
      </c>
      <c r="K4045">
        <v>1.138952</v>
      </c>
      <c r="L4045">
        <v>132.69669999999999</v>
      </c>
      <c r="M4045">
        <v>-0.76778539999999995</v>
      </c>
      <c r="N4045">
        <v>-1.706417E-2</v>
      </c>
      <c r="O4045">
        <v>-0.64047980000000004</v>
      </c>
      <c r="P4045">
        <v>-0.67139389999999999</v>
      </c>
      <c r="Q4045">
        <v>0.1805688</v>
      </c>
      <c r="R4045">
        <v>-0.71876649999999997</v>
      </c>
      <c r="S4045">
        <v>-1.429138</v>
      </c>
      <c r="T4045">
        <v>3.0812260000000001E-2</v>
      </c>
      <c r="U4045">
        <v>-2.8493040000000001</v>
      </c>
      <c r="V4045">
        <v>-0.13096820000000001</v>
      </c>
      <c r="W4045">
        <v>0.1912702</v>
      </c>
      <c r="X4045">
        <v>0.97276050000000003</v>
      </c>
      <c r="Y4045">
        <v>-0.39929320000000001</v>
      </c>
      <c r="Z4045">
        <v>-1.830435E-2</v>
      </c>
      <c r="AA4045">
        <v>0.91664049999999997</v>
      </c>
      <c r="AB4045">
        <v>49</v>
      </c>
      <c r="AC4045">
        <v>-33.998800000000003</v>
      </c>
      <c r="AD4045">
        <v>0.74129399999999901</v>
      </c>
      <c r="AE4045">
        <v>-68.246690000000001</v>
      </c>
      <c r="AF4045">
        <v>-30.624832584454499</v>
      </c>
      <c r="AG4045">
        <v>0.74129399999999901</v>
      </c>
      <c r="AH4045">
        <v>69.817976544647493</v>
      </c>
      <c r="AI4045">
        <v>89.442916166327393</v>
      </c>
      <c r="AJ4045">
        <v>113.684092595126</v>
      </c>
      <c r="AK4045">
        <v>76.242899580283904</v>
      </c>
      <c r="AL4045">
        <v>78.973078817394395</v>
      </c>
      <c r="AM4045">
        <v>97.667942271228199</v>
      </c>
      <c r="AN4045">
        <v>0.99999997458976397</v>
      </c>
    </row>
    <row r="4046" spans="1:40" x14ac:dyDescent="0.25">
      <c r="A4046" t="str">
        <f>"20190303170620306"</f>
        <v>20190303170620306</v>
      </c>
      <c r="B4046" t="str">
        <f>"1551603980298682"</f>
        <v>1551603980298682</v>
      </c>
      <c r="C4046" t="s">
        <v>40</v>
      </c>
      <c r="D4046">
        <v>5.8901260000000004</v>
      </c>
      <c r="E4046">
        <v>0.38665939999999999</v>
      </c>
      <c r="F4046" t="s">
        <v>72</v>
      </c>
      <c r="G4046">
        <v>-444.6585</v>
      </c>
      <c r="H4046">
        <v>1.785771</v>
      </c>
      <c r="I4046">
        <v>65.675449999999998</v>
      </c>
      <c r="J4046">
        <v>-412.43779999999998</v>
      </c>
      <c r="K4046">
        <v>1.138938</v>
      </c>
      <c r="L4046">
        <v>132.37889999999999</v>
      </c>
      <c r="M4046">
        <v>-0.75838729999999999</v>
      </c>
      <c r="N4046">
        <v>-1.706241E-2</v>
      </c>
      <c r="O4046">
        <v>-0.65158079999999996</v>
      </c>
      <c r="P4046">
        <v>-0.66041629999999996</v>
      </c>
      <c r="Q4046">
        <v>0.1800358</v>
      </c>
      <c r="R4046">
        <v>-0.72899769999999997</v>
      </c>
      <c r="S4046">
        <v>-1.393921</v>
      </c>
      <c r="T4046">
        <v>2.764904E-2</v>
      </c>
      <c r="U4046">
        <v>-2.8648220000000002</v>
      </c>
      <c r="V4046">
        <v>-0.131633</v>
      </c>
      <c r="W4046">
        <v>0.19071270000000001</v>
      </c>
      <c r="X4046">
        <v>0.97278019999999998</v>
      </c>
      <c r="Y4046">
        <v>-0.39700530000000001</v>
      </c>
      <c r="Z4046">
        <v>-1.8089560000000001E-2</v>
      </c>
      <c r="AA4046">
        <v>0.91763810000000001</v>
      </c>
      <c r="AB4046">
        <v>49</v>
      </c>
      <c r="AC4046">
        <v>-32.220700000000001</v>
      </c>
      <c r="AD4046">
        <v>0.64683299999999999</v>
      </c>
      <c r="AE4046">
        <v>-66.703449999999904</v>
      </c>
      <c r="AF4046">
        <v>-29.594712536284199</v>
      </c>
      <c r="AG4046">
        <v>0.64683299999999999</v>
      </c>
      <c r="AH4046">
        <v>67.903166716420799</v>
      </c>
      <c r="AI4046">
        <v>89.499679074875601</v>
      </c>
      <c r="AJ4046">
        <v>113.54935381971001</v>
      </c>
      <c r="AK4046">
        <v>74.074998840048806</v>
      </c>
      <c r="AL4046">
        <v>79.005619964149503</v>
      </c>
      <c r="AM4046">
        <v>97.706244299251694</v>
      </c>
      <c r="AN4046">
        <v>0.99999994907116296</v>
      </c>
    </row>
    <row r="4047" spans="1:40" x14ac:dyDescent="0.25">
      <c r="A4047" t="str">
        <f>"20190303170620327"</f>
        <v>20190303170620327</v>
      </c>
      <c r="B4047" t="str">
        <f>"1551603980319178"</f>
        <v>1551603980319178</v>
      </c>
      <c r="C4047" t="s">
        <v>40</v>
      </c>
      <c r="D4047">
        <v>5.8852989999999998</v>
      </c>
      <c r="E4047">
        <v>0.38716060000000002</v>
      </c>
      <c r="F4047" t="s">
        <v>72</v>
      </c>
      <c r="G4047">
        <v>-443.78460000000001</v>
      </c>
      <c r="H4047">
        <v>1.6484019999999999</v>
      </c>
      <c r="I4047">
        <v>65.675449999999998</v>
      </c>
      <c r="J4047">
        <v>-412.80009999999999</v>
      </c>
      <c r="K4047">
        <v>1.1389119999999999</v>
      </c>
      <c r="L4047">
        <v>132.0744</v>
      </c>
      <c r="M4047">
        <v>-0.74936590000000003</v>
      </c>
      <c r="N4047">
        <v>-1.70615E-2</v>
      </c>
      <c r="O4047">
        <v>-0.66193630000000003</v>
      </c>
      <c r="P4047">
        <v>-0.64971979999999996</v>
      </c>
      <c r="Q4047">
        <v>0.179558299999999</v>
      </c>
      <c r="R4047">
        <v>-0.73866290000000001</v>
      </c>
      <c r="S4047">
        <v>-1.3546450000000001</v>
      </c>
      <c r="T4047">
        <v>2.2017120000000001E-2</v>
      </c>
      <c r="U4047">
        <v>-2.882568</v>
      </c>
      <c r="V4047">
        <v>-0.1325036</v>
      </c>
      <c r="W4047">
        <v>0.1902015</v>
      </c>
      <c r="X4047">
        <v>0.97276209999999996</v>
      </c>
      <c r="Y4047">
        <v>-0.3967946</v>
      </c>
      <c r="Z4047">
        <v>-1.744426E-2</v>
      </c>
      <c r="AA4047">
        <v>0.91774169999999999</v>
      </c>
      <c r="AB4047">
        <v>49</v>
      </c>
      <c r="AC4047">
        <v>-30.984500000000001</v>
      </c>
      <c r="AD4047">
        <v>0.50949</v>
      </c>
      <c r="AE4047">
        <v>-66.398949999999999</v>
      </c>
      <c r="AF4047">
        <v>-29.250187042198199</v>
      </c>
      <c r="AG4047">
        <v>0.50949</v>
      </c>
      <c r="AH4047">
        <v>67.177133288625399</v>
      </c>
      <c r="AI4047">
        <v>89.601589053254997</v>
      </c>
      <c r="AJ4047">
        <v>113.529214735642</v>
      </c>
      <c r="AK4047">
        <v>73.270732621841802</v>
      </c>
      <c r="AL4047">
        <v>79.035455805294305</v>
      </c>
      <c r="AM4047">
        <v>97.756736302023796</v>
      </c>
      <c r="AN4047">
        <v>0.99999995890580895</v>
      </c>
    </row>
    <row r="4048" spans="1:40" x14ac:dyDescent="0.25">
      <c r="A4048" t="str">
        <f>"20190303170620371"</f>
        <v>20190303170620371</v>
      </c>
      <c r="B4048" t="str">
        <f>"1551603980359193"</f>
        <v>1551603980359193</v>
      </c>
      <c r="C4048" t="s">
        <v>40</v>
      </c>
      <c r="D4048">
        <v>5.8717990000000002</v>
      </c>
      <c r="E4048">
        <v>0.38892660000000001</v>
      </c>
      <c r="F4048" t="s">
        <v>72</v>
      </c>
      <c r="G4048">
        <v>-442.93689999999998</v>
      </c>
      <c r="H4048">
        <v>1.5582560000000001</v>
      </c>
      <c r="I4048">
        <v>65.675449999999998</v>
      </c>
      <c r="J4048">
        <v>-413.5034</v>
      </c>
      <c r="K4048">
        <v>1.138873</v>
      </c>
      <c r="L4048">
        <v>131.4572</v>
      </c>
      <c r="M4048">
        <v>-0.73102709999999904</v>
      </c>
      <c r="N4048">
        <v>-1.7061730000000001E-2</v>
      </c>
      <c r="O4048">
        <v>-0.68213500000000005</v>
      </c>
      <c r="P4048">
        <v>-0.62882380000000004</v>
      </c>
      <c r="Q4048">
        <v>0.1803265</v>
      </c>
      <c r="R4048">
        <v>-0.75634860000000004</v>
      </c>
      <c r="S4048">
        <v>-1.315979</v>
      </c>
      <c r="T4048">
        <v>1.8312220000000001E-2</v>
      </c>
      <c r="U4048">
        <v>-2.899429</v>
      </c>
      <c r="V4048">
        <v>-0.13302349999999999</v>
      </c>
      <c r="W4048">
        <v>0.19096080000000001</v>
      </c>
      <c r="X4048">
        <v>0.97254240000000003</v>
      </c>
      <c r="Y4048">
        <v>-0.38385370000000002</v>
      </c>
      <c r="Z4048">
        <v>-1.7213180000000002E-2</v>
      </c>
      <c r="AA4048">
        <v>0.92323339999999998</v>
      </c>
      <c r="AB4048">
        <v>49</v>
      </c>
      <c r="AC4048">
        <v>-29.433499999999899</v>
      </c>
      <c r="AD4048">
        <v>0.41938299999999901</v>
      </c>
      <c r="AE4048">
        <v>-65.781750000000002</v>
      </c>
      <c r="AF4048">
        <v>-28.0137522465422</v>
      </c>
      <c r="AG4048">
        <v>0.41938299999999901</v>
      </c>
      <c r="AH4048">
        <v>66.396140656280593</v>
      </c>
      <c r="AI4048">
        <v>89.666565692595896</v>
      </c>
      <c r="AJ4048">
        <v>112.875775225157</v>
      </c>
      <c r="AK4048">
        <v>72.065204440700299</v>
      </c>
      <c r="AL4048">
        <v>78.991139300717194</v>
      </c>
      <c r="AM4048">
        <v>97.788535961776901</v>
      </c>
      <c r="AN4048">
        <v>0.99999999924332394</v>
      </c>
    </row>
    <row r="4049" spans="1:40" x14ac:dyDescent="0.25">
      <c r="A4049" t="str">
        <f>"20190303170620395"</f>
        <v>20190303170620395</v>
      </c>
      <c r="B4049" t="str">
        <f>"1551603980378714"</f>
        <v>1551603980378714</v>
      </c>
      <c r="C4049" t="s">
        <v>40</v>
      </c>
      <c r="D4049">
        <v>5.868703</v>
      </c>
      <c r="E4049">
        <v>0.38744200000000001</v>
      </c>
      <c r="F4049" t="s">
        <v>72</v>
      </c>
      <c r="G4049">
        <v>-441.4939</v>
      </c>
      <c r="H4049">
        <v>1.6017250000000001</v>
      </c>
      <c r="I4049">
        <v>65.675449999999998</v>
      </c>
      <c r="J4049">
        <v>-413.87060000000002</v>
      </c>
      <c r="K4049">
        <v>1.138852</v>
      </c>
      <c r="L4049">
        <v>131.1207</v>
      </c>
      <c r="M4049">
        <v>-0.72098719999999905</v>
      </c>
      <c r="N4049">
        <v>-1.7062709999999998E-2</v>
      </c>
      <c r="O4049">
        <v>-0.69273839999999998</v>
      </c>
      <c r="P4049">
        <v>-0.61773489999999998</v>
      </c>
      <c r="Q4049">
        <v>0.1811844</v>
      </c>
      <c r="R4049">
        <v>-0.76522950000000001</v>
      </c>
      <c r="S4049">
        <v>-1.2451479999999999</v>
      </c>
      <c r="T4049">
        <v>2.0590420000000002E-2</v>
      </c>
      <c r="U4049">
        <v>-2.9262700000000001</v>
      </c>
      <c r="V4049">
        <v>-0.1328715</v>
      </c>
      <c r="W4049">
        <v>0.19183510000000001</v>
      </c>
      <c r="X4049">
        <v>0.97239109999999995</v>
      </c>
      <c r="Y4049">
        <v>-0.39230500000000001</v>
      </c>
      <c r="Z4049">
        <v>-1.7866699999999999E-2</v>
      </c>
      <c r="AA4049">
        <v>0.91966159999999997</v>
      </c>
      <c r="AB4049">
        <v>49</v>
      </c>
      <c r="AC4049">
        <v>-27.623299999999901</v>
      </c>
      <c r="AD4049">
        <v>0.46287299999999998</v>
      </c>
      <c r="AE4049">
        <v>-65.445250000000001</v>
      </c>
      <c r="AF4049">
        <v>-28.0523574625356</v>
      </c>
      <c r="AG4049">
        <v>0.46287299999999998</v>
      </c>
      <c r="AH4049">
        <v>65.259207899784101</v>
      </c>
      <c r="AI4049">
        <v>89.626648702031403</v>
      </c>
      <c r="AJ4049">
        <v>113.260960231539</v>
      </c>
      <c r="AK4049">
        <v>71.034591758714697</v>
      </c>
      <c r="AL4049">
        <v>78.940102014841599</v>
      </c>
      <c r="AM4049">
        <v>97.7809410645295</v>
      </c>
      <c r="AN4049">
        <v>0.99999999623173497</v>
      </c>
    </row>
    <row r="4050" spans="1:40" x14ac:dyDescent="0.25">
      <c r="A4050" t="str">
        <f>"20190303170620416"</f>
        <v>20190303170620416</v>
      </c>
      <c r="B4050" t="str">
        <f>"1551603980408970"</f>
        <v>1551603980408970</v>
      </c>
      <c r="C4050" t="s">
        <v>40</v>
      </c>
      <c r="D4050">
        <v>5.9088329999999996</v>
      </c>
      <c r="E4050">
        <v>0.38532830000000001</v>
      </c>
      <c r="F4050" t="s">
        <v>72</v>
      </c>
      <c r="G4050">
        <v>-441.45909999999998</v>
      </c>
      <c r="H4050">
        <v>1.498683</v>
      </c>
      <c r="I4050">
        <v>62.886470000000003</v>
      </c>
      <c r="J4050">
        <v>-414.21339999999998</v>
      </c>
      <c r="K4050">
        <v>1.138827</v>
      </c>
      <c r="L4050">
        <v>130.79730000000001</v>
      </c>
      <c r="M4050">
        <v>-0.71130419999999905</v>
      </c>
      <c r="N4050">
        <v>-1.7064090000000001E-2</v>
      </c>
      <c r="O4050">
        <v>-0.70267740000000001</v>
      </c>
      <c r="P4050">
        <v>-0.60685739999999999</v>
      </c>
      <c r="Q4050">
        <v>0.18143580000000001</v>
      </c>
      <c r="R4050">
        <v>-0.7738254</v>
      </c>
      <c r="S4050">
        <v>-1.1939390000000001</v>
      </c>
      <c r="T4050">
        <v>1.557302E-2</v>
      </c>
      <c r="U4050">
        <v>-2.9529420000000002</v>
      </c>
      <c r="V4050">
        <v>-0.13307720000000001</v>
      </c>
      <c r="W4050">
        <v>0.1920868</v>
      </c>
      <c r="X4050">
        <v>0.97231330000000005</v>
      </c>
      <c r="Y4050">
        <v>-0.39614319999999997</v>
      </c>
      <c r="Z4050">
        <v>-1.721636E-2</v>
      </c>
      <c r="AA4050">
        <v>0.91802729999999999</v>
      </c>
      <c r="AB4050">
        <v>49</v>
      </c>
      <c r="AC4050">
        <v>-27.245699999999999</v>
      </c>
      <c r="AD4050">
        <v>0.35985599999999901</v>
      </c>
      <c r="AE4050">
        <v>-67.910830000000004</v>
      </c>
      <c r="AF4050">
        <v>-29.1638565450775</v>
      </c>
      <c r="AG4050">
        <v>0.35985599999999901</v>
      </c>
      <c r="AH4050">
        <v>67.107521843018603</v>
      </c>
      <c r="AI4050">
        <v>89.718219637793794</v>
      </c>
      <c r="AJ4050">
        <v>113.488995586709</v>
      </c>
      <c r="AK4050">
        <v>73.171575853153598</v>
      </c>
      <c r="AL4050">
        <v>78.925407613307897</v>
      </c>
      <c r="AM4050">
        <v>97.793454824314907</v>
      </c>
      <c r="AN4050">
        <v>1.0000000166254801</v>
      </c>
    </row>
    <row r="4051" spans="1:40" x14ac:dyDescent="0.25">
      <c r="A4051" t="str">
        <f>"20190303170620438"</f>
        <v>20190303170620438</v>
      </c>
      <c r="B4051" t="str">
        <f>"1551603980428767"</f>
        <v>1551603980428767</v>
      </c>
      <c r="C4051" t="s">
        <v>40</v>
      </c>
      <c r="D4051">
        <v>5.9044850000000002</v>
      </c>
      <c r="E4051">
        <v>0.3850693</v>
      </c>
      <c r="F4051" t="s">
        <v>72</v>
      </c>
      <c r="G4051">
        <v>-442.32569999999998</v>
      </c>
      <c r="H4051">
        <v>1.5202739999999999</v>
      </c>
      <c r="I4051">
        <v>57.256500000000003</v>
      </c>
      <c r="J4051">
        <v>-414.55090000000001</v>
      </c>
      <c r="K4051">
        <v>1.1388</v>
      </c>
      <c r="L4051">
        <v>130.46960000000001</v>
      </c>
      <c r="M4051">
        <v>-0.7014589</v>
      </c>
      <c r="N4051">
        <v>-1.706572E-2</v>
      </c>
      <c r="O4051">
        <v>-0.71250570000000002</v>
      </c>
      <c r="P4051">
        <v>-0.59658290000000003</v>
      </c>
      <c r="Q4051">
        <v>0.18119730000000001</v>
      </c>
      <c r="R4051">
        <v>-0.78182929999999995</v>
      </c>
      <c r="S4051">
        <v>-1.13913</v>
      </c>
      <c r="T4051">
        <v>1.5457149999999999E-2</v>
      </c>
      <c r="U4051">
        <v>-2.9799190000000002</v>
      </c>
      <c r="V4051">
        <v>-0.13240489999999999</v>
      </c>
      <c r="W4051">
        <v>0.19189220000000001</v>
      </c>
      <c r="X4051">
        <v>0.97244350000000002</v>
      </c>
      <c r="Y4051">
        <v>-0.40089520000000001</v>
      </c>
      <c r="Z4051">
        <v>-1.7406959999999999E-2</v>
      </c>
      <c r="AA4051">
        <v>0.91595850000000001</v>
      </c>
      <c r="AB4051">
        <v>48</v>
      </c>
      <c r="AC4051">
        <v>-27.7747999999999</v>
      </c>
      <c r="AD4051">
        <v>0.38147399999999898</v>
      </c>
      <c r="AE4051">
        <v>-73.213099999999997</v>
      </c>
      <c r="AF4051">
        <v>-31.570122528322599</v>
      </c>
      <c r="AG4051">
        <v>0.38147399999999898</v>
      </c>
      <c r="AH4051">
        <v>71.656359492595996</v>
      </c>
      <c r="AI4051">
        <v>89.720869285876006</v>
      </c>
      <c r="AJ4051">
        <v>113.777171732817</v>
      </c>
      <c r="AK4051">
        <v>78.303588772151002</v>
      </c>
      <c r="AL4051">
        <v>78.936768730654705</v>
      </c>
      <c r="AM4051">
        <v>97.753537255648595</v>
      </c>
      <c r="AN4051">
        <v>1.0000000173285499</v>
      </c>
    </row>
    <row r="4052" spans="1:40" x14ac:dyDescent="0.25">
      <c r="A4052" t="str">
        <f>"20190303170620460"</f>
        <v>20190303170620460</v>
      </c>
      <c r="B4052" t="str">
        <f>"1551603980449262"</f>
        <v>1551603980449262</v>
      </c>
      <c r="C4052" t="s">
        <v>40</v>
      </c>
      <c r="D4052">
        <v>5.9258300000000004</v>
      </c>
      <c r="E4052">
        <v>0.38531949999999998</v>
      </c>
      <c r="F4052" t="s">
        <v>72</v>
      </c>
      <c r="G4052">
        <v>-442.32560000000001</v>
      </c>
      <c r="H4052">
        <v>1.446018</v>
      </c>
      <c r="I4052">
        <v>54.676160000000003</v>
      </c>
      <c r="J4052">
        <v>-414.88119999999998</v>
      </c>
      <c r="K4052">
        <v>1.1387750000000001</v>
      </c>
      <c r="L4052">
        <v>130.1397</v>
      </c>
      <c r="M4052">
        <v>-0.69151030000000002</v>
      </c>
      <c r="N4052">
        <v>-1.7067410000000002E-2</v>
      </c>
      <c r="O4052">
        <v>-0.72216499999999995</v>
      </c>
      <c r="P4052">
        <v>-0.58647289999999996</v>
      </c>
      <c r="Q4052">
        <v>0.18084359999999999</v>
      </c>
      <c r="R4052">
        <v>-0.78952230000000001</v>
      </c>
      <c r="S4052">
        <v>-1.0980529999999999</v>
      </c>
      <c r="T4052">
        <v>1.2146229999999999E-2</v>
      </c>
      <c r="U4052">
        <v>-2.996429</v>
      </c>
      <c r="V4052">
        <v>-0.1314565</v>
      </c>
      <c r="W4052">
        <v>0.1915955</v>
      </c>
      <c r="X4052">
        <v>0.97263060000000001</v>
      </c>
      <c r="Y4052">
        <v>-0.40088629999999997</v>
      </c>
      <c r="Z4052">
        <v>-1.6994680000000002E-2</v>
      </c>
      <c r="AA4052">
        <v>0.91597019999999996</v>
      </c>
      <c r="AB4052">
        <v>48</v>
      </c>
      <c r="AC4052">
        <v>-27.444400000000002</v>
      </c>
      <c r="AD4052">
        <v>0.30724299999999899</v>
      </c>
      <c r="AE4052">
        <v>-75.463539999999995</v>
      </c>
      <c r="AF4052">
        <v>-32.368669757191803</v>
      </c>
      <c r="AG4052">
        <v>0.30724299999999899</v>
      </c>
      <c r="AH4052">
        <v>73.484837799816006</v>
      </c>
      <c r="AI4052">
        <v>89.780770828838001</v>
      </c>
      <c r="AJ4052">
        <v>113.772576280688</v>
      </c>
      <c r="AK4052">
        <v>80.298484210951699</v>
      </c>
      <c r="AL4052">
        <v>78.954089200898594</v>
      </c>
      <c r="AM4052">
        <v>97.697204841996907</v>
      </c>
      <c r="AN4052">
        <v>0.99999996553442905</v>
      </c>
    </row>
    <row r="4053" spans="1:40" x14ac:dyDescent="0.25">
      <c r="A4053" t="str">
        <f>"20190303170620483"</f>
        <v>20190303170620483</v>
      </c>
      <c r="B4053" t="str">
        <f>"1551603980479519"</f>
        <v>1551603980479519</v>
      </c>
      <c r="C4053" t="s">
        <v>40</v>
      </c>
      <c r="D4053">
        <v>5.9354469999999999</v>
      </c>
      <c r="E4053">
        <v>0.38605800000000001</v>
      </c>
      <c r="F4053" t="s">
        <v>72</v>
      </c>
      <c r="G4053">
        <v>-442.32560000000001</v>
      </c>
      <c r="H4053">
        <v>1.331351</v>
      </c>
      <c r="I4053">
        <v>52.257550000000002</v>
      </c>
      <c r="J4053">
        <v>-415.22089999999997</v>
      </c>
      <c r="K4053">
        <v>1.138755</v>
      </c>
      <c r="L4053">
        <v>129.79050000000001</v>
      </c>
      <c r="M4053">
        <v>-0.68093669999999995</v>
      </c>
      <c r="N4053">
        <v>-1.706912E-2</v>
      </c>
      <c r="O4053">
        <v>-0.73214330000000005</v>
      </c>
      <c r="P4053">
        <v>-0.57622109999999904</v>
      </c>
      <c r="Q4053">
        <v>0.18061099999999999</v>
      </c>
      <c r="R4053">
        <v>-0.79708800000000002</v>
      </c>
      <c r="S4053">
        <v>-1.06073</v>
      </c>
      <c r="T4053">
        <v>7.4436659999999998E-3</v>
      </c>
      <c r="U4053">
        <v>-3.0101469999999999</v>
      </c>
      <c r="V4053">
        <v>-0.1298916</v>
      </c>
      <c r="W4053">
        <v>0.19144939999999999</v>
      </c>
      <c r="X4053">
        <v>0.9728696</v>
      </c>
      <c r="Y4053">
        <v>-0.39896480000000001</v>
      </c>
      <c r="Z4053">
        <v>-1.6295259999999999E-2</v>
      </c>
      <c r="AA4053">
        <v>0.91682140000000001</v>
      </c>
      <c r="AB4053">
        <v>48</v>
      </c>
      <c r="AC4053">
        <v>-27.104700000000001</v>
      </c>
      <c r="AD4053">
        <v>0.19259599999999999</v>
      </c>
      <c r="AE4053">
        <v>-77.53295</v>
      </c>
      <c r="AF4053">
        <v>-32.955127325438497</v>
      </c>
      <c r="AG4053">
        <v>0.19259599999999999</v>
      </c>
      <c r="AH4053">
        <v>75.232363348030404</v>
      </c>
      <c r="AI4053">
        <v>89.865646935900699</v>
      </c>
      <c r="AJ4053">
        <v>113.65556075278801</v>
      </c>
      <c r="AK4053">
        <v>82.133951598502506</v>
      </c>
      <c r="AL4053">
        <v>78.962618154416106</v>
      </c>
      <c r="AM4053">
        <v>97.604807286628301</v>
      </c>
      <c r="AN4053">
        <v>0.99999997955753905</v>
      </c>
    </row>
    <row r="4054" spans="1:40" x14ac:dyDescent="0.25">
      <c r="A4054" t="str">
        <f>"20190303170620505"</f>
        <v>20190303170620505</v>
      </c>
      <c r="B4054" t="str">
        <f>"1551603980499038"</f>
        <v>1551603980499038</v>
      </c>
      <c r="C4054" t="s">
        <v>40</v>
      </c>
      <c r="D4054">
        <v>5.9520010000000001</v>
      </c>
      <c r="E4054">
        <v>0.38621539999999999</v>
      </c>
      <c r="F4054" t="s">
        <v>72</v>
      </c>
      <c r="G4054">
        <v>-442.32560000000001</v>
      </c>
      <c r="H4054">
        <v>1.20245</v>
      </c>
      <c r="I4054">
        <v>49.917360000000002</v>
      </c>
      <c r="J4054">
        <v>-415.55110000000002</v>
      </c>
      <c r="K4054">
        <v>1.1387339999999999</v>
      </c>
      <c r="L4054">
        <v>129.44</v>
      </c>
      <c r="M4054">
        <v>-0.67028379999999999</v>
      </c>
      <c r="N4054">
        <v>-1.7070599999999998E-2</v>
      </c>
      <c r="O4054">
        <v>-0.74190859999999903</v>
      </c>
      <c r="P4054">
        <v>-0.56537119999999996</v>
      </c>
      <c r="Q4054">
        <v>0.18078469999999999</v>
      </c>
      <c r="R4054">
        <v>-0.80478119999999997</v>
      </c>
      <c r="S4054">
        <v>-1.025452</v>
      </c>
      <c r="T4054">
        <v>2.410293E-3</v>
      </c>
      <c r="U4054">
        <v>-3.0218349999999998</v>
      </c>
      <c r="V4054">
        <v>-0.12897600000000001</v>
      </c>
      <c r="W4054">
        <v>0.19167600000000001</v>
      </c>
      <c r="X4054">
        <v>0.9729468</v>
      </c>
      <c r="Y4054">
        <v>-0.39637349999999999</v>
      </c>
      <c r="Z4054">
        <v>-1.54874E-2</v>
      </c>
      <c r="AA4054">
        <v>0.91795870000000002</v>
      </c>
      <c r="AB4054">
        <v>48</v>
      </c>
      <c r="AC4054">
        <v>-26.7744999999999</v>
      </c>
      <c r="AD4054">
        <v>6.3716000000000106E-2</v>
      </c>
      <c r="AE4054">
        <v>-79.522639999999996</v>
      </c>
      <c r="AF4054">
        <v>-33.443356889298002</v>
      </c>
      <c r="AG4054">
        <v>6.3716000000000106E-2</v>
      </c>
      <c r="AH4054">
        <v>76.956207568618794</v>
      </c>
      <c r="AI4054">
        <v>89.956492649241596</v>
      </c>
      <c r="AJ4054">
        <v>113.48863168498301</v>
      </c>
      <c r="AK4054">
        <v>83.908998701557394</v>
      </c>
      <c r="AL4054">
        <v>78.9493900278095</v>
      </c>
      <c r="AM4054">
        <v>97.551229890591301</v>
      </c>
      <c r="AN4054">
        <v>0.99999998659111899</v>
      </c>
    </row>
    <row r="4055" spans="1:40" x14ac:dyDescent="0.25">
      <c r="A4055" t="str">
        <f>"20190303170620528"</f>
        <v>20190303170620528</v>
      </c>
      <c r="B4055" t="str">
        <f>"1551603980519534"</f>
        <v>1551603980519534</v>
      </c>
      <c r="C4055" t="s">
        <v>40</v>
      </c>
      <c r="D4055">
        <v>5.9555769999999999</v>
      </c>
      <c r="E4055">
        <v>0.39049030000000001</v>
      </c>
      <c r="F4055" t="s">
        <v>72</v>
      </c>
      <c r="G4055">
        <v>-442.32549999999998</v>
      </c>
      <c r="H4055">
        <v>1.165621</v>
      </c>
      <c r="I4055">
        <v>46.942909999999998</v>
      </c>
      <c r="J4055">
        <v>-415.86540000000002</v>
      </c>
      <c r="K4055">
        <v>1.13872</v>
      </c>
      <c r="L4055">
        <v>129.0966</v>
      </c>
      <c r="M4055">
        <v>-0.65979759999999998</v>
      </c>
      <c r="N4055">
        <v>-1.707175E-2</v>
      </c>
      <c r="O4055">
        <v>-0.75124950000000001</v>
      </c>
      <c r="P4055">
        <v>-0.55393490000000001</v>
      </c>
      <c r="Q4055">
        <v>0.18087300000000001</v>
      </c>
      <c r="R4055">
        <v>-0.81267519999999904</v>
      </c>
      <c r="S4055">
        <v>-0.9851685</v>
      </c>
      <c r="T4055">
        <v>9.8979470000000003E-4</v>
      </c>
      <c r="U4055">
        <v>-3.0354770000000002</v>
      </c>
      <c r="V4055">
        <v>-0.12904879999999999</v>
      </c>
      <c r="W4055">
        <v>0.1917691</v>
      </c>
      <c r="X4055">
        <v>0.97291879999999997</v>
      </c>
      <c r="Y4055">
        <v>-0.39570880000000003</v>
      </c>
      <c r="Z4055">
        <v>-1.534172E-2</v>
      </c>
      <c r="AA4055">
        <v>0.91824790000000001</v>
      </c>
      <c r="AB4055">
        <v>48</v>
      </c>
      <c r="AC4055">
        <v>-26.460099999999901</v>
      </c>
      <c r="AD4055">
        <v>2.69009999999998E-2</v>
      </c>
      <c r="AE4055">
        <v>-82.153689999999997</v>
      </c>
      <c r="AF4055">
        <v>-34.331668306233503</v>
      </c>
      <c r="AG4055">
        <v>2.69009999999998E-2</v>
      </c>
      <c r="AH4055">
        <v>79.187756481728101</v>
      </c>
      <c r="AI4055">
        <v>89.982142056756501</v>
      </c>
      <c r="AJ4055">
        <v>113.43903173176101</v>
      </c>
      <c r="AK4055">
        <v>86.309703677874495</v>
      </c>
      <c r="AL4055">
        <v>78.943954958486003</v>
      </c>
      <c r="AM4055">
        <v>97.555657855936701</v>
      </c>
      <c r="AN4055">
        <v>0.99999998594484496</v>
      </c>
    </row>
    <row r="4056" spans="1:40" x14ac:dyDescent="0.25">
      <c r="A4056" t="str">
        <f>"20190303170620550"</f>
        <v>20190303170620550</v>
      </c>
      <c r="B4056" t="str">
        <f>"1551603980539054"</f>
        <v>1551603980539054</v>
      </c>
      <c r="C4056" t="s">
        <v>40</v>
      </c>
      <c r="D4056">
        <v>5.9819969999999998</v>
      </c>
      <c r="E4056">
        <v>0.39111220000000002</v>
      </c>
      <c r="F4056" t="s">
        <v>72</v>
      </c>
      <c r="G4056">
        <v>-442.32510000000002</v>
      </c>
      <c r="H4056">
        <v>-2.5250729999999999E-2</v>
      </c>
      <c r="I4056">
        <v>46.6188</v>
      </c>
      <c r="J4056">
        <v>-416.18009999999998</v>
      </c>
      <c r="K4056">
        <v>1.138701</v>
      </c>
      <c r="L4056">
        <v>128.74279999999999</v>
      </c>
      <c r="M4056">
        <v>-0.64894490000000005</v>
      </c>
      <c r="N4056">
        <v>-1.707272E-2</v>
      </c>
      <c r="O4056">
        <v>-0.76064379999999998</v>
      </c>
      <c r="P4056">
        <v>-0.54227780000000003</v>
      </c>
      <c r="Q4056">
        <v>0.17965539999999999</v>
      </c>
      <c r="R4056">
        <v>-0.82076719999999903</v>
      </c>
      <c r="S4056">
        <v>-0.97430419999999995</v>
      </c>
      <c r="T4056">
        <v>-4.2859319999999999E-2</v>
      </c>
      <c r="U4056">
        <v>-3.0370029999999999</v>
      </c>
      <c r="V4056">
        <v>-0.12907739999999901</v>
      </c>
      <c r="W4056">
        <v>0.1905597</v>
      </c>
      <c r="X4056">
        <v>0.97315260000000003</v>
      </c>
      <c r="Y4056">
        <v>-0.3855208</v>
      </c>
      <c r="Z4056">
        <v>-6.7374920000000003E-3</v>
      </c>
      <c r="AA4056">
        <v>0.92267449999999995</v>
      </c>
      <c r="AB4056">
        <v>48</v>
      </c>
      <c r="AC4056">
        <v>-26.145</v>
      </c>
      <c r="AD4056">
        <v>-1.16395173</v>
      </c>
      <c r="AE4056">
        <v>-82.123999999999995</v>
      </c>
      <c r="AF4056">
        <v>-33.405696483970601</v>
      </c>
      <c r="AG4056">
        <v>-1.16395173</v>
      </c>
      <c r="AH4056">
        <v>79.430869422924403</v>
      </c>
      <c r="AI4056">
        <v>90.773886033083002</v>
      </c>
      <c r="AJ4056">
        <v>112.80982795828299</v>
      </c>
      <c r="AK4056">
        <v>86.177481736765799</v>
      </c>
      <c r="AL4056">
        <v>79.014550318001199</v>
      </c>
      <c r="AM4056">
        <v>97.555518333754307</v>
      </c>
      <c r="AN4056">
        <v>0.99999997867080404</v>
      </c>
    </row>
    <row r="4057" spans="1:40" x14ac:dyDescent="0.25">
      <c r="A4057" t="str">
        <f>"20190303170620573"</f>
        <v>20190303170620573</v>
      </c>
      <c r="B4057" t="str">
        <f>"1551603980559550"</f>
        <v>1551603980559550</v>
      </c>
      <c r="C4057" t="s">
        <v>40</v>
      </c>
      <c r="D4057">
        <v>5.9951489999999996</v>
      </c>
      <c r="E4057">
        <v>0.39165650000000002</v>
      </c>
      <c r="F4057" t="s">
        <v>43</v>
      </c>
      <c r="G4057">
        <v>-438.41129999999998</v>
      </c>
      <c r="H4057">
        <v>-0.05</v>
      </c>
      <c r="I4057">
        <v>56.24136</v>
      </c>
      <c r="J4057">
        <v>-416.48579999999998</v>
      </c>
      <c r="K4057">
        <v>1.1386810000000001</v>
      </c>
      <c r="L4057">
        <v>128.38890000000001</v>
      </c>
      <c r="M4057">
        <v>-0.63803799999999999</v>
      </c>
      <c r="N4057">
        <v>-1.7073430000000001E-2</v>
      </c>
      <c r="O4057">
        <v>-0.76981560000000004</v>
      </c>
      <c r="P4057">
        <v>-0.53237679999999998</v>
      </c>
      <c r="Q4057">
        <v>0.17882999999999999</v>
      </c>
      <c r="R4057">
        <v>-0.82740270000000005</v>
      </c>
      <c r="S4057">
        <v>-0.93475339999999996</v>
      </c>
      <c r="T4057">
        <v>-4.9980999999999998E-2</v>
      </c>
      <c r="U4057">
        <v>-3.0484469999999999</v>
      </c>
      <c r="V4057">
        <v>-0.1269623</v>
      </c>
      <c r="W4057">
        <v>0.1898444</v>
      </c>
      <c r="X4057">
        <v>0.97357059999999995</v>
      </c>
      <c r="Y4057">
        <v>-0.38426719999999998</v>
      </c>
      <c r="Z4057">
        <v>-5.2539129999999998E-3</v>
      </c>
      <c r="AA4057">
        <v>0.923207</v>
      </c>
      <c r="AB4057">
        <v>48</v>
      </c>
      <c r="AC4057">
        <v>-21.9255</v>
      </c>
      <c r="AD4057">
        <v>-1.1886809999999901</v>
      </c>
      <c r="AE4057">
        <v>-72.147540000000006</v>
      </c>
      <c r="AF4057">
        <v>-29.151285605056898</v>
      </c>
      <c r="AG4057">
        <v>-1.1886809999999901</v>
      </c>
      <c r="AH4057">
        <v>69.522462225123405</v>
      </c>
      <c r="AI4057">
        <v>90.903351217009202</v>
      </c>
      <c r="AJ4057">
        <v>112.74866668078501</v>
      </c>
      <c r="AK4057">
        <v>75.396174762325202</v>
      </c>
      <c r="AL4057">
        <v>79.056296491191702</v>
      </c>
      <c r="AM4057">
        <v>97.429951487126999</v>
      </c>
      <c r="AN4057">
        <v>1.0000000175085</v>
      </c>
    </row>
    <row r="4058" spans="1:40" x14ac:dyDescent="0.25">
      <c r="A4058" t="str">
        <f>"20190303170620594"</f>
        <v>20190303170620594</v>
      </c>
      <c r="B4058" t="str">
        <f>"1551603980588830"</f>
        <v>1551603980588830</v>
      </c>
      <c r="C4058" t="s">
        <v>40</v>
      </c>
      <c r="D4058">
        <v>5.9829840000000001</v>
      </c>
      <c r="E4058">
        <v>0.39184010000000002</v>
      </c>
      <c r="F4058" t="s">
        <v>41</v>
      </c>
      <c r="G4058">
        <v>-434.9511</v>
      </c>
      <c r="H4058">
        <v>7.9986740000000001E-2</v>
      </c>
      <c r="I4058">
        <v>65.643460000000005</v>
      </c>
      <c r="J4058">
        <v>-416.79469999999998</v>
      </c>
      <c r="K4058">
        <v>1.1386700000000001</v>
      </c>
      <c r="L4058">
        <v>128.0205</v>
      </c>
      <c r="M4058">
        <v>-0.62662859999999998</v>
      </c>
      <c r="N4058">
        <v>-1.7074019999999999E-2</v>
      </c>
      <c r="O4058">
        <v>-0.77913109999999997</v>
      </c>
      <c r="P4058">
        <v>-0.52181509999999998</v>
      </c>
      <c r="Q4058">
        <v>0.1810901</v>
      </c>
      <c r="R4058">
        <v>-0.83361609999999997</v>
      </c>
      <c r="S4058">
        <v>-0.89990230000000004</v>
      </c>
      <c r="T4058">
        <v>-5.1595090000000003E-2</v>
      </c>
      <c r="U4058">
        <v>-3.057877</v>
      </c>
      <c r="V4058">
        <v>-0.1247833</v>
      </c>
      <c r="W4058">
        <v>0.19220950000000001</v>
      </c>
      <c r="X4058">
        <v>0.97338829999999998</v>
      </c>
      <c r="Y4058">
        <v>-0.38111440000000002</v>
      </c>
      <c r="Z4058">
        <v>-4.8215269999999999E-3</v>
      </c>
      <c r="AA4058">
        <v>0.92451530000000004</v>
      </c>
      <c r="AB4058">
        <v>48</v>
      </c>
      <c r="AC4058">
        <v>-18.156400000000001</v>
      </c>
      <c r="AD4058">
        <v>-1.05868326</v>
      </c>
      <c r="AE4058">
        <v>-62.377040000000001</v>
      </c>
      <c r="AF4058">
        <v>-24.938032579899801</v>
      </c>
      <c r="AG4058">
        <v>-1.05868326</v>
      </c>
      <c r="AH4058">
        <v>59.970024039408898</v>
      </c>
      <c r="AI4058">
        <v>90.933858359812803</v>
      </c>
      <c r="AJ4058">
        <v>112.579574829565</v>
      </c>
      <c r="AK4058">
        <v>64.957140196351205</v>
      </c>
      <c r="AL4058">
        <v>78.918244567779993</v>
      </c>
      <c r="AM4058">
        <v>97.305176271322495</v>
      </c>
      <c r="AN4058">
        <v>1.0000000732130101</v>
      </c>
    </row>
    <row r="4059" spans="1:40" x14ac:dyDescent="0.25">
      <c r="A4059" t="str">
        <f>"20190303170620617"</f>
        <v>20190303170620617</v>
      </c>
      <c r="B4059" t="str">
        <f>"1551603980609326"</f>
        <v>1551603980609326</v>
      </c>
      <c r="C4059" t="s">
        <v>40</v>
      </c>
      <c r="D4059">
        <v>6.017703</v>
      </c>
      <c r="E4059">
        <v>0.39212360000000002</v>
      </c>
      <c r="F4059" t="s">
        <v>72</v>
      </c>
      <c r="G4059">
        <v>-442.12040000000002</v>
      </c>
      <c r="H4059">
        <v>-4.6123890000000001E-2</v>
      </c>
      <c r="I4059">
        <v>37.867820000000002</v>
      </c>
      <c r="J4059">
        <v>-417.08240000000001</v>
      </c>
      <c r="K4059">
        <v>1.138679</v>
      </c>
      <c r="L4059">
        <v>127.66719999999999</v>
      </c>
      <c r="M4059">
        <v>-0.61562709999999998</v>
      </c>
      <c r="N4059">
        <v>-1.7074659999999998E-2</v>
      </c>
      <c r="O4059">
        <v>-0.78785249999999996</v>
      </c>
      <c r="P4059">
        <v>-0.51110649999999902</v>
      </c>
      <c r="Q4059">
        <v>0.18414800000000001</v>
      </c>
      <c r="R4059">
        <v>-0.83955919999999895</v>
      </c>
      <c r="S4059">
        <v>-0.86187739999999902</v>
      </c>
      <c r="T4059">
        <v>-4.0320040000000001E-2</v>
      </c>
      <c r="U4059">
        <v>-3.0680390000000002</v>
      </c>
      <c r="V4059">
        <v>-0.12329270000000001</v>
      </c>
      <c r="W4059">
        <v>0.19533619999999999</v>
      </c>
      <c r="X4059">
        <v>0.97295560000000003</v>
      </c>
      <c r="Y4059">
        <v>-0.37956719999999999</v>
      </c>
      <c r="Z4059">
        <v>-7.0949619999999998E-3</v>
      </c>
      <c r="AA4059">
        <v>0.92513690000000004</v>
      </c>
      <c r="AB4059">
        <v>48</v>
      </c>
      <c r="AC4059">
        <v>-25.038</v>
      </c>
      <c r="AD4059">
        <v>-1.1848028900000001</v>
      </c>
      <c r="AE4059">
        <v>-89.7993799999999</v>
      </c>
      <c r="AF4059">
        <v>-35.556125199437297</v>
      </c>
      <c r="AG4059">
        <v>-1.1848028900000001</v>
      </c>
      <c r="AH4059">
        <v>86.161390526591205</v>
      </c>
      <c r="AI4059">
        <v>90.7282573245284</v>
      </c>
      <c r="AJ4059">
        <v>112.424416444879</v>
      </c>
      <c r="AK4059">
        <v>93.217096149590404</v>
      </c>
      <c r="AL4059">
        <v>78.735635421440705</v>
      </c>
      <c r="AM4059">
        <v>97.222014785002301</v>
      </c>
      <c r="AN4059">
        <v>0.99999996023754401</v>
      </c>
    </row>
    <row r="4060" spans="1:40" x14ac:dyDescent="0.25">
      <c r="A4060" t="str">
        <f>"20190303170620639"</f>
        <v>20190303170620639</v>
      </c>
      <c r="B4060" t="str">
        <f>"1551603980628846"</f>
        <v>1551603980628846</v>
      </c>
      <c r="C4060" t="s">
        <v>40</v>
      </c>
      <c r="D4060">
        <v>6.0181190000000004</v>
      </c>
      <c r="E4060">
        <v>0.39260479999999998</v>
      </c>
      <c r="F4060" t="s">
        <v>72</v>
      </c>
      <c r="G4060">
        <v>-441.45870000000002</v>
      </c>
      <c r="H4060">
        <v>0.27755780000000002</v>
      </c>
      <c r="I4060">
        <v>36.642710000000001</v>
      </c>
      <c r="J4060">
        <v>-417.37720000000002</v>
      </c>
      <c r="K4060">
        <v>1.1386849999999999</v>
      </c>
      <c r="L4060">
        <v>127.2944</v>
      </c>
      <c r="M4060">
        <v>-0.60395900000000002</v>
      </c>
      <c r="N4060">
        <v>-1.70759999999999E-2</v>
      </c>
      <c r="O4060">
        <v>-0.79683269999999995</v>
      </c>
      <c r="P4060">
        <v>-0.4983786</v>
      </c>
      <c r="Q4060">
        <v>0.1845058</v>
      </c>
      <c r="R4060">
        <v>-0.84709909999999999</v>
      </c>
      <c r="S4060">
        <v>-0.82424929999999996</v>
      </c>
      <c r="T4060">
        <v>-2.9117110000000002E-2</v>
      </c>
      <c r="U4060">
        <v>-3.0778500000000002</v>
      </c>
      <c r="V4060">
        <v>-0.123613899999999</v>
      </c>
      <c r="W4060">
        <v>0.19568179999999999</v>
      </c>
      <c r="X4060">
        <v>0.97284539999999997</v>
      </c>
      <c r="Y4060">
        <v>-0.37725170000000002</v>
      </c>
      <c r="Z4060">
        <v>-9.4285610000000002E-3</v>
      </c>
      <c r="AA4060">
        <v>0.92606279999999996</v>
      </c>
      <c r="AB4060">
        <v>48</v>
      </c>
      <c r="AC4060">
        <v>-24.081499999999998</v>
      </c>
      <c r="AD4060">
        <v>-0.86112719999999898</v>
      </c>
      <c r="AE4060">
        <v>-90.651690000000002</v>
      </c>
      <c r="AF4060">
        <v>-35.5631581685765</v>
      </c>
      <c r="AG4060">
        <v>-0.86112719999999898</v>
      </c>
      <c r="AH4060">
        <v>86.783791289401805</v>
      </c>
      <c r="AI4060">
        <v>90.526054888892801</v>
      </c>
      <c r="AJ4060">
        <v>112.283343833177</v>
      </c>
      <c r="AK4060">
        <v>93.791823681706006</v>
      </c>
      <c r="AL4060">
        <v>78.7154444354003</v>
      </c>
      <c r="AM4060">
        <v>97.241441515059407</v>
      </c>
      <c r="AN4060">
        <v>0.99999996771280397</v>
      </c>
    </row>
    <row r="4061" spans="1:40" x14ac:dyDescent="0.25">
      <c r="A4061" t="str">
        <f>"20190303170620663"</f>
        <v>20190303170620663</v>
      </c>
      <c r="B4061" t="str">
        <f>"1551603980649342"</f>
        <v>1551603980649342</v>
      </c>
      <c r="C4061" t="s">
        <v>40</v>
      </c>
      <c r="D4061">
        <v>6.0080260000000001</v>
      </c>
      <c r="E4061">
        <v>0.39703929999999998</v>
      </c>
      <c r="F4061" t="s">
        <v>72</v>
      </c>
      <c r="G4061">
        <v>-442.3252</v>
      </c>
      <c r="H4061">
        <v>0.198069</v>
      </c>
      <c r="I4061">
        <v>28.65746</v>
      </c>
      <c r="J4061">
        <v>-417.66120000000001</v>
      </c>
      <c r="K4061">
        <v>1.138671</v>
      </c>
      <c r="L4061">
        <v>126.9243</v>
      </c>
      <c r="M4061">
        <v>-0.59230890000000003</v>
      </c>
      <c r="N4061">
        <v>-1.7078260000000001E-2</v>
      </c>
      <c r="O4061">
        <v>-0.80552990000000002</v>
      </c>
      <c r="P4061">
        <v>-0.48539949999999998</v>
      </c>
      <c r="Q4061">
        <v>0.1825254</v>
      </c>
      <c r="R4061">
        <v>-0.85502749999999905</v>
      </c>
      <c r="S4061">
        <v>-0.78112789999999999</v>
      </c>
      <c r="T4061">
        <v>-2.9450540000000001E-2</v>
      </c>
      <c r="U4061">
        <v>-3.088333</v>
      </c>
      <c r="V4061">
        <v>-0.12446699999999999</v>
      </c>
      <c r="W4061">
        <v>0.19366920000000001</v>
      </c>
      <c r="X4061">
        <v>0.97313930000000004</v>
      </c>
      <c r="Y4061">
        <v>-0.37668249999999998</v>
      </c>
      <c r="Z4061">
        <v>-9.3612999999999995E-3</v>
      </c>
      <c r="AA4061">
        <v>0.92629519999999999</v>
      </c>
      <c r="AB4061">
        <v>48</v>
      </c>
      <c r="AC4061">
        <v>-24.663999999999898</v>
      </c>
      <c r="AD4061">
        <v>-0.94060200000000005</v>
      </c>
      <c r="AE4061">
        <v>-98.266840000000002</v>
      </c>
      <c r="AF4061">
        <v>-38.339023483250898</v>
      </c>
      <c r="AG4061">
        <v>-0.94060200000000005</v>
      </c>
      <c r="AH4061">
        <v>93.771183113125502</v>
      </c>
      <c r="AI4061">
        <v>90.5319620786575</v>
      </c>
      <c r="AJ4061">
        <v>112.237551939818</v>
      </c>
      <c r="AK4061">
        <v>101.310415240521</v>
      </c>
      <c r="AL4061">
        <v>78.833006938331494</v>
      </c>
      <c r="AM4061">
        <v>97.288702889711004</v>
      </c>
      <c r="AN4061">
        <v>0.99999994516106305</v>
      </c>
    </row>
    <row r="4062" spans="1:40" x14ac:dyDescent="0.25">
      <c r="A4062" t="str">
        <f>"20190303170620684"</f>
        <v>20190303170620684</v>
      </c>
      <c r="B4062" t="str">
        <f>"1551603980678622"</f>
        <v>1551603980678622</v>
      </c>
      <c r="C4062" t="s">
        <v>40</v>
      </c>
      <c r="D4062">
        <v>6.0315009999999996</v>
      </c>
      <c r="E4062">
        <v>0.39799309999999899</v>
      </c>
      <c r="F4062" t="s">
        <v>41</v>
      </c>
      <c r="G4062">
        <v>-432.72019999999998</v>
      </c>
      <c r="H4062">
        <v>7.9986509999999997E-2</v>
      </c>
      <c r="I4062">
        <v>66.092250000000007</v>
      </c>
      <c r="J4062">
        <v>-417.9468</v>
      </c>
      <c r="K4062">
        <v>1.1386639999999999</v>
      </c>
      <c r="L4062">
        <v>126.5399</v>
      </c>
      <c r="M4062">
        <v>-0.58014290000000002</v>
      </c>
      <c r="N4062">
        <v>-1.7082130000000001E-2</v>
      </c>
      <c r="O4062">
        <v>-0.81433559999999905</v>
      </c>
      <c r="P4062">
        <v>-0.47354810000000003</v>
      </c>
      <c r="Q4062">
        <v>0.18212139999999999</v>
      </c>
      <c r="R4062">
        <v>-0.86173310000000003</v>
      </c>
      <c r="S4062">
        <v>-0.76403809999999905</v>
      </c>
      <c r="T4062">
        <v>-5.3713799999999999E-2</v>
      </c>
      <c r="U4062">
        <v>-3.086395</v>
      </c>
      <c r="V4062">
        <v>-0.12331350000000001</v>
      </c>
      <c r="W4062">
        <v>0.19332589999999999</v>
      </c>
      <c r="X4062">
        <v>0.97335450000000001</v>
      </c>
      <c r="Y4062">
        <v>-0.36740119999999998</v>
      </c>
      <c r="Z4062">
        <v>-3.908379E-3</v>
      </c>
      <c r="AA4062">
        <v>0.9300543</v>
      </c>
      <c r="AB4062">
        <v>48</v>
      </c>
      <c r="AC4062">
        <v>-14.773399999999899</v>
      </c>
      <c r="AD4062">
        <v>-1.05867749</v>
      </c>
      <c r="AE4062">
        <v>-60.447650000000003</v>
      </c>
      <c r="AF4062">
        <v>-23.034463428889101</v>
      </c>
      <c r="AG4062">
        <v>-1.05867749</v>
      </c>
      <c r="AH4062">
        <v>57.787062647600401</v>
      </c>
      <c r="AI4062">
        <v>90.974973413370506</v>
      </c>
      <c r="AJ4062">
        <v>111.732688266089</v>
      </c>
      <c r="AK4062">
        <v>62.2177781098164</v>
      </c>
      <c r="AL4062">
        <v>78.853056697968498</v>
      </c>
      <c r="AM4062">
        <v>97.2202913296329</v>
      </c>
      <c r="AN4062">
        <v>1.0000000527816499</v>
      </c>
    </row>
    <row r="4063" spans="1:40" x14ac:dyDescent="0.25">
      <c r="A4063" t="str">
        <f>"20190303170620707"</f>
        <v>20190303170620707</v>
      </c>
      <c r="B4063" t="str">
        <f>"1551603980699118"</f>
        <v>1551603980699118</v>
      </c>
      <c r="C4063" t="s">
        <v>40</v>
      </c>
      <c r="D4063">
        <v>6.0098279999999997</v>
      </c>
      <c r="E4063">
        <v>0.40019090000000002</v>
      </c>
      <c r="F4063" t="s">
        <v>41</v>
      </c>
      <c r="G4063">
        <v>-430.5444</v>
      </c>
      <c r="H4063">
        <v>7.9985870000000001E-2</v>
      </c>
      <c r="I4063">
        <v>72.909840000000003</v>
      </c>
      <c r="J4063">
        <v>-418.22890000000001</v>
      </c>
      <c r="K4063">
        <v>1.138674</v>
      </c>
      <c r="L4063">
        <v>126.1474</v>
      </c>
      <c r="M4063">
        <v>-0.56764780000000004</v>
      </c>
      <c r="N4063">
        <v>-1.708805E-2</v>
      </c>
      <c r="O4063">
        <v>-0.823094199999999</v>
      </c>
      <c r="P4063">
        <v>-0.46082620000000002</v>
      </c>
      <c r="Q4063">
        <v>0.18509970000000001</v>
      </c>
      <c r="R4063">
        <v>-0.86797349999999995</v>
      </c>
      <c r="S4063">
        <v>-0.72695919999999903</v>
      </c>
      <c r="T4063">
        <v>-6.1092380000000002E-2</v>
      </c>
      <c r="U4063">
        <v>-3.0947879999999999</v>
      </c>
      <c r="V4063">
        <v>-0.1225494</v>
      </c>
      <c r="W4063">
        <v>0.19633970000000001</v>
      </c>
      <c r="X4063">
        <v>0.97284760000000003</v>
      </c>
      <c r="Y4063">
        <v>-0.36431649999999999</v>
      </c>
      <c r="Z4063">
        <v>-2.1379060000000002E-3</v>
      </c>
      <c r="AA4063">
        <v>0.93127269999999895</v>
      </c>
      <c r="AB4063">
        <v>47</v>
      </c>
      <c r="AC4063">
        <v>-12.315499999999901</v>
      </c>
      <c r="AD4063">
        <v>-1.0586881299999999</v>
      </c>
      <c r="AE4063">
        <v>-53.237559999999903</v>
      </c>
      <c r="AF4063">
        <v>-20.078762168584198</v>
      </c>
      <c r="AG4063">
        <v>-1.0586881299999999</v>
      </c>
      <c r="AH4063">
        <v>50.798742752192098</v>
      </c>
      <c r="AI4063">
        <v>91.110352784774804</v>
      </c>
      <c r="AJ4063">
        <v>111.566954946831</v>
      </c>
      <c r="AK4063">
        <v>54.6332295950236</v>
      </c>
      <c r="AL4063">
        <v>78.6770047240948</v>
      </c>
      <c r="AM4063">
        <v>97.179719376240897</v>
      </c>
      <c r="AN4063">
        <v>1.0000000430311</v>
      </c>
    </row>
    <row r="4064" spans="1:40" x14ac:dyDescent="0.25">
      <c r="A4064" t="str">
        <f>"20190303170620729"</f>
        <v>20190303170620729</v>
      </c>
      <c r="B4064" t="str">
        <f>"1551603980718638"</f>
        <v>1551603980718638</v>
      </c>
      <c r="C4064" t="s">
        <v>40</v>
      </c>
      <c r="D4064">
        <v>6.0088239999999997</v>
      </c>
      <c r="E4064">
        <v>0.40087600000000001</v>
      </c>
      <c r="F4064" t="s">
        <v>41</v>
      </c>
      <c r="G4064">
        <v>-430.58589999999998</v>
      </c>
      <c r="H4064">
        <v>7.9986329999999994E-2</v>
      </c>
      <c r="I4064">
        <v>71.376339999999999</v>
      </c>
      <c r="J4064">
        <v>-418.48270000000002</v>
      </c>
      <c r="K4064">
        <v>1.138695</v>
      </c>
      <c r="L4064">
        <v>125.7833</v>
      </c>
      <c r="M4064">
        <v>-0.55599319999999997</v>
      </c>
      <c r="N4064">
        <v>-1.709604E-2</v>
      </c>
      <c r="O4064">
        <v>-0.83101119999999995</v>
      </c>
      <c r="P4064">
        <v>-0.44848250000000001</v>
      </c>
      <c r="Q4064">
        <v>0.18825030000000001</v>
      </c>
      <c r="R4064">
        <v>-0.87374229999999997</v>
      </c>
      <c r="S4064">
        <v>-0.69894409999999996</v>
      </c>
      <c r="T4064">
        <v>-5.9882159999999997E-2</v>
      </c>
      <c r="U4064">
        <v>-3.0979920000000001</v>
      </c>
      <c r="V4064">
        <v>-0.12239650000000001</v>
      </c>
      <c r="W4064">
        <v>0.19949749999999999</v>
      </c>
      <c r="X4064">
        <v>0.97222419999999998</v>
      </c>
      <c r="Y4064">
        <v>-0.35940460000000002</v>
      </c>
      <c r="Z4064">
        <v>-2.2569529999999999E-3</v>
      </c>
      <c r="AA4064">
        <v>0.93317910000000004</v>
      </c>
      <c r="AB4064">
        <v>47</v>
      </c>
      <c r="AC4064">
        <v>-12.1031999999999</v>
      </c>
      <c r="AD4064">
        <v>-1.0587086699999999</v>
      </c>
      <c r="AE4064">
        <v>-54.406959999999998</v>
      </c>
      <c r="AF4064">
        <v>-20.187669462307301</v>
      </c>
      <c r="AG4064">
        <v>-1.0587086699999999</v>
      </c>
      <c r="AH4064">
        <v>51.930937146438602</v>
      </c>
      <c r="AI4064">
        <v>91.088580388410506</v>
      </c>
      <c r="AJ4064">
        <v>111.24313050615901</v>
      </c>
      <c r="AK4064">
        <v>55.726879468302101</v>
      </c>
      <c r="AL4064">
        <v>78.492424549912599</v>
      </c>
      <c r="AM4064">
        <v>97.175404948319397</v>
      </c>
      <c r="AN4064">
        <v>1.00000002539206</v>
      </c>
    </row>
    <row r="4065" spans="1:40" x14ac:dyDescent="0.25">
      <c r="A4065" t="str">
        <f>"20190303170620751"</f>
        <v>20190303170620751</v>
      </c>
      <c r="B4065" t="str">
        <f>"1551603980739134"</f>
        <v>1551603980739134</v>
      </c>
      <c r="C4065" t="s">
        <v>40</v>
      </c>
      <c r="D4065">
        <v>6.0318569999999996</v>
      </c>
      <c r="E4065">
        <v>0.40143040000000002</v>
      </c>
      <c r="F4065" t="s">
        <v>41</v>
      </c>
      <c r="G4065">
        <v>-430.98360000000002</v>
      </c>
      <c r="H4065">
        <v>7.9986139999999997E-2</v>
      </c>
      <c r="I4065">
        <v>67.100110000000001</v>
      </c>
      <c r="J4065">
        <v>-418.74489999999997</v>
      </c>
      <c r="K4065">
        <v>1.1387069999999999</v>
      </c>
      <c r="L4065">
        <v>125.39530000000001</v>
      </c>
      <c r="M4065">
        <v>-0.54349910000000001</v>
      </c>
      <c r="N4065">
        <v>-1.710658E-2</v>
      </c>
      <c r="O4065">
        <v>-0.83923549999999902</v>
      </c>
      <c r="P4065">
        <v>-0.43565739999999997</v>
      </c>
      <c r="Q4065">
        <v>0.1877617</v>
      </c>
      <c r="R4065">
        <v>-0.88031159999999997</v>
      </c>
      <c r="S4065">
        <v>-0.66165160000000001</v>
      </c>
      <c r="T4065">
        <v>-5.6035639999999998E-2</v>
      </c>
      <c r="U4065">
        <v>-3.1060029999999998</v>
      </c>
      <c r="V4065">
        <v>-0.12210650000000001</v>
      </c>
      <c r="W4065">
        <v>0.1990326</v>
      </c>
      <c r="X4065">
        <v>0.97235590000000005</v>
      </c>
      <c r="Y4065">
        <v>-0.35665669999999999</v>
      </c>
      <c r="Z4065">
        <v>-3.0334300000000002E-3</v>
      </c>
      <c r="AA4065">
        <v>0.93423060000000002</v>
      </c>
      <c r="AB4065">
        <v>47</v>
      </c>
      <c r="AC4065">
        <v>-12.2387</v>
      </c>
      <c r="AD4065">
        <v>-1.05872086</v>
      </c>
      <c r="AE4065">
        <v>-58.295189999999998</v>
      </c>
      <c r="AF4065">
        <v>-21.408600832207199</v>
      </c>
      <c r="AG4065">
        <v>-1.05872086</v>
      </c>
      <c r="AH4065">
        <v>55.5656912795368</v>
      </c>
      <c r="AI4065">
        <v>91.018583608142293</v>
      </c>
      <c r="AJ4065">
        <v>111.070901748447</v>
      </c>
      <c r="AK4065">
        <v>59.556654765231499</v>
      </c>
      <c r="AL4065">
        <v>78.519606000604099</v>
      </c>
      <c r="AM4065">
        <v>97.157620960476905</v>
      </c>
      <c r="AN4065">
        <v>0.99999998473491003</v>
      </c>
    </row>
    <row r="4066" spans="1:40" x14ac:dyDescent="0.25">
      <c r="A4066" t="str">
        <f>"20190303170620775"</f>
        <v>20190303170620775</v>
      </c>
      <c r="B4066" t="str">
        <f>"1551603980769390"</f>
        <v>1551603980769390</v>
      </c>
      <c r="C4066" t="s">
        <v>40</v>
      </c>
      <c r="D4066">
        <v>6.0353070000000004</v>
      </c>
      <c r="E4066">
        <v>0.40240389999999998</v>
      </c>
      <c r="F4066" t="s">
        <v>41</v>
      </c>
      <c r="G4066">
        <v>-429.95780000000002</v>
      </c>
      <c r="H4066">
        <v>1.714268E-2</v>
      </c>
      <c r="I4066">
        <v>69.059830000000005</v>
      </c>
      <c r="J4066">
        <v>-419.01179999999999</v>
      </c>
      <c r="K4066">
        <v>1.138722</v>
      </c>
      <c r="L4066">
        <v>124.9872</v>
      </c>
      <c r="M4066">
        <v>-0.53027919999999995</v>
      </c>
      <c r="N4066">
        <v>-1.711913E-2</v>
      </c>
      <c r="O4066">
        <v>-0.84765049999999997</v>
      </c>
      <c r="P4066">
        <v>-0.42325249999999998</v>
      </c>
      <c r="Q4066">
        <v>0.18498510000000001</v>
      </c>
      <c r="R4066">
        <v>-0.886926199999999</v>
      </c>
      <c r="S4066">
        <v>-0.61987300000000001</v>
      </c>
      <c r="T4066">
        <v>-6.2002540000000002E-2</v>
      </c>
      <c r="U4066">
        <v>-3.1143489999999998</v>
      </c>
      <c r="V4066">
        <v>-0.1207043</v>
      </c>
      <c r="W4066">
        <v>0.19633919999999999</v>
      </c>
      <c r="X4066">
        <v>0.97307829999999995</v>
      </c>
      <c r="Y4066">
        <v>-0.35454039999999998</v>
      </c>
      <c r="Z4066">
        <v>-1.5233789999999901E-3</v>
      </c>
      <c r="AA4066">
        <v>0.93503950000000002</v>
      </c>
      <c r="AB4066">
        <v>47</v>
      </c>
      <c r="AC4066">
        <v>-10.946</v>
      </c>
      <c r="AD4066">
        <v>-1.1215793199999999</v>
      </c>
      <c r="AE4066">
        <v>-55.927370000000003</v>
      </c>
      <c r="AF4066">
        <v>-20.373829227848301</v>
      </c>
      <c r="AG4066">
        <v>-1.1215793199999999</v>
      </c>
      <c r="AH4066">
        <v>53.198480188300501</v>
      </c>
      <c r="AI4066">
        <v>91.127918478588398</v>
      </c>
      <c r="AJ4066">
        <v>110.95572337926799</v>
      </c>
      <c r="AK4066">
        <v>56.977444238238597</v>
      </c>
      <c r="AL4066">
        <v>78.677033374842495</v>
      </c>
      <c r="AM4066">
        <v>97.071064914958399</v>
      </c>
      <c r="AN4066">
        <v>0.99999999371300996</v>
      </c>
    </row>
    <row r="4067" spans="1:40" x14ac:dyDescent="0.25">
      <c r="A4067" t="str">
        <f>"20190303170620796"</f>
        <v>20190303170620796</v>
      </c>
      <c r="B4067" t="str">
        <f>"1551603980788910"</f>
        <v>1551603980788910</v>
      </c>
      <c r="C4067" t="s">
        <v>40</v>
      </c>
      <c r="D4067">
        <v>6.0368269999999997</v>
      </c>
      <c r="E4067">
        <v>0.40327780000000002</v>
      </c>
      <c r="F4067" t="s">
        <v>41</v>
      </c>
      <c r="G4067">
        <v>-427.68099999999998</v>
      </c>
      <c r="H4067" s="1">
        <v>-5.2535029999999996E-6</v>
      </c>
      <c r="I4067">
        <v>78.420719999999903</v>
      </c>
      <c r="J4067">
        <v>-419.25130000000001</v>
      </c>
      <c r="K4067">
        <v>1.138727</v>
      </c>
      <c r="L4067">
        <v>124.6086</v>
      </c>
      <c r="M4067">
        <v>-0.51794790000000002</v>
      </c>
      <c r="N4067">
        <v>-1.7132080000000001E-2</v>
      </c>
      <c r="O4067">
        <v>-0.85524080000000002</v>
      </c>
      <c r="P4067">
        <v>-0.41076560000000001</v>
      </c>
      <c r="Q4067">
        <v>0.18441299999999999</v>
      </c>
      <c r="R4067">
        <v>-0.89289629999999998</v>
      </c>
      <c r="S4067">
        <v>-0.58105469999999904</v>
      </c>
      <c r="T4067">
        <v>-7.632303E-2</v>
      </c>
      <c r="U4067">
        <v>-3.1211090000000001</v>
      </c>
      <c r="V4067">
        <v>-0.1203051</v>
      </c>
      <c r="W4067">
        <v>0.19579779999999999</v>
      </c>
      <c r="X4067">
        <v>0.97323680000000001</v>
      </c>
      <c r="Y4067">
        <v>-0.35258479999999998</v>
      </c>
      <c r="Z4067">
        <v>2.0205219999999999E-3</v>
      </c>
      <c r="AA4067">
        <v>0.93577770000000005</v>
      </c>
      <c r="AB4067">
        <v>47</v>
      </c>
      <c r="AC4067">
        <v>-8.4296999999999596</v>
      </c>
      <c r="AD4067">
        <v>-1.138732253503</v>
      </c>
      <c r="AE4067">
        <v>-46.18788</v>
      </c>
      <c r="AF4067">
        <v>-16.706115117496299</v>
      </c>
      <c r="AG4067">
        <v>-1.138732253503</v>
      </c>
      <c r="AH4067">
        <v>43.848542540491202</v>
      </c>
      <c r="AI4067">
        <v>91.390180439333506</v>
      </c>
      <c r="AJ4067">
        <v>110.85663567843601</v>
      </c>
      <c r="AK4067">
        <v>46.9370394932347</v>
      </c>
      <c r="AL4067">
        <v>78.708667187547505</v>
      </c>
      <c r="AM4067">
        <v>97.046778397638207</v>
      </c>
      <c r="AN4067">
        <v>0.99999998222254405</v>
      </c>
    </row>
    <row r="4068" spans="1:40" x14ac:dyDescent="0.25">
      <c r="A4068" t="str">
        <f>"20190303170620819"</f>
        <v>20190303170620819</v>
      </c>
      <c r="B4068" t="str">
        <f>"1551603980809407"</f>
        <v>1551603980809407</v>
      </c>
      <c r="C4068" t="s">
        <v>40</v>
      </c>
      <c r="D4068">
        <v>6.0411000000000001</v>
      </c>
      <c r="E4068">
        <v>0.40367839999999999</v>
      </c>
      <c r="F4068" t="s">
        <v>41</v>
      </c>
      <c r="G4068">
        <v>-426.68040000000002</v>
      </c>
      <c r="H4068" s="1">
        <v>-2.7769E-6</v>
      </c>
      <c r="I4068">
        <v>81.918779999999998</v>
      </c>
      <c r="J4068">
        <v>-419.49220000000003</v>
      </c>
      <c r="K4068">
        <v>1.138744</v>
      </c>
      <c r="L4068">
        <v>124.21550000000001</v>
      </c>
      <c r="M4068">
        <v>-0.5050692</v>
      </c>
      <c r="N4068">
        <v>-1.7146870000000002E-2</v>
      </c>
      <c r="O4068">
        <v>-0.86290849999999997</v>
      </c>
      <c r="P4068">
        <v>-0.39622449999999998</v>
      </c>
      <c r="Q4068">
        <v>0.18648380000000001</v>
      </c>
      <c r="R4068">
        <v>-0.89901629999999999</v>
      </c>
      <c r="S4068">
        <v>-0.54412839999999996</v>
      </c>
      <c r="T4068">
        <v>-8.3404539999999999E-2</v>
      </c>
      <c r="U4068">
        <v>-3.1267550000000002</v>
      </c>
      <c r="V4068">
        <v>-0.1213954</v>
      </c>
      <c r="W4068">
        <v>0.19782259999999999</v>
      </c>
      <c r="X4068">
        <v>0.9726918</v>
      </c>
      <c r="Y4068">
        <v>-0.34955819999999999</v>
      </c>
      <c r="Z4068">
        <v>3.9177379999999996E-3</v>
      </c>
      <c r="AA4068">
        <v>0.93690649999999998</v>
      </c>
      <c r="AB4068">
        <v>47</v>
      </c>
      <c r="AC4068">
        <v>-7.1881999999999904</v>
      </c>
      <c r="AD4068">
        <v>-1.1387467768999999</v>
      </c>
      <c r="AE4068">
        <v>-42.296720000000001</v>
      </c>
      <c r="AF4068">
        <v>-15.1515667066228</v>
      </c>
      <c r="AG4068">
        <v>-1.1387467768999999</v>
      </c>
      <c r="AH4068">
        <v>40.106383755591303</v>
      </c>
      <c r="AI4068">
        <v>91.521472383064093</v>
      </c>
      <c r="AJ4068">
        <v>110.695783500822</v>
      </c>
      <c r="AK4068">
        <v>42.888095502573897</v>
      </c>
      <c r="AL4068">
        <v>78.590340371731003</v>
      </c>
      <c r="AM4068">
        <v>97.113934088311296</v>
      </c>
      <c r="AN4068">
        <v>0.99999998099957899</v>
      </c>
    </row>
    <row r="4069" spans="1:40" x14ac:dyDescent="0.25">
      <c r="A4069" t="str">
        <f>"20190303170620840"</f>
        <v>20190303170620840</v>
      </c>
      <c r="B4069" t="str">
        <f>"1551603980828927"</f>
        <v>1551603980828927</v>
      </c>
      <c r="C4069" t="s">
        <v>40</v>
      </c>
      <c r="D4069">
        <v>6.0603150000000001</v>
      </c>
      <c r="E4069">
        <v>0.40437650000000003</v>
      </c>
      <c r="F4069" t="s">
        <v>41</v>
      </c>
      <c r="G4069">
        <v>-426.27960000000002</v>
      </c>
      <c r="H4069" s="1">
        <v>-2.5807469999999999E-6</v>
      </c>
      <c r="I4069">
        <v>81.710130000000007</v>
      </c>
      <c r="J4069">
        <v>-419.71820000000002</v>
      </c>
      <c r="K4069">
        <v>1.1387750000000001</v>
      </c>
      <c r="L4069">
        <v>123.834</v>
      </c>
      <c r="M4069">
        <v>-0.49250539999999998</v>
      </c>
      <c r="N4069">
        <v>-1.716266E-2</v>
      </c>
      <c r="O4069">
        <v>-0.87014009999999997</v>
      </c>
      <c r="P4069">
        <v>-0.38143179999999999</v>
      </c>
      <c r="Q4069">
        <v>0.18957830000000001</v>
      </c>
      <c r="R4069">
        <v>-0.90474860000000001</v>
      </c>
      <c r="S4069">
        <v>-0.50042719999999996</v>
      </c>
      <c r="T4069">
        <v>-8.3958270000000002E-2</v>
      </c>
      <c r="U4069">
        <v>-3.1338650000000001</v>
      </c>
      <c r="V4069">
        <v>-0.1230768</v>
      </c>
      <c r="W4069">
        <v>0.20084160000000001</v>
      </c>
      <c r="X4069">
        <v>0.97186150000000004</v>
      </c>
      <c r="Y4069">
        <v>-0.3490452</v>
      </c>
      <c r="Z4069">
        <v>4.2105399999999996E-3</v>
      </c>
      <c r="AA4069">
        <v>0.93709640000000005</v>
      </c>
      <c r="AB4069">
        <v>47</v>
      </c>
      <c r="AC4069">
        <v>-6.5613999999999901</v>
      </c>
      <c r="AD4069">
        <v>-1.138777580747</v>
      </c>
      <c r="AE4069">
        <v>-42.123869999999997</v>
      </c>
      <c r="AF4069">
        <v>-15.0283887461297</v>
      </c>
      <c r="AG4069">
        <v>-1.138777580747</v>
      </c>
      <c r="AH4069">
        <v>39.862627484527998</v>
      </c>
      <c r="AI4069">
        <v>91.531207298781993</v>
      </c>
      <c r="AJ4069">
        <v>110.65666717318599</v>
      </c>
      <c r="AK4069">
        <v>42.616644080141398</v>
      </c>
      <c r="AL4069">
        <v>78.413822314030597</v>
      </c>
      <c r="AM4069">
        <v>97.217532124795795</v>
      </c>
      <c r="AN4069">
        <v>1.0000000110855201</v>
      </c>
    </row>
    <row r="4070" spans="1:40" x14ac:dyDescent="0.25">
      <c r="A4070" t="str">
        <f>"20190303170620864"</f>
        <v>20190303170620864</v>
      </c>
      <c r="B4070" t="str">
        <f>"1551603980859182"</f>
        <v>1551603980859182</v>
      </c>
      <c r="C4070" t="s">
        <v>40</v>
      </c>
      <c r="D4070">
        <v>6.0645959999999999</v>
      </c>
      <c r="E4070">
        <v>0.40553400000000001</v>
      </c>
      <c r="F4070" t="s">
        <v>41</v>
      </c>
      <c r="G4070">
        <v>-426.25439999999998</v>
      </c>
      <c r="H4070" s="1">
        <v>-5.1521049999999997E-6</v>
      </c>
      <c r="I4070">
        <v>78.866380000000007</v>
      </c>
      <c r="J4070">
        <v>-419.95429999999999</v>
      </c>
      <c r="K4070">
        <v>1.138798</v>
      </c>
      <c r="L4070">
        <v>123.42189999999999</v>
      </c>
      <c r="M4070">
        <v>-0.47886250000000002</v>
      </c>
      <c r="N4070">
        <v>-1.7181129999999999E-2</v>
      </c>
      <c r="O4070">
        <v>-0.877721999999999</v>
      </c>
      <c r="P4070">
        <v>-0.36595349999999999</v>
      </c>
      <c r="Q4070">
        <v>0.1873071</v>
      </c>
      <c r="R4070">
        <v>-0.91158899999999998</v>
      </c>
      <c r="S4070">
        <v>-0.45642090000000002</v>
      </c>
      <c r="T4070">
        <v>-7.9521060000000005E-2</v>
      </c>
      <c r="U4070">
        <v>-3.140091</v>
      </c>
      <c r="V4070">
        <v>-0.1246046</v>
      </c>
      <c r="W4070">
        <v>0.1985162</v>
      </c>
      <c r="X4070">
        <v>0.97214449999999997</v>
      </c>
      <c r="Y4070">
        <v>-0.34754559999999901</v>
      </c>
      <c r="Z4070">
        <v>3.2840180000000001E-3</v>
      </c>
      <c r="AA4070">
        <v>0.93765739999999997</v>
      </c>
      <c r="AB4070">
        <v>47</v>
      </c>
      <c r="AC4070">
        <v>-6.30009999999998</v>
      </c>
      <c r="AD4070">
        <v>-1.1388031521049999</v>
      </c>
      <c r="AE4070">
        <v>-44.555519999999902</v>
      </c>
      <c r="AF4070">
        <v>-15.798443269206899</v>
      </c>
      <c r="AG4070">
        <v>-1.1388031521049999</v>
      </c>
      <c r="AH4070">
        <v>42.103486283182001</v>
      </c>
      <c r="AI4070">
        <v>91.450628804415302</v>
      </c>
      <c r="AJ4070">
        <v>110.567540561065</v>
      </c>
      <c r="AK4070">
        <v>44.984344382770402</v>
      </c>
      <c r="AL4070">
        <v>78.549795669545304</v>
      </c>
      <c r="AM4070">
        <v>97.304059987784697</v>
      </c>
      <c r="AN4070">
        <v>0.99999995844192402</v>
      </c>
    </row>
    <row r="4071" spans="1:40" x14ac:dyDescent="0.25">
      <c r="A4071" t="str">
        <f>"20190303170620885"</f>
        <v>20190303170620885</v>
      </c>
      <c r="B4071" t="str">
        <f>"1551603980878702"</f>
        <v>1551603980878702</v>
      </c>
      <c r="C4071" t="s">
        <v>40</v>
      </c>
      <c r="D4071">
        <v>6.0830279999999997</v>
      </c>
      <c r="E4071">
        <v>0.41596759999999999</v>
      </c>
      <c r="F4071" t="s">
        <v>41</v>
      </c>
      <c r="G4071">
        <v>-424.98520000000002</v>
      </c>
      <c r="H4071" s="1">
        <v>-3.5787429999999998E-6</v>
      </c>
      <c r="I4071">
        <v>84.904529999999994</v>
      </c>
      <c r="J4071">
        <v>-420.1782</v>
      </c>
      <c r="K4071">
        <v>1.1388100000000001</v>
      </c>
      <c r="L4071">
        <v>123.0157</v>
      </c>
      <c r="M4071">
        <v>-0.46534789999999998</v>
      </c>
      <c r="N4071">
        <v>-1.7200920000000001E-2</v>
      </c>
      <c r="O4071">
        <v>-0.88496090000000005</v>
      </c>
      <c r="P4071">
        <v>-0.35196889999999997</v>
      </c>
      <c r="Q4071">
        <v>0.18257979999999999</v>
      </c>
      <c r="R4071">
        <v>-0.91803230000000002</v>
      </c>
      <c r="S4071">
        <v>-0.41079710000000003</v>
      </c>
      <c r="T4071">
        <v>-9.2988489999999993E-2</v>
      </c>
      <c r="U4071">
        <v>-3.1451259999999999</v>
      </c>
      <c r="V4071">
        <v>-0.12479999999999999</v>
      </c>
      <c r="W4071">
        <v>0.1938059</v>
      </c>
      <c r="X4071">
        <v>0.97306950000000003</v>
      </c>
      <c r="Y4071">
        <v>-0.34671729999999901</v>
      </c>
      <c r="Z4071">
        <v>6.8433259999999899E-3</v>
      </c>
      <c r="AA4071">
        <v>0.93794469999999996</v>
      </c>
      <c r="AB4071">
        <v>47</v>
      </c>
      <c r="AC4071">
        <v>-4.8070000000000102</v>
      </c>
      <c r="AD4071">
        <v>-1.138813578743</v>
      </c>
      <c r="AE4071">
        <v>-38.111169999999902</v>
      </c>
      <c r="AF4071">
        <v>-13.471098459881199</v>
      </c>
      <c r="AG4071">
        <v>-1.138813578743</v>
      </c>
      <c r="AH4071">
        <v>35.937552182822898</v>
      </c>
      <c r="AI4071">
        <v>91.699611676309203</v>
      </c>
      <c r="AJ4071">
        <v>110.54838009014099</v>
      </c>
      <c r="AK4071">
        <v>38.396289494898603</v>
      </c>
      <c r="AL4071">
        <v>78.825024069353404</v>
      </c>
      <c r="AM4071">
        <v>97.308511159485505</v>
      </c>
      <c r="AN4071">
        <v>1.0000000093525201</v>
      </c>
    </row>
    <row r="4072" spans="1:40" x14ac:dyDescent="0.25">
      <c r="A4072" t="str">
        <f>"20190303170620907"</f>
        <v>20190303170620907</v>
      </c>
      <c r="B4072" t="str">
        <f>"1551603980899198"</f>
        <v>1551603980899198</v>
      </c>
      <c r="C4072" t="s">
        <v>40</v>
      </c>
      <c r="D4072">
        <v>6.0425089999999999</v>
      </c>
      <c r="E4072">
        <v>0.40966249999999998</v>
      </c>
      <c r="F4072" t="s">
        <v>41</v>
      </c>
      <c r="G4072">
        <v>-423.25749999999999</v>
      </c>
      <c r="H4072" s="1">
        <v>-1.5803069999999999E-6</v>
      </c>
      <c r="I4072">
        <v>101.1011</v>
      </c>
      <c r="J4072">
        <v>-420.39120000000003</v>
      </c>
      <c r="K4072">
        <v>1.138817</v>
      </c>
      <c r="L4072">
        <v>122.61499999999999</v>
      </c>
      <c r="M4072">
        <v>-0.45195239999999998</v>
      </c>
      <c r="N4072">
        <v>-1.7221719999999999E-2</v>
      </c>
      <c r="O4072">
        <v>-0.891876</v>
      </c>
      <c r="P4072">
        <v>-0.33804010000000001</v>
      </c>
      <c r="Q4072">
        <v>0.18101300000000001</v>
      </c>
      <c r="R4072">
        <v>-0.92356050000000001</v>
      </c>
      <c r="S4072">
        <v>-0.44003300000000001</v>
      </c>
      <c r="T4072">
        <v>-0.16273189999999901</v>
      </c>
      <c r="U4072">
        <v>-3.131516</v>
      </c>
      <c r="V4072">
        <v>-0.1249252</v>
      </c>
      <c r="W4072">
        <v>0.19225249999999999</v>
      </c>
      <c r="X4072">
        <v>0.97336160000000005</v>
      </c>
      <c r="Y4072">
        <v>-0.32333139999999999</v>
      </c>
      <c r="Z4072">
        <v>2.534517E-2</v>
      </c>
      <c r="AA4072">
        <v>0.94594630000000002</v>
      </c>
      <c r="AB4072">
        <v>47</v>
      </c>
      <c r="AC4072">
        <v>-2.8662999999999599</v>
      </c>
      <c r="AD4072">
        <v>-1.1388185803069999</v>
      </c>
      <c r="AE4072">
        <v>-21.5138999999999</v>
      </c>
      <c r="AF4072">
        <v>-7.1482561050833402</v>
      </c>
      <c r="AG4072">
        <v>-1.1388185803069999</v>
      </c>
      <c r="AH4072">
        <v>20.429950087782501</v>
      </c>
      <c r="AI4072">
        <v>93.011834994275603</v>
      </c>
      <c r="AJ4072">
        <v>109.284483438629</v>
      </c>
      <c r="AK4072">
        <v>21.674347364845801</v>
      </c>
      <c r="AL4072">
        <v>78.915733955733302</v>
      </c>
      <c r="AM4072">
        <v>97.313592060735402</v>
      </c>
      <c r="AN4072">
        <v>1.0000000668529201</v>
      </c>
    </row>
    <row r="4073" spans="1:40" x14ac:dyDescent="0.25">
      <c r="A4073" t="str">
        <f>"20190303170620931"</f>
        <v>20190303170620931</v>
      </c>
      <c r="B4073" t="str">
        <f>"1551603980918719"</f>
        <v>1551603980918719</v>
      </c>
      <c r="C4073" t="s">
        <v>40</v>
      </c>
      <c r="D4073">
        <v>5.9700759999999997</v>
      </c>
      <c r="E4073">
        <v>0.38386940000000003</v>
      </c>
      <c r="F4073" t="s">
        <v>41</v>
      </c>
      <c r="G4073">
        <v>-423.28579999999999</v>
      </c>
      <c r="H4073" s="1">
        <v>-3.7413940000000001E-6</v>
      </c>
      <c r="I4073">
        <v>96.27243</v>
      </c>
      <c r="J4073">
        <v>-420.60039999999998</v>
      </c>
      <c r="K4073">
        <v>1.1388389999999999</v>
      </c>
      <c r="L4073">
        <v>122.2069</v>
      </c>
      <c r="M4073">
        <v>-0.4382508</v>
      </c>
      <c r="N4073">
        <v>-1.7243459999999999E-2</v>
      </c>
      <c r="O4073">
        <v>-0.89868740000000003</v>
      </c>
      <c r="P4073">
        <v>-0.32301829999999998</v>
      </c>
      <c r="Q4073">
        <v>0.18361910000000001</v>
      </c>
      <c r="R4073">
        <v>-0.92840919999999905</v>
      </c>
      <c r="S4073">
        <v>-0.34594730000000001</v>
      </c>
      <c r="T4073">
        <v>-0.1361068</v>
      </c>
      <c r="U4073">
        <v>-3.1483460000000001</v>
      </c>
      <c r="V4073">
        <v>-0.12572</v>
      </c>
      <c r="W4073">
        <v>0.19483159999999999</v>
      </c>
      <c r="X4073">
        <v>0.97274620000000001</v>
      </c>
      <c r="Y4073">
        <v>-0.33734589999999998</v>
      </c>
      <c r="Z4073">
        <v>1.851744E-2</v>
      </c>
      <c r="AA4073">
        <v>0.9411986</v>
      </c>
      <c r="AB4073">
        <v>47</v>
      </c>
      <c r="AC4073">
        <v>-2.6854000000000098</v>
      </c>
      <c r="AD4073">
        <v>-1.1388427413940001</v>
      </c>
      <c r="AE4073">
        <v>-25.934470000000001</v>
      </c>
      <c r="AF4073">
        <v>-8.9367478300721004</v>
      </c>
      <c r="AG4073">
        <v>-1.1388427413940001</v>
      </c>
      <c r="AH4073">
        <v>24.440869958423601</v>
      </c>
      <c r="AI4073">
        <v>92.505786017673401</v>
      </c>
      <c r="AJ4073">
        <v>110.084822864247</v>
      </c>
      <c r="AK4073">
        <v>26.048388604527801</v>
      </c>
      <c r="AL4073">
        <v>78.765113926056998</v>
      </c>
      <c r="AM4073">
        <v>97.364219012601595</v>
      </c>
      <c r="AN4073">
        <v>1.00000002018649</v>
      </c>
    </row>
    <row r="4074" spans="1:40" x14ac:dyDescent="0.25">
      <c r="A4074" t="str">
        <f>"20190303170620957"</f>
        <v>20190303170620957</v>
      </c>
      <c r="B4074" t="str">
        <f>"1551603980949553"</f>
        <v>1551603980949553</v>
      </c>
      <c r="C4074" t="s">
        <v>40</v>
      </c>
      <c r="D4074">
        <v>5.971508</v>
      </c>
      <c r="E4074">
        <v>0.38080910000000001</v>
      </c>
      <c r="F4074" t="s">
        <v>92</v>
      </c>
      <c r="G4074">
        <v>-424.43189999999998</v>
      </c>
      <c r="H4074">
        <v>1.983438</v>
      </c>
      <c r="I4074">
        <v>0.43231960000000003</v>
      </c>
      <c r="J4074">
        <v>-420.83539999999999</v>
      </c>
      <c r="K4074">
        <v>1.1388780000000001</v>
      </c>
      <c r="L4074">
        <v>121.7296</v>
      </c>
      <c r="M4074">
        <v>-0.42215029999999998</v>
      </c>
      <c r="N4074">
        <v>-1.7268539999999999E-2</v>
      </c>
      <c r="O4074">
        <v>-0.90636150000000004</v>
      </c>
      <c r="P4074">
        <v>-0.3050773</v>
      </c>
      <c r="Q4074">
        <v>0.18644569999999999</v>
      </c>
      <c r="R4074">
        <v>-0.93389820000000001</v>
      </c>
      <c r="S4074">
        <v>-0.1004333</v>
      </c>
      <c r="T4074">
        <v>2.2138120000000001E-2</v>
      </c>
      <c r="U4074">
        <v>-3.1919710000000001</v>
      </c>
      <c r="V4074">
        <v>-0.1270097</v>
      </c>
      <c r="W4074">
        <v>0.19760939999999999</v>
      </c>
      <c r="X4074">
        <v>0.97201800000000005</v>
      </c>
      <c r="Y4074">
        <v>-0.3934706</v>
      </c>
      <c r="Z4074">
        <v>-2.283118E-2</v>
      </c>
      <c r="AA4074">
        <v>0.91905369999999997</v>
      </c>
      <c r="AB4074">
        <v>46</v>
      </c>
      <c r="AC4074">
        <v>-3.59649999999999</v>
      </c>
      <c r="AD4074">
        <v>0.84455999999999998</v>
      </c>
      <c r="AE4074">
        <v>-121.29728040000001</v>
      </c>
      <c r="AF4074">
        <v>-47.950776061103298</v>
      </c>
      <c r="AG4074">
        <v>0.84455999999999998</v>
      </c>
      <c r="AH4074">
        <v>111.468657748615</v>
      </c>
      <c r="AI4074">
        <v>89.601227426341396</v>
      </c>
      <c r="AJ4074">
        <v>113.27605631068</v>
      </c>
      <c r="AK4074">
        <v>121.34764878947399</v>
      </c>
      <c r="AL4074">
        <v>78.602801651589303</v>
      </c>
      <c r="AM4074">
        <v>97.444433517073804</v>
      </c>
      <c r="AN4074">
        <v>0.99999996559322402</v>
      </c>
    </row>
    <row r="4075" spans="1:40" x14ac:dyDescent="0.25">
      <c r="A4075" t="str">
        <f>"20190303170620974"</f>
        <v>20190303170620974</v>
      </c>
      <c r="B4075" t="str">
        <f>"1551603980969074"</f>
        <v>1551603980969074</v>
      </c>
      <c r="C4075" t="s">
        <v>40</v>
      </c>
      <c r="D4075">
        <v>5.9962770000000001</v>
      </c>
      <c r="E4075">
        <v>0.38171490000000002</v>
      </c>
      <c r="F4075" t="s">
        <v>92</v>
      </c>
      <c r="G4075">
        <v>-421.43950000000001</v>
      </c>
      <c r="H4075">
        <v>3.6028389999999999</v>
      </c>
      <c r="I4075">
        <v>1.759787</v>
      </c>
      <c r="J4075">
        <v>-421.00049999999999</v>
      </c>
      <c r="K4075">
        <v>1.1389039999999999</v>
      </c>
      <c r="L4075">
        <v>121.3809</v>
      </c>
      <c r="M4075">
        <v>-0.41033999999999998</v>
      </c>
      <c r="N4075">
        <v>-1.728654E-2</v>
      </c>
      <c r="O4075">
        <v>-0.91176860000000004</v>
      </c>
      <c r="P4075">
        <v>-0.2922691</v>
      </c>
      <c r="Q4075">
        <v>0.18591170000000001</v>
      </c>
      <c r="R4075">
        <v>-0.93809129999999996</v>
      </c>
      <c r="S4075">
        <v>-1.6082760000000001E-2</v>
      </c>
      <c r="T4075">
        <v>6.5598249999999997E-2</v>
      </c>
      <c r="U4075">
        <v>-3.194</v>
      </c>
      <c r="V4075">
        <v>-0.12771060000000001</v>
      </c>
      <c r="W4075">
        <v>0.19705690000000001</v>
      </c>
      <c r="X4075">
        <v>0.97203839999999997</v>
      </c>
      <c r="Y4075">
        <v>-0.40581859999999997</v>
      </c>
      <c r="Z4075">
        <v>-3.4199489999999999E-2</v>
      </c>
      <c r="AA4075">
        <v>0.91331359999999995</v>
      </c>
      <c r="AB4075">
        <v>46</v>
      </c>
      <c r="AC4075">
        <v>-0.43900000000002098</v>
      </c>
      <c r="AD4075">
        <v>2.4639350000000002</v>
      </c>
      <c r="AE4075">
        <v>-119.62111299999999</v>
      </c>
      <c r="AF4075">
        <v>-48.671694001193202</v>
      </c>
      <c r="AG4075">
        <v>2.4639350000000002</v>
      </c>
      <c r="AH4075">
        <v>109.216918885211</v>
      </c>
      <c r="AI4075">
        <v>88.819505758448699</v>
      </c>
      <c r="AJ4075">
        <v>114.019781398557</v>
      </c>
      <c r="AK4075">
        <v>119.596572456776</v>
      </c>
      <c r="AL4075">
        <v>78.635093324182506</v>
      </c>
      <c r="AM4075">
        <v>97.484895571406597</v>
      </c>
      <c r="AN4075">
        <v>1.00000003513226</v>
      </c>
    </row>
    <row r="4076" spans="1:40" x14ac:dyDescent="0.25">
      <c r="A4076" t="str">
        <f>"20190303170620997"</f>
        <v>20190303170620997</v>
      </c>
      <c r="B4076" t="str">
        <f>"1551603980988593"</f>
        <v>1551603980988593</v>
      </c>
      <c r="C4076" t="s">
        <v>40</v>
      </c>
      <c r="D4076">
        <v>5.9927080000000004</v>
      </c>
      <c r="E4076">
        <v>0.38305050000000002</v>
      </c>
      <c r="F4076" t="s">
        <v>92</v>
      </c>
      <c r="G4076">
        <v>-420.19540000000001</v>
      </c>
      <c r="H4076">
        <v>3.531396</v>
      </c>
      <c r="I4076">
        <v>1.7724340000000001</v>
      </c>
      <c r="J4076">
        <v>-421.18599999999998</v>
      </c>
      <c r="K4076">
        <v>1.1389149999999999</v>
      </c>
      <c r="L4076">
        <v>120.9747</v>
      </c>
      <c r="M4076">
        <v>-0.39653270000000002</v>
      </c>
      <c r="N4076">
        <v>-1.7307449999999999E-2</v>
      </c>
      <c r="O4076">
        <v>-0.91785749999999999</v>
      </c>
      <c r="P4076">
        <v>-0.27827859999999999</v>
      </c>
      <c r="Q4076">
        <v>0.18248239999999999</v>
      </c>
      <c r="R4076">
        <v>-0.94300660000000003</v>
      </c>
      <c r="S4076">
        <v>2.1484380000000001E-2</v>
      </c>
      <c r="T4076">
        <v>6.3848260000000004E-2</v>
      </c>
      <c r="U4076">
        <v>-3.1920169999999999</v>
      </c>
      <c r="V4076">
        <v>-0.12761789999999901</v>
      </c>
      <c r="W4076">
        <v>0.1936561</v>
      </c>
      <c r="X4076">
        <v>0.97273370000000003</v>
      </c>
      <c r="Y4076">
        <v>-0.40276640000000002</v>
      </c>
      <c r="Z4076">
        <v>-3.401589E-2</v>
      </c>
      <c r="AA4076">
        <v>0.91467050000000005</v>
      </c>
      <c r="AB4076">
        <v>46</v>
      </c>
      <c r="AC4076">
        <v>0.99059999999997195</v>
      </c>
      <c r="AD4076">
        <v>2.3924810000000001</v>
      </c>
      <c r="AE4076">
        <v>-119.20226599999999</v>
      </c>
      <c r="AF4076">
        <v>-48.164639279377703</v>
      </c>
      <c r="AG4076">
        <v>2.3924810000000001</v>
      </c>
      <c r="AH4076">
        <v>108.99031155829201</v>
      </c>
      <c r="AI4076">
        <v>88.849760769531997</v>
      </c>
      <c r="AJ4076">
        <v>113.841436040397</v>
      </c>
      <c r="AK4076">
        <v>119.18239994152501</v>
      </c>
      <c r="AL4076">
        <v>78.833771851487796</v>
      </c>
      <c r="AM4076">
        <v>97.474238302558803</v>
      </c>
      <c r="AN4076">
        <v>0.99999993229165196</v>
      </c>
    </row>
    <row r="4077" spans="1:40" x14ac:dyDescent="0.25">
      <c r="A4077" t="str">
        <f>"20190303170621019"</f>
        <v>20190303170621019</v>
      </c>
      <c r="B4077" t="str">
        <f>"1551603981009090"</f>
        <v>1551603981009090</v>
      </c>
      <c r="C4077" t="s">
        <v>40</v>
      </c>
      <c r="D4077">
        <v>6.0090379999999897</v>
      </c>
      <c r="E4077">
        <v>0.38440980000000002</v>
      </c>
      <c r="F4077" t="s">
        <v>92</v>
      </c>
      <c r="G4077">
        <v>-418.92290000000003</v>
      </c>
      <c r="H4077">
        <v>2.9921259999999998</v>
      </c>
      <c r="I4077">
        <v>0.4883499</v>
      </c>
      <c r="J4077">
        <v>-421.36739999999998</v>
      </c>
      <c r="K4077">
        <v>1.1389260000000001</v>
      </c>
      <c r="L4077">
        <v>120.5609</v>
      </c>
      <c r="M4077">
        <v>-0.38242100000000001</v>
      </c>
      <c r="N4077">
        <v>-1.732889E-2</v>
      </c>
      <c r="O4077">
        <v>-0.92382569999999997</v>
      </c>
      <c r="P4077">
        <v>-0.26335750000000002</v>
      </c>
      <c r="Q4077">
        <v>0.18117359999999999</v>
      </c>
      <c r="R4077">
        <v>-0.94753299999999996</v>
      </c>
      <c r="S4077">
        <v>5.9906010000000003E-2</v>
      </c>
      <c r="T4077">
        <v>4.9057129999999997E-2</v>
      </c>
      <c r="U4077">
        <v>-3.1894990000000001</v>
      </c>
      <c r="V4077">
        <v>-0.1281117</v>
      </c>
      <c r="W4077">
        <v>0.19234329999999999</v>
      </c>
      <c r="X4077">
        <v>0.9729293</v>
      </c>
      <c r="Y4077">
        <v>-0.39974609999999999</v>
      </c>
      <c r="Z4077">
        <v>-3.0370189999999998E-2</v>
      </c>
      <c r="AA4077">
        <v>0.91612260000000001</v>
      </c>
      <c r="AB4077">
        <v>46</v>
      </c>
      <c r="AC4077">
        <v>2.4444999999999402</v>
      </c>
      <c r="AD4077">
        <v>1.8532</v>
      </c>
      <c r="AE4077">
        <v>-120.07255009999901</v>
      </c>
      <c r="AF4077">
        <v>-48.172320556800898</v>
      </c>
      <c r="AG4077">
        <v>1.8532</v>
      </c>
      <c r="AH4077">
        <v>109.981608244005</v>
      </c>
      <c r="AI4077">
        <v>89.115739710563005</v>
      </c>
      <c r="AJ4077">
        <v>113.653583171115</v>
      </c>
      <c r="AK4077">
        <v>120.083141905952</v>
      </c>
      <c r="AL4077">
        <v>78.910431669009895</v>
      </c>
      <c r="AM4077">
        <v>97.501338779944902</v>
      </c>
      <c r="AN4077">
        <v>0.99999998776513399</v>
      </c>
    </row>
    <row r="4078" spans="1:40" x14ac:dyDescent="0.25">
      <c r="A4078" t="str">
        <f>"20190303170621042"</f>
        <v>20190303170621042</v>
      </c>
      <c r="B4078" t="str">
        <f>"1551603981029493"</f>
        <v>1551603981029493</v>
      </c>
      <c r="C4078" t="s">
        <v>40</v>
      </c>
      <c r="D4078">
        <v>6.0358239999999999</v>
      </c>
      <c r="E4078">
        <v>0.38588070000000002</v>
      </c>
      <c r="F4078" t="s">
        <v>92</v>
      </c>
      <c r="G4078">
        <v>-417.64499999999998</v>
      </c>
      <c r="H4078">
        <v>2.604317</v>
      </c>
      <c r="I4078">
        <v>0.50134469999999998</v>
      </c>
      <c r="J4078">
        <v>-421.54379999999998</v>
      </c>
      <c r="K4078">
        <v>1.138949</v>
      </c>
      <c r="L4078">
        <v>120.1417</v>
      </c>
      <c r="M4078">
        <v>-0.36807390000000001</v>
      </c>
      <c r="N4078">
        <v>-1.7350899999999999E-2</v>
      </c>
      <c r="O4078">
        <v>-0.92963479999999998</v>
      </c>
      <c r="P4078">
        <v>-0.24621889999999999</v>
      </c>
      <c r="Q4078">
        <v>0.18383949999999999</v>
      </c>
      <c r="R4078">
        <v>-0.95161960000000001</v>
      </c>
      <c r="S4078">
        <v>9.8785399999999995E-2</v>
      </c>
      <c r="T4078">
        <v>3.8887980000000003E-2</v>
      </c>
      <c r="U4078">
        <v>-3.1861570000000001</v>
      </c>
      <c r="V4078">
        <v>-0.13055120000000001</v>
      </c>
      <c r="W4078">
        <v>0.1949032</v>
      </c>
      <c r="X4078">
        <v>0.9720953</v>
      </c>
      <c r="Y4078">
        <v>-0.39673570000000002</v>
      </c>
      <c r="Z4078">
        <v>-2.7863829999999999E-2</v>
      </c>
      <c r="AA4078">
        <v>0.91750989999999999</v>
      </c>
      <c r="AB4078">
        <v>46</v>
      </c>
      <c r="AC4078">
        <v>3.8987999999999898</v>
      </c>
      <c r="AD4078">
        <v>1.465368</v>
      </c>
      <c r="AE4078">
        <v>-119.6403553</v>
      </c>
      <c r="AF4078">
        <v>-47.660978459491702</v>
      </c>
      <c r="AG4078">
        <v>1.465368</v>
      </c>
      <c r="AH4078">
        <v>109.786851437026</v>
      </c>
      <c r="AI4078">
        <v>89.298537366578998</v>
      </c>
      <c r="AJ4078">
        <v>113.466765334084</v>
      </c>
      <c r="AK4078">
        <v>119.694899304637</v>
      </c>
      <c r="AL4078">
        <v>78.760931965292897</v>
      </c>
      <c r="AM4078">
        <v>97.648985536767199</v>
      </c>
      <c r="AN4078">
        <v>1.0000000727368801</v>
      </c>
    </row>
    <row r="4079" spans="1:40" x14ac:dyDescent="0.25">
      <c r="A4079" t="str">
        <f>"20190303170621065"</f>
        <v>20190303170621065</v>
      </c>
      <c r="B4079" t="str">
        <f>"1551603981058772"</f>
        <v>1551603981058772</v>
      </c>
      <c r="C4079" t="s">
        <v>40</v>
      </c>
      <c r="D4079">
        <v>6.2166079999999999</v>
      </c>
      <c r="E4079">
        <v>0.38650400000000001</v>
      </c>
      <c r="F4079" t="s">
        <v>92</v>
      </c>
      <c r="G4079">
        <v>-416.24349999999998</v>
      </c>
      <c r="H4079">
        <v>2.580543</v>
      </c>
      <c r="I4079">
        <v>1.2764660000000001</v>
      </c>
      <c r="J4079">
        <v>-421.71879999999999</v>
      </c>
      <c r="K4079">
        <v>1.1389849999999999</v>
      </c>
      <c r="L4079">
        <v>119.70569999999999</v>
      </c>
      <c r="M4079">
        <v>-0.35310940000000002</v>
      </c>
      <c r="N4079">
        <v>-1.7374150000000001E-2</v>
      </c>
      <c r="O4079">
        <v>-0.93542099999999995</v>
      </c>
      <c r="P4079">
        <v>-0.22849240000000001</v>
      </c>
      <c r="Q4079">
        <v>0.18838779999999999</v>
      </c>
      <c r="R4079">
        <v>-0.95514500000000002</v>
      </c>
      <c r="S4079">
        <v>0.14187620000000001</v>
      </c>
      <c r="T4079">
        <v>3.8587450000000002E-2</v>
      </c>
      <c r="U4079">
        <v>-3.1817470000000001</v>
      </c>
      <c r="V4079">
        <v>-0.13292619999999999</v>
      </c>
      <c r="W4079">
        <v>0.1993452</v>
      </c>
      <c r="X4079">
        <v>0.97087190000000001</v>
      </c>
      <c r="Y4079">
        <v>-0.39445180000000002</v>
      </c>
      <c r="Z4079">
        <v>-2.796775E-2</v>
      </c>
      <c r="AA4079">
        <v>0.9184909</v>
      </c>
      <c r="AB4079">
        <v>46</v>
      </c>
      <c r="AC4079">
        <v>5.4752999999999998</v>
      </c>
      <c r="AD4079">
        <v>1.4415579999999999</v>
      </c>
      <c r="AE4079">
        <v>-118.42923399999999</v>
      </c>
      <c r="AF4079">
        <v>-46.940319511373197</v>
      </c>
      <c r="AG4079">
        <v>1.4415579999999999</v>
      </c>
      <c r="AH4079">
        <v>108.848121355871</v>
      </c>
      <c r="AI4079">
        <v>89.303253201958597</v>
      </c>
      <c r="AJ4079">
        <v>113.327928963845</v>
      </c>
      <c r="AK4079">
        <v>118.546974689359</v>
      </c>
      <c r="AL4079">
        <v>78.501330023931899</v>
      </c>
      <c r="AM4079">
        <v>97.796135759894995</v>
      </c>
      <c r="AN4079">
        <v>1.00000006480954</v>
      </c>
    </row>
    <row r="4080" spans="1:40" x14ac:dyDescent="0.25">
      <c r="A4080" t="str">
        <f>"20190303170621087"</f>
        <v>20190303170621087</v>
      </c>
      <c r="B4080" t="str">
        <f>"1551603981079269"</f>
        <v>1551603981079269</v>
      </c>
      <c r="C4080" t="s">
        <v>40</v>
      </c>
      <c r="D4080">
        <v>6.0551240000000002</v>
      </c>
      <c r="E4080">
        <v>0.39760269999999998</v>
      </c>
      <c r="F4080" t="s">
        <v>92</v>
      </c>
      <c r="G4080">
        <v>-414.40550000000002</v>
      </c>
      <c r="H4080">
        <v>3.1044119999999999</v>
      </c>
      <c r="I4080">
        <v>0.53429409999999999</v>
      </c>
      <c r="J4080">
        <v>-421.87729999999999</v>
      </c>
      <c r="K4080">
        <v>1.1390049999999901</v>
      </c>
      <c r="L4080">
        <v>119.2919</v>
      </c>
      <c r="M4080">
        <v>-0.33886430000000001</v>
      </c>
      <c r="N4080">
        <v>-1.7396430000000001E-2</v>
      </c>
      <c r="O4080">
        <v>-0.94067449999999997</v>
      </c>
      <c r="P4080">
        <v>-0.21352840000000001</v>
      </c>
      <c r="Q4080">
        <v>0.18849450000000001</v>
      </c>
      <c r="R4080">
        <v>-0.95858010000000005</v>
      </c>
      <c r="S4080">
        <v>0.19497680000000001</v>
      </c>
      <c r="T4080">
        <v>5.239916E-2</v>
      </c>
      <c r="U4080">
        <v>-3.1772</v>
      </c>
      <c r="V4080">
        <v>-0.1333704</v>
      </c>
      <c r="W4080">
        <v>0.1994494</v>
      </c>
      <c r="X4080">
        <v>0.97078949999999997</v>
      </c>
      <c r="Y4080">
        <v>-0.3958701</v>
      </c>
      <c r="Z4080">
        <v>-3.191281E-2</v>
      </c>
      <c r="AA4080">
        <v>0.91775180000000001</v>
      </c>
      <c r="AB4080">
        <v>46</v>
      </c>
      <c r="AC4080">
        <v>7.4717999999999698</v>
      </c>
      <c r="AD4080">
        <v>1.9654069999999999</v>
      </c>
      <c r="AE4080">
        <v>-118.7576059</v>
      </c>
      <c r="AF4080">
        <v>-47.265500757957</v>
      </c>
      <c r="AG4080">
        <v>1.9654069999999999</v>
      </c>
      <c r="AH4080">
        <v>109.16705869187</v>
      </c>
      <c r="AI4080">
        <v>89.053469141591705</v>
      </c>
      <c r="AJ4080">
        <v>113.410916288802</v>
      </c>
      <c r="AK4080">
        <v>118.976203881324</v>
      </c>
      <c r="AL4080">
        <v>78.4952365856022</v>
      </c>
      <c r="AM4080">
        <v>97.822521872054097</v>
      </c>
      <c r="AN4080">
        <v>0.99999999003338402</v>
      </c>
    </row>
    <row r="4081" spans="1:40" x14ac:dyDescent="0.25">
      <c r="A4081" t="str">
        <f>"20190303170621109"</f>
        <v>20190303170621109</v>
      </c>
      <c r="B4081" t="str">
        <f>"1551603981098789"</f>
        <v>1551603981098789</v>
      </c>
      <c r="C4081" t="s">
        <v>40</v>
      </c>
      <c r="D4081">
        <v>6.0581360000000002</v>
      </c>
      <c r="E4081">
        <v>0.3985051</v>
      </c>
      <c r="F4081" t="s">
        <v>92</v>
      </c>
      <c r="G4081">
        <v>-415.92759999999998</v>
      </c>
      <c r="H4081">
        <v>2.8407070000000001</v>
      </c>
      <c r="I4081">
        <v>1.277712</v>
      </c>
      <c r="J4081">
        <v>-422.03160000000003</v>
      </c>
      <c r="K4081">
        <v>1.1390119999999999</v>
      </c>
      <c r="L4081">
        <v>118.87009999999999</v>
      </c>
      <c r="M4081">
        <v>-0.3243084</v>
      </c>
      <c r="N4081">
        <v>-1.741937E-2</v>
      </c>
      <c r="O4081">
        <v>-0.9457911</v>
      </c>
      <c r="P4081">
        <v>-0.19991809999999999</v>
      </c>
      <c r="Q4081">
        <v>0.18418300000000001</v>
      </c>
      <c r="R4081">
        <v>-0.96234600000000003</v>
      </c>
      <c r="S4081">
        <v>0.1591187</v>
      </c>
      <c r="T4081">
        <v>4.5509220000000003E-2</v>
      </c>
      <c r="U4081">
        <v>-3.1561430000000001</v>
      </c>
      <c r="V4081">
        <v>-0.1322255</v>
      </c>
      <c r="W4081">
        <v>0.19522310000000001</v>
      </c>
      <c r="X4081">
        <v>0.97180469999999997</v>
      </c>
      <c r="Y4081">
        <v>-0.37154160000000003</v>
      </c>
      <c r="Z4081">
        <v>-3.0283529999999999E-2</v>
      </c>
      <c r="AA4081">
        <v>0.92792220000000003</v>
      </c>
      <c r="AB4081">
        <v>46</v>
      </c>
      <c r="AC4081">
        <v>6.1040000000000401</v>
      </c>
      <c r="AD4081">
        <v>1.701695</v>
      </c>
      <c r="AE4081">
        <v>-117.592387999999</v>
      </c>
      <c r="AF4081">
        <v>-43.906797517270697</v>
      </c>
      <c r="AG4081">
        <v>1.701695</v>
      </c>
      <c r="AH4081">
        <v>109.23200971061</v>
      </c>
      <c r="AI4081">
        <v>89.171864717022501</v>
      </c>
      <c r="AJ4081">
        <v>111.898108461915</v>
      </c>
      <c r="AK4081">
        <v>117.738415903708</v>
      </c>
      <c r="AL4081">
        <v>78.742243329864294</v>
      </c>
      <c r="AM4081">
        <v>97.7481872834082</v>
      </c>
      <c r="AN4081">
        <v>1.0000000082829701</v>
      </c>
    </row>
    <row r="4082" spans="1:40" x14ac:dyDescent="0.25">
      <c r="A4082" t="str">
        <f>"20190303170621131"</f>
        <v>20190303170621131</v>
      </c>
      <c r="B4082" t="str">
        <f>"1551603981119285"</f>
        <v>1551603981119285</v>
      </c>
      <c r="C4082" t="s">
        <v>40</v>
      </c>
      <c r="D4082">
        <v>6.0581149999999999</v>
      </c>
      <c r="E4082">
        <v>0.3997385</v>
      </c>
      <c r="F4082" t="s">
        <v>92</v>
      </c>
      <c r="G4082">
        <v>-414.62630000000001</v>
      </c>
      <c r="H4082">
        <v>2.127154</v>
      </c>
      <c r="I4082">
        <v>0.5320435</v>
      </c>
      <c r="J4082">
        <v>-422.18079999999998</v>
      </c>
      <c r="K4082">
        <v>1.1390039999999999</v>
      </c>
      <c r="L4082">
        <v>118.4417</v>
      </c>
      <c r="M4082">
        <v>-0.30948900000000001</v>
      </c>
      <c r="N4082">
        <v>-1.744242E-2</v>
      </c>
      <c r="O4082">
        <v>-0.95074309999999995</v>
      </c>
      <c r="P4082">
        <v>-0.18613189999999999</v>
      </c>
      <c r="Q4082">
        <v>0.18104400000000001</v>
      </c>
      <c r="R4082">
        <v>-0.96570069999999997</v>
      </c>
      <c r="S4082">
        <v>0.19732669999999999</v>
      </c>
      <c r="T4082">
        <v>2.633023E-2</v>
      </c>
      <c r="U4082">
        <v>-3.1533359999999999</v>
      </c>
      <c r="V4082">
        <v>-0.1309795</v>
      </c>
      <c r="W4082">
        <v>0.1921725</v>
      </c>
      <c r="X4082">
        <v>0.97258109999999998</v>
      </c>
      <c r="Y4082">
        <v>-0.36827019999999999</v>
      </c>
      <c r="Z4082">
        <v>-2.504632E-2</v>
      </c>
      <c r="AA4082">
        <v>0.92938140000000002</v>
      </c>
      <c r="AB4082">
        <v>46</v>
      </c>
      <c r="AC4082">
        <v>7.55449999999996</v>
      </c>
      <c r="AD4082">
        <v>0.98814999999999997</v>
      </c>
      <c r="AE4082">
        <v>-117.9096565</v>
      </c>
      <c r="AF4082">
        <v>-43.677717843642498</v>
      </c>
      <c r="AG4082">
        <v>0.98814999999999997</v>
      </c>
      <c r="AH4082">
        <v>109.772773738307</v>
      </c>
      <c r="AI4082">
        <v>89.520788955461001</v>
      </c>
      <c r="AJ4082">
        <v>111.69721781572299</v>
      </c>
      <c r="AK4082">
        <v>118.147286598774</v>
      </c>
      <c r="AL4082">
        <v>78.920403374141202</v>
      </c>
      <c r="AM4082">
        <v>97.669993686326904</v>
      </c>
      <c r="AN4082">
        <v>0.99999994762685296</v>
      </c>
    </row>
    <row r="4083" spans="1:40" x14ac:dyDescent="0.25">
      <c r="A4083" t="str">
        <f>"20190303170621153"</f>
        <v>20190303170621153</v>
      </c>
      <c r="B4083" t="str">
        <f>"1551603981149105"</f>
        <v>1551603981149105</v>
      </c>
      <c r="C4083" t="s">
        <v>40</v>
      </c>
      <c r="D4083">
        <v>6.05267</v>
      </c>
      <c r="E4083">
        <v>0.40115600000000001</v>
      </c>
      <c r="F4083" t="s">
        <v>92</v>
      </c>
      <c r="G4083">
        <v>-413.50700000000001</v>
      </c>
      <c r="H4083">
        <v>1.3684970000000001</v>
      </c>
      <c r="I4083">
        <v>0.54342080000000004</v>
      </c>
      <c r="J4083">
        <v>-422.32249999999999</v>
      </c>
      <c r="K4083">
        <v>1.1390129999999901</v>
      </c>
      <c r="L4083">
        <v>118.01349999999999</v>
      </c>
      <c r="M4083">
        <v>-0.29463699999999998</v>
      </c>
      <c r="N4083">
        <v>-1.7464710000000001E-2</v>
      </c>
      <c r="O4083">
        <v>-0.95544980000000002</v>
      </c>
      <c r="P4083">
        <v>-0.17123829999999901</v>
      </c>
      <c r="Q4083">
        <v>0.18218909999999999</v>
      </c>
      <c r="R4083">
        <v>-0.96823809999999999</v>
      </c>
      <c r="S4083">
        <v>0.2317505</v>
      </c>
      <c r="T4083">
        <v>6.1309340000000002E-3</v>
      </c>
      <c r="U4083">
        <v>-3.1500849999999998</v>
      </c>
      <c r="V4083">
        <v>-0.13079479999999999</v>
      </c>
      <c r="W4083">
        <v>0.19334409999999999</v>
      </c>
      <c r="X4083">
        <v>0.97237379999999995</v>
      </c>
      <c r="Y4083">
        <v>-0.36393759999999997</v>
      </c>
      <c r="Z4083">
        <v>-1.940586E-2</v>
      </c>
      <c r="AA4083">
        <v>0.93122119999999997</v>
      </c>
      <c r="AB4083">
        <v>46</v>
      </c>
      <c r="AC4083">
        <v>8.8155000000000392</v>
      </c>
      <c r="AD4083">
        <v>0.22948399999999999</v>
      </c>
      <c r="AE4083">
        <v>-117.4700792</v>
      </c>
      <c r="AF4083">
        <v>-43.040194183321901</v>
      </c>
      <c r="AG4083">
        <v>0.22948399999999999</v>
      </c>
      <c r="AH4083">
        <v>109.655683422945</v>
      </c>
      <c r="AI4083">
        <v>89.888383242050807</v>
      </c>
      <c r="AJ4083">
        <v>111.43016053235201</v>
      </c>
      <c r="AK4083">
        <v>117.800169291888</v>
      </c>
      <c r="AL4083">
        <v>78.851993422185501</v>
      </c>
      <c r="AM4083">
        <v>97.660919866659597</v>
      </c>
      <c r="AN4083">
        <v>1.0000000138191401</v>
      </c>
    </row>
    <row r="4084" spans="1:40" x14ac:dyDescent="0.25">
      <c r="A4084" t="str">
        <f>"20190303170621176"</f>
        <v>20190303170621176</v>
      </c>
      <c r="B4084" t="str">
        <f>"1551603981168625"</f>
        <v>1551603981168625</v>
      </c>
      <c r="C4084" t="s">
        <v>40</v>
      </c>
      <c r="D4084">
        <v>6.0671900000000001</v>
      </c>
      <c r="E4084">
        <v>0.41112369999999998</v>
      </c>
      <c r="F4084" t="s">
        <v>92</v>
      </c>
      <c r="G4084">
        <v>-412.38389999999998</v>
      </c>
      <c r="H4084">
        <v>1.0866359999999999</v>
      </c>
      <c r="I4084">
        <v>0.55484579999999994</v>
      </c>
      <c r="J4084">
        <v>-422.45800000000003</v>
      </c>
      <c r="K4084">
        <v>1.139033</v>
      </c>
      <c r="L4084">
        <v>117.5821</v>
      </c>
      <c r="M4084">
        <v>-0.27964299999999997</v>
      </c>
      <c r="N4084">
        <v>-1.74860999999999E-2</v>
      </c>
      <c r="O4084">
        <v>-0.95994480000000004</v>
      </c>
      <c r="P4084">
        <v>-0.15615889999999999</v>
      </c>
      <c r="Q4084">
        <v>0.18510360000000001</v>
      </c>
      <c r="R4084">
        <v>-0.9702326</v>
      </c>
      <c r="S4084">
        <v>0.26617429999999997</v>
      </c>
      <c r="T4084">
        <v>-1.403451E-3</v>
      </c>
      <c r="U4084">
        <v>-3.1457670000000002</v>
      </c>
      <c r="V4084">
        <v>-0.1306783</v>
      </c>
      <c r="W4084">
        <v>0.19627710000000001</v>
      </c>
      <c r="X4084">
        <v>0.97180169999999999</v>
      </c>
      <c r="Y4084">
        <v>-0.3595682</v>
      </c>
      <c r="Z4084">
        <v>-1.7294480000000001E-2</v>
      </c>
      <c r="AA4084">
        <v>0.93295850000000002</v>
      </c>
      <c r="AB4084">
        <v>46</v>
      </c>
      <c r="AC4084">
        <v>10.0741</v>
      </c>
      <c r="AD4084">
        <v>-5.2396999999999798E-2</v>
      </c>
      <c r="AE4084">
        <v>-117.0272542</v>
      </c>
      <c r="AF4084">
        <v>-42.402907257855098</v>
      </c>
      <c r="AG4084">
        <v>-5.2396999999999798E-2</v>
      </c>
      <c r="AH4084">
        <v>109.539279172329</v>
      </c>
      <c r="AI4084">
        <v>90.025558707828793</v>
      </c>
      <c r="AJ4084">
        <v>111.16153532189099</v>
      </c>
      <c r="AK4084">
        <v>117.46004840352001</v>
      </c>
      <c r="AL4084">
        <v>78.680662477368003</v>
      </c>
      <c r="AM4084">
        <v>97.658629704215997</v>
      </c>
      <c r="AN4084">
        <v>1.00000003109909</v>
      </c>
    </row>
    <row r="4085" spans="1:40" x14ac:dyDescent="0.25">
      <c r="A4085" t="str">
        <f>"20190303170621197"</f>
        <v>20190303170621197</v>
      </c>
      <c r="B4085" t="str">
        <f>"1551603981189121"</f>
        <v>1551603981189121</v>
      </c>
      <c r="C4085" t="s">
        <v>40</v>
      </c>
      <c r="D4085">
        <v>6.0652559999999998</v>
      </c>
      <c r="E4085">
        <v>0.4124487</v>
      </c>
      <c r="F4085" t="s">
        <v>43</v>
      </c>
      <c r="G4085">
        <v>-412.71109999999999</v>
      </c>
      <c r="H4085">
        <v>-0.05</v>
      </c>
      <c r="I4085">
        <v>-12.13387</v>
      </c>
      <c r="J4085">
        <v>-422.57780000000002</v>
      </c>
      <c r="K4085">
        <v>1.1390480000000001</v>
      </c>
      <c r="L4085">
        <v>117.1788</v>
      </c>
      <c r="M4085">
        <v>-0.26559880000000002</v>
      </c>
      <c r="N4085">
        <v>-1.7505039999999999E-2</v>
      </c>
      <c r="O4085">
        <v>-0.96392480000000003</v>
      </c>
      <c r="P4085">
        <v>-0.14230599999999999</v>
      </c>
      <c r="Q4085">
        <v>0.18463470000000001</v>
      </c>
      <c r="R4085">
        <v>-0.97245009999999998</v>
      </c>
      <c r="S4085">
        <v>0.23559569999999999</v>
      </c>
      <c r="T4085">
        <v>-2.8740640000000001E-2</v>
      </c>
      <c r="U4085">
        <v>-3.1354220000000002</v>
      </c>
      <c r="V4085">
        <v>-0.13035379999999999</v>
      </c>
      <c r="W4085">
        <v>0.19584270000000001</v>
      </c>
      <c r="X4085">
        <v>0.97193289999999999</v>
      </c>
      <c r="Y4085">
        <v>-0.33704719999999999</v>
      </c>
      <c r="Z4085">
        <v>-9.2937439999999996E-3</v>
      </c>
      <c r="AA4085">
        <v>0.94144190000000005</v>
      </c>
      <c r="AB4085">
        <v>45</v>
      </c>
      <c r="AC4085">
        <v>9.86670000000003</v>
      </c>
      <c r="AD4085">
        <v>-1.1890479999999899</v>
      </c>
      <c r="AE4085">
        <v>-129.31267</v>
      </c>
      <c r="AF4085">
        <v>-43.859077116635198</v>
      </c>
      <c r="AG4085">
        <v>-1.1890479999999899</v>
      </c>
      <c r="AH4085">
        <v>122.03553757864699</v>
      </c>
      <c r="AI4085">
        <v>90.525345166007696</v>
      </c>
      <c r="AJ4085">
        <v>109.768231371157</v>
      </c>
      <c r="AK4085">
        <v>129.68309416719899</v>
      </c>
      <c r="AL4085">
        <v>78.706044241289305</v>
      </c>
      <c r="AM4085">
        <v>97.638817596782403</v>
      </c>
      <c r="AN4085">
        <v>1.00000001921007</v>
      </c>
    </row>
    <row r="4086" spans="1:40" x14ac:dyDescent="0.25">
      <c r="A4086" t="str">
        <f>"20190303170621220"</f>
        <v>20190303170621220</v>
      </c>
      <c r="B4086" t="str">
        <f>"1551603981208640"</f>
        <v>1551603981208640</v>
      </c>
      <c r="C4086" t="s">
        <v>40</v>
      </c>
      <c r="D4086">
        <v>6.055752</v>
      </c>
      <c r="E4086">
        <v>0.41306280000000001</v>
      </c>
      <c r="F4086" t="s">
        <v>71</v>
      </c>
      <c r="G4086">
        <v>-413.05799999999999</v>
      </c>
      <c r="H4086">
        <v>7.9986559999999998E-2</v>
      </c>
      <c r="I4086">
        <v>7.2615429999999996</v>
      </c>
      <c r="J4086">
        <v>-422.70049999999998</v>
      </c>
      <c r="K4086">
        <v>1.139049</v>
      </c>
      <c r="L4086">
        <v>116.74209999999999</v>
      </c>
      <c r="M4086">
        <v>-0.25035950000000001</v>
      </c>
      <c r="N4086">
        <v>-1.75242E-2</v>
      </c>
      <c r="O4086">
        <v>-0.96799429999999997</v>
      </c>
      <c r="P4086">
        <v>-0.12810389999999999</v>
      </c>
      <c r="Q4086">
        <v>0.1813969</v>
      </c>
      <c r="R4086">
        <v>-0.97503070000000003</v>
      </c>
      <c r="S4086">
        <v>0.27111819999999998</v>
      </c>
      <c r="T4086">
        <v>-3.0161500000000001E-2</v>
      </c>
      <c r="U4086">
        <v>-3.1303860000000001</v>
      </c>
      <c r="V4086">
        <v>-0.12920229999999999</v>
      </c>
      <c r="W4086">
        <v>0.1926863</v>
      </c>
      <c r="X4086">
        <v>0.97271719999999895</v>
      </c>
      <c r="Y4086">
        <v>-0.33291789999999999</v>
      </c>
      <c r="Z4086">
        <v>-8.8374490000000007E-3</v>
      </c>
      <c r="AA4086">
        <v>0.94291440000000004</v>
      </c>
      <c r="AB4086">
        <v>45</v>
      </c>
      <c r="AC4086">
        <v>9.6424999999999201</v>
      </c>
      <c r="AD4086">
        <v>-1.0590624399999999</v>
      </c>
      <c r="AE4086">
        <v>-109.480557</v>
      </c>
      <c r="AF4086">
        <v>-36.745614745797099</v>
      </c>
      <c r="AG4086">
        <v>-1.0590624399999999</v>
      </c>
      <c r="AH4086">
        <v>103.568755182918</v>
      </c>
      <c r="AI4086">
        <v>90.552148790209799</v>
      </c>
      <c r="AJ4086">
        <v>109.534400250822</v>
      </c>
      <c r="AK4086">
        <v>109.89926690582401</v>
      </c>
      <c r="AL4086">
        <v>78.890404704672804</v>
      </c>
      <c r="AM4086">
        <v>97.566090714469198</v>
      </c>
      <c r="AN4086">
        <v>0.99999999785440896</v>
      </c>
    </row>
    <row r="4087" spans="1:40" x14ac:dyDescent="0.25">
      <c r="A4087" t="str">
        <f>"20190303170621243"</f>
        <v>20190303170621243</v>
      </c>
      <c r="B4087" t="str">
        <f>"1551603981238897"</f>
        <v>1551603981238897</v>
      </c>
      <c r="C4087" t="s">
        <v>40</v>
      </c>
      <c r="D4087">
        <v>6.0716570000000001</v>
      </c>
      <c r="E4087">
        <v>0.42226059999999999</v>
      </c>
      <c r="F4087" t="s">
        <v>71</v>
      </c>
      <c r="G4087">
        <v>-414.19569999999999</v>
      </c>
      <c r="H4087" s="1">
        <v>-5.9191660000000003E-6</v>
      </c>
      <c r="I4087">
        <v>31.47925</v>
      </c>
      <c r="J4087">
        <v>-422.81729999999999</v>
      </c>
      <c r="K4087">
        <v>1.139049</v>
      </c>
      <c r="L4087">
        <v>116.2998</v>
      </c>
      <c r="M4087">
        <v>-0.23489009999999999</v>
      </c>
      <c r="N4087">
        <v>-1.754201E-2</v>
      </c>
      <c r="O4087">
        <v>-0.97186360000000005</v>
      </c>
      <c r="P4087">
        <v>-0.1146274</v>
      </c>
      <c r="Q4087">
        <v>0.17810100000000001</v>
      </c>
      <c r="R4087">
        <v>-0.97731290000000004</v>
      </c>
      <c r="S4087">
        <v>0.31176759999999998</v>
      </c>
      <c r="T4087">
        <v>-4.1755439999999998E-2</v>
      </c>
      <c r="U4087">
        <v>-3.1255649999999999</v>
      </c>
      <c r="V4087">
        <v>-0.12710750000000001</v>
      </c>
      <c r="W4087">
        <v>0.1895162</v>
      </c>
      <c r="X4087">
        <v>0.97361560000000003</v>
      </c>
      <c r="Y4087">
        <v>-0.330152099999999</v>
      </c>
      <c r="Z4087">
        <v>-5.3616480000000001E-3</v>
      </c>
      <c r="AA4087">
        <v>0.94391250000000004</v>
      </c>
      <c r="AB4087">
        <v>45</v>
      </c>
      <c r="AC4087">
        <v>8.6216000000000008</v>
      </c>
      <c r="AD4087">
        <v>-1.139054919166</v>
      </c>
      <c r="AE4087">
        <v>-84.820549999999997</v>
      </c>
      <c r="AF4087">
        <v>-28.301831520497199</v>
      </c>
      <c r="AG4087">
        <v>-1.139054919166</v>
      </c>
      <c r="AH4087">
        <v>80.406901593228397</v>
      </c>
      <c r="AI4087">
        <v>90.765571712949296</v>
      </c>
      <c r="AJ4087">
        <v>109.39118225309301</v>
      </c>
      <c r="AK4087">
        <v>85.249990834876996</v>
      </c>
      <c r="AL4087">
        <v>79.075448701125197</v>
      </c>
      <c r="AM4087">
        <v>97.438013677165003</v>
      </c>
      <c r="AN4087">
        <v>1.0000000215910201</v>
      </c>
    </row>
    <row r="4088" spans="1:40" x14ac:dyDescent="0.25">
      <c r="A4088" t="str">
        <f>"20190303170621267"</f>
        <v>20190303170621267</v>
      </c>
      <c r="B4088" t="str">
        <f>"1551603981259393"</f>
        <v>1551603981259393</v>
      </c>
      <c r="C4088" t="s">
        <v>40</v>
      </c>
      <c r="D4088">
        <v>6.0466759999999997</v>
      </c>
      <c r="E4088">
        <v>0.42407669999999997</v>
      </c>
      <c r="F4088" t="s">
        <v>41</v>
      </c>
      <c r="G4088">
        <v>-417.4008</v>
      </c>
      <c r="H4088" s="1">
        <v>-3.387871E-6</v>
      </c>
      <c r="I4088">
        <v>56.455260000000003</v>
      </c>
      <c r="J4088">
        <v>-422.9271</v>
      </c>
      <c r="K4088">
        <v>1.1390480000000001</v>
      </c>
      <c r="L4088">
        <v>115.85209999999999</v>
      </c>
      <c r="M4088">
        <v>-0.2192055</v>
      </c>
      <c r="N4088">
        <v>-1.75581E-2</v>
      </c>
      <c r="O4088">
        <v>-0.97552090000000002</v>
      </c>
      <c r="P4088">
        <v>-0.1021072</v>
      </c>
      <c r="Q4088">
        <v>0.17998249999999999</v>
      </c>
      <c r="R4088">
        <v>-0.97835640000000001</v>
      </c>
      <c r="S4088">
        <v>0.28179929999999997</v>
      </c>
      <c r="T4088">
        <v>-5.9260489999999999E-2</v>
      </c>
      <c r="U4088">
        <v>-3.11348</v>
      </c>
      <c r="V4088">
        <v>-0.12389269999999999</v>
      </c>
      <c r="W4088">
        <v>0.1915655</v>
      </c>
      <c r="X4088">
        <v>0.97362890000000002</v>
      </c>
      <c r="Y4088">
        <v>-0.30619540000000001</v>
      </c>
      <c r="Z4088">
        <v>1.052903E-4</v>
      </c>
      <c r="AA4088">
        <v>0.9519687</v>
      </c>
      <c r="AB4088">
        <v>45</v>
      </c>
      <c r="AC4088">
        <v>5.5262999999999902</v>
      </c>
      <c r="AD4088">
        <v>-1.139051387871</v>
      </c>
      <c r="AE4088">
        <v>-59.396839999999997</v>
      </c>
      <c r="AF4088">
        <v>-18.407259129186901</v>
      </c>
      <c r="AG4088">
        <v>-1.139051387871</v>
      </c>
      <c r="AH4088">
        <v>56.719519985154299</v>
      </c>
      <c r="AI4088">
        <v>91.094300172377004</v>
      </c>
      <c r="AJ4088">
        <v>107.97986886464</v>
      </c>
      <c r="AK4088">
        <v>59.642506436764997</v>
      </c>
      <c r="AL4088">
        <v>78.955840769899595</v>
      </c>
      <c r="AM4088">
        <v>97.251821834748597</v>
      </c>
      <c r="AN4088">
        <v>0.99999998840937399</v>
      </c>
    </row>
    <row r="4089" spans="1:40" x14ac:dyDescent="0.25">
      <c r="A4089" t="str">
        <f>"20190303170621288"</f>
        <v>20190303170621288</v>
      </c>
      <c r="B4089" t="str">
        <f>"1551603981278914"</f>
        <v>1551603981278914</v>
      </c>
      <c r="C4089" t="s">
        <v>40</v>
      </c>
      <c r="D4089">
        <v>6.0373950000000001</v>
      </c>
      <c r="E4089">
        <v>0.42494019999999999</v>
      </c>
      <c r="F4089" t="s">
        <v>41</v>
      </c>
      <c r="G4089">
        <v>-416.77080000000001</v>
      </c>
      <c r="H4089" s="1">
        <v>-2.1631500000000002E-6</v>
      </c>
      <c r="I4089">
        <v>53.3399</v>
      </c>
      <c r="J4089">
        <v>-423.02210000000002</v>
      </c>
      <c r="K4089">
        <v>1.139068</v>
      </c>
      <c r="L4089">
        <v>115.4372</v>
      </c>
      <c r="M4089">
        <v>-0.2046366</v>
      </c>
      <c r="N4089">
        <v>-1.7571340000000001E-2</v>
      </c>
      <c r="O4089">
        <v>-0.97868029999999995</v>
      </c>
      <c r="P4089">
        <v>-9.0843709999999994E-2</v>
      </c>
      <c r="Q4089">
        <v>0.18473400000000001</v>
      </c>
      <c r="R4089">
        <v>-0.97858120000000004</v>
      </c>
      <c r="S4089">
        <v>0.30615229999999999</v>
      </c>
      <c r="T4089">
        <v>-5.6645269999999998E-2</v>
      </c>
      <c r="U4089">
        <v>-3.108749</v>
      </c>
      <c r="V4089">
        <v>-0.12060990000000001</v>
      </c>
      <c r="W4089">
        <v>0.1964786</v>
      </c>
      <c r="X4089">
        <v>0.97306190000000004</v>
      </c>
      <c r="Y4089">
        <v>-0.29952020000000001</v>
      </c>
      <c r="Z4089">
        <v>-5.7248819999999997E-4</v>
      </c>
      <c r="AA4089">
        <v>0.95408979999999999</v>
      </c>
      <c r="AB4089">
        <v>45</v>
      </c>
      <c r="AC4089">
        <v>6.2513000000000103</v>
      </c>
      <c r="AD4089">
        <v>-1.13907016315</v>
      </c>
      <c r="AE4089">
        <v>-62.097299999999997</v>
      </c>
      <c r="AF4089">
        <v>-18.822041531826301</v>
      </c>
      <c r="AG4089">
        <v>-1.13907016315</v>
      </c>
      <c r="AH4089">
        <v>59.483531383764102</v>
      </c>
      <c r="AI4089">
        <v>91.045941073857307</v>
      </c>
      <c r="AJ4089">
        <v>107.558642827047</v>
      </c>
      <c r="AK4089">
        <v>62.4007791148927</v>
      </c>
      <c r="AL4089">
        <v>78.668888038096995</v>
      </c>
      <c r="AM4089">
        <v>97.065708597563301</v>
      </c>
      <c r="AN4089">
        <v>1.0000000247337799</v>
      </c>
    </row>
    <row r="4090" spans="1:40" x14ac:dyDescent="0.25">
      <c r="A4090" t="str">
        <f>"20190303170621311"</f>
        <v>20190303170621311</v>
      </c>
      <c r="B4090" t="str">
        <f>"1551603981299409"</f>
        <v>1551603981299409</v>
      </c>
      <c r="C4090" t="s">
        <v>40</v>
      </c>
      <c r="D4090">
        <v>6.0822909999999997</v>
      </c>
      <c r="E4090">
        <v>0.43287769999999998</v>
      </c>
      <c r="F4090" t="s">
        <v>71</v>
      </c>
      <c r="G4090">
        <v>-413.79419999999999</v>
      </c>
      <c r="H4090" s="1">
        <v>-6.439879E-6</v>
      </c>
      <c r="I4090">
        <v>30.269069999999999</v>
      </c>
      <c r="J4090">
        <v>-423.11509999999998</v>
      </c>
      <c r="K4090">
        <v>1.139089</v>
      </c>
      <c r="L4090">
        <v>114.9997</v>
      </c>
      <c r="M4090">
        <v>-0.18924369999999999</v>
      </c>
      <c r="N4090">
        <v>-1.7583689999999999E-2</v>
      </c>
      <c r="O4090">
        <v>-0.98177300000000001</v>
      </c>
      <c r="P4090">
        <v>-7.8527E-2</v>
      </c>
      <c r="Q4090">
        <v>0.18626909999999999</v>
      </c>
      <c r="R4090">
        <v>-0.97935589999999995</v>
      </c>
      <c r="S4090">
        <v>0.33639530000000001</v>
      </c>
      <c r="T4090">
        <v>-4.152405E-2</v>
      </c>
      <c r="U4090">
        <v>-3.1047359999999999</v>
      </c>
      <c r="V4090">
        <v>-0.11757860000000001</v>
      </c>
      <c r="W4090">
        <v>0.1981694</v>
      </c>
      <c r="X4090">
        <v>0.97309000000000001</v>
      </c>
      <c r="Y4090">
        <v>-0.29386190000000001</v>
      </c>
      <c r="Z4090">
        <v>-5.0893680000000004E-3</v>
      </c>
      <c r="AA4090">
        <v>0.95583430000000003</v>
      </c>
      <c r="AB4090">
        <v>45</v>
      </c>
      <c r="AC4090">
        <v>9.3208999999999893</v>
      </c>
      <c r="AD4090">
        <v>-1.1390954398790001</v>
      </c>
      <c r="AE4090">
        <v>-84.730630000000005</v>
      </c>
      <c r="AF4090">
        <v>-25.185135540877901</v>
      </c>
      <c r="AG4090">
        <v>-1.1390954398790001</v>
      </c>
      <c r="AH4090">
        <v>81.420350053914504</v>
      </c>
      <c r="AI4090">
        <v>90.765741156772705</v>
      </c>
      <c r="AJ4090">
        <v>107.18800799153399</v>
      </c>
      <c r="AK4090">
        <v>85.234159780780004</v>
      </c>
      <c r="AL4090">
        <v>78.570069017791695</v>
      </c>
      <c r="AM4090">
        <v>96.889657070441402</v>
      </c>
      <c r="AN4090">
        <v>0.99999999318716004</v>
      </c>
    </row>
    <row r="4091" spans="1:40" x14ac:dyDescent="0.25">
      <c r="A4091" t="str">
        <f>"20190303170621334"</f>
        <v>20190303170621334</v>
      </c>
      <c r="B4091" t="str">
        <f>"1551603981318929"</f>
        <v>1551603981318929</v>
      </c>
      <c r="C4091" t="s">
        <v>40</v>
      </c>
      <c r="D4091">
        <v>5.8784900000000002</v>
      </c>
      <c r="E4091">
        <v>0.43332140000000002</v>
      </c>
      <c r="F4091" t="s">
        <v>41</v>
      </c>
      <c r="G4091">
        <v>-415.85509999999999</v>
      </c>
      <c r="H4091" s="1">
        <v>-2.340644E-6</v>
      </c>
      <c r="I4091">
        <v>43.285400000000003</v>
      </c>
      <c r="J4091">
        <v>-423.20359999999999</v>
      </c>
      <c r="K4091">
        <v>1.1390899999999999</v>
      </c>
      <c r="L4091">
        <v>114.54819999999999</v>
      </c>
      <c r="M4091">
        <v>-0.1733229</v>
      </c>
      <c r="N4091">
        <v>-1.7594930000000002E-2</v>
      </c>
      <c r="O4091">
        <v>-0.98470800000000003</v>
      </c>
      <c r="P4091">
        <v>-6.4161270000000006E-2</v>
      </c>
      <c r="Q4091">
        <v>0.18367430000000001</v>
      </c>
      <c r="R4091">
        <v>-0.98089110000000002</v>
      </c>
      <c r="S4091">
        <v>0.31359860000000001</v>
      </c>
      <c r="T4091">
        <v>-4.9203869999999997E-2</v>
      </c>
      <c r="U4091">
        <v>-3.0977480000000002</v>
      </c>
      <c r="V4091">
        <v>-0.1160482</v>
      </c>
      <c r="W4091">
        <v>0.19566639999999999</v>
      </c>
      <c r="X4091">
        <v>0.97377999999999998</v>
      </c>
      <c r="Y4091">
        <v>-0.27158259999999901</v>
      </c>
      <c r="Z4091">
        <v>-2.5681369999999999E-3</v>
      </c>
      <c r="AA4091">
        <v>0.96241169999999998</v>
      </c>
      <c r="AB4091">
        <v>45</v>
      </c>
      <c r="AC4091">
        <v>7.3484999999999996</v>
      </c>
      <c r="AD4091">
        <v>-1.1390923406439999</v>
      </c>
      <c r="AE4091">
        <v>-71.262799999999999</v>
      </c>
      <c r="AF4091">
        <v>-19.5856805830045</v>
      </c>
      <c r="AG4091">
        <v>-1.1390923406439999</v>
      </c>
      <c r="AH4091">
        <v>68.892627713232997</v>
      </c>
      <c r="AI4091">
        <v>90.911160804391898</v>
      </c>
      <c r="AJ4091">
        <v>105.870071293501</v>
      </c>
      <c r="AK4091">
        <v>71.631631061243496</v>
      </c>
      <c r="AL4091">
        <v>78.716344628105006</v>
      </c>
      <c r="AM4091">
        <v>96.796053011333697</v>
      </c>
      <c r="AN4091">
        <v>1.0000000066060999</v>
      </c>
    </row>
    <row r="4092" spans="1:40" x14ac:dyDescent="0.25">
      <c r="A4092" t="str">
        <f>"20190303170621356"</f>
        <v>20190303170621356</v>
      </c>
      <c r="B4092" t="str">
        <f>"1551603981349185"</f>
        <v>1551603981349185</v>
      </c>
      <c r="C4092" t="s">
        <v>40</v>
      </c>
      <c r="D4092">
        <v>6.0172889999999999</v>
      </c>
      <c r="E4092">
        <v>0.43446360000000001</v>
      </c>
      <c r="F4092" t="s">
        <v>41</v>
      </c>
      <c r="G4092">
        <v>-416.31369999999998</v>
      </c>
      <c r="H4092" s="1">
        <v>-2.8061160000000001E-6</v>
      </c>
      <c r="I4092">
        <v>54.649669999999901</v>
      </c>
      <c r="J4092">
        <v>-423.27910000000003</v>
      </c>
      <c r="K4092">
        <v>1.1390769999999999</v>
      </c>
      <c r="L4092">
        <v>114.1281</v>
      </c>
      <c r="M4092">
        <v>-0.15847849999999999</v>
      </c>
      <c r="N4092">
        <v>-1.7604060000000001E-2</v>
      </c>
      <c r="O4092">
        <v>-0.98720560000000002</v>
      </c>
      <c r="P4092">
        <v>-5.1092810000000002E-2</v>
      </c>
      <c r="Q4092">
        <v>0.1812791</v>
      </c>
      <c r="R4092">
        <v>-0.98210379999999997</v>
      </c>
      <c r="S4092">
        <v>0.35574339999999999</v>
      </c>
      <c r="T4092">
        <v>-5.8814529999999997E-2</v>
      </c>
      <c r="U4092">
        <v>-3.0927280000000001</v>
      </c>
      <c r="V4092">
        <v>-0.1143102</v>
      </c>
      <c r="W4092">
        <v>0.19337080000000001</v>
      </c>
      <c r="X4092">
        <v>0.97444390000000003</v>
      </c>
      <c r="Y4092">
        <v>-0.27020529999999998</v>
      </c>
      <c r="Z4092">
        <v>4.7282610000000001E-4</v>
      </c>
      <c r="AA4092">
        <v>0.96280259999999995</v>
      </c>
      <c r="AB4092">
        <v>45</v>
      </c>
      <c r="AC4092">
        <v>6.9654000000000398</v>
      </c>
      <c r="AD4092">
        <v>-1.1390798061159999</v>
      </c>
      <c r="AE4092">
        <v>-59.478430000000003</v>
      </c>
      <c r="AF4092">
        <v>-16.298961965162199</v>
      </c>
      <c r="AG4092">
        <v>-1.1390798061159999</v>
      </c>
      <c r="AH4092">
        <v>57.6016551265757</v>
      </c>
      <c r="AI4092">
        <v>91.090094631268499</v>
      </c>
      <c r="AJ4092">
        <v>105.799388971439</v>
      </c>
      <c r="AK4092">
        <v>59.874070658904401</v>
      </c>
      <c r="AL4092">
        <v>78.850434057136496</v>
      </c>
      <c r="AM4092">
        <v>96.690682453851693</v>
      </c>
      <c r="AN4092">
        <v>1.0000000011819401</v>
      </c>
    </row>
    <row r="4093" spans="1:40" x14ac:dyDescent="0.25">
      <c r="A4093" t="str">
        <f>"20190303170621377"</f>
        <v>20190303170621377</v>
      </c>
      <c r="B4093" t="str">
        <f>"1551603981368705"</f>
        <v>1551603981368705</v>
      </c>
      <c r="C4093" t="s">
        <v>40</v>
      </c>
      <c r="D4093">
        <v>6.0269649999999997</v>
      </c>
      <c r="E4093">
        <v>0.43508849999999999</v>
      </c>
      <c r="F4093" t="s">
        <v>41</v>
      </c>
      <c r="G4093">
        <v>-418.24669999999998</v>
      </c>
      <c r="H4093" s="1">
        <v>-2.1428940000000001E-6</v>
      </c>
      <c r="I4093">
        <v>73.902959999999993</v>
      </c>
      <c r="J4093">
        <v>-423.34840000000003</v>
      </c>
      <c r="K4093">
        <v>1.139073</v>
      </c>
      <c r="L4093">
        <v>113.70480000000001</v>
      </c>
      <c r="M4093">
        <v>-0.1434849</v>
      </c>
      <c r="N4093">
        <v>-1.7611809999999999E-2</v>
      </c>
      <c r="O4093">
        <v>-0.98949589999999998</v>
      </c>
      <c r="P4093">
        <v>-3.8846819999999997E-2</v>
      </c>
      <c r="Q4093">
        <v>0.1829885</v>
      </c>
      <c r="R4093">
        <v>-0.98234750000000004</v>
      </c>
      <c r="S4093">
        <v>0.38668819999999998</v>
      </c>
      <c r="T4093">
        <v>-8.752799E-2</v>
      </c>
      <c r="U4093">
        <v>-3.0909420000000001</v>
      </c>
      <c r="V4093">
        <v>-0.1116997</v>
      </c>
      <c r="W4093">
        <v>0.19521140000000001</v>
      </c>
      <c r="X4093">
        <v>0.97437969999999896</v>
      </c>
      <c r="Y4093">
        <v>-0.26513520000000002</v>
      </c>
      <c r="Z4093">
        <v>9.4848180000000008E-3</v>
      </c>
      <c r="AA4093">
        <v>0.96416460000000004</v>
      </c>
      <c r="AB4093">
        <v>45</v>
      </c>
      <c r="AC4093">
        <v>5.1017000000000499</v>
      </c>
      <c r="AD4093">
        <v>-1.139075142894</v>
      </c>
      <c r="AE4093">
        <v>-39.801839999999999</v>
      </c>
      <c r="AF4093">
        <v>-10.7520781226089</v>
      </c>
      <c r="AG4093">
        <v>-1.139075142894</v>
      </c>
      <c r="AH4093">
        <v>38.626607087679702</v>
      </c>
      <c r="AI4093">
        <v>91.627294831838498</v>
      </c>
      <c r="AJ4093">
        <v>105.555042265091</v>
      </c>
      <c r="AK4093">
        <v>40.111338188121202</v>
      </c>
      <c r="AL4093">
        <v>78.742927393618004</v>
      </c>
      <c r="AM4093">
        <v>96.539653236678305</v>
      </c>
      <c r="AN4093">
        <v>1.0000000567210601</v>
      </c>
    </row>
    <row r="4094" spans="1:40" x14ac:dyDescent="0.25">
      <c r="A4094" t="str">
        <f>"20190303170621399"</f>
        <v>20190303170621399</v>
      </c>
      <c r="B4094" t="str">
        <f>"1551603981389201"</f>
        <v>1551603981389201</v>
      </c>
      <c r="C4094" t="s">
        <v>40</v>
      </c>
      <c r="D4094">
        <v>6.0232250000000001</v>
      </c>
      <c r="E4094">
        <v>0.4448705</v>
      </c>
      <c r="F4094" t="s">
        <v>41</v>
      </c>
      <c r="G4094">
        <v>-417.62939999999998</v>
      </c>
      <c r="H4094" s="1">
        <v>-1.346939E-6</v>
      </c>
      <c r="I4094">
        <v>71.752569999999906</v>
      </c>
      <c r="J4094">
        <v>-423.41230000000002</v>
      </c>
      <c r="K4094">
        <v>1.1390750000000001</v>
      </c>
      <c r="L4094">
        <v>113.27370000000001</v>
      </c>
      <c r="M4094">
        <v>-0.1281815</v>
      </c>
      <c r="N4094">
        <v>-1.7617899999999999E-2</v>
      </c>
      <c r="O4094">
        <v>-0.99159430000000004</v>
      </c>
      <c r="P4094">
        <v>-2.769771E-2</v>
      </c>
      <c r="Q4094">
        <v>0.1856189</v>
      </c>
      <c r="R4094">
        <v>-0.98223139999999998</v>
      </c>
      <c r="S4094">
        <v>0.42071530000000001</v>
      </c>
      <c r="T4094">
        <v>-8.3794240000000006E-2</v>
      </c>
      <c r="U4094">
        <v>-3.0861510000000001</v>
      </c>
      <c r="V4094">
        <v>-0.1077481</v>
      </c>
      <c r="W4094">
        <v>0.19803380000000001</v>
      </c>
      <c r="X4094">
        <v>0.97425510000000004</v>
      </c>
      <c r="Y4094">
        <v>-0.26087860000000002</v>
      </c>
      <c r="Z4094">
        <v>8.4436749999999994E-3</v>
      </c>
      <c r="AA4094">
        <v>0.96533469999999999</v>
      </c>
      <c r="AB4094">
        <v>45</v>
      </c>
      <c r="AC4094">
        <v>5.7829000000000397</v>
      </c>
      <c r="AD4094">
        <v>-1.139076346939</v>
      </c>
      <c r="AE4094">
        <v>-41.521129999999999</v>
      </c>
      <c r="AF4094">
        <v>-11.0500888239168</v>
      </c>
      <c r="AG4094">
        <v>-1.139076346939</v>
      </c>
      <c r="AH4094">
        <v>40.407296209426001</v>
      </c>
      <c r="AI4094">
        <v>91.557571399010499</v>
      </c>
      <c r="AJ4094">
        <v>105.29459560924199</v>
      </c>
      <c r="AK4094">
        <v>41.906461851329098</v>
      </c>
      <c r="AL4094">
        <v>78.577995718775995</v>
      </c>
      <c r="AM4094">
        <v>96.311000481006801</v>
      </c>
      <c r="AN4094">
        <v>1.0000000194360299</v>
      </c>
    </row>
    <row r="4095" spans="1:40" x14ac:dyDescent="0.25">
      <c r="A4095" t="str">
        <f>"20190303170621421"</f>
        <v>20190303170621421</v>
      </c>
      <c r="B4095" t="str">
        <f>"1551603981408721"</f>
        <v>1551603981408721</v>
      </c>
      <c r="C4095" t="s">
        <v>40</v>
      </c>
      <c r="D4095">
        <v>6.0230959999999998</v>
      </c>
      <c r="E4095">
        <v>0.44638050000000001</v>
      </c>
      <c r="F4095" t="s">
        <v>41</v>
      </c>
      <c r="G4095">
        <v>-419.3417</v>
      </c>
      <c r="H4095" s="1">
        <v>-4.3642399999999999E-7</v>
      </c>
      <c r="I4095">
        <v>80.377889999999994</v>
      </c>
      <c r="J4095">
        <v>-423.4683</v>
      </c>
      <c r="K4095">
        <v>1.1390610000000001</v>
      </c>
      <c r="L4095">
        <v>112.85</v>
      </c>
      <c r="M4095">
        <v>-0.11310770000000001</v>
      </c>
      <c r="N4095">
        <v>-1.762151E-2</v>
      </c>
      <c r="O4095">
        <v>-0.99342649999999999</v>
      </c>
      <c r="P4095">
        <v>-1.6510919999999998E-2</v>
      </c>
      <c r="Q4095">
        <v>0.1844248</v>
      </c>
      <c r="R4095">
        <v>-0.98270829999999998</v>
      </c>
      <c r="S4095">
        <v>0.38177489999999997</v>
      </c>
      <c r="T4095">
        <v>-0.1068318</v>
      </c>
      <c r="U4095">
        <v>-3.0852360000000001</v>
      </c>
      <c r="V4095">
        <v>-0.1040041</v>
      </c>
      <c r="W4095">
        <v>0.19702790000000001</v>
      </c>
      <c r="X4095">
        <v>0.97486569999999995</v>
      </c>
      <c r="Y4095">
        <v>-0.23416300000000001</v>
      </c>
      <c r="Z4095">
        <v>1.592292E-2</v>
      </c>
      <c r="AA4095">
        <v>0.97206689999999996</v>
      </c>
      <c r="AB4095">
        <v>45</v>
      </c>
      <c r="AC4095">
        <v>4.1265999999999901</v>
      </c>
      <c r="AD4095">
        <v>-1.1390614364239999</v>
      </c>
      <c r="AE4095">
        <v>-32.472109999999901</v>
      </c>
      <c r="AF4095">
        <v>-7.7641244243532803</v>
      </c>
      <c r="AG4095">
        <v>-1.1390614364239999</v>
      </c>
      <c r="AH4095">
        <v>31.758383321426798</v>
      </c>
      <c r="AI4095">
        <v>91.995401882828901</v>
      </c>
      <c r="AJ4095">
        <v>103.737909496821</v>
      </c>
      <c r="AK4095">
        <v>32.713514030496199</v>
      </c>
      <c r="AL4095">
        <v>78.636787604317405</v>
      </c>
      <c r="AM4095">
        <v>96.089598881610797</v>
      </c>
      <c r="AN4095">
        <v>0.99999998961585501</v>
      </c>
    </row>
    <row r="4096" spans="1:40" x14ac:dyDescent="0.25">
      <c r="A4096" t="str">
        <f>"20190303170621445"</f>
        <v>20190303170621445</v>
      </c>
      <c r="B4096" t="str">
        <f>"1551603981438977"</f>
        <v>1551603981438977</v>
      </c>
      <c r="C4096" t="s">
        <v>40</v>
      </c>
      <c r="D4096">
        <v>6.0346669999999998</v>
      </c>
      <c r="E4096">
        <v>0.45652530000000002</v>
      </c>
      <c r="F4096" t="s">
        <v>41</v>
      </c>
      <c r="G4096">
        <v>-419.53149999999999</v>
      </c>
      <c r="H4096" s="1">
        <v>-1.4981859999999999E-6</v>
      </c>
      <c r="I4096">
        <v>82.931370000000001</v>
      </c>
      <c r="J4096">
        <v>-423.52100000000002</v>
      </c>
      <c r="K4096">
        <v>1.13903</v>
      </c>
      <c r="L4096">
        <v>112.3931</v>
      </c>
      <c r="M4096">
        <v>-9.6817959999999995E-2</v>
      </c>
      <c r="N4096">
        <v>-1.7621870000000001E-2</v>
      </c>
      <c r="O4096">
        <v>-0.99514619999999998</v>
      </c>
      <c r="P4096">
        <v>-2.7056210000000001E-3</v>
      </c>
      <c r="Q4096">
        <v>0.1798479</v>
      </c>
      <c r="R4096">
        <v>-0.98369110000000004</v>
      </c>
      <c r="S4096">
        <v>0.40548709999999999</v>
      </c>
      <c r="T4096">
        <v>-0.11732289999999999</v>
      </c>
      <c r="U4096">
        <v>-3.081604</v>
      </c>
      <c r="V4096">
        <v>-0.10158780000000001</v>
      </c>
      <c r="W4096">
        <v>0.19257959999999999</v>
      </c>
      <c r="X4096">
        <v>0.97600869999999995</v>
      </c>
      <c r="Y4096">
        <v>-0.22571569999999999</v>
      </c>
      <c r="Z4096">
        <v>1.93978E-2</v>
      </c>
      <c r="AA4096">
        <v>0.97400010000000004</v>
      </c>
      <c r="AB4096">
        <v>44</v>
      </c>
      <c r="AC4096">
        <v>3.9894999999999601</v>
      </c>
      <c r="AD4096">
        <v>-1.1390314981859999</v>
      </c>
      <c r="AE4096">
        <v>-29.461729999999999</v>
      </c>
      <c r="AF4096">
        <v>-6.8136182544032096</v>
      </c>
      <c r="AG4096">
        <v>-1.1390314981859999</v>
      </c>
      <c r="AH4096">
        <v>28.8945525550143</v>
      </c>
      <c r="AI4096">
        <v>92.197244786482401</v>
      </c>
      <c r="AJ4096">
        <v>103.268512380476</v>
      </c>
      <c r="AK4096">
        <v>29.708886781989701</v>
      </c>
      <c r="AL4096">
        <v>78.896634681996304</v>
      </c>
      <c r="AM4096">
        <v>95.942230280580304</v>
      </c>
      <c r="AN4096">
        <v>0.99999998296034398</v>
      </c>
    </row>
    <row r="4097" spans="1:40" x14ac:dyDescent="0.25">
      <c r="A4097" t="str">
        <f>"20190303170621468"</f>
        <v>20190303170621468</v>
      </c>
      <c r="B4097" t="str">
        <f>"1551603981459474"</f>
        <v>1551603981459474</v>
      </c>
      <c r="C4097" t="s">
        <v>40</v>
      </c>
      <c r="D4097">
        <v>6.028645</v>
      </c>
      <c r="E4097">
        <v>0.45843980000000001</v>
      </c>
      <c r="F4097" t="s">
        <v>41</v>
      </c>
      <c r="G4097">
        <v>-420.25549999999998</v>
      </c>
      <c r="H4097" s="1">
        <v>-2.3957089999999998E-6</v>
      </c>
      <c r="I4097">
        <v>85.015119999999996</v>
      </c>
      <c r="J4097">
        <v>-423.56470000000002</v>
      </c>
      <c r="K4097">
        <v>1.1390049999999901</v>
      </c>
      <c r="L4097">
        <v>111.9465</v>
      </c>
      <c r="M4097">
        <v>-8.0857399999999996E-2</v>
      </c>
      <c r="N4097">
        <v>-1.7617230000000001E-2</v>
      </c>
      <c r="O4097">
        <v>-0.99657010000000001</v>
      </c>
      <c r="P4097">
        <v>1.118425E-2</v>
      </c>
      <c r="Q4097">
        <v>0.17856759999999999</v>
      </c>
      <c r="R4097">
        <v>-0.98386410000000002</v>
      </c>
      <c r="S4097">
        <v>0.36666870000000001</v>
      </c>
      <c r="T4097">
        <v>-0.1278958</v>
      </c>
      <c r="U4097">
        <v>-3.0741269999999998</v>
      </c>
      <c r="V4097">
        <v>-9.9677909999999995E-2</v>
      </c>
      <c r="W4097">
        <v>0.19139139999999999</v>
      </c>
      <c r="X4097">
        <v>0.97643919999999995</v>
      </c>
      <c r="Y4097">
        <v>-0.1982141</v>
      </c>
      <c r="Z4097">
        <v>2.3113359999999999E-2</v>
      </c>
      <c r="AA4097">
        <v>0.97988620000000004</v>
      </c>
      <c r="AB4097">
        <v>44</v>
      </c>
      <c r="AC4097">
        <v>3.3092000000000299</v>
      </c>
      <c r="AD4097">
        <v>-1.1390073957089999</v>
      </c>
      <c r="AE4097">
        <v>-26.931380000000001</v>
      </c>
      <c r="AF4097">
        <v>-5.4666675988599804</v>
      </c>
      <c r="AG4097">
        <v>-1.1390073957089999</v>
      </c>
      <c r="AH4097">
        <v>26.528809717149301</v>
      </c>
      <c r="AI4097">
        <v>92.407938066019994</v>
      </c>
      <c r="AJ4097">
        <v>101.643690452142</v>
      </c>
      <c r="AK4097">
        <v>27.1101371721468</v>
      </c>
      <c r="AL4097">
        <v>78.9660033932104</v>
      </c>
      <c r="AM4097">
        <v>95.828737958515504</v>
      </c>
      <c r="AN4097">
        <v>0.99999993251628105</v>
      </c>
    </row>
    <row r="4098" spans="1:40" x14ac:dyDescent="0.25">
      <c r="A4098" t="str">
        <f>"20190303170621489"</f>
        <v>20190303170621489</v>
      </c>
      <c r="B4098" t="str">
        <f>"1551603981478993"</f>
        <v>1551603981478993</v>
      </c>
      <c r="C4098" t="s">
        <v>40</v>
      </c>
      <c r="D4098">
        <v>6.0900660000000002</v>
      </c>
      <c r="E4098">
        <v>0.45872780000000002</v>
      </c>
      <c r="F4098" t="s">
        <v>41</v>
      </c>
      <c r="G4098">
        <v>-420.13049999999998</v>
      </c>
      <c r="H4098" s="1">
        <v>-2.4478149999999999E-6</v>
      </c>
      <c r="I4098">
        <v>85.214109999999906</v>
      </c>
      <c r="J4098">
        <v>-423.59879999999998</v>
      </c>
      <c r="K4098">
        <v>1.1389940000000001</v>
      </c>
      <c r="L4098">
        <v>111.5326</v>
      </c>
      <c r="M4098">
        <v>-6.6030060000000002E-2</v>
      </c>
      <c r="N4098">
        <v>-1.7607499999999901E-2</v>
      </c>
      <c r="O4098">
        <v>-0.99766220000000005</v>
      </c>
      <c r="P4098">
        <v>2.1598860000000001E-2</v>
      </c>
      <c r="Q4098">
        <v>0.17759069999999999</v>
      </c>
      <c r="R4098">
        <v>-0.98386750000000001</v>
      </c>
      <c r="S4098">
        <v>0.39419559999999998</v>
      </c>
      <c r="T4098">
        <v>-0.13073979999999999</v>
      </c>
      <c r="U4098">
        <v>-3.068451</v>
      </c>
      <c r="V4098">
        <v>-9.5446799999999998E-2</v>
      </c>
      <c r="W4098">
        <v>0.19061259999999999</v>
      </c>
      <c r="X4098">
        <v>0.97701420000000005</v>
      </c>
      <c r="Y4098">
        <v>-0.19250500000000001</v>
      </c>
      <c r="Z4098">
        <v>2.418706E-2</v>
      </c>
      <c r="AA4098">
        <v>0.98099789999999998</v>
      </c>
      <c r="AB4098">
        <v>44</v>
      </c>
      <c r="AC4098">
        <v>3.4683000000000002</v>
      </c>
      <c r="AD4098">
        <v>-1.1389964478149901</v>
      </c>
      <c r="AE4098">
        <v>-26.318490000000001</v>
      </c>
      <c r="AF4098">
        <v>-5.1892563551388697</v>
      </c>
      <c r="AG4098">
        <v>-1.1389964478149901</v>
      </c>
      <c r="AH4098">
        <v>25.984152108703999</v>
      </c>
      <c r="AI4098">
        <v>92.461369617985497</v>
      </c>
      <c r="AJ4098">
        <v>101.293872893515</v>
      </c>
      <c r="AK4098">
        <v>26.521724213100299</v>
      </c>
      <c r="AL4098">
        <v>79.011463025974905</v>
      </c>
      <c r="AM4098">
        <v>95.5796531721994</v>
      </c>
      <c r="AN4098">
        <v>1.0000000009553101</v>
      </c>
    </row>
    <row r="4099" spans="1:40" x14ac:dyDescent="0.25">
      <c r="A4099" t="str">
        <f>"20190303170621511"</f>
        <v>20190303170621511</v>
      </c>
      <c r="B4099" t="str">
        <f>"1551603981499490"</f>
        <v>1551603981499490</v>
      </c>
      <c r="C4099" t="s">
        <v>40</v>
      </c>
      <c r="D4099">
        <v>6.0609500000000001</v>
      </c>
      <c r="E4099">
        <v>0.45920830000000001</v>
      </c>
      <c r="F4099" t="s">
        <v>41</v>
      </c>
      <c r="G4099">
        <v>-420.15989999999999</v>
      </c>
      <c r="H4099" s="1">
        <v>-3.1406940000000001E-6</v>
      </c>
      <c r="I4099">
        <v>86.810940000000002</v>
      </c>
      <c r="J4099">
        <v>-423.62709999999998</v>
      </c>
      <c r="K4099">
        <v>1.1389929999999999</v>
      </c>
      <c r="L4099">
        <v>111.1078</v>
      </c>
      <c r="M4099">
        <v>-5.0782880000000002E-2</v>
      </c>
      <c r="N4099">
        <v>-1.7592400000000001E-2</v>
      </c>
      <c r="O4099">
        <v>-0.99855479999999996</v>
      </c>
      <c r="P4099">
        <v>3.1580499999999997E-2</v>
      </c>
      <c r="Q4099">
        <v>0.17628139999999901</v>
      </c>
      <c r="R4099">
        <v>-0.98383339999999997</v>
      </c>
      <c r="S4099">
        <v>0.42639159999999998</v>
      </c>
      <c r="T4099">
        <v>-0.1412283</v>
      </c>
      <c r="U4099">
        <v>-3.0653229999999998</v>
      </c>
      <c r="V4099">
        <v>-9.0368950000000003E-2</v>
      </c>
      <c r="W4099">
        <v>0.18953629999999999</v>
      </c>
      <c r="X4099">
        <v>0.97770619999999997</v>
      </c>
      <c r="Y4099">
        <v>-0.18774650000000001</v>
      </c>
      <c r="Z4099">
        <v>2.7665169999999999E-2</v>
      </c>
      <c r="AA4099">
        <v>0.98182789999999998</v>
      </c>
      <c r="AB4099">
        <v>44</v>
      </c>
      <c r="AC4099">
        <v>3.4671999999999898</v>
      </c>
      <c r="AD4099">
        <v>-1.1389961406939999</v>
      </c>
      <c r="AE4099">
        <v>-24.296859999999899</v>
      </c>
      <c r="AF4099">
        <v>-4.68668659172313</v>
      </c>
      <c r="AG4099">
        <v>-1.1389961406939999</v>
      </c>
      <c r="AH4099">
        <v>24.037628506333299</v>
      </c>
      <c r="AI4099">
        <v>92.662801141123495</v>
      </c>
      <c r="AJ4099">
        <v>101.032714198771</v>
      </c>
      <c r="AK4099">
        <v>24.516727506460601</v>
      </c>
      <c r="AL4099">
        <v>79.074275391299196</v>
      </c>
      <c r="AM4099">
        <v>95.280819166112906</v>
      </c>
      <c r="AN4099">
        <v>0.99999998483011598</v>
      </c>
    </row>
    <row r="4100" spans="1:40" x14ac:dyDescent="0.25">
      <c r="A4100" t="str">
        <f>"20190303170621526"</f>
        <v>20190303170621526</v>
      </c>
      <c r="B4100" t="str">
        <f>"1551603981519009"</f>
        <v>1551603981519009</v>
      </c>
      <c r="C4100" t="s">
        <v>40</v>
      </c>
      <c r="D4100">
        <v>5.9316740000000001</v>
      </c>
      <c r="E4100">
        <v>0.46982220000000002</v>
      </c>
      <c r="F4100" t="s">
        <v>41</v>
      </c>
      <c r="G4100">
        <v>-420.04259999999999</v>
      </c>
      <c r="H4100" s="1">
        <v>-3.2361440000000002E-6</v>
      </c>
      <c r="I4100">
        <v>87.106210000000004</v>
      </c>
      <c r="J4100">
        <v>-423.64359999999999</v>
      </c>
      <c r="K4100">
        <v>1.1389819999999999</v>
      </c>
      <c r="L4100">
        <v>110.8058</v>
      </c>
      <c r="M4100">
        <v>-3.9930279999999999E-2</v>
      </c>
      <c r="N4100">
        <v>-1.7579129999999998E-2</v>
      </c>
      <c r="O4100">
        <v>-0.99904789999999999</v>
      </c>
      <c r="P4100">
        <v>3.9753089999999998E-2</v>
      </c>
      <c r="Q4100">
        <v>0.1751781</v>
      </c>
      <c r="R4100">
        <v>-0.983734</v>
      </c>
      <c r="S4100">
        <v>0.45709230000000001</v>
      </c>
      <c r="T4100">
        <v>-0.14524279999999901</v>
      </c>
      <c r="U4100">
        <v>-3.060638</v>
      </c>
      <c r="V4100">
        <v>-8.7815019999999994E-2</v>
      </c>
      <c r="W4100">
        <v>0.18854599999999999</v>
      </c>
      <c r="X4100">
        <v>0.97813030000000001</v>
      </c>
      <c r="Y4100">
        <v>-0.18691959999999999</v>
      </c>
      <c r="Z4100">
        <v>2.9050079999999999E-2</v>
      </c>
      <c r="AA4100">
        <v>0.98194559999999997</v>
      </c>
      <c r="AB4100">
        <v>44</v>
      </c>
      <c r="AC4100">
        <v>3.6009999999999902</v>
      </c>
      <c r="AD4100">
        <v>-1.138985236144</v>
      </c>
      <c r="AE4100">
        <v>-23.699590000000001</v>
      </c>
      <c r="AF4100">
        <v>-4.5343679722562404</v>
      </c>
      <c r="AG4100">
        <v>-1.138985236144</v>
      </c>
      <c r="AH4100">
        <v>23.4838552907832</v>
      </c>
      <c r="AI4100">
        <v>92.726434185844894</v>
      </c>
      <c r="AJ4100">
        <v>100.928440230007</v>
      </c>
      <c r="AK4100">
        <v>23.944712142651099</v>
      </c>
      <c r="AL4100">
        <v>79.132057183431996</v>
      </c>
      <c r="AM4100">
        <v>95.130172293646197</v>
      </c>
      <c r="AN4100">
        <v>0.99999997781584404</v>
      </c>
    </row>
    <row r="4101" spans="1:40" x14ac:dyDescent="0.25">
      <c r="A4101" t="str">
        <f>"20190303170621547"</f>
        <v>20190303170621547</v>
      </c>
      <c r="B4101" t="str">
        <f>"1551603981539505"</f>
        <v>1551603981539505</v>
      </c>
      <c r="C4101" t="s">
        <v>40</v>
      </c>
      <c r="D4101">
        <v>5.9871499999999997</v>
      </c>
      <c r="E4101">
        <v>0.46949750000000001</v>
      </c>
      <c r="F4101" t="s">
        <v>41</v>
      </c>
      <c r="G4101">
        <v>-420.46440000000001</v>
      </c>
      <c r="H4101" s="1">
        <v>-3.0577380000000002E-6</v>
      </c>
      <c r="I4101">
        <v>86.428709999999995</v>
      </c>
      <c r="J4101">
        <v>-423.65929999999997</v>
      </c>
      <c r="K4101">
        <v>1.1389530000000001</v>
      </c>
      <c r="L4101">
        <v>110.4181</v>
      </c>
      <c r="M4101">
        <v>-2.5977380000000001E-2</v>
      </c>
      <c r="N4101">
        <v>-1.7558219999999999E-2</v>
      </c>
      <c r="O4101">
        <v>-0.99950850000000002</v>
      </c>
      <c r="P4101">
        <v>4.8843600000000001E-2</v>
      </c>
      <c r="Q4101">
        <v>0.173153</v>
      </c>
      <c r="R4101">
        <v>-0.98368339999999999</v>
      </c>
      <c r="S4101">
        <v>0.3989258</v>
      </c>
      <c r="T4101">
        <v>-0.14292379999999999</v>
      </c>
      <c r="U4101">
        <v>-3.058929</v>
      </c>
      <c r="V4101">
        <v>-8.309482E-2</v>
      </c>
      <c r="W4101">
        <v>0.1867325</v>
      </c>
      <c r="X4101">
        <v>0.97889029999999999</v>
      </c>
      <c r="Y4101">
        <v>-0.15489839999999999</v>
      </c>
      <c r="Z4101">
        <v>2.8596239999999998E-2</v>
      </c>
      <c r="AA4101">
        <v>0.98751650000000002</v>
      </c>
      <c r="AB4101">
        <v>44</v>
      </c>
      <c r="AC4101">
        <v>3.1948999999999601</v>
      </c>
      <c r="AD4101">
        <v>-1.138956057738</v>
      </c>
      <c r="AE4101">
        <v>-23.98939</v>
      </c>
      <c r="AF4101">
        <v>-3.80866342450885</v>
      </c>
      <c r="AG4101">
        <v>-1.138956057738</v>
      </c>
      <c r="AH4101">
        <v>23.8454702968614</v>
      </c>
      <c r="AI4101">
        <v>92.700422591773204</v>
      </c>
      <c r="AJ4101">
        <v>99.074785946921807</v>
      </c>
      <c r="AK4101">
        <v>24.174564973565602</v>
      </c>
      <c r="AL4101">
        <v>79.2378422627757</v>
      </c>
      <c r="AM4101">
        <v>94.852020877738298</v>
      </c>
      <c r="AN4101">
        <v>0.999999997550586</v>
      </c>
    </row>
    <row r="4102" spans="1:40" x14ac:dyDescent="0.25">
      <c r="A4102" t="str">
        <f>"20190303170621568"</f>
        <v>20190303170621568</v>
      </c>
      <c r="B4102" t="str">
        <f>"1551603981559025"</f>
        <v>1551603981559025</v>
      </c>
      <c r="C4102" t="s">
        <v>40</v>
      </c>
      <c r="D4102">
        <v>6.088921</v>
      </c>
      <c r="E4102">
        <v>0.46922809999999998</v>
      </c>
      <c r="F4102" t="s">
        <v>41</v>
      </c>
      <c r="G4102">
        <v>-420.48790000000002</v>
      </c>
      <c r="H4102" s="1">
        <v>-3.6637499999999999E-6</v>
      </c>
      <c r="I4102">
        <v>87.826819999999998</v>
      </c>
      <c r="J4102">
        <v>-423.67</v>
      </c>
      <c r="K4102">
        <v>1.1389290000000001</v>
      </c>
      <c r="L4102">
        <v>109.99809999999999</v>
      </c>
      <c r="M4102">
        <v>-1.0849920000000001E-2</v>
      </c>
      <c r="N4102">
        <v>-1.753E-2</v>
      </c>
      <c r="O4102">
        <v>-0.99978739999999999</v>
      </c>
      <c r="P4102">
        <v>5.8119129999999998E-2</v>
      </c>
      <c r="Q4102">
        <v>0.17382520000000001</v>
      </c>
      <c r="R4102">
        <v>-0.98306009999999999</v>
      </c>
      <c r="S4102">
        <v>0.42895509999999898</v>
      </c>
      <c r="T4102">
        <v>-0.15404979999999999</v>
      </c>
      <c r="U4102">
        <v>-3.0555880000000002</v>
      </c>
      <c r="V4102">
        <v>-7.7519610000000003E-2</v>
      </c>
      <c r="W4102">
        <v>0.18764449999999999</v>
      </c>
      <c r="X4102">
        <v>0.97917319999999997</v>
      </c>
      <c r="Y4102">
        <v>-0.14959800000000001</v>
      </c>
      <c r="Z4102">
        <v>3.2291540000000001E-2</v>
      </c>
      <c r="AA4102">
        <v>0.98821939999999997</v>
      </c>
      <c r="AB4102">
        <v>44</v>
      </c>
      <c r="AC4102">
        <v>3.1820999999999899</v>
      </c>
      <c r="AD4102">
        <v>-1.1389326637499999</v>
      </c>
      <c r="AE4102">
        <v>-22.171279999999999</v>
      </c>
      <c r="AF4102">
        <v>-3.4136798659653</v>
      </c>
      <c r="AG4102">
        <v>-1.1389326637499999</v>
      </c>
      <c r="AH4102">
        <v>22.0783581600964</v>
      </c>
      <c r="AI4102">
        <v>92.918421294137403</v>
      </c>
      <c r="AJ4102">
        <v>98.789277876499298</v>
      </c>
      <c r="AK4102">
        <v>22.3697178543975</v>
      </c>
      <c r="AL4102">
        <v>79.184647753934797</v>
      </c>
      <c r="AM4102">
        <v>94.526575975503405</v>
      </c>
      <c r="AN4102">
        <v>0.99999995195651903</v>
      </c>
    </row>
    <row r="4103" spans="1:40" x14ac:dyDescent="0.25">
      <c r="A4103" t="str">
        <f>"20190303170621590"</f>
        <v>20190303170621590</v>
      </c>
      <c r="B4103" t="str">
        <f>"1551603981579522"</f>
        <v>1551603981579522</v>
      </c>
      <c r="C4103" t="s">
        <v>40</v>
      </c>
      <c r="D4103">
        <v>6.0634009999999998</v>
      </c>
      <c r="E4103">
        <v>0.47690389999999999</v>
      </c>
      <c r="F4103" t="s">
        <v>41</v>
      </c>
      <c r="G4103">
        <v>-420.2165</v>
      </c>
      <c r="H4103" s="1">
        <v>-3.2511909999999999E-6</v>
      </c>
      <c r="I4103">
        <v>87.033419999999893</v>
      </c>
      <c r="J4103">
        <v>-423.67419999999998</v>
      </c>
      <c r="K4103">
        <v>1.1389119999999999</v>
      </c>
      <c r="L4103">
        <v>109.59099999999999</v>
      </c>
      <c r="M4103">
        <v>3.8191829999999999E-3</v>
      </c>
      <c r="N4103">
        <v>-1.7496479999999998E-2</v>
      </c>
      <c r="O4103">
        <v>-0.9998397</v>
      </c>
      <c r="P4103">
        <v>6.6151169999999995E-2</v>
      </c>
      <c r="Q4103">
        <v>0.174242799999999</v>
      </c>
      <c r="R4103">
        <v>-0.98247830000000003</v>
      </c>
      <c r="S4103">
        <v>0.4588623</v>
      </c>
      <c r="T4103">
        <v>-0.15132979999999999</v>
      </c>
      <c r="U4103">
        <v>-3.0513150000000002</v>
      </c>
      <c r="V4103">
        <v>-7.1146860000000006E-2</v>
      </c>
      <c r="W4103">
        <v>0.1883339</v>
      </c>
      <c r="X4103">
        <v>0.97952459999999997</v>
      </c>
      <c r="Y4103">
        <v>-0.1447736</v>
      </c>
      <c r="Z4103">
        <v>3.1520079999999999E-2</v>
      </c>
      <c r="AA4103">
        <v>0.98896269999999997</v>
      </c>
      <c r="AB4103">
        <v>44</v>
      </c>
      <c r="AC4103">
        <v>3.45769999999998</v>
      </c>
      <c r="AD4103">
        <v>-1.1389152511909999</v>
      </c>
      <c r="AE4103">
        <v>-22.557580000000002</v>
      </c>
      <c r="AF4103">
        <v>-3.3631336945017201</v>
      </c>
      <c r="AG4103">
        <v>-1.1389152511909999</v>
      </c>
      <c r="AH4103">
        <v>22.5145473098727</v>
      </c>
      <c r="AI4103">
        <v>92.864157356525098</v>
      </c>
      <c r="AJ4103">
        <v>98.495798259706902</v>
      </c>
      <c r="AK4103">
        <v>22.792819851106302</v>
      </c>
      <c r="AL4103">
        <v>79.144431414093503</v>
      </c>
      <c r="AM4103">
        <v>94.154330326910198</v>
      </c>
      <c r="AN4103">
        <v>0.99999998779111399</v>
      </c>
    </row>
    <row r="4104" spans="1:40" x14ac:dyDescent="0.25">
      <c r="A4104" t="str">
        <f>"20190303170621612"</f>
        <v>20190303170621612</v>
      </c>
      <c r="B4104" t="str">
        <f>"1551603981599041"</f>
        <v>1551603981599041</v>
      </c>
      <c r="C4104" t="s">
        <v>40</v>
      </c>
      <c r="D4104">
        <v>6.0720000000000001</v>
      </c>
      <c r="E4104">
        <v>0.477796</v>
      </c>
      <c r="F4104" t="s">
        <v>41</v>
      </c>
      <c r="G4104">
        <v>-420.14030000000002</v>
      </c>
      <c r="H4104" s="1">
        <v>-1.998928E-6</v>
      </c>
      <c r="I4104">
        <v>84.161619999999999</v>
      </c>
      <c r="J4104">
        <v>-423.67180000000002</v>
      </c>
      <c r="K4104">
        <v>1.1388799999999999</v>
      </c>
      <c r="L4104">
        <v>109.1579</v>
      </c>
      <c r="M4104">
        <v>1.9423780000000002E-2</v>
      </c>
      <c r="N4104">
        <v>-1.7453710000000001E-2</v>
      </c>
      <c r="O4104">
        <v>-0.99965919999999997</v>
      </c>
      <c r="P4104">
        <v>7.494133E-2</v>
      </c>
      <c r="Q4104">
        <v>0.17297199999999999</v>
      </c>
      <c r="R4104">
        <v>-0.98207180000000005</v>
      </c>
      <c r="S4104">
        <v>0.42373660000000002</v>
      </c>
      <c r="T4104">
        <v>-0.1365652</v>
      </c>
      <c r="U4104">
        <v>-3.049194</v>
      </c>
      <c r="V4104">
        <v>-6.4528580000000002E-2</v>
      </c>
      <c r="W4104">
        <v>0.18734049999999999</v>
      </c>
      <c r="X4104">
        <v>0.98017319999999997</v>
      </c>
      <c r="Y4104">
        <v>-0.1182628</v>
      </c>
      <c r="Z4104">
        <v>2.6940390000000002E-2</v>
      </c>
      <c r="AA4104">
        <v>0.99261679999999997</v>
      </c>
      <c r="AB4104">
        <v>44</v>
      </c>
      <c r="AC4104">
        <v>3.5314999999999901</v>
      </c>
      <c r="AD4104">
        <v>-1.1388819989279999</v>
      </c>
      <c r="AE4104">
        <v>-24.996279999999999</v>
      </c>
      <c r="AF4104">
        <v>-3.0390521267161601</v>
      </c>
      <c r="AG4104">
        <v>-1.1388819989279999</v>
      </c>
      <c r="AH4104">
        <v>25.0092675220065</v>
      </c>
      <c r="AI4104">
        <v>92.588342694431404</v>
      </c>
      <c r="AJ4104">
        <v>96.928444004341699</v>
      </c>
      <c r="AK4104">
        <v>25.2189680998979</v>
      </c>
      <c r="AL4104">
        <v>79.202380130018398</v>
      </c>
      <c r="AM4104">
        <v>93.766566742064796</v>
      </c>
      <c r="AN4104">
        <v>0.99999995128765196</v>
      </c>
    </row>
    <row r="4105" spans="1:40" x14ac:dyDescent="0.25">
      <c r="A4105" t="str">
        <f>"20190303170621636"</f>
        <v>20190303170621636</v>
      </c>
      <c r="B4105" t="str">
        <f>"1551603981629297"</f>
        <v>1551603981629297</v>
      </c>
      <c r="C4105" t="s">
        <v>40</v>
      </c>
      <c r="D4105">
        <v>6.0672420000000002</v>
      </c>
      <c r="E4105">
        <v>0.4790085</v>
      </c>
      <c r="F4105" t="s">
        <v>41</v>
      </c>
      <c r="G4105">
        <v>-420.18599999999998</v>
      </c>
      <c r="H4105" s="1">
        <v>-2.5076439999999999E-6</v>
      </c>
      <c r="I4105">
        <v>85.319149999999993</v>
      </c>
      <c r="J4105">
        <v>-423.6619</v>
      </c>
      <c r="K4105">
        <v>1.1388180000000001</v>
      </c>
      <c r="L4105">
        <v>108.6996</v>
      </c>
      <c r="M4105">
        <v>3.591242E-2</v>
      </c>
      <c r="N4105">
        <v>-1.740067E-2</v>
      </c>
      <c r="O4105">
        <v>-0.99920339999999996</v>
      </c>
      <c r="P4105">
        <v>8.4237000000000006E-2</v>
      </c>
      <c r="Q4105">
        <v>0.170299799999999</v>
      </c>
      <c r="R4105">
        <v>-0.98178529999999997</v>
      </c>
      <c r="S4105">
        <v>0.4454651</v>
      </c>
      <c r="T4105">
        <v>-0.1455408</v>
      </c>
      <c r="U4105">
        <v>-3.0464169999999999</v>
      </c>
      <c r="V4105">
        <v>-5.7460789999999998E-2</v>
      </c>
      <c r="W4105">
        <v>0.18495909999999999</v>
      </c>
      <c r="X4105">
        <v>0.98106490000000002</v>
      </c>
      <c r="Y4105">
        <v>-0.1089281</v>
      </c>
      <c r="Z4105">
        <v>2.9938260000000001E-2</v>
      </c>
      <c r="AA4105">
        <v>0.99359869999999995</v>
      </c>
      <c r="AB4105">
        <v>44</v>
      </c>
      <c r="AC4105">
        <v>3.4759000000000202</v>
      </c>
      <c r="AD4105">
        <v>-1.1388205076439999</v>
      </c>
      <c r="AE4105">
        <v>-23.38045</v>
      </c>
      <c r="AF4105">
        <v>-2.6277818609909902</v>
      </c>
      <c r="AG4105">
        <v>-1.1388205076439999</v>
      </c>
      <c r="AH4105">
        <v>23.435811581299301</v>
      </c>
      <c r="AI4105">
        <v>92.764697505684893</v>
      </c>
      <c r="AJ4105">
        <v>96.397668631437597</v>
      </c>
      <c r="AK4105">
        <v>23.610154894276899</v>
      </c>
      <c r="AL4105">
        <v>79.341251876757894</v>
      </c>
      <c r="AM4105">
        <v>93.351973827750598</v>
      </c>
      <c r="AN4105">
        <v>0.99999997453612099</v>
      </c>
    </row>
    <row r="4106" spans="1:40" x14ac:dyDescent="0.25">
      <c r="A4106" t="str">
        <f>"20190303170621658"</f>
        <v>20190303170621658</v>
      </c>
      <c r="B4106" t="str">
        <f>"1551603981648817"</f>
        <v>1551603981648817</v>
      </c>
      <c r="C4106" t="s">
        <v>40</v>
      </c>
      <c r="D4106">
        <v>6.0276899999999998</v>
      </c>
      <c r="E4106">
        <v>0.47989280000000001</v>
      </c>
      <c r="F4106" t="s">
        <v>41</v>
      </c>
      <c r="G4106">
        <v>-420.26350000000002</v>
      </c>
      <c r="H4106" s="1">
        <v>-3.0128850000000002E-6</v>
      </c>
      <c r="I4106">
        <v>86.448779999999999</v>
      </c>
      <c r="J4106">
        <v>-423.64550000000003</v>
      </c>
      <c r="K4106">
        <v>1.138741</v>
      </c>
      <c r="L4106">
        <v>108.2681</v>
      </c>
      <c r="M4106">
        <v>5.1398689999999997E-2</v>
      </c>
      <c r="N4106">
        <v>-1.734312E-2</v>
      </c>
      <c r="O4106">
        <v>-0.99852779999999997</v>
      </c>
      <c r="P4106">
        <v>9.1606179999999995E-2</v>
      </c>
      <c r="Q4106">
        <v>0.1699435</v>
      </c>
      <c r="R4106">
        <v>-0.98118700000000003</v>
      </c>
      <c r="S4106">
        <v>0.46472170000000002</v>
      </c>
      <c r="T4106">
        <v>-0.1557328</v>
      </c>
      <c r="U4106">
        <v>-3.042786</v>
      </c>
      <c r="V4106">
        <v>-4.9551530000000003E-2</v>
      </c>
      <c r="W4106">
        <v>0.18492210000000001</v>
      </c>
      <c r="X4106">
        <v>0.98150320000000002</v>
      </c>
      <c r="Y4106">
        <v>-9.9819130000000006E-2</v>
      </c>
      <c r="Z4106">
        <v>3.3331949999999999E-2</v>
      </c>
      <c r="AA4106">
        <v>0.99444719999999998</v>
      </c>
      <c r="AB4106">
        <v>44</v>
      </c>
      <c r="AC4106">
        <v>3.3820000000000001</v>
      </c>
      <c r="AD4106">
        <v>-1.1387440128849999</v>
      </c>
      <c r="AE4106">
        <v>-21.819320000000001</v>
      </c>
      <c r="AF4106">
        <v>-2.2498910201651499</v>
      </c>
      <c r="AG4106">
        <v>-1.1387440128849999</v>
      </c>
      <c r="AH4106">
        <v>21.906060226901999</v>
      </c>
      <c r="AI4106">
        <v>92.960187385772997</v>
      </c>
      <c r="AJ4106">
        <v>95.864077591316203</v>
      </c>
      <c r="AK4106">
        <v>22.050719312397899</v>
      </c>
      <c r="AL4106">
        <v>79.343409677658997</v>
      </c>
      <c r="AM4106">
        <v>92.890143561052895</v>
      </c>
      <c r="AN4106">
        <v>1.0000000344019899</v>
      </c>
    </row>
    <row r="4107" spans="1:40" x14ac:dyDescent="0.25">
      <c r="A4107" t="str">
        <f>"20190303170621679"</f>
        <v>20190303170621679</v>
      </c>
      <c r="B4107" t="str">
        <f>"1551603981669313"</f>
        <v>1551603981669313</v>
      </c>
      <c r="C4107" t="s">
        <v>40</v>
      </c>
      <c r="D4107">
        <v>6.0456830000000004</v>
      </c>
      <c r="E4107">
        <v>0.4802495</v>
      </c>
      <c r="F4107" t="s">
        <v>41</v>
      </c>
      <c r="G4107">
        <v>-420.14699999999999</v>
      </c>
      <c r="H4107" s="1">
        <v>-2.85547E-6</v>
      </c>
      <c r="I4107">
        <v>86.154119999999907</v>
      </c>
      <c r="J4107">
        <v>-423.62479999999999</v>
      </c>
      <c r="K4107">
        <v>1.1386719999999999</v>
      </c>
      <c r="L4107">
        <v>107.8801</v>
      </c>
      <c r="M4107">
        <v>6.5263699999999994E-2</v>
      </c>
      <c r="N4107">
        <v>-1.7284279999999999E-2</v>
      </c>
      <c r="O4107">
        <v>-0.99771840000000001</v>
      </c>
      <c r="P4107">
        <v>9.7107769999999996E-2</v>
      </c>
      <c r="Q4107">
        <v>0.17026350000000001</v>
      </c>
      <c r="R4107">
        <v>-0.98060210000000003</v>
      </c>
      <c r="S4107">
        <v>0.48089599999999999</v>
      </c>
      <c r="T4107">
        <v>-0.1565289</v>
      </c>
      <c r="U4107">
        <v>-3.0397340000000002</v>
      </c>
      <c r="V4107">
        <v>-4.139052E-2</v>
      </c>
      <c r="W4107">
        <v>0.18556729999999999</v>
      </c>
      <c r="X4107">
        <v>0.98175939999999995</v>
      </c>
      <c r="Y4107">
        <v>-9.1312969999999993E-2</v>
      </c>
      <c r="Z4107">
        <v>3.3658540000000001E-2</v>
      </c>
      <c r="AA4107">
        <v>0.99525330000000001</v>
      </c>
      <c r="AB4107">
        <v>44</v>
      </c>
      <c r="AC4107">
        <v>3.4777999999999998</v>
      </c>
      <c r="AD4107">
        <v>-1.1386748554699999</v>
      </c>
      <c r="AE4107">
        <v>-21.72598</v>
      </c>
      <c r="AF4107">
        <v>-2.04677189619516</v>
      </c>
      <c r="AG4107">
        <v>-1.1386748554699999</v>
      </c>
      <c r="AH4107">
        <v>21.848140525140099</v>
      </c>
      <c r="AI4107">
        <v>92.970442231890303</v>
      </c>
      <c r="AJ4107">
        <v>95.351948280649097</v>
      </c>
      <c r="AK4107">
        <v>21.973327013172199</v>
      </c>
      <c r="AL4107">
        <v>79.305790540651699</v>
      </c>
      <c r="AM4107">
        <v>92.414133796485402</v>
      </c>
      <c r="AN4107">
        <v>0.99999995873175895</v>
      </c>
    </row>
    <row r="4108" spans="1:40" x14ac:dyDescent="0.25">
      <c r="A4108" t="str">
        <f>"20190303170621692"</f>
        <v>20190303170621692</v>
      </c>
      <c r="B4108" t="str">
        <f>"1551603981679074"</f>
        <v>1551603981679074</v>
      </c>
      <c r="C4108" t="s">
        <v>40</v>
      </c>
      <c r="D4108">
        <v>6.0611930000000003</v>
      </c>
      <c r="E4108">
        <v>0.48688779999999998</v>
      </c>
      <c r="F4108" t="s">
        <v>41</v>
      </c>
      <c r="G4108">
        <v>-419.9742</v>
      </c>
      <c r="H4108" s="1">
        <v>-2.579109E-6</v>
      </c>
      <c r="I4108">
        <v>85.617059999999995</v>
      </c>
      <c r="J4108">
        <v>-423.6069</v>
      </c>
      <c r="K4108">
        <v>1.138617</v>
      </c>
      <c r="L4108">
        <v>107.6122</v>
      </c>
      <c r="M4108">
        <v>7.4786909999999998E-2</v>
      </c>
      <c r="N4108">
        <v>-1.723906E-2</v>
      </c>
      <c r="O4108">
        <v>-0.99705049999999995</v>
      </c>
      <c r="P4108">
        <v>0.102363</v>
      </c>
      <c r="Q4108">
        <v>0.1703442</v>
      </c>
      <c r="R4108">
        <v>-0.98005359999999997</v>
      </c>
      <c r="S4108">
        <v>0.49798579999999998</v>
      </c>
      <c r="T4108">
        <v>-0.15533189999999999</v>
      </c>
      <c r="U4108">
        <v>-3.0370029999999999</v>
      </c>
      <c r="V4108">
        <v>-3.7248290000000003E-2</v>
      </c>
      <c r="W4108">
        <v>0.18579879999999999</v>
      </c>
      <c r="X4108">
        <v>0.98188160000000002</v>
      </c>
      <c r="Y4108">
        <v>-8.7405629999999998E-2</v>
      </c>
      <c r="Z4108">
        <v>3.3312420000000002E-2</v>
      </c>
      <c r="AA4108">
        <v>0.99561569999999999</v>
      </c>
      <c r="AB4108">
        <v>44</v>
      </c>
      <c r="AC4108">
        <v>3.6326999999999998</v>
      </c>
      <c r="AD4108">
        <v>-1.1386195791089999</v>
      </c>
      <c r="AE4108">
        <v>-21.995139999999999</v>
      </c>
      <c r="AF4108">
        <v>-1.97218592187862</v>
      </c>
      <c r="AG4108">
        <v>-1.1386195791089999</v>
      </c>
      <c r="AH4108">
        <v>22.147468869504699</v>
      </c>
      <c r="AI4108">
        <v>92.9314528409448</v>
      </c>
      <c r="AJ4108">
        <v>95.088647821299602</v>
      </c>
      <c r="AK4108">
        <v>22.264239245527001</v>
      </c>
      <c r="AL4108">
        <v>79.292292839364805</v>
      </c>
      <c r="AM4108">
        <v>92.172509317559403</v>
      </c>
      <c r="AN4108">
        <v>1.0000000528039601</v>
      </c>
    </row>
    <row r="4109" spans="1:40" x14ac:dyDescent="0.25">
      <c r="A4109" t="str">
        <f>"20190303170621713"</f>
        <v>20190303170621713</v>
      </c>
      <c r="B4109" t="str">
        <f>"1551603981699569"</f>
        <v>1551603981699569</v>
      </c>
      <c r="C4109" t="s">
        <v>40</v>
      </c>
      <c r="D4109">
        <v>6.0407190000000002</v>
      </c>
      <c r="E4109">
        <v>0.48669020000000002</v>
      </c>
      <c r="F4109" t="s">
        <v>41</v>
      </c>
      <c r="G4109">
        <v>-420.30869999999999</v>
      </c>
      <c r="H4109" s="1">
        <v>-2.8126099999999998E-6</v>
      </c>
      <c r="I4109">
        <v>85.953879999999998</v>
      </c>
      <c r="J4109">
        <v>-423.57749999999999</v>
      </c>
      <c r="K4109">
        <v>1.1385209999999999</v>
      </c>
      <c r="L4109">
        <v>107.2313</v>
      </c>
      <c r="M4109">
        <v>8.8246179999999994E-2</v>
      </c>
      <c r="N4109">
        <v>-1.7169009999999998E-2</v>
      </c>
      <c r="O4109">
        <v>-0.99595089999999997</v>
      </c>
      <c r="P4109">
        <v>0.10796749999999999</v>
      </c>
      <c r="Q4109">
        <v>0.16856989999999999</v>
      </c>
      <c r="R4109">
        <v>-0.97975900000000005</v>
      </c>
      <c r="S4109">
        <v>0.4630127</v>
      </c>
      <c r="T4109">
        <v>-0.15984379999999901</v>
      </c>
      <c r="U4109">
        <v>-3.0404819999999999</v>
      </c>
      <c r="V4109">
        <v>-2.9434269999999998E-2</v>
      </c>
      <c r="W4109">
        <v>0.18432270000000001</v>
      </c>
      <c r="X4109">
        <v>0.98242499999999999</v>
      </c>
      <c r="Y4109">
        <v>-6.2577789999999994E-2</v>
      </c>
      <c r="Z4109">
        <v>3.4804689999999999E-2</v>
      </c>
      <c r="AA4109">
        <v>0.99743300000000001</v>
      </c>
      <c r="AB4109">
        <v>43</v>
      </c>
      <c r="AC4109">
        <v>3.2687999999999899</v>
      </c>
      <c r="AD4109">
        <v>-1.1385238126099999</v>
      </c>
      <c r="AE4109">
        <v>-21.277419999999999</v>
      </c>
      <c r="AF4109">
        <v>-1.3742721095041801</v>
      </c>
      <c r="AG4109">
        <v>-1.1385238126099999</v>
      </c>
      <c r="AH4109">
        <v>21.422964206446899</v>
      </c>
      <c r="AI4109">
        <v>93.035894852948701</v>
      </c>
      <c r="AJ4109">
        <v>93.6704653845634</v>
      </c>
      <c r="AK4109">
        <v>21.497168550614902</v>
      </c>
      <c r="AL4109">
        <v>79.378353713582896</v>
      </c>
      <c r="AM4109">
        <v>91.716115833859007</v>
      </c>
      <c r="AN4109">
        <v>1.00000005730535</v>
      </c>
    </row>
    <row r="4110" spans="1:40" x14ac:dyDescent="0.25">
      <c r="A4110" t="str">
        <f>"20190303170621736"</f>
        <v>20190303170621736</v>
      </c>
      <c r="B4110" t="str">
        <f>"1551603981728849"</f>
        <v>1551603981728849</v>
      </c>
      <c r="C4110" t="s">
        <v>40</v>
      </c>
      <c r="D4110">
        <v>6.0659960000000002</v>
      </c>
      <c r="E4110">
        <v>0.48822100000000002</v>
      </c>
      <c r="F4110" t="s">
        <v>41</v>
      </c>
      <c r="G4110">
        <v>-420.15260000000001</v>
      </c>
      <c r="H4110" s="1">
        <v>-2.653848E-6</v>
      </c>
      <c r="I4110">
        <v>85.680629999999994</v>
      </c>
      <c r="J4110">
        <v>-423.53649999999999</v>
      </c>
      <c r="K4110">
        <v>1.1383650000000001</v>
      </c>
      <c r="L4110">
        <v>106.78830000000001</v>
      </c>
      <c r="M4110">
        <v>0.103739899999999</v>
      </c>
      <c r="N4110">
        <v>-1.7077640000000002E-2</v>
      </c>
      <c r="O4110">
        <v>-0.99445779999999995</v>
      </c>
      <c r="P4110">
        <v>0.11667569999999999</v>
      </c>
      <c r="Q4110">
        <v>0.165441899999999</v>
      </c>
      <c r="R4110">
        <v>-0.97929350000000004</v>
      </c>
      <c r="S4110">
        <v>0.48254390000000003</v>
      </c>
      <c r="T4110">
        <v>-0.16041349999999999</v>
      </c>
      <c r="U4110">
        <v>-3.0364070000000001</v>
      </c>
      <c r="V4110">
        <v>-2.2602770000000001E-2</v>
      </c>
      <c r="W4110">
        <v>0.1814269</v>
      </c>
      <c r="X4110">
        <v>0.98314460000000004</v>
      </c>
      <c r="Y4110">
        <v>-5.3505169999999998E-2</v>
      </c>
      <c r="Z4110">
        <v>3.5045699999999999E-2</v>
      </c>
      <c r="AA4110">
        <v>0.99795239999999996</v>
      </c>
      <c r="AB4110">
        <v>43</v>
      </c>
      <c r="AC4110">
        <v>3.3838999999999801</v>
      </c>
      <c r="AD4110">
        <v>-1.1383676538480001</v>
      </c>
      <c r="AE4110">
        <v>-21.107669999999999</v>
      </c>
      <c r="AF4110">
        <v>-1.1722853845044401</v>
      </c>
      <c r="AG4110">
        <v>-1.1383676538480001</v>
      </c>
      <c r="AH4110">
        <v>21.284489186340799</v>
      </c>
      <c r="AI4110">
        <v>93.056834309679303</v>
      </c>
      <c r="AJ4110">
        <v>93.152493406247302</v>
      </c>
      <c r="AK4110">
        <v>21.347121910494302</v>
      </c>
      <c r="AL4110">
        <v>79.5471157921084</v>
      </c>
      <c r="AM4110">
        <v>91.317014030586094</v>
      </c>
      <c r="AN4110">
        <v>0.99999995488222004</v>
      </c>
    </row>
    <row r="4111" spans="1:40" x14ac:dyDescent="0.25">
      <c r="A4111" t="str">
        <f>"20190303170621759"</f>
        <v>20190303170621759</v>
      </c>
      <c r="B4111" t="str">
        <f>"1551603981749345"</f>
        <v>1551603981749345</v>
      </c>
      <c r="C4111" t="s">
        <v>40</v>
      </c>
      <c r="D4111">
        <v>6.0561749999999996</v>
      </c>
      <c r="E4111">
        <v>0.48910120000000001</v>
      </c>
      <c r="F4111" t="s">
        <v>41</v>
      </c>
      <c r="G4111">
        <v>-420.2337</v>
      </c>
      <c r="H4111" s="1">
        <v>-3.107097E-6</v>
      </c>
      <c r="I4111">
        <v>86.686890000000005</v>
      </c>
      <c r="J4111">
        <v>-423.4907</v>
      </c>
      <c r="K4111">
        <v>1.13819</v>
      </c>
      <c r="L4111">
        <v>106.36499999999999</v>
      </c>
      <c r="M4111">
        <v>0.11833680000000001</v>
      </c>
      <c r="N4111">
        <v>-1.69804E-2</v>
      </c>
      <c r="O4111">
        <v>-0.99282840000000006</v>
      </c>
      <c r="P4111">
        <v>0.1239532</v>
      </c>
      <c r="Q4111">
        <v>0.16344990000000001</v>
      </c>
      <c r="R4111">
        <v>-0.97873399999999999</v>
      </c>
      <c r="S4111">
        <v>0.49835210000000002</v>
      </c>
      <c r="T4111">
        <v>-0.17176620000000001</v>
      </c>
      <c r="U4111">
        <v>-3.0330659999999998</v>
      </c>
      <c r="V4111">
        <v>-1.5252190000000001E-2</v>
      </c>
      <c r="W4111">
        <v>0.17967749999999999</v>
      </c>
      <c r="X4111">
        <v>0.98360729999999996</v>
      </c>
      <c r="Y4111">
        <v>-4.4055219999999999E-2</v>
      </c>
      <c r="Z4111">
        <v>3.875021E-2</v>
      </c>
      <c r="AA4111">
        <v>0.99827730000000003</v>
      </c>
      <c r="AB4111">
        <v>43</v>
      </c>
      <c r="AC4111">
        <v>3.2570000000000001</v>
      </c>
      <c r="AD4111">
        <v>-1.1381931070969999</v>
      </c>
      <c r="AE4111">
        <v>-19.678109999999901</v>
      </c>
      <c r="AF4111">
        <v>-0.90219013171627005</v>
      </c>
      <c r="AG4111">
        <v>-1.1381931070969999</v>
      </c>
      <c r="AH4111">
        <v>19.860607968094399</v>
      </c>
      <c r="AI4111">
        <v>93.276608944074596</v>
      </c>
      <c r="AJ4111">
        <v>92.600936240274606</v>
      </c>
      <c r="AK4111">
        <v>19.913643048049899</v>
      </c>
      <c r="AL4111">
        <v>79.649024097123203</v>
      </c>
      <c r="AM4111">
        <v>90.888379014759394</v>
      </c>
      <c r="AN4111">
        <v>0.99999997695966703</v>
      </c>
    </row>
    <row r="4112" spans="1:40" x14ac:dyDescent="0.25">
      <c r="A4112" t="str">
        <f>"20190303170621780"</f>
        <v>20190303170621780</v>
      </c>
      <c r="B4112" t="str">
        <f>"1551603981768866"</f>
        <v>1551603981768866</v>
      </c>
      <c r="C4112" t="s">
        <v>40</v>
      </c>
      <c r="D4112">
        <v>6.0670780000000004</v>
      </c>
      <c r="E4112">
        <v>0.48996109999999998</v>
      </c>
      <c r="F4112" t="s">
        <v>41</v>
      </c>
      <c r="G4112">
        <v>-420.18419999999998</v>
      </c>
      <c r="H4112" s="1">
        <v>-3.1925619999999999E-6</v>
      </c>
      <c r="I4112">
        <v>86.916799999999995</v>
      </c>
      <c r="J4112">
        <v>-423.44040000000001</v>
      </c>
      <c r="K4112">
        <v>1.1379999999999999</v>
      </c>
      <c r="L4112">
        <v>105.95650000000001</v>
      </c>
      <c r="M4112">
        <v>0.13215789999999999</v>
      </c>
      <c r="N4112">
        <v>-1.6877409999999999E-2</v>
      </c>
      <c r="O4112">
        <v>-0.9910852</v>
      </c>
      <c r="P4112">
        <v>0.12861429999999999</v>
      </c>
      <c r="Q4112">
        <v>0.1628822</v>
      </c>
      <c r="R4112">
        <v>-0.97822710000000002</v>
      </c>
      <c r="S4112">
        <v>0.51507570000000003</v>
      </c>
      <c r="T4112">
        <v>-0.1773045</v>
      </c>
      <c r="U4112">
        <v>-3.0295869999999998</v>
      </c>
      <c r="V4112">
        <v>-6.087294E-3</v>
      </c>
      <c r="W4112">
        <v>0.17941670000000001</v>
      </c>
      <c r="X4112">
        <v>0.98375429999999997</v>
      </c>
      <c r="Y4112">
        <v>-3.5671010000000003E-2</v>
      </c>
      <c r="Z4112">
        <v>4.0561760000000002E-2</v>
      </c>
      <c r="AA4112">
        <v>0.99854010000000004</v>
      </c>
      <c r="AB4112">
        <v>43</v>
      </c>
      <c r="AC4112">
        <v>3.25620000000003</v>
      </c>
      <c r="AD4112">
        <v>-1.138003192562</v>
      </c>
      <c r="AE4112">
        <v>-19.0397</v>
      </c>
      <c r="AF4112">
        <v>-0.70856659126807098</v>
      </c>
      <c r="AG4112">
        <v>-1.138003192562</v>
      </c>
      <c r="AH4112">
        <v>19.2362748047459</v>
      </c>
      <c r="AI4112">
        <v>93.383338986623897</v>
      </c>
      <c r="AJ4112">
        <v>92.109531565355496</v>
      </c>
      <c r="AK4112">
        <v>19.282929918563799</v>
      </c>
      <c r="AL4112">
        <v>79.664213552784702</v>
      </c>
      <c r="AM4112">
        <v>90.354531414514199</v>
      </c>
      <c r="AN4112">
        <v>0.99999996507780997</v>
      </c>
    </row>
    <row r="4113" spans="1:40" x14ac:dyDescent="0.25">
      <c r="A4113" t="str">
        <f>"20190303170621802"</f>
        <v>20190303170621802</v>
      </c>
      <c r="B4113" t="str">
        <f>"1551603981789361"</f>
        <v>1551603981789361</v>
      </c>
      <c r="C4113" t="s">
        <v>40</v>
      </c>
      <c r="D4113">
        <v>6.047078</v>
      </c>
      <c r="E4113">
        <v>0.4957937</v>
      </c>
      <c r="F4113" t="s">
        <v>41</v>
      </c>
      <c r="G4113">
        <v>-420.0582</v>
      </c>
      <c r="H4113" s="1">
        <v>-2.96066E-6</v>
      </c>
      <c r="I4113">
        <v>86.45438</v>
      </c>
      <c r="J4113">
        <v>-423.38260000000002</v>
      </c>
      <c r="K4113">
        <v>1.1377569999999999</v>
      </c>
      <c r="L4113">
        <v>105.53619999999999</v>
      </c>
      <c r="M4113">
        <v>0.14603749999999999</v>
      </c>
      <c r="N4113">
        <v>-1.6761000000000002E-2</v>
      </c>
      <c r="O4113">
        <v>-0.98913720000000005</v>
      </c>
      <c r="P4113">
        <v>0.13298099999999999</v>
      </c>
      <c r="Q4113">
        <v>0.16249769999999999</v>
      </c>
      <c r="R4113">
        <v>-0.9777072</v>
      </c>
      <c r="S4113">
        <v>0.52499390000000001</v>
      </c>
      <c r="T4113">
        <v>-0.17664279999999999</v>
      </c>
      <c r="U4113">
        <v>-3.027161</v>
      </c>
      <c r="V4113">
        <v>3.471577E-3</v>
      </c>
      <c r="W4113">
        <v>0.179331399999999</v>
      </c>
      <c r="X4113">
        <v>0.98378259999999995</v>
      </c>
      <c r="Y4113">
        <v>-2.4978500000000001E-2</v>
      </c>
      <c r="Z4113">
        <v>4.0358150000000002E-2</v>
      </c>
      <c r="AA4113">
        <v>0.99887300000000001</v>
      </c>
      <c r="AB4113">
        <v>43</v>
      </c>
      <c r="AC4113">
        <v>3.3244000000000198</v>
      </c>
      <c r="AD4113">
        <v>-1.13775996066</v>
      </c>
      <c r="AE4113">
        <v>-19.08182</v>
      </c>
      <c r="AF4113">
        <v>-0.49997169576415801</v>
      </c>
      <c r="AG4113">
        <v>-1.13775996066</v>
      </c>
      <c r="AH4113">
        <v>19.296161824241199</v>
      </c>
      <c r="AI4113">
        <v>93.373295691463895</v>
      </c>
      <c r="AJ4113">
        <v>91.484225740232901</v>
      </c>
      <c r="AK4113">
        <v>19.336140529380501</v>
      </c>
      <c r="AL4113">
        <v>79.669181858626104</v>
      </c>
      <c r="AM4113">
        <v>89.797815203547401</v>
      </c>
      <c r="AN4113">
        <v>1.0000000034677901</v>
      </c>
    </row>
    <row r="4114" spans="1:40" x14ac:dyDescent="0.25">
      <c r="A4114" t="str">
        <f>"20190303170621821"</f>
        <v>20190303170621821</v>
      </c>
      <c r="B4114" t="str">
        <f>"1551603981808882"</f>
        <v>1551603981808882</v>
      </c>
      <c r="C4114" t="s">
        <v>40</v>
      </c>
      <c r="D4114">
        <v>6.0644970000000002</v>
      </c>
      <c r="E4114">
        <v>0.49617749999999999</v>
      </c>
      <c r="F4114" t="s">
        <v>41</v>
      </c>
      <c r="G4114">
        <v>-420.07600000000002</v>
      </c>
      <c r="H4114" s="1">
        <v>-2.408957E-6</v>
      </c>
      <c r="I4114">
        <v>85.157269999999997</v>
      </c>
      <c r="J4114">
        <v>-423.32819999999998</v>
      </c>
      <c r="K4114">
        <v>1.1374930000000001</v>
      </c>
      <c r="L4114">
        <v>105.1776</v>
      </c>
      <c r="M4114">
        <v>0.15750799999999901</v>
      </c>
      <c r="N4114">
        <v>-1.6650680000000001E-2</v>
      </c>
      <c r="O4114">
        <v>-0.98737730000000001</v>
      </c>
      <c r="P4114">
        <v>0.14061879999999999</v>
      </c>
      <c r="Q4114">
        <v>0.1622825</v>
      </c>
      <c r="R4114">
        <v>-0.97667349999999997</v>
      </c>
      <c r="S4114">
        <v>0.49157709999999999</v>
      </c>
      <c r="T4114">
        <v>-0.16914680000000001</v>
      </c>
      <c r="U4114">
        <v>-3.0296630000000002</v>
      </c>
      <c r="V4114">
        <v>7.3461759999999899E-3</v>
      </c>
      <c r="W4114">
        <v>0.179165299999999</v>
      </c>
      <c r="X4114">
        <v>0.98379150000000004</v>
      </c>
      <c r="Y4114">
        <v>-2.5458680000000002E-3</v>
      </c>
      <c r="Z4114">
        <v>3.7928610000000001E-2</v>
      </c>
      <c r="AA4114">
        <v>0.99927719999999998</v>
      </c>
      <c r="AB4114">
        <v>43</v>
      </c>
      <c r="AC4114">
        <v>3.25220000000001</v>
      </c>
      <c r="AD4114">
        <v>-1.137495408957</v>
      </c>
      <c r="AE4114">
        <v>-20.020329999999898</v>
      </c>
      <c r="AF4114">
        <v>-5.76131275827447E-2</v>
      </c>
      <c r="AG4114">
        <v>-1.137495408957</v>
      </c>
      <c r="AH4114">
        <v>20.2190866476138</v>
      </c>
      <c r="AI4114">
        <v>93.2199671121233</v>
      </c>
      <c r="AJ4114">
        <v>90.1632605952327</v>
      </c>
      <c r="AK4114">
        <v>20.251140213370299</v>
      </c>
      <c r="AL4114">
        <v>79.678854732672406</v>
      </c>
      <c r="AM4114">
        <v>89.572168434555806</v>
      </c>
      <c r="AN4114">
        <v>0.99999994324907904</v>
      </c>
    </row>
    <row r="4115" spans="1:40" x14ac:dyDescent="0.25">
      <c r="A4115" t="str">
        <f>"20190303170621836"</f>
        <v>20190303170621836</v>
      </c>
      <c r="B4115" t="str">
        <f>"1551603981829378"</f>
        <v>1551603981829378</v>
      </c>
      <c r="C4115" t="s">
        <v>40</v>
      </c>
      <c r="D4115">
        <v>6.0989529999999998</v>
      </c>
      <c r="E4115">
        <v>0.49723200000000001</v>
      </c>
      <c r="F4115" t="s">
        <v>41</v>
      </c>
      <c r="G4115">
        <v>-419.9384</v>
      </c>
      <c r="H4115" s="1">
        <v>-2.3693980000000001E-6</v>
      </c>
      <c r="I4115">
        <v>85.130420000000001</v>
      </c>
      <c r="J4115">
        <v>-423.28179999999998</v>
      </c>
      <c r="K4115">
        <v>1.1372409999999999</v>
      </c>
      <c r="L4115">
        <v>104.8938</v>
      </c>
      <c r="M4115">
        <v>0.16628709999999999</v>
      </c>
      <c r="N4115">
        <v>-1.6556080000000001E-2</v>
      </c>
      <c r="O4115">
        <v>-0.98593850000000005</v>
      </c>
      <c r="P4115">
        <v>0.14205690000000001</v>
      </c>
      <c r="Q4115">
        <v>0.16203979999999901</v>
      </c>
      <c r="R4115">
        <v>-0.97650579999999998</v>
      </c>
      <c r="S4115">
        <v>0.51174929999999996</v>
      </c>
      <c r="T4115">
        <v>-0.17172560000000001</v>
      </c>
      <c r="U4115">
        <v>-3.0264890000000002</v>
      </c>
      <c r="V4115">
        <v>1.4797940000000001E-2</v>
      </c>
      <c r="W4115">
        <v>0.17913200000000001</v>
      </c>
      <c r="X4115">
        <v>0.98371370000000002</v>
      </c>
      <c r="Y4115">
        <v>-2.9197590000000002E-4</v>
      </c>
      <c r="Z4115">
        <v>3.8776390000000001E-2</v>
      </c>
      <c r="AA4115">
        <v>0.99924780000000002</v>
      </c>
      <c r="AB4115">
        <v>43</v>
      </c>
      <c r="AC4115">
        <v>3.3433999999999702</v>
      </c>
      <c r="AD4115">
        <v>-1.137243369398</v>
      </c>
      <c r="AE4115">
        <v>-19.763380000000002</v>
      </c>
      <c r="AF4115">
        <v>-9.9609380957299508E-3</v>
      </c>
      <c r="AG4115">
        <v>-1.137243369398</v>
      </c>
      <c r="AH4115">
        <v>19.979869991549901</v>
      </c>
      <c r="AI4115">
        <v>93.257729184274396</v>
      </c>
      <c r="AJ4115">
        <v>90.028564733696101</v>
      </c>
      <c r="AK4115">
        <v>20.012211936234401</v>
      </c>
      <c r="AL4115">
        <v>79.680794106258205</v>
      </c>
      <c r="AM4115">
        <v>89.138168389676807</v>
      </c>
      <c r="AN4115">
        <v>0.99999994800996495</v>
      </c>
    </row>
    <row r="4116" spans="1:40" x14ac:dyDescent="0.25">
      <c r="A4116" t="str">
        <f>"20190303170621857"</f>
        <v>20190303170621857</v>
      </c>
      <c r="B4116" t="str">
        <f>"1551603981848897"</f>
        <v>1551603981848897</v>
      </c>
      <c r="C4116" t="s">
        <v>40</v>
      </c>
      <c r="D4116">
        <v>6.3911030000000002</v>
      </c>
      <c r="E4116">
        <v>0.4978843</v>
      </c>
      <c r="F4116" t="s">
        <v>41</v>
      </c>
      <c r="G4116">
        <v>-420.0172</v>
      </c>
      <c r="H4116" s="1">
        <v>-2.5055399999999998E-6</v>
      </c>
      <c r="I4116">
        <v>85.418909999999997</v>
      </c>
      <c r="J4116">
        <v>-423.2124</v>
      </c>
      <c r="K4116">
        <v>1.1368339999999999</v>
      </c>
      <c r="L4116">
        <v>104.4933</v>
      </c>
      <c r="M4116">
        <v>0.1782511</v>
      </c>
      <c r="N4116">
        <v>-1.6416739999999999E-2</v>
      </c>
      <c r="O4116">
        <v>-0.9838481</v>
      </c>
      <c r="P4116">
        <v>0.14495089999999999</v>
      </c>
      <c r="Q4116">
        <v>0.163267299999999</v>
      </c>
      <c r="R4116">
        <v>-0.97587539999999995</v>
      </c>
      <c r="S4116">
        <v>0.50753779999999904</v>
      </c>
      <c r="T4116">
        <v>-0.17680409999999999</v>
      </c>
      <c r="U4116">
        <v>-3.0277099999999999</v>
      </c>
      <c r="V4116">
        <v>2.3949410000000001E-2</v>
      </c>
      <c r="W4116">
        <v>0.18056920000000001</v>
      </c>
      <c r="X4116">
        <v>0.98327059999999999</v>
      </c>
      <c r="Y4116">
        <v>1.3274960000000001E-2</v>
      </c>
      <c r="Z4116">
        <v>4.0354260000000003E-2</v>
      </c>
      <c r="AA4116">
        <v>0.99909720000000002</v>
      </c>
      <c r="AB4116">
        <v>43</v>
      </c>
      <c r="AC4116">
        <v>3.1951999999999998</v>
      </c>
      <c r="AD4116">
        <v>-1.13683650553999</v>
      </c>
      <c r="AE4116">
        <v>-19.074390000000001</v>
      </c>
      <c r="AF4116">
        <v>0.255590983702634</v>
      </c>
      <c r="AG4116">
        <v>-1.13683650553999</v>
      </c>
      <c r="AH4116">
        <v>19.271867340491401</v>
      </c>
      <c r="AI4116">
        <v>93.375637132039699</v>
      </c>
      <c r="AJ4116">
        <v>89.240165683965301</v>
      </c>
      <c r="AK4116">
        <v>19.307060749393699</v>
      </c>
      <c r="AL4116">
        <v>79.597083542645507</v>
      </c>
      <c r="AM4116">
        <v>88.604729099810498</v>
      </c>
      <c r="AN4116">
        <v>0.999999941526172</v>
      </c>
    </row>
    <row r="4117" spans="1:40" x14ac:dyDescent="0.25">
      <c r="A4117" t="str">
        <f>"20190303170621881"</f>
        <v>20190303170621881</v>
      </c>
      <c r="B4117" t="str">
        <f>"1551603981869394"</f>
        <v>1551603981869394</v>
      </c>
      <c r="C4117" t="s">
        <v>40</v>
      </c>
      <c r="D4117">
        <v>6.0544399999999996</v>
      </c>
      <c r="E4117">
        <v>0.50307069999999998</v>
      </c>
      <c r="F4117" t="s">
        <v>41</v>
      </c>
      <c r="G4117">
        <v>-419.85680000000002</v>
      </c>
      <c r="H4117" s="1">
        <v>-2.1967359999999998E-6</v>
      </c>
      <c r="I4117">
        <v>84.694190000000006</v>
      </c>
      <c r="J4117">
        <v>-423.13380000000001</v>
      </c>
      <c r="K4117">
        <v>1.136333</v>
      </c>
      <c r="L4117">
        <v>104.0712</v>
      </c>
      <c r="M4117">
        <v>0.1901938</v>
      </c>
      <c r="N4117">
        <v>-1.6263150000000001E-2</v>
      </c>
      <c r="O4117">
        <v>-0.98161209999999999</v>
      </c>
      <c r="P4117">
        <v>0.1464415</v>
      </c>
      <c r="Q4117">
        <v>0.1644555</v>
      </c>
      <c r="R4117">
        <v>-0.97545360000000003</v>
      </c>
      <c r="S4117">
        <v>0.51303100000000001</v>
      </c>
      <c r="T4117">
        <v>-0.1738083</v>
      </c>
      <c r="U4117">
        <v>-3.0270389999999998</v>
      </c>
      <c r="V4117">
        <v>3.456472E-2</v>
      </c>
      <c r="W4117">
        <v>0.18198159999999999</v>
      </c>
      <c r="X4117">
        <v>0.98269430000000002</v>
      </c>
      <c r="Y4117">
        <v>2.3613579999999999E-2</v>
      </c>
      <c r="Z4117">
        <v>3.9378349999999999E-2</v>
      </c>
      <c r="AA4117">
        <v>0.99894530000000004</v>
      </c>
      <c r="AB4117">
        <v>43</v>
      </c>
      <c r="AC4117">
        <v>3.2769999999999802</v>
      </c>
      <c r="AD4117">
        <v>-1.136335196736</v>
      </c>
      <c r="AE4117">
        <v>-19.377009999999999</v>
      </c>
      <c r="AF4117">
        <v>0.467144321683507</v>
      </c>
      <c r="AG4117">
        <v>-1.136335196736</v>
      </c>
      <c r="AH4117">
        <v>19.5810980428544</v>
      </c>
      <c r="AI4117">
        <v>93.320335360247995</v>
      </c>
      <c r="AJ4117">
        <v>88.633359484072201</v>
      </c>
      <c r="AK4117">
        <v>19.6196045337438</v>
      </c>
      <c r="AL4117">
        <v>79.514796858484502</v>
      </c>
      <c r="AM4117">
        <v>87.985541912953707</v>
      </c>
      <c r="AN4117">
        <v>1.00000005492986</v>
      </c>
    </row>
    <row r="4118" spans="1:40" x14ac:dyDescent="0.25">
      <c r="A4118" t="str">
        <f>"20190303170621893"</f>
        <v>20190303170621893</v>
      </c>
      <c r="B4118" t="str">
        <f>"1551603981888914"</f>
        <v>1551603981888914</v>
      </c>
      <c r="C4118" t="s">
        <v>40</v>
      </c>
      <c r="D4118">
        <v>6.0696019999999997</v>
      </c>
      <c r="E4118">
        <v>0.5039496</v>
      </c>
      <c r="F4118" t="s">
        <v>41</v>
      </c>
      <c r="G4118">
        <v>-420.88139999999999</v>
      </c>
      <c r="H4118" s="1">
        <v>-3.9050639999999998E-7</v>
      </c>
      <c r="I4118">
        <v>89.952690000000004</v>
      </c>
      <c r="J4118">
        <v>-423.08390000000003</v>
      </c>
      <c r="K4118">
        <v>1.1359809999999999</v>
      </c>
      <c r="L4118">
        <v>103.8186</v>
      </c>
      <c r="M4118">
        <v>0.1968934</v>
      </c>
      <c r="N4118">
        <v>-1.6167910000000001E-2</v>
      </c>
      <c r="O4118">
        <v>-0.98029180000000005</v>
      </c>
      <c r="P4118">
        <v>0.1485474</v>
      </c>
      <c r="Q4118">
        <v>0.1639864</v>
      </c>
      <c r="R4118">
        <v>-0.97521420000000003</v>
      </c>
      <c r="S4118">
        <v>0.48559570000000002</v>
      </c>
      <c r="T4118">
        <v>-0.2449887</v>
      </c>
      <c r="U4118">
        <v>-3.0438839999999998</v>
      </c>
      <c r="V4118">
        <v>3.9362229999999998E-2</v>
      </c>
      <c r="W4118">
        <v>0.18156620000000001</v>
      </c>
      <c r="X4118">
        <v>0.98259059999999998</v>
      </c>
      <c r="Y4118">
        <v>4.0278189999999998E-2</v>
      </c>
      <c r="Z4118">
        <v>6.149255E-2</v>
      </c>
      <c r="AA4118">
        <v>0.99729449999999997</v>
      </c>
      <c r="AB4118">
        <v>43</v>
      </c>
      <c r="AC4118">
        <v>2.2025000000000401</v>
      </c>
      <c r="AD4118">
        <v>-1.13598139050639</v>
      </c>
      <c r="AE4118">
        <v>-13.86591</v>
      </c>
      <c r="AF4118">
        <v>0.56737356216897294</v>
      </c>
      <c r="AG4118">
        <v>-1.13598139050639</v>
      </c>
      <c r="AH4118">
        <v>13.9368852858297</v>
      </c>
      <c r="AI4118">
        <v>94.655979963449894</v>
      </c>
      <c r="AJ4118">
        <v>87.668763938682801</v>
      </c>
      <c r="AK4118">
        <v>13.994611032429599</v>
      </c>
      <c r="AL4118">
        <v>79.538999945742802</v>
      </c>
      <c r="AM4118">
        <v>87.705978053721495</v>
      </c>
      <c r="AN4118">
        <v>0.99999997867068602</v>
      </c>
    </row>
    <row r="4119" spans="1:40" x14ac:dyDescent="0.25">
      <c r="A4119" t="str">
        <f>"20190303170621907"</f>
        <v>20190303170621907</v>
      </c>
      <c r="B4119" t="str">
        <f>"1551603981898674"</f>
        <v>1551603981898674</v>
      </c>
      <c r="C4119" t="s">
        <v>40</v>
      </c>
      <c r="D4119">
        <v>6.087872</v>
      </c>
      <c r="E4119">
        <v>0.50390199999999996</v>
      </c>
      <c r="F4119" t="s">
        <v>41</v>
      </c>
      <c r="G4119">
        <v>-420.75729999999999</v>
      </c>
      <c r="H4119" s="1">
        <v>-4.2867080000000002E-6</v>
      </c>
      <c r="I4119">
        <v>89.188749999999999</v>
      </c>
      <c r="J4119">
        <v>-423.03149999999999</v>
      </c>
      <c r="K4119">
        <v>1.13558799999999</v>
      </c>
      <c r="L4119">
        <v>103.5608</v>
      </c>
      <c r="M4119">
        <v>0.20345530000000001</v>
      </c>
      <c r="N4119">
        <v>-1.6071060000000002E-2</v>
      </c>
      <c r="O4119">
        <v>-0.9789525</v>
      </c>
      <c r="P4119">
        <v>0.151647</v>
      </c>
      <c r="Q4119">
        <v>0.1632016</v>
      </c>
      <c r="R4119">
        <v>-0.97486870000000003</v>
      </c>
      <c r="S4119">
        <v>0.48382570000000003</v>
      </c>
      <c r="T4119">
        <v>-0.23622969999999999</v>
      </c>
      <c r="U4119">
        <v>-3.042297</v>
      </c>
      <c r="V4119">
        <v>4.3067220000000003E-2</v>
      </c>
      <c r="W4119">
        <v>0.1807793</v>
      </c>
      <c r="X4119">
        <v>0.98258029999999996</v>
      </c>
      <c r="Y4119">
        <v>4.7423939999999998E-2</v>
      </c>
      <c r="Z4119">
        <v>5.871871E-2</v>
      </c>
      <c r="AA4119">
        <v>0.99714749999999996</v>
      </c>
      <c r="AB4119">
        <v>43</v>
      </c>
      <c r="AC4119">
        <v>2.2742</v>
      </c>
      <c r="AD4119">
        <v>-1.13559228670799</v>
      </c>
      <c r="AE4119">
        <v>-14.37205</v>
      </c>
      <c r="AF4119">
        <v>0.69360145848505494</v>
      </c>
      <c r="AG4119">
        <v>-1.13559228670799</v>
      </c>
      <c r="AH4119">
        <v>14.446139879007699</v>
      </c>
      <c r="AI4119">
        <v>94.489553316455698</v>
      </c>
      <c r="AJ4119">
        <v>87.251172864214695</v>
      </c>
      <c r="AK4119">
        <v>14.5072950693332</v>
      </c>
      <c r="AL4119">
        <v>79.584844822664394</v>
      </c>
      <c r="AM4119">
        <v>87.490290021983498</v>
      </c>
      <c r="AN4119">
        <v>0.99999999334755396</v>
      </c>
    </row>
    <row r="4120" spans="1:40" x14ac:dyDescent="0.25">
      <c r="A4120" t="str">
        <f>"20190303170621920"</f>
        <v>20190303170621920</v>
      </c>
      <c r="B4120" t="str">
        <f>"1551603981909410"</f>
        <v>1551603981909410</v>
      </c>
      <c r="C4120" t="s">
        <v>40</v>
      </c>
      <c r="D4120">
        <v>6.0904989999999897</v>
      </c>
      <c r="E4120">
        <v>0.50384050000000002</v>
      </c>
      <c r="F4120" t="s">
        <v>42</v>
      </c>
      <c r="G4120">
        <v>-422.86750000000001</v>
      </c>
      <c r="H4120">
        <v>1.0591079999999999</v>
      </c>
      <c r="I4120">
        <v>102.547</v>
      </c>
      <c r="J4120">
        <v>-422.98099999999999</v>
      </c>
      <c r="K4120">
        <v>1.135175</v>
      </c>
      <c r="L4120">
        <v>103.3201</v>
      </c>
      <c r="M4120">
        <v>0.2092427</v>
      </c>
      <c r="N4120">
        <v>-1.597966E-2</v>
      </c>
      <c r="O4120">
        <v>-0.97773319999999997</v>
      </c>
      <c r="P4120">
        <v>0.1544191</v>
      </c>
      <c r="Q4120">
        <v>0.16168450000000001</v>
      </c>
      <c r="R4120">
        <v>-0.97468630000000001</v>
      </c>
      <c r="S4120">
        <v>0.49243160000000002</v>
      </c>
      <c r="T4120">
        <v>-0.22950110000000001</v>
      </c>
      <c r="U4120">
        <v>-3.0391539999999999</v>
      </c>
      <c r="V4120">
        <v>4.6390189999999998E-2</v>
      </c>
      <c r="W4120">
        <v>0.1792446</v>
      </c>
      <c r="X4120">
        <v>0.98271019999999998</v>
      </c>
      <c r="Y4120">
        <v>5.0399180000000002E-2</v>
      </c>
      <c r="Z4120">
        <v>5.662507E-2</v>
      </c>
      <c r="AA4120">
        <v>0.99712259999999997</v>
      </c>
      <c r="AB4120">
        <v>43</v>
      </c>
      <c r="AC4120">
        <v>0.113499999999987</v>
      </c>
      <c r="AD4120">
        <v>-7.6067000000000107E-2</v>
      </c>
      <c r="AE4120">
        <v>-0.77309999999998502</v>
      </c>
      <c r="AF4120">
        <v>5.0322404118188203E-2</v>
      </c>
      <c r="AG4120">
        <v>-7.6067000000000107E-2</v>
      </c>
      <c r="AH4120">
        <v>0.77241412948604204</v>
      </c>
      <c r="AI4120">
        <v>95.612505474711099</v>
      </c>
      <c r="AJ4120">
        <v>86.272475705235706</v>
      </c>
      <c r="AK4120">
        <v>0.77778025191882805</v>
      </c>
      <c r="AL4120">
        <v>79.674237077768794</v>
      </c>
      <c r="AM4120">
        <v>87.297280152540694</v>
      </c>
      <c r="AN4120">
        <v>1.00000000677071</v>
      </c>
    </row>
    <row r="4121" spans="1:40" x14ac:dyDescent="0.25">
      <c r="A4121" t="str">
        <f>"20190303170621937"</f>
        <v>20190303170621937</v>
      </c>
      <c r="B4121" t="str">
        <f>"1551603981928929"</f>
        <v>1551603981928929</v>
      </c>
      <c r="C4121" t="s">
        <v>40</v>
      </c>
      <c r="D4121">
        <v>6.1116020000000004</v>
      </c>
      <c r="E4121">
        <v>0.50384119999999999</v>
      </c>
      <c r="F4121" t="s">
        <v>41</v>
      </c>
      <c r="G4121">
        <v>-420.51909999999998</v>
      </c>
      <c r="H4121" s="1">
        <v>-3.909222E-6</v>
      </c>
      <c r="I4121">
        <v>88.379660000000001</v>
      </c>
      <c r="J4121">
        <v>-422.91449999999998</v>
      </c>
      <c r="K4121">
        <v>1.134585</v>
      </c>
      <c r="L4121">
        <v>103.0151</v>
      </c>
      <c r="M4121">
        <v>0.21598700000000001</v>
      </c>
      <c r="N4121">
        <v>-1.5861110000000001E-2</v>
      </c>
      <c r="O4121">
        <v>-0.97626749999999995</v>
      </c>
      <c r="P4121">
        <v>0.1550648</v>
      </c>
      <c r="Q4121">
        <v>0.15908029999999901</v>
      </c>
      <c r="R4121">
        <v>-0.97501190000000004</v>
      </c>
      <c r="S4121">
        <v>0.50042719999999996</v>
      </c>
      <c r="T4121">
        <v>-0.23074700000000001</v>
      </c>
      <c r="U4121">
        <v>-3.0369259999999998</v>
      </c>
      <c r="V4121">
        <v>5.2987979999999997E-2</v>
      </c>
      <c r="W4121">
        <v>0.176678799999999</v>
      </c>
      <c r="X4121">
        <v>0.98284119999999997</v>
      </c>
      <c r="Y4121">
        <v>5.4621320000000001E-2</v>
      </c>
      <c r="Z4121">
        <v>5.7010430000000001E-2</v>
      </c>
      <c r="AA4121">
        <v>0.99687829999999999</v>
      </c>
      <c r="AB4121">
        <v>43</v>
      </c>
      <c r="AC4121">
        <v>2.3953999999999902</v>
      </c>
      <c r="AD4121">
        <v>-1.1345889092219901</v>
      </c>
      <c r="AE4121">
        <v>-14.635439999999999</v>
      </c>
      <c r="AF4121">
        <v>0.817830185660264</v>
      </c>
      <c r="AG4121">
        <v>-1.1345889092219901</v>
      </c>
      <c r="AH4121">
        <v>14.7211767094312</v>
      </c>
      <c r="AI4121">
        <v>94.400422836762104</v>
      </c>
      <c r="AJ4121">
        <v>86.820220184971106</v>
      </c>
      <c r="AK4121">
        <v>14.7874670554429</v>
      </c>
      <c r="AL4121">
        <v>79.823631019547193</v>
      </c>
      <c r="AM4121">
        <v>86.913996633102997</v>
      </c>
      <c r="AN4121">
        <v>0.999999974405679</v>
      </c>
    </row>
    <row r="4122" spans="1:40" x14ac:dyDescent="0.25">
      <c r="A4122" t="str">
        <f>"20190303170621960"</f>
        <v>20190303170621960</v>
      </c>
      <c r="B4122" t="str">
        <f>"1551603981949426"</f>
        <v>1551603981949426</v>
      </c>
      <c r="C4122" t="s">
        <v>40</v>
      </c>
      <c r="D4122">
        <v>6.0642060000000004</v>
      </c>
      <c r="E4122">
        <v>0.50397650000000005</v>
      </c>
      <c r="F4122" t="s">
        <v>41</v>
      </c>
      <c r="G4122">
        <v>-420.43520000000001</v>
      </c>
      <c r="H4122" s="1">
        <v>-3.719772E-6</v>
      </c>
      <c r="I4122">
        <v>87.990039999999993</v>
      </c>
      <c r="J4122">
        <v>-422.82069999999999</v>
      </c>
      <c r="K4122">
        <v>1.1336660000000001</v>
      </c>
      <c r="L4122">
        <v>102.59910000000001</v>
      </c>
      <c r="M4122">
        <v>0.22424169999999999</v>
      </c>
      <c r="N4122">
        <v>-1.5702560000000001E-2</v>
      </c>
      <c r="O4122">
        <v>-0.97440720000000003</v>
      </c>
      <c r="P4122">
        <v>0.15216450000000001</v>
      </c>
      <c r="Q4122">
        <v>0.1556527</v>
      </c>
      <c r="R4122">
        <v>-0.97602160000000004</v>
      </c>
      <c r="S4122">
        <v>0.50073239999999997</v>
      </c>
      <c r="T4122">
        <v>-0.2291552</v>
      </c>
      <c r="U4122">
        <v>-3.034637</v>
      </c>
      <c r="V4122">
        <v>6.4897109999999994E-2</v>
      </c>
      <c r="W4122">
        <v>0.173349799999999</v>
      </c>
      <c r="X4122">
        <v>0.98271980000000003</v>
      </c>
      <c r="Y4122">
        <v>6.2841800000000003E-2</v>
      </c>
      <c r="Z4122">
        <v>5.6506630000000002E-2</v>
      </c>
      <c r="AA4122">
        <v>0.99642249999999999</v>
      </c>
      <c r="AB4122">
        <v>43</v>
      </c>
      <c r="AC4122">
        <v>2.3854999999999702</v>
      </c>
      <c r="AD4122">
        <v>-1.133669719772</v>
      </c>
      <c r="AE4122">
        <v>-14.609059999999999</v>
      </c>
      <c r="AF4122">
        <v>0.94608008486378903</v>
      </c>
      <c r="AG4122">
        <v>-1.133669719772</v>
      </c>
      <c r="AH4122">
        <v>14.685782310609399</v>
      </c>
      <c r="AI4122">
        <v>94.405101003335005</v>
      </c>
      <c r="AJ4122">
        <v>86.314013572982006</v>
      </c>
      <c r="AK4122">
        <v>14.7598264432585</v>
      </c>
      <c r="AL4122">
        <v>80.0173590140909</v>
      </c>
      <c r="AM4122">
        <v>86.221772139637594</v>
      </c>
      <c r="AN4122">
        <v>0.99999999667921602</v>
      </c>
    </row>
    <row r="4123" spans="1:40" x14ac:dyDescent="0.25">
      <c r="A4123" t="str">
        <f>"20190303170621980"</f>
        <v>20190303170621980</v>
      </c>
      <c r="B4123" t="str">
        <f>"1551603981968945"</f>
        <v>1551603981968945</v>
      </c>
      <c r="C4123" t="s">
        <v>40</v>
      </c>
      <c r="D4123">
        <v>6.1133360000000003</v>
      </c>
      <c r="E4123">
        <v>0.50431040000000005</v>
      </c>
      <c r="F4123" t="s">
        <v>41</v>
      </c>
      <c r="G4123">
        <v>-420.42320000000001</v>
      </c>
      <c r="H4123" s="1">
        <v>-3.671918E-6</v>
      </c>
      <c r="I4123">
        <v>87.885980000000004</v>
      </c>
      <c r="J4123">
        <v>-422.72829999999999</v>
      </c>
      <c r="K4123">
        <v>1.132673</v>
      </c>
      <c r="L4123">
        <v>102.20350000000001</v>
      </c>
      <c r="M4123">
        <v>0.23087659999999999</v>
      </c>
      <c r="N4123">
        <v>-1.555747E-2</v>
      </c>
      <c r="O4123">
        <v>-0.97285889999999997</v>
      </c>
      <c r="P4123">
        <v>0.15114749999999999</v>
      </c>
      <c r="Q4123">
        <v>0.1531565</v>
      </c>
      <c r="R4123">
        <v>-0.97657450000000001</v>
      </c>
      <c r="S4123">
        <v>0.49438480000000001</v>
      </c>
      <c r="T4123">
        <v>-0.23376749999999999</v>
      </c>
      <c r="U4123">
        <v>-3.0339049999999999</v>
      </c>
      <c r="V4123">
        <v>7.3241360000000005E-2</v>
      </c>
      <c r="W4123">
        <v>0.17078460000000001</v>
      </c>
      <c r="X4123">
        <v>0.98258239999999997</v>
      </c>
      <c r="Y4123">
        <v>7.1638359999999998E-2</v>
      </c>
      <c r="Z4123">
        <v>5.7925209999999998E-2</v>
      </c>
      <c r="AA4123">
        <v>0.9957473</v>
      </c>
      <c r="AB4123">
        <v>43</v>
      </c>
      <c r="AC4123">
        <v>2.3050999999999799</v>
      </c>
      <c r="AD4123">
        <v>-1.1326766719179999</v>
      </c>
      <c r="AE4123">
        <v>-14.31752</v>
      </c>
      <c r="AF4123">
        <v>1.05672519338236</v>
      </c>
      <c r="AG4123">
        <v>-1.1326766719179999</v>
      </c>
      <c r="AH4123">
        <v>14.375172147681001</v>
      </c>
      <c r="AI4123">
        <v>94.493178991147502</v>
      </c>
      <c r="AJ4123">
        <v>85.795724300268503</v>
      </c>
      <c r="AK4123">
        <v>14.458395445307801</v>
      </c>
      <c r="AL4123">
        <v>80.166558770838805</v>
      </c>
      <c r="AM4123">
        <v>85.737075461517904</v>
      </c>
      <c r="AN4123">
        <v>0.99999992460078102</v>
      </c>
    </row>
    <row r="4124" spans="1:40" x14ac:dyDescent="0.25">
      <c r="A4124" t="str">
        <f>"20190303170622005"</f>
        <v>20190303170622005</v>
      </c>
      <c r="B4124" t="str">
        <f>"1551603981999202"</f>
        <v>1551603981999202</v>
      </c>
      <c r="C4124" t="s">
        <v>40</v>
      </c>
      <c r="D4124">
        <v>6.110741</v>
      </c>
      <c r="E4124">
        <v>0.50496719999999995</v>
      </c>
      <c r="F4124" t="s">
        <v>41</v>
      </c>
      <c r="G4124">
        <v>-420.39960000000002</v>
      </c>
      <c r="H4124" s="1">
        <v>-3.576155E-6</v>
      </c>
      <c r="I4124">
        <v>87.677359999999993</v>
      </c>
      <c r="J4124">
        <v>-422.62529999999998</v>
      </c>
      <c r="K4124">
        <v>1.1314360000000001</v>
      </c>
      <c r="L4124">
        <v>101.77460000000001</v>
      </c>
      <c r="M4124">
        <v>0.23659849999999999</v>
      </c>
      <c r="N4124">
        <v>-1.541238E-2</v>
      </c>
      <c r="O4124">
        <v>-0.9714853</v>
      </c>
      <c r="P4124">
        <v>0.15188019999999999</v>
      </c>
      <c r="Q4124">
        <v>0.15323010000000001</v>
      </c>
      <c r="R4124">
        <v>-0.97644960000000003</v>
      </c>
      <c r="S4124">
        <v>0.48635859999999898</v>
      </c>
      <c r="T4124">
        <v>-0.23656199999999999</v>
      </c>
      <c r="U4124">
        <v>-3.0338129999999999</v>
      </c>
      <c r="V4124">
        <v>7.8831990000000005E-2</v>
      </c>
      <c r="W4124">
        <v>0.1706164</v>
      </c>
      <c r="X4124">
        <v>0.98217900000000002</v>
      </c>
      <c r="Y4124">
        <v>8.0070539999999996E-2</v>
      </c>
      <c r="Z4124">
        <v>5.8775130000000002E-2</v>
      </c>
      <c r="AA4124">
        <v>0.99505480000000002</v>
      </c>
      <c r="AB4124">
        <v>43</v>
      </c>
      <c r="AC4124">
        <v>2.2256999999999598</v>
      </c>
      <c r="AD4124">
        <v>-1.131439576155</v>
      </c>
      <c r="AE4124">
        <v>-14.097239999999999</v>
      </c>
      <c r="AF4124">
        <v>1.1659623067726601</v>
      </c>
      <c r="AG4124">
        <v>-1.131439576155</v>
      </c>
      <c r="AH4124">
        <v>14.1347116497745</v>
      </c>
      <c r="AI4124">
        <v>94.561164058710702</v>
      </c>
      <c r="AJ4124">
        <v>85.284388342509601</v>
      </c>
      <c r="AK4124">
        <v>14.2277790620172</v>
      </c>
      <c r="AL4124">
        <v>80.176340353634899</v>
      </c>
      <c r="AM4124">
        <v>85.411143364427303</v>
      </c>
      <c r="AN4124">
        <v>1.00000001331866</v>
      </c>
    </row>
    <row r="4125" spans="1:40" x14ac:dyDescent="0.25">
      <c r="A4125" t="str">
        <f>"20190303170622026"</f>
        <v>20190303170622026</v>
      </c>
      <c r="B4125" t="str">
        <f>"1551603982018721"</f>
        <v>1551603982018721</v>
      </c>
      <c r="C4125" t="s">
        <v>40</v>
      </c>
      <c r="D4125">
        <v>6.107729</v>
      </c>
      <c r="E4125">
        <v>0.51202150000000002</v>
      </c>
      <c r="F4125" t="s">
        <v>42</v>
      </c>
      <c r="G4125">
        <v>-422.45499999999998</v>
      </c>
      <c r="H4125">
        <v>1.0484629999999999</v>
      </c>
      <c r="I4125">
        <v>100.6923</v>
      </c>
      <c r="J4125">
        <v>-422.52429999999998</v>
      </c>
      <c r="K4125">
        <v>1.130101</v>
      </c>
      <c r="L4125">
        <v>101.3629</v>
      </c>
      <c r="M4125">
        <v>0.24048310000000001</v>
      </c>
      <c r="N4125">
        <v>-1.5292790000000001E-2</v>
      </c>
      <c r="O4125">
        <v>-0.97053299999999998</v>
      </c>
      <c r="P4125">
        <v>0.1513545</v>
      </c>
      <c r="Q4125">
        <v>0.15535769999999999</v>
      </c>
      <c r="R4125">
        <v>-0.97619440000000002</v>
      </c>
      <c r="S4125">
        <v>0.47839359999999997</v>
      </c>
      <c r="T4125">
        <v>-0.23265759999999999</v>
      </c>
      <c r="U4125">
        <v>-3.0344850000000001</v>
      </c>
      <c r="V4125">
        <v>8.3747740000000001E-2</v>
      </c>
      <c r="W4125">
        <v>0.17245269999999999</v>
      </c>
      <c r="X4125">
        <v>0.98145119999999997</v>
      </c>
      <c r="Y4125">
        <v>8.66233E-2</v>
      </c>
      <c r="Z4125">
        <v>5.7549099999999999E-2</v>
      </c>
      <c r="AA4125">
        <v>0.9945775</v>
      </c>
      <c r="AB4125">
        <v>43</v>
      </c>
      <c r="AC4125">
        <v>6.9299999999998294E-2</v>
      </c>
      <c r="AD4125">
        <v>-8.1638000000000099E-2</v>
      </c>
      <c r="AE4125">
        <v>-0.67059999999999298</v>
      </c>
      <c r="AF4125">
        <v>9.2662237572740599E-2</v>
      </c>
      <c r="AG4125">
        <v>-8.1638000000000099E-2</v>
      </c>
      <c r="AH4125">
        <v>0.65793509959267404</v>
      </c>
      <c r="AI4125">
        <v>97.004797246100196</v>
      </c>
      <c r="AJ4125">
        <v>81.983306370969103</v>
      </c>
      <c r="AK4125">
        <v>0.669424864037787</v>
      </c>
      <c r="AL4125">
        <v>80.069545437791206</v>
      </c>
      <c r="AM4125">
        <v>85.122736118758297</v>
      </c>
      <c r="AN4125">
        <v>1.00000003783691</v>
      </c>
    </row>
    <row r="4126" spans="1:40" x14ac:dyDescent="0.25">
      <c r="A4126" t="str">
        <f>"20190303170622058"</f>
        <v>20190303170622058</v>
      </c>
      <c r="B4126" t="str">
        <f>"1551603982048977"</f>
        <v>1551603982048977</v>
      </c>
      <c r="C4126" t="s">
        <v>40</v>
      </c>
      <c r="D4126">
        <v>6.1172110000000002</v>
      </c>
      <c r="E4126">
        <v>0.51068179999999996</v>
      </c>
      <c r="F4126" t="s">
        <v>41</v>
      </c>
      <c r="G4126">
        <v>-420.0256</v>
      </c>
      <c r="H4126" s="1">
        <v>-1.5469190000000001E-6</v>
      </c>
      <c r="I4126">
        <v>83.179109999999994</v>
      </c>
      <c r="J4126">
        <v>-422.37540000000001</v>
      </c>
      <c r="K4126">
        <v>1.1281399999999999</v>
      </c>
      <c r="L4126">
        <v>100.7653</v>
      </c>
      <c r="M4126">
        <v>0.24385009999999999</v>
      </c>
      <c r="N4126">
        <v>-1.5159239999999999E-2</v>
      </c>
      <c r="O4126">
        <v>-0.96969470000000002</v>
      </c>
      <c r="P4126">
        <v>0.14615420000000001</v>
      </c>
      <c r="Q4126">
        <v>0.15555069999999999</v>
      </c>
      <c r="R4126">
        <v>-0.97695609999999999</v>
      </c>
      <c r="S4126">
        <v>0.41751100000000002</v>
      </c>
      <c r="T4126">
        <v>-0.1888369</v>
      </c>
      <c r="U4126">
        <v>-3.0384519999999999</v>
      </c>
      <c r="V4126">
        <v>9.3250130000000001E-2</v>
      </c>
      <c r="W4126">
        <v>0.17224510000000001</v>
      </c>
      <c r="X4126">
        <v>0.98063040000000001</v>
      </c>
      <c r="Y4126">
        <v>0.1096578</v>
      </c>
      <c r="Z4126">
        <v>4.3892639999999997E-2</v>
      </c>
      <c r="AA4126">
        <v>0.99299979999999999</v>
      </c>
      <c r="AB4126">
        <v>43</v>
      </c>
      <c r="AC4126">
        <v>2.3498000000000099</v>
      </c>
      <c r="AD4126">
        <v>-1.1281415469189999</v>
      </c>
      <c r="AE4126">
        <v>-17.586189999999998</v>
      </c>
      <c r="AF4126">
        <v>2.0019423108034902</v>
      </c>
      <c r="AG4126">
        <v>-1.1281415469189999</v>
      </c>
      <c r="AH4126">
        <v>17.557272358749799</v>
      </c>
      <c r="AI4126">
        <v>93.652878139558197</v>
      </c>
      <c r="AJ4126">
        <v>83.4950266141756</v>
      </c>
      <c r="AK4126">
        <v>17.707012425731001</v>
      </c>
      <c r="AL4126">
        <v>80.081620069847702</v>
      </c>
      <c r="AM4126">
        <v>84.567962092279501</v>
      </c>
      <c r="AN4126">
        <v>0.99999997131159302</v>
      </c>
    </row>
    <row r="4127" spans="1:40" x14ac:dyDescent="0.25">
      <c r="A4127" t="str">
        <f>"20190303170622081"</f>
        <v>20190303170622081</v>
      </c>
      <c r="B4127" t="str">
        <f>"1551603982069474"</f>
        <v>1551603982069474</v>
      </c>
      <c r="C4127" t="s">
        <v>40</v>
      </c>
      <c r="D4127">
        <v>6.0711979999999999</v>
      </c>
      <c r="E4127">
        <v>0.51071800000000001</v>
      </c>
      <c r="F4127" t="s">
        <v>41</v>
      </c>
      <c r="G4127">
        <v>-419.90519999999998</v>
      </c>
      <c r="H4127" s="1">
        <v>-1.321753E-6</v>
      </c>
      <c r="I4127">
        <v>82.674610000000001</v>
      </c>
      <c r="J4127">
        <v>-422.27069999999998</v>
      </c>
      <c r="K4127">
        <v>1.126714</v>
      </c>
      <c r="L4127">
        <v>100.34780000000001</v>
      </c>
      <c r="M4127">
        <v>0.24457119999999999</v>
      </c>
      <c r="N4127">
        <v>-1.5085960000000001E-2</v>
      </c>
      <c r="O4127">
        <v>-0.96951410000000005</v>
      </c>
      <c r="P4127">
        <v>0.1429474</v>
      </c>
      <c r="Q4127">
        <v>0.152945</v>
      </c>
      <c r="R4127">
        <v>-0.97784170000000004</v>
      </c>
      <c r="S4127">
        <v>0.41494750000000002</v>
      </c>
      <c r="T4127">
        <v>-0.18950529999999999</v>
      </c>
      <c r="U4127">
        <v>-3.0388790000000001</v>
      </c>
      <c r="V4127">
        <v>9.7968949999999999E-2</v>
      </c>
      <c r="W4127">
        <v>0.16929269999999999</v>
      </c>
      <c r="X4127">
        <v>0.98068449999999996</v>
      </c>
      <c r="Y4127">
        <v>0.1112384</v>
      </c>
      <c r="Z4127">
        <v>4.4144160000000002E-2</v>
      </c>
      <c r="AA4127">
        <v>0.99281280000000005</v>
      </c>
      <c r="AB4127">
        <v>43</v>
      </c>
      <c r="AC4127">
        <v>2.3654999999999902</v>
      </c>
      <c r="AD4127">
        <v>-1.1267153217529999</v>
      </c>
      <c r="AE4127">
        <v>-17.673190000000002</v>
      </c>
      <c r="AF4127">
        <v>2.0211282163188802</v>
      </c>
      <c r="AG4127">
        <v>-1.1267153217529999</v>
      </c>
      <c r="AH4127">
        <v>17.6445013284415</v>
      </c>
      <c r="AI4127">
        <v>93.630071095689303</v>
      </c>
      <c r="AJ4127">
        <v>83.465409837827593</v>
      </c>
      <c r="AK4127">
        <v>17.795585795709201</v>
      </c>
      <c r="AL4127">
        <v>80.253302411113594</v>
      </c>
      <c r="AM4127">
        <v>84.295162578933898</v>
      </c>
      <c r="AN4127">
        <v>1.0000000109888201</v>
      </c>
    </row>
    <row r="4128" spans="1:40" x14ac:dyDescent="0.25">
      <c r="A4128" t="str">
        <f>"20190303170622104"</f>
        <v>20190303170622104</v>
      </c>
      <c r="B4128" t="str">
        <f>"1551603982098754"</f>
        <v>1551603982098754</v>
      </c>
      <c r="C4128" t="s">
        <v>40</v>
      </c>
      <c r="D4128">
        <v>6.073118</v>
      </c>
      <c r="E4128">
        <v>0.51473100000000005</v>
      </c>
      <c r="F4128" t="s">
        <v>41</v>
      </c>
      <c r="G4128">
        <v>-420.0127</v>
      </c>
      <c r="H4128" s="1">
        <v>-1.549556E-6</v>
      </c>
      <c r="I4128">
        <v>83.193280000000001</v>
      </c>
      <c r="J4128">
        <v>-422.16410000000002</v>
      </c>
      <c r="K4128">
        <v>1.125165</v>
      </c>
      <c r="L4128">
        <v>99.921999999999997</v>
      </c>
      <c r="M4128">
        <v>0.24378830000000001</v>
      </c>
      <c r="N4128">
        <v>-1.5027489999999999E-2</v>
      </c>
      <c r="O4128">
        <v>-0.96971220000000002</v>
      </c>
      <c r="P4128">
        <v>0.13874529999999999</v>
      </c>
      <c r="Q4128">
        <v>0.1527529</v>
      </c>
      <c r="R4128">
        <v>-0.97847689999999998</v>
      </c>
      <c r="S4128">
        <v>0.40023799999999998</v>
      </c>
      <c r="T4128">
        <v>-0.1997149</v>
      </c>
      <c r="U4128">
        <v>-3.0407099999999998</v>
      </c>
      <c r="V4128">
        <v>0.1020644</v>
      </c>
      <c r="W4128">
        <v>0.16869719999999999</v>
      </c>
      <c r="X4128">
        <v>0.98036939999999995</v>
      </c>
      <c r="Y4128">
        <v>0.1152474</v>
      </c>
      <c r="Z4128">
        <v>4.7344490000000003E-2</v>
      </c>
      <c r="AA4128">
        <v>0.99220790000000003</v>
      </c>
      <c r="AB4128">
        <v>43</v>
      </c>
      <c r="AC4128">
        <v>2.1514000000000202</v>
      </c>
      <c r="AD4128">
        <v>-1.1251665495559999</v>
      </c>
      <c r="AE4128">
        <v>-16.728719999999999</v>
      </c>
      <c r="AF4128">
        <v>1.9834253051006401</v>
      </c>
      <c r="AG4128">
        <v>-1.1251665495559999</v>
      </c>
      <c r="AH4128">
        <v>16.674214273081699</v>
      </c>
      <c r="AI4128">
        <v>93.833490157582801</v>
      </c>
      <c r="AJ4128">
        <v>83.216447252220107</v>
      </c>
      <c r="AK4128">
        <v>16.829420588059399</v>
      </c>
      <c r="AL4128">
        <v>80.287920080099994</v>
      </c>
      <c r="AM4128">
        <v>84.056456310566006</v>
      </c>
      <c r="AN4128">
        <v>1.00000002374577</v>
      </c>
    </row>
    <row r="4129" spans="1:40" x14ac:dyDescent="0.25">
      <c r="A4129" t="str">
        <f>"20190303170622127"</f>
        <v>20190303170622127</v>
      </c>
      <c r="B4129" t="str">
        <f>"1551603982119250"</f>
        <v>1551603982119250</v>
      </c>
      <c r="C4129" t="s">
        <v>40</v>
      </c>
      <c r="D4129">
        <v>6.1401309999999896</v>
      </c>
      <c r="E4129">
        <v>0.51203659999999995</v>
      </c>
      <c r="F4129" t="s">
        <v>42</v>
      </c>
      <c r="G4129">
        <v>-422.0378</v>
      </c>
      <c r="H4129">
        <v>1.0369469999999901</v>
      </c>
      <c r="I4129">
        <v>98.831590000000006</v>
      </c>
      <c r="J4129">
        <v>-422.06020000000001</v>
      </c>
      <c r="K4129">
        <v>1.123572</v>
      </c>
      <c r="L4129">
        <v>99.503110000000007</v>
      </c>
      <c r="M4129">
        <v>0.24156630000000001</v>
      </c>
      <c r="N4129">
        <v>-1.4994810000000001E-2</v>
      </c>
      <c r="O4129">
        <v>-0.97026860000000004</v>
      </c>
      <c r="P4129">
        <v>0.13207650000000001</v>
      </c>
      <c r="Q4129">
        <v>0.1568522</v>
      </c>
      <c r="R4129">
        <v>-0.97875109999999999</v>
      </c>
      <c r="S4129">
        <v>0.35446169999999999</v>
      </c>
      <c r="T4129">
        <v>-0.2469808</v>
      </c>
      <c r="U4129">
        <v>-3.0542910000000001</v>
      </c>
      <c r="V4129">
        <v>0.1069938</v>
      </c>
      <c r="W4129">
        <v>0.17236960000000001</v>
      </c>
      <c r="X4129">
        <v>0.97920430000000003</v>
      </c>
      <c r="Y4129">
        <v>0.12824849999999999</v>
      </c>
      <c r="Z4129">
        <v>6.170834E-2</v>
      </c>
      <c r="AA4129">
        <v>0.98982040000000004</v>
      </c>
      <c r="AB4129">
        <v>43</v>
      </c>
      <c r="AC4129">
        <v>2.24000000000046E-2</v>
      </c>
      <c r="AD4129">
        <v>-8.6625000000000105E-2</v>
      </c>
      <c r="AE4129">
        <v>-0.67151999999998602</v>
      </c>
      <c r="AF4129">
        <v>0.13820116940917401</v>
      </c>
      <c r="AG4129">
        <v>-8.6625000000000105E-2</v>
      </c>
      <c r="AH4129">
        <v>0.64629683023828299</v>
      </c>
      <c r="AI4129">
        <v>97.467175383842303</v>
      </c>
      <c r="AJ4129">
        <v>77.929911183638495</v>
      </c>
      <c r="AK4129">
        <v>0.66656060986763699</v>
      </c>
      <c r="AL4129">
        <v>80.0743787883533</v>
      </c>
      <c r="AM4129">
        <v>83.7642534970377</v>
      </c>
      <c r="AN4129">
        <v>1.0000000066905399</v>
      </c>
    </row>
    <row r="4130" spans="1:40" x14ac:dyDescent="0.25">
      <c r="A4130" t="str">
        <f>"20190303170622150"</f>
        <v>20190303170622150</v>
      </c>
      <c r="B4130" t="str">
        <f>"1551603982138770"</f>
        <v>1551603982138770</v>
      </c>
      <c r="C4130" t="s">
        <v>40</v>
      </c>
      <c r="D4130">
        <v>6.1231549999999997</v>
      </c>
      <c r="E4130">
        <v>0.51226570000000005</v>
      </c>
      <c r="F4130" t="s">
        <v>41</v>
      </c>
      <c r="G4130">
        <v>-419.83449999999999</v>
      </c>
      <c r="H4130" s="1">
        <v>-3.5276780000000002E-7</v>
      </c>
      <c r="I4130">
        <v>80.38664</v>
      </c>
      <c r="J4130">
        <v>-421.95940000000002</v>
      </c>
      <c r="K4130">
        <v>1.12205</v>
      </c>
      <c r="L4130">
        <v>99.089690000000004</v>
      </c>
      <c r="M4130">
        <v>0.2383084</v>
      </c>
      <c r="N4130">
        <v>-1.498232E-2</v>
      </c>
      <c r="O4130">
        <v>-0.9710742</v>
      </c>
      <c r="P4130">
        <v>0.12351570000000001</v>
      </c>
      <c r="Q4130">
        <v>0.159766299999999</v>
      </c>
      <c r="R4130">
        <v>-0.97939710000000002</v>
      </c>
      <c r="S4130">
        <v>0.35464479999999998</v>
      </c>
      <c r="T4130">
        <v>-0.17902660000000001</v>
      </c>
      <c r="U4130">
        <v>-3.0459589999999999</v>
      </c>
      <c r="V4130">
        <v>0.1128253</v>
      </c>
      <c r="W4130">
        <v>0.17485699999999901</v>
      </c>
      <c r="X4130">
        <v>0.97810810000000004</v>
      </c>
      <c r="Y4130">
        <v>0.124448</v>
      </c>
      <c r="Z4130">
        <v>4.0980809999999999E-2</v>
      </c>
      <c r="AA4130">
        <v>0.99137949999999997</v>
      </c>
      <c r="AB4130">
        <v>43</v>
      </c>
      <c r="AC4130">
        <v>2.1249000000000202</v>
      </c>
      <c r="AD4130">
        <v>-1.1220503527678001</v>
      </c>
      <c r="AE4130">
        <v>-18.703050000000001</v>
      </c>
      <c r="AF4130">
        <v>2.38545031110257</v>
      </c>
      <c r="AG4130">
        <v>-1.1220503527678001</v>
      </c>
      <c r="AH4130">
        <v>18.604415324230299</v>
      </c>
      <c r="AI4130">
        <v>93.423424642580898</v>
      </c>
      <c r="AJ4130">
        <v>82.693425855131693</v>
      </c>
      <c r="AK4130">
        <v>18.7902538497313</v>
      </c>
      <c r="AL4130">
        <v>79.929663366375706</v>
      </c>
      <c r="AM4130">
        <v>83.419981932619805</v>
      </c>
      <c r="AN4130">
        <v>0.99999998702735005</v>
      </c>
    </row>
    <row r="4131" spans="1:40" x14ac:dyDescent="0.25">
      <c r="A4131" t="str">
        <f>"20190303170622170"</f>
        <v>20190303170622170</v>
      </c>
      <c r="B4131" t="str">
        <f>"1551603982159266"</f>
        <v>1551603982159266</v>
      </c>
      <c r="C4131" t="s">
        <v>40</v>
      </c>
      <c r="D4131">
        <v>6.1173419999999998</v>
      </c>
      <c r="E4131">
        <v>0.51260939999999999</v>
      </c>
      <c r="F4131" t="s">
        <v>41</v>
      </c>
      <c r="G4131">
        <v>-419.81740000000002</v>
      </c>
      <c r="H4131" s="1">
        <v>-4.1966200000000003E-6</v>
      </c>
      <c r="I4131">
        <v>79.339709999999997</v>
      </c>
      <c r="J4131">
        <v>-421.86360000000002</v>
      </c>
      <c r="K4131">
        <v>1.120619</v>
      </c>
      <c r="L4131">
        <v>98.688869999999994</v>
      </c>
      <c r="M4131">
        <v>0.23427200000000001</v>
      </c>
      <c r="N4131">
        <v>-1.4975759999999999E-2</v>
      </c>
      <c r="O4131">
        <v>-0.97205580000000003</v>
      </c>
      <c r="P4131">
        <v>0.11576549999999999</v>
      </c>
      <c r="Q4131">
        <v>0.1568029</v>
      </c>
      <c r="R4131">
        <v>-0.98082179999999997</v>
      </c>
      <c r="S4131">
        <v>0.33074949999999997</v>
      </c>
      <c r="T4131">
        <v>-0.17325960000000001</v>
      </c>
      <c r="U4131">
        <v>-3.049652</v>
      </c>
      <c r="V4131">
        <v>0.1172468</v>
      </c>
      <c r="W4131">
        <v>0.171481299999999</v>
      </c>
      <c r="X4131">
        <v>0.97818579999999999</v>
      </c>
      <c r="Y4131">
        <v>0.12812560000000001</v>
      </c>
      <c r="Z4131">
        <v>3.920614E-2</v>
      </c>
      <c r="AA4131">
        <v>0.99098269999999999</v>
      </c>
      <c r="AB4131">
        <v>43</v>
      </c>
      <c r="AC4131">
        <v>2.04619999999999</v>
      </c>
      <c r="AD4131">
        <v>-1.12062319662</v>
      </c>
      <c r="AE4131">
        <v>-19.349160000000001</v>
      </c>
      <c r="AF4131">
        <v>2.53581930409461</v>
      </c>
      <c r="AG4131">
        <v>-1.12062319662</v>
      </c>
      <c r="AH4131">
        <v>19.226216394658799</v>
      </c>
      <c r="AI4131">
        <v>93.307201875350501</v>
      </c>
      <c r="AJ4131">
        <v>82.486408710343696</v>
      </c>
      <c r="AK4131">
        <v>19.425075874911499</v>
      </c>
      <c r="AL4131">
        <v>80.126044396858504</v>
      </c>
      <c r="AM4131">
        <v>83.165050529438204</v>
      </c>
      <c r="AN4131">
        <v>1.0000000538407801</v>
      </c>
    </row>
    <row r="4132" spans="1:40" x14ac:dyDescent="0.25">
      <c r="A4132" t="str">
        <f>"20190303170622194"</f>
        <v>20190303170622194</v>
      </c>
      <c r="B4132" t="str">
        <f>"1551603982189522"</f>
        <v>1551603982189522</v>
      </c>
      <c r="C4132" t="s">
        <v>40</v>
      </c>
      <c r="D4132">
        <v>6.1112690000000001</v>
      </c>
      <c r="E4132">
        <v>0.51262359999999996</v>
      </c>
      <c r="F4132" t="s">
        <v>41</v>
      </c>
      <c r="G4132">
        <v>-420.03269999999998</v>
      </c>
      <c r="H4132" s="1">
        <v>-2.9615950000000001E-7</v>
      </c>
      <c r="I4132">
        <v>80.259200000000007</v>
      </c>
      <c r="J4132">
        <v>-421.76280000000003</v>
      </c>
      <c r="K4132">
        <v>1.1191660000000001</v>
      </c>
      <c r="L4132">
        <v>98.256379999999993</v>
      </c>
      <c r="M4132">
        <v>0.22905700000000001</v>
      </c>
      <c r="N4132">
        <v>-1.4966149999999999E-2</v>
      </c>
      <c r="O4132">
        <v>-0.973298</v>
      </c>
      <c r="P4132">
        <v>0.11165410000000001</v>
      </c>
      <c r="Q4132">
        <v>0.15131620000000001</v>
      </c>
      <c r="R4132">
        <v>-0.98215949999999996</v>
      </c>
      <c r="S4132">
        <v>0.3032532</v>
      </c>
      <c r="T4132">
        <v>-0.1856091</v>
      </c>
      <c r="U4132">
        <v>-3.052521</v>
      </c>
      <c r="V4132">
        <v>0.1168922</v>
      </c>
      <c r="W4132">
        <v>0.16558120000000001</v>
      </c>
      <c r="X4132">
        <v>0.97924409999999895</v>
      </c>
      <c r="Y4132">
        <v>0.13174839999999999</v>
      </c>
      <c r="Z4132">
        <v>4.3102170000000002E-2</v>
      </c>
      <c r="AA4132">
        <v>0.9903457</v>
      </c>
      <c r="AB4132">
        <v>42</v>
      </c>
      <c r="AC4132">
        <v>1.7301000000000499</v>
      </c>
      <c r="AD4132">
        <v>-1.1191662961594999</v>
      </c>
      <c r="AE4132">
        <v>-17.99718</v>
      </c>
      <c r="AF4132">
        <v>2.4294414573405398</v>
      </c>
      <c r="AG4132">
        <v>-1.1191662961594999</v>
      </c>
      <c r="AH4132">
        <v>17.846534855660799</v>
      </c>
      <c r="AI4132">
        <v>93.555643043451596</v>
      </c>
      <c r="AJ4132">
        <v>82.247999506590602</v>
      </c>
      <c r="AK4132">
        <v>18.045872806473501</v>
      </c>
      <c r="AL4132">
        <v>80.469000438475106</v>
      </c>
      <c r="AM4132">
        <v>83.192822871549794</v>
      </c>
      <c r="AN4132">
        <v>0.99999996379954403</v>
      </c>
    </row>
    <row r="4133" spans="1:40" x14ac:dyDescent="0.25">
      <c r="A4133" t="str">
        <f>"20190303170622215"</f>
        <v>20190303170622215</v>
      </c>
      <c r="B4133" t="str">
        <f>"1551603982209042"</f>
        <v>1551603982209042</v>
      </c>
      <c r="C4133" t="s">
        <v>40</v>
      </c>
      <c r="D4133">
        <v>6.1167749999999996</v>
      </c>
      <c r="E4133">
        <v>0.51264719999999997</v>
      </c>
      <c r="F4133" t="s">
        <v>41</v>
      </c>
      <c r="G4133">
        <v>-420.19529999999997</v>
      </c>
      <c r="H4133" s="1">
        <v>-8.2003819999999901E-7</v>
      </c>
      <c r="I4133">
        <v>81.379519999999999</v>
      </c>
      <c r="J4133">
        <v>-421.6712</v>
      </c>
      <c r="K4133">
        <v>1.117915</v>
      </c>
      <c r="L4133">
        <v>97.851650000000006</v>
      </c>
      <c r="M4133">
        <v>0.22347690000000001</v>
      </c>
      <c r="N4133">
        <v>-1.495403E-2</v>
      </c>
      <c r="O4133">
        <v>-0.97459439999999997</v>
      </c>
      <c r="P4133">
        <v>0.1091731</v>
      </c>
      <c r="Q4133">
        <v>0.15015149999999999</v>
      </c>
      <c r="R4133">
        <v>-0.98261690000000002</v>
      </c>
      <c r="S4133">
        <v>0.28359990000000002</v>
      </c>
      <c r="T4133">
        <v>-0.20248459999999999</v>
      </c>
      <c r="U4133">
        <v>-3.053436</v>
      </c>
      <c r="V4133">
        <v>0.11428290000000001</v>
      </c>
      <c r="W4133">
        <v>0.16407669999999999</v>
      </c>
      <c r="X4133">
        <v>0.97980520000000004</v>
      </c>
      <c r="Y4133">
        <v>0.1324312</v>
      </c>
      <c r="Z4133">
        <v>4.8468740000000003E-2</v>
      </c>
      <c r="AA4133">
        <v>0.99000639999999995</v>
      </c>
      <c r="AB4133">
        <v>42</v>
      </c>
      <c r="AC4133">
        <v>1.47590000000002</v>
      </c>
      <c r="AD4133">
        <v>-1.1179158200382</v>
      </c>
      <c r="AE4133">
        <v>-16.47213</v>
      </c>
      <c r="AF4133">
        <v>2.2327855312237301</v>
      </c>
      <c r="AG4133">
        <v>-1.1179158200382</v>
      </c>
      <c r="AH4133">
        <v>16.310780854719098</v>
      </c>
      <c r="AI4133">
        <v>93.884716551695902</v>
      </c>
      <c r="AJ4133">
        <v>82.205218766891093</v>
      </c>
      <c r="AK4133">
        <v>16.5008072257028</v>
      </c>
      <c r="AL4133">
        <v>80.5563975756491</v>
      </c>
      <c r="AM4133">
        <v>83.347173397247303</v>
      </c>
      <c r="AN4133">
        <v>0.99999998733116902</v>
      </c>
    </row>
    <row r="4134" spans="1:40" x14ac:dyDescent="0.25">
      <c r="A4134" t="str">
        <f>"20190303170622237"</f>
        <v>20190303170622237</v>
      </c>
      <c r="B4134" t="str">
        <f>"1551603982229538"</f>
        <v>1551603982229538</v>
      </c>
      <c r="C4134" t="s">
        <v>40</v>
      </c>
      <c r="D4134">
        <v>6.1144259999999999</v>
      </c>
      <c r="E4134">
        <v>0.51289759999999995</v>
      </c>
      <c r="F4134" t="s">
        <v>41</v>
      </c>
      <c r="G4134">
        <v>-420.1968</v>
      </c>
      <c r="H4134" s="1">
        <v>-7.3780609999999995E-7</v>
      </c>
      <c r="I4134">
        <v>81.186909999999997</v>
      </c>
      <c r="J4134">
        <v>-421.58249999999998</v>
      </c>
      <c r="K4134">
        <v>1.116841</v>
      </c>
      <c r="L4134">
        <v>97.446470000000005</v>
      </c>
      <c r="M4134">
        <v>0.21729789999999999</v>
      </c>
      <c r="N4134">
        <v>-1.494031E-2</v>
      </c>
      <c r="O4134">
        <v>-0.9759911</v>
      </c>
      <c r="P4134">
        <v>0.1055362</v>
      </c>
      <c r="Q4134">
        <v>0.1546805</v>
      </c>
      <c r="R4134">
        <v>-0.98231170000000001</v>
      </c>
      <c r="S4134">
        <v>0.27023320000000001</v>
      </c>
      <c r="T4134">
        <v>-0.2048941</v>
      </c>
      <c r="U4134">
        <v>-3.0543520000000002</v>
      </c>
      <c r="V4134">
        <v>0.11203</v>
      </c>
      <c r="W4134">
        <v>0.16829959999999999</v>
      </c>
      <c r="X4134">
        <v>0.97934900000000003</v>
      </c>
      <c r="Y4134">
        <v>0.13047999999999901</v>
      </c>
      <c r="Z4134">
        <v>4.936161E-2</v>
      </c>
      <c r="AA4134">
        <v>0.99022140000000003</v>
      </c>
      <c r="AB4134">
        <v>42</v>
      </c>
      <c r="AC4134">
        <v>1.3856999999999799</v>
      </c>
      <c r="AD4134">
        <v>-1.1168417378061</v>
      </c>
      <c r="AE4134">
        <v>-16.259559999999901</v>
      </c>
      <c r="AF4134">
        <v>2.17081234056915</v>
      </c>
      <c r="AG4134">
        <v>-1.1168417378061</v>
      </c>
      <c r="AH4134">
        <v>16.096700832646398</v>
      </c>
      <c r="AI4134">
        <v>93.933511987250796</v>
      </c>
      <c r="AJ4134">
        <v>82.319390826155498</v>
      </c>
      <c r="AK4134">
        <v>16.280772075702998</v>
      </c>
      <c r="AL4134">
        <v>80.311030802487707</v>
      </c>
      <c r="AM4134">
        <v>83.474169256036106</v>
      </c>
      <c r="AN4134">
        <v>0.99999997003057906</v>
      </c>
    </row>
    <row r="4135" spans="1:40" x14ac:dyDescent="0.25">
      <c r="A4135" t="str">
        <f>"20190303170622260"</f>
        <v>20190303170622260</v>
      </c>
      <c r="B4135" t="str">
        <f>"1551603982249058"</f>
        <v>1551603982249058</v>
      </c>
      <c r="C4135" t="s">
        <v>40</v>
      </c>
      <c r="D4135">
        <v>6.1114110000000004</v>
      </c>
      <c r="E4135">
        <v>0.51299539999999999</v>
      </c>
      <c r="F4135" t="s">
        <v>41</v>
      </c>
      <c r="G4135">
        <v>-420.06920000000002</v>
      </c>
      <c r="H4135" s="1">
        <v>-4.2991289999999901E-6</v>
      </c>
      <c r="I4135">
        <v>79.583879999999994</v>
      </c>
      <c r="J4135">
        <v>-421.49450000000002</v>
      </c>
      <c r="K4135">
        <v>1.115875</v>
      </c>
      <c r="L4135">
        <v>97.030060000000006</v>
      </c>
      <c r="M4135">
        <v>0.21041489999999999</v>
      </c>
      <c r="N4135">
        <v>-1.4926210000000001E-2</v>
      </c>
      <c r="O4135">
        <v>-0.97749819999999998</v>
      </c>
      <c r="P4135">
        <v>0.1004655</v>
      </c>
      <c r="Q4135">
        <v>0.16085369999999999</v>
      </c>
      <c r="R4135">
        <v>-0.9818519</v>
      </c>
      <c r="S4135">
        <v>0.25891110000000001</v>
      </c>
      <c r="T4135">
        <v>-0.19109309999999999</v>
      </c>
      <c r="U4135">
        <v>-3.056305</v>
      </c>
      <c r="V4135">
        <v>0.11045720000000001</v>
      </c>
      <c r="W4135">
        <v>0.17419309999999999</v>
      </c>
      <c r="X4135">
        <v>0.97849680000000006</v>
      </c>
      <c r="Y4135">
        <v>0.12717870000000001</v>
      </c>
      <c r="Z4135">
        <v>4.5183300000000003E-2</v>
      </c>
      <c r="AA4135">
        <v>0.99085020000000001</v>
      </c>
      <c r="AB4135">
        <v>42</v>
      </c>
      <c r="AC4135">
        <v>1.42529999999999</v>
      </c>
      <c r="AD4135">
        <v>-1.1158792991290001</v>
      </c>
      <c r="AE4135">
        <v>-17.446179999999899</v>
      </c>
      <c r="AF4135">
        <v>2.2687418825487198</v>
      </c>
      <c r="AG4135">
        <v>-1.1158792991290001</v>
      </c>
      <c r="AH4135">
        <v>17.2852021362323</v>
      </c>
      <c r="AI4135">
        <v>93.662387557517505</v>
      </c>
      <c r="AJ4135">
        <v>82.522477103354007</v>
      </c>
      <c r="AK4135">
        <v>17.469132469308999</v>
      </c>
      <c r="AL4135">
        <v>79.968295140749106</v>
      </c>
      <c r="AM4135">
        <v>83.559454799487696</v>
      </c>
      <c r="AN4135">
        <v>1.0000000083648399</v>
      </c>
    </row>
    <row r="4136" spans="1:40" x14ac:dyDescent="0.25">
      <c r="A4136" t="str">
        <f>"20190303170622286"</f>
        <v>20190303170622286</v>
      </c>
      <c r="B4136" t="str">
        <f>"1551603982279314"</f>
        <v>1551603982279314</v>
      </c>
      <c r="C4136" t="s">
        <v>40</v>
      </c>
      <c r="D4136">
        <v>6.1367469999999997</v>
      </c>
      <c r="E4136">
        <v>0.5132795</v>
      </c>
      <c r="F4136" t="s">
        <v>41</v>
      </c>
      <c r="G4136">
        <v>-419.89280000000002</v>
      </c>
      <c r="H4136" s="1">
        <v>-3.1399939999999998E-6</v>
      </c>
      <c r="I4136">
        <v>76.907839999999993</v>
      </c>
      <c r="J4136">
        <v>-421.39749999999998</v>
      </c>
      <c r="K4136">
        <v>1.114878</v>
      </c>
      <c r="L4136">
        <v>96.550110000000004</v>
      </c>
      <c r="M4136">
        <v>0.2018779</v>
      </c>
      <c r="N4136">
        <v>-1.491337E-2</v>
      </c>
      <c r="O4136">
        <v>-0.97929730000000004</v>
      </c>
      <c r="P4136">
        <v>9.5170409999999997E-2</v>
      </c>
      <c r="Q4136">
        <v>0.16066949999999999</v>
      </c>
      <c r="R4136">
        <v>-0.98240939999999999</v>
      </c>
      <c r="S4136">
        <v>0.24343870000000001</v>
      </c>
      <c r="T4136">
        <v>-0.16959920000000001</v>
      </c>
      <c r="U4136">
        <v>-3.058319</v>
      </c>
      <c r="V4136">
        <v>0.1076199</v>
      </c>
      <c r="W4136">
        <v>0.17377519999999999</v>
      </c>
      <c r="X4136">
        <v>0.97888719999999996</v>
      </c>
      <c r="Y4136">
        <v>0.123544</v>
      </c>
      <c r="Z4136">
        <v>3.8592550000000003E-2</v>
      </c>
      <c r="AA4136">
        <v>0.99158840000000004</v>
      </c>
      <c r="AB4136">
        <v>42</v>
      </c>
      <c r="AC4136">
        <v>1.50469999999995</v>
      </c>
      <c r="AD4136">
        <v>-1.114881139994</v>
      </c>
      <c r="AE4136">
        <v>-19.64227</v>
      </c>
      <c r="AF4136">
        <v>2.4841121795402099</v>
      </c>
      <c r="AG4136">
        <v>-1.114881139994</v>
      </c>
      <c r="AH4136">
        <v>19.479169688301798</v>
      </c>
      <c r="AI4136">
        <v>93.249463897830694</v>
      </c>
      <c r="AJ4136">
        <v>82.732492163739096</v>
      </c>
      <c r="AK4136">
        <v>19.6685491336425</v>
      </c>
      <c r="AL4136">
        <v>79.992609867294306</v>
      </c>
      <c r="AM4136">
        <v>83.726037962808505</v>
      </c>
      <c r="AN4136">
        <v>1.0000000066674399</v>
      </c>
    </row>
    <row r="4137" spans="1:40" x14ac:dyDescent="0.25">
      <c r="A4137" t="str">
        <f>"20190303170622306"</f>
        <v>20190303170622306</v>
      </c>
      <c r="B4137" t="str">
        <f>"1551603982298834"</f>
        <v>1551603982298834</v>
      </c>
      <c r="C4137" t="s">
        <v>40</v>
      </c>
      <c r="D4137">
        <v>6.1391900000000001</v>
      </c>
      <c r="E4137">
        <v>0.51343149999999904</v>
      </c>
      <c r="F4137" t="s">
        <v>41</v>
      </c>
      <c r="G4137">
        <v>-419.9529</v>
      </c>
      <c r="H4137" s="1">
        <v>-2.918572E-6</v>
      </c>
      <c r="I4137">
        <v>76.416560000000004</v>
      </c>
      <c r="J4137">
        <v>-421.32260000000002</v>
      </c>
      <c r="K4137">
        <v>1.114133</v>
      </c>
      <c r="L4137">
        <v>96.161680000000004</v>
      </c>
      <c r="M4137">
        <v>0.1945528</v>
      </c>
      <c r="N4137">
        <v>-1.4908640000000001E-2</v>
      </c>
      <c r="O4137">
        <v>-0.98077890000000001</v>
      </c>
      <c r="P4137">
        <v>9.1114200000000006E-2</v>
      </c>
      <c r="Q4137">
        <v>0.15908239999999901</v>
      </c>
      <c r="R4137">
        <v>-0.98305229999999999</v>
      </c>
      <c r="S4137">
        <v>0.21957399999999999</v>
      </c>
      <c r="T4137">
        <v>-0.169455299999999</v>
      </c>
      <c r="U4137">
        <v>-3.060181</v>
      </c>
      <c r="V4137">
        <v>0.10466499999999999</v>
      </c>
      <c r="W4137">
        <v>0.1720554</v>
      </c>
      <c r="X4137">
        <v>0.97951120000000003</v>
      </c>
      <c r="Y4137">
        <v>0.1238635</v>
      </c>
      <c r="Z4137">
        <v>3.8640309999999997E-2</v>
      </c>
      <c r="AA4137">
        <v>0.99154659999999994</v>
      </c>
      <c r="AB4137">
        <v>42</v>
      </c>
      <c r="AC4137">
        <v>1.3697000000000199</v>
      </c>
      <c r="AD4137">
        <v>-1.1141359185719999</v>
      </c>
      <c r="AE4137">
        <v>-19.74512</v>
      </c>
      <c r="AF4137">
        <v>2.4904813827006</v>
      </c>
      <c r="AG4137">
        <v>-1.1141359185719999</v>
      </c>
      <c r="AH4137">
        <v>19.572237907391798</v>
      </c>
      <c r="AI4137">
        <v>93.232001644192906</v>
      </c>
      <c r="AJ4137">
        <v>82.748334241842997</v>
      </c>
      <c r="AK4137">
        <v>19.761485092628401</v>
      </c>
      <c r="AL4137">
        <v>80.092654161710001</v>
      </c>
      <c r="AM4137">
        <v>83.900841452617996</v>
      </c>
      <c r="AN4137">
        <v>1.0000000069098001</v>
      </c>
    </row>
    <row r="4138" spans="1:40" x14ac:dyDescent="0.25">
      <c r="A4138" t="str">
        <f>"20190303170622328"</f>
        <v>20190303170622328</v>
      </c>
      <c r="B4138" t="str">
        <f>"1551603982319332"</f>
        <v>1551603982319332</v>
      </c>
      <c r="C4138" t="s">
        <v>40</v>
      </c>
      <c r="D4138">
        <v>6.1227580000000001</v>
      </c>
      <c r="E4138">
        <v>0.51358230000000005</v>
      </c>
      <c r="F4138" t="s">
        <v>41</v>
      </c>
      <c r="G4138">
        <v>-420.036</v>
      </c>
      <c r="H4138" s="1">
        <v>-3.0103939999999998E-6</v>
      </c>
      <c r="I4138">
        <v>76.584069999999997</v>
      </c>
      <c r="J4138">
        <v>-421.24889999999999</v>
      </c>
      <c r="K4138">
        <v>1.113472</v>
      </c>
      <c r="L4138">
        <v>95.762209999999996</v>
      </c>
      <c r="M4138">
        <v>0.1867018</v>
      </c>
      <c r="N4138">
        <v>-1.4908619999999999E-2</v>
      </c>
      <c r="O4138">
        <v>-0.9823037</v>
      </c>
      <c r="P4138">
        <v>8.6204329999999996E-2</v>
      </c>
      <c r="Q4138">
        <v>0.15974269999999999</v>
      </c>
      <c r="R4138">
        <v>-0.98338800000000004</v>
      </c>
      <c r="S4138">
        <v>0.20117189999999999</v>
      </c>
      <c r="T4138">
        <v>-0.17421159999999999</v>
      </c>
      <c r="U4138">
        <v>-3.0612490000000001</v>
      </c>
      <c r="V4138">
        <v>0.1019779</v>
      </c>
      <c r="W4138">
        <v>0.17260490000000001</v>
      </c>
      <c r="X4138">
        <v>0.97969790000000001</v>
      </c>
      <c r="Y4138">
        <v>0.1218872</v>
      </c>
      <c r="Z4138">
        <v>4.0251849999999999E-2</v>
      </c>
      <c r="AA4138">
        <v>0.99172740000000004</v>
      </c>
      <c r="AB4138">
        <v>42</v>
      </c>
      <c r="AC4138">
        <v>1.2128999999999901</v>
      </c>
      <c r="AD4138">
        <v>-1.1134750103939901</v>
      </c>
      <c r="AE4138">
        <v>-19.178139999999999</v>
      </c>
      <c r="AF4138">
        <v>2.3814265875860401</v>
      </c>
      <c r="AG4138">
        <v>-1.1134750103939901</v>
      </c>
      <c r="AH4138">
        <v>19.003519855921699</v>
      </c>
      <c r="AI4138">
        <v>93.327337904375497</v>
      </c>
      <c r="AJ4138">
        <v>82.8572123593854</v>
      </c>
      <c r="AK4138">
        <v>19.184493376298601</v>
      </c>
      <c r="AL4138">
        <v>80.060691475217197</v>
      </c>
      <c r="AM4138">
        <v>84.057416225342195</v>
      </c>
      <c r="AN4138">
        <v>0.99999995942841402</v>
      </c>
    </row>
    <row r="4139" spans="1:40" x14ac:dyDescent="0.25">
      <c r="A4139" t="str">
        <f>"20190303170622350"</f>
        <v>20190303170622350</v>
      </c>
      <c r="B4139" t="str">
        <f>"1551603982338850"</f>
        <v>1551603982338850</v>
      </c>
      <c r="C4139" t="s">
        <v>40</v>
      </c>
      <c r="D4139">
        <v>6.1199279999999998</v>
      </c>
      <c r="E4139">
        <v>0.51372989999999996</v>
      </c>
      <c r="F4139" t="s">
        <v>41</v>
      </c>
      <c r="G4139">
        <v>-420.05</v>
      </c>
      <c r="H4139" s="1">
        <v>-2.7768249999999999E-6</v>
      </c>
      <c r="I4139">
        <v>76.030909999999906</v>
      </c>
      <c r="J4139">
        <v>-421.17689999999999</v>
      </c>
      <c r="K4139">
        <v>1.1128929999999999</v>
      </c>
      <c r="L4139">
        <v>95.352599999999995</v>
      </c>
      <c r="M4139">
        <v>0.17834269999999999</v>
      </c>
      <c r="N4139">
        <v>-1.4912160000000001E-2</v>
      </c>
      <c r="O4139">
        <v>-0.98385540000000005</v>
      </c>
      <c r="P4139">
        <v>7.9538910000000004E-2</v>
      </c>
      <c r="Q4139">
        <v>0.16267279999999901</v>
      </c>
      <c r="R4139">
        <v>-0.98346889999999998</v>
      </c>
      <c r="S4139">
        <v>0.1860657</v>
      </c>
      <c r="T4139">
        <v>-0.17281930000000001</v>
      </c>
      <c r="U4139">
        <v>-3.0624389999999999</v>
      </c>
      <c r="V4139">
        <v>0.1005008</v>
      </c>
      <c r="W4139">
        <v>0.17541950000000001</v>
      </c>
      <c r="X4139">
        <v>0.97935059999999996</v>
      </c>
      <c r="Y4139">
        <v>0.1183462</v>
      </c>
      <c r="Z4139">
        <v>3.9928430000000001E-2</v>
      </c>
      <c r="AA4139">
        <v>0.99216930000000003</v>
      </c>
      <c r="AB4139">
        <v>42</v>
      </c>
      <c r="AC4139">
        <v>1.12689999999997</v>
      </c>
      <c r="AD4139">
        <v>-1.1128957768250001</v>
      </c>
      <c r="AE4139">
        <v>-19.32169</v>
      </c>
      <c r="AF4139">
        <v>2.32973286258856</v>
      </c>
      <c r="AG4139">
        <v>-1.1128957768250001</v>
      </c>
      <c r="AH4139">
        <v>19.149545944337799</v>
      </c>
      <c r="AI4139">
        <v>93.301771824154201</v>
      </c>
      <c r="AJ4139">
        <v>83.063486886193601</v>
      </c>
      <c r="AK4139">
        <v>19.322818171669599</v>
      </c>
      <c r="AL4139">
        <v>79.896928715977197</v>
      </c>
      <c r="AM4139">
        <v>84.140826265406702</v>
      </c>
      <c r="AN4139">
        <v>1.0000000047506199</v>
      </c>
    </row>
    <row r="4140" spans="1:40" x14ac:dyDescent="0.25">
      <c r="A4140" t="str">
        <f>"20190303170622372"</f>
        <v>20190303170622372</v>
      </c>
      <c r="B4140" t="str">
        <f>"1551603982359346"</f>
        <v>1551603982359346</v>
      </c>
      <c r="C4140" t="s">
        <v>40</v>
      </c>
      <c r="D4140">
        <v>6.1031769999999996</v>
      </c>
      <c r="E4140">
        <v>0.51387269999999996</v>
      </c>
      <c r="F4140" t="s">
        <v>41</v>
      </c>
      <c r="G4140">
        <v>-420.04899999999998</v>
      </c>
      <c r="H4140" s="1">
        <v>-2.1837649999999998E-6</v>
      </c>
      <c r="I4140">
        <v>74.649090000000001</v>
      </c>
      <c r="J4140">
        <v>-421.10849999999999</v>
      </c>
      <c r="K4140">
        <v>1.1123670000000001</v>
      </c>
      <c r="L4140">
        <v>94.940640000000002</v>
      </c>
      <c r="M4140">
        <v>0.1696434</v>
      </c>
      <c r="N4140">
        <v>-1.4920299999999999E-2</v>
      </c>
      <c r="O4140">
        <v>-0.98539270000000001</v>
      </c>
      <c r="P4140">
        <v>7.4107049999999994E-2</v>
      </c>
      <c r="Q4140">
        <v>0.16333129999999901</v>
      </c>
      <c r="R4140">
        <v>-0.98378429999999994</v>
      </c>
      <c r="S4140">
        <v>0.1669312</v>
      </c>
      <c r="T4140">
        <v>-0.16471169999999999</v>
      </c>
      <c r="U4140">
        <v>-3.0641780000000001</v>
      </c>
      <c r="V4140">
        <v>9.7470979999999999E-2</v>
      </c>
      <c r="W4140">
        <v>0.1760245</v>
      </c>
      <c r="X4140">
        <v>0.97954830000000004</v>
      </c>
      <c r="Y4140">
        <v>0.11578049999999999</v>
      </c>
      <c r="Z4140">
        <v>3.7456919999999998E-2</v>
      </c>
      <c r="AA4140">
        <v>0.99256829999999996</v>
      </c>
      <c r="AB4140">
        <v>42</v>
      </c>
      <c r="AC4140">
        <v>1.0594999999999499</v>
      </c>
      <c r="AD4140">
        <v>-1.112369183765</v>
      </c>
      <c r="AE4140">
        <v>-20.291550000000001</v>
      </c>
      <c r="AF4140">
        <v>2.3914036271074002</v>
      </c>
      <c r="AG4140">
        <v>-1.112369183765</v>
      </c>
      <c r="AH4140">
        <v>20.116835754168498</v>
      </c>
      <c r="AI4140">
        <v>93.142887922520998</v>
      </c>
      <c r="AJ4140">
        <v>83.220736255288202</v>
      </c>
      <c r="AK4140">
        <v>20.288993500637801</v>
      </c>
      <c r="AL4140">
        <v>79.861717271652296</v>
      </c>
      <c r="AM4140">
        <v>84.317429393245902</v>
      </c>
      <c r="AN4140">
        <v>1.00000004428764</v>
      </c>
    </row>
    <row r="4141" spans="1:40" x14ac:dyDescent="0.25">
      <c r="A4141" t="str">
        <f>"20190303170622394"</f>
        <v>20190303170622394</v>
      </c>
      <c r="B4141" t="str">
        <f>"1551603982389602"</f>
        <v>1551603982389602</v>
      </c>
      <c r="C4141" t="s">
        <v>40</v>
      </c>
      <c r="D4141">
        <v>6.1416649999999997</v>
      </c>
      <c r="E4141">
        <v>0.51397139999999997</v>
      </c>
      <c r="F4141" t="s">
        <v>41</v>
      </c>
      <c r="G4141">
        <v>-420.1069</v>
      </c>
      <c r="H4141" s="1">
        <v>-1.990221E-6</v>
      </c>
      <c r="I4141">
        <v>74.162059999999997</v>
      </c>
      <c r="J4141">
        <v>-421.04239999999999</v>
      </c>
      <c r="K4141">
        <v>1.1118709999999901</v>
      </c>
      <c r="L4141">
        <v>94.519170000000003</v>
      </c>
      <c r="M4141">
        <v>0.16045879999999901</v>
      </c>
      <c r="N4141">
        <v>-1.4934370000000001E-2</v>
      </c>
      <c r="O4141">
        <v>-0.98692950000000002</v>
      </c>
      <c r="P4141">
        <v>6.6601659999999993E-2</v>
      </c>
      <c r="Q4141">
        <v>0.16367889999999999</v>
      </c>
      <c r="R4141">
        <v>-0.98426279999999999</v>
      </c>
      <c r="S4141">
        <v>0.14776610000000001</v>
      </c>
      <c r="T4141">
        <v>-0.16411239999999999</v>
      </c>
      <c r="U4141">
        <v>-3.0655519999999998</v>
      </c>
      <c r="V4141">
        <v>9.6024579999999998E-2</v>
      </c>
      <c r="W4141">
        <v>0.1763062</v>
      </c>
      <c r="X4141">
        <v>0.97964039999999997</v>
      </c>
      <c r="Y4141">
        <v>0.11274380000000001</v>
      </c>
      <c r="Z4141">
        <v>3.7358849999999999E-2</v>
      </c>
      <c r="AA4141">
        <v>0.99292150000000001</v>
      </c>
      <c r="AB4141">
        <v>42</v>
      </c>
      <c r="AC4141">
        <v>0.93549999999999001</v>
      </c>
      <c r="AD4141">
        <v>-1.1118729902209901</v>
      </c>
      <c r="AE4141">
        <v>-20.357109999999899</v>
      </c>
      <c r="AF4141">
        <v>2.3365108426351</v>
      </c>
      <c r="AG4141">
        <v>-1.1118729902209901</v>
      </c>
      <c r="AH4141">
        <v>20.183316842234898</v>
      </c>
      <c r="AI4141">
        <v>93.132287132741098</v>
      </c>
      <c r="AJ4141">
        <v>83.396578536358007</v>
      </c>
      <c r="AK4141">
        <v>20.348509115367101</v>
      </c>
      <c r="AL4141">
        <v>79.845319698023502</v>
      </c>
      <c r="AM4141">
        <v>84.401737954162698</v>
      </c>
      <c r="AN4141">
        <v>0.99999995471738701</v>
      </c>
    </row>
    <row r="4142" spans="1:40" x14ac:dyDescent="0.25">
      <c r="A4142" t="str">
        <f>"20190303170622416"</f>
        <v>20190303170622416</v>
      </c>
      <c r="B4142" t="str">
        <f>"1551603982409122"</f>
        <v>1551603982409122</v>
      </c>
      <c r="C4142" t="s">
        <v>40</v>
      </c>
      <c r="D4142">
        <v>6.1317209999999998</v>
      </c>
      <c r="E4142">
        <v>0.51404079999999996</v>
      </c>
      <c r="F4142" t="s">
        <v>41</v>
      </c>
      <c r="G4142">
        <v>-420.2192</v>
      </c>
      <c r="H4142" s="1">
        <v>-1.7934700000000001E-6</v>
      </c>
      <c r="I4142">
        <v>73.633780000000002</v>
      </c>
      <c r="J4142">
        <v>-420.98090000000002</v>
      </c>
      <c r="K4142">
        <v>1.1114280000000001</v>
      </c>
      <c r="L4142">
        <v>94.100769999999997</v>
      </c>
      <c r="M4142">
        <v>0.15109159999999999</v>
      </c>
      <c r="N4142">
        <v>-1.4953299999999999E-2</v>
      </c>
      <c r="O4142">
        <v>-0.98840660000000002</v>
      </c>
      <c r="P4142">
        <v>5.5709889999999998E-2</v>
      </c>
      <c r="Q4142">
        <v>0.1658772</v>
      </c>
      <c r="R4142">
        <v>-0.98457169999999905</v>
      </c>
      <c r="S4142">
        <v>0.1208801</v>
      </c>
      <c r="T4142">
        <v>-0.16327510000000001</v>
      </c>
      <c r="U4142">
        <v>-3.0669559999999998</v>
      </c>
      <c r="V4142">
        <v>9.7755789999999995E-2</v>
      </c>
      <c r="W4142">
        <v>0.17837809999999901</v>
      </c>
      <c r="X4142">
        <v>0.97909400000000002</v>
      </c>
      <c r="Y4142">
        <v>0.1120299</v>
      </c>
      <c r="Z4142">
        <v>3.716643E-2</v>
      </c>
      <c r="AA4142">
        <v>0.99300960000000005</v>
      </c>
      <c r="AB4142">
        <v>42</v>
      </c>
      <c r="AC4142">
        <v>0.76170000000001803</v>
      </c>
      <c r="AD4142">
        <v>-1.1114297934699999</v>
      </c>
      <c r="AE4142">
        <v>-20.466989999999999</v>
      </c>
      <c r="AF4142">
        <v>2.33291275448962</v>
      </c>
      <c r="AG4142">
        <v>-1.1114297934699999</v>
      </c>
      <c r="AH4142">
        <v>20.2873286184115</v>
      </c>
      <c r="AI4142">
        <v>93.115293024328494</v>
      </c>
      <c r="AJ4142">
        <v>83.440166057592194</v>
      </c>
      <c r="AK4142">
        <v>20.451245941929599</v>
      </c>
      <c r="AL4142">
        <v>79.724697056936506</v>
      </c>
      <c r="AM4142">
        <v>84.298307130854297</v>
      </c>
      <c r="AN4142">
        <v>1.00000000093706</v>
      </c>
    </row>
    <row r="4143" spans="1:40" x14ac:dyDescent="0.25">
      <c r="A4143" t="str">
        <f>"20190303170622438"</f>
        <v>20190303170622438</v>
      </c>
      <c r="B4143" t="str">
        <f>"1551603982428642"</f>
        <v>1551603982428642</v>
      </c>
      <c r="C4143" t="s">
        <v>40</v>
      </c>
      <c r="D4143">
        <v>6.1436849999999996</v>
      </c>
      <c r="E4143">
        <v>0.51405820000000002</v>
      </c>
      <c r="F4143" t="s">
        <v>41</v>
      </c>
      <c r="G4143">
        <v>-420.35730000000001</v>
      </c>
      <c r="H4143" s="1">
        <v>-1.3637810000000001E-6</v>
      </c>
      <c r="I4143">
        <v>72.546480000000003</v>
      </c>
      <c r="J4143">
        <v>-420.92509999999999</v>
      </c>
      <c r="K4143">
        <v>1.1110450000000001</v>
      </c>
      <c r="L4143">
        <v>93.694550000000007</v>
      </c>
      <c r="M4143">
        <v>0.14179140000000001</v>
      </c>
      <c r="N4143">
        <v>-1.497425E-2</v>
      </c>
      <c r="O4143">
        <v>-0.98978350000000004</v>
      </c>
      <c r="P4143">
        <v>4.3999940000000001E-2</v>
      </c>
      <c r="Q4143">
        <v>0.16783380000000001</v>
      </c>
      <c r="R4143">
        <v>-0.98483319999999996</v>
      </c>
      <c r="S4143">
        <v>8.8775629999999994E-2</v>
      </c>
      <c r="T4143">
        <v>-0.15823319999999999</v>
      </c>
      <c r="U4143">
        <v>-3.0686650000000002</v>
      </c>
      <c r="V4143">
        <v>0.1003575</v>
      </c>
      <c r="W4143">
        <v>0.180201</v>
      </c>
      <c r="X4143">
        <v>0.97849680000000006</v>
      </c>
      <c r="Y4143">
        <v>0.1130839</v>
      </c>
      <c r="Z4143">
        <v>3.5611070000000002E-2</v>
      </c>
      <c r="AA4143">
        <v>0.99294700000000002</v>
      </c>
      <c r="AB4143">
        <v>42</v>
      </c>
      <c r="AC4143">
        <v>0.56779999999997699</v>
      </c>
      <c r="AD4143">
        <v>-1.111046363781</v>
      </c>
      <c r="AE4143">
        <v>-21.148070000000001</v>
      </c>
      <c r="AF4143">
        <v>2.4301854178969098</v>
      </c>
      <c r="AG4143">
        <v>-1.111046363781</v>
      </c>
      <c r="AH4143">
        <v>20.957070141482401</v>
      </c>
      <c r="AI4143">
        <v>93.014551992786394</v>
      </c>
      <c r="AJ4143">
        <v>83.385513898868993</v>
      </c>
      <c r="AK4143">
        <v>21.126736948777602</v>
      </c>
      <c r="AL4143">
        <v>79.618532380817399</v>
      </c>
      <c r="AM4143">
        <v>84.144052828861405</v>
      </c>
      <c r="AN4143">
        <v>1.0000000079087401</v>
      </c>
    </row>
    <row r="4144" spans="1:40" x14ac:dyDescent="0.25">
      <c r="A4144" t="str">
        <f>"20190303170622460"</f>
        <v>20190303170622460</v>
      </c>
      <c r="B4144" t="str">
        <f>"1551603982449138"</f>
        <v>1551603982449138</v>
      </c>
      <c r="C4144" t="s">
        <v>40</v>
      </c>
      <c r="D4144">
        <v>6.1403420000000004</v>
      </c>
      <c r="E4144">
        <v>0.51400590000000002</v>
      </c>
      <c r="F4144" t="s">
        <v>41</v>
      </c>
      <c r="G4144">
        <v>-420.53399999999999</v>
      </c>
      <c r="H4144" s="1">
        <v>-9.0967040000000004E-7</v>
      </c>
      <c r="I4144">
        <v>71.378349999999998</v>
      </c>
      <c r="J4144">
        <v>-420.87099999999998</v>
      </c>
      <c r="K4144">
        <v>1.1107070000000001</v>
      </c>
      <c r="L4144">
        <v>93.269959999999998</v>
      </c>
      <c r="M4144">
        <v>0.1318985</v>
      </c>
      <c r="N4144">
        <v>-1.499609E-2</v>
      </c>
      <c r="O4144">
        <v>-0.99114990000000003</v>
      </c>
      <c r="P4144">
        <v>3.3962869999999999E-2</v>
      </c>
      <c r="Q4144">
        <v>0.16582559999999999</v>
      </c>
      <c r="R4144">
        <v>-0.98557050000000002</v>
      </c>
      <c r="S4144">
        <v>5.3802490000000001E-2</v>
      </c>
      <c r="T4144">
        <v>-0.15283740000000001</v>
      </c>
      <c r="U4144">
        <v>-3.069855</v>
      </c>
      <c r="V4144">
        <v>0.1006988</v>
      </c>
      <c r="W4144">
        <v>0.17813219999999999</v>
      </c>
      <c r="X4144">
        <v>0.9788405</v>
      </c>
      <c r="Y4144">
        <v>0.1144767</v>
      </c>
      <c r="Z4144">
        <v>3.39408E-2</v>
      </c>
      <c r="AA4144">
        <v>0.99284600000000001</v>
      </c>
      <c r="AB4144">
        <v>42</v>
      </c>
      <c r="AC4144">
        <v>0.33699999999998898</v>
      </c>
      <c r="AD4144">
        <v>-1.11070790967039</v>
      </c>
      <c r="AE4144">
        <v>-21.89161</v>
      </c>
      <c r="AF4144">
        <v>2.5471844453340098</v>
      </c>
      <c r="AG4144">
        <v>-1.11070790967039</v>
      </c>
      <c r="AH4144">
        <v>21.688940892445402</v>
      </c>
      <c r="AI4144">
        <v>92.911625667161701</v>
      </c>
      <c r="AJ4144">
        <v>83.301773316484699</v>
      </c>
      <c r="AK4144">
        <v>21.866229160400401</v>
      </c>
      <c r="AL4144">
        <v>79.739015674977693</v>
      </c>
      <c r="AM4144">
        <v>84.126325492207002</v>
      </c>
      <c r="AN4144">
        <v>1.0000000267192599</v>
      </c>
    </row>
    <row r="4145" spans="1:40" x14ac:dyDescent="0.25">
      <c r="A4145" t="str">
        <f>"20190303170622485"</f>
        <v>20190303170622485</v>
      </c>
      <c r="B4145" t="str">
        <f>"1551603982479395"</f>
        <v>1551603982479395</v>
      </c>
      <c r="C4145" t="s">
        <v>40</v>
      </c>
      <c r="D4145">
        <v>6.1801380000000004</v>
      </c>
      <c r="E4145">
        <v>0.51060369999999999</v>
      </c>
      <c r="F4145" t="s">
        <v>41</v>
      </c>
      <c r="G4145">
        <v>-420.72030000000001</v>
      </c>
      <c r="H4145" s="1">
        <v>-1.166424E-6</v>
      </c>
      <c r="I4145">
        <v>71.861319999999907</v>
      </c>
      <c r="J4145">
        <v>-420.82</v>
      </c>
      <c r="K4145">
        <v>1.1104080000000001</v>
      </c>
      <c r="L4145">
        <v>92.833770000000001</v>
      </c>
      <c r="M4145">
        <v>0.121589</v>
      </c>
      <c r="N4145">
        <v>-1.501683E-2</v>
      </c>
      <c r="O4145">
        <v>-0.99246699999999999</v>
      </c>
      <c r="P4145">
        <v>2.6496530000000001E-2</v>
      </c>
      <c r="Q4145">
        <v>0.163991</v>
      </c>
      <c r="R4145">
        <v>-0.98610609999999999</v>
      </c>
      <c r="S4145">
        <v>2.1606449999999999E-2</v>
      </c>
      <c r="T4145">
        <v>-0.15927450000000001</v>
      </c>
      <c r="U4145">
        <v>-3.0699770000000002</v>
      </c>
      <c r="V4145">
        <v>9.8048049999999998E-2</v>
      </c>
      <c r="W4145">
        <v>0.17632539999999999</v>
      </c>
      <c r="X4145">
        <v>0.97943650000000004</v>
      </c>
      <c r="Y4145">
        <v>0.1145605</v>
      </c>
      <c r="Z4145">
        <v>3.6068049999999997E-2</v>
      </c>
      <c r="AA4145">
        <v>0.99276129999999996</v>
      </c>
      <c r="AB4145">
        <v>42</v>
      </c>
      <c r="AC4145">
        <v>9.9699999999984301E-2</v>
      </c>
      <c r="AD4145">
        <v>-1.1104091664239999</v>
      </c>
      <c r="AE4145">
        <v>-20.972449999999998</v>
      </c>
      <c r="AF4145">
        <v>2.44449404114139</v>
      </c>
      <c r="AG4145">
        <v>-1.1104091664239999</v>
      </c>
      <c r="AH4145">
        <v>20.770709220457601</v>
      </c>
      <c r="AI4145">
        <v>93.039203134848904</v>
      </c>
      <c r="AJ4145">
        <v>83.287765630630005</v>
      </c>
      <c r="AK4145">
        <v>20.943517401689199</v>
      </c>
      <c r="AL4145">
        <v>79.844202186909598</v>
      </c>
      <c r="AM4145">
        <v>84.283360128170997</v>
      </c>
      <c r="AN4145">
        <v>0.99999996216310505</v>
      </c>
    </row>
    <row r="4146" spans="1:40" x14ac:dyDescent="0.25">
      <c r="A4146" t="str">
        <f>"20190303170622505"</f>
        <v>20190303170622505</v>
      </c>
      <c r="B4146" t="str">
        <f>"1551603982498914"</f>
        <v>1551603982498914</v>
      </c>
      <c r="C4146" t="s">
        <v>40</v>
      </c>
      <c r="D4146">
        <v>6.1758030000000002</v>
      </c>
      <c r="E4146">
        <v>0.50965909999999903</v>
      </c>
      <c r="F4146" t="s">
        <v>41</v>
      </c>
      <c r="G4146">
        <v>-420.67559999999997</v>
      </c>
      <c r="H4146" s="1">
        <v>-2.4457429999999999E-6</v>
      </c>
      <c r="I4146">
        <v>74.871189999999999</v>
      </c>
      <c r="J4146">
        <v>-420.7765</v>
      </c>
      <c r="K4146">
        <v>1.1101939999999999</v>
      </c>
      <c r="L4146">
        <v>92.423000000000002</v>
      </c>
      <c r="M4146">
        <v>0.1117871</v>
      </c>
      <c r="N4146">
        <v>-1.503437E-2</v>
      </c>
      <c r="O4146">
        <v>-0.99361849999999996</v>
      </c>
      <c r="P4146">
        <v>1.84981E-2</v>
      </c>
      <c r="Q4146">
        <v>0.1652536</v>
      </c>
      <c r="R4146">
        <v>-0.98607769999999995</v>
      </c>
      <c r="S4146">
        <v>2.471924E-2</v>
      </c>
      <c r="T4146">
        <v>-0.1899798</v>
      </c>
      <c r="U4146">
        <v>-3.0732119999999998</v>
      </c>
      <c r="V4146">
        <v>9.6421290000000007E-2</v>
      </c>
      <c r="W4146">
        <v>0.17759730000000001</v>
      </c>
      <c r="X4146">
        <v>0.97936820000000002</v>
      </c>
      <c r="Y4146">
        <v>0.1037513</v>
      </c>
      <c r="Z4146">
        <v>4.5947120000000001E-2</v>
      </c>
      <c r="AA4146">
        <v>0.99354140000000002</v>
      </c>
      <c r="AB4146">
        <v>42</v>
      </c>
      <c r="AC4146">
        <v>0.100900000000024</v>
      </c>
      <c r="AD4146">
        <v>-1.110196445743</v>
      </c>
      <c r="AE4146">
        <v>-17.5518099999999</v>
      </c>
      <c r="AF4146">
        <v>1.8546003854817601</v>
      </c>
      <c r="AG4146">
        <v>-1.110196445743</v>
      </c>
      <c r="AH4146">
        <v>17.383506979046601</v>
      </c>
      <c r="AI4146">
        <v>93.633662808593101</v>
      </c>
      <c r="AJ4146">
        <v>83.910299811998797</v>
      </c>
      <c r="AK4146">
        <v>17.517374050596999</v>
      </c>
      <c r="AL4146">
        <v>79.7701591811512</v>
      </c>
      <c r="AM4146">
        <v>84.377205141459797</v>
      </c>
      <c r="AN4146">
        <v>0.999999968651896</v>
      </c>
    </row>
    <row r="4147" spans="1:40" x14ac:dyDescent="0.25">
      <c r="A4147" t="str">
        <f>"20190303170622527"</f>
        <v>20190303170622527</v>
      </c>
      <c r="B4147" t="str">
        <f>"1551603982519410"</f>
        <v>1551603982519410</v>
      </c>
      <c r="C4147" t="s">
        <v>40</v>
      </c>
      <c r="D4147">
        <v>6.1830809999999996</v>
      </c>
      <c r="E4147">
        <v>0.50914349999999997</v>
      </c>
      <c r="F4147" t="s">
        <v>41</v>
      </c>
      <c r="G4147">
        <v>-420.72359999999998</v>
      </c>
      <c r="H4147" s="1">
        <v>-2.052614E-6</v>
      </c>
      <c r="I4147">
        <v>73.92501</v>
      </c>
      <c r="J4147">
        <v>-420.73750000000001</v>
      </c>
      <c r="K4147">
        <v>1.110034</v>
      </c>
      <c r="L4147">
        <v>92.017669999999995</v>
      </c>
      <c r="M4147">
        <v>0.1020633</v>
      </c>
      <c r="N4147">
        <v>-1.5048809999999999E-2</v>
      </c>
      <c r="O4147">
        <v>-0.99466399999999999</v>
      </c>
      <c r="P4147">
        <v>1.012889E-2</v>
      </c>
      <c r="Q4147">
        <v>0.16675789999999999</v>
      </c>
      <c r="R4147">
        <v>-0.98594579999999998</v>
      </c>
      <c r="S4147">
        <v>8.7890629999999997E-3</v>
      </c>
      <c r="T4147">
        <v>-0.18443979999999999</v>
      </c>
      <c r="U4147">
        <v>-3.0731199999999999</v>
      </c>
      <c r="V4147">
        <v>9.5237429999999998E-2</v>
      </c>
      <c r="W4147">
        <v>0.17910670000000001</v>
      </c>
      <c r="X4147">
        <v>0.9792092</v>
      </c>
      <c r="Y4147">
        <v>9.9175700000000006E-2</v>
      </c>
      <c r="Z4147">
        <v>4.4266109999999997E-2</v>
      </c>
      <c r="AA4147">
        <v>0.99408479999999999</v>
      </c>
      <c r="AB4147">
        <v>42</v>
      </c>
      <c r="AC4147">
        <v>1.39000000000351E-2</v>
      </c>
      <c r="AD4147">
        <v>-1.1100360526140001</v>
      </c>
      <c r="AE4147">
        <v>-18.092659999999899</v>
      </c>
      <c r="AF4147">
        <v>1.8261046871358499</v>
      </c>
      <c r="AG4147">
        <v>-1.1100360526140001</v>
      </c>
      <c r="AH4147">
        <v>17.932076443443901</v>
      </c>
      <c r="AI4147">
        <v>93.524039163652503</v>
      </c>
      <c r="AJ4147">
        <v>84.185355401525101</v>
      </c>
      <c r="AK4147">
        <v>18.0589646419721</v>
      </c>
      <c r="AL4147">
        <v>79.682268245571194</v>
      </c>
      <c r="AM4147">
        <v>84.444911212722303</v>
      </c>
      <c r="AN4147">
        <v>1.00000001771126</v>
      </c>
    </row>
    <row r="4148" spans="1:40" x14ac:dyDescent="0.25">
      <c r="A4148" t="str">
        <f>"20190303170622550"</f>
        <v>20190303170622550</v>
      </c>
      <c r="B4148" t="str">
        <f>"1551603982538931"</f>
        <v>1551603982538931</v>
      </c>
      <c r="C4148" t="s">
        <v>40</v>
      </c>
      <c r="D4148">
        <v>6.1976909999999998</v>
      </c>
      <c r="E4148">
        <v>0.50455179999999999</v>
      </c>
      <c r="F4148" t="s">
        <v>41</v>
      </c>
      <c r="G4148">
        <v>-420.7978</v>
      </c>
      <c r="H4148" s="1">
        <v>-1.6476849999999999E-6</v>
      </c>
      <c r="I4148">
        <v>72.935109999999995</v>
      </c>
      <c r="J4148">
        <v>-420.70049999999998</v>
      </c>
      <c r="K4148">
        <v>1.1099049999999999</v>
      </c>
      <c r="L4148">
        <v>91.589020000000005</v>
      </c>
      <c r="M4148">
        <v>9.1775579999999995E-2</v>
      </c>
      <c r="N4148">
        <v>-1.5061079999999999E-2</v>
      </c>
      <c r="O4148">
        <v>-0.99566580000000005</v>
      </c>
      <c r="P4148">
        <v>3.2415249999999999E-3</v>
      </c>
      <c r="Q4148">
        <v>0.1656349</v>
      </c>
      <c r="R4148">
        <v>-0.986182</v>
      </c>
      <c r="S4148">
        <v>-9.7045900000000008E-3</v>
      </c>
      <c r="T4148">
        <v>-0.17876220000000001</v>
      </c>
      <c r="U4148">
        <v>-3.0730900000000001</v>
      </c>
      <c r="V4148">
        <v>9.1991569999999995E-2</v>
      </c>
      <c r="W4148">
        <v>0.17805940000000001</v>
      </c>
      <c r="X4148">
        <v>0.97971030000000003</v>
      </c>
      <c r="Y4148">
        <v>9.48745E-2</v>
      </c>
      <c r="Z4148">
        <v>4.2528990000000003E-2</v>
      </c>
      <c r="AA4148">
        <v>0.99458040000000003</v>
      </c>
      <c r="AB4148">
        <v>42</v>
      </c>
      <c r="AC4148">
        <v>-9.7300000000018302E-2</v>
      </c>
      <c r="AD4148">
        <v>-1.1099066476849999</v>
      </c>
      <c r="AE4148">
        <v>-18.65391</v>
      </c>
      <c r="AF4148">
        <v>1.8026751670130301</v>
      </c>
      <c r="AG4148">
        <v>-1.1099066476849999</v>
      </c>
      <c r="AH4148">
        <v>18.500741175678399</v>
      </c>
      <c r="AI4148">
        <v>93.417060933295403</v>
      </c>
      <c r="AJ4148">
        <v>84.434781988493398</v>
      </c>
      <c r="AK4148">
        <v>18.621464887966901</v>
      </c>
      <c r="AL4148">
        <v>79.743253627499499</v>
      </c>
      <c r="AM4148">
        <v>84.635842670413098</v>
      </c>
      <c r="AN4148">
        <v>0.999999935402755</v>
      </c>
    </row>
    <row r="4149" spans="1:40" x14ac:dyDescent="0.25">
      <c r="A4149" t="str">
        <f>"20190303170622573"</f>
        <v>20190303170622573</v>
      </c>
      <c r="B4149" t="str">
        <f>"1551603982559426"</f>
        <v>1551603982559426</v>
      </c>
      <c r="C4149" t="s">
        <v>40</v>
      </c>
      <c r="D4149">
        <v>6.1631260000000001</v>
      </c>
      <c r="E4149">
        <v>0.5041274</v>
      </c>
      <c r="F4149" t="s">
        <v>41</v>
      </c>
      <c r="G4149">
        <v>-420.67720000000003</v>
      </c>
      <c r="H4149" s="1">
        <v>-1.6924159999999999E-6</v>
      </c>
      <c r="I4149">
        <v>73.114130000000003</v>
      </c>
      <c r="J4149">
        <v>-420.66849999999999</v>
      </c>
      <c r="K4149">
        <v>1.1098250000000001</v>
      </c>
      <c r="L4149">
        <v>91.168520000000001</v>
      </c>
      <c r="M4149">
        <v>8.1741850000000005E-2</v>
      </c>
      <c r="N4149">
        <v>-1.5068440000000001E-2</v>
      </c>
      <c r="O4149">
        <v>-0.99653970000000003</v>
      </c>
      <c r="P4149">
        <v>-2.5101030000000001E-3</v>
      </c>
      <c r="Q4149">
        <v>0.16544149999999999</v>
      </c>
      <c r="R4149">
        <v>-0.98621639999999999</v>
      </c>
      <c r="S4149">
        <v>3.8757319999999998E-3</v>
      </c>
      <c r="T4149">
        <v>-0.1846168</v>
      </c>
      <c r="U4149">
        <v>-3.073029</v>
      </c>
      <c r="V4149">
        <v>8.7855820000000001E-2</v>
      </c>
      <c r="W4149">
        <v>0.1779731</v>
      </c>
      <c r="X4149">
        <v>0.98010560000000002</v>
      </c>
      <c r="Y4149">
        <v>8.0449499999999993E-2</v>
      </c>
      <c r="Z4149">
        <v>4.4522949999999999E-2</v>
      </c>
      <c r="AA4149">
        <v>0.99576379999999998</v>
      </c>
      <c r="AB4149">
        <v>42</v>
      </c>
      <c r="AC4149">
        <v>-8.7000000000330095E-3</v>
      </c>
      <c r="AD4149">
        <v>-1.1098266924160001</v>
      </c>
      <c r="AE4149">
        <v>-18.054390000000001</v>
      </c>
      <c r="AF4149">
        <v>1.47904866432364</v>
      </c>
      <c r="AG4149">
        <v>-1.1098266924160001</v>
      </c>
      <c r="AH4149">
        <v>17.925511187564101</v>
      </c>
      <c r="AI4149">
        <v>93.530877511861604</v>
      </c>
      <c r="AJ4149">
        <v>85.283162898341899</v>
      </c>
      <c r="AK4149">
        <v>18.0206340502803</v>
      </c>
      <c r="AL4149">
        <v>79.748279475915098</v>
      </c>
      <c r="AM4149">
        <v>84.877745908406894</v>
      </c>
      <c r="AN4149">
        <v>1.0000000282914201</v>
      </c>
    </row>
    <row r="4150" spans="1:40" x14ac:dyDescent="0.25">
      <c r="A4150" t="str">
        <f>"20190303170622596"</f>
        <v>20190303170622596</v>
      </c>
      <c r="B4150" t="str">
        <f>"1551603982588706"</f>
        <v>1551603982588706</v>
      </c>
      <c r="C4150" t="s">
        <v>40</v>
      </c>
      <c r="D4150">
        <v>6.1840380000000001</v>
      </c>
      <c r="E4150">
        <v>0.50080619999999998</v>
      </c>
      <c r="F4150" t="s">
        <v>41</v>
      </c>
      <c r="G4150">
        <v>-420.74509999999998</v>
      </c>
      <c r="H4150" s="1">
        <v>-1.699454E-6</v>
      </c>
      <c r="I4150">
        <v>73.088419999999999</v>
      </c>
      <c r="J4150">
        <v>-420.63990000000001</v>
      </c>
      <c r="K4150">
        <v>1.109807</v>
      </c>
      <c r="L4150">
        <v>90.737399999999994</v>
      </c>
      <c r="M4150">
        <v>7.1591650000000007E-2</v>
      </c>
      <c r="N4150">
        <v>-1.506891E-2</v>
      </c>
      <c r="O4150">
        <v>-0.99732019999999999</v>
      </c>
      <c r="P4150">
        <v>-1.0456E-2</v>
      </c>
      <c r="Q4150">
        <v>0.16719600000000001</v>
      </c>
      <c r="R4150">
        <v>-0.98586810000000002</v>
      </c>
      <c r="S4150">
        <v>-1.3031010000000001E-2</v>
      </c>
      <c r="T4150">
        <v>-0.18866620000000001</v>
      </c>
      <c r="U4150">
        <v>-3.073547</v>
      </c>
      <c r="V4150">
        <v>8.5797639999999994E-2</v>
      </c>
      <c r="W4150">
        <v>0.1797793</v>
      </c>
      <c r="X4150">
        <v>0.9799582</v>
      </c>
      <c r="Y4150">
        <v>7.5779589999999994E-2</v>
      </c>
      <c r="Z4150">
        <v>4.5894629999999999E-2</v>
      </c>
      <c r="AA4150">
        <v>0.99606779999999995</v>
      </c>
      <c r="AB4150">
        <v>42</v>
      </c>
      <c r="AC4150">
        <v>-0.105199999999968</v>
      </c>
      <c r="AD4150">
        <v>-1.109808699454</v>
      </c>
      <c r="AE4150">
        <v>-17.648979999999899</v>
      </c>
      <c r="AF4150">
        <v>1.3632028998772601</v>
      </c>
      <c r="AG4150">
        <v>-1.109808699454</v>
      </c>
      <c r="AH4150">
        <v>17.526848629655799</v>
      </c>
      <c r="AI4150">
        <v>93.612279252832593</v>
      </c>
      <c r="AJ4150">
        <v>85.552603575595697</v>
      </c>
      <c r="AK4150">
        <v>17.614778465325202</v>
      </c>
      <c r="AL4150">
        <v>79.643094582567997</v>
      </c>
      <c r="AM4150">
        <v>84.996378964007704</v>
      </c>
      <c r="AN4150">
        <v>0.99999995274264797</v>
      </c>
    </row>
    <row r="4151" spans="1:40" x14ac:dyDescent="0.25">
      <c r="A4151" t="str">
        <f>"20190303170622617"</f>
        <v>20190303170622617</v>
      </c>
      <c r="B4151" t="str">
        <f>"1551603982609202"</f>
        <v>1551603982609202</v>
      </c>
      <c r="C4151" t="s">
        <v>40</v>
      </c>
      <c r="D4151">
        <v>6.1993549999999997</v>
      </c>
      <c r="E4151">
        <v>0.49776350000000003</v>
      </c>
      <c r="F4151" t="s">
        <v>41</v>
      </c>
      <c r="G4151">
        <v>-420.70190000000002</v>
      </c>
      <c r="H4151" s="1">
        <v>-1.1419790000000001E-6</v>
      </c>
      <c r="I4151">
        <v>71.815730000000002</v>
      </c>
      <c r="J4151">
        <v>-420.61649999999997</v>
      </c>
      <c r="K4151">
        <v>1.1098589999999999</v>
      </c>
      <c r="L4151">
        <v>90.325500000000005</v>
      </c>
      <c r="M4151">
        <v>6.211742E-2</v>
      </c>
      <c r="N4151">
        <v>-1.506098E-2</v>
      </c>
      <c r="O4151">
        <v>-0.99795529999999999</v>
      </c>
      <c r="P4151">
        <v>-2.0247169999999998E-2</v>
      </c>
      <c r="Q4151">
        <v>0.16793250000000001</v>
      </c>
      <c r="R4151">
        <v>-0.98559059999999998</v>
      </c>
      <c r="S4151">
        <v>-1.00708E-2</v>
      </c>
      <c r="T4151">
        <v>-0.1802685</v>
      </c>
      <c r="U4151">
        <v>-3.0734859999999999</v>
      </c>
      <c r="V4151">
        <v>8.6206820000000003E-2</v>
      </c>
      <c r="W4151">
        <v>0.18050869999999999</v>
      </c>
      <c r="X4151">
        <v>0.9797882</v>
      </c>
      <c r="Y4151">
        <v>6.5354969999999998E-2</v>
      </c>
      <c r="Z4151">
        <v>4.3276559999999999E-2</v>
      </c>
      <c r="AA4151">
        <v>0.99692320000000001</v>
      </c>
      <c r="AB4151">
        <v>42</v>
      </c>
      <c r="AC4151">
        <v>-8.5400000000049603E-2</v>
      </c>
      <c r="AD4151">
        <v>-1.109860141979</v>
      </c>
      <c r="AE4151">
        <v>-18.50977</v>
      </c>
      <c r="AF4151">
        <v>1.2307198116854401</v>
      </c>
      <c r="AG4151">
        <v>-1.109860141979</v>
      </c>
      <c r="AH4151">
        <v>18.402550109767802</v>
      </c>
      <c r="AI4151">
        <v>93.443661352177998</v>
      </c>
      <c r="AJ4151">
        <v>86.173888799157993</v>
      </c>
      <c r="AK4151">
        <v>18.4770211704198</v>
      </c>
      <c r="AL4151">
        <v>79.6006080618954</v>
      </c>
      <c r="AM4151">
        <v>84.971770244332703</v>
      </c>
      <c r="AN4151">
        <v>0.99999996172472005</v>
      </c>
    </row>
    <row r="4152" spans="1:40" x14ac:dyDescent="0.25">
      <c r="A4152" t="str">
        <f>"20190303170622633"</f>
        <v>20190303170622633</v>
      </c>
      <c r="B4152" t="str">
        <f>"1551603982618962"</f>
        <v>1551603982618962</v>
      </c>
      <c r="C4152" t="s">
        <v>40</v>
      </c>
      <c r="D4152">
        <v>6.2065910000000004</v>
      </c>
      <c r="E4152">
        <v>0.49726619999999999</v>
      </c>
      <c r="F4152" t="s">
        <v>41</v>
      </c>
      <c r="G4152">
        <v>-420.69400000000002</v>
      </c>
      <c r="H4152" s="1">
        <v>-9.1591250000000002E-7</v>
      </c>
      <c r="I4152">
        <v>71.293679999999995</v>
      </c>
      <c r="J4152">
        <v>-420.60289999999998</v>
      </c>
      <c r="K4152">
        <v>1.1099589999999999</v>
      </c>
      <c r="L4152">
        <v>90.045749999999998</v>
      </c>
      <c r="M4152">
        <v>5.5884929999999999E-2</v>
      </c>
      <c r="N4152">
        <v>-1.5049470000000001E-2</v>
      </c>
      <c r="O4152">
        <v>-0.99832379999999998</v>
      </c>
      <c r="P4152">
        <v>-2.7045309999999999E-2</v>
      </c>
      <c r="Q4152">
        <v>0.16786989999999999</v>
      </c>
      <c r="R4152">
        <v>-0.98543829999999999</v>
      </c>
      <c r="S4152">
        <v>-1.2512209999999999E-2</v>
      </c>
      <c r="T4152">
        <v>-0.17927270000000001</v>
      </c>
      <c r="U4152">
        <v>-3.0741580000000002</v>
      </c>
      <c r="V4152">
        <v>8.6801959999999997E-2</v>
      </c>
      <c r="W4152">
        <v>0.18043880000000001</v>
      </c>
      <c r="X4152">
        <v>0.97974850000000002</v>
      </c>
      <c r="Y4152">
        <v>5.991759E-2</v>
      </c>
      <c r="Z4152">
        <v>4.2995909999999998E-2</v>
      </c>
      <c r="AA4152">
        <v>0.99727690000000002</v>
      </c>
      <c r="AB4152">
        <v>42</v>
      </c>
      <c r="AC4152">
        <v>-9.1100000000039899E-2</v>
      </c>
      <c r="AD4152">
        <v>-1.1099599159125</v>
      </c>
      <c r="AE4152">
        <v>-18.7520699999999</v>
      </c>
      <c r="AF4152">
        <v>1.1350576911675601</v>
      </c>
      <c r="AG4152">
        <v>-1.1099599159125</v>
      </c>
      <c r="AH4152">
        <v>18.652317267323099</v>
      </c>
      <c r="AI4152">
        <v>93.399261090318703</v>
      </c>
      <c r="AJ4152">
        <v>86.517648962530899</v>
      </c>
      <c r="AK4152">
        <v>18.7197571142922</v>
      </c>
      <c r="AL4152">
        <v>79.604679585259106</v>
      </c>
      <c r="AM4152">
        <v>84.937032919427196</v>
      </c>
      <c r="AN4152">
        <v>0.99999993202876303</v>
      </c>
    </row>
    <row r="4153" spans="1:40" x14ac:dyDescent="0.25">
      <c r="A4153" t="str">
        <f>"20190303170622651"</f>
        <v>20190303170622651</v>
      </c>
      <c r="B4153" t="str">
        <f>"1551603982639312"</f>
        <v>1551603982639312</v>
      </c>
      <c r="C4153" t="s">
        <v>40</v>
      </c>
      <c r="D4153">
        <v>6.277952</v>
      </c>
      <c r="E4153">
        <v>0.49816300000000002</v>
      </c>
      <c r="F4153" t="s">
        <v>41</v>
      </c>
      <c r="G4153">
        <v>-420.78739999999999</v>
      </c>
      <c r="H4153" s="1">
        <v>-7.4779969999999898E-7</v>
      </c>
      <c r="I4153">
        <v>70.843850000000003</v>
      </c>
      <c r="J4153">
        <v>-420.58859999999999</v>
      </c>
      <c r="K4153">
        <v>1.1101510000000001</v>
      </c>
      <c r="L4153">
        <v>89.71002</v>
      </c>
      <c r="M4153">
        <v>4.8662619999999997E-2</v>
      </c>
      <c r="N4153">
        <v>-1.502915E-2</v>
      </c>
      <c r="O4153">
        <v>-0.99870219999999998</v>
      </c>
      <c r="P4153">
        <v>-3.3798450000000001E-2</v>
      </c>
      <c r="Q4153">
        <v>0.16651669999999999</v>
      </c>
      <c r="R4153">
        <v>-0.98545919999999998</v>
      </c>
      <c r="S4153">
        <v>-2.9541020000000001E-2</v>
      </c>
      <c r="T4153">
        <v>-0.17767949999999999</v>
      </c>
      <c r="U4153">
        <v>-3.0737920000000001</v>
      </c>
      <c r="V4153">
        <v>8.6322280000000001E-2</v>
      </c>
      <c r="W4153">
        <v>0.1791198</v>
      </c>
      <c r="X4153">
        <v>0.98003289999999998</v>
      </c>
      <c r="Y4153">
        <v>5.822401E-2</v>
      </c>
      <c r="Z4153">
        <v>4.2541429999999998E-2</v>
      </c>
      <c r="AA4153">
        <v>0.99739670000000002</v>
      </c>
      <c r="AB4153">
        <v>42</v>
      </c>
      <c r="AC4153">
        <v>-0.198800000000005</v>
      </c>
      <c r="AD4153">
        <v>-1.1101517477996901</v>
      </c>
      <c r="AE4153">
        <v>-18.86617</v>
      </c>
      <c r="AF4153">
        <v>1.11289235513392</v>
      </c>
      <c r="AG4153">
        <v>-1.1101517477996901</v>
      </c>
      <c r="AH4153">
        <v>18.769156363775299</v>
      </c>
      <c r="AI4153">
        <v>93.379046869153697</v>
      </c>
      <c r="AJ4153">
        <v>86.6066953107063</v>
      </c>
      <c r="AK4153">
        <v>18.834866522094199</v>
      </c>
      <c r="AL4153">
        <v>79.681504751521601</v>
      </c>
      <c r="AM4153">
        <v>84.966321032196703</v>
      </c>
      <c r="AN4153">
        <v>0.99999996192942298</v>
      </c>
    </row>
    <row r="4154" spans="1:40" x14ac:dyDescent="0.25">
      <c r="A4154" t="str">
        <f>"20190303170622673"</f>
        <v>20190303170622673</v>
      </c>
      <c r="B4154" t="str">
        <f>"1551603982658832"</f>
        <v>1551603982658832</v>
      </c>
      <c r="C4154" t="s">
        <v>40</v>
      </c>
      <c r="D4154">
        <v>6.1847120000000002</v>
      </c>
      <c r="E4154">
        <v>0.50269629999999998</v>
      </c>
      <c r="F4154" t="s">
        <v>42</v>
      </c>
      <c r="G4154">
        <v>-420.60719999999998</v>
      </c>
      <c r="H4154">
        <v>1.0446200000000001</v>
      </c>
      <c r="I4154">
        <v>88.729699999999994</v>
      </c>
      <c r="J4154">
        <v>-420.5736</v>
      </c>
      <c r="K4154">
        <v>1.110487</v>
      </c>
      <c r="L4154">
        <v>89.286990000000003</v>
      </c>
      <c r="M4154">
        <v>4.0073659999999997E-2</v>
      </c>
      <c r="N4154">
        <v>-1.499225E-2</v>
      </c>
      <c r="O4154">
        <v>-0.99908430000000004</v>
      </c>
      <c r="P4154">
        <v>-4.2331729999999998E-2</v>
      </c>
      <c r="Q4154">
        <v>0.16644589999999901</v>
      </c>
      <c r="R4154">
        <v>-0.98514179999999996</v>
      </c>
      <c r="S4154">
        <v>-5.7708740000000001E-2</v>
      </c>
      <c r="T4154">
        <v>-0.20537900000000001</v>
      </c>
      <c r="U4154">
        <v>-3.076965</v>
      </c>
      <c r="V4154">
        <v>8.6229819999999999E-2</v>
      </c>
      <c r="W4154">
        <v>0.17908460000000001</v>
      </c>
      <c r="X4154">
        <v>0.98004749999999996</v>
      </c>
      <c r="Y4154">
        <v>5.8746880000000001E-2</v>
      </c>
      <c r="Z4154">
        <v>5.1483439999999998E-2</v>
      </c>
      <c r="AA4154">
        <v>0.99694450000000001</v>
      </c>
      <c r="AB4154">
        <v>42</v>
      </c>
      <c r="AC4154">
        <v>-3.3599999999978501E-2</v>
      </c>
      <c r="AD4154">
        <v>-6.5866999999999898E-2</v>
      </c>
      <c r="AE4154">
        <v>-0.55729000000000894</v>
      </c>
      <c r="AF4154">
        <v>5.51406787104229E-2</v>
      </c>
      <c r="AG4154">
        <v>-6.5866999999999898E-2</v>
      </c>
      <c r="AH4154">
        <v>0.54787000153200205</v>
      </c>
      <c r="AI4154">
        <v>96.821278486365699</v>
      </c>
      <c r="AJ4154">
        <v>84.252788016757506</v>
      </c>
      <c r="AK4154">
        <v>0.55456333697452598</v>
      </c>
      <c r="AL4154">
        <v>79.683554992592903</v>
      </c>
      <c r="AM4154">
        <v>84.971759485886807</v>
      </c>
      <c r="AN4154">
        <v>0.99999998903532095</v>
      </c>
    </row>
    <row r="4155" spans="1:40" x14ac:dyDescent="0.25">
      <c r="A4155" t="str">
        <f>"20190303170622695"</f>
        <v>20190303170622695</v>
      </c>
      <c r="B4155" t="str">
        <f>"1551603982689088"</f>
        <v>1551603982689088</v>
      </c>
      <c r="C4155" t="s">
        <v>40</v>
      </c>
      <c r="D4155">
        <v>6.2051509999999999</v>
      </c>
      <c r="E4155">
        <v>0.50702609999999904</v>
      </c>
      <c r="F4155" t="s">
        <v>41</v>
      </c>
      <c r="G4155">
        <v>-421.25880000000001</v>
      </c>
      <c r="H4155" s="1">
        <v>-1.268977E-6</v>
      </c>
      <c r="I4155">
        <v>71.766359999999906</v>
      </c>
      <c r="J4155">
        <v>-420.56189999999998</v>
      </c>
      <c r="K4155">
        <v>1.110932</v>
      </c>
      <c r="L4155">
        <v>88.866730000000004</v>
      </c>
      <c r="M4155">
        <v>3.2163789999999998E-2</v>
      </c>
      <c r="N4155">
        <v>-1.494762E-2</v>
      </c>
      <c r="O4155">
        <v>-0.9993708</v>
      </c>
      <c r="P4155">
        <v>-5.1728099999999902E-2</v>
      </c>
      <c r="Q4155">
        <v>0.16690829999999901</v>
      </c>
      <c r="R4155">
        <v>-0.98461469999999995</v>
      </c>
      <c r="S4155">
        <v>-0.1201782</v>
      </c>
      <c r="T4155">
        <v>-0.1947721</v>
      </c>
      <c r="U4155">
        <v>-3.0729980000000001</v>
      </c>
      <c r="V4155">
        <v>8.7638889999999997E-2</v>
      </c>
      <c r="W4155">
        <v>0.1795551</v>
      </c>
      <c r="X4155">
        <v>0.97983640000000005</v>
      </c>
      <c r="Y4155">
        <v>7.1113480000000007E-2</v>
      </c>
      <c r="Z4155">
        <v>4.816753E-2</v>
      </c>
      <c r="AA4155">
        <v>0.99630459999999998</v>
      </c>
      <c r="AB4155">
        <v>42</v>
      </c>
      <c r="AC4155">
        <v>-0.69690000000002705</v>
      </c>
      <c r="AD4155">
        <v>-1.110933268977</v>
      </c>
      <c r="AE4155">
        <v>-17.100370000000002</v>
      </c>
      <c r="AF4155">
        <v>1.2413829517520301</v>
      </c>
      <c r="AG4155">
        <v>-1.110933268977</v>
      </c>
      <c r="AH4155">
        <v>16.9974839337265</v>
      </c>
      <c r="AI4155">
        <v>93.729553310071296</v>
      </c>
      <c r="AJ4155">
        <v>85.822914236210494</v>
      </c>
      <c r="AK4155">
        <v>17.078924569138199</v>
      </c>
      <c r="AL4155">
        <v>79.656153175547104</v>
      </c>
      <c r="AM4155">
        <v>84.888930137960003</v>
      </c>
      <c r="AN4155">
        <v>0.99999998987070104</v>
      </c>
    </row>
    <row r="4156" spans="1:40" x14ac:dyDescent="0.25">
      <c r="A4156" t="str">
        <f>"20190303170622717"</f>
        <v>20190303170622717</v>
      </c>
      <c r="B4156" t="str">
        <f>"1551603982709584"</f>
        <v>1551603982709584</v>
      </c>
      <c r="C4156" t="s">
        <v>40</v>
      </c>
      <c r="D4156">
        <v>6.2111869999999998</v>
      </c>
      <c r="E4156">
        <v>0.50864960000000004</v>
      </c>
      <c r="F4156" t="s">
        <v>41</v>
      </c>
      <c r="G4156">
        <v>-421.649</v>
      </c>
      <c r="H4156" s="1">
        <v>-7.2863640000000001E-7</v>
      </c>
      <c r="I4156">
        <v>70.264840000000007</v>
      </c>
      <c r="J4156">
        <v>-420.55329999999998</v>
      </c>
      <c r="K4156">
        <v>1.1114489999999999</v>
      </c>
      <c r="L4156">
        <v>88.462680000000006</v>
      </c>
      <c r="M4156">
        <v>2.5241739999999999E-2</v>
      </c>
      <c r="N4156">
        <v>-1.490184E-2</v>
      </c>
      <c r="O4156">
        <v>-0.99957039999999997</v>
      </c>
      <c r="P4156">
        <v>-6.0295899999999999E-2</v>
      </c>
      <c r="Q4156">
        <v>0.1668567</v>
      </c>
      <c r="R4156">
        <v>-0.98413609999999896</v>
      </c>
      <c r="S4156">
        <v>-0.17932129999999999</v>
      </c>
      <c r="T4156">
        <v>-0.18325610000000001</v>
      </c>
      <c r="U4156">
        <v>-3.0685120000000001</v>
      </c>
      <c r="V4156">
        <v>8.915758E-2</v>
      </c>
      <c r="W4156">
        <v>0.17952750000000001</v>
      </c>
      <c r="X4156">
        <v>0.97970440000000003</v>
      </c>
      <c r="Y4156">
        <v>8.3418300000000001E-2</v>
      </c>
      <c r="Z4156">
        <v>4.453944E-2</v>
      </c>
      <c r="AA4156">
        <v>0.99551869999999998</v>
      </c>
      <c r="AB4156">
        <v>42</v>
      </c>
      <c r="AC4156">
        <v>-1.0957000000000201</v>
      </c>
      <c r="AD4156">
        <v>-1.1114497286364</v>
      </c>
      <c r="AE4156">
        <v>-18.197839999999999</v>
      </c>
      <c r="AF4156">
        <v>1.5489896448124501</v>
      </c>
      <c r="AG4156">
        <v>-1.1114497286364</v>
      </c>
      <c r="AH4156">
        <v>18.097116775410999</v>
      </c>
      <c r="AI4156">
        <v>93.501682891053406</v>
      </c>
      <c r="AJ4156">
        <v>85.107796260895995</v>
      </c>
      <c r="AK4156">
        <v>18.197261469844399</v>
      </c>
      <c r="AL4156">
        <v>79.657760288629404</v>
      </c>
      <c r="AM4156">
        <v>84.800145294256595</v>
      </c>
      <c r="AN4156">
        <v>0.99999995435353195</v>
      </c>
    </row>
    <row r="4157" spans="1:40" x14ac:dyDescent="0.25">
      <c r="A4157" t="str">
        <f>"20190303170622740"</f>
        <v>20190303170622740</v>
      </c>
      <c r="B4157" t="str">
        <f>"1551603982729104"</f>
        <v>1551603982729104</v>
      </c>
      <c r="C4157" t="s">
        <v>40</v>
      </c>
      <c r="D4157">
        <v>6.2303369999999996</v>
      </c>
      <c r="E4157">
        <v>0.50941629999999904</v>
      </c>
      <c r="F4157" t="s">
        <v>41</v>
      </c>
      <c r="G4157">
        <v>-421.87020000000001</v>
      </c>
      <c r="H4157" s="1">
        <v>-5.3685130000000005E-7</v>
      </c>
      <c r="I4157">
        <v>69.680549999999997</v>
      </c>
      <c r="J4157">
        <v>-420.54680000000002</v>
      </c>
      <c r="K4157">
        <v>1.1120989999999999</v>
      </c>
      <c r="L4157">
        <v>88.037350000000004</v>
      </c>
      <c r="M4157">
        <v>1.8785400000000001E-2</v>
      </c>
      <c r="N4157">
        <v>-1.485202E-2</v>
      </c>
      <c r="O4157">
        <v>-0.99971330000000003</v>
      </c>
      <c r="P4157">
        <v>-6.6828680000000001E-2</v>
      </c>
      <c r="Q4157">
        <v>0.1652264</v>
      </c>
      <c r="R4157">
        <v>-0.98398909999999995</v>
      </c>
      <c r="S4157">
        <v>-0.21496580000000001</v>
      </c>
      <c r="T4157">
        <v>-0.18143029999999999</v>
      </c>
      <c r="U4157">
        <v>-3.0659480000000001</v>
      </c>
      <c r="V4157">
        <v>8.9025069999999998E-2</v>
      </c>
      <c r="W4157">
        <v>0.17798810000000001</v>
      </c>
      <c r="X4157">
        <v>0.97999729999999996</v>
      </c>
      <c r="Y4157">
        <v>8.8554949999999993E-2</v>
      </c>
      <c r="Z4157">
        <v>4.402652E-2</v>
      </c>
      <c r="AA4157">
        <v>0.99509780000000003</v>
      </c>
      <c r="AB4157">
        <v>41</v>
      </c>
      <c r="AC4157">
        <v>-1.3233999999999899</v>
      </c>
      <c r="AD4157">
        <v>-1.1120995368513</v>
      </c>
      <c r="AE4157">
        <v>-18.3568</v>
      </c>
      <c r="AF4157">
        <v>1.66197596694226</v>
      </c>
      <c r="AG4157">
        <v>-1.1120995368513</v>
      </c>
      <c r="AH4157">
        <v>18.2620174270244</v>
      </c>
      <c r="AI4157">
        <v>93.4705225465312</v>
      </c>
      <c r="AJ4157">
        <v>84.799993196914102</v>
      </c>
      <c r="AK4157">
        <v>18.371178786335499</v>
      </c>
      <c r="AL4157">
        <v>79.7474054639912</v>
      </c>
      <c r="AM4157">
        <v>84.809374629052499</v>
      </c>
      <c r="AN4157">
        <v>0.99999996741870101</v>
      </c>
    </row>
    <row r="4158" spans="1:40" x14ac:dyDescent="0.25">
      <c r="A4158" t="str">
        <f>"20190303170622762"</f>
        <v>20190303170622762</v>
      </c>
      <c r="B4158" t="str">
        <f>"1551603982749262"</f>
        <v>1551603982749262</v>
      </c>
      <c r="C4158" t="s">
        <v>40</v>
      </c>
      <c r="D4158">
        <v>6.2261089999999903</v>
      </c>
      <c r="E4158">
        <v>0.51054259999999996</v>
      </c>
      <c r="F4158" t="s">
        <v>41</v>
      </c>
      <c r="G4158">
        <v>-422.01499999999999</v>
      </c>
      <c r="H4158" s="1">
        <v>-4.58329E-6</v>
      </c>
      <c r="I4158">
        <v>69.404690000000002</v>
      </c>
      <c r="J4158">
        <v>-420.54239999999999</v>
      </c>
      <c r="K4158">
        <v>1.1128229999999999</v>
      </c>
      <c r="L4158">
        <v>87.617069999999998</v>
      </c>
      <c r="M4158">
        <v>1.3323359999999999E-2</v>
      </c>
      <c r="N4158">
        <v>-1.480191E-2</v>
      </c>
      <c r="O4158">
        <v>-0.99980179999999996</v>
      </c>
      <c r="P4158">
        <v>-7.0988540000000003E-2</v>
      </c>
      <c r="Q4158">
        <v>0.16435999999999901</v>
      </c>
      <c r="R4158">
        <v>-0.98384309999999997</v>
      </c>
      <c r="S4158">
        <v>-0.24136350000000001</v>
      </c>
      <c r="T4158">
        <v>-0.18282380000000001</v>
      </c>
      <c r="U4158">
        <v>-3.06311</v>
      </c>
      <c r="V4158">
        <v>8.7481639999999999E-2</v>
      </c>
      <c r="W4158">
        <v>0.17725659999999999</v>
      </c>
      <c r="X4158">
        <v>0.9802689</v>
      </c>
      <c r="Y4158">
        <v>9.1701589999999999E-2</v>
      </c>
      <c r="Z4158">
        <v>4.4564590000000001E-2</v>
      </c>
      <c r="AA4158">
        <v>0.99478880000000003</v>
      </c>
      <c r="AB4158">
        <v>41</v>
      </c>
      <c r="AC4158">
        <v>-1.4725999999999999</v>
      </c>
      <c r="AD4158">
        <v>-1.1128275832900001</v>
      </c>
      <c r="AE4158">
        <v>-18.21238</v>
      </c>
      <c r="AF4158">
        <v>1.70880743147991</v>
      </c>
      <c r="AG4158">
        <v>-1.1128275832900001</v>
      </c>
      <c r="AH4158">
        <v>18.123913912875501</v>
      </c>
      <c r="AI4158">
        <v>93.498135334295895</v>
      </c>
      <c r="AJ4158">
        <v>84.613808443135099</v>
      </c>
      <c r="AK4158">
        <v>18.2382746878463</v>
      </c>
      <c r="AL4158">
        <v>79.789995174524904</v>
      </c>
      <c r="AM4158">
        <v>84.900291594633998</v>
      </c>
      <c r="AN4158">
        <v>1.0000000279439201</v>
      </c>
    </row>
    <row r="4159" spans="1:40" x14ac:dyDescent="0.25">
      <c r="A4159" t="str">
        <f>"20190303170622788"</f>
        <v>20190303170622788</v>
      </c>
      <c r="B4159" t="str">
        <f>"1551603982779520"</f>
        <v>1551603982779520</v>
      </c>
      <c r="C4159" t="s">
        <v>40</v>
      </c>
      <c r="D4159">
        <v>6.2457510000000003</v>
      </c>
      <c r="E4159">
        <v>0.51095670000000004</v>
      </c>
      <c r="F4159" t="s">
        <v>41</v>
      </c>
      <c r="G4159">
        <v>-422.12299999999999</v>
      </c>
      <c r="H4159" s="1">
        <v>-4.5675589999999996E-6</v>
      </c>
      <c r="I4159">
        <v>69.302189999999996</v>
      </c>
      <c r="J4159">
        <v>-420.53960000000001</v>
      </c>
      <c r="K4159">
        <v>1.1136889999999999</v>
      </c>
      <c r="L4159">
        <v>87.168729999999996</v>
      </c>
      <c r="M4159">
        <v>8.6453180000000008E-3</v>
      </c>
      <c r="N4159">
        <v>-1.4750859999999999E-2</v>
      </c>
      <c r="O4159">
        <v>-0.99985380000000001</v>
      </c>
      <c r="P4159">
        <v>-7.4620290000000006E-2</v>
      </c>
      <c r="Q4159">
        <v>0.16431299999999999</v>
      </c>
      <c r="R4159">
        <v>-0.98358190000000001</v>
      </c>
      <c r="S4159">
        <v>-0.2641907</v>
      </c>
      <c r="T4159">
        <v>-0.1860058</v>
      </c>
      <c r="U4159">
        <v>-3.0612789999999999</v>
      </c>
      <c r="V4159">
        <v>8.6139660000000007E-2</v>
      </c>
      <c r="W4159">
        <v>0.17735979999999901</v>
      </c>
      <c r="X4159">
        <v>0.98036900000000005</v>
      </c>
      <c r="Y4159">
        <v>9.4450069999999997E-2</v>
      </c>
      <c r="Z4159">
        <v>4.5662330000000001E-2</v>
      </c>
      <c r="AA4159">
        <v>0.99448190000000003</v>
      </c>
      <c r="AB4159">
        <v>41</v>
      </c>
      <c r="AC4159">
        <v>-1.5834000000000299</v>
      </c>
      <c r="AD4159">
        <v>-1.1136935675589901</v>
      </c>
      <c r="AE4159">
        <v>-17.866540000000001</v>
      </c>
      <c r="AF4159">
        <v>1.73114554112283</v>
      </c>
      <c r="AG4159">
        <v>-1.1136935675589901</v>
      </c>
      <c r="AH4159">
        <v>17.7836213213184</v>
      </c>
      <c r="AI4159">
        <v>93.566634963409896</v>
      </c>
      <c r="AJ4159">
        <v>84.440063706354906</v>
      </c>
      <c r="AK4159">
        <v>17.902356424421399</v>
      </c>
      <c r="AL4159">
        <v>79.783986330793596</v>
      </c>
      <c r="AM4159">
        <v>84.978628804459703</v>
      </c>
      <c r="AN4159">
        <v>0.99999995792097696</v>
      </c>
    </row>
    <row r="4160" spans="1:40" x14ac:dyDescent="0.25">
      <c r="A4160" t="str">
        <f>"20190303170622807"</f>
        <v>20190303170622807</v>
      </c>
      <c r="B4160" t="str">
        <f>"1551603982799038"</f>
        <v>1551603982799038</v>
      </c>
      <c r="C4160" t="s">
        <v>40</v>
      </c>
      <c r="D4160">
        <v>6.2795300000000003</v>
      </c>
      <c r="E4160">
        <v>0.51073000000000002</v>
      </c>
      <c r="F4160" t="s">
        <v>41</v>
      </c>
      <c r="G4160">
        <v>-422.13749999999999</v>
      </c>
      <c r="H4160" s="1">
        <v>-4.592328E-6</v>
      </c>
      <c r="I4160">
        <v>69.36739</v>
      </c>
      <c r="J4160">
        <v>-420.5385</v>
      </c>
      <c r="K4160">
        <v>1.114463</v>
      </c>
      <c r="L4160">
        <v>86.785340000000005</v>
      </c>
      <c r="M4160">
        <v>5.4426129999999998E-3</v>
      </c>
      <c r="N4160">
        <v>-1.471255E-2</v>
      </c>
      <c r="O4160">
        <v>-0.99987689999999996</v>
      </c>
      <c r="P4160">
        <v>-7.7145679999999994E-2</v>
      </c>
      <c r="Q4160">
        <v>0.16476080000000001</v>
      </c>
      <c r="R4160">
        <v>-0.98331210000000002</v>
      </c>
      <c r="S4160">
        <v>-0.27478029999999998</v>
      </c>
      <c r="T4160">
        <v>-0.19151689999999999</v>
      </c>
      <c r="U4160">
        <v>-3.0612180000000002</v>
      </c>
      <c r="V4160">
        <v>8.5193110000000002E-2</v>
      </c>
      <c r="W4160">
        <v>0.17793789999999901</v>
      </c>
      <c r="X4160">
        <v>0.98034699999999997</v>
      </c>
      <c r="Y4160">
        <v>9.4667989999999994E-2</v>
      </c>
      <c r="Z4160">
        <v>4.7479899999999998E-2</v>
      </c>
      <c r="AA4160">
        <v>0.99437600000000004</v>
      </c>
      <c r="AB4160">
        <v>41</v>
      </c>
      <c r="AC4160">
        <v>-1.59899999999998</v>
      </c>
      <c r="AD4160">
        <v>-1.1144675923280001</v>
      </c>
      <c r="AE4160">
        <v>-17.417950000000001</v>
      </c>
      <c r="AF4160">
        <v>1.6869372465444401</v>
      </c>
      <c r="AG4160">
        <v>-1.1144675923280001</v>
      </c>
      <c r="AH4160">
        <v>17.338598426976599</v>
      </c>
      <c r="AI4160">
        <v>93.660486306022406</v>
      </c>
      <c r="AJ4160">
        <v>84.442969176005704</v>
      </c>
      <c r="AK4160">
        <v>17.456081768257199</v>
      </c>
      <c r="AL4160">
        <v>79.7503287213639</v>
      </c>
      <c r="AM4160">
        <v>85.0334180043901</v>
      </c>
      <c r="AN4160">
        <v>1.00000000132844</v>
      </c>
    </row>
    <row r="4161" spans="1:40" x14ac:dyDescent="0.25">
      <c r="A4161" t="str">
        <f>"20190303170622829"</f>
        <v>20190303170622829</v>
      </c>
      <c r="B4161" t="str">
        <f>"1551603982819534"</f>
        <v>1551603982819534</v>
      </c>
      <c r="C4161" t="s">
        <v>40</v>
      </c>
      <c r="D4161">
        <v>6.2550439999999998</v>
      </c>
      <c r="E4161">
        <v>0.51039259999999997</v>
      </c>
      <c r="F4161" t="s">
        <v>41</v>
      </c>
      <c r="G4161">
        <v>-422.17570000000001</v>
      </c>
      <c r="H4161" s="1">
        <v>-4.3499919999999996E-6</v>
      </c>
      <c r="I4161">
        <v>68.635379999999998</v>
      </c>
      <c r="J4161">
        <v>-420.53809999999999</v>
      </c>
      <c r="K4161">
        <v>1.115245</v>
      </c>
      <c r="L4161">
        <v>86.383480000000006</v>
      </c>
      <c r="M4161">
        <v>2.7799019999999999E-3</v>
      </c>
      <c r="N4161">
        <v>-1.4677279999999999E-2</v>
      </c>
      <c r="O4161">
        <v>-0.99988849999999996</v>
      </c>
      <c r="P4161">
        <v>-7.6654410000000006E-2</v>
      </c>
      <c r="Q4161">
        <v>0.16295079999999901</v>
      </c>
      <c r="R4161">
        <v>-0.98365199999999997</v>
      </c>
      <c r="S4161">
        <v>-0.27609250000000002</v>
      </c>
      <c r="T4161">
        <v>-0.18794079999999999</v>
      </c>
      <c r="U4161">
        <v>-3.0607600000000001</v>
      </c>
      <c r="V4161">
        <v>8.1732719999999995E-2</v>
      </c>
      <c r="W4161">
        <v>0.1762996</v>
      </c>
      <c r="X4161">
        <v>0.98093739999999996</v>
      </c>
      <c r="Y4161">
        <v>9.2459689999999997E-2</v>
      </c>
      <c r="Z4161">
        <v>4.6374650000000003E-2</v>
      </c>
      <c r="AA4161">
        <v>0.99463590000000002</v>
      </c>
      <c r="AB4161">
        <v>41</v>
      </c>
      <c r="AC4161">
        <v>-1.6376000000000199</v>
      </c>
      <c r="AD4161">
        <v>-1.115249349992</v>
      </c>
      <c r="AE4161">
        <v>-17.748100000000001</v>
      </c>
      <c r="AF4161">
        <v>1.6803579548516301</v>
      </c>
      <c r="AG4161">
        <v>-1.115249349992</v>
      </c>
      <c r="AH4161">
        <v>17.674279490353001</v>
      </c>
      <c r="AI4161">
        <v>93.594418624878699</v>
      </c>
      <c r="AJ4161">
        <v>84.569006427284904</v>
      </c>
      <c r="AK4161">
        <v>17.788972411924298</v>
      </c>
      <c r="AL4161">
        <v>79.845704174477703</v>
      </c>
      <c r="AM4161">
        <v>85.237058060389401</v>
      </c>
      <c r="AN4161">
        <v>0.99999998459875905</v>
      </c>
    </row>
    <row r="4162" spans="1:40" x14ac:dyDescent="0.25">
      <c r="A4162" t="str">
        <f>"20190303170622851"</f>
        <v>20190303170622851</v>
      </c>
      <c r="B4162" t="str">
        <f>"1551603982839596"</f>
        <v>1551603982839596</v>
      </c>
      <c r="C4162" t="s">
        <v>40</v>
      </c>
      <c r="D4162">
        <v>6.2805879999999998</v>
      </c>
      <c r="E4162">
        <v>0.51005400000000001</v>
      </c>
      <c r="F4162" t="s">
        <v>41</v>
      </c>
      <c r="G4162">
        <v>-422.11750000000001</v>
      </c>
      <c r="H4162" s="1">
        <v>-4.2889690000000001E-6</v>
      </c>
      <c r="I4162">
        <v>68.486369999999994</v>
      </c>
      <c r="J4162">
        <v>-420.5385</v>
      </c>
      <c r="K4162">
        <v>1.1159859999999999</v>
      </c>
      <c r="L4162">
        <v>85.974209999999999</v>
      </c>
      <c r="M4162">
        <v>7.1689500000000005E-4</v>
      </c>
      <c r="N4162">
        <v>-1.464447E-2</v>
      </c>
      <c r="O4162">
        <v>-0.99989269999999997</v>
      </c>
      <c r="P4162">
        <v>-7.3656299999999994E-2</v>
      </c>
      <c r="Q4162">
        <v>0.16042690000000001</v>
      </c>
      <c r="R4162">
        <v>-0.98429610000000001</v>
      </c>
      <c r="S4162">
        <v>-0.270080599999999</v>
      </c>
      <c r="T4162">
        <v>-0.19070889999999999</v>
      </c>
      <c r="U4162">
        <v>-3.060425</v>
      </c>
      <c r="V4162">
        <v>7.6368599999999995E-2</v>
      </c>
      <c r="W4162">
        <v>0.173956</v>
      </c>
      <c r="X4162">
        <v>0.98178770000000004</v>
      </c>
      <c r="Y4162">
        <v>8.8473739999999995E-2</v>
      </c>
      <c r="Z4162">
        <v>4.732869E-2</v>
      </c>
      <c r="AA4162">
        <v>0.99495350000000005</v>
      </c>
      <c r="AB4162">
        <v>41</v>
      </c>
      <c r="AC4162">
        <v>-1.579</v>
      </c>
      <c r="AD4162">
        <v>-1.1159902889689901</v>
      </c>
      <c r="AE4162">
        <v>-17.487839999999998</v>
      </c>
      <c r="AF4162">
        <v>1.5851348083808401</v>
      </c>
      <c r="AG4162">
        <v>-1.1159902889689901</v>
      </c>
      <c r="AH4162">
        <v>17.416350926208398</v>
      </c>
      <c r="AI4162">
        <v>93.651287810069604</v>
      </c>
      <c r="AJ4162">
        <v>84.799599634135006</v>
      </c>
      <c r="AK4162">
        <v>17.523908418804702</v>
      </c>
      <c r="AL4162">
        <v>79.982090208485403</v>
      </c>
      <c r="AM4162">
        <v>85.552189695803705</v>
      </c>
      <c r="AN4162">
        <v>0.99999997043662403</v>
      </c>
    </row>
    <row r="4163" spans="1:40" x14ac:dyDescent="0.25">
      <c r="A4163" t="str">
        <f>"20190303170622875"</f>
        <v>20190303170622875</v>
      </c>
      <c r="B4163" t="str">
        <f>"1551603982868875"</f>
        <v>1551603982868875</v>
      </c>
      <c r="C4163" t="s">
        <v>40</v>
      </c>
      <c r="D4163">
        <v>6.2768629999999996</v>
      </c>
      <c r="E4163">
        <v>0.50952459999999999</v>
      </c>
      <c r="F4163" t="s">
        <v>41</v>
      </c>
      <c r="G4163">
        <v>-422.01420000000002</v>
      </c>
      <c r="H4163" s="1">
        <v>-4.306747E-6</v>
      </c>
      <c r="I4163">
        <v>68.592460000000003</v>
      </c>
      <c r="J4163">
        <v>-420.53969999999998</v>
      </c>
      <c r="K4163">
        <v>1.116735</v>
      </c>
      <c r="L4163">
        <v>85.526250000000005</v>
      </c>
      <c r="M4163">
        <v>-9.0574350000000004E-4</v>
      </c>
      <c r="N4163">
        <v>-1.4610049999999999E-2</v>
      </c>
      <c r="O4163">
        <v>-0.99989300000000003</v>
      </c>
      <c r="P4163">
        <v>-7.0262599999999995E-2</v>
      </c>
      <c r="Q4163">
        <v>0.16097259999999999</v>
      </c>
      <c r="R4163">
        <v>-0.98445459999999996</v>
      </c>
      <c r="S4163">
        <v>-0.25982670000000002</v>
      </c>
      <c r="T4163">
        <v>-0.1964957</v>
      </c>
      <c r="U4163">
        <v>-3.0604550000000001</v>
      </c>
      <c r="V4163">
        <v>7.1076719999999996E-2</v>
      </c>
      <c r="W4163">
        <v>0.1746547</v>
      </c>
      <c r="X4163">
        <v>0.98206099999999996</v>
      </c>
      <c r="Y4163">
        <v>8.3540509999999998E-2</v>
      </c>
      <c r="Z4163">
        <v>4.9260039999999998E-2</v>
      </c>
      <c r="AA4163">
        <v>0.99528609999999995</v>
      </c>
      <c r="AB4163">
        <v>41</v>
      </c>
      <c r="AC4163">
        <v>-1.4745000000000299</v>
      </c>
      <c r="AD4163">
        <v>-1.1167393067469999</v>
      </c>
      <c r="AE4163">
        <v>-16.933789999999998</v>
      </c>
      <c r="AF4163">
        <v>1.45288893818263</v>
      </c>
      <c r="AG4163">
        <v>-1.1167393067469999</v>
      </c>
      <c r="AH4163">
        <v>16.862335269196102</v>
      </c>
      <c r="AI4163">
        <v>93.775039733715005</v>
      </c>
      <c r="AJ4163">
        <v>85.075455588593499</v>
      </c>
      <c r="AK4163">
        <v>16.9616138287812</v>
      </c>
      <c r="AL4163">
        <v>79.941435443970903</v>
      </c>
      <c r="AM4163">
        <v>85.860432563020098</v>
      </c>
      <c r="AN4163">
        <v>0.999999986039524</v>
      </c>
    </row>
    <row r="4164" spans="1:40" x14ac:dyDescent="0.25">
      <c r="A4164" t="str">
        <f>"20190303170622897"</f>
        <v>20190303170622897</v>
      </c>
      <c r="B4164" t="str">
        <f>"1551603982889372"</f>
        <v>1551603982889372</v>
      </c>
      <c r="C4164" t="s">
        <v>40</v>
      </c>
      <c r="D4164">
        <v>6.2698600000000004</v>
      </c>
      <c r="E4164">
        <v>0.50920580000000004</v>
      </c>
      <c r="F4164" t="s">
        <v>41</v>
      </c>
      <c r="G4164">
        <v>-421.97770000000003</v>
      </c>
      <c r="H4164" s="1">
        <v>-3.9879899999999999E-6</v>
      </c>
      <c r="I4164">
        <v>67.674819999999997</v>
      </c>
      <c r="J4164">
        <v>-420.54109999999997</v>
      </c>
      <c r="K4164">
        <v>1.117343</v>
      </c>
      <c r="L4164">
        <v>85.133610000000004</v>
      </c>
      <c r="M4164">
        <v>-1.908973E-3</v>
      </c>
      <c r="N4164">
        <v>-1.4580890000000001E-2</v>
      </c>
      <c r="O4164">
        <v>-0.99989220000000001</v>
      </c>
      <c r="P4164">
        <v>-6.9068309999999994E-2</v>
      </c>
      <c r="Q4164">
        <v>0.16476009999999999</v>
      </c>
      <c r="R4164">
        <v>-0.98391280000000003</v>
      </c>
      <c r="S4164">
        <v>-0.246582</v>
      </c>
      <c r="T4164">
        <v>-0.1914942</v>
      </c>
      <c r="U4164">
        <v>-3.061096</v>
      </c>
      <c r="V4164">
        <v>6.8682569999999998E-2</v>
      </c>
      <c r="W4164">
        <v>0.17852399999999999</v>
      </c>
      <c r="X4164">
        <v>0.98153550000000001</v>
      </c>
      <c r="Y4164">
        <v>7.8255099999999994E-2</v>
      </c>
      <c r="Z4164">
        <v>4.7681040000000001E-2</v>
      </c>
      <c r="AA4164">
        <v>0.99579240000000002</v>
      </c>
      <c r="AB4164">
        <v>41</v>
      </c>
      <c r="AC4164">
        <v>-1.4366000000000501</v>
      </c>
      <c r="AD4164">
        <v>-1.11734698799</v>
      </c>
      <c r="AE4164">
        <v>-17.45879</v>
      </c>
      <c r="AF4164">
        <v>1.39757966184697</v>
      </c>
      <c r="AG4164">
        <v>-1.11734698799</v>
      </c>
      <c r="AH4164">
        <v>17.390749426729801</v>
      </c>
      <c r="AI4164">
        <v>93.664391002876201</v>
      </c>
      <c r="AJ4164">
        <v>85.405390757848593</v>
      </c>
      <c r="AK4164">
        <v>17.482558703636101</v>
      </c>
      <c r="AL4164">
        <v>79.716201493769404</v>
      </c>
      <c r="AM4164">
        <v>85.997274348865503</v>
      </c>
      <c r="AN4164">
        <v>1.00000002587902</v>
      </c>
    </row>
    <row r="4165" spans="1:40" x14ac:dyDescent="0.25">
      <c r="A4165" t="str">
        <f>"20190303170622917"</f>
        <v>20190303170622917</v>
      </c>
      <c r="B4165" t="str">
        <f>"1551603982908891"</f>
        <v>1551603982908891</v>
      </c>
      <c r="C4165" t="s">
        <v>40</v>
      </c>
      <c r="D4165">
        <v>6.2585040000000003</v>
      </c>
      <c r="E4165">
        <v>0.50891070000000005</v>
      </c>
      <c r="F4165" t="s">
        <v>41</v>
      </c>
      <c r="G4165">
        <v>-422.0428</v>
      </c>
      <c r="H4165" s="1">
        <v>-3.297823E-6</v>
      </c>
      <c r="I4165">
        <v>66.009439999999998</v>
      </c>
      <c r="J4165">
        <v>-420.5428</v>
      </c>
      <c r="K4165">
        <v>1.117904</v>
      </c>
      <c r="L4165">
        <v>84.743099999999998</v>
      </c>
      <c r="M4165">
        <v>-2.6431610000000002E-3</v>
      </c>
      <c r="N4165">
        <v>-1.4553109999999999E-2</v>
      </c>
      <c r="O4165">
        <v>-0.99989059999999996</v>
      </c>
      <c r="P4165">
        <v>-6.7787959999999994E-2</v>
      </c>
      <c r="Q4165">
        <v>0.16962149999999901</v>
      </c>
      <c r="R4165">
        <v>-0.98317520000000003</v>
      </c>
      <c r="S4165">
        <v>-0.240448</v>
      </c>
      <c r="T4165">
        <v>-0.17890790000000001</v>
      </c>
      <c r="U4165">
        <v>-3.0621339999999999</v>
      </c>
      <c r="V4165">
        <v>6.6493120000000003E-2</v>
      </c>
      <c r="W4165">
        <v>0.18344659999999999</v>
      </c>
      <c r="X4165">
        <v>0.98077829999999999</v>
      </c>
      <c r="Y4165">
        <v>7.5531959999999995E-2</v>
      </c>
      <c r="Z4165">
        <v>4.3620560000000003E-2</v>
      </c>
      <c r="AA4165">
        <v>0.99618879999999999</v>
      </c>
      <c r="AB4165">
        <v>41</v>
      </c>
      <c r="AC4165">
        <v>-1.5</v>
      </c>
      <c r="AD4165">
        <v>-1.117907297823</v>
      </c>
      <c r="AE4165">
        <v>-18.73366</v>
      </c>
      <c r="AF4165">
        <v>1.44535936456669</v>
      </c>
      <c r="AG4165">
        <v>-1.117907297823</v>
      </c>
      <c r="AH4165">
        <v>18.671494933328599</v>
      </c>
      <c r="AI4165">
        <v>93.416150151394305</v>
      </c>
      <c r="AJ4165">
        <v>85.5735643801534</v>
      </c>
      <c r="AK4165">
        <v>18.760690378144002</v>
      </c>
      <c r="AL4165">
        <v>79.429421087485593</v>
      </c>
      <c r="AM4165">
        <v>86.121494342148793</v>
      </c>
      <c r="AN4165">
        <v>1.0000000319048901</v>
      </c>
    </row>
    <row r="4166" spans="1:40" x14ac:dyDescent="0.25">
      <c r="A4166" t="str">
        <f>"20190303170622941"</f>
        <v>20190303170622941</v>
      </c>
      <c r="B4166" t="str">
        <f>"1551603982929388"</f>
        <v>1551603982929388</v>
      </c>
      <c r="C4166" t="s">
        <v>40</v>
      </c>
      <c r="D4166">
        <v>6.2518630000000002</v>
      </c>
      <c r="E4166">
        <v>0.50861820000000002</v>
      </c>
      <c r="F4166" t="s">
        <v>41</v>
      </c>
      <c r="G4166">
        <v>-422.14949999999999</v>
      </c>
      <c r="H4166" s="1">
        <v>-2.3436840000000001E-6</v>
      </c>
      <c r="I4166">
        <v>63.719099999999997</v>
      </c>
      <c r="J4166">
        <v>-420.54489999999998</v>
      </c>
      <c r="K4166">
        <v>1.1184179999999999</v>
      </c>
      <c r="L4166">
        <v>84.324190000000002</v>
      </c>
      <c r="M4166">
        <v>-3.2521389999999998E-3</v>
      </c>
      <c r="N4166">
        <v>-1.45249E-2</v>
      </c>
      <c r="O4166">
        <v>-0.99988940000000004</v>
      </c>
      <c r="P4166">
        <v>-6.5548540000000002E-2</v>
      </c>
      <c r="Q4166">
        <v>0.17277049999999999</v>
      </c>
      <c r="R4166">
        <v>-0.98277870000000001</v>
      </c>
      <c r="S4166">
        <v>-0.23410030000000001</v>
      </c>
      <c r="T4166">
        <v>-0.162884</v>
      </c>
      <c r="U4166">
        <v>-3.0632929999999998</v>
      </c>
      <c r="V4166">
        <v>6.3459150000000006E-2</v>
      </c>
      <c r="W4166">
        <v>0.18665709999999999</v>
      </c>
      <c r="X4166">
        <v>0.98037339999999995</v>
      </c>
      <c r="Y4166">
        <v>7.2863499999999998E-2</v>
      </c>
      <c r="Z4166">
        <v>3.8441620000000003E-2</v>
      </c>
      <c r="AA4166">
        <v>0.99660079999999995</v>
      </c>
      <c r="AB4166">
        <v>41</v>
      </c>
      <c r="AC4166">
        <v>-1.6046</v>
      </c>
      <c r="AD4166">
        <v>-1.1184203436839999</v>
      </c>
      <c r="AE4166">
        <v>-20.605090000000001</v>
      </c>
      <c r="AF4166">
        <v>1.53308430325348</v>
      </c>
      <c r="AG4166">
        <v>-1.1184203436839999</v>
      </c>
      <c r="AH4166">
        <v>20.550020582003199</v>
      </c>
      <c r="AI4166">
        <v>93.106593007195897</v>
      </c>
      <c r="AJ4166">
        <v>85.733491158841503</v>
      </c>
      <c r="AK4166">
        <v>20.637455208111401</v>
      </c>
      <c r="AL4166">
        <v>79.242239380897303</v>
      </c>
      <c r="AM4166">
        <v>86.296435525141305</v>
      </c>
      <c r="AN4166">
        <v>0.99999997006334496</v>
      </c>
    </row>
    <row r="4167" spans="1:40" x14ac:dyDescent="0.25">
      <c r="A4167" t="str">
        <f>"20190303170622963"</f>
        <v>20190303170622963</v>
      </c>
      <c r="B4167" t="str">
        <f>"1551603982948908"</f>
        <v>1551603982948908</v>
      </c>
      <c r="C4167" t="s">
        <v>40</v>
      </c>
      <c r="D4167">
        <v>6.2906879999999896</v>
      </c>
      <c r="E4167">
        <v>0.50836519999999996</v>
      </c>
      <c r="F4167" t="s">
        <v>41</v>
      </c>
      <c r="G4167">
        <v>-422.20400000000001</v>
      </c>
      <c r="H4167" s="1">
        <v>-1.5334469999999901E-6</v>
      </c>
      <c r="I4167">
        <v>61.796610000000001</v>
      </c>
      <c r="J4167">
        <v>-420.5471</v>
      </c>
      <c r="K4167">
        <v>1.118843</v>
      </c>
      <c r="L4167">
        <v>83.914059999999907</v>
      </c>
      <c r="M4167">
        <v>-3.7413899999999998E-3</v>
      </c>
      <c r="N4167">
        <v>-1.449891E-2</v>
      </c>
      <c r="O4167">
        <v>-0.99988809999999995</v>
      </c>
      <c r="P4167">
        <v>-6.1809740000000002E-2</v>
      </c>
      <c r="Q4167">
        <v>0.17480039999999999</v>
      </c>
      <c r="R4167">
        <v>-0.98266220000000004</v>
      </c>
      <c r="S4167">
        <v>-0.2256775</v>
      </c>
      <c r="T4167">
        <v>-0.15213080000000001</v>
      </c>
      <c r="U4167">
        <v>-3.06427</v>
      </c>
      <c r="V4167">
        <v>5.9066529999999999E-2</v>
      </c>
      <c r="W4167">
        <v>0.18874270000000001</v>
      </c>
      <c r="X4167">
        <v>0.98024860000000003</v>
      </c>
      <c r="Y4167">
        <v>6.9639709999999994E-2</v>
      </c>
      <c r="Z4167">
        <v>3.4973780000000003E-2</v>
      </c>
      <c r="AA4167">
        <v>0.99695900000000004</v>
      </c>
      <c r="AB4167">
        <v>41</v>
      </c>
      <c r="AC4167">
        <v>-1.6569</v>
      </c>
      <c r="AD4167">
        <v>-1.1188445334469901</v>
      </c>
      <c r="AE4167">
        <v>-22.117449999999899</v>
      </c>
      <c r="AF4167">
        <v>1.5701341714846999</v>
      </c>
      <c r="AG4167">
        <v>-1.1188445334469901</v>
      </c>
      <c r="AH4167">
        <v>22.067339867127</v>
      </c>
      <c r="AI4167">
        <v>92.895182761669702</v>
      </c>
      <c r="AJ4167">
        <v>85.930152553054299</v>
      </c>
      <c r="AK4167">
        <v>22.151402285584101</v>
      </c>
      <c r="AL4167">
        <v>79.120581186663998</v>
      </c>
      <c r="AM4167">
        <v>86.551715715501004</v>
      </c>
      <c r="AN4167">
        <v>0.999999989785745</v>
      </c>
    </row>
    <row r="4168" spans="1:40" x14ac:dyDescent="0.25">
      <c r="A4168" t="str">
        <f>"20190303170622986"</f>
        <v>20190303170622986</v>
      </c>
      <c r="B4168" t="str">
        <f>"1551603982979164"</f>
        <v>1551603982979164</v>
      </c>
      <c r="C4168" t="s">
        <v>40</v>
      </c>
      <c r="D4168">
        <v>6.2861649999999996</v>
      </c>
      <c r="E4168">
        <v>0.50803120000000002</v>
      </c>
      <c r="F4168" t="s">
        <v>41</v>
      </c>
      <c r="G4168">
        <v>-422.17790000000002</v>
      </c>
      <c r="H4168" s="1">
        <v>-8.9934629999999898E-7</v>
      </c>
      <c r="I4168">
        <v>60.334719999999997</v>
      </c>
      <c r="J4168">
        <v>-420.5496</v>
      </c>
      <c r="K4168">
        <v>1.119216</v>
      </c>
      <c r="L4168">
        <v>83.480530000000002</v>
      </c>
      <c r="M4168">
        <v>-4.1934870000000001E-3</v>
      </c>
      <c r="N4168">
        <v>-1.447355E-2</v>
      </c>
      <c r="O4168">
        <v>-0.99988659999999996</v>
      </c>
      <c r="P4168">
        <v>-5.8301459999999999E-2</v>
      </c>
      <c r="Q4168">
        <v>0.1764715</v>
      </c>
      <c r="R4168">
        <v>-0.98257779999999995</v>
      </c>
      <c r="S4168">
        <v>-0.21200559999999999</v>
      </c>
      <c r="T4168">
        <v>-0.14545659999999999</v>
      </c>
      <c r="U4168">
        <v>-3.0654599999999999</v>
      </c>
      <c r="V4168">
        <v>5.4959979999999999E-2</v>
      </c>
      <c r="W4168">
        <v>0.1904544</v>
      </c>
      <c r="X4168">
        <v>0.98015640000000004</v>
      </c>
      <c r="Y4168">
        <v>6.4744019999999999E-2</v>
      </c>
      <c r="Z4168">
        <v>3.282997E-2</v>
      </c>
      <c r="AA4168">
        <v>0.99736170000000002</v>
      </c>
      <c r="AB4168">
        <v>41</v>
      </c>
      <c r="AC4168">
        <v>-1.6283000000000201</v>
      </c>
      <c r="AD4168">
        <v>-1.1192168993463001</v>
      </c>
      <c r="AE4168">
        <v>-23.145810000000001</v>
      </c>
      <c r="AF4168">
        <v>1.52765947255982</v>
      </c>
      <c r="AG4168">
        <v>-1.1192168993463001</v>
      </c>
      <c r="AH4168">
        <v>23.098691772129602</v>
      </c>
      <c r="AI4168">
        <v>92.767984967215199</v>
      </c>
      <c r="AJ4168">
        <v>86.216185803636094</v>
      </c>
      <c r="AK4168">
        <v>23.176193637345499</v>
      </c>
      <c r="AL4168">
        <v>79.020696613630093</v>
      </c>
      <c r="AM4168">
        <v>86.790633788967995</v>
      </c>
      <c r="AN4168">
        <v>1.00000002317096</v>
      </c>
    </row>
    <row r="4169" spans="1:40" x14ac:dyDescent="0.25">
      <c r="A4169" t="str">
        <f>"20190303170623009"</f>
        <v>20190303170623009</v>
      </c>
      <c r="B4169" t="str">
        <f>"1551603982999659"</f>
        <v>1551603982999659</v>
      </c>
      <c r="C4169" t="s">
        <v>40</v>
      </c>
      <c r="D4169">
        <v>6.2899039999999999</v>
      </c>
      <c r="E4169">
        <v>0.5078802</v>
      </c>
      <c r="F4169" t="s">
        <v>41</v>
      </c>
      <c r="G4169">
        <v>-422.12060000000002</v>
      </c>
      <c r="H4169" s="1">
        <v>-4.4879059999999996E-6</v>
      </c>
      <c r="I4169">
        <v>59.06935</v>
      </c>
      <c r="J4169">
        <v>-420.5521</v>
      </c>
      <c r="K4169">
        <v>1.119505</v>
      </c>
      <c r="L4169">
        <v>83.082610000000003</v>
      </c>
      <c r="M4169">
        <v>-4.5822199999999997E-3</v>
      </c>
      <c r="N4169">
        <v>-1.4452069999999999E-2</v>
      </c>
      <c r="O4169">
        <v>-0.99988509999999997</v>
      </c>
      <c r="P4169">
        <v>-5.6052060000000001E-2</v>
      </c>
      <c r="Q4169">
        <v>0.17853459999999999</v>
      </c>
      <c r="R4169">
        <v>-0.98233590000000004</v>
      </c>
      <c r="S4169">
        <v>-0.19735720000000001</v>
      </c>
      <c r="T4169">
        <v>-0.14060599999999901</v>
      </c>
      <c r="U4169">
        <v>-3.0667420000000001</v>
      </c>
      <c r="V4169">
        <v>5.2212580000000001E-2</v>
      </c>
      <c r="W4169">
        <v>0.19253790000000001</v>
      </c>
      <c r="X4169">
        <v>0.97989950000000003</v>
      </c>
      <c r="Y4169">
        <v>5.9589950000000003E-2</v>
      </c>
      <c r="Z4169">
        <v>3.1272399999999999E-2</v>
      </c>
      <c r="AA4169">
        <v>0.99773299999999998</v>
      </c>
      <c r="AB4169">
        <v>41</v>
      </c>
      <c r="AC4169">
        <v>-1.56850000000002</v>
      </c>
      <c r="AD4169">
        <v>-1.1195094879059999</v>
      </c>
      <c r="AE4169">
        <v>-24.013259999999999</v>
      </c>
      <c r="AF4169">
        <v>1.45528841505123</v>
      </c>
      <c r="AG4169">
        <v>-1.1195094879059999</v>
      </c>
      <c r="AH4169">
        <v>23.968322732667101</v>
      </c>
      <c r="AI4169">
        <v>92.669312027417305</v>
      </c>
      <c r="AJ4169">
        <v>86.525428722562197</v>
      </c>
      <c r="AK4169">
        <v>24.0385453071058</v>
      </c>
      <c r="AL4169">
        <v>78.899069823022103</v>
      </c>
      <c r="AM4169">
        <v>86.949958512294401</v>
      </c>
      <c r="AN4169">
        <v>1.0000000132734499</v>
      </c>
    </row>
    <row r="4170" spans="1:40" x14ac:dyDescent="0.25">
      <c r="A4170" t="str">
        <f>"20190303170623030"</f>
        <v>20190303170623030</v>
      </c>
      <c r="B4170" t="str">
        <f>"1551603983019180"</f>
        <v>1551603983019180</v>
      </c>
      <c r="C4170" t="s">
        <v>40</v>
      </c>
      <c r="D4170">
        <v>6.2695249999999998</v>
      </c>
      <c r="E4170">
        <v>0.50781709999999902</v>
      </c>
      <c r="F4170" t="s">
        <v>41</v>
      </c>
      <c r="G4170">
        <v>-422.10820000000001</v>
      </c>
      <c r="H4170" s="1">
        <v>-4.0055360000000002E-6</v>
      </c>
      <c r="I4170">
        <v>57.65831</v>
      </c>
      <c r="J4170">
        <v>-420.55459999999999</v>
      </c>
      <c r="K4170">
        <v>1.1197539999999999</v>
      </c>
      <c r="L4170">
        <v>82.68347</v>
      </c>
      <c r="M4170">
        <v>-4.9596019999999996E-3</v>
      </c>
      <c r="N4170">
        <v>-1.443242E-2</v>
      </c>
      <c r="O4170">
        <v>-0.99988370000000004</v>
      </c>
      <c r="P4170">
        <v>-5.3359700000000003E-2</v>
      </c>
      <c r="Q4170">
        <v>0.18029829999999999</v>
      </c>
      <c r="R4170">
        <v>-0.98216380000000003</v>
      </c>
      <c r="S4170">
        <v>-0.18777469999999999</v>
      </c>
      <c r="T4170">
        <v>-0.1350837</v>
      </c>
      <c r="U4170">
        <v>-3.06778</v>
      </c>
      <c r="V4170">
        <v>4.9051619999999997E-2</v>
      </c>
      <c r="W4170">
        <v>0.19431660000000001</v>
      </c>
      <c r="X4170">
        <v>0.97971169999999996</v>
      </c>
      <c r="Y4170">
        <v>5.609252E-2</v>
      </c>
      <c r="Z4170">
        <v>2.9493109999999999E-2</v>
      </c>
      <c r="AA4170">
        <v>0.99798989999999999</v>
      </c>
      <c r="AB4170">
        <v>41</v>
      </c>
      <c r="AC4170">
        <v>-1.5536000000000101</v>
      </c>
      <c r="AD4170">
        <v>-1.1197580055359999</v>
      </c>
      <c r="AE4170">
        <v>-25.02516</v>
      </c>
      <c r="AF4170">
        <v>1.4266078418955801</v>
      </c>
      <c r="AG4170">
        <v>-1.1197580055359999</v>
      </c>
      <c r="AH4170">
        <v>24.9827312849165</v>
      </c>
      <c r="AI4170">
        <v>92.562184107560896</v>
      </c>
      <c r="AJ4170">
        <v>86.731745005507307</v>
      </c>
      <c r="AK4170">
        <v>25.048471617642999</v>
      </c>
      <c r="AL4170">
        <v>78.795196060476897</v>
      </c>
      <c r="AM4170">
        <v>87.133742539727805</v>
      </c>
      <c r="AN4170">
        <v>1.0000000087885299</v>
      </c>
    </row>
    <row r="4171" spans="1:40" x14ac:dyDescent="0.25">
      <c r="A4171" t="str">
        <f>"20190303170623066"</f>
        <v>20190303170623066</v>
      </c>
      <c r="B4171" t="str">
        <f>"1551603983059196"</f>
        <v>1551603983059196</v>
      </c>
      <c r="C4171" t="s">
        <v>40</v>
      </c>
      <c r="D4171">
        <v>6.2804549999999999</v>
      </c>
      <c r="E4171">
        <v>0.50784490000000004</v>
      </c>
      <c r="F4171" t="s">
        <v>41</v>
      </c>
      <c r="G4171">
        <v>-422.077</v>
      </c>
      <c r="H4171" s="1">
        <v>-3.4999749999999999E-6</v>
      </c>
      <c r="I4171">
        <v>56.459400000000002</v>
      </c>
      <c r="J4171">
        <v>-420.55869999999999</v>
      </c>
      <c r="K4171">
        <v>1.120045</v>
      </c>
      <c r="L4171">
        <v>82.049930000000003</v>
      </c>
      <c r="M4171">
        <v>-5.5500599999999999E-3</v>
      </c>
      <c r="N4171">
        <v>-1.440488E-2</v>
      </c>
      <c r="O4171">
        <v>-0.99988109999999997</v>
      </c>
      <c r="P4171">
        <v>-5.0959009999999999E-2</v>
      </c>
      <c r="Q4171">
        <v>0.1825156</v>
      </c>
      <c r="R4171">
        <v>-0.98188180000000003</v>
      </c>
      <c r="S4171">
        <v>-0.1781616</v>
      </c>
      <c r="T4171">
        <v>-0.1310385</v>
      </c>
      <c r="U4171">
        <v>-3.068848</v>
      </c>
      <c r="V4171">
        <v>4.594873E-2</v>
      </c>
      <c r="W4171">
        <v>0.19654170000000001</v>
      </c>
      <c r="X4171">
        <v>0.97941820000000002</v>
      </c>
      <c r="Y4171">
        <v>5.2370559999999997E-2</v>
      </c>
      <c r="Z4171">
        <v>2.8200800000000002E-2</v>
      </c>
      <c r="AA4171">
        <v>0.99822940000000004</v>
      </c>
      <c r="AB4171">
        <v>41</v>
      </c>
      <c r="AC4171">
        <v>-1.51830000000001</v>
      </c>
      <c r="AD4171">
        <v>-1.120048499975</v>
      </c>
      <c r="AE4171">
        <v>-25.590529999999902</v>
      </c>
      <c r="AF4171">
        <v>1.3736108118498001</v>
      </c>
      <c r="AG4171">
        <v>-1.120048499975</v>
      </c>
      <c r="AH4171">
        <v>25.549790658103401</v>
      </c>
      <c r="AI4171">
        <v>92.506502916505994</v>
      </c>
      <c r="AJ4171">
        <v>86.922620284630199</v>
      </c>
      <c r="AK4171">
        <v>25.611191264321</v>
      </c>
      <c r="AL4171">
        <v>78.6652001286553</v>
      </c>
      <c r="AM4171">
        <v>87.313977430422796</v>
      </c>
      <c r="AN4171">
        <v>0.99999996805936997</v>
      </c>
    </row>
    <row r="4172" spans="1:40" x14ac:dyDescent="0.25">
      <c r="A4172" t="str">
        <f>"20190303170623086"</f>
        <v>20190303170623086</v>
      </c>
      <c r="B4172" t="str">
        <f>"1551603983079692"</f>
        <v>1551603983079692</v>
      </c>
      <c r="C4172" t="s">
        <v>40</v>
      </c>
      <c r="D4172">
        <v>6.2805229999999996</v>
      </c>
      <c r="E4172">
        <v>0.5079709</v>
      </c>
      <c r="F4172" t="s">
        <v>41</v>
      </c>
      <c r="G4172">
        <v>-422.06479999999999</v>
      </c>
      <c r="H4172" s="1">
        <v>-2.862167E-6</v>
      </c>
      <c r="I4172">
        <v>54.980249999999998</v>
      </c>
      <c r="J4172">
        <v>-420.56139999999999</v>
      </c>
      <c r="K4172">
        <v>1.12018</v>
      </c>
      <c r="L4172">
        <v>81.662809999999993</v>
      </c>
      <c r="M4172">
        <v>-5.9070709999999998E-3</v>
      </c>
      <c r="N4172">
        <v>-1.4390180000000001E-2</v>
      </c>
      <c r="O4172">
        <v>-0.99987919999999997</v>
      </c>
      <c r="P4172">
        <v>-4.9187340000000003E-2</v>
      </c>
      <c r="Q4172">
        <v>0.18524889999999999</v>
      </c>
      <c r="R4172">
        <v>-0.9814602</v>
      </c>
      <c r="S4172">
        <v>-0.17080689999999901</v>
      </c>
      <c r="T4172">
        <v>-0.1270299</v>
      </c>
      <c r="U4172">
        <v>-3.0700989999999999</v>
      </c>
      <c r="V4172">
        <v>4.3776130000000003E-2</v>
      </c>
      <c r="W4172">
        <v>0.19927230000000001</v>
      </c>
      <c r="X4172">
        <v>0.97896589999999994</v>
      </c>
      <c r="Y4172">
        <v>4.9610219999999997E-2</v>
      </c>
      <c r="Z4172">
        <v>2.6902909999999999E-2</v>
      </c>
      <c r="AA4172">
        <v>0.99840620000000002</v>
      </c>
      <c r="AB4172">
        <v>41</v>
      </c>
      <c r="AC4172">
        <v>-1.5033999999999901</v>
      </c>
      <c r="AD4172">
        <v>-1.120182862167</v>
      </c>
      <c r="AE4172">
        <v>-26.682559999999899</v>
      </c>
      <c r="AF4172">
        <v>1.3433815140252701</v>
      </c>
      <c r="AG4172">
        <v>-1.120182862167</v>
      </c>
      <c r="AH4172">
        <v>26.644164929440599</v>
      </c>
      <c r="AI4172">
        <v>92.404379932708906</v>
      </c>
      <c r="AJ4172">
        <v>87.113628129739695</v>
      </c>
      <c r="AK4172">
        <v>26.7015169667221</v>
      </c>
      <c r="AL4172">
        <v>78.505591837222994</v>
      </c>
      <c r="AM4172">
        <v>87.439627143014604</v>
      </c>
      <c r="AN4172">
        <v>1.00000001623393</v>
      </c>
    </row>
    <row r="4173" spans="1:40" x14ac:dyDescent="0.25">
      <c r="A4173" t="str">
        <f>"20190303170623108"</f>
        <v>20190303170623108</v>
      </c>
      <c r="B4173" t="str">
        <f>"1551603983099212"</f>
        <v>1551603983099212</v>
      </c>
      <c r="C4173" t="s">
        <v>40</v>
      </c>
      <c r="D4173">
        <v>6.2525110000000002</v>
      </c>
      <c r="E4173">
        <v>0.50809870000000001</v>
      </c>
      <c r="F4173" t="s">
        <v>41</v>
      </c>
      <c r="G4173">
        <v>-422.10070000000002</v>
      </c>
      <c r="H4173" s="1">
        <v>-2.0643790000000001E-6</v>
      </c>
      <c r="I4173">
        <v>53.098320000000001</v>
      </c>
      <c r="J4173">
        <v>-420.5643</v>
      </c>
      <c r="K4173">
        <v>1.120303</v>
      </c>
      <c r="L4173">
        <v>81.255250000000004</v>
      </c>
      <c r="M4173">
        <v>-6.2792550000000001E-3</v>
      </c>
      <c r="N4173">
        <v>-1.437624E-2</v>
      </c>
      <c r="O4173">
        <v>-0.99987720000000002</v>
      </c>
      <c r="P4173">
        <v>-4.8141169999999997E-2</v>
      </c>
      <c r="Q4173">
        <v>0.1869247</v>
      </c>
      <c r="R4173">
        <v>-0.98119429999999996</v>
      </c>
      <c r="S4173">
        <v>-0.165496799999999</v>
      </c>
      <c r="T4173">
        <v>-0.1204361</v>
      </c>
      <c r="U4173">
        <v>-3.0711059999999999</v>
      </c>
      <c r="V4173">
        <v>4.2320940000000001E-2</v>
      </c>
      <c r="W4173">
        <v>0.20094339999999999</v>
      </c>
      <c r="X4173">
        <v>0.97868820000000001</v>
      </c>
      <c r="Y4173">
        <v>4.750364E-2</v>
      </c>
      <c r="Z4173">
        <v>2.4767310000000001E-2</v>
      </c>
      <c r="AA4173">
        <v>0.99856389999999995</v>
      </c>
      <c r="AB4173">
        <v>41</v>
      </c>
      <c r="AC4173">
        <v>-1.53640000000001</v>
      </c>
      <c r="AD4173">
        <v>-1.120305064379</v>
      </c>
      <c r="AE4173">
        <v>-28.156929999999999</v>
      </c>
      <c r="AF4173">
        <v>1.35740443666193</v>
      </c>
      <c r="AG4173">
        <v>-1.120305064379</v>
      </c>
      <c r="AH4173">
        <v>28.1216366666163</v>
      </c>
      <c r="AI4173">
        <v>92.278683132512</v>
      </c>
      <c r="AJ4173">
        <v>87.236532532031902</v>
      </c>
      <c r="AK4173">
        <v>28.176658408177499</v>
      </c>
      <c r="AL4173">
        <v>78.407867529542202</v>
      </c>
      <c r="AM4173">
        <v>87.523928925107995</v>
      </c>
      <c r="AN4173">
        <v>0.99999995239263995</v>
      </c>
    </row>
    <row r="4174" spans="1:40" x14ac:dyDescent="0.25">
      <c r="A4174" t="str">
        <f>"20190303170623130"</f>
        <v>20190303170623130</v>
      </c>
      <c r="B4174" t="str">
        <f>"1551603983119708"</f>
        <v>1551603983119708</v>
      </c>
      <c r="C4174" t="s">
        <v>40</v>
      </c>
      <c r="D4174">
        <v>6.2380779999999998</v>
      </c>
      <c r="E4174">
        <v>0.50824279999999999</v>
      </c>
      <c r="F4174" t="s">
        <v>41</v>
      </c>
      <c r="G4174">
        <v>-422.1293</v>
      </c>
      <c r="H4174" s="1">
        <v>-1.461205E-6</v>
      </c>
      <c r="I4174">
        <v>51.674570000000003</v>
      </c>
      <c r="J4174">
        <v>-420.56729999999999</v>
      </c>
      <c r="K4174">
        <v>1.1204000000000001</v>
      </c>
      <c r="L4174">
        <v>80.855440000000002</v>
      </c>
      <c r="M4174">
        <v>-6.6390149999999998E-3</v>
      </c>
      <c r="N4174">
        <v>-1.4363890000000001E-2</v>
      </c>
      <c r="O4174">
        <v>-0.99987490000000001</v>
      </c>
      <c r="P4174">
        <v>-4.6523200000000001E-2</v>
      </c>
      <c r="Q4174">
        <v>0.1885416</v>
      </c>
      <c r="R4174">
        <v>-0.98096289999999997</v>
      </c>
      <c r="S4174">
        <v>-0.16250609999999999</v>
      </c>
      <c r="T4174">
        <v>-0.11633350000000001</v>
      </c>
      <c r="U4174">
        <v>-3.0716860000000001</v>
      </c>
      <c r="V4174">
        <v>4.0317680000000002E-2</v>
      </c>
      <c r="W4174">
        <v>0.2025556</v>
      </c>
      <c r="X4174">
        <v>0.97844050000000005</v>
      </c>
      <c r="Y4174">
        <v>4.616725E-2</v>
      </c>
      <c r="Z4174">
        <v>2.3442899999999999E-2</v>
      </c>
      <c r="AA4174">
        <v>0.99865859999999995</v>
      </c>
      <c r="AB4174">
        <v>41</v>
      </c>
      <c r="AC4174">
        <v>-1.56200000000001</v>
      </c>
      <c r="AD4174">
        <v>-1.1204014612049999</v>
      </c>
      <c r="AE4174">
        <v>-29.180869999999999</v>
      </c>
      <c r="AF4174">
        <v>1.3662050876073699</v>
      </c>
      <c r="AG4174">
        <v>-1.1204014612049999</v>
      </c>
      <c r="AH4174">
        <v>29.1477516743909</v>
      </c>
      <c r="AI4174">
        <v>92.198879388485096</v>
      </c>
      <c r="AJ4174">
        <v>87.316412687230894</v>
      </c>
      <c r="AK4174">
        <v>29.201254141691098</v>
      </c>
      <c r="AL4174">
        <v>78.313557090465395</v>
      </c>
      <c r="AM4174">
        <v>87.640401432656205</v>
      </c>
      <c r="AN4174">
        <v>1.0000000492260901</v>
      </c>
    </row>
    <row r="4175" spans="1:40" x14ac:dyDescent="0.25">
      <c r="A4175" t="str">
        <f>"20190303170623153"</f>
        <v>20190303170623153</v>
      </c>
      <c r="B4175" t="str">
        <f>"1551603983139228"</f>
        <v>1551603983139228</v>
      </c>
      <c r="C4175" t="s">
        <v>40</v>
      </c>
      <c r="D4175">
        <v>6.2405589999999904</v>
      </c>
      <c r="E4175">
        <v>0.50841359999999902</v>
      </c>
      <c r="F4175" t="s">
        <v>41</v>
      </c>
      <c r="G4175">
        <v>-422.14589999999998</v>
      </c>
      <c r="H4175" s="1">
        <v>-9.0784639999999998E-7</v>
      </c>
      <c r="I4175">
        <v>50.374380000000002</v>
      </c>
      <c r="J4175">
        <v>-420.57049999999998</v>
      </c>
      <c r="K4175">
        <v>1.120474</v>
      </c>
      <c r="L4175">
        <v>80.435819999999893</v>
      </c>
      <c r="M4175">
        <v>-7.0102860000000001E-3</v>
      </c>
      <c r="N4175">
        <v>-1.4352190000000001E-2</v>
      </c>
      <c r="O4175">
        <v>-0.99987239999999999</v>
      </c>
      <c r="P4175">
        <v>-4.36794E-2</v>
      </c>
      <c r="Q4175">
        <v>0.1911718</v>
      </c>
      <c r="R4175">
        <v>-0.98058409999999996</v>
      </c>
      <c r="S4175">
        <v>-0.1591187</v>
      </c>
      <c r="T4175">
        <v>-0.1129315</v>
      </c>
      <c r="U4175">
        <v>-3.0723569999999998</v>
      </c>
      <c r="V4175">
        <v>3.70874E-2</v>
      </c>
      <c r="W4175">
        <v>0.20517869999999999</v>
      </c>
      <c r="X4175">
        <v>0.97802160000000005</v>
      </c>
      <c r="Y4175">
        <v>4.468892E-2</v>
      </c>
      <c r="Z4175">
        <v>2.234452E-2</v>
      </c>
      <c r="AA4175">
        <v>0.99875100000000006</v>
      </c>
      <c r="AB4175">
        <v>41</v>
      </c>
      <c r="AC4175">
        <v>-1.5753999999999999</v>
      </c>
      <c r="AD4175">
        <v>-1.12047490784639</v>
      </c>
      <c r="AE4175">
        <v>-30.061439999999902</v>
      </c>
      <c r="AF4175">
        <v>1.3627122933984299</v>
      </c>
      <c r="AG4175">
        <v>-1.12047490784639</v>
      </c>
      <c r="AH4175">
        <v>30.030140788196402</v>
      </c>
      <c r="AI4175">
        <v>92.1346157711004</v>
      </c>
      <c r="AJ4175">
        <v>87.4018058101192</v>
      </c>
      <c r="AK4175">
        <v>30.081918232928398</v>
      </c>
      <c r="AL4175">
        <v>78.160039971601506</v>
      </c>
      <c r="AM4175">
        <v>87.828336492801</v>
      </c>
      <c r="AN4175">
        <v>1.0000000121195001</v>
      </c>
    </row>
    <row r="4176" spans="1:40" x14ac:dyDescent="0.25">
      <c r="A4176" t="str">
        <f>"20190303170623176"</f>
        <v>20190303170623176</v>
      </c>
      <c r="B4176" t="str">
        <f>"1551603983169484"</f>
        <v>1551603983169484</v>
      </c>
      <c r="C4176" t="s">
        <v>40</v>
      </c>
      <c r="D4176">
        <v>6.235538</v>
      </c>
      <c r="E4176">
        <v>0.50874390000000003</v>
      </c>
      <c r="F4176" t="s">
        <v>41</v>
      </c>
      <c r="G4176">
        <v>-422.18099999999998</v>
      </c>
      <c r="H4176" s="1">
        <v>-4.1359020000000001E-6</v>
      </c>
      <c r="I4176">
        <v>48.003459999999997</v>
      </c>
      <c r="J4176">
        <v>-420.57380000000001</v>
      </c>
      <c r="K4176">
        <v>1.1205290000000001</v>
      </c>
      <c r="L4176">
        <v>80.015900000000002</v>
      </c>
      <c r="M4176">
        <v>-7.3775569999999999E-3</v>
      </c>
      <c r="N4176">
        <v>-1.4342000000000001E-2</v>
      </c>
      <c r="O4176">
        <v>-0.99986989999999998</v>
      </c>
      <c r="P4176">
        <v>-4.096545E-2</v>
      </c>
      <c r="Q4176">
        <v>0.1939739</v>
      </c>
      <c r="R4176">
        <v>-0.98015090000000005</v>
      </c>
      <c r="S4176">
        <v>-0.15261839999999999</v>
      </c>
      <c r="T4176">
        <v>-0.10617699999999999</v>
      </c>
      <c r="U4176">
        <v>-3.0733030000000001</v>
      </c>
      <c r="V4176">
        <v>3.3998430000000003E-2</v>
      </c>
      <c r="W4176">
        <v>0.2079724</v>
      </c>
      <c r="X4176">
        <v>0.97754370000000002</v>
      </c>
      <c r="Y4176">
        <v>4.220285E-2</v>
      </c>
      <c r="Z4176">
        <v>2.0155159999999998E-2</v>
      </c>
      <c r="AA4176">
        <v>0.99890570000000001</v>
      </c>
      <c r="AB4176">
        <v>41</v>
      </c>
      <c r="AC4176">
        <v>-1.60719999999997</v>
      </c>
      <c r="AD4176">
        <v>-1.1205331359020001</v>
      </c>
      <c r="AE4176">
        <v>-32.012439999999998</v>
      </c>
      <c r="AF4176">
        <v>1.36928490173246</v>
      </c>
      <c r="AG4176">
        <v>-1.1205331359020001</v>
      </c>
      <c r="AH4176">
        <v>31.984337924294302</v>
      </c>
      <c r="AI4176">
        <v>92.004633987151905</v>
      </c>
      <c r="AJ4176">
        <v>87.548601175683402</v>
      </c>
      <c r="AK4176">
        <v>32.033239113555403</v>
      </c>
      <c r="AL4176">
        <v>77.996444483343694</v>
      </c>
      <c r="AM4176">
        <v>88.008087319247196</v>
      </c>
      <c r="AN4176">
        <v>1.00000004890695</v>
      </c>
    </row>
    <row r="4177" spans="1:40" x14ac:dyDescent="0.25">
      <c r="A4177" t="str">
        <f>"20190303170623198"</f>
        <v>20190303170623198</v>
      </c>
      <c r="B4177" t="str">
        <f>"1551603983189004"</f>
        <v>1551603983189004</v>
      </c>
      <c r="C4177" t="s">
        <v>40</v>
      </c>
      <c r="D4177">
        <v>6.2180239999999998</v>
      </c>
      <c r="E4177">
        <v>0.50897159999999997</v>
      </c>
      <c r="F4177" t="s">
        <v>41</v>
      </c>
      <c r="G4177">
        <v>-422.2407</v>
      </c>
      <c r="H4177" s="1">
        <v>-3.1499020000000002E-6</v>
      </c>
      <c r="I4177">
        <v>45.541840000000001</v>
      </c>
      <c r="J4177">
        <v>-420.57709999999997</v>
      </c>
      <c r="K4177">
        <v>1.120573</v>
      </c>
      <c r="L4177">
        <v>79.61703</v>
      </c>
      <c r="M4177">
        <v>-7.72296099999999E-3</v>
      </c>
      <c r="N4177">
        <v>-1.4333429999999999E-2</v>
      </c>
      <c r="O4177">
        <v>-0.99986759999999997</v>
      </c>
      <c r="P4177">
        <v>-3.850199E-2</v>
      </c>
      <c r="Q4177">
        <v>0.19731879999999999</v>
      </c>
      <c r="R4177">
        <v>-0.97958330000000005</v>
      </c>
      <c r="S4177">
        <v>-0.14865110000000001</v>
      </c>
      <c r="T4177">
        <v>-9.9926230000000005E-2</v>
      </c>
      <c r="U4177">
        <v>-3.0743100000000001</v>
      </c>
      <c r="V4177">
        <v>3.1189270000000002E-2</v>
      </c>
      <c r="W4177">
        <v>0.21130599999999999</v>
      </c>
      <c r="X4177">
        <v>0.97692219999999996</v>
      </c>
      <c r="Y4177">
        <v>4.0558539999999997E-2</v>
      </c>
      <c r="Z4177">
        <v>1.8126179999999999E-2</v>
      </c>
      <c r="AA4177">
        <v>0.99901269999999998</v>
      </c>
      <c r="AB4177">
        <v>41</v>
      </c>
      <c r="AC4177">
        <v>-1.6636000000000299</v>
      </c>
      <c r="AD4177">
        <v>-1.1205761499019999</v>
      </c>
      <c r="AE4177">
        <v>-34.075189999999999</v>
      </c>
      <c r="AF4177">
        <v>1.3988528260129001</v>
      </c>
      <c r="AG4177">
        <v>-1.1205761499019999</v>
      </c>
      <c r="AH4177">
        <v>34.050286721617901</v>
      </c>
      <c r="AI4177">
        <v>91.883304785238394</v>
      </c>
      <c r="AJ4177">
        <v>87.647499423445197</v>
      </c>
      <c r="AK4177">
        <v>34.097426676524499</v>
      </c>
      <c r="AL4177">
        <v>77.801101722030694</v>
      </c>
      <c r="AM4177">
        <v>88.171393017103298</v>
      </c>
      <c r="AN4177">
        <v>0.99999999052598598</v>
      </c>
    </row>
    <row r="4178" spans="1:40" x14ac:dyDescent="0.25">
      <c r="A4178" t="str">
        <f>"20190303170623220"</f>
        <v>20190303170623220</v>
      </c>
      <c r="B4178" t="str">
        <f>"1551603983209500"</f>
        <v>1551603983209500</v>
      </c>
      <c r="C4178" t="s">
        <v>40</v>
      </c>
      <c r="D4178">
        <v>6.2065769999999896</v>
      </c>
      <c r="E4178">
        <v>0.50911899999999999</v>
      </c>
      <c r="F4178" t="s">
        <v>41</v>
      </c>
      <c r="G4178">
        <v>-422.34269999999998</v>
      </c>
      <c r="H4178" s="1">
        <v>-1.4729469999999999E-6</v>
      </c>
      <c r="I4178">
        <v>41.569609999999997</v>
      </c>
      <c r="J4178">
        <v>-420.58049999999997</v>
      </c>
      <c r="K4178">
        <v>1.120601</v>
      </c>
      <c r="L4178">
        <v>79.219539999999995</v>
      </c>
      <c r="M4178">
        <v>-8.0660539999999996E-3</v>
      </c>
      <c r="N4178">
        <v>-1.432576E-2</v>
      </c>
      <c r="O4178">
        <v>-0.99986489999999995</v>
      </c>
      <c r="P4178">
        <v>-3.6751190000000003E-2</v>
      </c>
      <c r="Q4178">
        <v>0.20006009999999999</v>
      </c>
      <c r="R4178">
        <v>-0.97909420000000003</v>
      </c>
      <c r="S4178">
        <v>-0.1427002</v>
      </c>
      <c r="T4178">
        <v>-9.0569849999999993E-2</v>
      </c>
      <c r="U4178">
        <v>-3.0751650000000001</v>
      </c>
      <c r="V4178">
        <v>2.909724E-2</v>
      </c>
      <c r="W4178">
        <v>0.21403639999999999</v>
      </c>
      <c r="X4178">
        <v>0.97639219999999904</v>
      </c>
      <c r="Y4178">
        <v>3.8277209999999999E-2</v>
      </c>
      <c r="Z4178">
        <v>1.509134E-2</v>
      </c>
      <c r="AA4178">
        <v>0.99915319999999996</v>
      </c>
      <c r="AB4178">
        <v>41</v>
      </c>
      <c r="AC4178">
        <v>-1.7622</v>
      </c>
      <c r="AD4178">
        <v>-1.1206024729470001</v>
      </c>
      <c r="AE4178">
        <v>-37.649929999999998</v>
      </c>
      <c r="AF4178">
        <v>1.4571371157513999</v>
      </c>
      <c r="AG4178">
        <v>-1.1206024729470001</v>
      </c>
      <c r="AH4178">
        <v>37.629657925378702</v>
      </c>
      <c r="AI4178">
        <v>91.704474207337995</v>
      </c>
      <c r="AJ4178">
        <v>87.782437587470298</v>
      </c>
      <c r="AK4178">
        <v>37.674529247987799</v>
      </c>
      <c r="AL4178">
        <v>77.640998577044797</v>
      </c>
      <c r="AM4178">
        <v>88.293046803921001</v>
      </c>
      <c r="AN4178">
        <v>0.99999997906070803</v>
      </c>
    </row>
    <row r="4179" spans="1:40" x14ac:dyDescent="0.25">
      <c r="A4179" t="str">
        <f>"20190303170623242"</f>
        <v>20190303170623242</v>
      </c>
      <c r="B4179" t="str">
        <f>"1551603983229020"</f>
        <v>1551603983229020</v>
      </c>
      <c r="C4179" t="s">
        <v>40</v>
      </c>
      <c r="D4179">
        <v>6.2338050000000003</v>
      </c>
      <c r="E4179">
        <v>0.51720200000000005</v>
      </c>
      <c r="F4179" t="s">
        <v>71</v>
      </c>
      <c r="G4179">
        <v>-422.43900000000002</v>
      </c>
      <c r="H4179" s="1">
        <v>-1.6170810000000001E-6</v>
      </c>
      <c r="I4179">
        <v>37.613289999999999</v>
      </c>
      <c r="J4179">
        <v>-420.58409999999998</v>
      </c>
      <c r="K4179">
        <v>1.120619</v>
      </c>
      <c r="L4179">
        <v>78.820189999999997</v>
      </c>
      <c r="M4179">
        <v>-8.4091879999999997E-3</v>
      </c>
      <c r="N4179">
        <v>-1.431873E-2</v>
      </c>
      <c r="O4179">
        <v>-0.99986200000000003</v>
      </c>
      <c r="P4179">
        <v>-3.6708690000000002E-2</v>
      </c>
      <c r="Q4179">
        <v>0.20242789999999999</v>
      </c>
      <c r="R4179">
        <v>-0.9786087</v>
      </c>
      <c r="S4179">
        <v>-0.13739009999999999</v>
      </c>
      <c r="T4179">
        <v>-8.2843070000000005E-2</v>
      </c>
      <c r="U4179">
        <v>-3.0758359999999998</v>
      </c>
      <c r="V4179">
        <v>2.871607E-2</v>
      </c>
      <c r="W4179">
        <v>0.21639169999999999</v>
      </c>
      <c r="X4179">
        <v>0.97588419999999998</v>
      </c>
      <c r="Y4179">
        <v>3.6205609999999999E-2</v>
      </c>
      <c r="Z4179">
        <v>1.2586480000000001E-2</v>
      </c>
      <c r="AA4179">
        <v>0.99926510000000002</v>
      </c>
      <c r="AB4179">
        <v>41</v>
      </c>
      <c r="AC4179">
        <v>-1.85490000000004</v>
      </c>
      <c r="AD4179">
        <v>-1.120620617081</v>
      </c>
      <c r="AE4179">
        <v>-41.206899999999997</v>
      </c>
      <c r="AF4179">
        <v>1.50716986411362</v>
      </c>
      <c r="AG4179">
        <v>-1.120620617081</v>
      </c>
      <c r="AH4179">
        <v>41.190640894993003</v>
      </c>
      <c r="AI4179">
        <v>91.557346284671397</v>
      </c>
      <c r="AJ4179">
        <v>87.904476280927199</v>
      </c>
      <c r="AK4179">
        <v>41.233436055063301</v>
      </c>
      <c r="AL4179">
        <v>77.502811602090404</v>
      </c>
      <c r="AM4179">
        <v>88.314518273578699</v>
      </c>
      <c r="AN4179">
        <v>0.999999976157387</v>
      </c>
    </row>
    <row r="4180" spans="1:40" x14ac:dyDescent="0.25">
      <c r="A4180" t="str">
        <f>"20190303170623266"</f>
        <v>20190303170623266</v>
      </c>
      <c r="B4180" t="str">
        <f>"1551603983259276"</f>
        <v>1551603983259276</v>
      </c>
      <c r="C4180" t="s">
        <v>40</v>
      </c>
      <c r="D4180">
        <v>6.1767719999999997</v>
      </c>
      <c r="E4180">
        <v>0.51813089999999995</v>
      </c>
      <c r="F4180" t="s">
        <v>41</v>
      </c>
      <c r="G4180">
        <v>-422.16840000000002</v>
      </c>
      <c r="H4180" s="1">
        <v>-2.3939129999999998E-6</v>
      </c>
      <c r="I4180">
        <v>53.8245</v>
      </c>
      <c r="J4180">
        <v>-420.5881</v>
      </c>
      <c r="K4180">
        <v>1.120638</v>
      </c>
      <c r="L4180">
        <v>78.392700000000005</v>
      </c>
      <c r="M4180">
        <v>-8.7759840000000006E-3</v>
      </c>
      <c r="N4180">
        <v>-1.4311920000000001E-2</v>
      </c>
      <c r="O4180">
        <v>-0.9998591</v>
      </c>
      <c r="P4180">
        <v>-3.7802189999999999E-2</v>
      </c>
      <c r="Q4180">
        <v>0.20299919999999999</v>
      </c>
      <c r="R4180">
        <v>-0.97844880000000001</v>
      </c>
      <c r="S4180">
        <v>-0.19564819999999999</v>
      </c>
      <c r="T4180">
        <v>-0.1383916</v>
      </c>
      <c r="U4180">
        <v>-3.0868530000000001</v>
      </c>
      <c r="V4180">
        <v>2.944476E-2</v>
      </c>
      <c r="W4180">
        <v>0.21695500000000001</v>
      </c>
      <c r="X4180">
        <v>0.97573750000000004</v>
      </c>
      <c r="Y4180">
        <v>5.4440210000000003E-2</v>
      </c>
      <c r="Z4180">
        <v>3.0408850000000001E-2</v>
      </c>
      <c r="AA4180">
        <v>0.99805390000000005</v>
      </c>
      <c r="AB4180">
        <v>41</v>
      </c>
      <c r="AC4180">
        <v>-1.58030000000002</v>
      </c>
      <c r="AD4180">
        <v>-1.1206403939129901</v>
      </c>
      <c r="AE4180">
        <v>-24.568200000000001</v>
      </c>
      <c r="AF4180">
        <v>1.36178528446923</v>
      </c>
      <c r="AG4180">
        <v>-1.1206403939129901</v>
      </c>
      <c r="AH4180">
        <v>24.530296679741699</v>
      </c>
      <c r="AI4180">
        <v>92.611662120504107</v>
      </c>
      <c r="AJ4180">
        <v>86.822519313315894</v>
      </c>
      <c r="AK4180">
        <v>24.593611960214599</v>
      </c>
      <c r="AL4180">
        <v>77.469752680113999</v>
      </c>
      <c r="AM4180">
        <v>88.271513956468098</v>
      </c>
      <c r="AN4180">
        <v>1.0000000674113501</v>
      </c>
    </row>
    <row r="4181" spans="1:40" x14ac:dyDescent="0.25">
      <c r="A4181" t="str">
        <f>"20190303170623288"</f>
        <v>20190303170623288</v>
      </c>
      <c r="B4181" t="str">
        <f>"1551603983278796"</f>
        <v>1551603983278796</v>
      </c>
      <c r="C4181" t="s">
        <v>40</v>
      </c>
      <c r="D4181">
        <v>6.1654609999999996</v>
      </c>
      <c r="E4181">
        <v>0.5186596</v>
      </c>
      <c r="F4181" t="s">
        <v>41</v>
      </c>
      <c r="G4181">
        <v>-422.2165</v>
      </c>
      <c r="H4181" s="1">
        <v>-2.3572780000000001E-6</v>
      </c>
      <c r="I4181">
        <v>53.709229999999998</v>
      </c>
      <c r="J4181">
        <v>-420.59199999999998</v>
      </c>
      <c r="K4181">
        <v>1.12064599999999</v>
      </c>
      <c r="L4181">
        <v>77.987089999999995</v>
      </c>
      <c r="M4181">
        <v>-9.1235640000000007E-3</v>
      </c>
      <c r="N4181">
        <v>-1.430593E-2</v>
      </c>
      <c r="O4181">
        <v>-0.99985619999999997</v>
      </c>
      <c r="P4181">
        <v>-3.7578399999999998E-2</v>
      </c>
      <c r="Q4181">
        <v>0.2030882</v>
      </c>
      <c r="R4181">
        <v>-0.97843930000000001</v>
      </c>
      <c r="S4181">
        <v>-0.2036743</v>
      </c>
      <c r="T4181">
        <v>-0.14016389999999901</v>
      </c>
      <c r="U4181">
        <v>-3.0872799999999998</v>
      </c>
      <c r="V4181">
        <v>2.887524E-2</v>
      </c>
      <c r="W4181">
        <v>0.21703919999999999</v>
      </c>
      <c r="X4181">
        <v>0.97573569999999998</v>
      </c>
      <c r="Y4181">
        <v>5.6665819999999999E-2</v>
      </c>
      <c r="Z4181">
        <v>3.0973799999999999E-2</v>
      </c>
      <c r="AA4181">
        <v>0.99791260000000004</v>
      </c>
      <c r="AB4181">
        <v>41</v>
      </c>
      <c r="AC4181">
        <v>-1.62450000000001</v>
      </c>
      <c r="AD4181">
        <v>-1.1206483572779899</v>
      </c>
      <c r="AE4181">
        <v>-24.27786</v>
      </c>
      <c r="AF4181">
        <v>1.3999396042794601</v>
      </c>
      <c r="AG4181">
        <v>-1.1206483572779899</v>
      </c>
      <c r="AH4181">
        <v>24.240254107244699</v>
      </c>
      <c r="AI4181">
        <v>92.642552773531605</v>
      </c>
      <c r="AJ4181">
        <v>86.694686814910597</v>
      </c>
      <c r="AK4181">
        <v>24.306493017712199</v>
      </c>
      <c r="AL4181">
        <v>77.464809440828702</v>
      </c>
      <c r="AM4181">
        <v>88.304923479669597</v>
      </c>
      <c r="AN4181">
        <v>0.99999997503809301</v>
      </c>
    </row>
    <row r="4182" spans="1:40" x14ac:dyDescent="0.25">
      <c r="A4182" t="str">
        <f>"20190303170623310"</f>
        <v>20190303170623310</v>
      </c>
      <c r="B4182" t="str">
        <f>"1551603983299291"</f>
        <v>1551603983299291</v>
      </c>
      <c r="C4182" t="s">
        <v>40</v>
      </c>
      <c r="D4182">
        <v>6.169162</v>
      </c>
      <c r="E4182">
        <v>0.51891299999999996</v>
      </c>
      <c r="F4182" t="s">
        <v>41</v>
      </c>
      <c r="G4182">
        <v>-422.16390000000001</v>
      </c>
      <c r="H4182" s="1">
        <v>-2.5975359999999998E-6</v>
      </c>
      <c r="I4182">
        <v>54.301879999999997</v>
      </c>
      <c r="J4182">
        <v>-420.59589999999997</v>
      </c>
      <c r="K4182">
        <v>1.120652</v>
      </c>
      <c r="L4182">
        <v>77.595209999999994</v>
      </c>
      <c r="M4182">
        <v>-9.4588180000000008E-3</v>
      </c>
      <c r="N4182">
        <v>-1.430054E-2</v>
      </c>
      <c r="O4182">
        <v>-0.9998534</v>
      </c>
      <c r="P4182">
        <v>-3.677855E-2</v>
      </c>
      <c r="Q4182">
        <v>0.20592769999999999</v>
      </c>
      <c r="R4182">
        <v>-0.97787630000000003</v>
      </c>
      <c r="S4182">
        <v>-0.20498659999999999</v>
      </c>
      <c r="T4182">
        <v>-0.14613309999999999</v>
      </c>
      <c r="U4182">
        <v>-3.088562</v>
      </c>
      <c r="V4182">
        <v>2.775149E-2</v>
      </c>
      <c r="W4182">
        <v>0.2198669</v>
      </c>
      <c r="X4182">
        <v>0.97513499999999997</v>
      </c>
      <c r="Y4182">
        <v>5.6721170000000001E-2</v>
      </c>
      <c r="Z4182">
        <v>3.2883500000000003E-2</v>
      </c>
      <c r="AA4182">
        <v>0.99784839999999997</v>
      </c>
      <c r="AB4182">
        <v>41</v>
      </c>
      <c r="AC4182">
        <v>-1.56800000000004</v>
      </c>
      <c r="AD4182">
        <v>-1.1206545975360001</v>
      </c>
      <c r="AE4182">
        <v>-23.293329999999902</v>
      </c>
      <c r="AF4182">
        <v>1.34448209411998</v>
      </c>
      <c r="AG4182">
        <v>-1.1206545975360001</v>
      </c>
      <c r="AH4182">
        <v>23.2535402805266</v>
      </c>
      <c r="AI4182">
        <v>92.754519520062999</v>
      </c>
      <c r="AJ4182">
        <v>86.690934767635596</v>
      </c>
      <c r="AK4182">
        <v>23.3193189095749</v>
      </c>
      <c r="AL4182">
        <v>77.298783627966003</v>
      </c>
      <c r="AM4182">
        <v>88.369852184138495</v>
      </c>
      <c r="AN4182">
        <v>0.99999993356891204</v>
      </c>
    </row>
    <row r="4183" spans="1:40" x14ac:dyDescent="0.25">
      <c r="A4183" t="str">
        <f>"20190303170623332"</f>
        <v>20190303170623332</v>
      </c>
      <c r="B4183" t="str">
        <f>"1551603983318812"</f>
        <v>1551603983318812</v>
      </c>
      <c r="C4183" t="s">
        <v>40</v>
      </c>
      <c r="D4183">
        <v>6.1581580000000002</v>
      </c>
      <c r="E4183">
        <v>0.51904300000000003</v>
      </c>
      <c r="F4183" t="s">
        <v>41</v>
      </c>
      <c r="G4183">
        <v>-422.26429999999999</v>
      </c>
      <c r="H4183" s="1">
        <v>-1.8066800000000001E-6</v>
      </c>
      <c r="I4183">
        <v>52.39611</v>
      </c>
      <c r="J4183">
        <v>-420.6</v>
      </c>
      <c r="K4183">
        <v>1.120663</v>
      </c>
      <c r="L4183">
        <v>77.191990000000004</v>
      </c>
      <c r="M4183">
        <v>-9.8091700000000007E-3</v>
      </c>
      <c r="N4183">
        <v>-1.4295459999999999E-2</v>
      </c>
      <c r="O4183">
        <v>-0.99984969999999995</v>
      </c>
      <c r="P4183">
        <v>-3.782667E-2</v>
      </c>
      <c r="Q4183">
        <v>0.21013009999999999</v>
      </c>
      <c r="R4183">
        <v>-0.97694159999999997</v>
      </c>
      <c r="S4183">
        <v>-0.20452880000000001</v>
      </c>
      <c r="T4183">
        <v>-0.1373789</v>
      </c>
      <c r="U4183">
        <v>-3.0891109999999999</v>
      </c>
      <c r="V4183">
        <v>2.8468150000000001E-2</v>
      </c>
      <c r="W4183">
        <v>0.22405050000000001</v>
      </c>
      <c r="X4183">
        <v>0.97416159999999996</v>
      </c>
      <c r="Y4183">
        <v>5.6219619999999998E-2</v>
      </c>
      <c r="Z4183">
        <v>3.006004E-2</v>
      </c>
      <c r="AA4183">
        <v>0.99796580000000001</v>
      </c>
      <c r="AB4183">
        <v>41</v>
      </c>
      <c r="AC4183">
        <v>-1.6642999999999599</v>
      </c>
      <c r="AD4183">
        <v>-1.12066480668</v>
      </c>
      <c r="AE4183">
        <v>-24.79588</v>
      </c>
      <c r="AF4183">
        <v>1.41808440501482</v>
      </c>
      <c r="AG4183">
        <v>-1.12066480668</v>
      </c>
      <c r="AH4183">
        <v>24.7606635135744</v>
      </c>
      <c r="AI4183">
        <v>92.587198119772296</v>
      </c>
      <c r="AJ4183">
        <v>86.722156052479903</v>
      </c>
      <c r="AK4183">
        <v>24.826544476046799</v>
      </c>
      <c r="AL4183">
        <v>77.052948803308794</v>
      </c>
      <c r="AM4183">
        <v>88.326108559784799</v>
      </c>
      <c r="AN4183">
        <v>0.99999994251461399</v>
      </c>
    </row>
    <row r="4184" spans="1:40" x14ac:dyDescent="0.25">
      <c r="A4184" t="str">
        <f>"20190303170623354"</f>
        <v>20190303170623354</v>
      </c>
      <c r="B4184" t="str">
        <f>"1551603983349070"</f>
        <v>1551603983349070</v>
      </c>
      <c r="C4184" t="s">
        <v>40</v>
      </c>
      <c r="D4184">
        <v>6.121321</v>
      </c>
      <c r="E4184">
        <v>0.51955660000000004</v>
      </c>
      <c r="F4184" t="s">
        <v>41</v>
      </c>
      <c r="G4184">
        <v>-422.44799999999998</v>
      </c>
      <c r="H4184" s="1">
        <v>-4.6823580000000004E-6</v>
      </c>
      <c r="I4184">
        <v>49.470100000000002</v>
      </c>
      <c r="J4184">
        <v>-420.6044</v>
      </c>
      <c r="K4184">
        <v>1.120671</v>
      </c>
      <c r="L4184">
        <v>76.774319999999904</v>
      </c>
      <c r="M4184">
        <v>-1.01888E-2</v>
      </c>
      <c r="N4184">
        <v>-1.429068E-2</v>
      </c>
      <c r="O4184">
        <v>-0.99984620000000002</v>
      </c>
      <c r="P4184">
        <v>-3.9336790000000003E-2</v>
      </c>
      <c r="Q4184">
        <v>0.21178240000000001</v>
      </c>
      <c r="R4184">
        <v>-0.97652539999999999</v>
      </c>
      <c r="S4184">
        <v>-0.20596310000000001</v>
      </c>
      <c r="T4184">
        <v>-0.1249019</v>
      </c>
      <c r="U4184">
        <v>-3.0896910000000002</v>
      </c>
      <c r="V4184">
        <v>2.9615209999999999E-2</v>
      </c>
      <c r="W4184">
        <v>0.22569059999999999</v>
      </c>
      <c r="X4184">
        <v>0.97374879999999997</v>
      </c>
      <c r="Y4184">
        <v>5.6298550000000003E-2</v>
      </c>
      <c r="Z4184">
        <v>2.6034229999999998E-2</v>
      </c>
      <c r="AA4184">
        <v>0.99807449999999998</v>
      </c>
      <c r="AB4184">
        <v>41</v>
      </c>
      <c r="AC4184">
        <v>-1.8436000000000301</v>
      </c>
      <c r="AD4184">
        <v>-1.120675682358</v>
      </c>
      <c r="AE4184">
        <v>-27.304219999999901</v>
      </c>
      <c r="AF4184">
        <v>1.56265817160679</v>
      </c>
      <c r="AG4184">
        <v>-1.120675682358</v>
      </c>
      <c r="AH4184">
        <v>27.275847677444698</v>
      </c>
      <c r="AI4184">
        <v>92.348926116296198</v>
      </c>
      <c r="AJ4184">
        <v>86.721056875346903</v>
      </c>
      <c r="AK4184">
        <v>27.343549167390101</v>
      </c>
      <c r="AL4184">
        <v>76.956508979933503</v>
      </c>
      <c r="AM4184">
        <v>88.257965861860697</v>
      </c>
      <c r="AN4184">
        <v>1.0000000165465699</v>
      </c>
    </row>
    <row r="4185" spans="1:40" x14ac:dyDescent="0.25">
      <c r="A4185" t="str">
        <f>"20190303170623377"</f>
        <v>20190303170623377</v>
      </c>
      <c r="B4185" t="str">
        <f>"1551603983369564"</f>
        <v>1551603983369564</v>
      </c>
      <c r="C4185" t="s">
        <v>40</v>
      </c>
      <c r="D4185">
        <v>6.1195529999999998</v>
      </c>
      <c r="E4185">
        <v>0.51974739999999997</v>
      </c>
      <c r="F4185" t="s">
        <v>41</v>
      </c>
      <c r="G4185">
        <v>-422.52980000000002</v>
      </c>
      <c r="H4185" s="1">
        <v>-4.3608599999999998E-6</v>
      </c>
      <c r="I4185">
        <v>48.482729999999997</v>
      </c>
      <c r="J4185">
        <v>-420.60890000000001</v>
      </c>
      <c r="K4185">
        <v>1.120668</v>
      </c>
      <c r="L4185">
        <v>76.369600000000005</v>
      </c>
      <c r="M4185">
        <v>-1.0584980000000001E-2</v>
      </c>
      <c r="N4185">
        <v>-1.4286449999999999E-2</v>
      </c>
      <c r="O4185">
        <v>-0.99984220000000001</v>
      </c>
      <c r="P4185">
        <v>-3.9415659999999998E-2</v>
      </c>
      <c r="Q4185">
        <v>0.210729</v>
      </c>
      <c r="R4185">
        <v>-0.9767498</v>
      </c>
      <c r="S4185">
        <v>-0.2102966</v>
      </c>
      <c r="T4185">
        <v>-0.122407</v>
      </c>
      <c r="U4185">
        <v>-3.090179</v>
      </c>
      <c r="V4185">
        <v>2.9311429999999999E-2</v>
      </c>
      <c r="W4185">
        <v>0.224636</v>
      </c>
      <c r="X4185">
        <v>0.97400180000000003</v>
      </c>
      <c r="Y4185">
        <v>5.7287150000000002E-2</v>
      </c>
      <c r="Z4185">
        <v>2.5224969999999999E-2</v>
      </c>
      <c r="AA4185">
        <v>0.99803900000000001</v>
      </c>
      <c r="AB4185">
        <v>40</v>
      </c>
      <c r="AC4185">
        <v>-1.92090000000001</v>
      </c>
      <c r="AD4185">
        <v>-1.12067236086</v>
      </c>
      <c r="AE4185">
        <v>-27.886869999999998</v>
      </c>
      <c r="AF4185">
        <v>1.62297172594206</v>
      </c>
      <c r="AG4185">
        <v>-1.12067236086</v>
      </c>
      <c r="AH4185">
        <v>27.860860860307799</v>
      </c>
      <c r="AI4185">
        <v>92.299523630894001</v>
      </c>
      <c r="AJ4185">
        <v>86.666130979933698</v>
      </c>
      <c r="AK4185">
        <v>27.9305838041569</v>
      </c>
      <c r="AL4185">
        <v>77.018525408299894</v>
      </c>
      <c r="AM4185">
        <v>88.276271641997397</v>
      </c>
      <c r="AN4185">
        <v>0.99999999941394202</v>
      </c>
    </row>
    <row r="4186" spans="1:40" x14ac:dyDescent="0.25">
      <c r="A4186" t="str">
        <f>"20190303170623399"</f>
        <v>20190303170623399</v>
      </c>
      <c r="B4186" t="str">
        <f>"1551603983389085"</f>
        <v>1551603983389085</v>
      </c>
      <c r="C4186" t="s">
        <v>40</v>
      </c>
      <c r="D4186">
        <v>6.1112289999999998</v>
      </c>
      <c r="E4186">
        <v>0.51991989999999999</v>
      </c>
      <c r="F4186" t="s">
        <v>41</v>
      </c>
      <c r="G4186">
        <v>-422.47370000000001</v>
      </c>
      <c r="H4186" s="1">
        <v>-4.5536340000000004E-6</v>
      </c>
      <c r="I4186">
        <v>49.078449999999997</v>
      </c>
      <c r="J4186">
        <v>-420.61349999999999</v>
      </c>
      <c r="K4186">
        <v>1.120638</v>
      </c>
      <c r="L4186">
        <v>75.966279999999998</v>
      </c>
      <c r="M4186">
        <v>-1.102239E-2</v>
      </c>
      <c r="N4186">
        <v>-1.4282499999999899E-2</v>
      </c>
      <c r="O4186">
        <v>-0.99983750000000005</v>
      </c>
      <c r="P4186">
        <v>-3.7611539999999999E-2</v>
      </c>
      <c r="Q4186">
        <v>0.21058930000000001</v>
      </c>
      <c r="R4186">
        <v>-0.97685109999999997</v>
      </c>
      <c r="S4186">
        <v>-0.21115110000000001</v>
      </c>
      <c r="T4186">
        <v>-0.126897699999999</v>
      </c>
      <c r="U4186">
        <v>-3.090271</v>
      </c>
      <c r="V4186">
        <v>2.7093619999999999E-2</v>
      </c>
      <c r="W4186">
        <v>0.22449430000000001</v>
      </c>
      <c r="X4186">
        <v>0.97409869999999998</v>
      </c>
      <c r="Y4186">
        <v>5.7119980000000001E-2</v>
      </c>
      <c r="Z4186">
        <v>2.6674860000000002E-2</v>
      </c>
      <c r="AA4186">
        <v>0.99801090000000003</v>
      </c>
      <c r="AB4186">
        <v>40</v>
      </c>
      <c r="AC4186">
        <v>-1.8602000000000201</v>
      </c>
      <c r="AD4186">
        <v>-1.1206425536339999</v>
      </c>
      <c r="AE4186">
        <v>-26.887829999999902</v>
      </c>
      <c r="AF4186">
        <v>1.56099000145389</v>
      </c>
      <c r="AG4186">
        <v>-1.1206425536339999</v>
      </c>
      <c r="AH4186">
        <v>26.8602657333686</v>
      </c>
      <c r="AI4186">
        <v>92.385043669552601</v>
      </c>
      <c r="AJ4186">
        <v>86.673984740602904</v>
      </c>
      <c r="AK4186">
        <v>26.9289139176616</v>
      </c>
      <c r="AL4186">
        <v>77.026857238282105</v>
      </c>
      <c r="AM4186">
        <v>88.406783672605499</v>
      </c>
      <c r="AN4186">
        <v>1.00000001615944</v>
      </c>
    </row>
    <row r="4187" spans="1:40" x14ac:dyDescent="0.25">
      <c r="A4187" t="str">
        <f>"20190303170623422"</f>
        <v>20190303170623422</v>
      </c>
      <c r="B4187" t="str">
        <f>"1551603983409580"</f>
        <v>1551603983409580</v>
      </c>
      <c r="C4187" t="s">
        <v>40</v>
      </c>
      <c r="D4187">
        <v>6.1146960000000004</v>
      </c>
      <c r="E4187">
        <v>0.52014879999999997</v>
      </c>
      <c r="F4187" t="s">
        <v>41</v>
      </c>
      <c r="G4187">
        <v>-422.41820000000001</v>
      </c>
      <c r="H4187" s="1">
        <v>-4.5774649999999999E-6</v>
      </c>
      <c r="I4187">
        <v>49.177410000000002</v>
      </c>
      <c r="J4187">
        <v>-420.61829999999998</v>
      </c>
      <c r="K4187">
        <v>1.120587</v>
      </c>
      <c r="L4187">
        <v>75.564390000000003</v>
      </c>
      <c r="M4187">
        <v>-1.15238999999999E-2</v>
      </c>
      <c r="N4187">
        <v>-1.4278910000000001E-2</v>
      </c>
      <c r="O4187">
        <v>-0.99983160000000004</v>
      </c>
      <c r="P4187">
        <v>-3.4861320000000001E-2</v>
      </c>
      <c r="Q4187">
        <v>0.21176139999999999</v>
      </c>
      <c r="R4187">
        <v>-0.97669969999999995</v>
      </c>
      <c r="S4187">
        <v>-0.2082214</v>
      </c>
      <c r="T4187">
        <v>-0.12930150000000001</v>
      </c>
      <c r="U4187">
        <v>-3.0909420000000001</v>
      </c>
      <c r="V4187">
        <v>2.3881050000000001E-2</v>
      </c>
      <c r="W4187">
        <v>0.22566140000000001</v>
      </c>
      <c r="X4187">
        <v>0.97391309999999998</v>
      </c>
      <c r="Y4187">
        <v>5.5661660000000002E-2</v>
      </c>
      <c r="Z4187">
        <v>2.744692E-2</v>
      </c>
      <c r="AA4187">
        <v>0.99807239999999997</v>
      </c>
      <c r="AB4187">
        <v>40</v>
      </c>
      <c r="AC4187">
        <v>-1.79990000000003</v>
      </c>
      <c r="AD4187">
        <v>-1.1205915774649999</v>
      </c>
      <c r="AE4187">
        <v>-26.386980000000001</v>
      </c>
      <c r="AF4187">
        <v>1.49298839325101</v>
      </c>
      <c r="AG4187">
        <v>-1.1205915774649999</v>
      </c>
      <c r="AH4187">
        <v>26.358653886255301</v>
      </c>
      <c r="AI4187">
        <v>92.430471932143206</v>
      </c>
      <c r="AJ4187">
        <v>86.758156533227904</v>
      </c>
      <c r="AK4187">
        <v>26.424673593466999</v>
      </c>
      <c r="AL4187">
        <v>76.958226752933598</v>
      </c>
      <c r="AM4187">
        <v>88.595347736586803</v>
      </c>
      <c r="AN4187">
        <v>1.00000004917533</v>
      </c>
    </row>
    <row r="4188" spans="1:40" x14ac:dyDescent="0.25">
      <c r="A4188" t="str">
        <f>"20190303170623444"</f>
        <v>20190303170623444</v>
      </c>
      <c r="B4188" t="str">
        <f>"1551603983438860"</f>
        <v>1551603983438860</v>
      </c>
      <c r="C4188" t="s">
        <v>40</v>
      </c>
      <c r="D4188">
        <v>6.2631119999999996</v>
      </c>
      <c r="E4188">
        <v>0.52032149999999999</v>
      </c>
      <c r="F4188" t="s">
        <v>41</v>
      </c>
      <c r="G4188">
        <v>-422.42070000000001</v>
      </c>
      <c r="H4188" s="1">
        <v>-4.2388479999999996E-6</v>
      </c>
      <c r="I4188">
        <v>48.181069999999998</v>
      </c>
      <c r="J4188">
        <v>-420.6234</v>
      </c>
      <c r="K4188">
        <v>1.120533</v>
      </c>
      <c r="L4188">
        <v>75.169589999999999</v>
      </c>
      <c r="M4188">
        <v>-1.212773E-2</v>
      </c>
      <c r="N4188">
        <v>-1.427581E-2</v>
      </c>
      <c r="O4188">
        <v>-0.99982470000000001</v>
      </c>
      <c r="P4188">
        <v>-3.2165480000000003E-2</v>
      </c>
      <c r="Q4188">
        <v>0.21331259999999999</v>
      </c>
      <c r="R4188">
        <v>-0.97645459999999995</v>
      </c>
      <c r="S4188">
        <v>-0.20349120000000001</v>
      </c>
      <c r="T4188">
        <v>-0.1265212</v>
      </c>
      <c r="U4188">
        <v>-3.091736</v>
      </c>
      <c r="V4188">
        <v>2.0640660000000002E-2</v>
      </c>
      <c r="W4188">
        <v>0.2272062</v>
      </c>
      <c r="X4188">
        <v>0.97362789999999999</v>
      </c>
      <c r="Y4188">
        <v>5.3523899999999999E-2</v>
      </c>
      <c r="Z4188">
        <v>2.6547919999999999E-2</v>
      </c>
      <c r="AA4188">
        <v>0.99821360000000003</v>
      </c>
      <c r="AB4188">
        <v>40</v>
      </c>
      <c r="AC4188">
        <v>-1.7972999999999999</v>
      </c>
      <c r="AD4188">
        <v>-1.1205372388479999</v>
      </c>
      <c r="AE4188">
        <v>-26.988520000000001</v>
      </c>
      <c r="AF4188">
        <v>1.46730678321019</v>
      </c>
      <c r="AG4188">
        <v>-1.1205372388479999</v>
      </c>
      <c r="AH4188">
        <v>26.962061352718699</v>
      </c>
      <c r="AI4188">
        <v>92.376317966287203</v>
      </c>
      <c r="AJ4188">
        <v>86.884969741416498</v>
      </c>
      <c r="AK4188">
        <v>27.025198339465799</v>
      </c>
      <c r="AL4188">
        <v>76.867355221404694</v>
      </c>
      <c r="AM4188">
        <v>88.785526191482703</v>
      </c>
      <c r="AN4188">
        <v>0.99999999091104197</v>
      </c>
    </row>
    <row r="4189" spans="1:40" x14ac:dyDescent="0.25">
      <c r="A4189" t="str">
        <f>"20190303170623467"</f>
        <v>20190303170623467</v>
      </c>
      <c r="B4189" t="str">
        <f>"1551603983459356"</f>
        <v>1551603983459356</v>
      </c>
      <c r="C4189" t="s">
        <v>40</v>
      </c>
      <c r="D4189">
        <v>6.1073879999999896</v>
      </c>
      <c r="E4189">
        <v>0.49525819999999998</v>
      </c>
      <c r="F4189" t="s">
        <v>41</v>
      </c>
      <c r="G4189">
        <v>-422.42020000000002</v>
      </c>
      <c r="H4189" s="1">
        <v>-3.8509069999999998E-6</v>
      </c>
      <c r="I4189">
        <v>47.064599999999999</v>
      </c>
      <c r="J4189">
        <v>-420.62909999999999</v>
      </c>
      <c r="K4189">
        <v>1.1204350000000001</v>
      </c>
      <c r="L4189">
        <v>74.752989999999997</v>
      </c>
      <c r="M4189">
        <v>-1.2937479999999999E-2</v>
      </c>
      <c r="N4189">
        <v>-1.4273340000000001E-2</v>
      </c>
      <c r="O4189">
        <v>-0.99981439999999999</v>
      </c>
      <c r="P4189">
        <v>-2.893043E-2</v>
      </c>
      <c r="Q4189">
        <v>0.2147366</v>
      </c>
      <c r="R4189">
        <v>-0.97624339999999998</v>
      </c>
      <c r="S4189">
        <v>-0.19772339999999999</v>
      </c>
      <c r="T4189">
        <v>-0.1233078</v>
      </c>
      <c r="U4189">
        <v>-3.0927730000000002</v>
      </c>
      <c r="V4189">
        <v>1.6684939999999999E-2</v>
      </c>
      <c r="W4189">
        <v>0.22862550000000001</v>
      </c>
      <c r="X4189">
        <v>0.9733714</v>
      </c>
      <c r="Y4189">
        <v>5.084238E-2</v>
      </c>
      <c r="Z4189">
        <v>2.5506540000000001E-2</v>
      </c>
      <c r="AA4189">
        <v>0.99838090000000002</v>
      </c>
      <c r="AB4189">
        <v>40</v>
      </c>
      <c r="AC4189">
        <v>-1.7911000000000199</v>
      </c>
      <c r="AD4189">
        <v>-1.120438850907</v>
      </c>
      <c r="AE4189">
        <v>-27.688389999999998</v>
      </c>
      <c r="AF4189">
        <v>1.4303631126302401</v>
      </c>
      <c r="AG4189">
        <v>-1.120438850907</v>
      </c>
      <c r="AH4189">
        <v>27.6641356808978</v>
      </c>
      <c r="AI4189">
        <v>92.316206517399493</v>
      </c>
      <c r="AJ4189">
        <v>87.040180232382198</v>
      </c>
      <c r="AK4189">
        <v>27.723739373030501</v>
      </c>
      <c r="AL4189">
        <v>76.783836561563106</v>
      </c>
      <c r="AM4189">
        <v>89.0179668015153</v>
      </c>
      <c r="AN4189">
        <v>0.99999994440550499</v>
      </c>
    </row>
    <row r="4190" spans="1:40" x14ac:dyDescent="0.25">
      <c r="A4190" t="str">
        <f>"20190303170623488"</f>
        <v>20190303170623488</v>
      </c>
      <c r="B4190" t="str">
        <f>"1551603983478876"</f>
        <v>1551603983478876</v>
      </c>
      <c r="C4190" t="s">
        <v>40</v>
      </c>
      <c r="D4190">
        <v>6.2131089999999896</v>
      </c>
      <c r="E4190">
        <v>0.43547859999999999</v>
      </c>
      <c r="F4190" t="s">
        <v>41</v>
      </c>
      <c r="G4190">
        <v>-420.52690000000001</v>
      </c>
      <c r="H4190" s="1">
        <v>-3.5857319999999999E-6</v>
      </c>
      <c r="I4190">
        <v>47.620750000000001</v>
      </c>
      <c r="J4190">
        <v>-420.63470000000001</v>
      </c>
      <c r="K4190">
        <v>1.120325</v>
      </c>
      <c r="L4190">
        <v>74.372990000000001</v>
      </c>
      <c r="M4190">
        <v>-1.381406E-2</v>
      </c>
      <c r="N4190">
        <v>-1.427195E-2</v>
      </c>
      <c r="O4190">
        <v>-0.99980290000000005</v>
      </c>
      <c r="P4190">
        <v>-2.502381E-2</v>
      </c>
      <c r="Q4190">
        <v>0.21425459999999999</v>
      </c>
      <c r="R4190">
        <v>-0.97645740000000003</v>
      </c>
      <c r="S4190">
        <v>1.1688230000000001E-2</v>
      </c>
      <c r="T4190">
        <v>-0.1280792</v>
      </c>
      <c r="U4190">
        <v>-3.1015320000000002</v>
      </c>
      <c r="V4190">
        <v>1.1988179999999999E-2</v>
      </c>
      <c r="W4190">
        <v>0.22814870000000001</v>
      </c>
      <c r="X4190">
        <v>0.97355250000000004</v>
      </c>
      <c r="Y4190">
        <v>-1.7575170000000001E-2</v>
      </c>
      <c r="Z4190">
        <v>2.6986690000000001E-2</v>
      </c>
      <c r="AA4190">
        <v>0.99948130000000002</v>
      </c>
      <c r="AB4190">
        <v>40</v>
      </c>
      <c r="AC4190">
        <v>0.107799999999997</v>
      </c>
      <c r="AD4190">
        <v>-1.120328585732</v>
      </c>
      <c r="AE4190">
        <v>-26.75224</v>
      </c>
      <c r="AF4190">
        <v>-0.47654859853936499</v>
      </c>
      <c r="AG4190">
        <v>-1.120328585732</v>
      </c>
      <c r="AH4190">
        <v>26.7013704353276</v>
      </c>
      <c r="AI4190">
        <v>92.402208865478002</v>
      </c>
      <c r="AJ4190">
        <v>91.022469052597103</v>
      </c>
      <c r="AK4190">
        <v>26.729111804011801</v>
      </c>
      <c r="AL4190">
        <v>76.811897666238295</v>
      </c>
      <c r="AM4190">
        <v>89.294503990092693</v>
      </c>
      <c r="AN4190">
        <v>1.0000000080138201</v>
      </c>
    </row>
    <row r="4191" spans="1:40" x14ac:dyDescent="0.25">
      <c r="A4191" t="str">
        <f>"20190303170623510"</f>
        <v>20190303170623510</v>
      </c>
      <c r="B4191" t="str">
        <f>"1551603983499372"</f>
        <v>1551603983499372</v>
      </c>
      <c r="C4191" t="s">
        <v>40</v>
      </c>
      <c r="D4191">
        <v>6.112298</v>
      </c>
      <c r="E4191">
        <v>0.42153629999999997</v>
      </c>
      <c r="F4191" t="s">
        <v>92</v>
      </c>
      <c r="G4191">
        <v>-408.9153</v>
      </c>
      <c r="H4191">
        <v>0.59884879999999996</v>
      </c>
      <c r="I4191">
        <v>0.59011840000000004</v>
      </c>
      <c r="J4191">
        <v>-420.64120000000003</v>
      </c>
      <c r="K4191">
        <v>1.1201680000000001</v>
      </c>
      <c r="L4191">
        <v>73.973330000000004</v>
      </c>
      <c r="M4191">
        <v>-1.4916779999999999E-2</v>
      </c>
      <c r="N4191">
        <v>-1.4270980000000001E-2</v>
      </c>
      <c r="O4191">
        <v>-0.99978730000000005</v>
      </c>
      <c r="P4191">
        <v>-2.167589E-2</v>
      </c>
      <c r="Q4191">
        <v>0.2145659</v>
      </c>
      <c r="R4191">
        <v>-0.97646960000000005</v>
      </c>
      <c r="S4191">
        <v>0.4907532</v>
      </c>
      <c r="T4191">
        <v>-2.183819E-2</v>
      </c>
      <c r="U4191">
        <v>-3.0896910000000002</v>
      </c>
      <c r="V4191">
        <v>7.6477609999999899E-3</v>
      </c>
      <c r="W4191">
        <v>0.2284648</v>
      </c>
      <c r="X4191">
        <v>0.97352209999999995</v>
      </c>
      <c r="Y4191">
        <v>-0.17155529999999999</v>
      </c>
      <c r="Z4191">
        <v>-7.3175009999999997E-3</v>
      </c>
      <c r="AA4191">
        <v>0.98514729999999995</v>
      </c>
      <c r="AB4191">
        <v>40</v>
      </c>
      <c r="AC4191">
        <v>11.725899999999999</v>
      </c>
      <c r="AD4191">
        <v>-0.52131919999999998</v>
      </c>
      <c r="AE4191">
        <v>-73.383211599999996</v>
      </c>
      <c r="AF4191">
        <v>-12.8187165316321</v>
      </c>
      <c r="AG4191">
        <v>-0.52131919999999998</v>
      </c>
      <c r="AH4191">
        <v>73.196512722436495</v>
      </c>
      <c r="AI4191">
        <v>90.401947286524006</v>
      </c>
      <c r="AJ4191">
        <v>99.933329123735703</v>
      </c>
      <c r="AK4191">
        <v>74.312318911149802</v>
      </c>
      <c r="AL4191">
        <v>76.793294601319801</v>
      </c>
      <c r="AM4191">
        <v>89.549907069947494</v>
      </c>
      <c r="AN4191">
        <v>0.99999996613788</v>
      </c>
    </row>
    <row r="4192" spans="1:40" x14ac:dyDescent="0.25">
      <c r="A4192" t="str">
        <f>"20190303170623533"</f>
        <v>20190303170623533</v>
      </c>
      <c r="B4192" t="str">
        <f>"1551603983518892"</f>
        <v>1551603983518892</v>
      </c>
      <c r="C4192" t="s">
        <v>40</v>
      </c>
      <c r="D4192">
        <v>6.1241620000000001</v>
      </c>
      <c r="E4192">
        <v>0.414746</v>
      </c>
      <c r="F4192" t="s">
        <v>92</v>
      </c>
      <c r="G4192">
        <v>-406.1782</v>
      </c>
      <c r="H4192">
        <v>1.3750880000000001</v>
      </c>
      <c r="I4192">
        <v>0.61795999999999995</v>
      </c>
      <c r="J4192">
        <v>-420.64859999999999</v>
      </c>
      <c r="K4192">
        <v>1.1199889999999999</v>
      </c>
      <c r="L4192">
        <v>73.56259</v>
      </c>
      <c r="M4192">
        <v>-1.6282020000000001E-2</v>
      </c>
      <c r="N4192">
        <v>-1.4270669999999999E-2</v>
      </c>
      <c r="O4192">
        <v>-0.99976589999999999</v>
      </c>
      <c r="P4192">
        <v>-1.9723020000000001E-2</v>
      </c>
      <c r="Q4192">
        <v>0.21629329999999999</v>
      </c>
      <c r="R4192">
        <v>-0.97612940000000004</v>
      </c>
      <c r="S4192">
        <v>0.607940699999999</v>
      </c>
      <c r="T4192">
        <v>1.071429E-2</v>
      </c>
      <c r="U4192">
        <v>-3.0834350000000001</v>
      </c>
      <c r="V4192">
        <v>4.4717300000000001E-3</v>
      </c>
      <c r="W4192">
        <v>0.2301928</v>
      </c>
      <c r="X4192">
        <v>0.97313479999999997</v>
      </c>
      <c r="Y4192">
        <v>-0.20934359999999999</v>
      </c>
      <c r="Z4192">
        <v>-1.7695760000000001E-2</v>
      </c>
      <c r="AA4192">
        <v>0.97768200000000005</v>
      </c>
      <c r="AB4192">
        <v>40</v>
      </c>
      <c r="AC4192">
        <v>14.4703999999999</v>
      </c>
      <c r="AD4192">
        <v>0.25509900000000002</v>
      </c>
      <c r="AE4192">
        <v>-72.944630000000004</v>
      </c>
      <c r="AF4192">
        <v>-15.656103692660301</v>
      </c>
      <c r="AG4192">
        <v>0.25509900000000002</v>
      </c>
      <c r="AH4192">
        <v>72.698471720244399</v>
      </c>
      <c r="AI4192">
        <v>89.803455906271097</v>
      </c>
      <c r="AJ4192">
        <v>102.153413712076</v>
      </c>
      <c r="AK4192">
        <v>74.365626796217498</v>
      </c>
      <c r="AL4192">
        <v>76.691577459240605</v>
      </c>
      <c r="AM4192">
        <v>89.736717407715403</v>
      </c>
      <c r="AN4192">
        <v>1.0000000302560299</v>
      </c>
    </row>
    <row r="4193" spans="1:40" x14ac:dyDescent="0.25">
      <c r="A4193" t="str">
        <f>"20190303170623555"</f>
        <v>20190303170623555</v>
      </c>
      <c r="B4193" t="str">
        <f>"1551603983549148"</f>
        <v>1551603983549148</v>
      </c>
      <c r="C4193" t="s">
        <v>40</v>
      </c>
      <c r="D4193">
        <v>6.1092620000000002</v>
      </c>
      <c r="E4193">
        <v>0.41012910000000002</v>
      </c>
      <c r="F4193" t="s">
        <v>92</v>
      </c>
      <c r="G4193">
        <v>-404.91039999999998</v>
      </c>
      <c r="H4193">
        <v>1.8153859999999999</v>
      </c>
      <c r="I4193">
        <v>0.63085369999999996</v>
      </c>
      <c r="J4193">
        <v>-420.65649999999999</v>
      </c>
      <c r="K4193">
        <v>1.1197919999999999</v>
      </c>
      <c r="L4193">
        <v>73.157499999999999</v>
      </c>
      <c r="M4193">
        <v>-1.788114E-2</v>
      </c>
      <c r="N4193">
        <v>-1.4271539999999999E-2</v>
      </c>
      <c r="O4193">
        <v>-0.99973820000000002</v>
      </c>
      <c r="P4193">
        <v>-1.8660679999999999E-2</v>
      </c>
      <c r="Q4193">
        <v>0.2167847</v>
      </c>
      <c r="R4193">
        <v>-0.97604109999999999</v>
      </c>
      <c r="S4193">
        <v>0.66470340000000006</v>
      </c>
      <c r="T4193">
        <v>2.9369240000000001E-2</v>
      </c>
      <c r="U4193">
        <v>-3.080292</v>
      </c>
      <c r="V4193">
        <v>1.9641699999999999E-3</v>
      </c>
      <c r="W4193">
        <v>0.2306897</v>
      </c>
      <c r="X4193">
        <v>0.97302540000000004</v>
      </c>
      <c r="Y4193">
        <v>-0.2283171</v>
      </c>
      <c r="Z4193">
        <v>-2.3596079999999998E-2</v>
      </c>
      <c r="AA4193">
        <v>0.97330079999999997</v>
      </c>
      <c r="AB4193">
        <v>40</v>
      </c>
      <c r="AC4193">
        <v>15.7461</v>
      </c>
      <c r="AD4193">
        <v>0.69559400000000005</v>
      </c>
      <c r="AE4193">
        <v>-72.526646299999996</v>
      </c>
      <c r="AF4193">
        <v>-17.039076493245801</v>
      </c>
      <c r="AG4193">
        <v>0.69559400000000005</v>
      </c>
      <c r="AH4193">
        <v>72.227116697696204</v>
      </c>
      <c r="AI4193">
        <v>89.462962278520607</v>
      </c>
      <c r="AJ4193">
        <v>103.27393464692101</v>
      </c>
      <c r="AK4193">
        <v>74.213006711884105</v>
      </c>
      <c r="AL4193">
        <v>76.662319508768107</v>
      </c>
      <c r="AM4193">
        <v>89.884341664269101</v>
      </c>
      <c r="AN4193">
        <v>1.0000000123475099</v>
      </c>
    </row>
    <row r="4194" spans="1:40" x14ac:dyDescent="0.25">
      <c r="A4194" t="str">
        <f>"20190303170623577"</f>
        <v>20190303170623577</v>
      </c>
      <c r="B4194" t="str">
        <f>"1551603983569644"</f>
        <v>1551603983569644</v>
      </c>
      <c r="C4194" t="s">
        <v>40</v>
      </c>
      <c r="D4194">
        <v>6.084219</v>
      </c>
      <c r="E4194">
        <v>0.40842899999999999</v>
      </c>
      <c r="F4194" t="s">
        <v>92</v>
      </c>
      <c r="G4194">
        <v>-404.09289999999999</v>
      </c>
      <c r="H4194">
        <v>1.981895</v>
      </c>
      <c r="I4194">
        <v>0.63916779999999995</v>
      </c>
      <c r="J4194">
        <v>-420.66520000000003</v>
      </c>
      <c r="K4194">
        <v>1.119586</v>
      </c>
      <c r="L4194">
        <v>72.759399999999999</v>
      </c>
      <c r="M4194">
        <v>-1.9692230000000002E-2</v>
      </c>
      <c r="N4194">
        <v>-1.42735E-2</v>
      </c>
      <c r="O4194">
        <v>-0.99970420000000004</v>
      </c>
      <c r="P4194">
        <v>-1.862275E-2</v>
      </c>
      <c r="Q4194">
        <v>0.21577389999999999</v>
      </c>
      <c r="R4194">
        <v>-0.97626579999999996</v>
      </c>
      <c r="S4194">
        <v>0.70324709999999901</v>
      </c>
      <c r="T4194">
        <v>3.6601660000000001E-2</v>
      </c>
      <c r="U4194">
        <v>-3.0789490000000002</v>
      </c>
      <c r="V4194">
        <v>2.6833919999999999E-4</v>
      </c>
      <c r="W4194">
        <v>0.2296898</v>
      </c>
      <c r="X4194">
        <v>0.97326389999999996</v>
      </c>
      <c r="Y4194">
        <v>-0.24174809999999999</v>
      </c>
      <c r="Z4194">
        <v>-2.586132E-2</v>
      </c>
      <c r="AA4194">
        <v>0.96999440000000003</v>
      </c>
      <c r="AB4194">
        <v>40</v>
      </c>
      <c r="AC4194">
        <v>16.572299999999998</v>
      </c>
      <c r="AD4194">
        <v>0.86230899999999999</v>
      </c>
      <c r="AE4194">
        <v>-72.120232200000004</v>
      </c>
      <c r="AF4194">
        <v>-17.9869962508109</v>
      </c>
      <c r="AG4194">
        <v>0.86230899999999999</v>
      </c>
      <c r="AH4194">
        <v>71.770120070794505</v>
      </c>
      <c r="AI4194">
        <v>89.332280027449301</v>
      </c>
      <c r="AJ4194">
        <v>104.069648893223</v>
      </c>
      <c r="AK4194">
        <v>73.994768368543703</v>
      </c>
      <c r="AL4194">
        <v>76.721190973431604</v>
      </c>
      <c r="AM4194">
        <v>89.984202945112401</v>
      </c>
      <c r="AN4194">
        <v>1.00000004763658</v>
      </c>
    </row>
    <row r="4195" spans="1:40" x14ac:dyDescent="0.25">
      <c r="A4195" t="str">
        <f>"20190303170623600"</f>
        <v>20190303170623600</v>
      </c>
      <c r="B4195" t="str">
        <f>"1551603983589165"</f>
        <v>1551603983589165</v>
      </c>
      <c r="C4195" t="s">
        <v>40</v>
      </c>
      <c r="D4195">
        <v>6.0802100000000001</v>
      </c>
      <c r="E4195">
        <v>0.40712290000000001</v>
      </c>
      <c r="F4195" t="s">
        <v>92</v>
      </c>
      <c r="G4195">
        <v>-403.90690000000001</v>
      </c>
      <c r="H4195">
        <v>1.933935</v>
      </c>
      <c r="I4195">
        <v>0.64105800000000002</v>
      </c>
      <c r="J4195">
        <v>-420.67489999999998</v>
      </c>
      <c r="K4195">
        <v>1.1193789999999999</v>
      </c>
      <c r="L4195">
        <v>72.355900000000005</v>
      </c>
      <c r="M4195">
        <v>-2.1737550000000001E-2</v>
      </c>
      <c r="N4195">
        <v>-1.4275929999999999E-2</v>
      </c>
      <c r="O4195">
        <v>-0.99966180000000004</v>
      </c>
      <c r="P4195">
        <v>-2.003576E-2</v>
      </c>
      <c r="Q4195">
        <v>0.21548020000000001</v>
      </c>
      <c r="R4195">
        <v>-0.97630300000000003</v>
      </c>
      <c r="S4195">
        <v>0.71545409999999998</v>
      </c>
      <c r="T4195">
        <v>3.4765600000000001E-2</v>
      </c>
      <c r="U4195">
        <v>-3.0789179999999998</v>
      </c>
      <c r="V4195">
        <v>-2.017217E-4</v>
      </c>
      <c r="W4195">
        <v>0.22940160000000001</v>
      </c>
      <c r="X4195">
        <v>0.97333190000000003</v>
      </c>
      <c r="Y4195">
        <v>-0.24738550000000001</v>
      </c>
      <c r="Z4195">
        <v>-2.5274729999999999E-2</v>
      </c>
      <c r="AA4195">
        <v>0.96858750000000005</v>
      </c>
      <c r="AB4195">
        <v>40</v>
      </c>
      <c r="AC4195">
        <v>16.767999999999901</v>
      </c>
      <c r="AD4195">
        <v>0.81455599999999895</v>
      </c>
      <c r="AE4195">
        <v>-71.714842000000004</v>
      </c>
      <c r="AF4195">
        <v>-18.320859861282699</v>
      </c>
      <c r="AG4195">
        <v>0.81455599999999895</v>
      </c>
      <c r="AH4195">
        <v>71.324636147114802</v>
      </c>
      <c r="AI4195">
        <v>89.366259055563205</v>
      </c>
      <c r="AJ4195">
        <v>104.40588257258401</v>
      </c>
      <c r="AK4195">
        <v>73.644559398859997</v>
      </c>
      <c r="AL4195">
        <v>76.738156818093799</v>
      </c>
      <c r="AM4195">
        <v>90.011874471473405</v>
      </c>
      <c r="AN4195">
        <v>1.0000000611658999</v>
      </c>
    </row>
    <row r="4196" spans="1:40" x14ac:dyDescent="0.25">
      <c r="A4196" t="str">
        <f>"20190303170623623"</f>
        <v>20190303170623623</v>
      </c>
      <c r="B4196" t="str">
        <f>"1551603983609660"</f>
        <v>1551603983609660</v>
      </c>
      <c r="C4196" t="s">
        <v>40</v>
      </c>
      <c r="D4196">
        <v>6.3223649999999996</v>
      </c>
      <c r="E4196">
        <v>0.4065532</v>
      </c>
      <c r="F4196" t="s">
        <v>92</v>
      </c>
      <c r="G4196">
        <v>-403.89030000000002</v>
      </c>
      <c r="H4196">
        <v>1.9415439999999999</v>
      </c>
      <c r="I4196">
        <v>0.64122959999999996</v>
      </c>
      <c r="J4196">
        <v>-420.68540000000002</v>
      </c>
      <c r="K4196">
        <v>1.119192</v>
      </c>
      <c r="L4196">
        <v>71.957890000000006</v>
      </c>
      <c r="M4196">
        <v>-2.3921040000000001E-2</v>
      </c>
      <c r="N4196">
        <v>-1.427776E-2</v>
      </c>
      <c r="O4196">
        <v>-0.9996119</v>
      </c>
      <c r="P4196">
        <v>-2.065171E-2</v>
      </c>
      <c r="Q4196">
        <v>0.21593409999999999</v>
      </c>
      <c r="R4196">
        <v>-0.97618939999999998</v>
      </c>
      <c r="S4196">
        <v>0.72082519999999894</v>
      </c>
      <c r="T4196">
        <v>3.5307289999999998E-2</v>
      </c>
      <c r="U4196">
        <v>-3.079834</v>
      </c>
      <c r="V4196">
        <v>-1.6115389999999999E-3</v>
      </c>
      <c r="W4196">
        <v>0.22986329999999999</v>
      </c>
      <c r="X4196">
        <v>0.97322160000000002</v>
      </c>
      <c r="Y4196">
        <v>-0.25103789999999998</v>
      </c>
      <c r="Z4196">
        <v>-2.5439639999999999E-2</v>
      </c>
      <c r="AA4196">
        <v>0.96764289999999997</v>
      </c>
      <c r="AB4196">
        <v>40</v>
      </c>
      <c r="AC4196">
        <v>16.795099999999898</v>
      </c>
      <c r="AD4196">
        <v>0.82235199999999997</v>
      </c>
      <c r="AE4196">
        <v>-71.316660400000004</v>
      </c>
      <c r="AF4196">
        <v>-18.4941058643597</v>
      </c>
      <c r="AG4196">
        <v>0.82235199999999997</v>
      </c>
      <c r="AH4196">
        <v>70.885521884309298</v>
      </c>
      <c r="AI4196">
        <v>89.356860953240698</v>
      </c>
      <c r="AJ4196">
        <v>104.622562052078</v>
      </c>
      <c r="AK4196">
        <v>73.262988113678105</v>
      </c>
      <c r="AL4196">
        <v>76.710976328042193</v>
      </c>
      <c r="AM4196">
        <v>90.094874896764495</v>
      </c>
      <c r="AN4196">
        <v>1.0000000082256899</v>
      </c>
    </row>
    <row r="4197" spans="1:40" x14ac:dyDescent="0.25">
      <c r="A4197" t="str">
        <f>"20190303170623645"</f>
        <v>20190303170623645</v>
      </c>
      <c r="B4197" t="str">
        <f>"1551603983638940"</f>
        <v>1551603983638940</v>
      </c>
      <c r="C4197" t="s">
        <v>40</v>
      </c>
      <c r="D4197">
        <v>6.0981350000000001</v>
      </c>
      <c r="E4197">
        <v>0.40525430000000001</v>
      </c>
      <c r="F4197" t="s">
        <v>92</v>
      </c>
      <c r="G4197">
        <v>-403.96050000000002</v>
      </c>
      <c r="H4197">
        <v>1.9676169999999999</v>
      </c>
      <c r="I4197">
        <v>0.64051440000000004</v>
      </c>
      <c r="J4197">
        <v>-420.69709999999998</v>
      </c>
      <c r="K4197">
        <v>1.1190450000000001</v>
      </c>
      <c r="L4197">
        <v>71.554630000000003</v>
      </c>
      <c r="M4197">
        <v>-2.6264849999999999E-2</v>
      </c>
      <c r="N4197">
        <v>-1.427838E-2</v>
      </c>
      <c r="O4197">
        <v>-0.99955329999999998</v>
      </c>
      <c r="P4197">
        <v>-2.1632820000000001E-2</v>
      </c>
      <c r="Q4197">
        <v>0.21576509999999999</v>
      </c>
      <c r="R4197">
        <v>-0.97620609999999997</v>
      </c>
      <c r="S4197">
        <v>0.72238159999999996</v>
      </c>
      <c r="T4197">
        <v>3.6644099999999999E-2</v>
      </c>
      <c r="U4197">
        <v>-3.0803530000000001</v>
      </c>
      <c r="V4197">
        <v>-2.837254E-3</v>
      </c>
      <c r="W4197">
        <v>0.22970280000000001</v>
      </c>
      <c r="X4197">
        <v>0.97325669999999997</v>
      </c>
      <c r="Y4197">
        <v>-0.25373210000000002</v>
      </c>
      <c r="Z4197">
        <v>-2.585753E-2</v>
      </c>
      <c r="AA4197">
        <v>0.96692880000000003</v>
      </c>
      <c r="AB4197">
        <v>40</v>
      </c>
      <c r="AC4197">
        <v>16.7365999999999</v>
      </c>
      <c r="AD4197">
        <v>0.84857199999999899</v>
      </c>
      <c r="AE4197">
        <v>-70.914115600000002</v>
      </c>
      <c r="AF4197">
        <v>-18.591041451952801</v>
      </c>
      <c r="AG4197">
        <v>0.84857199999999899</v>
      </c>
      <c r="AH4197">
        <v>70.440463461648093</v>
      </c>
      <c r="AI4197">
        <v>89.332659820911502</v>
      </c>
      <c r="AJ4197">
        <v>104.784692378004</v>
      </c>
      <c r="AK4197">
        <v>72.857434688569697</v>
      </c>
      <c r="AL4197">
        <v>76.720425227407802</v>
      </c>
      <c r="AM4197">
        <v>90.167029129207805</v>
      </c>
      <c r="AN4197">
        <v>1.0000000152164901</v>
      </c>
    </row>
    <row r="4198" spans="1:40" x14ac:dyDescent="0.25">
      <c r="A4198" t="str">
        <f>"20190303170623667"</f>
        <v>20190303170623667</v>
      </c>
      <c r="B4198" t="str">
        <f>"1551603983659436"</f>
        <v>1551603983659436</v>
      </c>
      <c r="C4198" t="s">
        <v>40</v>
      </c>
      <c r="D4198">
        <v>6.1006090000000004</v>
      </c>
      <c r="E4198">
        <v>0.40448099999999998</v>
      </c>
      <c r="F4198" t="s">
        <v>92</v>
      </c>
      <c r="G4198">
        <v>-403.92320000000001</v>
      </c>
      <c r="H4198">
        <v>2.0004409999999999</v>
      </c>
      <c r="I4198">
        <v>0.64089200000000002</v>
      </c>
      <c r="J4198">
        <v>-420.70960000000002</v>
      </c>
      <c r="K4198">
        <v>1.11893</v>
      </c>
      <c r="L4198">
        <v>71.157589999999999</v>
      </c>
      <c r="M4198">
        <v>-2.865653E-2</v>
      </c>
      <c r="N4198">
        <v>-1.427792E-2</v>
      </c>
      <c r="O4198">
        <v>-0.99948760000000003</v>
      </c>
      <c r="P4198">
        <v>-2.2711930000000002E-2</v>
      </c>
      <c r="Q4198">
        <v>0.21548929999999999</v>
      </c>
      <c r="R4198">
        <v>-0.97624239999999995</v>
      </c>
      <c r="S4198">
        <v>0.72872919999999997</v>
      </c>
      <c r="T4198">
        <v>3.8290619999999997E-2</v>
      </c>
      <c r="U4198">
        <v>-3.0808110000000002</v>
      </c>
      <c r="V4198">
        <v>-4.0329959999999996E-3</v>
      </c>
      <c r="W4198">
        <v>0.229435</v>
      </c>
      <c r="X4198">
        <v>0.97331570000000001</v>
      </c>
      <c r="Y4198">
        <v>-0.2578976</v>
      </c>
      <c r="Z4198">
        <v>-2.6367140000000001E-2</v>
      </c>
      <c r="AA4198">
        <v>0.96581240000000002</v>
      </c>
      <c r="AB4198">
        <v>40</v>
      </c>
      <c r="AC4198">
        <v>16.7864</v>
      </c>
      <c r="AD4198">
        <v>0.88151099999999905</v>
      </c>
      <c r="AE4198">
        <v>-70.516698000000005</v>
      </c>
      <c r="AF4198">
        <v>-18.797694112690301</v>
      </c>
      <c r="AG4198">
        <v>0.88151099999999905</v>
      </c>
      <c r="AH4198">
        <v>69.996291610551097</v>
      </c>
      <c r="AI4198">
        <v>89.303161543129505</v>
      </c>
      <c r="AJ4198">
        <v>105.03225802193001</v>
      </c>
      <c r="AK4198">
        <v>72.481799127965303</v>
      </c>
      <c r="AL4198">
        <v>76.736190791993195</v>
      </c>
      <c r="AM4198">
        <v>90.237407376828202</v>
      </c>
      <c r="AN4198">
        <v>1.0000000680741099</v>
      </c>
    </row>
    <row r="4199" spans="1:40" x14ac:dyDescent="0.25">
      <c r="A4199" t="str">
        <f>"20190303170623688"</f>
        <v>20190303170623688</v>
      </c>
      <c r="B4199" t="str">
        <f>"1551603983678956"</f>
        <v>1551603983678956</v>
      </c>
      <c r="C4199" t="s">
        <v>40</v>
      </c>
      <c r="D4199">
        <v>6.1092969999999998</v>
      </c>
      <c r="E4199">
        <v>0.40390350000000003</v>
      </c>
      <c r="F4199" t="s">
        <v>92</v>
      </c>
      <c r="G4199">
        <v>-403.97699999999998</v>
      </c>
      <c r="H4199">
        <v>2.0085320000000002</v>
      </c>
      <c r="I4199">
        <v>0.64034650000000004</v>
      </c>
      <c r="J4199">
        <v>-420.7226</v>
      </c>
      <c r="K4199">
        <v>1.1188400000000001</v>
      </c>
      <c r="L4199">
        <v>70.772459999999995</v>
      </c>
      <c r="M4199">
        <v>-3.1024759999999998E-2</v>
      </c>
      <c r="N4199">
        <v>-1.4276789999999999E-2</v>
      </c>
      <c r="O4199">
        <v>-0.99941670000000005</v>
      </c>
      <c r="P4199">
        <v>-2.3590750000000001E-2</v>
      </c>
      <c r="Q4199">
        <v>0.2145579</v>
      </c>
      <c r="R4199">
        <v>-0.97642669999999998</v>
      </c>
      <c r="S4199">
        <v>0.73117069999999995</v>
      </c>
      <c r="T4199">
        <v>3.8872240000000002E-2</v>
      </c>
      <c r="U4199">
        <v>-3.0814210000000002</v>
      </c>
      <c r="V4199">
        <v>-5.4297879999999996E-3</v>
      </c>
      <c r="W4199">
        <v>0.22851399999999999</v>
      </c>
      <c r="X4199">
        <v>0.97352550000000004</v>
      </c>
      <c r="Y4199">
        <v>-0.2608666</v>
      </c>
      <c r="Z4199">
        <v>-2.6543239999999999E-2</v>
      </c>
      <c r="AA4199">
        <v>0.96500989999999998</v>
      </c>
      <c r="AB4199">
        <v>40</v>
      </c>
      <c r="AC4199">
        <v>16.7456</v>
      </c>
      <c r="AD4199">
        <v>0.88969199999999904</v>
      </c>
      <c r="AE4199">
        <v>-70.132113499999903</v>
      </c>
      <c r="AF4199">
        <v>-18.910711745338698</v>
      </c>
      <c r="AG4199">
        <v>0.88969199999999904</v>
      </c>
      <c r="AH4199">
        <v>69.568173056266403</v>
      </c>
      <c r="AI4199">
        <v>89.292951071438097</v>
      </c>
      <c r="AJ4199">
        <v>105.207253389575</v>
      </c>
      <c r="AK4199">
        <v>72.098108664213896</v>
      </c>
      <c r="AL4199">
        <v>76.790399707898999</v>
      </c>
      <c r="AM4199">
        <v>90.319560925911006</v>
      </c>
      <c r="AN4199">
        <v>1.0000000149719801</v>
      </c>
    </row>
    <row r="4200" spans="1:40" x14ac:dyDescent="0.25">
      <c r="A4200" t="str">
        <f>"20190303170623711"</f>
        <v>20190303170623711</v>
      </c>
      <c r="B4200" t="str">
        <f>"1551603983699452"</f>
        <v>1551603983699452</v>
      </c>
      <c r="C4200" t="s">
        <v>40</v>
      </c>
      <c r="D4200">
        <v>6.087129</v>
      </c>
      <c r="E4200">
        <v>0.40337329999999999</v>
      </c>
      <c r="F4200" t="s">
        <v>92</v>
      </c>
      <c r="G4200">
        <v>-404.05880000000002</v>
      </c>
      <c r="H4200">
        <v>1.9560409999999999</v>
      </c>
      <c r="I4200">
        <v>0.6395149</v>
      </c>
      <c r="J4200">
        <v>-420.73739999999998</v>
      </c>
      <c r="K4200">
        <v>1.1187590000000001</v>
      </c>
      <c r="L4200">
        <v>70.366330000000005</v>
      </c>
      <c r="M4200">
        <v>-3.3547979999999998E-2</v>
      </c>
      <c r="N4200">
        <v>-1.427515E-2</v>
      </c>
      <c r="O4200">
        <v>-0.99933530000000004</v>
      </c>
      <c r="P4200">
        <v>-2.501159E-2</v>
      </c>
      <c r="Q4200">
        <v>0.21392330000000001</v>
      </c>
      <c r="R4200">
        <v>-0.97653100000000004</v>
      </c>
      <c r="S4200">
        <v>0.73229979999999995</v>
      </c>
      <c r="T4200">
        <v>3.6790129999999997E-2</v>
      </c>
      <c r="U4200">
        <v>-3.0820310000000002</v>
      </c>
      <c r="V4200">
        <v>-6.4408850000000004E-3</v>
      </c>
      <c r="W4200">
        <v>0.2278869</v>
      </c>
      <c r="X4200">
        <v>0.97366629999999998</v>
      </c>
      <c r="Y4200">
        <v>-0.26359729999999998</v>
      </c>
      <c r="Z4200">
        <v>-2.588329E-2</v>
      </c>
      <c r="AA4200">
        <v>0.96428550000000002</v>
      </c>
      <c r="AB4200">
        <v>40</v>
      </c>
      <c r="AC4200">
        <v>16.6785999999999</v>
      </c>
      <c r="AD4200">
        <v>0.83728199999999897</v>
      </c>
      <c r="AE4200">
        <v>-69.726815099999996</v>
      </c>
      <c r="AF4200">
        <v>-19.006049457104702</v>
      </c>
      <c r="AG4200">
        <v>0.83728199999999897</v>
      </c>
      <c r="AH4200">
        <v>69.118541148376494</v>
      </c>
      <c r="AI4200">
        <v>89.330805873514606</v>
      </c>
      <c r="AJ4200">
        <v>105.37505720121101</v>
      </c>
      <c r="AK4200">
        <v>71.688936995838105</v>
      </c>
      <c r="AL4200">
        <v>76.827303350419896</v>
      </c>
      <c r="AM4200">
        <v>90.379010903481799</v>
      </c>
      <c r="AN4200">
        <v>0.99999999397344097</v>
      </c>
    </row>
    <row r="4201" spans="1:40" x14ac:dyDescent="0.25">
      <c r="A4201" t="str">
        <f>"20190303170623734"</f>
        <v>20190303170623734</v>
      </c>
      <c r="B4201" t="str">
        <f>"1551603983729708"</f>
        <v>1551603983729708</v>
      </c>
      <c r="C4201" t="s">
        <v>40</v>
      </c>
      <c r="D4201">
        <v>6.1042160000000001</v>
      </c>
      <c r="E4201">
        <v>0.40259699999999998</v>
      </c>
      <c r="F4201" t="s">
        <v>92</v>
      </c>
      <c r="G4201">
        <v>-404.17509999999999</v>
      </c>
      <c r="H4201">
        <v>1.9409000000000001</v>
      </c>
      <c r="I4201">
        <v>0.63833050000000002</v>
      </c>
      <c r="J4201">
        <v>-420.75369999999998</v>
      </c>
      <c r="K4201">
        <v>1.11869</v>
      </c>
      <c r="L4201">
        <v>69.949129999999997</v>
      </c>
      <c r="M4201">
        <v>-3.6148670000000001E-2</v>
      </c>
      <c r="N4201">
        <v>-1.4273599999999999E-2</v>
      </c>
      <c r="O4201">
        <v>-0.99924469999999999</v>
      </c>
      <c r="P4201">
        <v>-2.7490669999999998E-2</v>
      </c>
      <c r="Q4201">
        <v>0.21506929999999999</v>
      </c>
      <c r="R4201">
        <v>-0.97621210000000003</v>
      </c>
      <c r="S4201">
        <v>0.73226930000000001</v>
      </c>
      <c r="T4201">
        <v>3.6348100000000001E-2</v>
      </c>
      <c r="U4201">
        <v>-3.0828859999999998</v>
      </c>
      <c r="V4201">
        <v>-6.4521079999999998E-3</v>
      </c>
      <c r="W4201">
        <v>0.22902929999999999</v>
      </c>
      <c r="X4201">
        <v>0.97339810000000004</v>
      </c>
      <c r="Y4201">
        <v>-0.26603830000000001</v>
      </c>
      <c r="Z4201">
        <v>-2.5738759999999999E-2</v>
      </c>
      <c r="AA4201">
        <v>0.9636188</v>
      </c>
      <c r="AB4201">
        <v>40</v>
      </c>
      <c r="AC4201">
        <v>16.578599999999899</v>
      </c>
      <c r="AD4201">
        <v>0.82221</v>
      </c>
      <c r="AE4201">
        <v>-69.310799500000002</v>
      </c>
      <c r="AF4201">
        <v>-19.070971871300301</v>
      </c>
      <c r="AG4201">
        <v>0.82221</v>
      </c>
      <c r="AH4201">
        <v>68.656996355142695</v>
      </c>
      <c r="AI4201">
        <v>89.338908178953304</v>
      </c>
      <c r="AJ4201">
        <v>105.523788699371</v>
      </c>
      <c r="AK4201">
        <v>71.261217684727399</v>
      </c>
      <c r="AL4201">
        <v>76.760070074144096</v>
      </c>
      <c r="AM4201">
        <v>90.379775904039406</v>
      </c>
      <c r="AN4201">
        <v>0.99999995551986998</v>
      </c>
    </row>
    <row r="4202" spans="1:40" x14ac:dyDescent="0.25">
      <c r="A4202" t="str">
        <f>"20190303170623756"</f>
        <v>20190303170623756</v>
      </c>
      <c r="B4202" t="str">
        <f>"1551603983749587"</f>
        <v>1551603983749587</v>
      </c>
      <c r="C4202" t="s">
        <v>40</v>
      </c>
      <c r="D4202">
        <v>6.085102</v>
      </c>
      <c r="E4202">
        <v>0.40209529999999999</v>
      </c>
      <c r="F4202" t="s">
        <v>92</v>
      </c>
      <c r="G4202">
        <v>-404.31760000000003</v>
      </c>
      <c r="H4202">
        <v>2.0739109999999998</v>
      </c>
      <c r="I4202">
        <v>0.63688089999999997</v>
      </c>
      <c r="J4202">
        <v>-420.76979999999998</v>
      </c>
      <c r="K4202">
        <v>1.118641</v>
      </c>
      <c r="L4202">
        <v>69.558689999999999</v>
      </c>
      <c r="M4202">
        <v>-3.85811E-2</v>
      </c>
      <c r="N4202">
        <v>-1.427223E-2</v>
      </c>
      <c r="O4202">
        <v>-0.99915370000000003</v>
      </c>
      <c r="P4202">
        <v>-3.0461080000000001E-2</v>
      </c>
      <c r="Q4202">
        <v>0.2150349</v>
      </c>
      <c r="R4202">
        <v>-0.97613130000000004</v>
      </c>
      <c r="S4202">
        <v>0.73138429999999999</v>
      </c>
      <c r="T4202">
        <v>4.2505149999999998E-2</v>
      </c>
      <c r="U4202">
        <v>-3.08432</v>
      </c>
      <c r="V4202">
        <v>-5.830661E-3</v>
      </c>
      <c r="W4202">
        <v>0.22899079999999999</v>
      </c>
      <c r="X4202">
        <v>0.97341109999999997</v>
      </c>
      <c r="Y4202">
        <v>-0.26801360000000002</v>
      </c>
      <c r="Z4202">
        <v>-2.766151E-2</v>
      </c>
      <c r="AA4202">
        <v>0.96301789999999998</v>
      </c>
      <c r="AB4202">
        <v>40</v>
      </c>
      <c r="AC4202">
        <v>16.452199999999898</v>
      </c>
      <c r="AD4202">
        <v>0.95526999999999895</v>
      </c>
      <c r="AE4202">
        <v>-68.921809099999905</v>
      </c>
      <c r="AF4202">
        <v>-19.095827399039099</v>
      </c>
      <c r="AG4202">
        <v>0.95526999999999895</v>
      </c>
      <c r="AH4202">
        <v>68.2232764259833</v>
      </c>
      <c r="AI4202">
        <v>89.227477749887896</v>
      </c>
      <c r="AJ4202">
        <v>105.637036341479</v>
      </c>
      <c r="AK4202">
        <v>70.851807394892305</v>
      </c>
      <c r="AL4202">
        <v>76.762336466536695</v>
      </c>
      <c r="AM4202">
        <v>90.343193406917194</v>
      </c>
      <c r="AN4202">
        <v>0.99999997634777305</v>
      </c>
    </row>
    <row r="4203" spans="1:40" x14ac:dyDescent="0.25">
      <c r="A4203" t="str">
        <f>"20190303170623777"</f>
        <v>20190303170623777</v>
      </c>
      <c r="B4203" t="str">
        <f>"1551603983769107"</f>
        <v>1551603983769107</v>
      </c>
      <c r="C4203" t="s">
        <v>40</v>
      </c>
      <c r="D4203">
        <v>6.0932190000000004</v>
      </c>
      <c r="E4203">
        <v>0.40157480000000001</v>
      </c>
      <c r="F4203" t="s">
        <v>92</v>
      </c>
      <c r="G4203">
        <v>-404.55259999999998</v>
      </c>
      <c r="H4203">
        <v>2.095933</v>
      </c>
      <c r="I4203">
        <v>0.63449290000000003</v>
      </c>
      <c r="J4203">
        <v>-420.7867</v>
      </c>
      <c r="K4203">
        <v>1.1185940000000001</v>
      </c>
      <c r="L4203">
        <v>69.17313</v>
      </c>
      <c r="M4203">
        <v>-4.0979309999999998E-2</v>
      </c>
      <c r="N4203">
        <v>-1.427079E-2</v>
      </c>
      <c r="O4203">
        <v>-0.99905840000000001</v>
      </c>
      <c r="P4203">
        <v>-3.302298E-2</v>
      </c>
      <c r="Q4203">
        <v>0.21262049999999999</v>
      </c>
      <c r="R4203">
        <v>-0.97657709999999998</v>
      </c>
      <c r="S4203">
        <v>0.72619630000000002</v>
      </c>
      <c r="T4203">
        <v>4.376149E-2</v>
      </c>
      <c r="U4203">
        <v>-3.086395</v>
      </c>
      <c r="V4203">
        <v>-5.6255069999999897E-3</v>
      </c>
      <c r="W4203">
        <v>0.22658200000000001</v>
      </c>
      <c r="X4203">
        <v>0.97397579999999995</v>
      </c>
      <c r="Y4203">
        <v>-0.26864559999999998</v>
      </c>
      <c r="Z4203">
        <v>-2.8047699999999998E-2</v>
      </c>
      <c r="AA4203">
        <v>0.96283070000000004</v>
      </c>
      <c r="AB4203">
        <v>40</v>
      </c>
      <c r="AC4203">
        <v>16.234100000000002</v>
      </c>
      <c r="AD4203">
        <v>0.97733899999999996</v>
      </c>
      <c r="AE4203">
        <v>-68.538637099999903</v>
      </c>
      <c r="AF4203">
        <v>-19.0257485494277</v>
      </c>
      <c r="AG4203">
        <v>0.97733899999999996</v>
      </c>
      <c r="AH4203">
        <v>67.802668376797399</v>
      </c>
      <c r="AI4203">
        <v>89.2048757418289</v>
      </c>
      <c r="AJ4203">
        <v>105.674370224101</v>
      </c>
      <c r="AK4203">
        <v>70.428233957702901</v>
      </c>
      <c r="AL4203">
        <v>76.904076480282001</v>
      </c>
      <c r="AM4203">
        <v>90.330926317277104</v>
      </c>
      <c r="AN4203">
        <v>0.99999995401932196</v>
      </c>
    </row>
    <row r="4204" spans="1:40" x14ac:dyDescent="0.25">
      <c r="A4204" t="str">
        <f>"20190303170623801"</f>
        <v>20190303170623801</v>
      </c>
      <c r="B4204" t="str">
        <f>"1551603983789602"</f>
        <v>1551603983789602</v>
      </c>
      <c r="C4204" t="s">
        <v>40</v>
      </c>
      <c r="D4204">
        <v>6.0681430000000001</v>
      </c>
      <c r="E4204">
        <v>0.40109519999999999</v>
      </c>
      <c r="F4204" t="s">
        <v>92</v>
      </c>
      <c r="G4204">
        <v>-404.78269999999998</v>
      </c>
      <c r="H4204">
        <v>1.9279230000000001</v>
      </c>
      <c r="I4204">
        <v>0.63215259999999995</v>
      </c>
      <c r="J4204">
        <v>-420.80579999999998</v>
      </c>
      <c r="K4204">
        <v>1.1185499999999999</v>
      </c>
      <c r="L4204">
        <v>68.762600000000006</v>
      </c>
      <c r="M4204">
        <v>-4.3528850000000001E-2</v>
      </c>
      <c r="N4204">
        <v>-1.4269169999999999E-2</v>
      </c>
      <c r="O4204">
        <v>-0.99895049999999996</v>
      </c>
      <c r="P4204">
        <v>-3.545504E-2</v>
      </c>
      <c r="Q4204">
        <v>0.20930860000000001</v>
      </c>
      <c r="R4204">
        <v>-0.97720720000000005</v>
      </c>
      <c r="S4204">
        <v>0.72113039999999995</v>
      </c>
      <c r="T4204">
        <v>3.6466600000000002E-2</v>
      </c>
      <c r="U4204">
        <v>-3.088409</v>
      </c>
      <c r="V4204">
        <v>-5.7186829999999996E-3</v>
      </c>
      <c r="W4204">
        <v>0.22328039999999999</v>
      </c>
      <c r="X4204">
        <v>0.97473750000000003</v>
      </c>
      <c r="Y4204">
        <v>-0.2694763</v>
      </c>
      <c r="Z4204">
        <v>-2.575672E-2</v>
      </c>
      <c r="AA4204">
        <v>0.96266249999999998</v>
      </c>
      <c r="AB4204">
        <v>40</v>
      </c>
      <c r="AC4204">
        <v>16.023099999999999</v>
      </c>
      <c r="AD4204">
        <v>0.80937300000000001</v>
      </c>
      <c r="AE4204">
        <v>-68.130447399999994</v>
      </c>
      <c r="AF4204">
        <v>-18.971313965600402</v>
      </c>
      <c r="AG4204">
        <v>0.80937300000000001</v>
      </c>
      <c r="AH4204">
        <v>67.359312172976601</v>
      </c>
      <c r="AI4204">
        <v>89.337358537719695</v>
      </c>
      <c r="AJ4204">
        <v>105.72953009355101</v>
      </c>
      <c r="AK4204">
        <v>69.984589551207804</v>
      </c>
      <c r="AL4204">
        <v>77.098220146882198</v>
      </c>
      <c r="AM4204">
        <v>90.336144491198098</v>
      </c>
      <c r="AN4204">
        <v>1.00000001713283</v>
      </c>
    </row>
    <row r="4205" spans="1:40" x14ac:dyDescent="0.25">
      <c r="A4205" t="str">
        <f>"20190303170623824"</f>
        <v>20190303170623824</v>
      </c>
      <c r="B4205" t="str">
        <f>"1551603983818882"</f>
        <v>1551603983818882</v>
      </c>
      <c r="C4205" t="s">
        <v>40</v>
      </c>
      <c r="D4205">
        <v>6.1348640000000003</v>
      </c>
      <c r="E4205">
        <v>0.40101720000000002</v>
      </c>
      <c r="F4205" t="s">
        <v>92</v>
      </c>
      <c r="G4205">
        <v>-404.99950000000001</v>
      </c>
      <c r="H4205">
        <v>1.707684</v>
      </c>
      <c r="I4205">
        <v>0.6299496</v>
      </c>
      <c r="J4205">
        <v>-420.82580000000002</v>
      </c>
      <c r="K4205">
        <v>1.1185149999999999</v>
      </c>
      <c r="L4205">
        <v>68.354640000000003</v>
      </c>
      <c r="M4205">
        <v>-4.6061110000000002E-2</v>
      </c>
      <c r="N4205">
        <v>-1.426766E-2</v>
      </c>
      <c r="O4205">
        <v>-0.99883679999999997</v>
      </c>
      <c r="P4205">
        <v>-3.8124180000000001E-2</v>
      </c>
      <c r="Q4205">
        <v>0.2082165</v>
      </c>
      <c r="R4205">
        <v>-0.97733970000000003</v>
      </c>
      <c r="S4205">
        <v>0.71691890000000003</v>
      </c>
      <c r="T4205">
        <v>2.6720049999999999E-2</v>
      </c>
      <c r="U4205">
        <v>-3.090271</v>
      </c>
      <c r="V4205">
        <v>-5.5313940000000002E-3</v>
      </c>
      <c r="W4205">
        <v>0.22218940000000001</v>
      </c>
      <c r="X4205">
        <v>0.97498790000000002</v>
      </c>
      <c r="Y4205">
        <v>-0.2705553</v>
      </c>
      <c r="Z4205">
        <v>-2.2701849999999999E-2</v>
      </c>
      <c r="AA4205">
        <v>0.96243670000000003</v>
      </c>
      <c r="AB4205">
        <v>40</v>
      </c>
      <c r="AC4205">
        <v>15.8263</v>
      </c>
      <c r="AD4205">
        <v>0.58916899999999905</v>
      </c>
      <c r="AE4205">
        <v>-67.7246904</v>
      </c>
      <c r="AF4205">
        <v>-18.9279323633667</v>
      </c>
      <c r="AG4205">
        <v>0.58916899999999905</v>
      </c>
      <c r="AH4205">
        <v>66.918941058682606</v>
      </c>
      <c r="AI4205">
        <v>89.5146103440334</v>
      </c>
      <c r="AJ4205">
        <v>105.79348422203999</v>
      </c>
      <c r="AK4205">
        <v>69.546807375164093</v>
      </c>
      <c r="AL4205">
        <v>77.162341243022794</v>
      </c>
      <c r="AM4205">
        <v>90.325052373339204</v>
      </c>
      <c r="AN4205">
        <v>1.0000000654691701</v>
      </c>
    </row>
    <row r="4206" spans="1:40" x14ac:dyDescent="0.25">
      <c r="A4206" t="str">
        <f>"20190303170623846"</f>
        <v>20190303170623846</v>
      </c>
      <c r="B4206" t="str">
        <f>"1551603983839378"</f>
        <v>1551603983839378</v>
      </c>
      <c r="C4206" t="s">
        <v>40</v>
      </c>
      <c r="D4206">
        <v>6.1650269999999896</v>
      </c>
      <c r="E4206">
        <v>0.44048389999999998</v>
      </c>
      <c r="F4206" t="s">
        <v>92</v>
      </c>
      <c r="G4206">
        <v>-405.30099999999999</v>
      </c>
      <c r="H4206">
        <v>1.635367</v>
      </c>
      <c r="I4206">
        <v>0.62687869999999901</v>
      </c>
      <c r="J4206">
        <v>-420.8458</v>
      </c>
      <c r="K4206">
        <v>1.118501</v>
      </c>
      <c r="L4206">
        <v>67.967039999999997</v>
      </c>
      <c r="M4206">
        <v>-4.8464470000000003E-2</v>
      </c>
      <c r="N4206">
        <v>-1.426611E-2</v>
      </c>
      <c r="O4206">
        <v>-0.99872329999999998</v>
      </c>
      <c r="P4206">
        <v>-4.2429830000000002E-2</v>
      </c>
      <c r="Q4206">
        <v>0.21022460000000001</v>
      </c>
      <c r="R4206">
        <v>-0.97673209999999999</v>
      </c>
      <c r="S4206">
        <v>0.70880129999999997</v>
      </c>
      <c r="T4206">
        <v>2.3596289999999999E-2</v>
      </c>
      <c r="U4206">
        <v>-3.0921940000000001</v>
      </c>
      <c r="V4206">
        <v>-3.533872E-3</v>
      </c>
      <c r="W4206">
        <v>0.2241774</v>
      </c>
      <c r="X4206">
        <v>0.97454200000000002</v>
      </c>
      <c r="Y4206">
        <v>-0.27034390000000003</v>
      </c>
      <c r="Z4206">
        <v>-2.1722849999999998E-2</v>
      </c>
      <c r="AA4206">
        <v>0.96251869999999995</v>
      </c>
      <c r="AB4206">
        <v>40</v>
      </c>
      <c r="AC4206">
        <v>15.5448</v>
      </c>
      <c r="AD4206">
        <v>0.51686599999999905</v>
      </c>
      <c r="AE4206">
        <v>-67.340161299999906</v>
      </c>
      <c r="AF4206">
        <v>-18.7894152521243</v>
      </c>
      <c r="AG4206">
        <v>0.51686599999999905</v>
      </c>
      <c r="AH4206">
        <v>66.503847628034507</v>
      </c>
      <c r="AI4206">
        <v>89.5714818141211</v>
      </c>
      <c r="AJ4206">
        <v>105.77664414477999</v>
      </c>
      <c r="AK4206">
        <v>69.109124038085895</v>
      </c>
      <c r="AL4206">
        <v>77.045489640012903</v>
      </c>
      <c r="AM4206">
        <v>90.207764327733898</v>
      </c>
      <c r="AN4206">
        <v>1.0000000523430299</v>
      </c>
    </row>
    <row r="4207" spans="1:40" x14ac:dyDescent="0.25">
      <c r="A4207" t="str">
        <f>"20190303170623867"</f>
        <v>20190303170623867</v>
      </c>
      <c r="B4207" t="str">
        <f>"1551603983858898"</f>
        <v>1551603983858898</v>
      </c>
      <c r="C4207" t="s">
        <v>40</v>
      </c>
      <c r="D4207">
        <v>5.9576079999999996</v>
      </c>
      <c r="E4207">
        <v>0.51949780000000001</v>
      </c>
      <c r="F4207" t="s">
        <v>71</v>
      </c>
      <c r="G4207">
        <v>-416.72289999999998</v>
      </c>
      <c r="H4207" s="1">
        <v>-3.7165459999999999E-6</v>
      </c>
      <c r="I4207">
        <v>34.940459999999902</v>
      </c>
      <c r="J4207">
        <v>-420.86649999999997</v>
      </c>
      <c r="K4207">
        <v>1.1185020000000001</v>
      </c>
      <c r="L4207">
        <v>67.582309999999893</v>
      </c>
      <c r="M4207">
        <v>-5.084727E-2</v>
      </c>
      <c r="N4207">
        <v>-1.4264570000000001E-2</v>
      </c>
      <c r="O4207">
        <v>-0.99860459999999995</v>
      </c>
      <c r="P4207">
        <v>-4.6475200000000001E-2</v>
      </c>
      <c r="Q4207">
        <v>0.21083089999999999</v>
      </c>
      <c r="R4207">
        <v>-0.97641730000000004</v>
      </c>
      <c r="S4207">
        <v>0.38836670000000001</v>
      </c>
      <c r="T4207">
        <v>-0.10536040000000001</v>
      </c>
      <c r="U4207">
        <v>-3.1110229999999999</v>
      </c>
      <c r="V4207">
        <v>-1.8016869999999999E-3</v>
      </c>
      <c r="W4207">
        <v>0.22476940000000001</v>
      </c>
      <c r="X4207">
        <v>0.97441029999999995</v>
      </c>
      <c r="Y4207">
        <v>-0.17409269999999999</v>
      </c>
      <c r="Z4207">
        <v>1.9088730000000002E-2</v>
      </c>
      <c r="AA4207">
        <v>0.98454419999999998</v>
      </c>
      <c r="AB4207">
        <v>40</v>
      </c>
      <c r="AC4207">
        <v>4.1435999999999904</v>
      </c>
      <c r="AD4207">
        <v>-1.118505716546</v>
      </c>
      <c r="AE4207">
        <v>-32.641849999999998</v>
      </c>
      <c r="AF4207">
        <v>-5.79146444655282</v>
      </c>
      <c r="AG4207">
        <v>-1.118505716546</v>
      </c>
      <c r="AH4207">
        <v>32.351521635392103</v>
      </c>
      <c r="AI4207">
        <v>91.949165907012599</v>
      </c>
      <c r="AJ4207">
        <v>100.149396631141</v>
      </c>
      <c r="AK4207">
        <v>32.884845561426502</v>
      </c>
      <c r="AL4207">
        <v>77.010681320172196</v>
      </c>
      <c r="AM4207">
        <v>90.105939914082995</v>
      </c>
      <c r="AN4207">
        <v>0.99999998099924703</v>
      </c>
    </row>
    <row r="4208" spans="1:40" x14ac:dyDescent="0.25">
      <c r="A4208" t="str">
        <f>"20190303170623891"</f>
        <v>20190303170623891</v>
      </c>
      <c r="B4208" t="str">
        <f>"1551603983879395"</f>
        <v>1551603983879395</v>
      </c>
      <c r="C4208" t="s">
        <v>40</v>
      </c>
      <c r="D4208">
        <v>5.9147860000000003</v>
      </c>
      <c r="E4208">
        <v>0.52737519999999904</v>
      </c>
      <c r="F4208" t="s">
        <v>41</v>
      </c>
      <c r="G4208">
        <v>-422.48570000000001</v>
      </c>
      <c r="H4208" s="1">
        <v>-4.0618020000000003E-6</v>
      </c>
      <c r="I4208">
        <v>47.62688</v>
      </c>
      <c r="J4208">
        <v>-420.88920000000002</v>
      </c>
      <c r="K4208">
        <v>1.118498</v>
      </c>
      <c r="L4208">
        <v>67.181340000000006</v>
      </c>
      <c r="M4208">
        <v>-5.3320470000000002E-2</v>
      </c>
      <c r="N4208">
        <v>-1.426296E-2</v>
      </c>
      <c r="O4208">
        <v>-0.99847569999999997</v>
      </c>
      <c r="P4208">
        <v>-4.990675E-2</v>
      </c>
      <c r="Q4208">
        <v>0.20966190000000001</v>
      </c>
      <c r="R4208">
        <v>-0.97649989999999998</v>
      </c>
      <c r="S4208">
        <v>-0.25137330000000002</v>
      </c>
      <c r="T4208">
        <v>-0.17364309999999999</v>
      </c>
      <c r="U4208">
        <v>-3.0979920000000001</v>
      </c>
      <c r="V4208">
        <v>-8.0712609999999995E-4</v>
      </c>
      <c r="W4208">
        <v>0.2235964</v>
      </c>
      <c r="X4208">
        <v>0.97468149999999998</v>
      </c>
      <c r="Y4208">
        <v>2.7525020000000001E-2</v>
      </c>
      <c r="Z4208">
        <v>4.1525619999999999E-2</v>
      </c>
      <c r="AA4208">
        <v>0.99875829999999999</v>
      </c>
      <c r="AB4208">
        <v>40</v>
      </c>
      <c r="AC4208">
        <v>-1.59649999999999</v>
      </c>
      <c r="AD4208">
        <v>-1.1185020618019901</v>
      </c>
      <c r="AE4208">
        <v>-19.554459999999999</v>
      </c>
      <c r="AF4208">
        <v>0.54968296619803203</v>
      </c>
      <c r="AG4208">
        <v>-1.1185020618019901</v>
      </c>
      <c r="AH4208">
        <v>19.5482382451167</v>
      </c>
      <c r="AI4208">
        <v>93.273461783594499</v>
      </c>
      <c r="AJ4208">
        <v>88.389306661974601</v>
      </c>
      <c r="AK4208">
        <v>19.587925278431801</v>
      </c>
      <c r="AL4208">
        <v>77.079645025323202</v>
      </c>
      <c r="AM4208">
        <v>90.047446174462394</v>
      </c>
      <c r="AN4208">
        <v>1.0000000139938701</v>
      </c>
    </row>
    <row r="4209" spans="1:40" x14ac:dyDescent="0.25">
      <c r="A4209" t="str">
        <f>"20190303170623913"</f>
        <v>20190303170623913</v>
      </c>
      <c r="B4209" t="str">
        <f>"1551603983898915"</f>
        <v>1551603983898915</v>
      </c>
      <c r="C4209" t="s">
        <v>40</v>
      </c>
      <c r="D4209">
        <v>5.8070550000000001</v>
      </c>
      <c r="E4209">
        <v>0.52955559999999902</v>
      </c>
      <c r="F4209" t="s">
        <v>41</v>
      </c>
      <c r="G4209">
        <v>-423.13580000000002</v>
      </c>
      <c r="H4209" s="1">
        <v>-3.5653209999999999E-6</v>
      </c>
      <c r="I4209">
        <v>45.955069999999999</v>
      </c>
      <c r="J4209">
        <v>-420.91289999999998</v>
      </c>
      <c r="K4209">
        <v>1.118495</v>
      </c>
      <c r="L4209">
        <v>66.779600000000002</v>
      </c>
      <c r="M4209">
        <v>-5.5781209999999998E-2</v>
      </c>
      <c r="N4209">
        <v>-1.426114E-2</v>
      </c>
      <c r="O4209">
        <v>-0.99834109999999998</v>
      </c>
      <c r="P4209">
        <v>-5.3430369999999998E-2</v>
      </c>
      <c r="Q4209">
        <v>0.2077736</v>
      </c>
      <c r="R4209">
        <v>-0.97671680000000005</v>
      </c>
      <c r="S4209">
        <v>-0.32708739999999997</v>
      </c>
      <c r="T4209">
        <v>-0.1628491</v>
      </c>
      <c r="U4209">
        <v>-3.0904539999999998</v>
      </c>
      <c r="V4209">
        <v>2.7262610000000002E-4</v>
      </c>
      <c r="W4209">
        <v>0.2217054</v>
      </c>
      <c r="X4209">
        <v>0.97511369999999997</v>
      </c>
      <c r="Y4209">
        <v>4.9509119999999997E-2</v>
      </c>
      <c r="Z4209">
        <v>3.8115660000000003E-2</v>
      </c>
      <c r="AA4209">
        <v>0.99804610000000005</v>
      </c>
      <c r="AB4209">
        <v>40</v>
      </c>
      <c r="AC4209">
        <v>-2.2229000000000299</v>
      </c>
      <c r="AD4209">
        <v>-1.118498565321</v>
      </c>
      <c r="AE4209">
        <v>-20.824529999999999</v>
      </c>
      <c r="AF4209">
        <v>1.0546942421898799</v>
      </c>
      <c r="AG4209">
        <v>-1.118498565321</v>
      </c>
      <c r="AH4209">
        <v>20.8566186298114</v>
      </c>
      <c r="AI4209">
        <v>93.065807074247402</v>
      </c>
      <c r="AJ4209">
        <v>87.105086950711097</v>
      </c>
      <c r="AK4209">
        <v>20.913200607619299</v>
      </c>
      <c r="AL4209">
        <v>77.190781454959406</v>
      </c>
      <c r="AM4209">
        <v>89.983981022409793</v>
      </c>
      <c r="AN4209">
        <v>1.00000004332091</v>
      </c>
    </row>
    <row r="4210" spans="1:40" x14ac:dyDescent="0.25">
      <c r="A4210" t="str">
        <f>"20190303170623935"</f>
        <v>20190303170623935</v>
      </c>
      <c r="B4210" t="str">
        <f>"1551603983929170"</f>
        <v>1551603983929170</v>
      </c>
      <c r="C4210" t="s">
        <v>40</v>
      </c>
      <c r="D4210">
        <v>5.7942130000000001</v>
      </c>
      <c r="E4210">
        <v>0.53064290000000003</v>
      </c>
      <c r="F4210" t="s">
        <v>41</v>
      </c>
      <c r="G4210">
        <v>-423.33260000000001</v>
      </c>
      <c r="H4210" s="1">
        <v>-3.552566E-6</v>
      </c>
      <c r="I4210">
        <v>45.803229999999999</v>
      </c>
      <c r="J4210">
        <v>-420.93729999999999</v>
      </c>
      <c r="K4210">
        <v>1.1185039999999999</v>
      </c>
      <c r="L4210">
        <v>66.381500000000003</v>
      </c>
      <c r="M4210">
        <v>-5.8196640000000001E-2</v>
      </c>
      <c r="N4210">
        <v>-1.4259050000000001E-2</v>
      </c>
      <c r="O4210">
        <v>-0.99820330000000002</v>
      </c>
      <c r="P4210">
        <v>-5.7645879999999997E-2</v>
      </c>
      <c r="Q4210">
        <v>0.2080428</v>
      </c>
      <c r="R4210">
        <v>-0.97641960000000005</v>
      </c>
      <c r="S4210">
        <v>-0.35610960000000003</v>
      </c>
      <c r="T4210">
        <v>-0.164608</v>
      </c>
      <c r="U4210">
        <v>-3.0870669999999998</v>
      </c>
      <c r="V4210">
        <v>2.1249480000000002E-3</v>
      </c>
      <c r="W4210">
        <v>0.22195970000000001</v>
      </c>
      <c r="X4210">
        <v>0.97505350000000002</v>
      </c>
      <c r="Y4210">
        <v>5.6469060000000001E-2</v>
      </c>
      <c r="Z4210">
        <v>3.8696979999999999E-2</v>
      </c>
      <c r="AA4210">
        <v>0.99765409999999999</v>
      </c>
      <c r="AB4210">
        <v>40</v>
      </c>
      <c r="AC4210">
        <v>-2.39530000000001</v>
      </c>
      <c r="AD4210">
        <v>-1.118507552566</v>
      </c>
      <c r="AE4210">
        <v>-20.57827</v>
      </c>
      <c r="AF4210">
        <v>1.1900626877681999</v>
      </c>
      <c r="AG4210">
        <v>-1.118507552566</v>
      </c>
      <c r="AH4210">
        <v>20.622686254665499</v>
      </c>
      <c r="AI4210">
        <v>93.099349262380201</v>
      </c>
      <c r="AJ4210">
        <v>86.697324851849601</v>
      </c>
      <c r="AK4210">
        <v>20.687254450611299</v>
      </c>
      <c r="AL4210">
        <v>77.175837960182506</v>
      </c>
      <c r="AM4210">
        <v>89.8751346881606</v>
      </c>
      <c r="AN4210">
        <v>0.99999997584517097</v>
      </c>
    </row>
    <row r="4211" spans="1:40" x14ac:dyDescent="0.25">
      <c r="A4211" t="str">
        <f>"20190303170623957"</f>
        <v>20190303170623957</v>
      </c>
      <c r="B4211" t="str">
        <f>"1551603983949667"</f>
        <v>1551603983949667</v>
      </c>
      <c r="C4211" t="s">
        <v>40</v>
      </c>
      <c r="D4211">
        <v>5.7637679999999998</v>
      </c>
      <c r="E4211">
        <v>0.53071969999999902</v>
      </c>
      <c r="F4211" t="s">
        <v>41</v>
      </c>
      <c r="G4211">
        <v>-423.59350000000001</v>
      </c>
      <c r="H4211" s="1">
        <v>-3.1421879999999998E-6</v>
      </c>
      <c r="I4211">
        <v>44.684820000000002</v>
      </c>
      <c r="J4211">
        <v>-420.96159999999998</v>
      </c>
      <c r="K4211">
        <v>1.1185369999999999</v>
      </c>
      <c r="L4211">
        <v>65.999690000000001</v>
      </c>
      <c r="M4211">
        <v>-6.0487230000000003E-2</v>
      </c>
      <c r="N4211">
        <v>-1.425682E-2</v>
      </c>
      <c r="O4211">
        <v>-0.99806709999999998</v>
      </c>
      <c r="P4211">
        <v>-6.0969710000000003E-2</v>
      </c>
      <c r="Q4211">
        <v>0.21028630000000001</v>
      </c>
      <c r="R4211">
        <v>-0.97573699999999997</v>
      </c>
      <c r="S4211">
        <v>-0.3775635</v>
      </c>
      <c r="T4211">
        <v>-0.15898870000000001</v>
      </c>
      <c r="U4211">
        <v>-3.0840450000000001</v>
      </c>
      <c r="V4211">
        <v>3.242146E-3</v>
      </c>
      <c r="W4211">
        <v>0.2241871</v>
      </c>
      <c r="X4211">
        <v>0.97454070000000004</v>
      </c>
      <c r="Y4211">
        <v>6.1138499999999998E-2</v>
      </c>
      <c r="Z4211">
        <v>3.6913330000000001E-2</v>
      </c>
      <c r="AA4211">
        <v>0.99744650000000001</v>
      </c>
      <c r="AB4211">
        <v>40</v>
      </c>
      <c r="AC4211">
        <v>-2.6319000000000199</v>
      </c>
      <c r="AD4211">
        <v>-1.1185401421879999</v>
      </c>
      <c r="AE4211">
        <v>-21.314869999999999</v>
      </c>
      <c r="AF4211">
        <v>1.3340527881584701</v>
      </c>
      <c r="AG4211">
        <v>-1.1185401421879999</v>
      </c>
      <c r="AH4211">
        <v>21.377061633765901</v>
      </c>
      <c r="AI4211">
        <v>92.989426119954302</v>
      </c>
      <c r="AJ4211">
        <v>86.429041503421004</v>
      </c>
      <c r="AK4211">
        <v>21.447834225979701</v>
      </c>
      <c r="AL4211">
        <v>77.044918291924404</v>
      </c>
      <c r="AM4211">
        <v>89.809386517114405</v>
      </c>
      <c r="AN4211">
        <v>0.999999971636792</v>
      </c>
    </row>
    <row r="4212" spans="1:40" x14ac:dyDescent="0.25">
      <c r="A4212" t="str">
        <f>"20190303170623979"</f>
        <v>20190303170623979</v>
      </c>
      <c r="B4212" t="str">
        <f>"1551603983969187"</f>
        <v>1551603983969187</v>
      </c>
      <c r="C4212" t="s">
        <v>40</v>
      </c>
      <c r="D4212">
        <v>5.7452649999999998</v>
      </c>
      <c r="E4212">
        <v>0.53067549999999997</v>
      </c>
      <c r="F4212" t="s">
        <v>41</v>
      </c>
      <c r="G4212">
        <v>-423.86669999999998</v>
      </c>
      <c r="H4212" s="1">
        <v>-2.4591439999999998E-6</v>
      </c>
      <c r="I4212">
        <v>42.923209999999997</v>
      </c>
      <c r="J4212">
        <v>-420.98750000000001</v>
      </c>
      <c r="K4212">
        <v>1.118582</v>
      </c>
      <c r="L4212">
        <v>65.606259999999907</v>
      </c>
      <c r="M4212">
        <v>-6.2812220000000002E-2</v>
      </c>
      <c r="N4212">
        <v>-1.4254330000000001E-2</v>
      </c>
      <c r="O4212">
        <v>-0.99792369999999997</v>
      </c>
      <c r="P4212">
        <v>-6.2794450000000002E-2</v>
      </c>
      <c r="Q4212">
        <v>0.21175849999999999</v>
      </c>
      <c r="R4212">
        <v>-0.97530280000000003</v>
      </c>
      <c r="S4212">
        <v>-0.3880615</v>
      </c>
      <c r="T4212">
        <v>-0.1494142</v>
      </c>
      <c r="U4212">
        <v>-3.0825499999999999</v>
      </c>
      <c r="V4212">
        <v>2.8066419999999998E-3</v>
      </c>
      <c r="W4212">
        <v>0.22565489999999999</v>
      </c>
      <c r="X4212">
        <v>0.97420329999999999</v>
      </c>
      <c r="Y4212">
        <v>6.2231309999999998E-2</v>
      </c>
      <c r="Z4212">
        <v>3.3848360000000001E-2</v>
      </c>
      <c r="AA4212">
        <v>0.99748760000000003</v>
      </c>
      <c r="AB4212">
        <v>40</v>
      </c>
      <c r="AC4212">
        <v>-2.87919999999996</v>
      </c>
      <c r="AD4212">
        <v>-1.118584459144</v>
      </c>
      <c r="AE4212">
        <v>-22.683049999999898</v>
      </c>
      <c r="AF4212">
        <v>1.44513755136949</v>
      </c>
      <c r="AG4212">
        <v>-1.118584459144</v>
      </c>
      <c r="AH4212">
        <v>22.764635293976699</v>
      </c>
      <c r="AI4212">
        <v>92.807434466818606</v>
      </c>
      <c r="AJ4212">
        <v>86.367641154942604</v>
      </c>
      <c r="AK4212">
        <v>22.8378692920856</v>
      </c>
      <c r="AL4212">
        <v>76.958608919843002</v>
      </c>
      <c r="AM4212">
        <v>89.834933533580198</v>
      </c>
      <c r="AN4212">
        <v>1.0000000404320999</v>
      </c>
    </row>
    <row r="4213" spans="1:40" x14ac:dyDescent="0.25">
      <c r="A4213" t="str">
        <f>"20190303170624002"</f>
        <v>20190303170624002</v>
      </c>
      <c r="B4213" t="str">
        <f>"1551603983989683"</f>
        <v>1551603983989683</v>
      </c>
      <c r="C4213" t="s">
        <v>40</v>
      </c>
      <c r="D4213">
        <v>5.6863349999999997</v>
      </c>
      <c r="E4213">
        <v>0.53045359999999997</v>
      </c>
      <c r="F4213" t="s">
        <v>41</v>
      </c>
      <c r="G4213">
        <v>-424.06889999999999</v>
      </c>
      <c r="H4213" s="1">
        <v>-1.9008610000000001E-6</v>
      </c>
      <c r="I4213">
        <v>41.496409999999997</v>
      </c>
      <c r="J4213">
        <v>-421.01519999999999</v>
      </c>
      <c r="K4213">
        <v>1.1186069999999999</v>
      </c>
      <c r="L4213">
        <v>65.199340000000007</v>
      </c>
      <c r="M4213">
        <v>-6.5171140000000002E-2</v>
      </c>
      <c r="N4213">
        <v>-1.425148E-2</v>
      </c>
      <c r="O4213">
        <v>-0.9977724</v>
      </c>
      <c r="P4213">
        <v>-6.3628030000000002E-2</v>
      </c>
      <c r="Q4213">
        <v>0.21065049999999999</v>
      </c>
      <c r="R4213">
        <v>-0.97548869999999999</v>
      </c>
      <c r="S4213">
        <v>-0.39385989999999999</v>
      </c>
      <c r="T4213">
        <v>-0.14297470000000001</v>
      </c>
      <c r="U4213">
        <v>-3.0816650000000001</v>
      </c>
      <c r="V4213">
        <v>1.2891479999999999E-3</v>
      </c>
      <c r="W4213">
        <v>0.22455700000000001</v>
      </c>
      <c r="X4213">
        <v>0.97446010000000005</v>
      </c>
      <c r="Y4213">
        <v>6.1764230000000003E-2</v>
      </c>
      <c r="Z4213">
        <v>3.1785180000000003E-2</v>
      </c>
      <c r="AA4213">
        <v>0.99758449999999999</v>
      </c>
      <c r="AB4213">
        <v>40</v>
      </c>
      <c r="AC4213">
        <v>-3.0536999999999899</v>
      </c>
      <c r="AD4213">
        <v>-1.1186089008609901</v>
      </c>
      <c r="AE4213">
        <v>-23.702929999999999</v>
      </c>
      <c r="AF4213">
        <v>1.49901901468355</v>
      </c>
      <c r="AG4213">
        <v>-1.1186089008609901</v>
      </c>
      <c r="AH4213">
        <v>23.7994231973788</v>
      </c>
      <c r="AI4213">
        <v>92.685693669596105</v>
      </c>
      <c r="AJ4213">
        <v>86.395956534646103</v>
      </c>
      <c r="AK4213">
        <v>23.872806462739099</v>
      </c>
      <c r="AL4213">
        <v>77.023170419398099</v>
      </c>
      <c r="AM4213">
        <v>89.924201415248007</v>
      </c>
      <c r="AN4213">
        <v>0.99999999732178801</v>
      </c>
    </row>
    <row r="4214" spans="1:40" x14ac:dyDescent="0.25">
      <c r="A4214" t="str">
        <f>"20190303170624025"</f>
        <v>20190303170624025</v>
      </c>
      <c r="B4214" t="str">
        <f>"1551603984018964"</f>
        <v>1551603984018964</v>
      </c>
      <c r="C4214" t="s">
        <v>40</v>
      </c>
      <c r="D4214">
        <v>5.6607409999999998</v>
      </c>
      <c r="E4214">
        <v>0.53036419999999995</v>
      </c>
      <c r="F4214" t="s">
        <v>41</v>
      </c>
      <c r="G4214">
        <v>-424.1044</v>
      </c>
      <c r="H4214" s="1">
        <v>-1.7472439999999999E-6</v>
      </c>
      <c r="I4214">
        <v>41.116309999999999</v>
      </c>
      <c r="J4214">
        <v>-421.04289999999997</v>
      </c>
      <c r="K4214">
        <v>1.1186419999999999</v>
      </c>
      <c r="L4214">
        <v>64.805729999999997</v>
      </c>
      <c r="M4214">
        <v>-6.7397650000000003E-2</v>
      </c>
      <c r="N4214">
        <v>-1.4248459999999999E-2</v>
      </c>
      <c r="O4214">
        <v>-0.99762450000000003</v>
      </c>
      <c r="P4214">
        <v>-6.4864740000000004E-2</v>
      </c>
      <c r="Q4214">
        <v>0.20917469999999999</v>
      </c>
      <c r="R4214">
        <v>-0.97572449999999999</v>
      </c>
      <c r="S4214">
        <v>-0.39514159999999998</v>
      </c>
      <c r="T4214">
        <v>-0.1430833</v>
      </c>
      <c r="U4214">
        <v>-3.080505</v>
      </c>
      <c r="V4214">
        <v>2.9290140000000001E-4</v>
      </c>
      <c r="W4214">
        <v>0.22308890000000001</v>
      </c>
      <c r="X4214">
        <v>0.9747981</v>
      </c>
      <c r="Y4214">
        <v>5.999289E-2</v>
      </c>
      <c r="Z4214">
        <v>3.1833479999999997E-2</v>
      </c>
      <c r="AA4214">
        <v>0.99769110000000005</v>
      </c>
      <c r="AB4214">
        <v>39</v>
      </c>
      <c r="AC4214">
        <v>-3.0615000000000201</v>
      </c>
      <c r="AD4214">
        <v>-1.1186437472439901</v>
      </c>
      <c r="AE4214">
        <v>-23.689419999999998</v>
      </c>
      <c r="AF4214">
        <v>1.45457388331713</v>
      </c>
      <c r="AG4214">
        <v>-1.1186437472439901</v>
      </c>
      <c r="AH4214">
        <v>23.789726750350599</v>
      </c>
      <c r="AI4214">
        <v>92.687175956643301</v>
      </c>
      <c r="AJ4214">
        <v>86.5011232732856</v>
      </c>
      <c r="AK4214">
        <v>23.860390773657102</v>
      </c>
      <c r="AL4214">
        <v>77.109476501670201</v>
      </c>
      <c r="AM4214">
        <v>89.982784113419498</v>
      </c>
      <c r="AN4214">
        <v>1.00000003942902</v>
      </c>
    </row>
    <row r="4215" spans="1:40" x14ac:dyDescent="0.25">
      <c r="A4215" t="str">
        <f>"20190303170624047"</f>
        <v>20190303170624047</v>
      </c>
      <c r="B4215" t="str">
        <f>"1551603984039458"</f>
        <v>1551603984039458</v>
      </c>
      <c r="C4215" t="s">
        <v>40</v>
      </c>
      <c r="D4215">
        <v>5.5934939999999997</v>
      </c>
      <c r="E4215">
        <v>0.53022239999999998</v>
      </c>
      <c r="F4215" t="s">
        <v>41</v>
      </c>
      <c r="G4215">
        <v>-424.07819999999998</v>
      </c>
      <c r="H4215" s="1">
        <v>-1.8284130000000001E-6</v>
      </c>
      <c r="I4215">
        <v>41.321739999999998</v>
      </c>
      <c r="J4215">
        <v>-421.072</v>
      </c>
      <c r="K4215">
        <v>1.118698</v>
      </c>
      <c r="L4215">
        <v>64.406130000000005</v>
      </c>
      <c r="M4215">
        <v>-6.9593970000000005E-2</v>
      </c>
      <c r="N4215">
        <v>-1.42451E-2</v>
      </c>
      <c r="O4215">
        <v>-0.99747359999999896</v>
      </c>
      <c r="P4215">
        <v>-6.5894339999999996E-2</v>
      </c>
      <c r="Q4215">
        <v>0.20918149999999999</v>
      </c>
      <c r="R4215">
        <v>-0.97565429999999997</v>
      </c>
      <c r="S4215">
        <v>-0.39804079999999997</v>
      </c>
      <c r="T4215">
        <v>-0.14669560000000001</v>
      </c>
      <c r="U4215">
        <v>-3.0796199999999998</v>
      </c>
      <c r="V4215">
        <v>-8.5695599999999997E-4</v>
      </c>
      <c r="W4215">
        <v>0.22309909999999999</v>
      </c>
      <c r="X4215">
        <v>0.97479539999999998</v>
      </c>
      <c r="Y4215">
        <v>5.8750360000000001E-2</v>
      </c>
      <c r="Z4215">
        <v>3.3000630000000003E-2</v>
      </c>
      <c r="AA4215">
        <v>0.99772709999999998</v>
      </c>
      <c r="AB4215">
        <v>39</v>
      </c>
      <c r="AC4215">
        <v>-3.00620000000003</v>
      </c>
      <c r="AD4215">
        <v>-1.1186998284130001</v>
      </c>
      <c r="AE4215">
        <v>-23.084389999999999</v>
      </c>
      <c r="AF4215">
        <v>1.3890044986458301</v>
      </c>
      <c r="AG4215">
        <v>-1.1186998284130001</v>
      </c>
      <c r="AH4215">
        <v>23.1841029955078</v>
      </c>
      <c r="AI4215">
        <v>92.757606828144304</v>
      </c>
      <c r="AJ4215">
        <v>86.571397250924306</v>
      </c>
      <c r="AK4215">
        <v>23.252601026759599</v>
      </c>
      <c r="AL4215">
        <v>77.108876553882098</v>
      </c>
      <c r="AM4215">
        <v>90.050369492284801</v>
      </c>
      <c r="AN4215">
        <v>1.0000000073277699</v>
      </c>
    </row>
    <row r="4216" spans="1:40" x14ac:dyDescent="0.25">
      <c r="A4216" t="str">
        <f>"20190303170624068"</f>
        <v>20190303170624068</v>
      </c>
      <c r="B4216" t="str">
        <f>"1551603984058979"</f>
        <v>1551603984058979</v>
      </c>
      <c r="C4216" t="s">
        <v>40</v>
      </c>
      <c r="D4216">
        <v>5.6167339999999903</v>
      </c>
      <c r="E4216">
        <v>0.53009869999999903</v>
      </c>
      <c r="F4216" t="s">
        <v>41</v>
      </c>
      <c r="G4216">
        <v>-424.1472</v>
      </c>
      <c r="H4216" s="1">
        <v>-1.6002219999999999E-6</v>
      </c>
      <c r="I4216">
        <v>40.74709</v>
      </c>
      <c r="J4216">
        <v>-421.09980000000002</v>
      </c>
      <c r="K4216">
        <v>1.118773</v>
      </c>
      <c r="L4216">
        <v>64.033659999999998</v>
      </c>
      <c r="M4216">
        <v>-7.158892E-2</v>
      </c>
      <c r="N4216">
        <v>-1.4241749999999999E-2</v>
      </c>
      <c r="O4216">
        <v>-0.99733249999999996</v>
      </c>
      <c r="P4216">
        <v>-6.6690059999999995E-2</v>
      </c>
      <c r="Q4216">
        <v>0.21085300000000001</v>
      </c>
      <c r="R4216">
        <v>-0.9752402</v>
      </c>
      <c r="S4216">
        <v>-0.40020749999999999</v>
      </c>
      <c r="T4216">
        <v>-0.1455901</v>
      </c>
      <c r="U4216">
        <v>-3.0790410000000001</v>
      </c>
      <c r="V4216">
        <v>-2.0084479999999999E-3</v>
      </c>
      <c r="W4216">
        <v>0.22476840000000001</v>
      </c>
      <c r="X4216">
        <v>0.97441009999999995</v>
      </c>
      <c r="Y4216">
        <v>5.7470229999999997E-2</v>
      </c>
      <c r="Z4216">
        <v>3.264968E-2</v>
      </c>
      <c r="AA4216">
        <v>0.99781319999999996</v>
      </c>
      <c r="AB4216">
        <v>39</v>
      </c>
      <c r="AC4216">
        <v>-3.0473999999999801</v>
      </c>
      <c r="AD4216">
        <v>-1.118774600222</v>
      </c>
      <c r="AE4216">
        <v>-23.286570000000001</v>
      </c>
      <c r="AF4216">
        <v>1.3692426264141</v>
      </c>
      <c r="AG4216">
        <v>-1.118774600222</v>
      </c>
      <c r="AH4216">
        <v>23.391907706179602</v>
      </c>
      <c r="AI4216">
        <v>92.733550829259599</v>
      </c>
      <c r="AJ4216">
        <v>86.650020696289005</v>
      </c>
      <c r="AK4216">
        <v>23.458640798446002</v>
      </c>
      <c r="AL4216">
        <v>77.010739780110399</v>
      </c>
      <c r="AM4216">
        <v>90.118097534913602</v>
      </c>
      <c r="AN4216">
        <v>0.99999995524196805</v>
      </c>
    </row>
    <row r="4217" spans="1:40" x14ac:dyDescent="0.25">
      <c r="A4217" t="str">
        <f>"20190303170624091"</f>
        <v>20190303170624091</v>
      </c>
      <c r="B4217" t="str">
        <f>"1551603984079475"</f>
        <v>1551603984079475</v>
      </c>
      <c r="C4217" t="s">
        <v>40</v>
      </c>
      <c r="D4217">
        <v>5.6042820000000004</v>
      </c>
      <c r="E4217">
        <v>0.53002260000000001</v>
      </c>
      <c r="F4217" t="s">
        <v>71</v>
      </c>
      <c r="G4217">
        <v>-424.32530000000003</v>
      </c>
      <c r="H4217" s="1">
        <v>-1.2575109999999999E-6</v>
      </c>
      <c r="I4217">
        <v>39.362389999999998</v>
      </c>
      <c r="J4217">
        <v>-421.12990000000002</v>
      </c>
      <c r="K4217">
        <v>1.1188469999999999</v>
      </c>
      <c r="L4217">
        <v>63.639830000000003</v>
      </c>
      <c r="M4217">
        <v>-7.3623439999999998E-2</v>
      </c>
      <c r="N4217">
        <v>-1.423814E-2</v>
      </c>
      <c r="O4217">
        <v>-0.99718479999999998</v>
      </c>
      <c r="P4217">
        <v>-6.7698320000000006E-2</v>
      </c>
      <c r="Q4217">
        <v>0.2123324</v>
      </c>
      <c r="R4217">
        <v>-0.9748502</v>
      </c>
      <c r="S4217">
        <v>-0.40252690000000002</v>
      </c>
      <c r="T4217">
        <v>-0.1396164</v>
      </c>
      <c r="U4217">
        <v>-3.078827</v>
      </c>
      <c r="V4217">
        <v>-2.9952120000000001E-3</v>
      </c>
      <c r="W4217">
        <v>0.2262448</v>
      </c>
      <c r="X4217">
        <v>0.97406590000000004</v>
      </c>
      <c r="Y4217">
        <v>5.619068E-2</v>
      </c>
      <c r="Z4217">
        <v>3.0730170000000001E-2</v>
      </c>
      <c r="AA4217">
        <v>0.99794700000000003</v>
      </c>
      <c r="AB4217">
        <v>39</v>
      </c>
      <c r="AC4217">
        <v>-3.1953999999999998</v>
      </c>
      <c r="AD4217">
        <v>-1.1188482575109999</v>
      </c>
      <c r="AE4217">
        <v>-24.277439999999999</v>
      </c>
      <c r="AF4217">
        <v>1.3962420325428899</v>
      </c>
      <c r="AG4217">
        <v>-1.1188482575109999</v>
      </c>
      <c r="AH4217">
        <v>24.3958881399187</v>
      </c>
      <c r="AI4217">
        <v>92.621584425627901</v>
      </c>
      <c r="AJ4217">
        <v>86.7243824450305</v>
      </c>
      <c r="AK4217">
        <v>24.461411884276</v>
      </c>
      <c r="AL4217">
        <v>76.923912713677396</v>
      </c>
      <c r="AM4217">
        <v>90.176181576074001</v>
      </c>
      <c r="AN4217">
        <v>1.0000000291823801</v>
      </c>
    </row>
    <row r="4218" spans="1:40" x14ac:dyDescent="0.25">
      <c r="A4218" t="str">
        <f>"20190303170624114"</f>
        <v>20190303170624114</v>
      </c>
      <c r="B4218" t="str">
        <f>"1551603984098995"</f>
        <v>1551603984098995</v>
      </c>
      <c r="C4218" t="s">
        <v>40</v>
      </c>
      <c r="D4218">
        <v>5.5645340000000001</v>
      </c>
      <c r="E4218">
        <v>0.52990909999999902</v>
      </c>
      <c r="F4218" t="s">
        <v>71</v>
      </c>
      <c r="G4218">
        <v>-424.48540000000003</v>
      </c>
      <c r="H4218" s="1">
        <v>-1.7566299999999901E-6</v>
      </c>
      <c r="I4218">
        <v>38.167149999999999</v>
      </c>
      <c r="J4218">
        <v>-421.16149999999999</v>
      </c>
      <c r="K4218">
        <v>1.118938</v>
      </c>
      <c r="L4218">
        <v>63.237789999999997</v>
      </c>
      <c r="M4218">
        <v>-7.5592119999999999E-2</v>
      </c>
      <c r="N4218">
        <v>-1.423408E-2</v>
      </c>
      <c r="O4218">
        <v>-0.99703739999999996</v>
      </c>
      <c r="P4218">
        <v>-6.9123149999999994E-2</v>
      </c>
      <c r="Q4218">
        <v>0.21337220000000001</v>
      </c>
      <c r="R4218">
        <v>-0.97452289999999997</v>
      </c>
      <c r="S4218">
        <v>-0.40554810000000002</v>
      </c>
      <c r="T4218">
        <v>-0.13522609999999999</v>
      </c>
      <c r="U4218">
        <v>-3.0786739999999999</v>
      </c>
      <c r="V4218">
        <v>-3.5205869999999999E-3</v>
      </c>
      <c r="W4218">
        <v>0.22727910000000001</v>
      </c>
      <c r="X4218">
        <v>0.97382329999999995</v>
      </c>
      <c r="Y4218">
        <v>5.5195010000000003E-2</v>
      </c>
      <c r="Z4218">
        <v>2.9317920000000001E-2</v>
      </c>
      <c r="AA4218">
        <v>0.99804510000000002</v>
      </c>
      <c r="AB4218">
        <v>39</v>
      </c>
      <c r="AC4218">
        <v>-3.3239000000000298</v>
      </c>
      <c r="AD4218">
        <v>-1.1189397566299999</v>
      </c>
      <c r="AE4218">
        <v>-25.070640000000001</v>
      </c>
      <c r="AF4218">
        <v>1.4162808448500599</v>
      </c>
      <c r="AG4218">
        <v>-1.1189397566299999</v>
      </c>
      <c r="AH4218">
        <v>25.200847823682199</v>
      </c>
      <c r="AI4218">
        <v>92.538312988019598</v>
      </c>
      <c r="AJ4218">
        <v>86.783376282353402</v>
      </c>
      <c r="AK4218">
        <v>25.265403393629899</v>
      </c>
      <c r="AL4218">
        <v>76.863066293669803</v>
      </c>
      <c r="AM4218">
        <v>90.207136035585805</v>
      </c>
      <c r="AN4218">
        <v>1.00000000172626</v>
      </c>
    </row>
    <row r="4219" spans="1:40" x14ac:dyDescent="0.25">
      <c r="A4219" t="str">
        <f>"20190303170624136"</f>
        <v>20190303170624136</v>
      </c>
      <c r="B4219" t="str">
        <f>"1551603984129251"</f>
        <v>1551603984129251</v>
      </c>
      <c r="C4219" t="s">
        <v>40</v>
      </c>
      <c r="D4219">
        <v>5.558624</v>
      </c>
      <c r="E4219">
        <v>0.53002389999999999</v>
      </c>
      <c r="F4219" t="s">
        <v>71</v>
      </c>
      <c r="G4219">
        <v>-424.60239999999999</v>
      </c>
      <c r="H4219" s="1">
        <v>-2.135455E-6</v>
      </c>
      <c r="I4219">
        <v>37.27167</v>
      </c>
      <c r="J4219">
        <v>-421.19260000000003</v>
      </c>
      <c r="K4219">
        <v>1.1190549999999999</v>
      </c>
      <c r="L4219">
        <v>62.849699999999999</v>
      </c>
      <c r="M4219">
        <v>-7.7355699999999999E-2</v>
      </c>
      <c r="N4219">
        <v>-1.4229530000000001E-2</v>
      </c>
      <c r="O4219">
        <v>-0.99690199999999995</v>
      </c>
      <c r="P4219">
        <v>-7.0943489999999998E-2</v>
      </c>
      <c r="Q4219">
        <v>0.21478849999999999</v>
      </c>
      <c r="R4219">
        <v>-0.97408059999999996</v>
      </c>
      <c r="S4219">
        <v>-0.40795900000000002</v>
      </c>
      <c r="T4219">
        <v>-0.1326619</v>
      </c>
      <c r="U4219">
        <v>-3.0785520000000002</v>
      </c>
      <c r="V4219">
        <v>-3.4525509999999999E-3</v>
      </c>
      <c r="W4219">
        <v>0.2286849</v>
      </c>
      <c r="X4219">
        <v>0.97349439999999998</v>
      </c>
      <c r="Y4219">
        <v>5.4205910000000003E-2</v>
      </c>
      <c r="Z4219">
        <v>2.8493270000000001E-2</v>
      </c>
      <c r="AA4219">
        <v>0.99812319999999999</v>
      </c>
      <c r="AB4219">
        <v>39</v>
      </c>
      <c r="AC4219">
        <v>-3.4097999999999602</v>
      </c>
      <c r="AD4219">
        <v>-1.1190571354550001</v>
      </c>
      <c r="AE4219">
        <v>-25.578029999999998</v>
      </c>
      <c r="AF4219">
        <v>1.4181068467687701</v>
      </c>
      <c r="AG4219">
        <v>-1.1190571354550001</v>
      </c>
      <c r="AH4219">
        <v>25.7167999140432</v>
      </c>
      <c r="AI4219">
        <v>92.487858136897501</v>
      </c>
      <c r="AJ4219">
        <v>86.843723496622601</v>
      </c>
      <c r="AK4219">
        <v>25.7801690010015</v>
      </c>
      <c r="AL4219">
        <v>76.780341662156005</v>
      </c>
      <c r="AM4219">
        <v>90.203201755939801</v>
      </c>
      <c r="AN4219">
        <v>1.0000000252138801</v>
      </c>
    </row>
    <row r="4220" spans="1:40" x14ac:dyDescent="0.25">
      <c r="A4220" t="str">
        <f>"20190303170624169"</f>
        <v>20190303170624169</v>
      </c>
      <c r="B4220" t="str">
        <f>"1551603984159507"</f>
        <v>1551603984159507</v>
      </c>
      <c r="C4220" t="s">
        <v>40</v>
      </c>
      <c r="D4220">
        <v>5.508629</v>
      </c>
      <c r="E4220">
        <v>0.5301167</v>
      </c>
      <c r="F4220" t="s">
        <v>71</v>
      </c>
      <c r="G4220">
        <v>-424.69959999999998</v>
      </c>
      <c r="H4220" s="1">
        <v>-2.4736910000000001E-6</v>
      </c>
      <c r="I4220">
        <v>36.760840000000002</v>
      </c>
      <c r="J4220">
        <v>-421.2396</v>
      </c>
      <c r="K4220">
        <v>1.1192740000000001</v>
      </c>
      <c r="L4220">
        <v>62.27469</v>
      </c>
      <c r="M4220">
        <v>-7.9641050000000005E-2</v>
      </c>
      <c r="N4220">
        <v>-1.4221869999999999E-2</v>
      </c>
      <c r="O4220">
        <v>-0.99672210000000006</v>
      </c>
      <c r="P4220">
        <v>-7.317042E-2</v>
      </c>
      <c r="Q4220">
        <v>0.2145107</v>
      </c>
      <c r="R4220">
        <v>-0.97397739999999999</v>
      </c>
      <c r="S4220">
        <v>-0.41387940000000001</v>
      </c>
      <c r="T4220">
        <v>-0.1320634</v>
      </c>
      <c r="U4220">
        <v>-3.078827</v>
      </c>
      <c r="V4220">
        <v>-3.5883439999999998E-3</v>
      </c>
      <c r="W4220">
        <v>0.22839889999999999</v>
      </c>
      <c r="X4220">
        <v>0.97356100000000001</v>
      </c>
      <c r="Y4220">
        <v>5.3791810000000002E-2</v>
      </c>
      <c r="Z4220">
        <v>2.8291839999999999E-2</v>
      </c>
      <c r="AA4220">
        <v>0.99815129999999996</v>
      </c>
      <c r="AB4220">
        <v>39</v>
      </c>
      <c r="AC4220">
        <v>-3.4599999999999702</v>
      </c>
      <c r="AD4220">
        <v>-1.1192764736909999</v>
      </c>
      <c r="AE4220">
        <v>-25.513850000000001</v>
      </c>
      <c r="AF4220">
        <v>1.4141795556875201</v>
      </c>
      <c r="AG4220">
        <v>-1.1192764736909999</v>
      </c>
      <c r="AH4220">
        <v>25.659886260279801</v>
      </c>
      <c r="AI4220">
        <v>92.493861551243995</v>
      </c>
      <c r="AJ4220">
        <v>86.845479665600706</v>
      </c>
      <c r="AK4220">
        <v>25.7231888872819</v>
      </c>
      <c r="AL4220">
        <v>76.797173085944806</v>
      </c>
      <c r="AM4220">
        <v>90.211179408000504</v>
      </c>
      <c r="AN4220">
        <v>0.99999997722743506</v>
      </c>
    </row>
    <row r="4221" spans="1:40" x14ac:dyDescent="0.25">
      <c r="A4221" t="str">
        <f>"20190303170624190"</f>
        <v>20190303170624190</v>
      </c>
      <c r="B4221" t="str">
        <f>"1551603984179027"</f>
        <v>1551603984179027</v>
      </c>
      <c r="C4221" t="s">
        <v>40</v>
      </c>
      <c r="D4221">
        <v>5.5048139999999997</v>
      </c>
      <c r="E4221">
        <v>0.53004219999999902</v>
      </c>
      <c r="F4221" t="s">
        <v>71</v>
      </c>
      <c r="G4221">
        <v>-424.69639999999998</v>
      </c>
      <c r="H4221" s="1">
        <v>-2.3071459999999999E-6</v>
      </c>
      <c r="I4221">
        <v>37.02214</v>
      </c>
      <c r="J4221">
        <v>-421.2713</v>
      </c>
      <c r="K4221">
        <v>1.1194489999999999</v>
      </c>
      <c r="L4221">
        <v>61.892789999999998</v>
      </c>
      <c r="M4221">
        <v>-8.0910239999999994E-2</v>
      </c>
      <c r="N4221">
        <v>-1.4216680000000001E-2</v>
      </c>
      <c r="O4221">
        <v>-0.9966199</v>
      </c>
      <c r="P4221">
        <v>-7.3482130000000007E-2</v>
      </c>
      <c r="Q4221">
        <v>0.21419840000000001</v>
      </c>
      <c r="R4221">
        <v>-0.97402219999999995</v>
      </c>
      <c r="S4221">
        <v>-0.42141719999999999</v>
      </c>
      <c r="T4221">
        <v>-0.13645160000000001</v>
      </c>
      <c r="U4221">
        <v>-3.0785520000000002</v>
      </c>
      <c r="V4221">
        <v>-4.6262459999999997E-3</v>
      </c>
      <c r="W4221">
        <v>0.2280847</v>
      </c>
      <c r="X4221">
        <v>0.97363029999999995</v>
      </c>
      <c r="Y4221">
        <v>5.4925199999999903E-2</v>
      </c>
      <c r="Z4221">
        <v>2.9696090000000001E-2</v>
      </c>
      <c r="AA4221">
        <v>0.99804879999999996</v>
      </c>
      <c r="AB4221">
        <v>39</v>
      </c>
      <c r="AC4221">
        <v>-3.42509999999998</v>
      </c>
      <c r="AD4221">
        <v>-1.1194513071459999</v>
      </c>
      <c r="AE4221">
        <v>-24.870650000000001</v>
      </c>
      <c r="AF4221">
        <v>1.39859353184698</v>
      </c>
      <c r="AG4221">
        <v>-1.1194513071459999</v>
      </c>
      <c r="AH4221">
        <v>25.016506356564001</v>
      </c>
      <c r="AI4221">
        <v>92.558201809534594</v>
      </c>
      <c r="AJ4221">
        <v>86.800105738721498</v>
      </c>
      <c r="AK4221">
        <v>25.080566687864199</v>
      </c>
      <c r="AL4221">
        <v>76.815663746824399</v>
      </c>
      <c r="AM4221">
        <v>90.272241297354995</v>
      </c>
      <c r="AN4221">
        <v>0.99999999680211604</v>
      </c>
    </row>
    <row r="4222" spans="1:40" x14ac:dyDescent="0.25">
      <c r="A4222" t="str">
        <f>"20190303170624215"</f>
        <v>20190303170624215</v>
      </c>
      <c r="B4222" t="str">
        <f>"1551603984209284"</f>
        <v>1551603984209284</v>
      </c>
      <c r="C4222" t="s">
        <v>40</v>
      </c>
      <c r="D4222">
        <v>5.4757889999999998</v>
      </c>
      <c r="E4222">
        <v>0.5299566</v>
      </c>
      <c r="F4222" t="s">
        <v>71</v>
      </c>
      <c r="G4222">
        <v>-424.63139999999999</v>
      </c>
      <c r="H4222" s="1">
        <v>-2.1064810000000002E-6</v>
      </c>
      <c r="I4222">
        <v>37.352899999999998</v>
      </c>
      <c r="J4222">
        <v>-421.30669999999998</v>
      </c>
      <c r="K4222">
        <v>1.1196569999999999</v>
      </c>
      <c r="L4222">
        <v>61.471469999999997</v>
      </c>
      <c r="M4222">
        <v>-8.208269E-2</v>
      </c>
      <c r="N4222">
        <v>-1.421117E-2</v>
      </c>
      <c r="O4222">
        <v>-0.99652419999999997</v>
      </c>
      <c r="P4222">
        <v>-7.4761519999999998E-2</v>
      </c>
      <c r="Q4222">
        <v>0.21438019999999999</v>
      </c>
      <c r="R4222">
        <v>-0.97388509999999995</v>
      </c>
      <c r="S4222">
        <v>-0.42160029999999998</v>
      </c>
      <c r="T4222">
        <v>-0.14046120000000001</v>
      </c>
      <c r="U4222">
        <v>-3.0791019999999998</v>
      </c>
      <c r="V4222">
        <v>-4.6037710000000004E-3</v>
      </c>
      <c r="W4222">
        <v>0.2282573</v>
      </c>
      <c r="X4222">
        <v>0.97358999999999996</v>
      </c>
      <c r="Y4222">
        <v>5.3779510000000003E-2</v>
      </c>
      <c r="Z4222">
        <v>3.0975369999999999E-2</v>
      </c>
      <c r="AA4222">
        <v>0.99807230000000002</v>
      </c>
      <c r="AB4222">
        <v>39</v>
      </c>
      <c r="AC4222">
        <v>-3.3247</v>
      </c>
      <c r="AD4222">
        <v>-1.119659106481</v>
      </c>
      <c r="AE4222">
        <v>-24.118569999999998</v>
      </c>
      <c r="AF4222">
        <v>1.3307471464169001</v>
      </c>
      <c r="AG4222">
        <v>-1.119659106481</v>
      </c>
      <c r="AH4222">
        <v>24.258788501923298</v>
      </c>
      <c r="AI4222">
        <v>92.638637318778905</v>
      </c>
      <c r="AJ4222">
        <v>86.860113086969903</v>
      </c>
      <c r="AK4222">
        <v>24.321047347173799</v>
      </c>
      <c r="AL4222">
        <v>76.805507125099098</v>
      </c>
      <c r="AM4222">
        <v>90.270929941906005</v>
      </c>
      <c r="AN4222">
        <v>1.0000000389053501</v>
      </c>
    </row>
    <row r="4223" spans="1:40" x14ac:dyDescent="0.25">
      <c r="A4223" t="str">
        <f>"20190303170624237"</f>
        <v>20190303170624237</v>
      </c>
      <c r="B4223" t="str">
        <f>"1551603984228804"</f>
        <v>1551603984228804</v>
      </c>
      <c r="C4223" t="s">
        <v>40</v>
      </c>
      <c r="D4223">
        <v>5.4416149999999996</v>
      </c>
      <c r="E4223">
        <v>0.52994889999999995</v>
      </c>
      <c r="F4223" t="s">
        <v>71</v>
      </c>
      <c r="G4223">
        <v>-424.60250000000002</v>
      </c>
      <c r="H4223" s="1">
        <v>-2.0514610000000002E-6</v>
      </c>
      <c r="I4223">
        <v>37.476799999999997</v>
      </c>
      <c r="J4223">
        <v>-421.339</v>
      </c>
      <c r="K4223">
        <v>1.1198709999999901</v>
      </c>
      <c r="L4223">
        <v>61.08905</v>
      </c>
      <c r="M4223">
        <v>-8.2901329999999995E-2</v>
      </c>
      <c r="N4223">
        <v>-1.4206379999999999E-2</v>
      </c>
      <c r="O4223">
        <v>-0.99645640000000002</v>
      </c>
      <c r="P4223">
        <v>-7.4591409999999997E-2</v>
      </c>
      <c r="Q4223">
        <v>0.2144817</v>
      </c>
      <c r="R4223">
        <v>-0.97387559999999995</v>
      </c>
      <c r="S4223">
        <v>-0.4230042</v>
      </c>
      <c r="T4223">
        <v>-0.14370379999999899</v>
      </c>
      <c r="U4223">
        <v>-3.0796199999999998</v>
      </c>
      <c r="V4223">
        <v>-5.6881090000000002E-3</v>
      </c>
      <c r="W4223">
        <v>0.2283548</v>
      </c>
      <c r="X4223">
        <v>0.97356129999999996</v>
      </c>
      <c r="Y4223">
        <v>5.3378500000000002E-2</v>
      </c>
      <c r="Z4223">
        <v>3.2007309999999997E-2</v>
      </c>
      <c r="AA4223">
        <v>0.99806119999999998</v>
      </c>
      <c r="AB4223">
        <v>39</v>
      </c>
      <c r="AC4223">
        <v>-3.2635000000000201</v>
      </c>
      <c r="AD4223">
        <v>-1.11987305146099</v>
      </c>
      <c r="AE4223">
        <v>-23.61225</v>
      </c>
      <c r="AF4223">
        <v>1.2917281755034999</v>
      </c>
      <c r="AG4223">
        <v>-1.11987305146099</v>
      </c>
      <c r="AH4223">
        <v>23.749110915413301</v>
      </c>
      <c r="AI4223">
        <v>92.695764766629793</v>
      </c>
      <c r="AJ4223">
        <v>86.886716326097101</v>
      </c>
      <c r="AK4223">
        <v>23.8105637607215</v>
      </c>
      <c r="AL4223">
        <v>76.799767877424699</v>
      </c>
      <c r="AM4223">
        <v>90.334751320595004</v>
      </c>
      <c r="AN4223">
        <v>0.99999993706236001</v>
      </c>
    </row>
    <row r="4224" spans="1:40" x14ac:dyDescent="0.25">
      <c r="A4224" t="str">
        <f>"20190303170624259"</f>
        <v>20190303170624259</v>
      </c>
      <c r="B4224" t="str">
        <f>"1551603984249492"</f>
        <v>1551603984249492</v>
      </c>
      <c r="C4224" t="s">
        <v>40</v>
      </c>
      <c r="D4224">
        <v>5.4309019999999997</v>
      </c>
      <c r="E4224">
        <v>0.5298986</v>
      </c>
      <c r="F4224" t="s">
        <v>71</v>
      </c>
      <c r="G4224">
        <v>-424.5951</v>
      </c>
      <c r="H4224" s="1">
        <v>-2.125959E-6</v>
      </c>
      <c r="I4224">
        <v>37.285020000000003</v>
      </c>
      <c r="J4224">
        <v>-421.37130000000002</v>
      </c>
      <c r="K4224">
        <v>1.1200950000000001</v>
      </c>
      <c r="L4224">
        <v>60.707889999999999</v>
      </c>
      <c r="M4224">
        <v>-8.3476419999999996E-2</v>
      </c>
      <c r="N4224">
        <v>-1.4201729999999999E-2</v>
      </c>
      <c r="O4224">
        <v>-0.99640839999999997</v>
      </c>
      <c r="P4224">
        <v>-7.3748369999999994E-2</v>
      </c>
      <c r="Q4224">
        <v>0.2146796</v>
      </c>
      <c r="R4224">
        <v>-0.97389590000000004</v>
      </c>
      <c r="S4224">
        <v>-0.42132570000000003</v>
      </c>
      <c r="T4224">
        <v>-0.14490529999999999</v>
      </c>
      <c r="U4224">
        <v>-3.0801090000000002</v>
      </c>
      <c r="V4224">
        <v>-7.2132250000000002E-3</v>
      </c>
      <c r="W4224">
        <v>0.22854840000000001</v>
      </c>
      <c r="X4224">
        <v>0.97350590000000004</v>
      </c>
      <c r="Y4224">
        <v>5.2245609999999998E-2</v>
      </c>
      <c r="Z4224">
        <v>3.2389639999999997E-2</v>
      </c>
      <c r="AA4224">
        <v>0.99810889999999997</v>
      </c>
      <c r="AB4224">
        <v>39</v>
      </c>
      <c r="AC4224">
        <v>-3.2237999999999798</v>
      </c>
      <c r="AD4224">
        <v>-1.120097125959</v>
      </c>
      <c r="AE4224">
        <v>-23.42287</v>
      </c>
      <c r="AF4224">
        <v>1.2542760579197501</v>
      </c>
      <c r="AG4224">
        <v>-1.120097125959</v>
      </c>
      <c r="AH4224">
        <v>23.557370479668698</v>
      </c>
      <c r="AI4224">
        <v>92.718383673978195</v>
      </c>
      <c r="AJ4224">
        <v>86.952251915031496</v>
      </c>
      <c r="AK4224">
        <v>23.617314197796102</v>
      </c>
      <c r="AL4224">
        <v>76.788375890651295</v>
      </c>
      <c r="AM4224">
        <v>90.4245272536145</v>
      </c>
      <c r="AN4224">
        <v>1.00000006954613</v>
      </c>
    </row>
    <row r="4225" spans="1:40" x14ac:dyDescent="0.25">
      <c r="A4225" t="str">
        <f>"20190303170624281"</f>
        <v>20190303170624281</v>
      </c>
      <c r="B4225" t="str">
        <f>"1551603984269012"</f>
        <v>1551603984269012</v>
      </c>
      <c r="C4225" t="s">
        <v>40</v>
      </c>
      <c r="D4225">
        <v>5.4505019999999904</v>
      </c>
      <c r="E4225">
        <v>0.52989969999999997</v>
      </c>
      <c r="F4225" t="s">
        <v>71</v>
      </c>
      <c r="G4225">
        <v>-424.60610000000003</v>
      </c>
      <c r="H4225" s="1">
        <v>-2.3420939999999998E-6</v>
      </c>
      <c r="I4225">
        <v>36.947389999999999</v>
      </c>
      <c r="J4225">
        <v>-421.40469999999999</v>
      </c>
      <c r="K4225">
        <v>1.1203289999999999</v>
      </c>
      <c r="L4225">
        <v>60.315280000000001</v>
      </c>
      <c r="M4225">
        <v>-8.3839410000000003E-2</v>
      </c>
      <c r="N4225">
        <v>-1.419721E-2</v>
      </c>
      <c r="O4225">
        <v>-0.9963784</v>
      </c>
      <c r="P4225">
        <v>-7.3514889999999999E-2</v>
      </c>
      <c r="Q4225">
        <v>0.21548220000000001</v>
      </c>
      <c r="R4225">
        <v>-0.97373690000000002</v>
      </c>
      <c r="S4225">
        <v>-0.41940309999999997</v>
      </c>
      <c r="T4225">
        <v>-0.14522579999999999</v>
      </c>
      <c r="U4225">
        <v>-3.0806580000000001</v>
      </c>
      <c r="V4225">
        <v>-7.9117259999999991E-3</v>
      </c>
      <c r="W4225">
        <v>0.22934080000000001</v>
      </c>
      <c r="X4225">
        <v>0.97331400000000001</v>
      </c>
      <c r="Y4225">
        <v>5.1246390000000003E-2</v>
      </c>
      <c r="Z4225">
        <v>3.2489579999999997E-2</v>
      </c>
      <c r="AA4225">
        <v>0.99815739999999997</v>
      </c>
      <c r="AB4225">
        <v>39</v>
      </c>
      <c r="AC4225">
        <v>-3.2014000000000302</v>
      </c>
      <c r="AD4225">
        <v>-1.120331342094</v>
      </c>
      <c r="AE4225">
        <v>-23.367889999999999</v>
      </c>
      <c r="AF4225">
        <v>1.2280087841121901</v>
      </c>
      <c r="AG4225">
        <v>-1.120331342094</v>
      </c>
      <c r="AH4225">
        <v>23.5010090185549</v>
      </c>
      <c r="AI4225">
        <v>92.725603891539905</v>
      </c>
      <c r="AJ4225">
        <v>87.008818305690895</v>
      </c>
      <c r="AK4225">
        <v>23.559723529365399</v>
      </c>
      <c r="AL4225">
        <v>76.741734593937196</v>
      </c>
      <c r="AM4225">
        <v>90.465726913158903</v>
      </c>
      <c r="AN4225">
        <v>0.99999997027446896</v>
      </c>
    </row>
    <row r="4226" spans="1:40" x14ac:dyDescent="0.25">
      <c r="A4226" t="str">
        <f>"20190303170624304"</f>
        <v>20190303170624304</v>
      </c>
      <c r="B4226" t="str">
        <f>"1551603984299268"</f>
        <v>1551603984299268</v>
      </c>
      <c r="C4226" t="s">
        <v>40</v>
      </c>
      <c r="D4226">
        <v>5.41479</v>
      </c>
      <c r="E4226">
        <v>0.52984900000000001</v>
      </c>
      <c r="F4226" t="s">
        <v>71</v>
      </c>
      <c r="G4226">
        <v>-424.67399999999998</v>
      </c>
      <c r="H4226" s="1">
        <v>-2.7735580000000001E-6</v>
      </c>
      <c r="I4226">
        <v>36.283470000000001</v>
      </c>
      <c r="J4226">
        <v>-421.43799999999999</v>
      </c>
      <c r="K4226">
        <v>1.1205480000000001</v>
      </c>
      <c r="L4226">
        <v>59.921810000000001</v>
      </c>
      <c r="M4226">
        <v>-8.3985409999999996E-2</v>
      </c>
      <c r="N4226">
        <v>-1.4193269999999999E-2</v>
      </c>
      <c r="O4226">
        <v>-0.99636599999999997</v>
      </c>
      <c r="P4226">
        <v>-7.3614929999999995E-2</v>
      </c>
      <c r="Q4226">
        <v>0.21777270000000001</v>
      </c>
      <c r="R4226">
        <v>-0.97321930000000001</v>
      </c>
      <c r="S4226">
        <v>-0.4191589</v>
      </c>
      <c r="T4226">
        <v>-0.14363480000000001</v>
      </c>
      <c r="U4226">
        <v>-3.0810550000000001</v>
      </c>
      <c r="V4226">
        <v>-8.0298039999999998E-3</v>
      </c>
      <c r="W4226">
        <v>0.23161580000000001</v>
      </c>
      <c r="X4226">
        <v>0.97277420000000003</v>
      </c>
      <c r="Y4226">
        <v>5.1007719999999999E-2</v>
      </c>
      <c r="Z4226">
        <v>3.1977739999999998E-2</v>
      </c>
      <c r="AA4226">
        <v>0.99818620000000002</v>
      </c>
      <c r="AB4226">
        <v>39</v>
      </c>
      <c r="AC4226">
        <v>-3.23599999999999</v>
      </c>
      <c r="AD4226">
        <v>-1.12055077355799</v>
      </c>
      <c r="AE4226">
        <v>-23.638339999999999</v>
      </c>
      <c r="AF4226">
        <v>1.2363622219352699</v>
      </c>
      <c r="AG4226">
        <v>-1.12055077355799</v>
      </c>
      <c r="AH4226">
        <v>23.774171678323199</v>
      </c>
      <c r="AI4226">
        <v>92.694895192133501</v>
      </c>
      <c r="AJ4226">
        <v>87.023047456013003</v>
      </c>
      <c r="AK4226">
        <v>23.832655424235298</v>
      </c>
      <c r="AL4226">
        <v>76.607780677332102</v>
      </c>
      <c r="AM4226">
        <v>90.472939589193302</v>
      </c>
      <c r="AN4226">
        <v>1.0000000003737699</v>
      </c>
    </row>
    <row r="4227" spans="1:40" x14ac:dyDescent="0.25">
      <c r="A4227" t="str">
        <f>"20190303170624326"</f>
        <v>20190303170624326</v>
      </c>
      <c r="B4227" t="str">
        <f>"1551603984318788"</f>
        <v>1551603984318788</v>
      </c>
      <c r="C4227" t="s">
        <v>40</v>
      </c>
      <c r="D4227">
        <v>5.457643</v>
      </c>
      <c r="E4227">
        <v>0.52985319999999902</v>
      </c>
      <c r="F4227" t="s">
        <v>71</v>
      </c>
      <c r="G4227">
        <v>-424.83269999999999</v>
      </c>
      <c r="H4227" s="1">
        <v>-3.6497800000000001E-6</v>
      </c>
      <c r="I4227">
        <v>34.939700000000002</v>
      </c>
      <c r="J4227">
        <v>-421.47039999999998</v>
      </c>
      <c r="K4227">
        <v>1.120754</v>
      </c>
      <c r="L4227">
        <v>59.539250000000003</v>
      </c>
      <c r="M4227">
        <v>-8.3941310000000005E-2</v>
      </c>
      <c r="N4227">
        <v>-1.4189709999999999E-2</v>
      </c>
      <c r="O4227">
        <v>-0.99636999999999998</v>
      </c>
      <c r="P4227">
        <v>-7.2408239999999999E-2</v>
      </c>
      <c r="Q4227">
        <v>0.2192759</v>
      </c>
      <c r="R4227">
        <v>-0.97297279999999997</v>
      </c>
      <c r="S4227">
        <v>-0.41876219999999997</v>
      </c>
      <c r="T4227">
        <v>-0.13823239999999901</v>
      </c>
      <c r="U4227">
        <v>-3.0818180000000002</v>
      </c>
      <c r="V4227">
        <v>-9.2769510000000003E-3</v>
      </c>
      <c r="W4227">
        <v>0.2331077</v>
      </c>
      <c r="X4227">
        <v>0.97240669999999996</v>
      </c>
      <c r="Y4227">
        <v>5.0900760000000003E-2</v>
      </c>
      <c r="Z4227">
        <v>3.0240409999999999E-2</v>
      </c>
      <c r="AA4227">
        <v>0.99824579999999996</v>
      </c>
      <c r="AB4227">
        <v>39</v>
      </c>
      <c r="AC4227">
        <v>-3.3622999999999998</v>
      </c>
      <c r="AD4227">
        <v>-1.12075764977999</v>
      </c>
      <c r="AE4227">
        <v>-24.599550000000001</v>
      </c>
      <c r="AF4227">
        <v>1.28269168980036</v>
      </c>
      <c r="AG4227">
        <v>-1.12075764977999</v>
      </c>
      <c r="AH4227">
        <v>24.744556689774001</v>
      </c>
      <c r="AI4227">
        <v>92.589858456126294</v>
      </c>
      <c r="AJ4227">
        <v>87.032595921472904</v>
      </c>
      <c r="AK4227">
        <v>24.803114349896902</v>
      </c>
      <c r="AL4227">
        <v>76.519895981436406</v>
      </c>
      <c r="AM4227">
        <v>90.546596412930697</v>
      </c>
      <c r="AN4227">
        <v>1.0000000259120101</v>
      </c>
    </row>
    <row r="4228" spans="1:40" x14ac:dyDescent="0.25">
      <c r="A4228" t="str">
        <f>"20190303170624347"</f>
        <v>20190303170624347</v>
      </c>
      <c r="B4228" t="str">
        <f>"1551603984339284"</f>
        <v>1551603984339284</v>
      </c>
      <c r="C4228" t="s">
        <v>40</v>
      </c>
      <c r="D4228">
        <v>5.4567030000000001</v>
      </c>
      <c r="E4228">
        <v>0.52987399999999996</v>
      </c>
      <c r="F4228" t="s">
        <v>71</v>
      </c>
      <c r="G4228">
        <v>-424.92520000000002</v>
      </c>
      <c r="H4228" s="1">
        <v>-4.1343399999999998E-6</v>
      </c>
      <c r="I4228">
        <v>33.849679999999999</v>
      </c>
      <c r="J4228">
        <v>-421.50299999999999</v>
      </c>
      <c r="K4228">
        <v>1.1209359999999999</v>
      </c>
      <c r="L4228">
        <v>59.15164</v>
      </c>
      <c r="M4228">
        <v>-8.3763119999999996E-2</v>
      </c>
      <c r="N4228">
        <v>-1.4186010000000001E-2</v>
      </c>
      <c r="O4228">
        <v>-0.99638490000000002</v>
      </c>
      <c r="P4228">
        <v>-7.0048319999999997E-2</v>
      </c>
      <c r="Q4228">
        <v>0.21823709999999999</v>
      </c>
      <c r="R4228">
        <v>-0.97337879999999999</v>
      </c>
      <c r="S4228">
        <v>-0.41458129999999999</v>
      </c>
      <c r="T4228">
        <v>-0.134493</v>
      </c>
      <c r="U4228">
        <v>-3.0827939999999998</v>
      </c>
      <c r="V4228">
        <v>-1.158577E-2</v>
      </c>
      <c r="W4228">
        <v>0.2320661</v>
      </c>
      <c r="X4228">
        <v>0.97263100000000002</v>
      </c>
      <c r="Y4228">
        <v>4.9713269999999997E-2</v>
      </c>
      <c r="Z4228">
        <v>2.903793E-2</v>
      </c>
      <c r="AA4228">
        <v>0.99834129999999999</v>
      </c>
      <c r="AB4228">
        <v>39</v>
      </c>
      <c r="AC4228">
        <v>-3.4221999999999699</v>
      </c>
      <c r="AD4228">
        <v>-1.1209401343400001</v>
      </c>
      <c r="AE4228">
        <v>-25.301960000000001</v>
      </c>
      <c r="AF4228">
        <v>1.28810416200947</v>
      </c>
      <c r="AG4228">
        <v>-1.1209401343400001</v>
      </c>
      <c r="AH4228">
        <v>25.450651341762899</v>
      </c>
      <c r="AI4228">
        <v>92.518667027303707</v>
      </c>
      <c r="AJ4228">
        <v>87.102627712115506</v>
      </c>
      <c r="AK4228">
        <v>25.507868841534801</v>
      </c>
      <c r="AL4228">
        <v>76.581257505031303</v>
      </c>
      <c r="AM4228">
        <v>90.682462649946999</v>
      </c>
      <c r="AN4228">
        <v>0.99999998349835095</v>
      </c>
    </row>
    <row r="4229" spans="1:40" x14ac:dyDescent="0.25">
      <c r="A4229" t="str">
        <f>"20190303170624370"</f>
        <v>20190303170624370</v>
      </c>
      <c r="B4229" t="str">
        <f>"1551603984359560"</f>
        <v>1551603984359560</v>
      </c>
      <c r="C4229" t="s">
        <v>40</v>
      </c>
      <c r="D4229">
        <v>5.4486270000000001</v>
      </c>
      <c r="E4229">
        <v>0.52989509999999995</v>
      </c>
      <c r="F4229" t="s">
        <v>71</v>
      </c>
      <c r="G4229">
        <v>-424.80520000000001</v>
      </c>
      <c r="H4229" s="1">
        <v>-3.9852380000000002E-6</v>
      </c>
      <c r="I4229">
        <v>34.231090000000002</v>
      </c>
      <c r="J4229">
        <v>-421.53449999999998</v>
      </c>
      <c r="K4229">
        <v>1.121068</v>
      </c>
      <c r="L4229">
        <v>58.774290000000001</v>
      </c>
      <c r="M4229">
        <v>-8.3498340000000004E-2</v>
      </c>
      <c r="N4229">
        <v>-1.418231E-2</v>
      </c>
      <c r="O4229">
        <v>-0.99640709999999999</v>
      </c>
      <c r="P4229">
        <v>-6.8025769999999999E-2</v>
      </c>
      <c r="Q4229">
        <v>0.21778990000000001</v>
      </c>
      <c r="R4229">
        <v>-0.97362230000000005</v>
      </c>
      <c r="S4229">
        <v>-0.4086304</v>
      </c>
      <c r="T4229">
        <v>-0.13870839999999901</v>
      </c>
      <c r="U4229">
        <v>-3.0837400000000001</v>
      </c>
      <c r="V4229">
        <v>-1.344099E-2</v>
      </c>
      <c r="W4229">
        <v>0.23161300000000001</v>
      </c>
      <c r="X4229">
        <v>0.97271510000000005</v>
      </c>
      <c r="Y4229">
        <v>4.804025E-2</v>
      </c>
      <c r="Z4229">
        <v>3.038569E-2</v>
      </c>
      <c r="AA4229">
        <v>0.99838309999999997</v>
      </c>
      <c r="AB4229">
        <v>39</v>
      </c>
      <c r="AC4229">
        <v>-3.2707000000000299</v>
      </c>
      <c r="AD4229">
        <v>-1.121071985238</v>
      </c>
      <c r="AE4229">
        <v>-24.543199999999999</v>
      </c>
      <c r="AF4229">
        <v>1.2072788259403</v>
      </c>
      <c r="AG4229">
        <v>-1.121071985238</v>
      </c>
      <c r="AH4229">
        <v>24.680006607351402</v>
      </c>
      <c r="AI4229">
        <v>92.5977308103692</v>
      </c>
      <c r="AJ4229">
        <v>87.199478601681506</v>
      </c>
      <c r="AK4229">
        <v>24.734935833726301</v>
      </c>
      <c r="AL4229">
        <v>76.607944955557002</v>
      </c>
      <c r="AM4229">
        <v>90.791663448707197</v>
      </c>
      <c r="AN4229">
        <v>0.99999995387459395</v>
      </c>
    </row>
    <row r="4230" spans="1:40" x14ac:dyDescent="0.25">
      <c r="A4230" t="str">
        <f>"20190303170624392"</f>
        <v>20190303170624392</v>
      </c>
      <c r="B4230" t="str">
        <f>"1551603984379080"</f>
        <v>1551603984379080</v>
      </c>
      <c r="C4230" t="s">
        <v>40</v>
      </c>
      <c r="D4230">
        <v>5.4446779999999997</v>
      </c>
      <c r="E4230">
        <v>0.52991409999999906</v>
      </c>
      <c r="F4230" t="s">
        <v>71</v>
      </c>
      <c r="G4230">
        <v>-424.75029999999998</v>
      </c>
      <c r="H4230" s="1">
        <v>-3.9688720000000003E-6</v>
      </c>
      <c r="I4230">
        <v>34.256219999999999</v>
      </c>
      <c r="J4230">
        <v>-421.56670000000003</v>
      </c>
      <c r="K4230">
        <v>1.1211869999999999</v>
      </c>
      <c r="L4230">
        <v>58.388370000000002</v>
      </c>
      <c r="M4230">
        <v>-8.3170649999999999E-2</v>
      </c>
      <c r="N4230">
        <v>-1.417846E-2</v>
      </c>
      <c r="O4230">
        <v>-0.99643470000000001</v>
      </c>
      <c r="P4230">
        <v>-6.656455E-2</v>
      </c>
      <c r="Q4230">
        <v>0.21850520000000001</v>
      </c>
      <c r="R4230">
        <v>-0.97356319999999996</v>
      </c>
      <c r="S4230">
        <v>-0.40457149999999997</v>
      </c>
      <c r="T4230">
        <v>-0.14103959999999999</v>
      </c>
      <c r="U4230">
        <v>-3.0845639999999999</v>
      </c>
      <c r="V4230">
        <v>-1.4636049999999999E-2</v>
      </c>
      <c r="W4230">
        <v>0.23231850000000001</v>
      </c>
      <c r="X4230">
        <v>0.97252959999999999</v>
      </c>
      <c r="Y4230">
        <v>4.7039909999999997E-2</v>
      </c>
      <c r="Z4230">
        <v>3.1129739999999999E-2</v>
      </c>
      <c r="AA4230">
        <v>0.99840779999999996</v>
      </c>
      <c r="AB4230">
        <v>39</v>
      </c>
      <c r="AC4230">
        <v>-3.18359999999995</v>
      </c>
      <c r="AD4230">
        <v>-1.1211909688719901</v>
      </c>
      <c r="AE4230">
        <v>-24.132149999999999</v>
      </c>
      <c r="AF4230">
        <v>1.1628126713784901</v>
      </c>
      <c r="AG4230">
        <v>-1.1211909688719901</v>
      </c>
      <c r="AH4230">
        <v>24.261856472768802</v>
      </c>
      <c r="AI4230">
        <v>92.642845689486094</v>
      </c>
      <c r="AJ4230">
        <v>87.256050232605901</v>
      </c>
      <c r="AK4230">
        <v>24.315568716413601</v>
      </c>
      <c r="AL4230">
        <v>76.566389405720997</v>
      </c>
      <c r="AM4230">
        <v>90.862205729331293</v>
      </c>
      <c r="AN4230">
        <v>0.99999996113900502</v>
      </c>
    </row>
    <row r="4231" spans="1:40" x14ac:dyDescent="0.25">
      <c r="A4231" t="str">
        <f>"20190303170624416"</f>
        <v>20190303170624416</v>
      </c>
      <c r="B4231" t="str">
        <f>"1551603984409336"</f>
        <v>1551603984409336</v>
      </c>
      <c r="C4231" t="s">
        <v>40</v>
      </c>
      <c r="D4231">
        <v>5.4747309999999896</v>
      </c>
      <c r="E4231">
        <v>0.5300108</v>
      </c>
      <c r="F4231" t="s">
        <v>71</v>
      </c>
      <c r="G4231">
        <v>-424.78120000000001</v>
      </c>
      <c r="H4231" s="1">
        <v>-4.1909300000000004E-6</v>
      </c>
      <c r="I4231">
        <v>33.628900000000002</v>
      </c>
      <c r="J4231">
        <v>-421.59980000000002</v>
      </c>
      <c r="K4231">
        <v>1.1212879999999901</v>
      </c>
      <c r="L4231">
        <v>57.989960000000004</v>
      </c>
      <c r="M4231">
        <v>-8.2803420000000003E-2</v>
      </c>
      <c r="N4231">
        <v>-1.4174340000000001E-2</v>
      </c>
      <c r="O4231">
        <v>-0.99646509999999999</v>
      </c>
      <c r="P4231">
        <v>-6.4177769999999995E-2</v>
      </c>
      <c r="Q4231">
        <v>0.21948960000000001</v>
      </c>
      <c r="R4231">
        <v>-0.97350170000000003</v>
      </c>
      <c r="S4231">
        <v>-0.40057369999999998</v>
      </c>
      <c r="T4231">
        <v>-0.1397195</v>
      </c>
      <c r="U4231">
        <v>-3.0854490000000001</v>
      </c>
      <c r="V4231">
        <v>-1.6705390000000001E-2</v>
      </c>
      <c r="W4231">
        <v>0.2332909</v>
      </c>
      <c r="X4231">
        <v>0.97226349999999995</v>
      </c>
      <c r="Y4231">
        <v>4.6101349999999999E-2</v>
      </c>
      <c r="Z4231">
        <v>3.0704140000000001E-2</v>
      </c>
      <c r="AA4231">
        <v>0.99846480000000004</v>
      </c>
      <c r="AB4231">
        <v>39</v>
      </c>
      <c r="AC4231">
        <v>-3.1813999999999898</v>
      </c>
      <c r="AD4231">
        <v>-1.12129219092999</v>
      </c>
      <c r="AE4231">
        <v>-24.361059999999899</v>
      </c>
      <c r="AF4231">
        <v>1.15069385941638</v>
      </c>
      <c r="AG4231">
        <v>-1.12129219092999</v>
      </c>
      <c r="AH4231">
        <v>24.489828436712699</v>
      </c>
      <c r="AI4231">
        <v>92.618630814945504</v>
      </c>
      <c r="AJ4231">
        <v>87.309844481696899</v>
      </c>
      <c r="AK4231">
        <v>24.542475209219599</v>
      </c>
      <c r="AL4231">
        <v>76.509101620669398</v>
      </c>
      <c r="AM4231">
        <v>90.984356780987397</v>
      </c>
      <c r="AN4231">
        <v>1.00000001375505</v>
      </c>
    </row>
    <row r="4232" spans="1:40" x14ac:dyDescent="0.25">
      <c r="A4232" t="str">
        <f>"20190303170624438"</f>
        <v>20190303170624438</v>
      </c>
      <c r="B4232" t="str">
        <f>"1551603984428855"</f>
        <v>1551603984428855</v>
      </c>
      <c r="C4232" t="s">
        <v>40</v>
      </c>
      <c r="D4232">
        <v>5.7580770000000001</v>
      </c>
      <c r="E4232">
        <v>0.52998219999999996</v>
      </c>
      <c r="F4232" t="s">
        <v>71</v>
      </c>
      <c r="G4232">
        <v>-424.80099999999999</v>
      </c>
      <c r="H4232" s="1">
        <v>-4.4383280000000003E-6</v>
      </c>
      <c r="I4232">
        <v>32.924190000000003</v>
      </c>
      <c r="J4232">
        <v>-421.63240000000002</v>
      </c>
      <c r="K4232">
        <v>1.12137</v>
      </c>
      <c r="L4232">
        <v>57.593319999999999</v>
      </c>
      <c r="M4232">
        <v>-8.2426410000000006E-2</v>
      </c>
      <c r="N4232">
        <v>-1.417032E-2</v>
      </c>
      <c r="O4232">
        <v>-0.99649659999999995</v>
      </c>
      <c r="P4232">
        <v>-6.0868289999999999E-2</v>
      </c>
      <c r="Q4232">
        <v>0.21985150000000001</v>
      </c>
      <c r="R4232">
        <v>-0.97363279999999996</v>
      </c>
      <c r="S4232">
        <v>-0.39422610000000002</v>
      </c>
      <c r="T4232">
        <v>-0.1380847</v>
      </c>
      <c r="U4232">
        <v>-3.086792</v>
      </c>
      <c r="V4232">
        <v>-1.968787E-2</v>
      </c>
      <c r="W4232">
        <v>0.23364280000000001</v>
      </c>
      <c r="X4232">
        <v>0.97212310000000002</v>
      </c>
      <c r="Y4232">
        <v>4.4406939999999999E-2</v>
      </c>
      <c r="Z4232">
        <v>3.0173720000000001E-2</v>
      </c>
      <c r="AA4232">
        <v>0.99855769999999999</v>
      </c>
      <c r="AB4232">
        <v>39</v>
      </c>
      <c r="AC4232">
        <v>-3.1685999999999601</v>
      </c>
      <c r="AD4232">
        <v>-1.121374438328</v>
      </c>
      <c r="AE4232">
        <v>-24.669129999999999</v>
      </c>
      <c r="AF4232">
        <v>1.12194331618784</v>
      </c>
      <c r="AG4232">
        <v>-1.121374438328</v>
      </c>
      <c r="AH4232">
        <v>24.7959660147881</v>
      </c>
      <c r="AI4232">
        <v>92.586740920205699</v>
      </c>
      <c r="AJ4232">
        <v>87.409304311289802</v>
      </c>
      <c r="AK4232">
        <v>24.846653055133999</v>
      </c>
      <c r="AL4232">
        <v>76.488365273535294</v>
      </c>
      <c r="AM4232">
        <v>91.160221037283193</v>
      </c>
      <c r="AN4232">
        <v>0.99999994588529195</v>
      </c>
    </row>
    <row r="4233" spans="1:40" x14ac:dyDescent="0.25">
      <c r="A4233" t="str">
        <f>"20190303170624459"</f>
        <v>20190303170624459</v>
      </c>
      <c r="B4233" t="str">
        <f>"1551603984449738"</f>
        <v>1551603984449738</v>
      </c>
      <c r="C4233" t="s">
        <v>40</v>
      </c>
      <c r="D4233">
        <v>5.6454360000000001</v>
      </c>
      <c r="E4233">
        <v>0.48167720000000003</v>
      </c>
      <c r="F4233" t="s">
        <v>71</v>
      </c>
      <c r="G4233">
        <v>-424.81689999999998</v>
      </c>
      <c r="H4233" s="1">
        <v>-4.6791669999999997E-6</v>
      </c>
      <c r="I4233">
        <v>32.236789999999999</v>
      </c>
      <c r="J4233">
        <v>-421.6626</v>
      </c>
      <c r="K4233">
        <v>1.1214299999999999</v>
      </c>
      <c r="L4233">
        <v>57.225189999999998</v>
      </c>
      <c r="M4233">
        <v>-8.207325E-2</v>
      </c>
      <c r="N4233">
        <v>-1.41668E-2</v>
      </c>
      <c r="O4233">
        <v>-0.99652580000000002</v>
      </c>
      <c r="P4233">
        <v>-5.7458990000000001E-2</v>
      </c>
      <c r="Q4233">
        <v>0.21880459999999999</v>
      </c>
      <c r="R4233">
        <v>-0.97407569999999999</v>
      </c>
      <c r="S4233">
        <v>-0.38778689999999999</v>
      </c>
      <c r="T4233">
        <v>-0.13655709999999999</v>
      </c>
      <c r="U4233">
        <v>-3.0878299999999999</v>
      </c>
      <c r="V4233">
        <v>-2.2805909999999999E-2</v>
      </c>
      <c r="W4233">
        <v>0.23259070000000001</v>
      </c>
      <c r="X4233">
        <v>0.97230729999999999</v>
      </c>
      <c r="Y4233">
        <v>4.267199E-2</v>
      </c>
      <c r="Z4233">
        <v>2.9681450000000002E-2</v>
      </c>
      <c r="AA4233">
        <v>0.99864819999999999</v>
      </c>
      <c r="AB4233">
        <v>39</v>
      </c>
      <c r="AC4233">
        <v>-3.1542999999999699</v>
      </c>
      <c r="AD4233">
        <v>-1.121434679167</v>
      </c>
      <c r="AE4233">
        <v>-24.988399999999999</v>
      </c>
      <c r="AF4233">
        <v>1.09040986421641</v>
      </c>
      <c r="AG4233">
        <v>-1.121434679167</v>
      </c>
      <c r="AH4233">
        <v>25.113203254746001</v>
      </c>
      <c r="AI4233">
        <v>92.554451276557202</v>
      </c>
      <c r="AJ4233">
        <v>87.513791235029998</v>
      </c>
      <c r="AK4233">
        <v>25.161867719344801</v>
      </c>
      <c r="AL4233">
        <v>76.550354977120705</v>
      </c>
      <c r="AM4233">
        <v>91.343652199884403</v>
      </c>
      <c r="AN4233">
        <v>1.00000001444535</v>
      </c>
    </row>
    <row r="4234" spans="1:40" x14ac:dyDescent="0.25">
      <c r="A4234" t="str">
        <f>"20190303170624481"</f>
        <v>20190303170624481</v>
      </c>
      <c r="B4234" t="str">
        <f>"1551603984469258"</f>
        <v>1551603984469258</v>
      </c>
      <c r="C4234" t="s">
        <v>40</v>
      </c>
      <c r="D4234">
        <v>5.6963280000000003</v>
      </c>
      <c r="E4234">
        <v>0.4685086</v>
      </c>
      <c r="F4234" t="s">
        <v>71</v>
      </c>
      <c r="G4234">
        <v>-421.61290000000002</v>
      </c>
      <c r="H4234" s="1">
        <v>-3.5973759999999998E-6</v>
      </c>
      <c r="I4234">
        <v>34.067959999999999</v>
      </c>
      <c r="J4234">
        <v>-421.69369999999998</v>
      </c>
      <c r="K4234">
        <v>1.121467</v>
      </c>
      <c r="L4234">
        <v>56.84348</v>
      </c>
      <c r="M4234">
        <v>-8.1705669999999994E-2</v>
      </c>
      <c r="N4234">
        <v>-1.416332E-2</v>
      </c>
      <c r="O4234">
        <v>-0.996556</v>
      </c>
      <c r="P4234">
        <v>-5.5348040000000001E-2</v>
      </c>
      <c r="Q4234">
        <v>0.21731500000000001</v>
      </c>
      <c r="R4234">
        <v>-0.97453129999999999</v>
      </c>
      <c r="S4234">
        <v>6.6833500000000002E-3</v>
      </c>
      <c r="T4234">
        <v>-0.15080650000000001</v>
      </c>
      <c r="U4234">
        <v>-3.1141049999999999</v>
      </c>
      <c r="V4234">
        <v>-2.4610509999999999E-2</v>
      </c>
      <c r="W4234">
        <v>0.23109850000000001</v>
      </c>
      <c r="X4234">
        <v>0.97261909999999896</v>
      </c>
      <c r="Y4234">
        <v>-8.3814059999999996E-2</v>
      </c>
      <c r="Z4234">
        <v>3.388973E-2</v>
      </c>
      <c r="AA4234">
        <v>0.99590500000000004</v>
      </c>
      <c r="AB4234">
        <v>39</v>
      </c>
      <c r="AC4234">
        <v>8.0799999999953798E-2</v>
      </c>
      <c r="AD4234">
        <v>-1.121470597376</v>
      </c>
      <c r="AE4234">
        <v>-22.77552</v>
      </c>
      <c r="AF4234">
        <v>-1.9369091682983399</v>
      </c>
      <c r="AG4234">
        <v>-1.121470597376</v>
      </c>
      <c r="AH4234">
        <v>22.637865376295402</v>
      </c>
      <c r="AI4234">
        <v>92.825783379497196</v>
      </c>
      <c r="AJ4234">
        <v>94.890350576437399</v>
      </c>
      <c r="AK4234">
        <v>22.7482364640051</v>
      </c>
      <c r="AL4234">
        <v>76.638247079197001</v>
      </c>
      <c r="AM4234">
        <v>91.449465193314296</v>
      </c>
      <c r="AN4234">
        <v>1.00000005379475</v>
      </c>
    </row>
    <row r="4235" spans="1:40" x14ac:dyDescent="0.25">
      <c r="A4235" t="str">
        <f>"20190303170624505"</f>
        <v>20190303170624505</v>
      </c>
      <c r="B4235" t="str">
        <f>"1551603984499514"</f>
        <v>1551603984499514</v>
      </c>
      <c r="C4235" t="s">
        <v>40</v>
      </c>
      <c r="D4235">
        <v>5.7132639999999997</v>
      </c>
      <c r="E4235">
        <v>0.46020260000000002</v>
      </c>
      <c r="F4235" t="s">
        <v>71</v>
      </c>
      <c r="G4235">
        <v>-420.70400000000001</v>
      </c>
      <c r="H4235" s="1">
        <v>-5.4303310000000001E-6</v>
      </c>
      <c r="I4235">
        <v>30.278120000000001</v>
      </c>
      <c r="J4235">
        <v>-421.72609999999997</v>
      </c>
      <c r="K4235">
        <v>1.1215010000000001</v>
      </c>
      <c r="L4235">
        <v>56.443849999999998</v>
      </c>
      <c r="M4235">
        <v>-8.1312190000000006E-2</v>
      </c>
      <c r="N4235">
        <v>-1.4159919999999999E-2</v>
      </c>
      <c r="O4235">
        <v>-0.99658829999999998</v>
      </c>
      <c r="P4235">
        <v>-5.3629599999999902E-2</v>
      </c>
      <c r="Q4235">
        <v>0.21623510000000001</v>
      </c>
      <c r="R4235">
        <v>-0.97486759999999995</v>
      </c>
      <c r="S4235">
        <v>0.1160278</v>
      </c>
      <c r="T4235">
        <v>-0.131472799999999</v>
      </c>
      <c r="U4235">
        <v>-3.1143190000000001</v>
      </c>
      <c r="V4235">
        <v>-2.5985029999999999E-2</v>
      </c>
      <c r="W4235">
        <v>0.23001550000000001</v>
      </c>
      <c r="X4235">
        <v>0.97284000000000004</v>
      </c>
      <c r="Y4235">
        <v>-0.11830930000000001</v>
      </c>
      <c r="Z4235">
        <v>2.763285E-2</v>
      </c>
      <c r="AA4235">
        <v>0.99259219999999904</v>
      </c>
      <c r="AB4235">
        <v>39</v>
      </c>
      <c r="AC4235">
        <v>1.02209999999996</v>
      </c>
      <c r="AD4235">
        <v>-1.1215064303309901</v>
      </c>
      <c r="AE4235">
        <v>-26.16573</v>
      </c>
      <c r="AF4235">
        <v>-3.1407593520804</v>
      </c>
      <c r="AG4235">
        <v>-1.1215064303309901</v>
      </c>
      <c r="AH4235">
        <v>25.948354414152501</v>
      </c>
      <c r="AI4235">
        <v>92.456914562220305</v>
      </c>
      <c r="AJ4235">
        <v>96.901443771834494</v>
      </c>
      <c r="AK4235">
        <v>26.161789747328498</v>
      </c>
      <c r="AL4235">
        <v>76.702015820948404</v>
      </c>
      <c r="AM4235">
        <v>91.530034365119803</v>
      </c>
      <c r="AN4235">
        <v>1.0000000088121701</v>
      </c>
    </row>
    <row r="4236" spans="1:40" x14ac:dyDescent="0.25">
      <c r="A4236" t="str">
        <f>"20190303170624525"</f>
        <v>20190303170624525</v>
      </c>
      <c r="B4236" t="str">
        <f>"1551603984519034"</f>
        <v>1551603984519034</v>
      </c>
      <c r="C4236" t="s">
        <v>40</v>
      </c>
      <c r="D4236">
        <v>5.7149449999999904</v>
      </c>
      <c r="E4236">
        <v>0.4582599</v>
      </c>
      <c r="F4236" t="s">
        <v>71</v>
      </c>
      <c r="G4236">
        <v>-419.98469999999998</v>
      </c>
      <c r="H4236" s="1">
        <v>-6.516315E-6</v>
      </c>
      <c r="I4236">
        <v>27.675450000000001</v>
      </c>
      <c r="J4236">
        <v>-421.7561</v>
      </c>
      <c r="K4236">
        <v>1.1215469999999901</v>
      </c>
      <c r="L4236">
        <v>56.073</v>
      </c>
      <c r="M4236">
        <v>-8.0923739999999994E-2</v>
      </c>
      <c r="N4236">
        <v>-1.415698E-2</v>
      </c>
      <c r="O4236">
        <v>-0.9966199</v>
      </c>
      <c r="P4236">
        <v>-5.0742549999999997E-2</v>
      </c>
      <c r="Q4236">
        <v>0.2163804</v>
      </c>
      <c r="R4236">
        <v>-0.97498989999999996</v>
      </c>
      <c r="S4236">
        <v>0.1885376</v>
      </c>
      <c r="T4236">
        <v>-0.12142169999999999</v>
      </c>
      <c r="U4236">
        <v>-3.114655</v>
      </c>
      <c r="V4236">
        <v>-2.851217E-2</v>
      </c>
      <c r="W4236">
        <v>0.23015240000000001</v>
      </c>
      <c r="X4236">
        <v>0.97273679999999996</v>
      </c>
      <c r="Y4236">
        <v>-0.14093639999999999</v>
      </c>
      <c r="Z4236">
        <v>2.4348160000000001E-2</v>
      </c>
      <c r="AA4236">
        <v>0.98971920000000002</v>
      </c>
      <c r="AB4236">
        <v>39</v>
      </c>
      <c r="AC4236">
        <v>1.7714000000000201</v>
      </c>
      <c r="AD4236">
        <v>-1.1215535163150001</v>
      </c>
      <c r="AE4236">
        <v>-28.397549999999999</v>
      </c>
      <c r="AF4236">
        <v>-4.05755052817599</v>
      </c>
      <c r="AG4236">
        <v>-1.1215535163150001</v>
      </c>
      <c r="AH4236">
        <v>28.117344725557</v>
      </c>
      <c r="AI4236">
        <v>92.260826614631299</v>
      </c>
      <c r="AJ4236">
        <v>98.211536705375096</v>
      </c>
      <c r="AK4236">
        <v>28.4307346544979</v>
      </c>
      <c r="AL4236">
        <v>76.693955347428599</v>
      </c>
      <c r="AM4236">
        <v>91.678932474139799</v>
      </c>
      <c r="AN4236">
        <v>0.99999997656905404</v>
      </c>
    </row>
    <row r="4237" spans="1:40" x14ac:dyDescent="0.25">
      <c r="A4237" t="str">
        <f>"20190303170624548"</f>
        <v>20190303170624548</v>
      </c>
      <c r="B4237" t="str">
        <f>"1551603984539530"</f>
        <v>1551603984539530</v>
      </c>
      <c r="C4237" t="s">
        <v>40</v>
      </c>
      <c r="D4237">
        <v>5.7359519999999904</v>
      </c>
      <c r="E4237">
        <v>0.45709450000000001</v>
      </c>
      <c r="F4237" t="s">
        <v>71</v>
      </c>
      <c r="G4237">
        <v>-419.74849999999998</v>
      </c>
      <c r="H4237" s="1">
        <v>-6.9991469999999999E-6</v>
      </c>
      <c r="I4237">
        <v>26.404610000000002</v>
      </c>
      <c r="J4237">
        <v>-421.7867</v>
      </c>
      <c r="K4237">
        <v>1.121597</v>
      </c>
      <c r="L4237">
        <v>55.690980000000003</v>
      </c>
      <c r="M4237">
        <v>-8.0496120000000004E-2</v>
      </c>
      <c r="N4237">
        <v>-1.4154170000000001E-2</v>
      </c>
      <c r="O4237">
        <v>-0.99665459999999995</v>
      </c>
      <c r="P4237">
        <v>-4.8841339999999997E-2</v>
      </c>
      <c r="Q4237">
        <v>0.21783759999999999</v>
      </c>
      <c r="R4237">
        <v>-0.97476229999999997</v>
      </c>
      <c r="S4237">
        <v>0.21072389999999999</v>
      </c>
      <c r="T4237">
        <v>-0.11772009999999999</v>
      </c>
      <c r="U4237">
        <v>-3.1140439999999998</v>
      </c>
      <c r="V4237">
        <v>-2.999373E-2</v>
      </c>
      <c r="W4237">
        <v>0.2315972</v>
      </c>
      <c r="X4237">
        <v>0.97234929999999997</v>
      </c>
      <c r="Y4237">
        <v>-0.14754320000000001</v>
      </c>
      <c r="Z4237">
        <v>2.3156159999999999E-2</v>
      </c>
      <c r="AA4237">
        <v>0.98878449999999996</v>
      </c>
      <c r="AB4237">
        <v>39</v>
      </c>
      <c r="AC4237">
        <v>2.03820000000001</v>
      </c>
      <c r="AD4237">
        <v>-1.1216039991469999</v>
      </c>
      <c r="AE4237">
        <v>-29.286370000000002</v>
      </c>
      <c r="AF4237">
        <v>-4.3828620132866201</v>
      </c>
      <c r="AG4237">
        <v>-1.1216039991469999</v>
      </c>
      <c r="AH4237">
        <v>28.984922883046298</v>
      </c>
      <c r="AI4237">
        <v>92.191134730740004</v>
      </c>
      <c r="AJ4237">
        <v>98.598656038768794</v>
      </c>
      <c r="AK4237">
        <v>29.335869332517799</v>
      </c>
      <c r="AL4237">
        <v>76.608876488583107</v>
      </c>
      <c r="AM4237">
        <v>91.766823287627204</v>
      </c>
      <c r="AN4237">
        <v>1.00000002404882</v>
      </c>
    </row>
    <row r="4238" spans="1:40" x14ac:dyDescent="0.25">
      <c r="A4238" t="str">
        <f>"20190303170624571"</f>
        <v>20190303170624571</v>
      </c>
      <c r="B4238" t="str">
        <f>"1551603984559353"</f>
        <v>1551603984559353</v>
      </c>
      <c r="C4238" t="s">
        <v>40</v>
      </c>
      <c r="D4238">
        <v>5.6962409999999997</v>
      </c>
      <c r="E4238">
        <v>0.45616279999999998</v>
      </c>
      <c r="F4238" t="s">
        <v>71</v>
      </c>
      <c r="G4238">
        <v>-419.51819999999998</v>
      </c>
      <c r="H4238" s="1">
        <v>-6.8215559999999997E-6</v>
      </c>
      <c r="I4238">
        <v>24.107089999999999</v>
      </c>
      <c r="J4238">
        <v>-421.81729999999999</v>
      </c>
      <c r="K4238">
        <v>1.1216459999999999</v>
      </c>
      <c r="L4238">
        <v>55.307650000000002</v>
      </c>
      <c r="M4238">
        <v>-8.0015580000000003E-2</v>
      </c>
      <c r="N4238">
        <v>-1.415144E-2</v>
      </c>
      <c r="O4238">
        <v>-0.9966931</v>
      </c>
      <c r="P4238">
        <v>-4.7943880000000001E-2</v>
      </c>
      <c r="Q4238">
        <v>0.2182683</v>
      </c>
      <c r="R4238">
        <v>-0.97471050000000004</v>
      </c>
      <c r="S4238">
        <v>0.22363279999999999</v>
      </c>
      <c r="T4238">
        <v>-0.1105694</v>
      </c>
      <c r="U4238">
        <v>-3.1135860000000002</v>
      </c>
      <c r="V4238">
        <v>-3.044171E-2</v>
      </c>
      <c r="W4238">
        <v>0.2320198</v>
      </c>
      <c r="X4238">
        <v>0.97223459999999995</v>
      </c>
      <c r="Y4238">
        <v>-0.15115960000000001</v>
      </c>
      <c r="Z4238">
        <v>2.0882879999999999E-2</v>
      </c>
      <c r="AA4238">
        <v>0.98828879999999997</v>
      </c>
      <c r="AB4238">
        <v>39</v>
      </c>
      <c r="AC4238">
        <v>2.2991000000000099</v>
      </c>
      <c r="AD4238">
        <v>-1.121652821556</v>
      </c>
      <c r="AE4238">
        <v>-31.200559999999999</v>
      </c>
      <c r="AF4238">
        <v>-4.7823604998203004</v>
      </c>
      <c r="AG4238">
        <v>-1.121652821556</v>
      </c>
      <c r="AH4238">
        <v>30.876827335318598</v>
      </c>
      <c r="AI4238">
        <v>92.055957964268401</v>
      </c>
      <c r="AJ4238">
        <v>98.804304060510802</v>
      </c>
      <c r="AK4238">
        <v>31.265117036362199</v>
      </c>
      <c r="AL4238">
        <v>76.583984982244004</v>
      </c>
      <c r="AM4238">
        <v>91.793406499166295</v>
      </c>
      <c r="AN4238">
        <v>1.00000000136846</v>
      </c>
    </row>
    <row r="4239" spans="1:40" x14ac:dyDescent="0.25">
      <c r="A4239" t="str">
        <f>"20190303170624593"</f>
        <v>20190303170624593</v>
      </c>
      <c r="B4239" t="str">
        <f>"1551603984589610"</f>
        <v>1551603984589610</v>
      </c>
      <c r="C4239" t="s">
        <v>40</v>
      </c>
      <c r="D4239">
        <v>5.7390790000000003</v>
      </c>
      <c r="E4239">
        <v>0.45538479999999998</v>
      </c>
      <c r="F4239" t="s">
        <v>71</v>
      </c>
      <c r="G4239">
        <v>-419.31720000000001</v>
      </c>
      <c r="H4239" s="1">
        <v>-6.6632640000000001E-6</v>
      </c>
      <c r="I4239">
        <v>22.07253</v>
      </c>
      <c r="J4239">
        <v>-421.84800000000001</v>
      </c>
      <c r="K4239">
        <v>1.12171</v>
      </c>
      <c r="L4239">
        <v>54.918610000000001</v>
      </c>
      <c r="M4239">
        <v>-7.9441310000000001E-2</v>
      </c>
      <c r="N4239">
        <v>-1.4148930000000001E-2</v>
      </c>
      <c r="O4239">
        <v>-0.99673909999999999</v>
      </c>
      <c r="P4239">
        <v>-4.7732209999999997E-2</v>
      </c>
      <c r="Q4239">
        <v>0.2165079</v>
      </c>
      <c r="R4239">
        <v>-0.97511320000000001</v>
      </c>
      <c r="S4239">
        <v>0.23416139999999999</v>
      </c>
      <c r="T4239">
        <v>-0.10505680000000001</v>
      </c>
      <c r="U4239">
        <v>-3.1128849999999999</v>
      </c>
      <c r="V4239">
        <v>-3.0159370000000001E-2</v>
      </c>
      <c r="W4239">
        <v>0.23025780000000001</v>
      </c>
      <c r="X4239">
        <v>0.97266220000000003</v>
      </c>
      <c r="Y4239">
        <v>-0.1539336</v>
      </c>
      <c r="Z4239">
        <v>1.913515E-2</v>
      </c>
      <c r="AA4239">
        <v>0.98789590000000005</v>
      </c>
      <c r="AB4239">
        <v>39</v>
      </c>
      <c r="AC4239">
        <v>2.5308000000000002</v>
      </c>
      <c r="AD4239">
        <v>-1.1217166632640001</v>
      </c>
      <c r="AE4239">
        <v>-32.846080000000001</v>
      </c>
      <c r="AF4239">
        <v>-5.1264532860971501</v>
      </c>
      <c r="AG4239">
        <v>-1.1217166632640001</v>
      </c>
      <c r="AH4239">
        <v>32.503496270443001</v>
      </c>
      <c r="AI4239">
        <v>91.952414396981396</v>
      </c>
      <c r="AJ4239">
        <v>98.962861385279595</v>
      </c>
      <c r="AK4239">
        <v>32.924398876363497</v>
      </c>
      <c r="AL4239">
        <v>76.687750001528002</v>
      </c>
      <c r="AM4239">
        <v>91.776003163590502</v>
      </c>
      <c r="AN4239">
        <v>0.99999999868423795</v>
      </c>
    </row>
    <row r="4240" spans="1:40" x14ac:dyDescent="0.25">
      <c r="A4240" t="str">
        <f>"20190303170624616"</f>
        <v>20190303170624616</v>
      </c>
      <c r="B4240" t="str">
        <f>"1551603984609129"</f>
        <v>1551603984609129</v>
      </c>
      <c r="C4240" t="s">
        <v>40</v>
      </c>
      <c r="D4240">
        <v>5.7520230000000003</v>
      </c>
      <c r="E4240">
        <v>0.4552717</v>
      </c>
      <c r="F4240" t="s">
        <v>71</v>
      </c>
      <c r="G4240">
        <v>-419.35270000000003</v>
      </c>
      <c r="H4240" s="1">
        <v>-6.7381659999999996E-6</v>
      </c>
      <c r="I4240">
        <v>22.849060000000001</v>
      </c>
      <c r="J4240">
        <v>-421.87849999999997</v>
      </c>
      <c r="K4240">
        <v>1.1218090000000001</v>
      </c>
      <c r="L4240">
        <v>54.527439999999999</v>
      </c>
      <c r="M4240">
        <v>-7.8738790000000003E-2</v>
      </c>
      <c r="N4240">
        <v>-1.4146890000000001E-2</v>
      </c>
      <c r="O4240">
        <v>-0.99679479999999998</v>
      </c>
      <c r="P4240">
        <v>-4.6677339999999998E-2</v>
      </c>
      <c r="Q4240">
        <v>0.21428549999999999</v>
      </c>
      <c r="R4240">
        <v>-0.9756551</v>
      </c>
      <c r="S4240">
        <v>0.2421875</v>
      </c>
      <c r="T4240">
        <v>-0.1088706</v>
      </c>
      <c r="U4240">
        <v>-3.1125790000000002</v>
      </c>
      <c r="V4240">
        <v>-3.0615509999999999E-2</v>
      </c>
      <c r="W4240">
        <v>0.22803309999999999</v>
      </c>
      <c r="X4240">
        <v>0.97317189999999998</v>
      </c>
      <c r="Y4240">
        <v>-0.15577289999999999</v>
      </c>
      <c r="Z4240">
        <v>2.034269E-2</v>
      </c>
      <c r="AA4240">
        <v>0.9875834</v>
      </c>
      <c r="AB4240">
        <v>39</v>
      </c>
      <c r="AC4240">
        <v>2.5257999999999399</v>
      </c>
      <c r="AD4240">
        <v>-1.1218157381659899</v>
      </c>
      <c r="AE4240">
        <v>-31.678380000000001</v>
      </c>
      <c r="AF4240">
        <v>-5.0062852149916699</v>
      </c>
      <c r="AG4240">
        <v>-1.1218157381659899</v>
      </c>
      <c r="AH4240">
        <v>31.3420530466</v>
      </c>
      <c r="AI4240">
        <v>92.024254914713495</v>
      </c>
      <c r="AJ4240">
        <v>99.075226583791206</v>
      </c>
      <c r="AK4240">
        <v>31.759182158552701</v>
      </c>
      <c r="AL4240">
        <v>76.818699943237704</v>
      </c>
      <c r="AM4240">
        <v>91.801902791278906</v>
      </c>
      <c r="AN4240">
        <v>0.99999997554888898</v>
      </c>
    </row>
    <row r="4241" spans="1:40" x14ac:dyDescent="0.25">
      <c r="A4241" t="str">
        <f>"20190303170624638"</f>
        <v>20190303170624638</v>
      </c>
      <c r="B4241" t="str">
        <f>"1551603984629626"</f>
        <v>1551603984629626</v>
      </c>
      <c r="C4241" t="s">
        <v>40</v>
      </c>
      <c r="D4241">
        <v>5.7542099999999996</v>
      </c>
      <c r="E4241">
        <v>0.4550902</v>
      </c>
      <c r="F4241" t="s">
        <v>71</v>
      </c>
      <c r="G4241">
        <v>-419.51519999999999</v>
      </c>
      <c r="H4241" s="1">
        <v>-6.8829120000000001E-6</v>
      </c>
      <c r="I4241">
        <v>24.64312</v>
      </c>
      <c r="J4241">
        <v>-421.90769999999998</v>
      </c>
      <c r="K4241">
        <v>1.1219239999999999</v>
      </c>
      <c r="L4241">
        <v>54.148989999999998</v>
      </c>
      <c r="M4241">
        <v>-7.7902109999999997E-2</v>
      </c>
      <c r="N4241">
        <v>-1.414558E-2</v>
      </c>
      <c r="O4241">
        <v>-0.99686090000000005</v>
      </c>
      <c r="P4241">
        <v>-4.5154989999999999E-2</v>
      </c>
      <c r="Q4241">
        <v>0.2147297</v>
      </c>
      <c r="R4241">
        <v>-0.97562939999999998</v>
      </c>
      <c r="S4241">
        <v>0.24612429999999999</v>
      </c>
      <c r="T4241">
        <v>-0.1168305</v>
      </c>
      <c r="U4241">
        <v>-3.1122740000000002</v>
      </c>
      <c r="V4241">
        <v>-3.138117E-2</v>
      </c>
      <c r="W4241">
        <v>0.22846440000000001</v>
      </c>
      <c r="X4241">
        <v>0.97304639999999998</v>
      </c>
      <c r="Y4241">
        <v>-0.1561855</v>
      </c>
      <c r="Z4241">
        <v>2.2870109999999999E-2</v>
      </c>
      <c r="AA4241">
        <v>0.98746290000000003</v>
      </c>
      <c r="AB4241">
        <v>39</v>
      </c>
      <c r="AC4241">
        <v>2.3924999999999801</v>
      </c>
      <c r="AD4241">
        <v>-1.1219308829119901</v>
      </c>
      <c r="AE4241">
        <v>-29.505870000000002</v>
      </c>
      <c r="AF4241">
        <v>-4.6773083489592997</v>
      </c>
      <c r="AG4241">
        <v>-1.1219308829119901</v>
      </c>
      <c r="AH4241">
        <v>29.1878598594068</v>
      </c>
      <c r="AI4241">
        <v>92.173562979095294</v>
      </c>
      <c r="AJ4241">
        <v>99.104154373179696</v>
      </c>
      <c r="AK4241">
        <v>29.581533183214901</v>
      </c>
      <c r="AL4241">
        <v>76.793318977045203</v>
      </c>
      <c r="AM4241">
        <v>91.847173600326002</v>
      </c>
      <c r="AN4241">
        <v>1.00000002822544</v>
      </c>
    </row>
    <row r="4242" spans="1:40" x14ac:dyDescent="0.25">
      <c r="A4242" t="str">
        <f>"20190303170624664"</f>
        <v>20190303170624664</v>
      </c>
      <c r="B4242" t="str">
        <f>"1551603984649651"</f>
        <v>1551603984649651</v>
      </c>
      <c r="C4242" t="s">
        <v>40</v>
      </c>
      <c r="D4242">
        <v>5.7725429999999998</v>
      </c>
      <c r="E4242">
        <v>0.45476260000000002</v>
      </c>
      <c r="F4242" t="s">
        <v>71</v>
      </c>
      <c r="G4242">
        <v>-419.4692</v>
      </c>
      <c r="H4242" s="1">
        <v>-6.8263449999999999E-6</v>
      </c>
      <c r="I4242">
        <v>23.996659999999999</v>
      </c>
      <c r="J4242">
        <v>-421.93990000000002</v>
      </c>
      <c r="K4242">
        <v>1.1221049999999999</v>
      </c>
      <c r="L4242">
        <v>53.722499999999997</v>
      </c>
      <c r="M4242">
        <v>-7.6745850000000004E-2</v>
      </c>
      <c r="N4242">
        <v>-1.4145049999999999E-2</v>
      </c>
      <c r="O4242">
        <v>-0.99695060000000002</v>
      </c>
      <c r="P4242">
        <v>-4.341544E-2</v>
      </c>
      <c r="Q4242">
        <v>0.2163564</v>
      </c>
      <c r="R4242">
        <v>-0.97534880000000002</v>
      </c>
      <c r="S4242">
        <v>0.25167850000000003</v>
      </c>
      <c r="T4242">
        <v>-0.11579589999999899</v>
      </c>
      <c r="U4242">
        <v>-3.1120610000000002</v>
      </c>
      <c r="V4242">
        <v>-3.2060499999999999E-2</v>
      </c>
      <c r="W4242">
        <v>0.23007030000000001</v>
      </c>
      <c r="X4242">
        <v>0.9726458</v>
      </c>
      <c r="Y4242">
        <v>-0.15679709999999999</v>
      </c>
      <c r="Z4242">
        <v>2.2545599999999999E-2</v>
      </c>
      <c r="AA4242">
        <v>0.98737350000000002</v>
      </c>
      <c r="AB4242">
        <v>39</v>
      </c>
      <c r="AC4242">
        <v>2.4707000000000199</v>
      </c>
      <c r="AD4242">
        <v>-1.1221118263449901</v>
      </c>
      <c r="AE4242">
        <v>-29.725839999999899</v>
      </c>
      <c r="AF4242">
        <v>-4.7382686793762998</v>
      </c>
      <c r="AG4242">
        <v>-1.1221118263449901</v>
      </c>
      <c r="AH4242">
        <v>29.406900514746301</v>
      </c>
      <c r="AI4242">
        <v>92.157438994558603</v>
      </c>
      <c r="AJ4242">
        <v>99.153270098085102</v>
      </c>
      <c r="AK4242">
        <v>29.8073166003411</v>
      </c>
      <c r="AL4242">
        <v>76.698789844015806</v>
      </c>
      <c r="AM4242">
        <v>91.887908727887904</v>
      </c>
      <c r="AN4242">
        <v>1.0000000354299801</v>
      </c>
    </row>
    <row r="4243" spans="1:40" x14ac:dyDescent="0.25">
      <c r="A4243" t="str">
        <f>"20190303170624683"</f>
        <v>20190303170624683</v>
      </c>
      <c r="B4243" t="str">
        <f>"1551603984678932"</f>
        <v>1551603984678932</v>
      </c>
      <c r="C4243" t="s">
        <v>40</v>
      </c>
      <c r="D4243">
        <v>5.7735059999999896</v>
      </c>
      <c r="E4243">
        <v>0.45429439999999999</v>
      </c>
      <c r="F4243" t="s">
        <v>71</v>
      </c>
      <c r="G4243">
        <v>-419.20170000000002</v>
      </c>
      <c r="H4243" s="1">
        <v>-6.6040830000000002E-6</v>
      </c>
      <c r="I4243">
        <v>21.1858</v>
      </c>
      <c r="J4243">
        <v>-421.96589999999998</v>
      </c>
      <c r="K4243">
        <v>1.122287</v>
      </c>
      <c r="L4243">
        <v>53.371580000000002</v>
      </c>
      <c r="M4243">
        <v>-7.5588790000000003E-2</v>
      </c>
      <c r="N4243">
        <v>-1.414554E-2</v>
      </c>
      <c r="O4243">
        <v>-0.9970388</v>
      </c>
      <c r="P4243">
        <v>-4.1566289999999999E-2</v>
      </c>
      <c r="Q4243">
        <v>0.2176293</v>
      </c>
      <c r="R4243">
        <v>-0.97514619999999996</v>
      </c>
      <c r="S4243">
        <v>0.26184079999999998</v>
      </c>
      <c r="T4243">
        <v>-0.10730000000000001</v>
      </c>
      <c r="U4243">
        <v>-3.1112669999999998</v>
      </c>
      <c r="V4243">
        <v>-3.2848639999999998E-2</v>
      </c>
      <c r="W4243">
        <v>0.2313249</v>
      </c>
      <c r="X4243">
        <v>0.97232189999999996</v>
      </c>
      <c r="Y4243">
        <v>-0.1588812</v>
      </c>
      <c r="Z4243">
        <v>1.9854409999999999E-2</v>
      </c>
      <c r="AA4243">
        <v>0.98709800000000003</v>
      </c>
      <c r="AB4243">
        <v>38</v>
      </c>
      <c r="AC4243">
        <v>2.7641999999999598</v>
      </c>
      <c r="AD4243">
        <v>-1.1222936040830001</v>
      </c>
      <c r="AE4243">
        <v>-32.185780000000001</v>
      </c>
      <c r="AF4243">
        <v>-5.1831618200441296</v>
      </c>
      <c r="AG4243">
        <v>-1.1222936040830001</v>
      </c>
      <c r="AH4243">
        <v>31.846279796214699</v>
      </c>
      <c r="AI4243">
        <v>91.992132054337802</v>
      </c>
      <c r="AJ4243">
        <v>99.244156232985304</v>
      </c>
      <c r="AK4243">
        <v>32.284829970828802</v>
      </c>
      <c r="AL4243">
        <v>76.624914118827604</v>
      </c>
      <c r="AM4243">
        <v>91.934928022348103</v>
      </c>
      <c r="AN4243">
        <v>1.0000000598647301</v>
      </c>
    </row>
    <row r="4244" spans="1:40" x14ac:dyDescent="0.25">
      <c r="A4244" t="str">
        <f>"20190303170624706"</f>
        <v>20190303170624706</v>
      </c>
      <c r="B4244" t="str">
        <f>"1551603984699428"</f>
        <v>1551603984699428</v>
      </c>
      <c r="C4244" t="s">
        <v>40</v>
      </c>
      <c r="D4244">
        <v>5.7554059999999998</v>
      </c>
      <c r="E4244">
        <v>0.45405069999999997</v>
      </c>
      <c r="F4244" t="s">
        <v>71</v>
      </c>
      <c r="G4244">
        <v>-419.01519999999999</v>
      </c>
      <c r="H4244" s="1">
        <v>-6.5236079999999999E-6</v>
      </c>
      <c r="I4244">
        <v>19.80405</v>
      </c>
      <c r="J4244">
        <v>-421.99400000000003</v>
      </c>
      <c r="K4244">
        <v>1.122455</v>
      </c>
      <c r="L4244">
        <v>52.98386</v>
      </c>
      <c r="M4244">
        <v>-7.4127419999999999E-2</v>
      </c>
      <c r="N4244">
        <v>-1.41464E-2</v>
      </c>
      <c r="O4244">
        <v>-0.99714860000000005</v>
      </c>
      <c r="P4244">
        <v>-3.9072820000000001E-2</v>
      </c>
      <c r="Q4244">
        <v>0.21764649999999999</v>
      </c>
      <c r="R4244">
        <v>-0.97524549999999999</v>
      </c>
      <c r="S4244">
        <v>0.27349849999999998</v>
      </c>
      <c r="T4244">
        <v>-0.1040238</v>
      </c>
      <c r="U4244">
        <v>-3.1113279999999999</v>
      </c>
      <c r="V4244">
        <v>-3.4007700000000002E-2</v>
      </c>
      <c r="W4244">
        <v>0.23132630000000001</v>
      </c>
      <c r="X4244">
        <v>0.97228159999999997</v>
      </c>
      <c r="Y4244">
        <v>-0.16110579999999999</v>
      </c>
      <c r="Z4244">
        <v>1.8807419999999998E-2</v>
      </c>
      <c r="AA4244">
        <v>0.98675789999999997</v>
      </c>
      <c r="AB4244">
        <v>38</v>
      </c>
      <c r="AC4244">
        <v>2.9788000000000299</v>
      </c>
      <c r="AD4244">
        <v>-1.122461523608</v>
      </c>
      <c r="AE4244">
        <v>-33.179809999999897</v>
      </c>
      <c r="AF4244">
        <v>-5.4242243748953598</v>
      </c>
      <c r="AG4244">
        <v>-1.122461523608</v>
      </c>
      <c r="AH4244">
        <v>32.830401702065799</v>
      </c>
      <c r="AI4244">
        <v>91.931991181410496</v>
      </c>
      <c r="AJ4244">
        <v>99.381630863090507</v>
      </c>
      <c r="AK4244">
        <v>33.294405023369798</v>
      </c>
      <c r="AL4244">
        <v>76.624830106448997</v>
      </c>
      <c r="AM4244">
        <v>92.003229993098202</v>
      </c>
      <c r="AN4244">
        <v>0.99999994521476798</v>
      </c>
    </row>
    <row r="4245" spans="1:40" x14ac:dyDescent="0.25">
      <c r="A4245" t="str">
        <f>"20190303170624738"</f>
        <v>20190303170624738</v>
      </c>
      <c r="B4245" t="str">
        <f>"1551603984729685"</f>
        <v>1551603984729685</v>
      </c>
      <c r="C4245" t="s">
        <v>40</v>
      </c>
      <c r="D4245">
        <v>5.7690789999999996</v>
      </c>
      <c r="E4245">
        <v>0.4540825</v>
      </c>
      <c r="F4245" t="s">
        <v>71</v>
      </c>
      <c r="G4245">
        <v>-418.97469999999998</v>
      </c>
      <c r="H4245" s="1">
        <v>-6.5421140000000004E-6</v>
      </c>
      <c r="I4245">
        <v>19.84177</v>
      </c>
      <c r="J4245">
        <v>-422.03210000000001</v>
      </c>
      <c r="K4245">
        <v>1.122655</v>
      </c>
      <c r="L4245">
        <v>52.438749999999999</v>
      </c>
      <c r="M4245">
        <v>-7.1785000000000002E-2</v>
      </c>
      <c r="N4245">
        <v>-1.414699E-2</v>
      </c>
      <c r="O4245">
        <v>-0.99732010000000004</v>
      </c>
      <c r="P4245">
        <v>-3.326875E-2</v>
      </c>
      <c r="Q4245">
        <v>0.21554000000000001</v>
      </c>
      <c r="R4245">
        <v>-0.97592829999999997</v>
      </c>
      <c r="S4245">
        <v>0.28341670000000002</v>
      </c>
      <c r="T4245">
        <v>-0.10536470000000001</v>
      </c>
      <c r="U4245">
        <v>-3.1110229999999999</v>
      </c>
      <c r="V4245">
        <v>-3.7668699999999902E-2</v>
      </c>
      <c r="W4245">
        <v>0.2291955</v>
      </c>
      <c r="X4245">
        <v>0.97265119999999905</v>
      </c>
      <c r="Y4245">
        <v>-0.16191529999999901</v>
      </c>
      <c r="Z4245">
        <v>1.9236639999999999E-2</v>
      </c>
      <c r="AA4245">
        <v>0.98661710000000002</v>
      </c>
      <c r="AB4245">
        <v>38</v>
      </c>
      <c r="AC4245">
        <v>3.0574000000000199</v>
      </c>
      <c r="AD4245">
        <v>-1.122661542114</v>
      </c>
      <c r="AE4245">
        <v>-32.596980000000002</v>
      </c>
      <c r="AF4245">
        <v>-5.38338855055673</v>
      </c>
      <c r="AG4245">
        <v>-1.122661542114</v>
      </c>
      <c r="AH4245">
        <v>32.255443395505097</v>
      </c>
      <c r="AI4245">
        <v>91.966219390565399</v>
      </c>
      <c r="AJ4245">
        <v>99.4752517209552</v>
      </c>
      <c r="AK4245">
        <v>32.720862914431898</v>
      </c>
      <c r="AL4245">
        <v>76.7502869826032</v>
      </c>
      <c r="AM4245">
        <v>92.217834595690903</v>
      </c>
      <c r="AN4245">
        <v>0.99999993252068697</v>
      </c>
    </row>
    <row r="4246" spans="1:40" x14ac:dyDescent="0.25">
      <c r="A4246" t="str">
        <f>"20190303170624760"</f>
        <v>20190303170624760</v>
      </c>
      <c r="B4246" t="str">
        <f>"1551603984749204"</f>
        <v>1551603984749204</v>
      </c>
      <c r="C4246" t="s">
        <v>40</v>
      </c>
      <c r="D4246">
        <v>5.7964320000000003</v>
      </c>
      <c r="E4246">
        <v>0.45397320000000002</v>
      </c>
      <c r="F4246" t="s">
        <v>71</v>
      </c>
      <c r="G4246">
        <v>-418.99430000000001</v>
      </c>
      <c r="H4246" s="1">
        <v>-6.68131899999999E-6</v>
      </c>
      <c r="I4246">
        <v>21.225290000000001</v>
      </c>
      <c r="J4246">
        <v>-422.05799999999999</v>
      </c>
      <c r="K4246">
        <v>1.1227879999999999</v>
      </c>
      <c r="L4246">
        <v>52.057340000000003</v>
      </c>
      <c r="M4246">
        <v>-6.9979199999999894E-2</v>
      </c>
      <c r="N4246">
        <v>-1.414702E-2</v>
      </c>
      <c r="O4246">
        <v>-0.99744829999999995</v>
      </c>
      <c r="P4246">
        <v>-2.7875440000000001E-2</v>
      </c>
      <c r="Q4246">
        <v>0.21423829999999999</v>
      </c>
      <c r="R4246">
        <v>-0.97638389999999997</v>
      </c>
      <c r="S4246">
        <v>0.30258180000000001</v>
      </c>
      <c r="T4246">
        <v>-0.11182250000000001</v>
      </c>
      <c r="U4246">
        <v>-3.1090089999999999</v>
      </c>
      <c r="V4246">
        <v>-4.1382740000000001E-2</v>
      </c>
      <c r="W4246">
        <v>0.22786970000000001</v>
      </c>
      <c r="X4246">
        <v>0.9728118</v>
      </c>
      <c r="Y4246">
        <v>-0.1662052</v>
      </c>
      <c r="Z4246">
        <v>2.1288350000000001E-2</v>
      </c>
      <c r="AA4246">
        <v>0.9858614</v>
      </c>
      <c r="AB4246">
        <v>38</v>
      </c>
      <c r="AC4246">
        <v>3.0637000000000398</v>
      </c>
      <c r="AD4246">
        <v>-1.122794681319</v>
      </c>
      <c r="AE4246">
        <v>-30.832049999999999</v>
      </c>
      <c r="AF4246">
        <v>-5.2071674373904502</v>
      </c>
      <c r="AG4246">
        <v>-1.122794681319</v>
      </c>
      <c r="AH4246">
        <v>30.501976890030299</v>
      </c>
      <c r="AI4246">
        <v>92.078100046261397</v>
      </c>
      <c r="AJ4246">
        <v>99.687897393413493</v>
      </c>
      <c r="AK4246">
        <v>30.963621474520099</v>
      </c>
      <c r="AL4246">
        <v>76.828315075604905</v>
      </c>
      <c r="AM4246">
        <v>92.435854172577805</v>
      </c>
      <c r="AN4246">
        <v>0.99999996478361797</v>
      </c>
    </row>
    <row r="4247" spans="1:40" x14ac:dyDescent="0.25">
      <c r="A4247" t="str">
        <f>"20190303170624784"</f>
        <v>20190303170624784</v>
      </c>
      <c r="B4247" t="str">
        <f>"1551603984769700"</f>
        <v>1551603984769700</v>
      </c>
      <c r="C4247" t="s">
        <v>40</v>
      </c>
      <c r="D4247">
        <v>5.7767650000000001</v>
      </c>
      <c r="E4247">
        <v>0.45404159999999999</v>
      </c>
      <c r="F4247" t="s">
        <v>71</v>
      </c>
      <c r="G4247">
        <v>-418.9821</v>
      </c>
      <c r="H4247" s="1">
        <v>-6.7886989999999997E-6</v>
      </c>
      <c r="I4247">
        <v>22.1418</v>
      </c>
      <c r="J4247">
        <v>-422.08339999999998</v>
      </c>
      <c r="K4247">
        <v>1.122898</v>
      </c>
      <c r="L4247">
        <v>51.670470000000002</v>
      </c>
      <c r="M4247">
        <v>-6.8046469999999998E-2</v>
      </c>
      <c r="N4247">
        <v>-1.414673E-2</v>
      </c>
      <c r="O4247">
        <v>-0.99758190000000002</v>
      </c>
      <c r="P4247">
        <v>-2.1202209999999999E-2</v>
      </c>
      <c r="Q4247">
        <v>0.21336260000000001</v>
      </c>
      <c r="R4247">
        <v>-0.97674320000000003</v>
      </c>
      <c r="S4247">
        <v>0.31948850000000001</v>
      </c>
      <c r="T4247">
        <v>-0.11662260000000001</v>
      </c>
      <c r="U4247">
        <v>-3.1072690000000001</v>
      </c>
      <c r="V4247">
        <v>-4.623323E-2</v>
      </c>
      <c r="W4247">
        <v>0.22696279999999999</v>
      </c>
      <c r="X4247">
        <v>0.97280540000000004</v>
      </c>
      <c r="Y4247">
        <v>-0.1696511</v>
      </c>
      <c r="Z4247">
        <v>2.2815950000000002E-2</v>
      </c>
      <c r="AA4247">
        <v>0.98524</v>
      </c>
      <c r="AB4247">
        <v>38</v>
      </c>
      <c r="AC4247">
        <v>3.1012999999999802</v>
      </c>
      <c r="AD4247">
        <v>-1.122904788699</v>
      </c>
      <c r="AE4247">
        <v>-29.528670000000002</v>
      </c>
      <c r="AF4247">
        <v>-5.0963435591694699</v>
      </c>
      <c r="AG4247">
        <v>-1.122904788699</v>
      </c>
      <c r="AH4247">
        <v>29.207383756518599</v>
      </c>
      <c r="AI4247">
        <v>92.168965975531705</v>
      </c>
      <c r="AJ4247">
        <v>99.897789924155006</v>
      </c>
      <c r="AK4247">
        <v>29.6699325705017</v>
      </c>
      <c r="AL4247">
        <v>76.881675044652198</v>
      </c>
      <c r="AM4247">
        <v>92.720973024328501</v>
      </c>
      <c r="AN4247">
        <v>0.99999998520461597</v>
      </c>
    </row>
    <row r="4248" spans="1:40" x14ac:dyDescent="0.25">
      <c r="A4248" t="str">
        <f>"20190303170624806"</f>
        <v>20190303170624806</v>
      </c>
      <c r="B4248" t="str">
        <f>"1551603984798980"</f>
        <v>1551603984798980</v>
      </c>
      <c r="C4248" t="s">
        <v>40</v>
      </c>
      <c r="D4248">
        <v>5.7929959999999996</v>
      </c>
      <c r="E4248">
        <v>0.4541771</v>
      </c>
      <c r="F4248" t="s">
        <v>71</v>
      </c>
      <c r="G4248">
        <v>-418.91109999999998</v>
      </c>
      <c r="H4248" s="1">
        <v>-6.8649260000000004E-6</v>
      </c>
      <c r="I4248">
        <v>22.598020000000002</v>
      </c>
      <c r="J4248">
        <v>-422.10820000000001</v>
      </c>
      <c r="K4248">
        <v>1.1229789999999999</v>
      </c>
      <c r="L4248">
        <v>51.278289999999998</v>
      </c>
      <c r="M4248">
        <v>-6.6017549999999994E-2</v>
      </c>
      <c r="N4248">
        <v>-1.4145919999999999E-2</v>
      </c>
      <c r="O4248">
        <v>-0.99771829999999995</v>
      </c>
      <c r="P4248">
        <v>-1.625923E-2</v>
      </c>
      <c r="Q4248">
        <v>0.2124529</v>
      </c>
      <c r="R4248">
        <v>-0.97703620000000002</v>
      </c>
      <c r="S4248">
        <v>0.3388062</v>
      </c>
      <c r="T4248">
        <v>-0.1199279</v>
      </c>
      <c r="U4248">
        <v>-3.1049799999999999</v>
      </c>
      <c r="V4248">
        <v>-4.9246600000000001E-2</v>
      </c>
      <c r="W4248">
        <v>0.2260307</v>
      </c>
      <c r="X4248">
        <v>0.97287460000000003</v>
      </c>
      <c r="Y4248">
        <v>-0.17377529999999999</v>
      </c>
      <c r="Z4248">
        <v>2.3872569999999999E-2</v>
      </c>
      <c r="AA4248">
        <v>0.98449589999999998</v>
      </c>
      <c r="AB4248">
        <v>38</v>
      </c>
      <c r="AC4248">
        <v>3.19710000000003</v>
      </c>
      <c r="AD4248">
        <v>-1.1229858649260001</v>
      </c>
      <c r="AE4248">
        <v>-28.68027</v>
      </c>
      <c r="AF4248">
        <v>-5.0760276721008601</v>
      </c>
      <c r="AG4248">
        <v>-1.1229858649260001</v>
      </c>
      <c r="AH4248">
        <v>28.363652829472201</v>
      </c>
      <c r="AI4248">
        <v>92.231872475774793</v>
      </c>
      <c r="AJ4248">
        <v>100.14637952015001</v>
      </c>
      <c r="AK4248">
        <v>28.836157095070401</v>
      </c>
      <c r="AL4248">
        <v>76.936506189108997</v>
      </c>
      <c r="AM4248">
        <v>92.897820579651096</v>
      </c>
      <c r="AN4248">
        <v>1.0000000461395999</v>
      </c>
    </row>
    <row r="4249" spans="1:40" x14ac:dyDescent="0.25">
      <c r="A4249" t="str">
        <f>"20190303170624829"</f>
        <v>20190303170624829</v>
      </c>
      <c r="B4249" t="str">
        <f>"1551603984819476"</f>
        <v>1551603984819476</v>
      </c>
      <c r="C4249" t="s">
        <v>40</v>
      </c>
      <c r="D4249">
        <v>5.7704969999999998</v>
      </c>
      <c r="E4249">
        <v>0.45418829999999999</v>
      </c>
      <c r="F4249" t="s">
        <v>71</v>
      </c>
      <c r="G4249">
        <v>-418.8707</v>
      </c>
      <c r="H4249" s="1">
        <v>-6.9061279999999998E-6</v>
      </c>
      <c r="I4249">
        <v>22.83839</v>
      </c>
      <c r="J4249">
        <v>-422.13119999999998</v>
      </c>
      <c r="K4249">
        <v>1.1230290000000001</v>
      </c>
      <c r="L4249">
        <v>50.9039</v>
      </c>
      <c r="M4249">
        <v>-6.4047469999999995E-2</v>
      </c>
      <c r="N4249">
        <v>-1.41447E-2</v>
      </c>
      <c r="O4249">
        <v>-0.99784669999999998</v>
      </c>
      <c r="P4249">
        <v>-1.283345E-2</v>
      </c>
      <c r="Q4249">
        <v>0.20931930000000001</v>
      </c>
      <c r="R4249">
        <v>-0.9777631</v>
      </c>
      <c r="S4249">
        <v>0.35324100000000003</v>
      </c>
      <c r="T4249">
        <v>-0.122527</v>
      </c>
      <c r="U4249">
        <v>-3.103027</v>
      </c>
      <c r="V4249">
        <v>-5.0809569999999998E-2</v>
      </c>
      <c r="W4249">
        <v>0.222889</v>
      </c>
      <c r="X4249">
        <v>0.97351880000000002</v>
      </c>
      <c r="Y4249">
        <v>-0.1764162</v>
      </c>
      <c r="Z4249">
        <v>2.470988E-2</v>
      </c>
      <c r="AA4249">
        <v>0.98400549999999998</v>
      </c>
      <c r="AB4249">
        <v>38</v>
      </c>
      <c r="AC4249">
        <v>3.2604999999999702</v>
      </c>
      <c r="AD4249">
        <v>-1.123035906128</v>
      </c>
      <c r="AE4249">
        <v>-28.0655099999999</v>
      </c>
      <c r="AF4249">
        <v>-5.0435408622629403</v>
      </c>
      <c r="AG4249">
        <v>-1.123035906128</v>
      </c>
      <c r="AH4249">
        <v>27.755178852464599</v>
      </c>
      <c r="AI4249">
        <v>92.279756746935405</v>
      </c>
      <c r="AJ4249">
        <v>100.299140722416</v>
      </c>
      <c r="AK4249">
        <v>28.232046812232099</v>
      </c>
      <c r="AL4249">
        <v>77.121225067018997</v>
      </c>
      <c r="AM4249">
        <v>92.9876515118832</v>
      </c>
      <c r="AN4249">
        <v>0.99999998633901199</v>
      </c>
    </row>
    <row r="4250" spans="1:40" x14ac:dyDescent="0.25">
      <c r="A4250" t="str">
        <f>"20190303170624851"</f>
        <v>20190303170624851</v>
      </c>
      <c r="B4250" t="str">
        <f>"1551603984838996"</f>
        <v>1551603984838996</v>
      </c>
      <c r="C4250" t="s">
        <v>40</v>
      </c>
      <c r="D4250">
        <v>5.7587029999999997</v>
      </c>
      <c r="E4250">
        <v>0.45419999999999999</v>
      </c>
      <c r="F4250" t="s">
        <v>71</v>
      </c>
      <c r="G4250">
        <v>-419.04790000000003</v>
      </c>
      <c r="H4250" s="1">
        <v>-7.0520259999999999E-6</v>
      </c>
      <c r="I4250">
        <v>24.688559999999999</v>
      </c>
      <c r="J4250">
        <v>-422.15410000000003</v>
      </c>
      <c r="K4250">
        <v>1.1230770000000001</v>
      </c>
      <c r="L4250">
        <v>50.519649999999999</v>
      </c>
      <c r="M4250">
        <v>-6.2008519999999998E-2</v>
      </c>
      <c r="N4250">
        <v>-1.4143070000000001E-2</v>
      </c>
      <c r="O4250">
        <v>-0.99797570000000002</v>
      </c>
      <c r="P4250">
        <v>-9.2957720000000008E-3</v>
      </c>
      <c r="Q4250">
        <v>0.20566870000000001</v>
      </c>
      <c r="R4250">
        <v>-0.97857810000000001</v>
      </c>
      <c r="S4250">
        <v>0.36477660000000001</v>
      </c>
      <c r="T4250">
        <v>-0.1328636</v>
      </c>
      <c r="U4250">
        <v>-3.1014710000000001</v>
      </c>
      <c r="V4250">
        <v>-5.2409119999999997E-2</v>
      </c>
      <c r="W4250">
        <v>0.21923290000000001</v>
      </c>
      <c r="X4250">
        <v>0.97426400000000002</v>
      </c>
      <c r="Y4250">
        <v>-0.17805679999999999</v>
      </c>
      <c r="Z4250">
        <v>2.800296E-2</v>
      </c>
      <c r="AA4250">
        <v>0.98362169999999904</v>
      </c>
      <c r="AB4250">
        <v>38</v>
      </c>
      <c r="AC4250">
        <v>3.1061999999999999</v>
      </c>
      <c r="AD4250">
        <v>-1.1230840520259999</v>
      </c>
      <c r="AE4250">
        <v>-25.83109</v>
      </c>
      <c r="AF4250">
        <v>-4.6933831041021001</v>
      </c>
      <c r="AG4250">
        <v>-1.1230840520259999</v>
      </c>
      <c r="AH4250">
        <v>25.5411480164544</v>
      </c>
      <c r="AI4250">
        <v>92.476353423972398</v>
      </c>
      <c r="AJ4250">
        <v>100.41238086456001</v>
      </c>
      <c r="AK4250">
        <v>25.993064550918501</v>
      </c>
      <c r="AL4250">
        <v>77.336019258013295</v>
      </c>
      <c r="AM4250">
        <v>93.079175598237995</v>
      </c>
      <c r="AN4250">
        <v>1.00000006099879</v>
      </c>
    </row>
    <row r="4251" spans="1:40" x14ac:dyDescent="0.25">
      <c r="A4251" t="str">
        <f>"20190303170624873"</f>
        <v>20190303170624873</v>
      </c>
      <c r="B4251" t="str">
        <f>"1551603984859492"</f>
        <v>1551603984859492</v>
      </c>
      <c r="C4251" t="s">
        <v>40</v>
      </c>
      <c r="D4251">
        <v>5.3982510000000001</v>
      </c>
      <c r="E4251">
        <v>0.4543259</v>
      </c>
      <c r="F4251" t="s">
        <v>71</v>
      </c>
      <c r="G4251">
        <v>-419.2921</v>
      </c>
      <c r="H4251" s="1">
        <v>-7.2040300000000004E-6</v>
      </c>
      <c r="I4251">
        <v>26.80179</v>
      </c>
      <c r="J4251">
        <v>-422.17520000000002</v>
      </c>
      <c r="K4251">
        <v>1.123116</v>
      </c>
      <c r="L4251">
        <v>50.150599999999997</v>
      </c>
      <c r="M4251">
        <v>-6.0049749999999999E-2</v>
      </c>
      <c r="N4251">
        <v>-1.414145E-2</v>
      </c>
      <c r="O4251">
        <v>-0.99809530000000002</v>
      </c>
      <c r="P4251">
        <v>-4.52229E-3</v>
      </c>
      <c r="Q4251">
        <v>0.20433470000000001</v>
      </c>
      <c r="R4251">
        <v>-0.97889079999999995</v>
      </c>
      <c r="S4251">
        <v>0.37408449999999999</v>
      </c>
      <c r="T4251">
        <v>-0.14679529999999999</v>
      </c>
      <c r="U4251">
        <v>-3.100098</v>
      </c>
      <c r="V4251">
        <v>-5.5289159999999997E-2</v>
      </c>
      <c r="W4251">
        <v>0.21788070000000001</v>
      </c>
      <c r="X4251">
        <v>0.9744081</v>
      </c>
      <c r="Y4251">
        <v>-0.17906569999999999</v>
      </c>
      <c r="Z4251">
        <v>3.2438160000000001E-2</v>
      </c>
      <c r="AA4251">
        <v>0.98330220000000002</v>
      </c>
      <c r="AB4251">
        <v>38</v>
      </c>
      <c r="AC4251">
        <v>2.88310000000001</v>
      </c>
      <c r="AD4251">
        <v>-1.1231232040299901</v>
      </c>
      <c r="AE4251">
        <v>-23.34881</v>
      </c>
      <c r="AF4251">
        <v>-4.2703939345646296</v>
      </c>
      <c r="AG4251">
        <v>-1.1231232040299901</v>
      </c>
      <c r="AH4251">
        <v>23.0809167167866</v>
      </c>
      <c r="AI4251">
        <v>92.739409333515695</v>
      </c>
      <c r="AJ4251">
        <v>100.48223666303799</v>
      </c>
      <c r="AK4251">
        <v>23.4994975813322</v>
      </c>
      <c r="AL4251">
        <v>77.415413493370906</v>
      </c>
      <c r="AM4251">
        <v>93.247553444005504</v>
      </c>
      <c r="AN4251">
        <v>1.0000000179958</v>
      </c>
    </row>
    <row r="4252" spans="1:40" x14ac:dyDescent="0.25">
      <c r="A4252" t="str">
        <f>"20190303170624895"</f>
        <v>20190303170624895</v>
      </c>
      <c r="B4252" t="str">
        <f>"1551603984888772"</f>
        <v>1551603984888772</v>
      </c>
      <c r="C4252" t="s">
        <v>40</v>
      </c>
      <c r="D4252">
        <v>5.7207429999999997</v>
      </c>
      <c r="E4252">
        <v>0.4544899</v>
      </c>
      <c r="F4252" t="s">
        <v>71</v>
      </c>
      <c r="G4252">
        <v>-419.3621</v>
      </c>
      <c r="H4252" s="1">
        <v>-7.2567539999999997E-6</v>
      </c>
      <c r="I4252">
        <v>27.489139999999999</v>
      </c>
      <c r="J4252">
        <v>-422.19659999999999</v>
      </c>
      <c r="K4252">
        <v>1.1231469999999999</v>
      </c>
      <c r="L4252">
        <v>49.76529</v>
      </c>
      <c r="M4252">
        <v>-5.8020000000000002E-2</v>
      </c>
      <c r="N4252">
        <v>-1.41397E-2</v>
      </c>
      <c r="O4252">
        <v>-0.99821559999999998</v>
      </c>
      <c r="P4252">
        <v>-7.5332820000000001E-4</v>
      </c>
      <c r="Q4252">
        <v>0.2058461</v>
      </c>
      <c r="R4252">
        <v>-0.97858449999999997</v>
      </c>
      <c r="S4252">
        <v>0.38464359999999997</v>
      </c>
      <c r="T4252">
        <v>-0.1535666</v>
      </c>
      <c r="U4252">
        <v>-3.098541</v>
      </c>
      <c r="V4252">
        <v>-5.7066249999999999E-2</v>
      </c>
      <c r="W4252">
        <v>0.21937290000000001</v>
      </c>
      <c r="X4252">
        <v>0.97397069999999997</v>
      </c>
      <c r="Y4252">
        <v>-0.18041270000000001</v>
      </c>
      <c r="Z4252">
        <v>3.4603910000000002E-2</v>
      </c>
      <c r="AA4252">
        <v>0.98298209999999997</v>
      </c>
      <c r="AB4252">
        <v>38</v>
      </c>
      <c r="AC4252">
        <v>2.83449999999999</v>
      </c>
      <c r="AD4252">
        <v>-1.1231542567539901</v>
      </c>
      <c r="AE4252">
        <v>-22.276150000000001</v>
      </c>
      <c r="AF4252">
        <v>-4.1120283642229003</v>
      </c>
      <c r="AG4252">
        <v>-1.1231542567539901</v>
      </c>
      <c r="AH4252">
        <v>22.019058939783701</v>
      </c>
      <c r="AI4252">
        <v>92.870488184524902</v>
      </c>
      <c r="AJ4252">
        <v>100.57805955232</v>
      </c>
      <c r="AK4252">
        <v>22.4278668032943</v>
      </c>
      <c r="AL4252">
        <v>77.327796606775394</v>
      </c>
      <c r="AM4252">
        <v>93.353202975740899</v>
      </c>
      <c r="AN4252">
        <v>0.99999997530098095</v>
      </c>
    </row>
    <row r="4253" spans="1:40" x14ac:dyDescent="0.25">
      <c r="A4253" t="str">
        <f>"20190303170624917"</f>
        <v>20190303170624917</v>
      </c>
      <c r="B4253" t="str">
        <f>"1551603984909268"</f>
        <v>1551603984909268</v>
      </c>
      <c r="C4253" t="s">
        <v>40</v>
      </c>
      <c r="D4253">
        <v>5.7179669999999998</v>
      </c>
      <c r="E4253">
        <v>0.454538</v>
      </c>
      <c r="F4253" t="s">
        <v>71</v>
      </c>
      <c r="G4253">
        <v>-419.26029999999997</v>
      </c>
      <c r="H4253" s="1">
        <v>-7.1989849999999998E-6</v>
      </c>
      <c r="I4253">
        <v>26.657959999999999</v>
      </c>
      <c r="J4253">
        <v>-422.21620000000001</v>
      </c>
      <c r="K4253">
        <v>1.123156</v>
      </c>
      <c r="L4253">
        <v>49.396819999999998</v>
      </c>
      <c r="M4253">
        <v>-5.6101280000000003E-2</v>
      </c>
      <c r="N4253">
        <v>-1.4137830000000001E-2</v>
      </c>
      <c r="O4253">
        <v>-0.99832509999999997</v>
      </c>
      <c r="P4253">
        <v>2.0520209999999998E-3</v>
      </c>
      <c r="Q4253">
        <v>0.20671300000000001</v>
      </c>
      <c r="R4253">
        <v>-0.97839949999999998</v>
      </c>
      <c r="S4253">
        <v>0.39361570000000001</v>
      </c>
      <c r="T4253">
        <v>-0.15056310000000001</v>
      </c>
      <c r="U4253">
        <v>-3.097626</v>
      </c>
      <c r="V4253">
        <v>-5.7989190000000003E-2</v>
      </c>
      <c r="W4253">
        <v>0.2202288</v>
      </c>
      <c r="X4253">
        <v>0.97372300000000001</v>
      </c>
      <c r="Y4253">
        <v>-0.18136550000000001</v>
      </c>
      <c r="Z4253">
        <v>3.366305E-2</v>
      </c>
      <c r="AA4253">
        <v>0.98283940000000003</v>
      </c>
      <c r="AB4253">
        <v>38</v>
      </c>
      <c r="AC4253">
        <v>2.9559000000000402</v>
      </c>
      <c r="AD4253">
        <v>-1.1231631989849999</v>
      </c>
      <c r="AE4253">
        <v>-22.738859999999999</v>
      </c>
      <c r="AF4253">
        <v>-4.2169329145054899</v>
      </c>
      <c r="AG4253">
        <v>-1.1231631989849999</v>
      </c>
      <c r="AH4253">
        <v>22.483252332219799</v>
      </c>
      <c r="AI4253">
        <v>92.810930777780399</v>
      </c>
      <c r="AJ4253">
        <v>100.62291249062601</v>
      </c>
      <c r="AK4253">
        <v>22.902852534373601</v>
      </c>
      <c r="AL4253">
        <v>77.277527814824694</v>
      </c>
      <c r="AM4253">
        <v>93.408172735548504</v>
      </c>
      <c r="AN4253">
        <v>0.99999997561764697</v>
      </c>
    </row>
    <row r="4254" spans="1:40" x14ac:dyDescent="0.25">
      <c r="A4254" t="str">
        <f>"20190303170624939"</f>
        <v>20190303170624939</v>
      </c>
      <c r="B4254" t="str">
        <f>"1551603984928787"</f>
        <v>1551603984928787</v>
      </c>
      <c r="C4254" t="s">
        <v>40</v>
      </c>
      <c r="D4254">
        <v>5.6844109999999999</v>
      </c>
      <c r="E4254">
        <v>0.4547889</v>
      </c>
      <c r="F4254" t="s">
        <v>71</v>
      </c>
      <c r="G4254">
        <v>-419.14350000000002</v>
      </c>
      <c r="H4254" s="1">
        <v>-7.1504530000000002E-6</v>
      </c>
      <c r="I4254">
        <v>25.861740000000001</v>
      </c>
      <c r="J4254">
        <v>-422.23599999999999</v>
      </c>
      <c r="K4254">
        <v>1.12314</v>
      </c>
      <c r="L4254">
        <v>49.01352</v>
      </c>
      <c r="M4254">
        <v>-5.41214E-2</v>
      </c>
      <c r="N4254">
        <v>-1.413588E-2</v>
      </c>
      <c r="O4254">
        <v>-0.9984345</v>
      </c>
      <c r="P4254">
        <v>5.7831519999999997E-3</v>
      </c>
      <c r="Q4254">
        <v>0.2046374</v>
      </c>
      <c r="R4254">
        <v>-0.97882119999999995</v>
      </c>
      <c r="S4254">
        <v>0.40429690000000001</v>
      </c>
      <c r="T4254">
        <v>-0.1477783</v>
      </c>
      <c r="U4254">
        <v>-3.0965880000000001</v>
      </c>
      <c r="V4254">
        <v>-5.9793730000000003E-2</v>
      </c>
      <c r="W4254">
        <v>0.21814639999999999</v>
      </c>
      <c r="X4254">
        <v>0.97408260000000002</v>
      </c>
      <c r="Y4254">
        <v>-0.1827954</v>
      </c>
      <c r="Z4254">
        <v>3.2788909999999998E-2</v>
      </c>
      <c r="AA4254">
        <v>0.98260400000000003</v>
      </c>
      <c r="AB4254">
        <v>38</v>
      </c>
      <c r="AC4254">
        <v>3.0924999999999701</v>
      </c>
      <c r="AD4254">
        <v>-1.123147150453</v>
      </c>
      <c r="AE4254">
        <v>-23.151779999999999</v>
      </c>
      <c r="AF4254">
        <v>-4.3310840154607799</v>
      </c>
      <c r="AG4254">
        <v>-1.123147150453</v>
      </c>
      <c r="AH4254">
        <v>22.897510540249399</v>
      </c>
      <c r="AI4254">
        <v>92.7593178895156</v>
      </c>
      <c r="AJ4254">
        <v>100.711003290039</v>
      </c>
      <c r="AK4254">
        <v>23.330575158177801</v>
      </c>
      <c r="AL4254">
        <v>77.399814902529599</v>
      </c>
      <c r="AM4254">
        <v>93.512674406964607</v>
      </c>
      <c r="AN4254">
        <v>1.0000000268015099</v>
      </c>
    </row>
    <row r="4255" spans="1:40" x14ac:dyDescent="0.25">
      <c r="A4255" t="str">
        <f>"20190303170624961"</f>
        <v>20190303170624961</v>
      </c>
      <c r="B4255" t="str">
        <f>"1551603984949284"</f>
        <v>1551603984949284</v>
      </c>
      <c r="C4255" t="s">
        <v>40</v>
      </c>
      <c r="D4255">
        <v>5.7209620000000001</v>
      </c>
      <c r="E4255">
        <v>0.45498929999999999</v>
      </c>
      <c r="F4255" t="s">
        <v>71</v>
      </c>
      <c r="G4255">
        <v>-419.2287</v>
      </c>
      <c r="H4255" s="1">
        <v>-7.1971330000000004E-6</v>
      </c>
      <c r="I4255">
        <v>26.542719999999999</v>
      </c>
      <c r="J4255">
        <v>-422.25439999999998</v>
      </c>
      <c r="K4255">
        <v>1.123124</v>
      </c>
      <c r="L4255">
        <v>48.64188</v>
      </c>
      <c r="M4255">
        <v>-5.2203239999999998E-2</v>
      </c>
      <c r="N4255">
        <v>-1.413416E-2</v>
      </c>
      <c r="O4255">
        <v>-0.99853670000000005</v>
      </c>
      <c r="P4255">
        <v>1.040525E-2</v>
      </c>
      <c r="Q4255">
        <v>0.20056969999999999</v>
      </c>
      <c r="R4255">
        <v>-0.97962470000000001</v>
      </c>
      <c r="S4255">
        <v>0.41418460000000001</v>
      </c>
      <c r="T4255">
        <v>-0.15468680000000001</v>
      </c>
      <c r="U4255">
        <v>-3.0948180000000001</v>
      </c>
      <c r="V4255">
        <v>-6.2558680000000005E-2</v>
      </c>
      <c r="W4255">
        <v>0.21407319999999999</v>
      </c>
      <c r="X4255">
        <v>0.97481229999999996</v>
      </c>
      <c r="Y4255">
        <v>-0.18405079999999999</v>
      </c>
      <c r="Z4255">
        <v>3.5002129999999999E-2</v>
      </c>
      <c r="AA4255">
        <v>0.98229330000000004</v>
      </c>
      <c r="AB4255">
        <v>38</v>
      </c>
      <c r="AC4255">
        <v>3.0256999999999699</v>
      </c>
      <c r="AD4255">
        <v>-1.123131197133</v>
      </c>
      <c r="AE4255">
        <v>-22.099160000000001</v>
      </c>
      <c r="AF4255">
        <v>-4.1647769911839001</v>
      </c>
      <c r="AG4255">
        <v>-1.123131197133</v>
      </c>
      <c r="AH4255">
        <v>21.855641850201099</v>
      </c>
      <c r="AI4255">
        <v>92.889852619164202</v>
      </c>
      <c r="AJ4255">
        <v>100.78884529534</v>
      </c>
      <c r="AK4255">
        <v>22.277250094132601</v>
      </c>
      <c r="AL4255">
        <v>77.6388399705274</v>
      </c>
      <c r="AM4255">
        <v>93.671927214785399</v>
      </c>
      <c r="AN4255">
        <v>0.99999997181643496</v>
      </c>
    </row>
    <row r="4256" spans="1:40" x14ac:dyDescent="0.25">
      <c r="A4256" t="str">
        <f>"20190303170624985"</f>
        <v>20190303170624985</v>
      </c>
      <c r="B4256" t="str">
        <f>"1551603984979541"</f>
        <v>1551603984979541</v>
      </c>
      <c r="C4256" t="s">
        <v>40</v>
      </c>
      <c r="D4256">
        <v>5.7034789999999997</v>
      </c>
      <c r="E4256">
        <v>0.45534459999999999</v>
      </c>
      <c r="F4256" t="s">
        <v>71</v>
      </c>
      <c r="G4256">
        <v>-419.39249999999998</v>
      </c>
      <c r="H4256" s="1">
        <v>-7.294524E-6</v>
      </c>
      <c r="I4256">
        <v>27.919809999999998</v>
      </c>
      <c r="J4256">
        <v>-422.27319999999997</v>
      </c>
      <c r="K4256">
        <v>1.1231439999999999</v>
      </c>
      <c r="L4256">
        <v>48.246279999999999</v>
      </c>
      <c r="M4256">
        <v>-5.012486E-2</v>
      </c>
      <c r="N4256">
        <v>-1.4132860000000001E-2</v>
      </c>
      <c r="O4256">
        <v>-0.99864330000000001</v>
      </c>
      <c r="P4256">
        <v>1.444021E-2</v>
      </c>
      <c r="Q4256">
        <v>0.1992786</v>
      </c>
      <c r="R4256">
        <v>-0.97983719999999996</v>
      </c>
      <c r="S4256">
        <v>0.42706300000000003</v>
      </c>
      <c r="T4256">
        <v>-0.1675962</v>
      </c>
      <c r="U4256">
        <v>-3.0921940000000001</v>
      </c>
      <c r="V4256">
        <v>-6.4571959999999998E-2</v>
      </c>
      <c r="W4256">
        <v>0.21276880000000001</v>
      </c>
      <c r="X4256">
        <v>0.97496660000000002</v>
      </c>
      <c r="Y4256">
        <v>-0.18610360000000001</v>
      </c>
      <c r="Z4256">
        <v>3.9126880000000003E-2</v>
      </c>
      <c r="AA4256">
        <v>0.98175069999999998</v>
      </c>
      <c r="AB4256">
        <v>38</v>
      </c>
      <c r="AC4256">
        <v>2.8806999999999898</v>
      </c>
      <c r="AD4256">
        <v>-1.1231512945240001</v>
      </c>
      <c r="AE4256">
        <v>-20.32647</v>
      </c>
      <c r="AF4256">
        <v>-3.8844146974242699</v>
      </c>
      <c r="AG4256">
        <v>-1.1231512945240001</v>
      </c>
      <c r="AH4256">
        <v>20.096354940402101</v>
      </c>
      <c r="AI4256">
        <v>93.140822238163096</v>
      </c>
      <c r="AJ4256">
        <v>100.939765237107</v>
      </c>
      <c r="AK4256">
        <v>20.499112865257899</v>
      </c>
      <c r="AL4256">
        <v>77.715339282301599</v>
      </c>
      <c r="AM4256">
        <v>93.789161102112303</v>
      </c>
      <c r="AN4256">
        <v>0.99999998569362003</v>
      </c>
    </row>
    <row r="4257" spans="1:40" x14ac:dyDescent="0.25">
      <c r="A4257" t="str">
        <f>"20190303170625006"</f>
        <v>20190303170625006</v>
      </c>
      <c r="B4257" t="str">
        <f>"1551603984999064"</f>
        <v>1551603984999064</v>
      </c>
      <c r="C4257" t="s">
        <v>40</v>
      </c>
      <c r="D4257">
        <v>5.6508320000000003</v>
      </c>
      <c r="E4257">
        <v>0.45558929999999997</v>
      </c>
      <c r="F4257" t="s">
        <v>71</v>
      </c>
      <c r="G4257">
        <v>-419.40550000000002</v>
      </c>
      <c r="H4257" s="1">
        <v>-7.297383E-6</v>
      </c>
      <c r="I4257">
        <v>27.985810000000001</v>
      </c>
      <c r="J4257">
        <v>-422.28989999999999</v>
      </c>
      <c r="K4257">
        <v>1.123197</v>
      </c>
      <c r="L4257">
        <v>47.874079999999999</v>
      </c>
      <c r="M4257">
        <v>-4.809244E-2</v>
      </c>
      <c r="N4257">
        <v>-1.413234E-2</v>
      </c>
      <c r="O4257">
        <v>-0.99874309999999999</v>
      </c>
      <c r="P4257">
        <v>1.6199189999999999E-2</v>
      </c>
      <c r="Q4257">
        <v>0.2007225</v>
      </c>
      <c r="R4257">
        <v>-0.97951440000000001</v>
      </c>
      <c r="S4257">
        <v>0.43737789999999999</v>
      </c>
      <c r="T4257">
        <v>-0.17130429999999999</v>
      </c>
      <c r="U4257">
        <v>-3.0901489999999998</v>
      </c>
      <c r="V4257">
        <v>-6.4357940000000002E-2</v>
      </c>
      <c r="W4257">
        <v>0.2142008</v>
      </c>
      <c r="X4257">
        <v>0.97466719999999896</v>
      </c>
      <c r="Y4257">
        <v>-0.18739729999999999</v>
      </c>
      <c r="Z4257">
        <v>4.0329230000000001E-2</v>
      </c>
      <c r="AA4257">
        <v>0.981456</v>
      </c>
      <c r="AB4257">
        <v>38</v>
      </c>
      <c r="AC4257">
        <v>2.8843999999999701</v>
      </c>
      <c r="AD4257">
        <v>-1.1232042973829901</v>
      </c>
      <c r="AE4257">
        <v>-19.888269999999999</v>
      </c>
      <c r="AF4257">
        <v>-3.8256818704262598</v>
      </c>
      <c r="AG4257">
        <v>-1.1232042973829901</v>
      </c>
      <c r="AH4257">
        <v>19.665090978431799</v>
      </c>
      <c r="AI4257">
        <v>93.208960989803998</v>
      </c>
      <c r="AJ4257">
        <v>101.008914686186</v>
      </c>
      <c r="AK4257">
        <v>20.065224465661199</v>
      </c>
      <c r="AL4257">
        <v>77.631356257962594</v>
      </c>
      <c r="AM4257">
        <v>93.777795309626597</v>
      </c>
      <c r="AN4257">
        <v>1.00000003895876</v>
      </c>
    </row>
    <row r="4258" spans="1:40" x14ac:dyDescent="0.25">
      <c r="A4258" t="str">
        <f>"20190303170625041"</f>
        <v>20190303170625041</v>
      </c>
      <c r="B4258" t="str">
        <f>"1551603985029316"</f>
        <v>1551603985029316</v>
      </c>
      <c r="C4258" t="s">
        <v>40</v>
      </c>
      <c r="D4258">
        <v>5.6803100000000004</v>
      </c>
      <c r="E4258">
        <v>0.45590059999999899</v>
      </c>
      <c r="F4258" t="s">
        <v>71</v>
      </c>
      <c r="G4258">
        <v>-419.30849999999998</v>
      </c>
      <c r="H4258" s="1">
        <v>-7.2231880000000002E-6</v>
      </c>
      <c r="I4258">
        <v>27.023540000000001</v>
      </c>
      <c r="J4258">
        <v>-422.31389999999999</v>
      </c>
      <c r="K4258">
        <v>1.12331</v>
      </c>
      <c r="L4258">
        <v>47.308900000000001</v>
      </c>
      <c r="M4258">
        <v>-4.4835939999999998E-2</v>
      </c>
      <c r="N4258">
        <v>-1.413299E-2</v>
      </c>
      <c r="O4258">
        <v>-0.99889459999999997</v>
      </c>
      <c r="P4258">
        <v>2.0236049999999998E-2</v>
      </c>
      <c r="Q4258">
        <v>0.2002544</v>
      </c>
      <c r="R4258">
        <v>-0.97953509999999999</v>
      </c>
      <c r="S4258">
        <v>0.44177250000000001</v>
      </c>
      <c r="T4258">
        <v>-0.16643129999999901</v>
      </c>
      <c r="U4258">
        <v>-3.0895389999999998</v>
      </c>
      <c r="V4258">
        <v>-6.5262970000000003E-2</v>
      </c>
      <c r="W4258">
        <v>0.21371119999999999</v>
      </c>
      <c r="X4258">
        <v>0.97471450000000004</v>
      </c>
      <c r="Y4258">
        <v>-0.18560119999999999</v>
      </c>
      <c r="Z4258">
        <v>3.881105E-2</v>
      </c>
      <c r="AA4258">
        <v>0.98185840000000002</v>
      </c>
      <c r="AB4258">
        <v>38</v>
      </c>
      <c r="AC4258">
        <v>3.0053999999999998</v>
      </c>
      <c r="AD4258">
        <v>-1.123317223188</v>
      </c>
      <c r="AE4258">
        <v>-20.285360000000001</v>
      </c>
      <c r="AF4258">
        <v>-3.9002776805860999</v>
      </c>
      <c r="AG4258">
        <v>-1.123317223188</v>
      </c>
      <c r="AH4258">
        <v>20.069970701202401</v>
      </c>
      <c r="AI4258">
        <v>93.144794213284001</v>
      </c>
      <c r="AJ4258">
        <v>100.99744324630601</v>
      </c>
      <c r="AK4258">
        <v>20.476272402874301</v>
      </c>
      <c r="AL4258">
        <v>77.660073329894502</v>
      </c>
      <c r="AM4258">
        <v>93.830577920748993</v>
      </c>
      <c r="AN4258">
        <v>1.0000000443844499</v>
      </c>
    </row>
    <row r="4259" spans="1:40" x14ac:dyDescent="0.25">
      <c r="A4259" t="str">
        <f>"20190303170625063"</f>
        <v>20190303170625063</v>
      </c>
      <c r="B4259" t="str">
        <f>"1551603985049813"</f>
        <v>1551603985049813</v>
      </c>
      <c r="C4259" t="s">
        <v>40</v>
      </c>
      <c r="D4259">
        <v>5.9637779999999996</v>
      </c>
      <c r="E4259">
        <v>0.45577529999999999</v>
      </c>
      <c r="F4259" t="s">
        <v>71</v>
      </c>
      <c r="G4259">
        <v>-419.24959999999999</v>
      </c>
      <c r="H4259" s="1">
        <v>-7.1859320000000001E-6</v>
      </c>
      <c r="I4259">
        <v>26.508330000000001</v>
      </c>
      <c r="J4259">
        <v>-422.32889999999998</v>
      </c>
      <c r="K4259">
        <v>1.123416</v>
      </c>
      <c r="L4259">
        <v>46.925379999999997</v>
      </c>
      <c r="M4259">
        <v>-4.2422380000000003E-2</v>
      </c>
      <c r="N4259">
        <v>-1.413449E-2</v>
      </c>
      <c r="O4259">
        <v>-0.99899990000000005</v>
      </c>
      <c r="P4259">
        <v>2.5676009999999999E-2</v>
      </c>
      <c r="Q4259">
        <v>0.1979899</v>
      </c>
      <c r="R4259">
        <v>-0.97986790000000001</v>
      </c>
      <c r="S4259">
        <v>0.45483400000000002</v>
      </c>
      <c r="T4259">
        <v>-0.16673099999999999</v>
      </c>
      <c r="U4259">
        <v>-3.0873719999999998</v>
      </c>
      <c r="V4259">
        <v>-6.839953E-2</v>
      </c>
      <c r="W4259">
        <v>0.21141599999999999</v>
      </c>
      <c r="X4259">
        <v>0.97499990000000003</v>
      </c>
      <c r="Y4259">
        <v>-0.1873899</v>
      </c>
      <c r="Z4259">
        <v>3.8926040000000002E-2</v>
      </c>
      <c r="AA4259">
        <v>0.981514</v>
      </c>
      <c r="AB4259">
        <v>38</v>
      </c>
      <c r="AC4259">
        <v>3.0792999999999799</v>
      </c>
      <c r="AD4259">
        <v>-1.1234231859320001</v>
      </c>
      <c r="AE4259">
        <v>-20.41705</v>
      </c>
      <c r="AF4259">
        <v>-3.93111643372391</v>
      </c>
      <c r="AG4259">
        <v>-1.1234231859320001</v>
      </c>
      <c r="AH4259">
        <v>20.2082000117836</v>
      </c>
      <c r="AI4259">
        <v>93.123504870827006</v>
      </c>
      <c r="AJ4259">
        <v>101.008305921578</v>
      </c>
      <c r="AK4259">
        <v>20.6176405969847</v>
      </c>
      <c r="AL4259">
        <v>77.7946537856497</v>
      </c>
      <c r="AM4259">
        <v>94.012917526351004</v>
      </c>
      <c r="AN4259">
        <v>1.0000000128801101</v>
      </c>
    </row>
    <row r="4260" spans="1:40" x14ac:dyDescent="0.25">
      <c r="A4260" t="str">
        <f>"20190303170625085"</f>
        <v>20190303170625085</v>
      </c>
      <c r="B4260" t="str">
        <f>"1551603985079093"</f>
        <v>1551603985079093</v>
      </c>
      <c r="C4260" t="s">
        <v>40</v>
      </c>
      <c r="D4260">
        <v>5.4857449999999996</v>
      </c>
      <c r="E4260">
        <v>0.39040649999999999</v>
      </c>
      <c r="F4260" t="s">
        <v>71</v>
      </c>
      <c r="G4260">
        <v>-419.25470000000001</v>
      </c>
      <c r="H4260" s="1">
        <v>-7.2269009999999996E-6</v>
      </c>
      <c r="I4260">
        <v>26.888459999999998</v>
      </c>
      <c r="J4260">
        <v>-422.3424</v>
      </c>
      <c r="K4260">
        <v>1.1236010000000001</v>
      </c>
      <c r="L4260">
        <v>46.550690000000003</v>
      </c>
      <c r="M4260">
        <v>-3.9775619999999998E-2</v>
      </c>
      <c r="N4260">
        <v>-1.4138360000000001E-2</v>
      </c>
      <c r="O4260">
        <v>-0.99910900000000002</v>
      </c>
      <c r="P4260">
        <v>3.1035589999999998E-2</v>
      </c>
      <c r="Q4260">
        <v>0.19821</v>
      </c>
      <c r="R4260">
        <v>-0.97966869999999995</v>
      </c>
      <c r="S4260">
        <v>0.4732056</v>
      </c>
      <c r="T4260">
        <v>-0.1729221</v>
      </c>
      <c r="U4260">
        <v>-3.0841669999999999</v>
      </c>
      <c r="V4260">
        <v>-7.1248259999999994E-2</v>
      </c>
      <c r="W4260">
        <v>0.2115908</v>
      </c>
      <c r="X4260">
        <v>0.97475789999999995</v>
      </c>
      <c r="Y4260">
        <v>-0.19063450000000001</v>
      </c>
      <c r="Z4260">
        <v>4.0913869999999998E-2</v>
      </c>
      <c r="AA4260">
        <v>0.98080809999999996</v>
      </c>
      <c r="AB4260">
        <v>38</v>
      </c>
      <c r="AC4260">
        <v>3.0876999999999799</v>
      </c>
      <c r="AD4260">
        <v>-1.1236082269009999</v>
      </c>
      <c r="AE4260">
        <v>-19.662230000000001</v>
      </c>
      <c r="AF4260">
        <v>-3.8551249359814301</v>
      </c>
      <c r="AG4260">
        <v>-1.1236082269009999</v>
      </c>
      <c r="AH4260">
        <v>19.461814416571698</v>
      </c>
      <c r="AI4260">
        <v>93.241402579071107</v>
      </c>
      <c r="AJ4260">
        <v>101.204481391832</v>
      </c>
      <c r="AK4260">
        <v>19.871756442364699</v>
      </c>
      <c r="AL4260">
        <v>77.784406163538605</v>
      </c>
      <c r="AM4260">
        <v>94.180502537688497</v>
      </c>
      <c r="AN4260">
        <v>0.99999997240503802</v>
      </c>
    </row>
    <row r="4261" spans="1:40" x14ac:dyDescent="0.25">
      <c r="A4261" t="str">
        <f>"20190303170625107"</f>
        <v>20190303170625107</v>
      </c>
      <c r="B4261" t="str">
        <f>"1551603985099588"</f>
        <v>1551603985099588</v>
      </c>
      <c r="C4261" t="s">
        <v>40</v>
      </c>
      <c r="D4261">
        <v>5.6047419999999999</v>
      </c>
      <c r="E4261">
        <v>0.3764615</v>
      </c>
      <c r="F4261" t="s">
        <v>92</v>
      </c>
      <c r="G4261">
        <v>-407.13659999999999</v>
      </c>
      <c r="H4261">
        <v>1.457281</v>
      </c>
      <c r="I4261">
        <v>0.60820959999999902</v>
      </c>
      <c r="J4261">
        <v>-422.35430000000002</v>
      </c>
      <c r="K4261">
        <v>1.1238159999999999</v>
      </c>
      <c r="L4261">
        <v>46.187899999999999</v>
      </c>
      <c r="M4261">
        <v>-3.6971480000000001E-2</v>
      </c>
      <c r="N4261">
        <v>-1.4145090000000001E-2</v>
      </c>
      <c r="O4261">
        <v>-0.9992164</v>
      </c>
      <c r="P4261">
        <v>3.4874040000000002E-2</v>
      </c>
      <c r="Q4261">
        <v>0.2008539</v>
      </c>
      <c r="R4261">
        <v>-0.97900030000000005</v>
      </c>
      <c r="S4261">
        <v>1.0015559999999999</v>
      </c>
      <c r="T4261">
        <v>2.1976590000000001E-2</v>
      </c>
      <c r="U4261">
        <v>-3.0260929999999999</v>
      </c>
      <c r="V4261">
        <v>-7.2435150000000004E-2</v>
      </c>
      <c r="W4261">
        <v>0.21419050000000001</v>
      </c>
      <c r="X4261">
        <v>0.97410240000000003</v>
      </c>
      <c r="Y4261">
        <v>-0.34901120000000002</v>
      </c>
      <c r="Z4261">
        <v>-2.107237E-2</v>
      </c>
      <c r="AA4261">
        <v>0.93688159999999998</v>
      </c>
      <c r="AB4261">
        <v>38</v>
      </c>
      <c r="AC4261">
        <v>15.217700000000001</v>
      </c>
      <c r="AD4261">
        <v>0.33346500000000001</v>
      </c>
      <c r="AE4261">
        <v>-45.579690399999997</v>
      </c>
      <c r="AF4261">
        <v>-16.891797336941799</v>
      </c>
      <c r="AG4261">
        <v>0.33346500000000001</v>
      </c>
      <c r="AH4261">
        <v>44.9836789428022</v>
      </c>
      <c r="AI4261">
        <v>89.602381370273605</v>
      </c>
      <c r="AJ4261">
        <v>110.581632473138</v>
      </c>
      <c r="AK4261">
        <v>48.051799002822399</v>
      </c>
      <c r="AL4261">
        <v>77.631959352638901</v>
      </c>
      <c r="AM4261">
        <v>94.252739790254196</v>
      </c>
      <c r="AN4261">
        <v>0.99999995346576498</v>
      </c>
    </row>
    <row r="4262" spans="1:40" x14ac:dyDescent="0.25">
      <c r="A4262" t="str">
        <f>"20190303170625129"</f>
        <v>20190303170625129</v>
      </c>
      <c r="B4262" t="str">
        <f>"1551603985119108"</f>
        <v>1551603985119108</v>
      </c>
      <c r="C4262" t="s">
        <v>40</v>
      </c>
      <c r="D4262">
        <v>5.5769080000000004</v>
      </c>
      <c r="E4262">
        <v>0.37093290000000001</v>
      </c>
      <c r="F4262" t="s">
        <v>92</v>
      </c>
      <c r="G4262">
        <v>-405.34879999999998</v>
      </c>
      <c r="H4262">
        <v>2.2941609999999999</v>
      </c>
      <c r="I4262">
        <v>0.62639619999999996</v>
      </c>
      <c r="J4262">
        <v>-422.36529999999999</v>
      </c>
      <c r="K4262">
        <v>1.124061</v>
      </c>
      <c r="L4262">
        <v>45.80865</v>
      </c>
      <c r="M4262">
        <v>-3.3754600000000003E-2</v>
      </c>
      <c r="N4262">
        <v>-1.4153219999999999E-2</v>
      </c>
      <c r="O4262">
        <v>-0.9993301</v>
      </c>
      <c r="P4262">
        <v>3.9417279999999999E-2</v>
      </c>
      <c r="Q4262">
        <v>0.201515</v>
      </c>
      <c r="R4262">
        <v>-0.97869209999999995</v>
      </c>
      <c r="S4262">
        <v>1.1228940000000001</v>
      </c>
      <c r="T4262">
        <v>7.7277659999999998E-2</v>
      </c>
      <c r="U4262">
        <v>-3.0084840000000002</v>
      </c>
      <c r="V4262">
        <v>-7.3945109999999994E-2</v>
      </c>
      <c r="W4262">
        <v>0.2148053</v>
      </c>
      <c r="X4262">
        <v>0.97385359999999999</v>
      </c>
      <c r="Y4262">
        <v>-0.38087840000000001</v>
      </c>
      <c r="Z4262">
        <v>-3.8116700000000003E-2</v>
      </c>
      <c r="AA4262">
        <v>0.92383919999999997</v>
      </c>
      <c r="AB4262">
        <v>38</v>
      </c>
      <c r="AC4262">
        <v>17.016500000000001</v>
      </c>
      <c r="AD4262">
        <v>1.1700999999999999</v>
      </c>
      <c r="AE4262">
        <v>-45.182253799999899</v>
      </c>
      <c r="AF4262">
        <v>-18.5211840497631</v>
      </c>
      <c r="AG4262">
        <v>1.1700999999999999</v>
      </c>
      <c r="AH4262">
        <v>44.555888664766499</v>
      </c>
      <c r="AI4262">
        <v>88.610864440642402</v>
      </c>
      <c r="AJ4262">
        <v>112.571889737717</v>
      </c>
      <c r="AK4262">
        <v>48.266247081395001</v>
      </c>
      <c r="AL4262">
        <v>77.595895253308797</v>
      </c>
      <c r="AM4262">
        <v>94.342160420343404</v>
      </c>
      <c r="AN4262">
        <v>1.0000000152169799</v>
      </c>
    </row>
    <row r="4263" spans="1:40" x14ac:dyDescent="0.25">
      <c r="A4263" t="str">
        <f>"20190303170625152"</f>
        <v>20190303170625152</v>
      </c>
      <c r="B4263" t="str">
        <f>"1551603985149366"</f>
        <v>1551603985149366</v>
      </c>
      <c r="C4263" t="s">
        <v>40</v>
      </c>
      <c r="D4263">
        <v>5.5907749999999998</v>
      </c>
      <c r="E4263">
        <v>0.36652319999999999</v>
      </c>
      <c r="F4263" t="s">
        <v>92</v>
      </c>
      <c r="G4263">
        <v>-404.613</v>
      </c>
      <c r="H4263">
        <v>2.4529519999999998</v>
      </c>
      <c r="I4263">
        <v>0.63387869999999902</v>
      </c>
      <c r="J4263">
        <v>-422.37479999999999</v>
      </c>
      <c r="K4263">
        <v>1.124304</v>
      </c>
      <c r="L4263">
        <v>45.4343</v>
      </c>
      <c r="M4263">
        <v>-3.026262E-2</v>
      </c>
      <c r="N4263">
        <v>-1.4162259999999999E-2</v>
      </c>
      <c r="O4263">
        <v>-0.99944189999999999</v>
      </c>
      <c r="P4263">
        <v>4.5991730000000001E-2</v>
      </c>
      <c r="Q4263">
        <v>0.1990635</v>
      </c>
      <c r="R4263">
        <v>-0.97890699999999997</v>
      </c>
      <c r="S4263">
        <v>1.1787719999999999</v>
      </c>
      <c r="T4263">
        <v>8.8238360000000002E-2</v>
      </c>
      <c r="U4263">
        <v>-2.9996640000000001</v>
      </c>
      <c r="V4263">
        <v>-7.7221419999999999E-2</v>
      </c>
      <c r="W4263">
        <v>0.21229719999999999</v>
      </c>
      <c r="X4263">
        <v>0.97414920000000005</v>
      </c>
      <c r="Y4263">
        <v>-0.39346409999999998</v>
      </c>
      <c r="Z4263">
        <v>-4.1420909999999998E-2</v>
      </c>
      <c r="AA4263">
        <v>0.91840639999999996</v>
      </c>
      <c r="AB4263">
        <v>38</v>
      </c>
      <c r="AC4263">
        <v>17.761799999999901</v>
      </c>
      <c r="AD4263">
        <v>1.3286480000000001</v>
      </c>
      <c r="AE4263">
        <v>-44.800421299999996</v>
      </c>
      <c r="AF4263">
        <v>-19.095063346874401</v>
      </c>
      <c r="AG4263">
        <v>1.3286480000000001</v>
      </c>
      <c r="AH4263">
        <v>44.208723730136299</v>
      </c>
      <c r="AI4263">
        <v>88.419592899657403</v>
      </c>
      <c r="AJ4263">
        <v>113.360952780744</v>
      </c>
      <c r="AK4263">
        <v>48.174661426693703</v>
      </c>
      <c r="AL4263">
        <v>77.742991358062696</v>
      </c>
      <c r="AM4263">
        <v>94.532394744221705</v>
      </c>
      <c r="AN4263">
        <v>0.99999995634764705</v>
      </c>
    </row>
    <row r="4264" spans="1:40" x14ac:dyDescent="0.25">
      <c r="A4264" t="str">
        <f>"20190303170625174"</f>
        <v>20190303170625174</v>
      </c>
      <c r="B4264" t="str">
        <f>"1551603985168888"</f>
        <v>1551603985168888</v>
      </c>
      <c r="C4264" t="s">
        <v>40</v>
      </c>
      <c r="D4264">
        <v>5.6226529999999997</v>
      </c>
      <c r="E4264">
        <v>0.36473610000000001</v>
      </c>
      <c r="F4264" t="s">
        <v>92</v>
      </c>
      <c r="G4264">
        <v>-403.88389999999998</v>
      </c>
      <c r="H4264">
        <v>2.4922550000000001</v>
      </c>
      <c r="I4264">
        <v>0.64129259999999999</v>
      </c>
      <c r="J4264">
        <v>-422.38299999999998</v>
      </c>
      <c r="K4264">
        <v>1.1245540000000001</v>
      </c>
      <c r="L4264">
        <v>45.043149999999997</v>
      </c>
      <c r="M4264">
        <v>-2.6259850000000001E-2</v>
      </c>
      <c r="N4264">
        <v>-1.4173669999999999E-2</v>
      </c>
      <c r="O4264">
        <v>-0.99955479999999997</v>
      </c>
      <c r="P4264">
        <v>5.3267179999999997E-2</v>
      </c>
      <c r="Q4264">
        <v>0.19551769999999999</v>
      </c>
      <c r="R4264">
        <v>-0.97925260000000003</v>
      </c>
      <c r="S4264">
        <v>1.2335210000000001</v>
      </c>
      <c r="T4264">
        <v>9.1253879999999996E-2</v>
      </c>
      <c r="U4264">
        <v>-2.9881289999999998</v>
      </c>
      <c r="V4264">
        <v>-8.070476E-2</v>
      </c>
      <c r="W4264">
        <v>0.20868919999999999</v>
      </c>
      <c r="X4264">
        <v>0.97464640000000002</v>
      </c>
      <c r="Y4264">
        <v>-0.40541430000000001</v>
      </c>
      <c r="Z4264">
        <v>-4.228929E-2</v>
      </c>
      <c r="AA4264">
        <v>0.91315440000000003</v>
      </c>
      <c r="AB4264">
        <v>38</v>
      </c>
      <c r="AC4264">
        <v>18.499099999999999</v>
      </c>
      <c r="AD4264">
        <v>1.3677010000000001</v>
      </c>
      <c r="AE4264">
        <v>-44.401857399999997</v>
      </c>
      <c r="AF4264">
        <v>-19.6429415524894</v>
      </c>
      <c r="AG4264">
        <v>1.3677010000000001</v>
      </c>
      <c r="AH4264">
        <v>43.865246022705698</v>
      </c>
      <c r="AI4264">
        <v>88.369990433261805</v>
      </c>
      <c r="AJ4264">
        <v>114.122926994453</v>
      </c>
      <c r="AK4264">
        <v>48.081967175776199</v>
      </c>
      <c r="AL4264">
        <v>77.954453202002995</v>
      </c>
      <c r="AM4264">
        <v>94.733529115079605</v>
      </c>
      <c r="AN4264">
        <v>1.0000000227581201</v>
      </c>
    </row>
    <row r="4265" spans="1:40" x14ac:dyDescent="0.25">
      <c r="A4265" t="str">
        <f>"20190303170625196"</f>
        <v>20190303170625196</v>
      </c>
      <c r="B4265" t="str">
        <f>"1551603985189380"</f>
        <v>1551603985189380</v>
      </c>
      <c r="C4265" t="s">
        <v>40</v>
      </c>
      <c r="D4265">
        <v>5.6238799999999998</v>
      </c>
      <c r="E4265">
        <v>0.36376219999999998</v>
      </c>
      <c r="F4265" t="s">
        <v>92</v>
      </c>
      <c r="G4265">
        <v>-403.45530000000002</v>
      </c>
      <c r="H4265">
        <v>2.3621120000000002</v>
      </c>
      <c r="I4265">
        <v>0.64565090000000003</v>
      </c>
      <c r="J4265">
        <v>-422.38889999999998</v>
      </c>
      <c r="K4265">
        <v>1.1248199999999999</v>
      </c>
      <c r="L4265">
        <v>44.68271</v>
      </c>
      <c r="M4265">
        <v>-2.2242339999999999E-2</v>
      </c>
      <c r="N4265">
        <v>-1.418608E-2</v>
      </c>
      <c r="O4265">
        <v>-0.99965210000000004</v>
      </c>
      <c r="P4265">
        <v>6.0491099999999902E-2</v>
      </c>
      <c r="Q4265">
        <v>0.19511429999999999</v>
      </c>
      <c r="R4265">
        <v>-0.97891360000000005</v>
      </c>
      <c r="S4265">
        <v>1.2695620000000001</v>
      </c>
      <c r="T4265">
        <v>8.3006739999999996E-2</v>
      </c>
      <c r="U4265">
        <v>-2.9779360000000001</v>
      </c>
      <c r="V4265">
        <v>-8.4124270000000001E-2</v>
      </c>
      <c r="W4265">
        <v>0.20821210000000001</v>
      </c>
      <c r="X4265">
        <v>0.97445919999999997</v>
      </c>
      <c r="Y4265">
        <v>-0.41225850000000003</v>
      </c>
      <c r="Z4265">
        <v>-3.9746549999999999E-2</v>
      </c>
      <c r="AA4265">
        <v>0.91019950000000005</v>
      </c>
      <c r="AB4265">
        <v>38</v>
      </c>
      <c r="AC4265">
        <v>18.933599999999899</v>
      </c>
      <c r="AD4265">
        <v>1.2372919999999901</v>
      </c>
      <c r="AE4265">
        <v>-44.0370591</v>
      </c>
      <c r="AF4265">
        <v>-19.895245343451201</v>
      </c>
      <c r="AG4265">
        <v>1.2372919999999901</v>
      </c>
      <c r="AH4265">
        <v>43.575959772184</v>
      </c>
      <c r="AI4265">
        <v>88.520425826118895</v>
      </c>
      <c r="AJ4265">
        <v>114.53976576778599</v>
      </c>
      <c r="AK4265">
        <v>47.918847532431101</v>
      </c>
      <c r="AL4265">
        <v>77.9824021304089</v>
      </c>
      <c r="AM4265">
        <v>94.934064884903293</v>
      </c>
      <c r="AN4265">
        <v>0.99999995192704005</v>
      </c>
    </row>
    <row r="4266" spans="1:40" x14ac:dyDescent="0.25">
      <c r="A4266" t="str">
        <f>"20190303170625218"</f>
        <v>20190303170625218</v>
      </c>
      <c r="B4266" t="str">
        <f>"1551603985208900"</f>
        <v>1551603985208900</v>
      </c>
      <c r="C4266" t="s">
        <v>40</v>
      </c>
      <c r="D4266">
        <v>5.6065180000000003</v>
      </c>
      <c r="E4266">
        <v>0.36313469999999998</v>
      </c>
      <c r="F4266" t="s">
        <v>92</v>
      </c>
      <c r="G4266">
        <v>-403.1046</v>
      </c>
      <c r="H4266">
        <v>2.3781400000000001</v>
      </c>
      <c r="I4266">
        <v>0.64922139999999995</v>
      </c>
      <c r="J4266">
        <v>-422.39319999999998</v>
      </c>
      <c r="K4266">
        <v>1.1251119999999999</v>
      </c>
      <c r="L4266">
        <v>44.312469999999998</v>
      </c>
      <c r="M4266">
        <v>-1.779271E-2</v>
      </c>
      <c r="N4266">
        <v>-1.4200330000000001E-2</v>
      </c>
      <c r="O4266">
        <v>-0.99974079999999999</v>
      </c>
      <c r="P4266">
        <v>6.5408499999999994E-2</v>
      </c>
      <c r="Q4266">
        <v>0.19775419999999999</v>
      </c>
      <c r="R4266">
        <v>-0.97806709999999997</v>
      </c>
      <c r="S4266">
        <v>1.2995909999999999</v>
      </c>
      <c r="T4266">
        <v>8.4460969999999996E-2</v>
      </c>
      <c r="U4266">
        <v>-2.9674680000000002</v>
      </c>
      <c r="V4266">
        <v>-8.4847580000000006E-2</v>
      </c>
      <c r="W4266">
        <v>0.21079290000000001</v>
      </c>
      <c r="X4266">
        <v>0.97384150000000003</v>
      </c>
      <c r="Y4266">
        <v>-0.41710720000000001</v>
      </c>
      <c r="Z4266">
        <v>-4.020311E-2</v>
      </c>
      <c r="AA4266">
        <v>0.90796770000000004</v>
      </c>
      <c r="AB4266">
        <v>38</v>
      </c>
      <c r="AC4266">
        <v>19.288599999999899</v>
      </c>
      <c r="AD4266">
        <v>1.253028</v>
      </c>
      <c r="AE4266">
        <v>-43.663248600000003</v>
      </c>
      <c r="AF4266">
        <v>-20.048696776462101</v>
      </c>
      <c r="AG4266">
        <v>1.253028</v>
      </c>
      <c r="AH4266">
        <v>43.283278644574999</v>
      </c>
      <c r="AI4266">
        <v>88.495281051343994</v>
      </c>
      <c r="AJ4266">
        <v>114.8534436891</v>
      </c>
      <c r="AK4266">
        <v>47.717528559505602</v>
      </c>
      <c r="AL4266">
        <v>77.831177911000097</v>
      </c>
      <c r="AM4266">
        <v>94.979416960549599</v>
      </c>
      <c r="AN4266">
        <v>1.0000000128222499</v>
      </c>
    </row>
    <row r="4267" spans="1:40" x14ac:dyDescent="0.25">
      <c r="A4267" t="str">
        <f>"20190303170625242"</f>
        <v>20190303170625242</v>
      </c>
      <c r="B4267" t="str">
        <f>"1551603985229397"</f>
        <v>1551603985229397</v>
      </c>
      <c r="C4267" t="s">
        <v>40</v>
      </c>
      <c r="D4267">
        <v>5.5627740000000001</v>
      </c>
      <c r="E4267">
        <v>0.3626373</v>
      </c>
      <c r="F4267" t="s">
        <v>92</v>
      </c>
      <c r="G4267">
        <v>-402.91699999999997</v>
      </c>
      <c r="H4267">
        <v>2.5273240000000001</v>
      </c>
      <c r="I4267">
        <v>0.65112879999999995</v>
      </c>
      <c r="J4267">
        <v>-422.39580000000001</v>
      </c>
      <c r="K4267">
        <v>1.1254230000000001</v>
      </c>
      <c r="L4267">
        <v>43.932070000000003</v>
      </c>
      <c r="M4267">
        <v>-1.2888190000000001E-2</v>
      </c>
      <c r="N4267">
        <v>-1.4216090000000001E-2</v>
      </c>
      <c r="O4267">
        <v>-0.99981589999999998</v>
      </c>
      <c r="P4267">
        <v>6.9664169999999997E-2</v>
      </c>
      <c r="Q4267">
        <v>0.19739889999999999</v>
      </c>
      <c r="R4267">
        <v>-0.97784499999999996</v>
      </c>
      <c r="S4267">
        <v>1.320282</v>
      </c>
      <c r="T4267">
        <v>9.5053429999999994E-2</v>
      </c>
      <c r="U4267">
        <v>-2.959778</v>
      </c>
      <c r="V4267">
        <v>-8.4459279999999998E-2</v>
      </c>
      <c r="W4267">
        <v>0.21039759999999999</v>
      </c>
      <c r="X4267">
        <v>0.97396070000000001</v>
      </c>
      <c r="Y4267">
        <v>-0.4187765</v>
      </c>
      <c r="Z4267">
        <v>-4.3477290000000002E-2</v>
      </c>
      <c r="AA4267">
        <v>0.90704799999999997</v>
      </c>
      <c r="AB4267">
        <v>38</v>
      </c>
      <c r="AC4267">
        <v>19.4788</v>
      </c>
      <c r="AD4267">
        <v>1.4019010000000001</v>
      </c>
      <c r="AE4267">
        <v>-43.280941200000001</v>
      </c>
      <c r="AF4267">
        <v>-20.0175869406586</v>
      </c>
      <c r="AG4267">
        <v>1.4019010000000001</v>
      </c>
      <c r="AH4267">
        <v>42.9887685190849</v>
      </c>
      <c r="AI4267">
        <v>88.306660356474694</v>
      </c>
      <c r="AJ4267">
        <v>114.96889542616</v>
      </c>
      <c r="AK4267">
        <v>47.441578094832501</v>
      </c>
      <c r="AL4267">
        <v>77.854346154507198</v>
      </c>
      <c r="AM4267">
        <v>94.956139120239897</v>
      </c>
      <c r="AN4267">
        <v>0.99999998260418399</v>
      </c>
    </row>
    <row r="4268" spans="1:40" x14ac:dyDescent="0.25">
      <c r="A4268" t="str">
        <f>"20190303170625265"</f>
        <v>20190303170625265</v>
      </c>
      <c r="B4268" t="str">
        <f>"1551603985259652"</f>
        <v>1551603985259652</v>
      </c>
      <c r="C4268" t="s">
        <v>40</v>
      </c>
      <c r="D4268">
        <v>5.5577529999999999</v>
      </c>
      <c r="E4268">
        <v>0.362151</v>
      </c>
      <c r="F4268" t="s">
        <v>92</v>
      </c>
      <c r="G4268">
        <v>-402.78579999999999</v>
      </c>
      <c r="H4268">
        <v>2.5442269999999998</v>
      </c>
      <c r="I4268">
        <v>0.65246389999999999</v>
      </c>
      <c r="J4268">
        <v>-422.39600000000002</v>
      </c>
      <c r="K4268">
        <v>1.1257239999999999</v>
      </c>
      <c r="L4268">
        <v>43.541530000000002</v>
      </c>
      <c r="M4268">
        <v>-7.48656699999999E-3</v>
      </c>
      <c r="N4268">
        <v>-1.423346E-2</v>
      </c>
      <c r="O4268">
        <v>-0.9998707</v>
      </c>
      <c r="P4268">
        <v>7.6701630000000007E-2</v>
      </c>
      <c r="Q4268">
        <v>0.1946013</v>
      </c>
      <c r="R4268">
        <v>-0.97787900000000005</v>
      </c>
      <c r="S4268">
        <v>1.3380430000000001</v>
      </c>
      <c r="T4268">
        <v>9.6807359999999995E-2</v>
      </c>
      <c r="U4268">
        <v>-2.9530940000000001</v>
      </c>
      <c r="V4268">
        <v>-8.6347060000000003E-2</v>
      </c>
      <c r="W4268">
        <v>0.2075391</v>
      </c>
      <c r="X4268">
        <v>0.97440839999999995</v>
      </c>
      <c r="Y4268">
        <v>-0.4191627</v>
      </c>
      <c r="Z4268">
        <v>-4.4043350000000002E-2</v>
      </c>
      <c r="AA4268">
        <v>0.90684219999999904</v>
      </c>
      <c r="AB4268">
        <v>38</v>
      </c>
      <c r="AC4268">
        <v>19.610199999999899</v>
      </c>
      <c r="AD4268">
        <v>1.4185030000000001</v>
      </c>
      <c r="AE4268">
        <v>-42.889066100000001</v>
      </c>
      <c r="AF4268">
        <v>-19.912759014483001</v>
      </c>
      <c r="AG4268">
        <v>1.4185030000000001</v>
      </c>
      <c r="AH4268">
        <v>42.702401766931899</v>
      </c>
      <c r="AI4268">
        <v>88.275576372561005</v>
      </c>
      <c r="AJ4268">
        <v>115.000332887822</v>
      </c>
      <c r="AK4268">
        <v>47.138362710157402</v>
      </c>
      <c r="AL4268">
        <v>78.021824061292904</v>
      </c>
      <c r="AM4268">
        <v>95.064029637141502</v>
      </c>
      <c r="AN4268">
        <v>1.0000000113950001</v>
      </c>
    </row>
    <row r="4269" spans="1:40" x14ac:dyDescent="0.25">
      <c r="A4269" t="str">
        <f>"20190303170625286"</f>
        <v>20190303170625286</v>
      </c>
      <c r="B4269" t="str">
        <f>"1551603985279173"</f>
        <v>1551603985279173</v>
      </c>
      <c r="C4269" t="s">
        <v>40</v>
      </c>
      <c r="D4269">
        <v>5.5806589999999998</v>
      </c>
      <c r="E4269">
        <v>0.36183739999999998</v>
      </c>
      <c r="F4269" t="s">
        <v>92</v>
      </c>
      <c r="G4269">
        <v>-402.55099999999999</v>
      </c>
      <c r="H4269">
        <v>2.397221</v>
      </c>
      <c r="I4269">
        <v>0.65485000000000004</v>
      </c>
      <c r="J4269">
        <v>-422.39389999999997</v>
      </c>
      <c r="K4269">
        <v>1.125996</v>
      </c>
      <c r="L4269">
        <v>43.175960000000003</v>
      </c>
      <c r="M4269">
        <v>-2.1059170000000001E-3</v>
      </c>
      <c r="N4269">
        <v>-1.425096E-2</v>
      </c>
      <c r="O4269">
        <v>-0.99989629999999996</v>
      </c>
      <c r="P4269">
        <v>8.4285460000000006E-2</v>
      </c>
      <c r="Q4269">
        <v>0.1939573</v>
      </c>
      <c r="R4269">
        <v>-0.97738270000000005</v>
      </c>
      <c r="S4269">
        <v>1.3621219999999901</v>
      </c>
      <c r="T4269">
        <v>8.7271570000000007E-2</v>
      </c>
      <c r="U4269">
        <v>-2.9436650000000002</v>
      </c>
      <c r="V4269">
        <v>-8.8808709999999999E-2</v>
      </c>
      <c r="W4269">
        <v>0.2068226</v>
      </c>
      <c r="X4269">
        <v>0.97433950000000003</v>
      </c>
      <c r="Y4269">
        <v>-0.42154059999999999</v>
      </c>
      <c r="Z4269">
        <v>-4.1133589999999998E-2</v>
      </c>
      <c r="AA4269">
        <v>0.90587620000000002</v>
      </c>
      <c r="AB4269">
        <v>38</v>
      </c>
      <c r="AC4269">
        <v>19.842899999999901</v>
      </c>
      <c r="AD4269">
        <v>1.271225</v>
      </c>
      <c r="AE4269">
        <v>-42.521109999999901</v>
      </c>
      <c r="AF4269">
        <v>-19.917792230033601</v>
      </c>
      <c r="AG4269">
        <v>1.271225</v>
      </c>
      <c r="AH4269">
        <v>42.4480689488813</v>
      </c>
      <c r="AI4269">
        <v>88.447005852308607</v>
      </c>
      <c r="AJ4269">
        <v>115.137250986092</v>
      </c>
      <c r="AK4269">
        <v>46.906001938007797</v>
      </c>
      <c r="AL4269">
        <v>78.063787051998204</v>
      </c>
      <c r="AM4269">
        <v>95.207982341848606</v>
      </c>
      <c r="AN4269">
        <v>1.0000000180514299</v>
      </c>
    </row>
    <row r="4270" spans="1:40" x14ac:dyDescent="0.25">
      <c r="A4270" t="str">
        <f>"20190303170625308"</f>
        <v>20190303170625308</v>
      </c>
      <c r="B4270" t="str">
        <f>"1551603985299669"</f>
        <v>1551603985299669</v>
      </c>
      <c r="C4270" t="s">
        <v>40</v>
      </c>
      <c r="D4270">
        <v>5.5025529999999998</v>
      </c>
      <c r="E4270">
        <v>0.3616394</v>
      </c>
      <c r="F4270" t="s">
        <v>92</v>
      </c>
      <c r="G4270">
        <v>-402.29309999999998</v>
      </c>
      <c r="H4270">
        <v>2.3552659999999999</v>
      </c>
      <c r="I4270">
        <v>0.65747259999999996</v>
      </c>
      <c r="J4270">
        <v>-422.3897</v>
      </c>
      <c r="K4270">
        <v>1.1262700000000001</v>
      </c>
      <c r="L4270">
        <v>42.810789999999997</v>
      </c>
      <c r="M4270">
        <v>3.5288030000000001E-3</v>
      </c>
      <c r="N4270">
        <v>-1.426882E-2</v>
      </c>
      <c r="O4270">
        <v>-0.99989209999999995</v>
      </c>
      <c r="P4270">
        <v>8.962138E-2</v>
      </c>
      <c r="Q4270">
        <v>0.1959843</v>
      </c>
      <c r="R4270">
        <v>-0.97650329999999996</v>
      </c>
      <c r="S4270">
        <v>1.3865970000000001</v>
      </c>
      <c r="T4270">
        <v>8.4795709999999996E-2</v>
      </c>
      <c r="U4270">
        <v>-2.933014</v>
      </c>
      <c r="V4270">
        <v>-8.8802539999999999E-2</v>
      </c>
      <c r="W4270">
        <v>0.20880389999999999</v>
      </c>
      <c r="X4270">
        <v>0.97391740000000004</v>
      </c>
      <c r="Y4270">
        <v>-0.42389209999999999</v>
      </c>
      <c r="Z4270">
        <v>-4.0398530000000002E-2</v>
      </c>
      <c r="AA4270">
        <v>0.90481129999999999</v>
      </c>
      <c r="AB4270">
        <v>38</v>
      </c>
      <c r="AC4270">
        <v>20.096599999999999</v>
      </c>
      <c r="AD4270">
        <v>1.22899599999999</v>
      </c>
      <c r="AE4270">
        <v>-42.153317399999999</v>
      </c>
      <c r="AF4270">
        <v>-19.933902510750102</v>
      </c>
      <c r="AG4270">
        <v>1.22899599999999</v>
      </c>
      <c r="AH4270">
        <v>42.194754452102998</v>
      </c>
      <c r="AI4270">
        <v>88.491421406128396</v>
      </c>
      <c r="AJ4270">
        <v>115.287272049658</v>
      </c>
      <c r="AK4270">
        <v>46.682632785109398</v>
      </c>
      <c r="AL4270">
        <v>77.947733435607105</v>
      </c>
      <c r="AM4270">
        <v>95.2098670943152</v>
      </c>
      <c r="AN4270">
        <v>1.0000000308942101</v>
      </c>
    </row>
    <row r="4271" spans="1:40" x14ac:dyDescent="0.25">
      <c r="A4271" t="str">
        <f>"20190303170625330"</f>
        <v>20190303170625330</v>
      </c>
      <c r="B4271" t="str">
        <f>"1551603985319189"</f>
        <v>1551603985319189</v>
      </c>
      <c r="C4271" t="s">
        <v>40</v>
      </c>
      <c r="D4271">
        <v>5.5584150000000001</v>
      </c>
      <c r="E4271">
        <v>0.36144890000000002</v>
      </c>
      <c r="F4271" t="s">
        <v>92</v>
      </c>
      <c r="G4271">
        <v>-402.14030000000002</v>
      </c>
      <c r="H4271">
        <v>2.4767809999999999</v>
      </c>
      <c r="I4271">
        <v>0.65902709999999998</v>
      </c>
      <c r="J4271">
        <v>-422.38310000000001</v>
      </c>
      <c r="K4271">
        <v>1.1265449999999999</v>
      </c>
      <c r="L4271">
        <v>42.44135</v>
      </c>
      <c r="M4271">
        <v>9.4926339999999998E-3</v>
      </c>
      <c r="N4271">
        <v>-1.428572E-2</v>
      </c>
      <c r="O4271">
        <v>-0.99985299999999999</v>
      </c>
      <c r="P4271">
        <v>9.3667860000000006E-2</v>
      </c>
      <c r="Q4271">
        <v>0.19796140000000001</v>
      </c>
      <c r="R4271">
        <v>-0.97572440000000005</v>
      </c>
      <c r="S4271">
        <v>1.4048769999999999</v>
      </c>
      <c r="T4271">
        <v>9.3695039999999993E-2</v>
      </c>
      <c r="U4271">
        <v>-2.9244379999999999</v>
      </c>
      <c r="V4271">
        <v>-8.7189749999999996E-2</v>
      </c>
      <c r="W4271">
        <v>0.21076020000000001</v>
      </c>
      <c r="X4271">
        <v>0.9736416</v>
      </c>
      <c r="Y4271">
        <v>-0.4240796</v>
      </c>
      <c r="Z4271">
        <v>-4.3172769999999999E-2</v>
      </c>
      <c r="AA4271">
        <v>0.90459529999999999</v>
      </c>
      <c r="AB4271">
        <v>37</v>
      </c>
      <c r="AC4271">
        <v>20.2427999999999</v>
      </c>
      <c r="AD4271">
        <v>1.350236</v>
      </c>
      <c r="AE4271">
        <v>-41.782322899999997</v>
      </c>
      <c r="AF4271">
        <v>-19.828452232569798</v>
      </c>
      <c r="AG4271">
        <v>1.350236</v>
      </c>
      <c r="AH4271">
        <v>41.937146864008902</v>
      </c>
      <c r="AI4271">
        <v>88.332754721801393</v>
      </c>
      <c r="AJ4271">
        <v>115.305419957117</v>
      </c>
      <c r="AK4271">
        <v>46.408134440940998</v>
      </c>
      <c r="AL4271">
        <v>77.833093639784394</v>
      </c>
      <c r="AM4271">
        <v>95.117196044908496</v>
      </c>
      <c r="AN4271">
        <v>0.99999993982982904</v>
      </c>
    </row>
    <row r="4272" spans="1:40" x14ac:dyDescent="0.25">
      <c r="A4272" t="str">
        <f>"20190303170625354"</f>
        <v>20190303170625354</v>
      </c>
      <c r="B4272" t="str">
        <f>"1551603985349444"</f>
        <v>1551603985349444</v>
      </c>
      <c r="C4272" t="s">
        <v>40</v>
      </c>
      <c r="D4272">
        <v>5.4948680000000003</v>
      </c>
      <c r="E4272">
        <v>0.3611762</v>
      </c>
      <c r="F4272" t="s">
        <v>92</v>
      </c>
      <c r="G4272">
        <v>-402.05739999999997</v>
      </c>
      <c r="H4272">
        <v>2.5891739999999999</v>
      </c>
      <c r="I4272">
        <v>0.65987010000000001</v>
      </c>
      <c r="J4272">
        <v>-422.3741</v>
      </c>
      <c r="K4272">
        <v>1.1268100000000001</v>
      </c>
      <c r="L4272">
        <v>42.069209999999998</v>
      </c>
      <c r="M4272">
        <v>1.577522E-2</v>
      </c>
      <c r="N4272">
        <v>-1.430321E-2</v>
      </c>
      <c r="O4272">
        <v>-0.99977329999999998</v>
      </c>
      <c r="P4272">
        <v>9.8780629999999994E-2</v>
      </c>
      <c r="Q4272">
        <v>0.1969728</v>
      </c>
      <c r="R4272">
        <v>-0.97542030000000002</v>
      </c>
      <c r="S4272">
        <v>1.419373</v>
      </c>
      <c r="T4272">
        <v>0.1021359</v>
      </c>
      <c r="U4272">
        <v>-2.9176639999999998</v>
      </c>
      <c r="V4272">
        <v>-8.6291010000000001E-2</v>
      </c>
      <c r="W4272">
        <v>0.2097504</v>
      </c>
      <c r="X4272">
        <v>0.97393969999999996</v>
      </c>
      <c r="Y4272">
        <v>-0.42280659999999998</v>
      </c>
      <c r="Z4272">
        <v>-4.5810459999999997E-2</v>
      </c>
      <c r="AA4272">
        <v>0.90506129999999996</v>
      </c>
      <c r="AB4272">
        <v>37</v>
      </c>
      <c r="AC4272">
        <v>20.316700000000001</v>
      </c>
      <c r="AD4272">
        <v>1.462364</v>
      </c>
      <c r="AE4272">
        <v>-41.409339899999999</v>
      </c>
      <c r="AF4272">
        <v>-19.641120360395401</v>
      </c>
      <c r="AG4272">
        <v>1.462364</v>
      </c>
      <c r="AH4272">
        <v>41.682820729645002</v>
      </c>
      <c r="AI4272">
        <v>88.182251738779897</v>
      </c>
      <c r="AJ4272">
        <v>115.230010569287</v>
      </c>
      <c r="AK4272">
        <v>46.1017316535915</v>
      </c>
      <c r="AL4272">
        <v>77.892273981301599</v>
      </c>
      <c r="AM4272">
        <v>95.063182316927197</v>
      </c>
      <c r="AN4272">
        <v>0.99999995397153296</v>
      </c>
    </row>
    <row r="4273" spans="1:40" x14ac:dyDescent="0.25">
      <c r="A4273" t="str">
        <f>"20190303170625375"</f>
        <v>20190303170625375</v>
      </c>
      <c r="B4273" t="str">
        <f>"1551603985368968"</f>
        <v>1551603985368968</v>
      </c>
      <c r="C4273" t="s">
        <v>40</v>
      </c>
      <c r="D4273">
        <v>5.5133999999999999</v>
      </c>
      <c r="E4273">
        <v>0.36104849999999999</v>
      </c>
      <c r="F4273" t="s">
        <v>92</v>
      </c>
      <c r="G4273">
        <v>-401.91660000000002</v>
      </c>
      <c r="H4273">
        <v>2.5771860000000002</v>
      </c>
      <c r="I4273">
        <v>0.66130449999999996</v>
      </c>
      <c r="J4273">
        <v>-422.36250000000001</v>
      </c>
      <c r="K4273">
        <v>1.1270770000000001</v>
      </c>
      <c r="L4273">
        <v>41.694789999999998</v>
      </c>
      <c r="M4273">
        <v>2.238424E-2</v>
      </c>
      <c r="N4273">
        <v>-1.432311E-2</v>
      </c>
      <c r="O4273">
        <v>-0.99964679999999995</v>
      </c>
      <c r="P4273">
        <v>0.10651339999999999</v>
      </c>
      <c r="Q4273">
        <v>0.19345699999999999</v>
      </c>
      <c r="R4273">
        <v>-0.97531009999999996</v>
      </c>
      <c r="S4273">
        <v>1.437408</v>
      </c>
      <c r="T4273">
        <v>0.10190630000000001</v>
      </c>
      <c r="U4273">
        <v>-2.9094540000000002</v>
      </c>
      <c r="V4273">
        <v>-8.765357E-2</v>
      </c>
      <c r="W4273">
        <v>0.2061876</v>
      </c>
      <c r="X4273">
        <v>0.97457859999999996</v>
      </c>
      <c r="Y4273">
        <v>-0.4223423</v>
      </c>
      <c r="Z4273">
        <v>-4.5773080000000001E-2</v>
      </c>
      <c r="AA4273">
        <v>0.90527999999999997</v>
      </c>
      <c r="AB4273">
        <v>37</v>
      </c>
      <c r="AC4273">
        <v>20.445899999999899</v>
      </c>
      <c r="AD4273">
        <v>1.4501090000000001</v>
      </c>
      <c r="AE4273">
        <v>-41.033485499999998</v>
      </c>
      <c r="AF4273">
        <v>-19.5026661403902</v>
      </c>
      <c r="AG4273">
        <v>1.4501090000000001</v>
      </c>
      <c r="AH4273">
        <v>41.439455153576901</v>
      </c>
      <c r="AI4273">
        <v>88.186495243193207</v>
      </c>
      <c r="AJ4273">
        <v>115.20310009562699</v>
      </c>
      <c r="AK4273">
        <v>45.822322574491103</v>
      </c>
      <c r="AL4273">
        <v>78.100970673359399</v>
      </c>
      <c r="AM4273">
        <v>95.139352707060496</v>
      </c>
      <c r="AN4273">
        <v>0.99999996115273104</v>
      </c>
    </row>
    <row r="4274" spans="1:40" x14ac:dyDescent="0.25">
      <c r="A4274" t="str">
        <f>"20190303170625397"</f>
        <v>20190303170625397</v>
      </c>
      <c r="B4274" t="str">
        <f>"1551603985389460"</f>
        <v>1551603985389460</v>
      </c>
      <c r="C4274" t="s">
        <v>40</v>
      </c>
      <c r="D4274">
        <v>5.471851</v>
      </c>
      <c r="E4274">
        <v>0.3607805</v>
      </c>
      <c r="F4274" t="s">
        <v>92</v>
      </c>
      <c r="G4274">
        <v>-401.6814</v>
      </c>
      <c r="H4274">
        <v>2.4216929999999999</v>
      </c>
      <c r="I4274">
        <v>0.66369440000000002</v>
      </c>
      <c r="J4274">
        <v>-422.34879999999998</v>
      </c>
      <c r="K4274">
        <v>1.127346</v>
      </c>
      <c r="L4274">
        <v>41.336550000000003</v>
      </c>
      <c r="M4274">
        <v>2.8992009999999999E-2</v>
      </c>
      <c r="N4274">
        <v>-1.434481E-2</v>
      </c>
      <c r="O4274">
        <v>-0.99947680000000005</v>
      </c>
      <c r="P4274">
        <v>0.1160407</v>
      </c>
      <c r="Q4274">
        <v>0.1924903</v>
      </c>
      <c r="R4274">
        <v>-0.9744138</v>
      </c>
      <c r="S4274">
        <v>1.460815</v>
      </c>
      <c r="T4274">
        <v>9.1444020000000001E-2</v>
      </c>
      <c r="U4274">
        <v>-2.8982540000000001</v>
      </c>
      <c r="V4274">
        <v>-9.0861559999999994E-2</v>
      </c>
      <c r="W4274">
        <v>0.2051357</v>
      </c>
      <c r="X4274">
        <v>0.97450680000000001</v>
      </c>
      <c r="Y4274">
        <v>-0.42364299999999999</v>
      </c>
      <c r="Z4274">
        <v>-4.2571110000000002E-2</v>
      </c>
      <c r="AA4274">
        <v>0.90482839999999998</v>
      </c>
      <c r="AB4274">
        <v>37</v>
      </c>
      <c r="AC4274">
        <v>20.667399999999901</v>
      </c>
      <c r="AD4274">
        <v>1.2943469999999999</v>
      </c>
      <c r="AE4274">
        <v>-40.672855599999998</v>
      </c>
      <c r="AF4274">
        <v>-19.463735131015401</v>
      </c>
      <c r="AG4274">
        <v>1.2943469999999999</v>
      </c>
      <c r="AH4274">
        <v>41.221826657009302</v>
      </c>
      <c r="AI4274">
        <v>88.373605208152796</v>
      </c>
      <c r="AJ4274">
        <v>115.275304323036</v>
      </c>
      <c r="AK4274">
        <v>45.604290503715198</v>
      </c>
      <c r="AL4274">
        <v>78.162556979563206</v>
      </c>
      <c r="AM4274">
        <v>95.326772658612498</v>
      </c>
      <c r="AN4274">
        <v>0.99999999087318103</v>
      </c>
    </row>
    <row r="4275" spans="1:40" x14ac:dyDescent="0.25">
      <c r="A4275" t="str">
        <f>"20190303170625419"</f>
        <v>20190303170625419</v>
      </c>
      <c r="B4275" t="str">
        <f>"1551603985408980"</f>
        <v>1551603985408980</v>
      </c>
      <c r="C4275" t="s">
        <v>40</v>
      </c>
      <c r="D4275">
        <v>5.4699970000000002</v>
      </c>
      <c r="E4275">
        <v>0.36060629999999999</v>
      </c>
      <c r="F4275" t="s">
        <v>92</v>
      </c>
      <c r="G4275">
        <v>-401.33109999999999</v>
      </c>
      <c r="H4275">
        <v>2.3765399999999999</v>
      </c>
      <c r="I4275">
        <v>0.66725540000000005</v>
      </c>
      <c r="J4275">
        <v>-422.33199999999999</v>
      </c>
      <c r="K4275">
        <v>1.1276459999999999</v>
      </c>
      <c r="L4275">
        <v>40.9679</v>
      </c>
      <c r="M4275">
        <v>3.6102090000000003E-2</v>
      </c>
      <c r="N4275">
        <v>-1.4369959999999999E-2</v>
      </c>
      <c r="O4275">
        <v>-0.99924489999999999</v>
      </c>
      <c r="P4275">
        <v>0.125344699999999</v>
      </c>
      <c r="Q4275">
        <v>0.19541449999999999</v>
      </c>
      <c r="R4275">
        <v>-0.97267789999999998</v>
      </c>
      <c r="S4275">
        <v>1.490326</v>
      </c>
      <c r="T4275">
        <v>8.857632E-2</v>
      </c>
      <c r="U4275">
        <v>-2.8837890000000002</v>
      </c>
      <c r="V4275">
        <v>-9.3461139999999998E-2</v>
      </c>
      <c r="W4275">
        <v>0.20796819999999999</v>
      </c>
      <c r="X4275">
        <v>0.97366019999999998</v>
      </c>
      <c r="Y4275">
        <v>-0.42637239999999998</v>
      </c>
      <c r="Z4275">
        <v>-4.1715670000000003E-2</v>
      </c>
      <c r="AA4275">
        <v>0.90358530000000004</v>
      </c>
      <c r="AB4275">
        <v>37</v>
      </c>
      <c r="AC4275">
        <v>21.000900000000001</v>
      </c>
      <c r="AD4275">
        <v>1.2488939999999999</v>
      </c>
      <c r="AE4275">
        <v>-40.300644599999998</v>
      </c>
      <c r="AF4275">
        <v>-19.517378673172999</v>
      </c>
      <c r="AG4275">
        <v>1.2488939999999999</v>
      </c>
      <c r="AH4275">
        <v>41.001655377616501</v>
      </c>
      <c r="AI4275">
        <v>88.424611403891703</v>
      </c>
      <c r="AJ4275">
        <v>115.455121180275</v>
      </c>
      <c r="AK4275">
        <v>45.427123507879003</v>
      </c>
      <c r="AL4275">
        <v>77.996689555552905</v>
      </c>
      <c r="AM4275">
        <v>95.482993412548794</v>
      </c>
      <c r="AN4275">
        <v>0.999999970982689</v>
      </c>
    </row>
    <row r="4276" spans="1:40" x14ac:dyDescent="0.25">
      <c r="A4276" t="str">
        <f>"20190303170625435"</f>
        <v>20190303170625435</v>
      </c>
      <c r="B4276" t="str">
        <f>"1551603985429477"</f>
        <v>1551603985429477</v>
      </c>
      <c r="C4276" t="s">
        <v>40</v>
      </c>
      <c r="D4276">
        <v>5.3037449999999904</v>
      </c>
      <c r="E4276">
        <v>0.35998609999999998</v>
      </c>
      <c r="F4276" t="s">
        <v>92</v>
      </c>
      <c r="G4276">
        <v>-400.98559999999998</v>
      </c>
      <c r="H4276">
        <v>2.5178020000000001</v>
      </c>
      <c r="I4276">
        <v>0.67077059999999999</v>
      </c>
      <c r="J4276">
        <v>-422.3186</v>
      </c>
      <c r="K4276">
        <v>1.1278649999999999</v>
      </c>
      <c r="L4276">
        <v>40.713590000000003</v>
      </c>
      <c r="M4276">
        <v>4.122845E-2</v>
      </c>
      <c r="N4276">
        <v>-1.438997E-2</v>
      </c>
      <c r="O4276">
        <v>-0.9990462</v>
      </c>
      <c r="P4276">
        <v>0.13070519999999999</v>
      </c>
      <c r="Q4276">
        <v>0.19707459999999999</v>
      </c>
      <c r="R4276">
        <v>-0.97163699999999997</v>
      </c>
      <c r="S4276">
        <v>1.5195620000000001</v>
      </c>
      <c r="T4276">
        <v>9.8957779999999995E-2</v>
      </c>
      <c r="U4276">
        <v>-2.8685909999999999</v>
      </c>
      <c r="V4276">
        <v>-9.3985509999999994E-2</v>
      </c>
      <c r="W4276">
        <v>0.20958640000000001</v>
      </c>
      <c r="X4276">
        <v>0.97326270000000004</v>
      </c>
      <c r="Y4276">
        <v>-0.43084280000000003</v>
      </c>
      <c r="Z4276">
        <v>-4.4962160000000001E-2</v>
      </c>
      <c r="AA4276">
        <v>0.9013063</v>
      </c>
      <c r="AB4276">
        <v>37</v>
      </c>
      <c r="AC4276">
        <v>21.332999999999998</v>
      </c>
      <c r="AD4276">
        <v>1.389937</v>
      </c>
      <c r="AE4276">
        <v>-40.042819399999999</v>
      </c>
      <c r="AF4276">
        <v>-19.645346425626599</v>
      </c>
      <c r="AG4276">
        <v>1.389937</v>
      </c>
      <c r="AH4276">
        <v>40.8500455461892</v>
      </c>
      <c r="AI4276">
        <v>88.243649920325396</v>
      </c>
      <c r="AJ4276">
        <v>115.683538592179</v>
      </c>
      <c r="AK4276">
        <v>45.349727476276897</v>
      </c>
      <c r="AL4276">
        <v>77.901884776045605</v>
      </c>
      <c r="AM4276">
        <v>95.515805044724402</v>
      </c>
      <c r="AN4276">
        <v>1.0000000091831001</v>
      </c>
    </row>
    <row r="4277" spans="1:40" x14ac:dyDescent="0.25">
      <c r="A4277" t="str">
        <f>"20190303170625450"</f>
        <v>20190303170625450</v>
      </c>
      <c r="B4277" t="str">
        <f>"1551603985439237"</f>
        <v>1551603985439237</v>
      </c>
      <c r="C4277" t="s">
        <v>40</v>
      </c>
      <c r="D4277">
        <v>5.2700019999999999</v>
      </c>
      <c r="E4277">
        <v>0.35968080000000002</v>
      </c>
      <c r="F4277" t="s">
        <v>92</v>
      </c>
      <c r="G4277">
        <v>-400.7473</v>
      </c>
      <c r="H4277">
        <v>2.6632989999999999</v>
      </c>
      <c r="I4277">
        <v>0.67319300000000004</v>
      </c>
      <c r="J4277">
        <v>-422.30439999999999</v>
      </c>
      <c r="K4277">
        <v>1.128082</v>
      </c>
      <c r="L4277">
        <v>40.46866</v>
      </c>
      <c r="M4277">
        <v>4.6317249999999997E-2</v>
      </c>
      <c r="N4277">
        <v>-1.441066E-2</v>
      </c>
      <c r="O4277">
        <v>-0.99882280000000001</v>
      </c>
      <c r="P4277">
        <v>0.13573450000000001</v>
      </c>
      <c r="Q4277">
        <v>0.19844239999999999</v>
      </c>
      <c r="R4277">
        <v>-0.97066839999999999</v>
      </c>
      <c r="S4277">
        <v>1.539825</v>
      </c>
      <c r="T4277">
        <v>0.10960250000000001</v>
      </c>
      <c r="U4277">
        <v>-2.858215</v>
      </c>
      <c r="V4277">
        <v>-9.4213599999999995E-2</v>
      </c>
      <c r="W4277">
        <v>0.2109192</v>
      </c>
      <c r="X4277">
        <v>0.9729527</v>
      </c>
      <c r="Y4277">
        <v>-0.43250159999999999</v>
      </c>
      <c r="Z4277">
        <v>-4.8290890000000003E-2</v>
      </c>
      <c r="AA4277">
        <v>0.900338999999999</v>
      </c>
      <c r="AB4277">
        <v>37</v>
      </c>
      <c r="AC4277">
        <v>21.557099999999899</v>
      </c>
      <c r="AD4277">
        <v>1.5352170000000001</v>
      </c>
      <c r="AE4277">
        <v>-39.795466999999903</v>
      </c>
      <c r="AF4277">
        <v>-19.667921552473299</v>
      </c>
      <c r="AG4277">
        <v>1.5352170000000001</v>
      </c>
      <c r="AH4277">
        <v>40.704483249389597</v>
      </c>
      <c r="AI4277">
        <v>88.055003314609706</v>
      </c>
      <c r="AJ4277">
        <v>115.789280242191</v>
      </c>
      <c r="AK4277">
        <v>45.233162458877203</v>
      </c>
      <c r="AL4277">
        <v>77.823775276283101</v>
      </c>
      <c r="AM4277">
        <v>95.5308590495641</v>
      </c>
      <c r="AN4277">
        <v>1.00000003389544</v>
      </c>
    </row>
    <row r="4278" spans="1:40" x14ac:dyDescent="0.25">
      <c r="A4278" t="str">
        <f>"20190303170625465"</f>
        <v>20190303170625465</v>
      </c>
      <c r="B4278" t="str">
        <f>"1551603985459732"</f>
        <v>1551603985459732</v>
      </c>
      <c r="C4278" t="s">
        <v>40</v>
      </c>
      <c r="D4278">
        <v>5.3040219999999998</v>
      </c>
      <c r="E4278">
        <v>0.35915659999999999</v>
      </c>
      <c r="F4278" t="s">
        <v>92</v>
      </c>
      <c r="G4278">
        <v>-400.55270000000002</v>
      </c>
      <c r="H4278">
        <v>2.7617750000000001</v>
      </c>
      <c r="I4278">
        <v>0.67517280000000002</v>
      </c>
      <c r="J4278">
        <v>-422.28899999999999</v>
      </c>
      <c r="K4278">
        <v>1.128288</v>
      </c>
      <c r="L4278">
        <v>40.224150000000002</v>
      </c>
      <c r="M4278">
        <v>5.154193E-2</v>
      </c>
      <c r="N4278">
        <v>-1.4432560000000001E-2</v>
      </c>
      <c r="O4278">
        <v>-0.99856670000000003</v>
      </c>
      <c r="P4278">
        <v>0.14131569999999999</v>
      </c>
      <c r="Q4278">
        <v>0.1986291</v>
      </c>
      <c r="R4278">
        <v>-0.96983330000000001</v>
      </c>
      <c r="S4278">
        <v>1.5572809999999999</v>
      </c>
      <c r="T4278">
        <v>0.1169606</v>
      </c>
      <c r="U4278">
        <v>-2.8489689999999999</v>
      </c>
      <c r="V4278">
        <v>-9.4840519999999998E-2</v>
      </c>
      <c r="W4278">
        <v>0.21106649999999999</v>
      </c>
      <c r="X4278">
        <v>0.97285980000000005</v>
      </c>
      <c r="Y4278">
        <v>-0.43321549999999998</v>
      </c>
      <c r="Z4278">
        <v>-5.0605869999999997E-2</v>
      </c>
      <c r="AA4278">
        <v>0.89986849999999996</v>
      </c>
      <c r="AB4278">
        <v>37</v>
      </c>
      <c r="AC4278">
        <v>21.7362999999999</v>
      </c>
      <c r="AD4278">
        <v>1.6334869999999999</v>
      </c>
      <c r="AE4278">
        <v>-39.548977200000003</v>
      </c>
      <c r="AF4278">
        <v>-19.643024430650101</v>
      </c>
      <c r="AG4278">
        <v>1.6334869999999999</v>
      </c>
      <c r="AH4278">
        <v>40.563700969403698</v>
      </c>
      <c r="AI4278">
        <v>87.924296771398701</v>
      </c>
      <c r="AJ4278">
        <v>115.83864608081301</v>
      </c>
      <c r="AK4278">
        <v>45.0991188926955</v>
      </c>
      <c r="AL4278">
        <v>77.815140705301204</v>
      </c>
      <c r="AM4278">
        <v>95.567960547856401</v>
      </c>
      <c r="AN4278">
        <v>0.99999999105607995</v>
      </c>
    </row>
    <row r="4279" spans="1:40" x14ac:dyDescent="0.25">
      <c r="A4279" t="str">
        <f>"20190303170625488"</f>
        <v>20190303170625488</v>
      </c>
      <c r="B4279" t="str">
        <f>"1551603985479253"</f>
        <v>1551603985479253</v>
      </c>
      <c r="C4279" t="s">
        <v>40</v>
      </c>
      <c r="D4279">
        <v>5.3132900000000003</v>
      </c>
      <c r="E4279">
        <v>0.3587513</v>
      </c>
      <c r="F4279" t="s">
        <v>92</v>
      </c>
      <c r="G4279">
        <v>-400.30799999999999</v>
      </c>
      <c r="H4279">
        <v>2.8412039999999998</v>
      </c>
      <c r="I4279">
        <v>0.67766569999999904</v>
      </c>
      <c r="J4279">
        <v>-422.26220000000001</v>
      </c>
      <c r="K4279">
        <v>1.12862</v>
      </c>
      <c r="L4279">
        <v>39.84863</v>
      </c>
      <c r="M4279">
        <v>5.9936820000000002E-2</v>
      </c>
      <c r="N4279">
        <v>-1.447066E-2</v>
      </c>
      <c r="O4279">
        <v>-0.99809729999999997</v>
      </c>
      <c r="P4279">
        <v>0.15126829999999999</v>
      </c>
      <c r="Q4279">
        <v>0.19703950000000001</v>
      </c>
      <c r="R4279">
        <v>-0.96865559999999995</v>
      </c>
      <c r="S4279">
        <v>1.5775760000000001</v>
      </c>
      <c r="T4279">
        <v>0.12293419999999999</v>
      </c>
      <c r="U4279">
        <v>-2.838257</v>
      </c>
      <c r="V4279">
        <v>-9.6785129999999997E-2</v>
      </c>
      <c r="W4279">
        <v>0.2094036</v>
      </c>
      <c r="X4279">
        <v>0.97302759999999999</v>
      </c>
      <c r="Y4279">
        <v>-0.43195459999999902</v>
      </c>
      <c r="Z4279">
        <v>-5.2511809999999999E-2</v>
      </c>
      <c r="AA4279">
        <v>0.90036539999999998</v>
      </c>
      <c r="AB4279">
        <v>37</v>
      </c>
      <c r="AC4279">
        <v>21.954199999999901</v>
      </c>
      <c r="AD4279">
        <v>1.7125840000000001</v>
      </c>
      <c r="AE4279">
        <v>-39.170964300000001</v>
      </c>
      <c r="AF4279">
        <v>-19.538273052254201</v>
      </c>
      <c r="AG4279">
        <v>1.7125840000000001</v>
      </c>
      <c r="AH4279">
        <v>40.357825931031797</v>
      </c>
      <c r="AI4279">
        <v>87.812683567201205</v>
      </c>
      <c r="AJ4279">
        <v>115.83283116751301</v>
      </c>
      <c r="AK4279">
        <v>44.871273346106001</v>
      </c>
      <c r="AL4279">
        <v>77.912595648287294</v>
      </c>
      <c r="AM4279">
        <v>95.680413197419796</v>
      </c>
      <c r="AN4279">
        <v>0.99999996972191796</v>
      </c>
    </row>
    <row r="4280" spans="1:40" x14ac:dyDescent="0.25">
      <c r="A4280" t="str">
        <f>"20190303170625509"</f>
        <v>20190303170625509</v>
      </c>
      <c r="B4280" t="str">
        <f>"1551603985499749"</f>
        <v>1551603985499749</v>
      </c>
      <c r="C4280" t="s">
        <v>40</v>
      </c>
      <c r="D4280">
        <v>5.2941060000000002</v>
      </c>
      <c r="E4280">
        <v>0.35126089999999999</v>
      </c>
      <c r="F4280" t="s">
        <v>92</v>
      </c>
      <c r="G4280">
        <v>-399.91460000000001</v>
      </c>
      <c r="H4280">
        <v>2.8149280000000001</v>
      </c>
      <c r="I4280">
        <v>0.68166539999999998</v>
      </c>
      <c r="J4280">
        <v>-422.23379999999997</v>
      </c>
      <c r="K4280">
        <v>1.1289389999999999</v>
      </c>
      <c r="L4280">
        <v>39.495640000000002</v>
      </c>
      <c r="M4280">
        <v>6.8178470000000005E-2</v>
      </c>
      <c r="N4280">
        <v>-1.450822E-2</v>
      </c>
      <c r="O4280">
        <v>-0.99756769999999995</v>
      </c>
      <c r="P4280">
        <v>0.1615587</v>
      </c>
      <c r="Q4280">
        <v>0.1978164</v>
      </c>
      <c r="R4280">
        <v>-0.96683379999999997</v>
      </c>
      <c r="S4280">
        <v>1.6095889999999999</v>
      </c>
      <c r="T4280">
        <v>0.12145499999999999</v>
      </c>
      <c r="U4280">
        <v>-2.8210139999999999</v>
      </c>
      <c r="V4280">
        <v>-9.929106E-2</v>
      </c>
      <c r="W4280">
        <v>0.21009130000000001</v>
      </c>
      <c r="X4280">
        <v>0.97262680000000001</v>
      </c>
      <c r="Y4280">
        <v>-0.43459500000000001</v>
      </c>
      <c r="Z4280">
        <v>-5.2098940000000003E-2</v>
      </c>
      <c r="AA4280">
        <v>0.89911779999999997</v>
      </c>
      <c r="AB4280">
        <v>37</v>
      </c>
      <c r="AC4280">
        <v>22.319199999999899</v>
      </c>
      <c r="AD4280">
        <v>1.685989</v>
      </c>
      <c r="AE4280">
        <v>-38.813974600000002</v>
      </c>
      <c r="AF4280">
        <v>-19.592917496780601</v>
      </c>
      <c r="AG4280">
        <v>1.685989</v>
      </c>
      <c r="AH4280">
        <v>40.188503930672397</v>
      </c>
      <c r="AI4280">
        <v>87.840439212744897</v>
      </c>
      <c r="AJ4280">
        <v>115.990410634882</v>
      </c>
      <c r="AK4280">
        <v>44.741935844679801</v>
      </c>
      <c r="AL4280">
        <v>77.872297050088804</v>
      </c>
      <c r="AM4280">
        <v>95.8288738861513</v>
      </c>
      <c r="AN4280">
        <v>0.999999980504926</v>
      </c>
    </row>
    <row r="4281" spans="1:40" x14ac:dyDescent="0.25">
      <c r="A4281" t="str">
        <f>"20190303170625531"</f>
        <v>20190303170625531</v>
      </c>
      <c r="B4281" t="str">
        <f>"1551603985519269"</f>
        <v>1551603985519269</v>
      </c>
      <c r="C4281" t="s">
        <v>40</v>
      </c>
      <c r="D4281">
        <v>5.3081329999999998</v>
      </c>
      <c r="E4281">
        <v>0.3513944</v>
      </c>
      <c r="F4281" t="s">
        <v>92</v>
      </c>
      <c r="G4281">
        <v>-399.38709999999998</v>
      </c>
      <c r="H4281">
        <v>3.8063090000000002</v>
      </c>
      <c r="I4281">
        <v>1.9840599999999999</v>
      </c>
      <c r="J4281">
        <v>-422.20089999999999</v>
      </c>
      <c r="K4281">
        <v>1.129273</v>
      </c>
      <c r="L4281">
        <v>39.127470000000002</v>
      </c>
      <c r="M4281">
        <v>7.7150990000000003E-2</v>
      </c>
      <c r="N4281">
        <v>-1.454884E-2</v>
      </c>
      <c r="O4281">
        <v>-0.9969133</v>
      </c>
      <c r="P4281">
        <v>0.17282690000000001</v>
      </c>
      <c r="Q4281">
        <v>0.19887840000000001</v>
      </c>
      <c r="R4281">
        <v>-0.96466499999999999</v>
      </c>
      <c r="S4281">
        <v>1.692841</v>
      </c>
      <c r="T4281">
        <v>0.1983799</v>
      </c>
      <c r="U4281">
        <v>-2.7794490000000001</v>
      </c>
      <c r="V4281">
        <v>-0.10210370000000001</v>
      </c>
      <c r="W4281">
        <v>0.2110524</v>
      </c>
      <c r="X4281">
        <v>0.97212739999999997</v>
      </c>
      <c r="Y4281">
        <v>-0.45136179999999898</v>
      </c>
      <c r="Z4281">
        <v>-7.5989100000000004E-2</v>
      </c>
      <c r="AA4281">
        <v>0.88909969999999905</v>
      </c>
      <c r="AB4281">
        <v>37</v>
      </c>
      <c r="AC4281">
        <v>22.813800000000001</v>
      </c>
      <c r="AD4281">
        <v>2.6770360000000002</v>
      </c>
      <c r="AE4281">
        <v>-37.143409999999903</v>
      </c>
      <c r="AF4281">
        <v>-19.805135113846301</v>
      </c>
      <c r="AG4281">
        <v>2.6770360000000002</v>
      </c>
      <c r="AH4281">
        <v>38.647207395500601</v>
      </c>
      <c r="AI4281">
        <v>86.472442967397996</v>
      </c>
      <c r="AJ4281">
        <v>117.133309489985</v>
      </c>
      <c r="AK4281">
        <v>43.508809890570902</v>
      </c>
      <c r="AL4281">
        <v>77.815967075271203</v>
      </c>
      <c r="AM4281">
        <v>95.9958606480931</v>
      </c>
      <c r="AN4281">
        <v>0.99999998146510405</v>
      </c>
    </row>
    <row r="4282" spans="1:40" x14ac:dyDescent="0.25">
      <c r="A4282" t="str">
        <f>"20190303170625547"</f>
        <v>20190303170625547</v>
      </c>
      <c r="B4282" t="str">
        <f>"1551603985539765"</f>
        <v>1551603985539765</v>
      </c>
      <c r="C4282" t="s">
        <v>40</v>
      </c>
      <c r="D4282">
        <v>5.3252459999999999</v>
      </c>
      <c r="E4282">
        <v>0.35231630000000003</v>
      </c>
      <c r="F4282" t="s">
        <v>92</v>
      </c>
      <c r="G4282">
        <v>-398.99079999999998</v>
      </c>
      <c r="H4282">
        <v>3.8329399999999998</v>
      </c>
      <c r="I4282">
        <v>1.9880910000000001</v>
      </c>
      <c r="J4282">
        <v>-422.17599999999999</v>
      </c>
      <c r="K4282">
        <v>1.1294979999999999</v>
      </c>
      <c r="L4282">
        <v>38.871490000000001</v>
      </c>
      <c r="M4282">
        <v>8.3616670000000004E-2</v>
      </c>
      <c r="N4282">
        <v>-1.457816E-2</v>
      </c>
      <c r="O4282">
        <v>-0.99639149999999999</v>
      </c>
      <c r="P4282">
        <v>0.1802745</v>
      </c>
      <c r="Q4282">
        <v>0.1989948</v>
      </c>
      <c r="R4282">
        <v>-0.96327719999999994</v>
      </c>
      <c r="S4282">
        <v>1.724548</v>
      </c>
      <c r="T4282">
        <v>0.20088529999999999</v>
      </c>
      <c r="U4282">
        <v>-2.7595209999999999</v>
      </c>
      <c r="V4282">
        <v>-0.10343819999999999</v>
      </c>
      <c r="W4282">
        <v>0.2111112</v>
      </c>
      <c r="X4282">
        <v>0.97197350000000005</v>
      </c>
      <c r="Y4282">
        <v>-0.45577289999999998</v>
      </c>
      <c r="Z4282">
        <v>-7.6843700000000001E-2</v>
      </c>
      <c r="AA4282">
        <v>0.88677289999999998</v>
      </c>
      <c r="AB4282">
        <v>37</v>
      </c>
      <c r="AC4282">
        <v>23.185199999999998</v>
      </c>
      <c r="AD4282">
        <v>2.7034419999999999</v>
      </c>
      <c r="AE4282">
        <v>-36.883398999999997</v>
      </c>
      <c r="AF4282">
        <v>-19.9427978070356</v>
      </c>
      <c r="AG4282">
        <v>2.7034419999999999</v>
      </c>
      <c r="AH4282">
        <v>38.544652544564897</v>
      </c>
      <c r="AI4282">
        <v>86.435431542904794</v>
      </c>
      <c r="AJ4282">
        <v>117.35680448009801</v>
      </c>
      <c r="AK4282">
        <v>43.482341505499697</v>
      </c>
      <c r="AL4282">
        <v>77.812519940703993</v>
      </c>
      <c r="AM4282">
        <v>96.074599296691702</v>
      </c>
      <c r="AN4282">
        <v>0.99999994234346301</v>
      </c>
    </row>
    <row r="4283" spans="1:40" x14ac:dyDescent="0.25">
      <c r="A4283" t="str">
        <f>"20190303170625566"</f>
        <v>20190303170625566</v>
      </c>
      <c r="B4283" t="str">
        <f>"1551603985559340"</f>
        <v>1551603985559340</v>
      </c>
      <c r="C4283" t="s">
        <v>40</v>
      </c>
      <c r="D4283">
        <v>5.3183129999999998</v>
      </c>
      <c r="E4283">
        <v>0.3533017</v>
      </c>
      <c r="F4283" t="s">
        <v>92</v>
      </c>
      <c r="G4283">
        <v>-398.84140000000002</v>
      </c>
      <c r="H4283">
        <v>3.7710110000000001</v>
      </c>
      <c r="I4283">
        <v>1.989609</v>
      </c>
      <c r="J4283">
        <v>-422.14400000000001</v>
      </c>
      <c r="K4283">
        <v>1.1297839999999999</v>
      </c>
      <c r="L4283">
        <v>38.567140000000002</v>
      </c>
      <c r="M4283">
        <v>9.1584620000000005E-2</v>
      </c>
      <c r="N4283">
        <v>-1.4616199999999999E-2</v>
      </c>
      <c r="O4283">
        <v>-0.99568999999999996</v>
      </c>
      <c r="P4283">
        <v>0.191111</v>
      </c>
      <c r="Q4283">
        <v>0.19782</v>
      </c>
      <c r="R4283">
        <v>-0.96142830000000001</v>
      </c>
      <c r="S4283">
        <v>1.7387999999999999</v>
      </c>
      <c r="T4283">
        <v>0.19683310000000001</v>
      </c>
      <c r="U4283">
        <v>-2.748291</v>
      </c>
      <c r="V4283">
        <v>-0.1067217</v>
      </c>
      <c r="W4283">
        <v>0.20983109999999999</v>
      </c>
      <c r="X4283">
        <v>0.97189579999999998</v>
      </c>
      <c r="Y4283">
        <v>-0.45361800000000002</v>
      </c>
      <c r="Z4283">
        <v>-7.5689370000000006E-2</v>
      </c>
      <c r="AA4283">
        <v>0.88797619999999899</v>
      </c>
      <c r="AB4283">
        <v>37</v>
      </c>
      <c r="AC4283">
        <v>23.302599999999899</v>
      </c>
      <c r="AD4283">
        <v>2.6412270000000002</v>
      </c>
      <c r="AE4283">
        <v>-36.577531</v>
      </c>
      <c r="AF4283">
        <v>-19.780983138103199</v>
      </c>
      <c r="AG4283">
        <v>2.6412270000000002</v>
      </c>
      <c r="AH4283">
        <v>38.415683313674499</v>
      </c>
      <c r="AI4283">
        <v>86.502077975640205</v>
      </c>
      <c r="AJ4283">
        <v>117.244820320979</v>
      </c>
      <c r="AK4283">
        <v>43.290046181910903</v>
      </c>
      <c r="AL4283">
        <v>77.887545895343806</v>
      </c>
      <c r="AM4283">
        <v>96.266415360501099</v>
      </c>
      <c r="AN4283">
        <v>1.0000000289178601</v>
      </c>
    </row>
    <row r="4284" spans="1:40" x14ac:dyDescent="0.25">
      <c r="A4284" t="str">
        <f>"20190303170625587"</f>
        <v>20190303170625587</v>
      </c>
      <c r="B4284" t="str">
        <f>"1551603985578860"</f>
        <v>1551603985578860</v>
      </c>
      <c r="C4284" t="s">
        <v>40</v>
      </c>
      <c r="D4284">
        <v>5.3600529999999997</v>
      </c>
      <c r="E4284">
        <v>0.35365020000000003</v>
      </c>
      <c r="F4284" t="s">
        <v>92</v>
      </c>
      <c r="G4284">
        <v>-398.54719999999998</v>
      </c>
      <c r="H4284">
        <v>3.6292270000000002</v>
      </c>
      <c r="I4284">
        <v>1.9926010000000001</v>
      </c>
      <c r="J4284">
        <v>-422.10430000000002</v>
      </c>
      <c r="K4284">
        <v>1.130118</v>
      </c>
      <c r="L4284">
        <v>38.222749999999998</v>
      </c>
      <c r="M4284">
        <v>0.1009866</v>
      </c>
      <c r="N4284">
        <v>-1.466511E-2</v>
      </c>
      <c r="O4284">
        <v>-0.99477969999999905</v>
      </c>
      <c r="P4284">
        <v>0.20222979999999999</v>
      </c>
      <c r="Q4284">
        <v>0.1972681</v>
      </c>
      <c r="R4284">
        <v>-0.95926480000000003</v>
      </c>
      <c r="S4284">
        <v>1.7623599999999999</v>
      </c>
      <c r="T4284">
        <v>0.18667300000000001</v>
      </c>
      <c r="U4284">
        <v>-2.7316280000000002</v>
      </c>
      <c r="V4284">
        <v>-0.1089543</v>
      </c>
      <c r="W4284">
        <v>0.2091896</v>
      </c>
      <c r="X4284">
        <v>0.97178629999999999</v>
      </c>
      <c r="Y4284">
        <v>-0.45319110000000001</v>
      </c>
      <c r="Z4284">
        <v>-7.2630760000000003E-2</v>
      </c>
      <c r="AA4284">
        <v>0.8884495</v>
      </c>
      <c r="AB4284">
        <v>37</v>
      </c>
      <c r="AC4284">
        <v>23.557099999999998</v>
      </c>
      <c r="AD4284">
        <v>2.4991089999999998</v>
      </c>
      <c r="AE4284">
        <v>-36.230148999999997</v>
      </c>
      <c r="AF4284">
        <v>-19.711572084124001</v>
      </c>
      <c r="AG4284">
        <v>2.4991089999999998</v>
      </c>
      <c r="AH4284">
        <v>38.296029463665</v>
      </c>
      <c r="AI4284">
        <v>86.679268449308196</v>
      </c>
      <c r="AJ4284">
        <v>117.235596685414</v>
      </c>
      <c r="AK4284">
        <v>43.143684271320602</v>
      </c>
      <c r="AL4284">
        <v>77.925134667098504</v>
      </c>
      <c r="AM4284">
        <v>96.397146961929494</v>
      </c>
      <c r="AN4284">
        <v>0.99999997055216905</v>
      </c>
    </row>
    <row r="4285" spans="1:40" x14ac:dyDescent="0.25">
      <c r="A4285" t="str">
        <f>"20190303170625602"</f>
        <v>20190303170625602</v>
      </c>
      <c r="B4285" t="str">
        <f>"1551603985589596"</f>
        <v>1551603985589596</v>
      </c>
      <c r="C4285" t="s">
        <v>40</v>
      </c>
      <c r="D4285">
        <v>5.3976519999999999</v>
      </c>
      <c r="E4285">
        <v>0.35919259999999997</v>
      </c>
      <c r="F4285" t="s">
        <v>92</v>
      </c>
      <c r="G4285">
        <v>-398.17959999999999</v>
      </c>
      <c r="H4285">
        <v>3.572845</v>
      </c>
      <c r="I4285">
        <v>1.99634</v>
      </c>
      <c r="J4285">
        <v>-422.0745</v>
      </c>
      <c r="K4285">
        <v>1.130376</v>
      </c>
      <c r="L4285">
        <v>37.98019</v>
      </c>
      <c r="M4285">
        <v>0.1078161</v>
      </c>
      <c r="N4285">
        <v>-1.4702049999999999E-2</v>
      </c>
      <c r="O4285">
        <v>-0.99406220000000001</v>
      </c>
      <c r="P4285">
        <v>0.20937230000000001</v>
      </c>
      <c r="Q4285">
        <v>0.1976985</v>
      </c>
      <c r="R4285">
        <v>-0.9576424</v>
      </c>
      <c r="S4285">
        <v>1.7911680000000001</v>
      </c>
      <c r="T4285">
        <v>0.18287729999999999</v>
      </c>
      <c r="U4285">
        <v>-2.7121580000000001</v>
      </c>
      <c r="V4285">
        <v>-0.10967159999999999</v>
      </c>
      <c r="W4285">
        <v>0.20957329999999999</v>
      </c>
      <c r="X4285">
        <v>0.97162289999999996</v>
      </c>
      <c r="Y4285">
        <v>-0.45661459999999998</v>
      </c>
      <c r="Z4285">
        <v>-7.1519479999999996E-2</v>
      </c>
      <c r="AA4285">
        <v>0.8867853</v>
      </c>
      <c r="AB4285">
        <v>37</v>
      </c>
      <c r="AC4285">
        <v>23.8949</v>
      </c>
      <c r="AD4285">
        <v>2.442469</v>
      </c>
      <c r="AE4285">
        <v>-35.983849999999997</v>
      </c>
      <c r="AF4285">
        <v>-19.8121787148282</v>
      </c>
      <c r="AG4285">
        <v>2.442469</v>
      </c>
      <c r="AH4285">
        <v>38.2283527230001</v>
      </c>
      <c r="AI4285">
        <v>86.753316773704995</v>
      </c>
      <c r="AJ4285">
        <v>117.39584476939901</v>
      </c>
      <c r="AK4285">
        <v>43.126500346751499</v>
      </c>
      <c r="AL4285">
        <v>77.902651596296806</v>
      </c>
      <c r="AM4285">
        <v>96.439983733493804</v>
      </c>
      <c r="AN4285">
        <v>0.99999994386192803</v>
      </c>
    </row>
    <row r="4286" spans="1:40" x14ac:dyDescent="0.25">
      <c r="A4286" t="str">
        <f>"20190303170625621"</f>
        <v>20190303170625621</v>
      </c>
      <c r="B4286" t="str">
        <f>"1551603985609116"</f>
        <v>1551603985609116</v>
      </c>
      <c r="C4286" t="s">
        <v>40</v>
      </c>
      <c r="D4286">
        <v>5.3647039999999997</v>
      </c>
      <c r="E4286">
        <v>0.36017259999999901</v>
      </c>
      <c r="F4286" t="s">
        <v>92</v>
      </c>
      <c r="G4286">
        <v>-398.57850000000002</v>
      </c>
      <c r="H4286">
        <v>3.229368</v>
      </c>
      <c r="I4286">
        <v>1.992283</v>
      </c>
      <c r="J4286">
        <v>-422.03399999999999</v>
      </c>
      <c r="K4286">
        <v>1.130698</v>
      </c>
      <c r="L4286">
        <v>37.675020000000004</v>
      </c>
      <c r="M4286">
        <v>0.1167272</v>
      </c>
      <c r="N4286">
        <v>-1.4752360000000001E-2</v>
      </c>
      <c r="O4286">
        <v>-0.99305460000000001</v>
      </c>
      <c r="P4286">
        <v>0.21847749999999999</v>
      </c>
      <c r="Q4286">
        <v>0.19976350000000001</v>
      </c>
      <c r="R4286">
        <v>-0.95517669999999999</v>
      </c>
      <c r="S4286">
        <v>1.7711490000000001</v>
      </c>
      <c r="T4286">
        <v>0.15822169999999999</v>
      </c>
      <c r="U4286">
        <v>-2.712799</v>
      </c>
      <c r="V4286">
        <v>-0.1104697</v>
      </c>
      <c r="W4286">
        <v>0.21157960000000001</v>
      </c>
      <c r="X4286">
        <v>0.97109760000000001</v>
      </c>
      <c r="Y4286">
        <v>-0.44417780000000001</v>
      </c>
      <c r="Z4286">
        <v>-6.4006489999999999E-2</v>
      </c>
      <c r="AA4286">
        <v>0.89364940000000004</v>
      </c>
      <c r="AB4286">
        <v>37</v>
      </c>
      <c r="AC4286">
        <v>23.455499999999901</v>
      </c>
      <c r="AD4286">
        <v>2.0986699999999998</v>
      </c>
      <c r="AE4286">
        <v>-35.682737000000003</v>
      </c>
      <c r="AF4286">
        <v>-19.083429448914998</v>
      </c>
      <c r="AG4286">
        <v>2.0986699999999998</v>
      </c>
      <c r="AH4286">
        <v>38.084956383601501</v>
      </c>
      <c r="AI4286">
        <v>87.179536993944296</v>
      </c>
      <c r="AJ4286">
        <v>116.614316296087</v>
      </c>
      <c r="AK4286">
        <v>42.650270785089397</v>
      </c>
      <c r="AL4286">
        <v>77.785063272803995</v>
      </c>
      <c r="AM4286">
        <v>96.489929491740398</v>
      </c>
      <c r="AN4286">
        <v>1.0000000152399999</v>
      </c>
    </row>
    <row r="4287" spans="1:40" x14ac:dyDescent="0.25">
      <c r="A4287" t="str">
        <f>"20190303170625636"</f>
        <v>20190303170625636</v>
      </c>
      <c r="B4287" t="str">
        <f>"1551603985629612"</f>
        <v>1551603985629612</v>
      </c>
      <c r="C4287" t="s">
        <v>40</v>
      </c>
      <c r="D4287">
        <v>5.3493190000000004</v>
      </c>
      <c r="E4287">
        <v>0.3604753</v>
      </c>
      <c r="F4287" t="s">
        <v>92</v>
      </c>
      <c r="G4287">
        <v>-398.3485</v>
      </c>
      <c r="H4287">
        <v>3.26458</v>
      </c>
      <c r="I4287">
        <v>1.9946189999999999</v>
      </c>
      <c r="J4287">
        <v>-421.99880000000002</v>
      </c>
      <c r="K4287">
        <v>1.1309670000000001</v>
      </c>
      <c r="L4287">
        <v>37.427430000000001</v>
      </c>
      <c r="M4287">
        <v>0.1242273</v>
      </c>
      <c r="N4287">
        <v>-1.479522E-2</v>
      </c>
      <c r="O4287">
        <v>-0.99214349999999996</v>
      </c>
      <c r="P4287">
        <v>0.22620609999999999</v>
      </c>
      <c r="Q4287">
        <v>0.20073099999999999</v>
      </c>
      <c r="R4287">
        <v>-0.95317249999999998</v>
      </c>
      <c r="S4287">
        <v>1.7906489999999999</v>
      </c>
      <c r="T4287">
        <v>0.16132189999999999</v>
      </c>
      <c r="U4287">
        <v>-2.697479</v>
      </c>
      <c r="V4287">
        <v>-0.11118740000000001</v>
      </c>
      <c r="W4287">
        <v>0.21249850000000001</v>
      </c>
      <c r="X4287">
        <v>0.97081499999999998</v>
      </c>
      <c r="Y4287">
        <v>-0.44419579999999997</v>
      </c>
      <c r="Z4287">
        <v>-6.5055390000000005E-2</v>
      </c>
      <c r="AA4287">
        <v>0.89356469999999899</v>
      </c>
      <c r="AB4287">
        <v>37</v>
      </c>
      <c r="AC4287">
        <v>23.650300000000001</v>
      </c>
      <c r="AD4287">
        <v>2.133613</v>
      </c>
      <c r="AE4287">
        <v>-35.432811000000001</v>
      </c>
      <c r="AF4287">
        <v>-19.017152584799799</v>
      </c>
      <c r="AG4287">
        <v>2.133613</v>
      </c>
      <c r="AH4287">
        <v>38.001292438495398</v>
      </c>
      <c r="AI4287">
        <v>87.125615406819193</v>
      </c>
      <c r="AJ4287">
        <v>116.584957463254</v>
      </c>
      <c r="AK4287">
        <v>42.547651214413399</v>
      </c>
      <c r="AL4287">
        <v>77.731189047680601</v>
      </c>
      <c r="AM4287">
        <v>96.533615012321206</v>
      </c>
      <c r="AN4287">
        <v>1.000000007323</v>
      </c>
    </row>
    <row r="4288" spans="1:40" x14ac:dyDescent="0.25">
      <c r="A4288" t="str">
        <f>"20190303170625652"</f>
        <v>20190303170625652</v>
      </c>
      <c r="B4288" t="str">
        <f>"1551603985639373"</f>
        <v>1551603985639373</v>
      </c>
      <c r="C4288" t="s">
        <v>40</v>
      </c>
      <c r="D4288">
        <v>5.3763379999999996</v>
      </c>
      <c r="E4288">
        <v>0.34130060000000001</v>
      </c>
      <c r="F4288" t="s">
        <v>92</v>
      </c>
      <c r="G4288">
        <v>-398.09550000000002</v>
      </c>
      <c r="H4288">
        <v>3.2732860000000001</v>
      </c>
      <c r="I4288">
        <v>1.997196</v>
      </c>
      <c r="J4288">
        <v>-421.96230000000003</v>
      </c>
      <c r="K4288">
        <v>1.1312310000000001</v>
      </c>
      <c r="L4288">
        <v>37.183839999999996</v>
      </c>
      <c r="M4288">
        <v>0.13180529999999999</v>
      </c>
      <c r="N4288">
        <v>-1.48396E-2</v>
      </c>
      <c r="O4288">
        <v>-0.99116459999999995</v>
      </c>
      <c r="P4288">
        <v>0.23397560000000001</v>
      </c>
      <c r="Q4288">
        <v>0.20181009999999999</v>
      </c>
      <c r="R4288">
        <v>-0.95106690000000005</v>
      </c>
      <c r="S4288">
        <v>1.810486</v>
      </c>
      <c r="T4288">
        <v>0.16226199999999999</v>
      </c>
      <c r="U4288">
        <v>-2.6835629999999999</v>
      </c>
      <c r="V4288">
        <v>-0.1118888</v>
      </c>
      <c r="W4288">
        <v>0.2135291</v>
      </c>
      <c r="X4288">
        <v>0.97050820000000004</v>
      </c>
      <c r="Y4288">
        <v>-0.44402750000000002</v>
      </c>
      <c r="Z4288">
        <v>-6.5400470000000002E-2</v>
      </c>
      <c r="AA4288">
        <v>0.89362319999999995</v>
      </c>
      <c r="AB4288">
        <v>37</v>
      </c>
      <c r="AC4288">
        <v>23.866800000000001</v>
      </c>
      <c r="AD4288">
        <v>2.142055</v>
      </c>
      <c r="AE4288">
        <v>-35.186644000000001</v>
      </c>
      <c r="AF4288">
        <v>-18.972079093146998</v>
      </c>
      <c r="AG4288">
        <v>2.142055</v>
      </c>
      <c r="AH4288">
        <v>37.929438370213802</v>
      </c>
      <c r="AI4288">
        <v>87.108526514796495</v>
      </c>
      <c r="AJ4288">
        <v>116.573944721621</v>
      </c>
      <c r="AK4288">
        <v>42.4637548954341</v>
      </c>
      <c r="AL4288">
        <v>77.670752530001195</v>
      </c>
      <c r="AM4288">
        <v>96.576531232849703</v>
      </c>
      <c r="AN4288">
        <v>0.99999997318974398</v>
      </c>
    </row>
    <row r="4289" spans="1:40" x14ac:dyDescent="0.25">
      <c r="A4289" t="str">
        <f>"20190303170625667"</f>
        <v>20190303170625667</v>
      </c>
      <c r="B4289" t="str">
        <f>"1551603985659400"</f>
        <v>1551603985659400</v>
      </c>
      <c r="C4289" t="s">
        <v>40</v>
      </c>
      <c r="D4289">
        <v>5.4833769999999999</v>
      </c>
      <c r="E4289">
        <v>0.33647749999999998</v>
      </c>
      <c r="F4289" t="s">
        <v>92</v>
      </c>
      <c r="G4289">
        <v>-394.95949999999999</v>
      </c>
      <c r="H4289">
        <v>4.5009940000000004</v>
      </c>
      <c r="I4289">
        <v>1.3592869999999999</v>
      </c>
      <c r="J4289">
        <v>-421.92430000000002</v>
      </c>
      <c r="K4289">
        <v>1.1315010000000001</v>
      </c>
      <c r="L4289">
        <v>36.941929999999999</v>
      </c>
      <c r="M4289">
        <v>0.13952439999999999</v>
      </c>
      <c r="N4289">
        <v>-1.4885890000000001E-2</v>
      </c>
      <c r="O4289">
        <v>-0.99010690000000001</v>
      </c>
      <c r="P4289">
        <v>0.2440908</v>
      </c>
      <c r="Q4289">
        <v>0.20248849999999999</v>
      </c>
      <c r="R4289">
        <v>-0.94837700000000003</v>
      </c>
      <c r="S4289">
        <v>1.9724729999999999</v>
      </c>
      <c r="T4289">
        <v>0.2461498</v>
      </c>
      <c r="U4289">
        <v>-2.6168819999999999</v>
      </c>
      <c r="V4289">
        <v>-0.1148492</v>
      </c>
      <c r="W4289">
        <v>0.2141006</v>
      </c>
      <c r="X4289">
        <v>0.97003640000000002</v>
      </c>
      <c r="Y4289">
        <v>-0.48228850000000001</v>
      </c>
      <c r="Z4289">
        <v>-9.1022339999999993E-2</v>
      </c>
      <c r="AA4289">
        <v>0.87127080000000001</v>
      </c>
      <c r="AB4289">
        <v>37</v>
      </c>
      <c r="AC4289">
        <v>26.9648</v>
      </c>
      <c r="AD4289">
        <v>3.3694929999999998</v>
      </c>
      <c r="AE4289">
        <v>-35.582642999999997</v>
      </c>
      <c r="AF4289">
        <v>-21.612685816976299</v>
      </c>
      <c r="AG4289">
        <v>3.3694929999999998</v>
      </c>
      <c r="AH4289">
        <v>38.776311249035899</v>
      </c>
      <c r="AI4289">
        <v>85.659459190296602</v>
      </c>
      <c r="AJ4289">
        <v>119.13390875197</v>
      </c>
      <c r="AK4289">
        <v>44.520377192724702</v>
      </c>
      <c r="AL4289">
        <v>77.637233301606798</v>
      </c>
      <c r="AM4289">
        <v>96.752203346741098</v>
      </c>
      <c r="AN4289">
        <v>1.0000000114929799</v>
      </c>
    </row>
    <row r="4290" spans="1:40" x14ac:dyDescent="0.25">
      <c r="A4290" t="str">
        <f>"20190303170625688"</f>
        <v>20190303170625688</v>
      </c>
      <c r="B4290" t="str">
        <f>"1551603985678920"</f>
        <v>1551603985678920</v>
      </c>
      <c r="C4290" t="s">
        <v>40</v>
      </c>
      <c r="D4290">
        <v>5.4758230000000001</v>
      </c>
      <c r="E4290">
        <v>0.330405</v>
      </c>
      <c r="F4290" t="s">
        <v>92</v>
      </c>
      <c r="G4290">
        <v>-393.40820000000002</v>
      </c>
      <c r="H4290">
        <v>4.6576240000000002</v>
      </c>
      <c r="I4290">
        <v>0.74784090000000003</v>
      </c>
      <c r="J4290">
        <v>-421.86430000000001</v>
      </c>
      <c r="K4290">
        <v>1.1318809999999999</v>
      </c>
      <c r="L4290">
        <v>36.586849999999998</v>
      </c>
      <c r="M4290">
        <v>0.15127019999999999</v>
      </c>
      <c r="N4290">
        <v>-1.495955E-2</v>
      </c>
      <c r="O4290">
        <v>-0.98837929999999996</v>
      </c>
      <c r="P4290">
        <v>0.25831569999999998</v>
      </c>
      <c r="Q4290">
        <v>0.2016656</v>
      </c>
      <c r="R4290">
        <v>-0.94477719999999998</v>
      </c>
      <c r="S4290">
        <v>2.0368650000000001</v>
      </c>
      <c r="T4290">
        <v>0.25186459999999999</v>
      </c>
      <c r="U4290">
        <v>-2.5852970000000002</v>
      </c>
      <c r="V4290">
        <v>-0.11807719999999999</v>
      </c>
      <c r="W4290">
        <v>0.21315590000000001</v>
      </c>
      <c r="X4290">
        <v>0.96985690000000002</v>
      </c>
      <c r="Y4290">
        <v>-0.49044510000000002</v>
      </c>
      <c r="Z4290">
        <v>-9.2601009999999997E-2</v>
      </c>
      <c r="AA4290">
        <v>0.86653829999999998</v>
      </c>
      <c r="AB4290">
        <v>37</v>
      </c>
      <c r="AC4290">
        <v>28.4560999999999</v>
      </c>
      <c r="AD4290">
        <v>3.5257429999999998</v>
      </c>
      <c r="AE4290">
        <v>-35.839009099999998</v>
      </c>
      <c r="AF4290">
        <v>-22.572597204746199</v>
      </c>
      <c r="AG4290">
        <v>3.5257429999999998</v>
      </c>
      <c r="AH4290">
        <v>39.497087923423202</v>
      </c>
      <c r="AI4290">
        <v>85.568315179275899</v>
      </c>
      <c r="AJ4290">
        <v>119.747978886913</v>
      </c>
      <c r="AK4290">
        <v>45.628641911636898</v>
      </c>
      <c r="AL4290">
        <v>77.692639970753802</v>
      </c>
      <c r="AM4290">
        <v>96.941429598953704</v>
      </c>
      <c r="AN4290">
        <v>1.00000003467112</v>
      </c>
    </row>
    <row r="4291" spans="1:40" x14ac:dyDescent="0.25">
      <c r="A4291" t="str">
        <f>"20190303170625704"</f>
        <v>20190303170625704</v>
      </c>
      <c r="B4291" t="str">
        <f>"1551603985699416"</f>
        <v>1551603985699416</v>
      </c>
      <c r="C4291" t="s">
        <v>40</v>
      </c>
      <c r="D4291">
        <v>5.4686070000000004</v>
      </c>
      <c r="E4291">
        <v>0.32745109999999999</v>
      </c>
      <c r="F4291" t="s">
        <v>92</v>
      </c>
      <c r="G4291">
        <v>-391.92959999999999</v>
      </c>
      <c r="H4291">
        <v>5.0266279999999997</v>
      </c>
      <c r="I4291">
        <v>0.76288029999999996</v>
      </c>
      <c r="J4291">
        <v>-421.8229</v>
      </c>
      <c r="K4291">
        <v>1.132128</v>
      </c>
      <c r="L4291">
        <v>36.353909999999999</v>
      </c>
      <c r="M4291">
        <v>0.15917229999999999</v>
      </c>
      <c r="N4291">
        <v>-1.500783E-2</v>
      </c>
      <c r="O4291">
        <v>-0.98713680000000004</v>
      </c>
      <c r="P4291">
        <v>0.26740229999999998</v>
      </c>
      <c r="Q4291">
        <v>0.20114319999999999</v>
      </c>
      <c r="R4291">
        <v>-0.94235760000000002</v>
      </c>
      <c r="S4291">
        <v>2.1198429999999999</v>
      </c>
      <c r="T4291">
        <v>0.27580690000000002</v>
      </c>
      <c r="U4291">
        <v>-2.536896</v>
      </c>
      <c r="V4291">
        <v>-0.1197642</v>
      </c>
      <c r="W4291">
        <v>0.2125638</v>
      </c>
      <c r="X4291">
        <v>0.96977999999999998</v>
      </c>
      <c r="Y4291">
        <v>-0.50790239999999998</v>
      </c>
      <c r="Z4291">
        <v>-9.9806820000000004E-2</v>
      </c>
      <c r="AA4291">
        <v>0.85561309999999902</v>
      </c>
      <c r="AB4291">
        <v>37</v>
      </c>
      <c r="AC4291">
        <v>29.8933</v>
      </c>
      <c r="AD4291">
        <v>3.8944999999999999</v>
      </c>
      <c r="AE4291">
        <v>-35.5910297</v>
      </c>
      <c r="AF4291">
        <v>-23.680102758598402</v>
      </c>
      <c r="AG4291">
        <v>3.8944999999999999</v>
      </c>
      <c r="AH4291">
        <v>39.617745292917398</v>
      </c>
      <c r="AI4291">
        <v>85.176912745616093</v>
      </c>
      <c r="AJ4291">
        <v>120.867375105354</v>
      </c>
      <c r="AK4291">
        <v>46.319327920450903</v>
      </c>
      <c r="AL4291">
        <v>77.727360573610198</v>
      </c>
      <c r="AM4291">
        <v>97.040168083210006</v>
      </c>
      <c r="AN4291">
        <v>1.0000000405360301</v>
      </c>
    </row>
    <row r="4292" spans="1:40" x14ac:dyDescent="0.25">
      <c r="A4292" t="str">
        <f>"20190303170625721"</f>
        <v>20190303170625721</v>
      </c>
      <c r="B4292" t="str">
        <f>"1551603985709176"</f>
        <v>1551603985709176</v>
      </c>
      <c r="C4292" t="s">
        <v>40</v>
      </c>
      <c r="D4292">
        <v>5.4915149999999997</v>
      </c>
      <c r="E4292">
        <v>0.32679750000000002</v>
      </c>
      <c r="F4292" t="s">
        <v>92</v>
      </c>
      <c r="G4292">
        <v>-391.08940000000001</v>
      </c>
      <c r="H4292">
        <v>5.2175750000000001</v>
      </c>
      <c r="I4292">
        <v>0.77142719999999998</v>
      </c>
      <c r="J4292">
        <v>-421.76819999999998</v>
      </c>
      <c r="K4292">
        <v>1.1324350000000001</v>
      </c>
      <c r="L4292">
        <v>36.065339999999999</v>
      </c>
      <c r="M4292">
        <v>0.16926160000000001</v>
      </c>
      <c r="N4292">
        <v>-1.506882E-2</v>
      </c>
      <c r="O4292">
        <v>-0.985456</v>
      </c>
      <c r="P4292">
        <v>0.280279099999999</v>
      </c>
      <c r="Q4292">
        <v>0.20253289999999999</v>
      </c>
      <c r="R4292">
        <v>-0.93830939999999996</v>
      </c>
      <c r="S4292">
        <v>2.1657709999999999</v>
      </c>
      <c r="T4292">
        <v>0.28789730000000002</v>
      </c>
      <c r="U4292">
        <v>-2.5074770000000002</v>
      </c>
      <c r="V4292">
        <v>-0.1233773</v>
      </c>
      <c r="W4292">
        <v>0.21381839999999999</v>
      </c>
      <c r="X4292">
        <v>0.96905090000000005</v>
      </c>
      <c r="Y4292">
        <v>-0.51284209999999997</v>
      </c>
      <c r="Z4292">
        <v>-0.1034591</v>
      </c>
      <c r="AA4292">
        <v>0.85222609999999999</v>
      </c>
      <c r="AB4292">
        <v>37</v>
      </c>
      <c r="AC4292">
        <v>30.678799999999899</v>
      </c>
      <c r="AD4292">
        <v>4.08514</v>
      </c>
      <c r="AE4292">
        <v>-35.293912799999902</v>
      </c>
      <c r="AF4292">
        <v>-24.0777142020263</v>
      </c>
      <c r="AG4292">
        <v>4.08514</v>
      </c>
      <c r="AH4292">
        <v>39.675108058584897</v>
      </c>
      <c r="AI4292">
        <v>84.969584188393</v>
      </c>
      <c r="AJ4292">
        <v>121.252393350601</v>
      </c>
      <c r="AK4292">
        <v>46.589042590231998</v>
      </c>
      <c r="AL4292">
        <v>77.653784788044007</v>
      </c>
      <c r="AM4292">
        <v>97.255728423670504</v>
      </c>
      <c r="AN4292">
        <v>0.99999995656232898</v>
      </c>
    </row>
    <row r="4293" spans="1:40" x14ac:dyDescent="0.25">
      <c r="A4293" t="str">
        <f>"20190303170625745"</f>
        <v>20190303170625745</v>
      </c>
      <c r="B4293" t="str">
        <f>"1551603985739432"</f>
        <v>1551603985739432</v>
      </c>
      <c r="C4293" t="s">
        <v>40</v>
      </c>
      <c r="D4293">
        <v>5.5187599999999897</v>
      </c>
      <c r="E4293">
        <v>0.32618239999999998</v>
      </c>
      <c r="F4293" t="s">
        <v>92</v>
      </c>
      <c r="G4293">
        <v>-390.32490000000001</v>
      </c>
      <c r="H4293">
        <v>5.3571210000000002</v>
      </c>
      <c r="I4293">
        <v>0.77919959999999999</v>
      </c>
      <c r="J4293">
        <v>-421.6943</v>
      </c>
      <c r="K4293">
        <v>1.1328039999999999</v>
      </c>
      <c r="L4293">
        <v>35.699620000000003</v>
      </c>
      <c r="M4293">
        <v>0.18243380000000001</v>
      </c>
      <c r="N4293">
        <v>-1.51451E-2</v>
      </c>
      <c r="O4293">
        <v>-0.98310160000000002</v>
      </c>
      <c r="P4293">
        <v>0.29357670000000002</v>
      </c>
      <c r="Q4293">
        <v>0.20553540000000001</v>
      </c>
      <c r="R4293">
        <v>-0.93357829999999997</v>
      </c>
      <c r="S4293">
        <v>2.2051090000000002</v>
      </c>
      <c r="T4293">
        <v>0.29627429999999999</v>
      </c>
      <c r="U4293">
        <v>-2.4746090000000001</v>
      </c>
      <c r="V4293">
        <v>-0.1245753</v>
      </c>
      <c r="W4293">
        <v>0.2167441</v>
      </c>
      <c r="X4293">
        <v>0.96824739999999998</v>
      </c>
      <c r="Y4293">
        <v>-0.514378</v>
      </c>
      <c r="Z4293">
        <v>-0.106113</v>
      </c>
      <c r="AA4293">
        <v>0.85097319999999999</v>
      </c>
      <c r="AB4293">
        <v>37</v>
      </c>
      <c r="AC4293">
        <v>31.369399999999899</v>
      </c>
      <c r="AD4293">
        <v>4.2243170000000001</v>
      </c>
      <c r="AE4293">
        <v>-34.920420399999998</v>
      </c>
      <c r="AF4293">
        <v>-24.274856296961499</v>
      </c>
      <c r="AG4293">
        <v>4.2243170000000001</v>
      </c>
      <c r="AH4293">
        <v>39.735948160305099</v>
      </c>
      <c r="AI4293">
        <v>84.816288510231502</v>
      </c>
      <c r="AJ4293">
        <v>121.42093182597</v>
      </c>
      <c r="AK4293">
        <v>46.755310698925697</v>
      </c>
      <c r="AL4293">
        <v>77.4821302817261</v>
      </c>
      <c r="AM4293">
        <v>97.331433164816403</v>
      </c>
      <c r="AN4293">
        <v>1.00000001893082</v>
      </c>
    </row>
    <row r="4294" spans="1:40" x14ac:dyDescent="0.25">
      <c r="A4294" t="str">
        <f>"20190303170625766"</f>
        <v>20190303170625766</v>
      </c>
      <c r="B4294" t="str">
        <f>"1551603985758955"</f>
        <v>1551603985758955</v>
      </c>
      <c r="C4294" t="s">
        <v>40</v>
      </c>
      <c r="D4294">
        <v>5.5402870000000002</v>
      </c>
      <c r="E4294">
        <v>0.32644269999999997</v>
      </c>
      <c r="F4294" t="s">
        <v>92</v>
      </c>
      <c r="G4294">
        <v>-389.59949999999998</v>
      </c>
      <c r="H4294">
        <v>5.4636519999999997</v>
      </c>
      <c r="I4294">
        <v>0.78657909999999998</v>
      </c>
      <c r="J4294">
        <v>-421.61970000000002</v>
      </c>
      <c r="K4294">
        <v>1.1331340000000001</v>
      </c>
      <c r="L4294">
        <v>35.35501</v>
      </c>
      <c r="M4294">
        <v>0.1952528</v>
      </c>
      <c r="N4294">
        <v>-1.5218270000000001E-2</v>
      </c>
      <c r="O4294">
        <v>-0.98063489999999998</v>
      </c>
      <c r="P4294">
        <v>0.30637950000000003</v>
      </c>
      <c r="Q4294">
        <v>0.2079626</v>
      </c>
      <c r="R4294">
        <v>-0.92891539999999995</v>
      </c>
      <c r="S4294">
        <v>2.244049</v>
      </c>
      <c r="T4294">
        <v>0.30280879999999999</v>
      </c>
      <c r="U4294">
        <v>-2.4411010000000002</v>
      </c>
      <c r="V4294">
        <v>-0.12560299999999999</v>
      </c>
      <c r="W4294">
        <v>0.21910450000000001</v>
      </c>
      <c r="X4294">
        <v>0.96758310000000003</v>
      </c>
      <c r="Y4294">
        <v>-0.51624380000000003</v>
      </c>
      <c r="Z4294">
        <v>-0.1081836</v>
      </c>
      <c r="AA4294">
        <v>0.84958149999999999</v>
      </c>
      <c r="AB4294">
        <v>37</v>
      </c>
      <c r="AC4294">
        <v>32.020200000000003</v>
      </c>
      <c r="AD4294">
        <v>4.3305179999999996</v>
      </c>
      <c r="AE4294">
        <v>-34.568430900000003</v>
      </c>
      <c r="AF4294">
        <v>-24.446907482780201</v>
      </c>
      <c r="AG4294">
        <v>4.3305179999999996</v>
      </c>
      <c r="AH4294">
        <v>39.819360464515803</v>
      </c>
      <c r="AI4294">
        <v>84.7049072147082</v>
      </c>
      <c r="AJ4294">
        <v>121.547647114444</v>
      </c>
      <c r="AK4294">
        <v>46.925325139235703</v>
      </c>
      <c r="AL4294">
        <v>77.3435582577726</v>
      </c>
      <c r="AM4294">
        <v>97.396267024369195</v>
      </c>
      <c r="AN4294">
        <v>0.99999997546742903</v>
      </c>
    </row>
    <row r="4295" spans="1:40" x14ac:dyDescent="0.25">
      <c r="A4295" t="str">
        <f>"20190303170625788"</f>
        <v>20190303170625788</v>
      </c>
      <c r="B4295" t="str">
        <f>"1551603985779448"</f>
        <v>1551603985779448</v>
      </c>
      <c r="C4295" t="s">
        <v>40</v>
      </c>
      <c r="D4295">
        <v>5.4985379999999999</v>
      </c>
      <c r="E4295">
        <v>0.32689570000000001</v>
      </c>
      <c r="F4295" t="s">
        <v>92</v>
      </c>
      <c r="G4295">
        <v>-388.98849999999999</v>
      </c>
      <c r="H4295">
        <v>5.5270769999999896</v>
      </c>
      <c r="I4295">
        <v>0.79279330000000003</v>
      </c>
      <c r="J4295">
        <v>-421.54070000000002</v>
      </c>
      <c r="K4295">
        <v>1.1334360000000001</v>
      </c>
      <c r="L4295">
        <v>35.01294</v>
      </c>
      <c r="M4295">
        <v>0.20831930000000001</v>
      </c>
      <c r="N4295">
        <v>-1.5292790000000001E-2</v>
      </c>
      <c r="O4295">
        <v>-0.97794139999999996</v>
      </c>
      <c r="P4295">
        <v>0.31940429999999997</v>
      </c>
      <c r="Q4295">
        <v>0.2080429</v>
      </c>
      <c r="R4295">
        <v>-0.92449939999999997</v>
      </c>
      <c r="S4295">
        <v>2.2757260000000001</v>
      </c>
      <c r="T4295">
        <v>0.30643579999999998</v>
      </c>
      <c r="U4295">
        <v>-2.4104000000000001</v>
      </c>
      <c r="V4295">
        <v>-0.12647359999999999</v>
      </c>
      <c r="W4295">
        <v>0.21913560000000001</v>
      </c>
      <c r="X4295">
        <v>0.96746270000000001</v>
      </c>
      <c r="Y4295">
        <v>-0.51605679999999998</v>
      </c>
      <c r="Z4295">
        <v>-0.1093852</v>
      </c>
      <c r="AA4295">
        <v>0.8495412</v>
      </c>
      <c r="AB4295">
        <v>37</v>
      </c>
      <c r="AC4295">
        <v>32.552199999999999</v>
      </c>
      <c r="AD4295">
        <v>4.3936409999999899</v>
      </c>
      <c r="AE4295">
        <v>-34.220146700000001</v>
      </c>
      <c r="AF4295">
        <v>-24.4963239759857</v>
      </c>
      <c r="AG4295">
        <v>4.3936409999999899</v>
      </c>
      <c r="AH4295">
        <v>39.905908880927797</v>
      </c>
      <c r="AI4295">
        <v>84.639533646869694</v>
      </c>
      <c r="AJ4295">
        <v>121.543768504067</v>
      </c>
      <c r="AK4295">
        <v>47.030368201686997</v>
      </c>
      <c r="AL4295">
        <v>77.341732669102797</v>
      </c>
      <c r="AM4295">
        <v>97.447876125955204</v>
      </c>
      <c r="AN4295">
        <v>1.0000000292878</v>
      </c>
    </row>
    <row r="4296" spans="1:40" x14ac:dyDescent="0.25">
      <c r="A4296" t="str">
        <f>"20190303170625814"</f>
        <v>20190303170625814</v>
      </c>
      <c r="B4296" t="str">
        <f>"1551603985809705"</f>
        <v>1551603985809705</v>
      </c>
      <c r="C4296" t="s">
        <v>40</v>
      </c>
      <c r="D4296">
        <v>5.5587770000000001</v>
      </c>
      <c r="E4296">
        <v>0.32813870000000001</v>
      </c>
      <c r="F4296" t="s">
        <v>92</v>
      </c>
      <c r="G4296">
        <v>-388.36790000000002</v>
      </c>
      <c r="H4296">
        <v>5.5434279999999996</v>
      </c>
      <c r="I4296">
        <v>0.7991028</v>
      </c>
      <c r="J4296">
        <v>-421.4427</v>
      </c>
      <c r="K4296">
        <v>1.133772</v>
      </c>
      <c r="L4296">
        <v>34.615049999999997</v>
      </c>
      <c r="M4296">
        <v>0.2239186</v>
      </c>
      <c r="N4296">
        <v>-1.537733E-2</v>
      </c>
      <c r="O4296">
        <v>-0.97448670000000004</v>
      </c>
      <c r="P4296">
        <v>0.33593250000000002</v>
      </c>
      <c r="Q4296">
        <v>0.20718139999999999</v>
      </c>
      <c r="R4296">
        <v>-0.91881760000000001</v>
      </c>
      <c r="S4296">
        <v>2.3066710000000001</v>
      </c>
      <c r="T4296">
        <v>0.3066469</v>
      </c>
      <c r="U4296">
        <v>-2.3790589999999998</v>
      </c>
      <c r="V4296">
        <v>-0.1284904</v>
      </c>
      <c r="W4296">
        <v>0.21818969999999999</v>
      </c>
      <c r="X4296">
        <v>0.96741069999999996</v>
      </c>
      <c r="Y4296">
        <v>-0.51367249999999998</v>
      </c>
      <c r="Z4296">
        <v>-0.10950260000000001</v>
      </c>
      <c r="AA4296">
        <v>0.85096989999999995</v>
      </c>
      <c r="AB4296">
        <v>37</v>
      </c>
      <c r="AC4296">
        <v>33.074799999999897</v>
      </c>
      <c r="AD4296">
        <v>4.409656</v>
      </c>
      <c r="AE4296">
        <v>-33.815947199999997</v>
      </c>
      <c r="AF4296">
        <v>-24.4493633330455</v>
      </c>
      <c r="AG4296">
        <v>4.409656</v>
      </c>
      <c r="AH4296">
        <v>40.016250973933602</v>
      </c>
      <c r="AI4296">
        <v>84.628043859910903</v>
      </c>
      <c r="AJ4296">
        <v>121.424340098464</v>
      </c>
      <c r="AK4296">
        <v>47.101133483584597</v>
      </c>
      <c r="AL4296">
        <v>77.397272354343997</v>
      </c>
      <c r="AM4296">
        <v>97.5656799488046</v>
      </c>
      <c r="AN4296">
        <v>0.99999999527636996</v>
      </c>
    </row>
    <row r="4297" spans="1:40" x14ac:dyDescent="0.25">
      <c r="A4297" t="str">
        <f>"20190303170625834"</f>
        <v>20190303170625834</v>
      </c>
      <c r="B4297" t="str">
        <f>"1551603985829224"</f>
        <v>1551603985829224</v>
      </c>
      <c r="C4297" t="s">
        <v>40</v>
      </c>
      <c r="D4297">
        <v>5.5815789999999996</v>
      </c>
      <c r="E4297">
        <v>0.3391865</v>
      </c>
      <c r="F4297" t="s">
        <v>92</v>
      </c>
      <c r="G4297">
        <v>-387.63850000000002</v>
      </c>
      <c r="H4297">
        <v>5.4515349999999998</v>
      </c>
      <c r="I4297">
        <v>0.80651859999999997</v>
      </c>
      <c r="J4297">
        <v>-421.36219999999997</v>
      </c>
      <c r="K4297">
        <v>1.1340110000000001</v>
      </c>
      <c r="L4297">
        <v>34.30771</v>
      </c>
      <c r="M4297">
        <v>0.2362408</v>
      </c>
      <c r="N4297">
        <v>-1.543988E-2</v>
      </c>
      <c r="O4297">
        <v>-0.97157190000000004</v>
      </c>
      <c r="P4297">
        <v>0.34908280000000003</v>
      </c>
      <c r="Q4297">
        <v>0.20522080000000001</v>
      </c>
      <c r="R4297">
        <v>-0.91434459999999995</v>
      </c>
      <c r="S4297">
        <v>2.3413089999999999</v>
      </c>
      <c r="T4297">
        <v>0.29905090000000001</v>
      </c>
      <c r="U4297">
        <v>-2.3416139999999999</v>
      </c>
      <c r="V4297">
        <v>-0.13009789999999999</v>
      </c>
      <c r="W4297">
        <v>0.21616550000000001</v>
      </c>
      <c r="X4297">
        <v>0.96765020000000002</v>
      </c>
      <c r="Y4297">
        <v>-0.51608779999999999</v>
      </c>
      <c r="Z4297">
        <v>-0.1072568</v>
      </c>
      <c r="AA4297">
        <v>0.84979369999999999</v>
      </c>
      <c r="AB4297">
        <v>37</v>
      </c>
      <c r="AC4297">
        <v>33.723699999999901</v>
      </c>
      <c r="AD4297">
        <v>4.3175239999999997</v>
      </c>
      <c r="AE4297">
        <v>-33.501191399999897</v>
      </c>
      <c r="AF4297">
        <v>-24.650257318791599</v>
      </c>
      <c r="AG4297">
        <v>4.3175239999999997</v>
      </c>
      <c r="AH4297">
        <v>40.189014366679999</v>
      </c>
      <c r="AI4297">
        <v>84.767631511212599</v>
      </c>
      <c r="AJ4297">
        <v>121.523208190386</v>
      </c>
      <c r="AK4297">
        <v>47.343775463501302</v>
      </c>
      <c r="AL4297">
        <v>77.516085738747094</v>
      </c>
      <c r="AM4297">
        <v>97.657341624640907</v>
      </c>
      <c r="AN4297">
        <v>0.99999994826734795</v>
      </c>
    </row>
    <row r="4298" spans="1:40" x14ac:dyDescent="0.25">
      <c r="A4298" t="str">
        <f>"20190303170625857"</f>
        <v>20190303170625857</v>
      </c>
      <c r="B4298" t="str">
        <f>"1551603985849720"</f>
        <v>1551603985849720</v>
      </c>
      <c r="C4298" t="s">
        <v>40</v>
      </c>
      <c r="D4298">
        <v>5.6732500000000003</v>
      </c>
      <c r="E4298">
        <v>0.33820860000000003</v>
      </c>
      <c r="F4298" t="s">
        <v>92</v>
      </c>
      <c r="G4298">
        <v>-388.56970000000001</v>
      </c>
      <c r="H4298">
        <v>4.4393840000000004</v>
      </c>
      <c r="I4298">
        <v>0.7970467</v>
      </c>
      <c r="J4298">
        <v>-421.2645</v>
      </c>
      <c r="K4298">
        <v>1.134269</v>
      </c>
      <c r="L4298">
        <v>33.954859999999996</v>
      </c>
      <c r="M4298">
        <v>0.25066139999999998</v>
      </c>
      <c r="N4298">
        <v>-1.5509139999999999E-2</v>
      </c>
      <c r="O4298">
        <v>-0.96795059999999999</v>
      </c>
      <c r="P4298">
        <v>0.36381560000000002</v>
      </c>
      <c r="Q4298">
        <v>0.2034347</v>
      </c>
      <c r="R4298">
        <v>-0.90898440000000003</v>
      </c>
      <c r="S4298">
        <v>2.300354</v>
      </c>
      <c r="T4298">
        <v>0.23186660000000001</v>
      </c>
      <c r="U4298">
        <v>-2.3507389999999999</v>
      </c>
      <c r="V4298">
        <v>-0.13134189999999901</v>
      </c>
      <c r="W4298">
        <v>0.21432609999999999</v>
      </c>
      <c r="X4298">
        <v>0.96789130000000001</v>
      </c>
      <c r="Y4298">
        <v>-0.49539620000000001</v>
      </c>
      <c r="Z4298">
        <v>-8.6705710000000005E-2</v>
      </c>
      <c r="AA4298">
        <v>0.86432909999999996</v>
      </c>
      <c r="AB4298">
        <v>36</v>
      </c>
      <c r="AC4298">
        <v>32.694799999999901</v>
      </c>
      <c r="AD4298">
        <v>3.3051149999999998</v>
      </c>
      <c r="AE4298">
        <v>-33.157813299999901</v>
      </c>
      <c r="AF4298">
        <v>-23.221390663647199</v>
      </c>
      <c r="AG4298">
        <v>3.3051149999999998</v>
      </c>
      <c r="AH4298">
        <v>40.0933157363893</v>
      </c>
      <c r="AI4298">
        <v>85.919740432445707</v>
      </c>
      <c r="AJ4298">
        <v>120.078718747141</v>
      </c>
      <c r="AK4298">
        <v>46.450303941467901</v>
      </c>
      <c r="AL4298">
        <v>77.624005539262299</v>
      </c>
      <c r="AM4298">
        <v>97.727778100732607</v>
      </c>
      <c r="AN4298">
        <v>0.99999997022625398</v>
      </c>
    </row>
    <row r="4299" spans="1:40" x14ac:dyDescent="0.25">
      <c r="A4299" t="str">
        <f>"20190303170625879"</f>
        <v>20190303170625879</v>
      </c>
      <c r="B4299" t="str">
        <f>"1551603985869240"</f>
        <v>1551603985869240</v>
      </c>
      <c r="C4299" t="s">
        <v>40</v>
      </c>
      <c r="D4299">
        <v>5.673235</v>
      </c>
      <c r="E4299">
        <v>0.33970450000000002</v>
      </c>
      <c r="F4299" t="s">
        <v>92</v>
      </c>
      <c r="G4299">
        <v>-387.63630000000001</v>
      </c>
      <c r="H4299">
        <v>4.4423519999999996</v>
      </c>
      <c r="I4299">
        <v>0.80654139999999996</v>
      </c>
      <c r="J4299">
        <v>-421.16430000000003</v>
      </c>
      <c r="K4299">
        <v>1.1344989999999999</v>
      </c>
      <c r="L4299">
        <v>33.612119999999997</v>
      </c>
      <c r="M4299">
        <v>0.2649262</v>
      </c>
      <c r="N4299">
        <v>-1.5574040000000001E-2</v>
      </c>
      <c r="O4299">
        <v>-0.96414290000000002</v>
      </c>
      <c r="P4299">
        <v>0.37885770000000002</v>
      </c>
      <c r="Q4299">
        <v>0.20255190000000001</v>
      </c>
      <c r="R4299">
        <v>-0.90301679999999995</v>
      </c>
      <c r="S4299">
        <v>2.3440249999999998</v>
      </c>
      <c r="T4299">
        <v>0.2305855</v>
      </c>
      <c r="U4299">
        <v>-2.3105769999999999</v>
      </c>
      <c r="V4299">
        <v>-0.13317660000000001</v>
      </c>
      <c r="W4299">
        <v>0.2133688</v>
      </c>
      <c r="X4299">
        <v>0.96785209999999999</v>
      </c>
      <c r="Y4299">
        <v>-0.4981855</v>
      </c>
      <c r="Z4299">
        <v>-8.6218829999999996E-2</v>
      </c>
      <c r="AA4299">
        <v>0.86277309999999996</v>
      </c>
      <c r="AB4299">
        <v>36</v>
      </c>
      <c r="AC4299">
        <v>33.527999999999999</v>
      </c>
      <c r="AD4299">
        <v>3.3078530000000002</v>
      </c>
      <c r="AE4299">
        <v>-32.805578599999997</v>
      </c>
      <c r="AF4299">
        <v>-23.520628812725199</v>
      </c>
      <c r="AG4299">
        <v>3.3078530000000002</v>
      </c>
      <c r="AH4299">
        <v>40.316140311405903</v>
      </c>
      <c r="AI4299">
        <v>85.946282486950807</v>
      </c>
      <c r="AJ4299">
        <v>120.259491189645</v>
      </c>
      <c r="AK4299">
        <v>46.792660116994597</v>
      </c>
      <c r="AL4299">
        <v>77.680153655358495</v>
      </c>
      <c r="AM4299">
        <v>97.834708472543198</v>
      </c>
      <c r="AN4299">
        <v>0.99999996953770398</v>
      </c>
    </row>
    <row r="4300" spans="1:40" x14ac:dyDescent="0.25">
      <c r="A4300" t="str">
        <f>"20190303170625900"</f>
        <v>20190303170625900</v>
      </c>
      <c r="B4300" t="str">
        <f>"1551603985889737"</f>
        <v>1551603985889737</v>
      </c>
      <c r="C4300" t="s">
        <v>40</v>
      </c>
      <c r="D4300">
        <v>5.6699679999999999</v>
      </c>
      <c r="E4300">
        <v>0.3410802</v>
      </c>
      <c r="F4300" t="s">
        <v>92</v>
      </c>
      <c r="G4300">
        <v>-387.02589999999998</v>
      </c>
      <c r="H4300">
        <v>4.2525529999999998</v>
      </c>
      <c r="I4300">
        <v>0.81274799999999903</v>
      </c>
      <c r="J4300">
        <v>-421.06389999999999</v>
      </c>
      <c r="K4300">
        <v>1.1346969999999901</v>
      </c>
      <c r="L4300">
        <v>33.286929999999998</v>
      </c>
      <c r="M4300">
        <v>0.27867809999999998</v>
      </c>
      <c r="N4300">
        <v>-1.5633210000000002E-2</v>
      </c>
      <c r="O4300">
        <v>-0.96025740000000004</v>
      </c>
      <c r="P4300">
        <v>0.39415430000000001</v>
      </c>
      <c r="Q4300">
        <v>0.20174719999999999</v>
      </c>
      <c r="R4300">
        <v>-0.89662749999999902</v>
      </c>
      <c r="S4300">
        <v>2.371613</v>
      </c>
      <c r="T4300">
        <v>0.21661150000000001</v>
      </c>
      <c r="U4300">
        <v>-2.2785950000000001</v>
      </c>
      <c r="V4300">
        <v>-0.13584299999999999</v>
      </c>
      <c r="W4300">
        <v>0.21246129999999999</v>
      </c>
      <c r="X4300">
        <v>0.96768120000000002</v>
      </c>
      <c r="Y4300">
        <v>-0.49712079999999997</v>
      </c>
      <c r="Z4300">
        <v>-8.182159E-2</v>
      </c>
      <c r="AA4300">
        <v>0.86381489999999905</v>
      </c>
      <c r="AB4300">
        <v>36</v>
      </c>
      <c r="AC4300">
        <v>34.037999999999997</v>
      </c>
      <c r="AD4300">
        <v>3.1178560000000002</v>
      </c>
      <c r="AE4300">
        <v>-32.474181999999999</v>
      </c>
      <c r="AF4300">
        <v>-23.5349107316427</v>
      </c>
      <c r="AG4300">
        <v>3.1178560000000002</v>
      </c>
      <c r="AH4300">
        <v>40.496311122324201</v>
      </c>
      <c r="AI4300">
        <v>86.191660492177206</v>
      </c>
      <c r="AJ4300">
        <v>120.163519912371</v>
      </c>
      <c r="AK4300">
        <v>46.942137400199499</v>
      </c>
      <c r="AL4300">
        <v>77.733370350035898</v>
      </c>
      <c r="AM4300">
        <v>97.9909580964501</v>
      </c>
      <c r="AN4300">
        <v>1.0000000147400601</v>
      </c>
    </row>
    <row r="4301" spans="1:40" x14ac:dyDescent="0.25">
      <c r="A4301" t="str">
        <f>"20190303170625923"</f>
        <v>20190303170625923</v>
      </c>
      <c r="B4301" t="str">
        <f>"1551603985919016"</f>
        <v>1551603985919016</v>
      </c>
      <c r="C4301" t="s">
        <v>40</v>
      </c>
      <c r="D4301">
        <v>5.7227600000000001</v>
      </c>
      <c r="E4301">
        <v>0.3424644</v>
      </c>
      <c r="F4301" t="s">
        <v>92</v>
      </c>
      <c r="G4301">
        <v>-387.72770000000003</v>
      </c>
      <c r="H4301">
        <v>3.974437</v>
      </c>
      <c r="I4301">
        <v>2.1026379999999998</v>
      </c>
      <c r="J4301">
        <v>-420.95179999999999</v>
      </c>
      <c r="K4301">
        <v>1.1348860000000001</v>
      </c>
      <c r="L4301">
        <v>32.941769999999998</v>
      </c>
      <c r="M4301">
        <v>0.29347279999999998</v>
      </c>
      <c r="N4301">
        <v>-1.56919999999999E-2</v>
      </c>
      <c r="O4301">
        <v>-0.95583890000000005</v>
      </c>
      <c r="P4301">
        <v>0.41106930000000003</v>
      </c>
      <c r="Q4301">
        <v>0.20026679999999999</v>
      </c>
      <c r="R4301">
        <v>-0.88933469999999903</v>
      </c>
      <c r="S4301">
        <v>2.3998409999999999</v>
      </c>
      <c r="T4301">
        <v>0.20442869999999999</v>
      </c>
      <c r="U4301">
        <v>-2.2449340000000002</v>
      </c>
      <c r="V4301">
        <v>-0.1392052</v>
      </c>
      <c r="W4301">
        <v>0.2108535</v>
      </c>
      <c r="X4301">
        <v>0.96755500000000005</v>
      </c>
      <c r="Y4301">
        <v>-0.49547479999999999</v>
      </c>
      <c r="Z4301">
        <v>-7.7944609999999998E-2</v>
      </c>
      <c r="AA4301">
        <v>0.8651181</v>
      </c>
      <c r="AB4301">
        <v>36</v>
      </c>
      <c r="AC4301">
        <v>33.2240999999999</v>
      </c>
      <c r="AD4301">
        <v>2.8395509999999899</v>
      </c>
      <c r="AE4301">
        <v>-30.839131999999999</v>
      </c>
      <c r="AF4301">
        <v>-22.620472045104901</v>
      </c>
      <c r="AG4301">
        <v>2.8395509999999899</v>
      </c>
      <c r="AH4301">
        <v>39.079092210254302</v>
      </c>
      <c r="AI4301">
        <v>86.401620578859905</v>
      </c>
      <c r="AJ4301">
        <v>120.063898637802</v>
      </c>
      <c r="AK4301">
        <v>45.242947001743097</v>
      </c>
      <c r="AL4301">
        <v>77.827625574029597</v>
      </c>
      <c r="AM4301">
        <v>98.187143717256305</v>
      </c>
      <c r="AN4301">
        <v>0.99999998209714402</v>
      </c>
    </row>
    <row r="4302" spans="1:40" x14ac:dyDescent="0.25">
      <c r="A4302" t="str">
        <f>"20190303170625946"</f>
        <v>20190303170625946</v>
      </c>
      <c r="B4302" t="str">
        <f>"1551603985939512"</f>
        <v>1551603985939512</v>
      </c>
      <c r="C4302" t="s">
        <v>40</v>
      </c>
      <c r="D4302">
        <v>5.7557039999999997</v>
      </c>
      <c r="E4302">
        <v>0.35446609999999901</v>
      </c>
      <c r="F4302" t="s">
        <v>92</v>
      </c>
      <c r="G4302">
        <v>-386.95949999999999</v>
      </c>
      <c r="H4302">
        <v>3.8085249999999999</v>
      </c>
      <c r="I4302">
        <v>2.110449</v>
      </c>
      <c r="J4302">
        <v>-420.83449999999999</v>
      </c>
      <c r="K4302">
        <v>1.135062</v>
      </c>
      <c r="L4302">
        <v>32.6004</v>
      </c>
      <c r="M4302">
        <v>0.30831180000000002</v>
      </c>
      <c r="N4302">
        <v>-1.5746389999999999E-2</v>
      </c>
      <c r="O4302">
        <v>-0.95115499999999997</v>
      </c>
      <c r="P4302">
        <v>0.42700840000000001</v>
      </c>
      <c r="Q4302">
        <v>0.1986076</v>
      </c>
      <c r="R4302">
        <v>-0.88216729999999999</v>
      </c>
      <c r="S4302">
        <v>2.4321899999999999</v>
      </c>
      <c r="T4302">
        <v>0.19130069999999999</v>
      </c>
      <c r="U4302">
        <v>-2.2060240000000002</v>
      </c>
      <c r="V4302">
        <v>-0.14149400000000001</v>
      </c>
      <c r="W4302">
        <v>0.2091066</v>
      </c>
      <c r="X4302">
        <v>0.96760210000000002</v>
      </c>
      <c r="Y4302">
        <v>-0.49550699999999998</v>
      </c>
      <c r="Z4302">
        <v>-7.3755169999999995E-2</v>
      </c>
      <c r="AA4302">
        <v>0.86546699999999999</v>
      </c>
      <c r="AB4302">
        <v>36</v>
      </c>
      <c r="AC4302">
        <v>33.875</v>
      </c>
      <c r="AD4302">
        <v>2.6734629999999999</v>
      </c>
      <c r="AE4302">
        <v>-30.489951000000001</v>
      </c>
      <c r="AF4302">
        <v>-22.744531076091398</v>
      </c>
      <c r="AG4302">
        <v>2.6734629999999999</v>
      </c>
      <c r="AH4302">
        <v>39.314344444208999</v>
      </c>
      <c r="AI4302">
        <v>86.6313677107172</v>
      </c>
      <c r="AJ4302">
        <v>120.05067299615099</v>
      </c>
      <c r="AK4302">
        <v>45.498118393638698</v>
      </c>
      <c r="AL4302">
        <v>77.929997800179393</v>
      </c>
      <c r="AM4302">
        <v>98.3194873151986</v>
      </c>
      <c r="AN4302">
        <v>0.99999997306198396</v>
      </c>
    </row>
    <row r="4303" spans="1:40" x14ac:dyDescent="0.25">
      <c r="A4303" t="str">
        <f>"20190303170625967"</f>
        <v>20190303170625967</v>
      </c>
      <c r="B4303" t="str">
        <f>"1551603985959032"</f>
        <v>1551603985959032</v>
      </c>
      <c r="C4303" t="s">
        <v>40</v>
      </c>
      <c r="D4303">
        <v>5.7682630000000001</v>
      </c>
      <c r="E4303">
        <v>0.35628339999999997</v>
      </c>
      <c r="F4303" t="s">
        <v>92</v>
      </c>
      <c r="G4303">
        <v>-386.47460000000001</v>
      </c>
      <c r="H4303">
        <v>2.9385940000000002</v>
      </c>
      <c r="I4303">
        <v>0.81834790000000002</v>
      </c>
      <c r="J4303">
        <v>-420.71660000000003</v>
      </c>
      <c r="K4303">
        <v>1.135202</v>
      </c>
      <c r="L4303">
        <v>32.273319999999998</v>
      </c>
      <c r="M4303">
        <v>0.32267420000000002</v>
      </c>
      <c r="N4303">
        <v>-1.579415E-2</v>
      </c>
      <c r="O4303">
        <v>-0.94637850000000001</v>
      </c>
      <c r="P4303">
        <v>0.44149250000000001</v>
      </c>
      <c r="Q4303">
        <v>0.19712550000000001</v>
      </c>
      <c r="R4303">
        <v>-0.87534349999999905</v>
      </c>
      <c r="S4303">
        <v>2.3934630000000001</v>
      </c>
      <c r="T4303">
        <v>0.12562989999999999</v>
      </c>
      <c r="U4303">
        <v>-2.2138979999999999</v>
      </c>
      <c r="V4303">
        <v>-0.14272589999999999</v>
      </c>
      <c r="W4303">
        <v>0.20757639999999999</v>
      </c>
      <c r="X4303">
        <v>0.96775069999999996</v>
      </c>
      <c r="Y4303">
        <v>-0.47468199999999999</v>
      </c>
      <c r="Z4303">
        <v>-5.3231729999999998E-2</v>
      </c>
      <c r="AA4303">
        <v>0.87854619999999894</v>
      </c>
      <c r="AB4303">
        <v>36</v>
      </c>
      <c r="AC4303">
        <v>34.241999999999997</v>
      </c>
      <c r="AD4303">
        <v>1.8033920000000001</v>
      </c>
      <c r="AE4303">
        <v>-31.454972099999999</v>
      </c>
      <c r="AF4303">
        <v>-22.225522933506301</v>
      </c>
      <c r="AG4303">
        <v>1.8033920000000001</v>
      </c>
      <c r="AH4303">
        <v>40.7610864237936</v>
      </c>
      <c r="AI4303">
        <v>87.775530201961701</v>
      </c>
      <c r="AJ4303">
        <v>118.602012298644</v>
      </c>
      <c r="AK4303">
        <v>46.461728969351199</v>
      </c>
      <c r="AL4303">
        <v>78.019639588459498</v>
      </c>
      <c r="AM4303">
        <v>98.389622934763807</v>
      </c>
      <c r="AN4303">
        <v>1.0000000308591199</v>
      </c>
    </row>
    <row r="4304" spans="1:40" x14ac:dyDescent="0.25">
      <c r="A4304" t="str">
        <f>"20190303170625989"</f>
        <v>20190303170625989</v>
      </c>
      <c r="B4304" t="str">
        <f>"1551603985979528"</f>
        <v>1551603985979528</v>
      </c>
      <c r="C4304" t="s">
        <v>40</v>
      </c>
      <c r="D4304">
        <v>5.7997139999999998</v>
      </c>
      <c r="E4304">
        <v>0.35751670000000002</v>
      </c>
      <c r="F4304" t="s">
        <v>92</v>
      </c>
      <c r="G4304">
        <v>-385.89359999999999</v>
      </c>
      <c r="H4304">
        <v>2.7722519999999999</v>
      </c>
      <c r="I4304">
        <v>0.82425689999999996</v>
      </c>
      <c r="J4304">
        <v>-420.59440000000001</v>
      </c>
      <c r="K4304">
        <v>1.1353219999999999</v>
      </c>
      <c r="L4304">
        <v>31.949649999999998</v>
      </c>
      <c r="M4304">
        <v>0.33701199999999998</v>
      </c>
      <c r="N4304">
        <v>-1.5836969999999999E-2</v>
      </c>
      <c r="O4304">
        <v>-0.94136730000000002</v>
      </c>
      <c r="P4304">
        <v>0.45657180000000003</v>
      </c>
      <c r="Q4304">
        <v>0.19455520000000001</v>
      </c>
      <c r="R4304">
        <v>-0.86815350000000002</v>
      </c>
      <c r="S4304">
        <v>2.4168400000000001</v>
      </c>
      <c r="T4304">
        <v>0.11361549999999999</v>
      </c>
      <c r="U4304">
        <v>-2.1826780000000001</v>
      </c>
      <c r="V4304">
        <v>-0.1445641</v>
      </c>
      <c r="W4304">
        <v>0.20493790000000001</v>
      </c>
      <c r="X4304">
        <v>0.96804009999999996</v>
      </c>
      <c r="Y4304">
        <v>-0.47192129999999999</v>
      </c>
      <c r="Z4304">
        <v>-4.9335829999999997E-2</v>
      </c>
      <c r="AA4304">
        <v>0.88025919999999902</v>
      </c>
      <c r="AB4304">
        <v>36</v>
      </c>
      <c r="AC4304">
        <v>34.700800000000001</v>
      </c>
      <c r="AD4304">
        <v>1.63693</v>
      </c>
      <c r="AE4304">
        <v>-31.1253931</v>
      </c>
      <c r="AF4304">
        <v>-22.152029150571899</v>
      </c>
      <c r="AG4304">
        <v>1.63693</v>
      </c>
      <c r="AH4304">
        <v>40.949652472566399</v>
      </c>
      <c r="AI4304">
        <v>87.986342203296999</v>
      </c>
      <c r="AJ4304">
        <v>118.411512431177</v>
      </c>
      <c r="AK4304">
        <v>46.586113520411303</v>
      </c>
      <c r="AL4304">
        <v>78.174135943632606</v>
      </c>
      <c r="AM4304">
        <v>98.493604756438401</v>
      </c>
      <c r="AN4304">
        <v>0.99999997853661404</v>
      </c>
    </row>
    <row r="4305" spans="1:40" x14ac:dyDescent="0.25">
      <c r="A4305" t="str">
        <f>"20190303170626003"</f>
        <v>20190303170626003</v>
      </c>
      <c r="B4305" t="str">
        <f>"1551603985999048"</f>
        <v>1551603985999048</v>
      </c>
      <c r="C4305" t="s">
        <v>40</v>
      </c>
      <c r="D4305">
        <v>5.7873169999999998</v>
      </c>
      <c r="E4305">
        <v>0.35806510000000003</v>
      </c>
      <c r="F4305" t="s">
        <v>92</v>
      </c>
      <c r="G4305">
        <v>-385.16759999999999</v>
      </c>
      <c r="H4305">
        <v>2.571491</v>
      </c>
      <c r="I4305">
        <v>0.83163829999999905</v>
      </c>
      <c r="J4305">
        <v>-420.5154</v>
      </c>
      <c r="K4305">
        <v>1.1354</v>
      </c>
      <c r="L4305">
        <v>31.746829999999999</v>
      </c>
      <c r="M4305">
        <v>0.3460376</v>
      </c>
      <c r="N4305">
        <v>-1.5861589999999998E-2</v>
      </c>
      <c r="O4305">
        <v>-0.93808659999999999</v>
      </c>
      <c r="P4305">
        <v>0.46546470000000001</v>
      </c>
      <c r="Q4305">
        <v>0.19335289999999999</v>
      </c>
      <c r="R4305">
        <v>-0.86368809999999996</v>
      </c>
      <c r="S4305">
        <v>2.4449459999999998</v>
      </c>
      <c r="T4305">
        <v>9.9114179999999996E-2</v>
      </c>
      <c r="U4305">
        <v>-2.147583</v>
      </c>
      <c r="V4305">
        <v>-0.145118</v>
      </c>
      <c r="W4305">
        <v>0.20371400000000001</v>
      </c>
      <c r="X4305">
        <v>0.96821559999999995</v>
      </c>
      <c r="Y4305">
        <v>-0.47575030000000001</v>
      </c>
      <c r="Z4305">
        <v>-4.4712380000000003E-2</v>
      </c>
      <c r="AA4305">
        <v>0.87844319999999898</v>
      </c>
      <c r="AB4305">
        <v>36</v>
      </c>
      <c r="AC4305">
        <v>35.347799999999999</v>
      </c>
      <c r="AD4305">
        <v>1.436091</v>
      </c>
      <c r="AE4305">
        <v>-30.915191700000001</v>
      </c>
      <c r="AF4305">
        <v>-22.443314571555199</v>
      </c>
      <c r="AG4305">
        <v>1.436091</v>
      </c>
      <c r="AH4305">
        <v>41.199450700983</v>
      </c>
      <c r="AI4305">
        <v>88.246727558659899</v>
      </c>
      <c r="AJ4305">
        <v>118.579246766197</v>
      </c>
      <c r="AK4305">
        <v>46.937825518240501</v>
      </c>
      <c r="AL4305">
        <v>78.245772265702101</v>
      </c>
      <c r="AM4305">
        <v>98.524148125188105</v>
      </c>
      <c r="AN4305">
        <v>1.00000003790167</v>
      </c>
    </row>
    <row r="4306" spans="1:40" x14ac:dyDescent="0.25">
      <c r="A4306" t="str">
        <f>"20190303170626024"</f>
        <v>20190303170626024</v>
      </c>
      <c r="B4306" t="str">
        <f>"1551603986019544"</f>
        <v>1551603986019544</v>
      </c>
      <c r="C4306" t="s">
        <v>40</v>
      </c>
      <c r="D4306">
        <v>5.5947829999999996</v>
      </c>
      <c r="E4306">
        <v>0.35739029999999999</v>
      </c>
      <c r="F4306" t="s">
        <v>92</v>
      </c>
      <c r="G4306">
        <v>-384.77089999999998</v>
      </c>
      <c r="H4306">
        <v>2.4890020000000002</v>
      </c>
      <c r="I4306">
        <v>0.90343090000000004</v>
      </c>
      <c r="J4306">
        <v>-420.38850000000002</v>
      </c>
      <c r="K4306">
        <v>1.1354900000000001</v>
      </c>
      <c r="L4306">
        <v>31.434329999999999</v>
      </c>
      <c r="M4306">
        <v>0.36005510000000002</v>
      </c>
      <c r="N4306">
        <v>-1.5897129999999999E-2</v>
      </c>
      <c r="O4306">
        <v>-0.93279559999999995</v>
      </c>
      <c r="P4306">
        <v>0.4813714</v>
      </c>
      <c r="Q4306">
        <v>0.1915779</v>
      </c>
      <c r="R4306">
        <v>-0.85532410000000003</v>
      </c>
      <c r="S4306">
        <v>2.462952</v>
      </c>
      <c r="T4306">
        <v>9.3267320000000001E-2</v>
      </c>
      <c r="U4306">
        <v>-2.1252439999999999</v>
      </c>
      <c r="V4306">
        <v>-0.148391</v>
      </c>
      <c r="W4306">
        <v>0.20181399999999999</v>
      </c>
      <c r="X4306">
        <v>0.96811740000000002</v>
      </c>
      <c r="Y4306">
        <v>-0.47036739999999999</v>
      </c>
      <c r="Z4306">
        <v>-4.2707090000000003E-2</v>
      </c>
      <c r="AA4306">
        <v>0.88143669999999996</v>
      </c>
      <c r="AB4306">
        <v>36</v>
      </c>
      <c r="AC4306">
        <v>35.617600000000003</v>
      </c>
      <c r="AD4306">
        <v>1.353512</v>
      </c>
      <c r="AE4306">
        <v>-30.530899099999999</v>
      </c>
      <c r="AF4306">
        <v>-22.215450938291401</v>
      </c>
      <c r="AG4306">
        <v>1.353512</v>
      </c>
      <c r="AH4306">
        <v>41.274248021816703</v>
      </c>
      <c r="AI4306">
        <v>88.345982224234007</v>
      </c>
      <c r="AJ4306">
        <v>118.29091435896299</v>
      </c>
      <c r="AK4306">
        <v>46.892662591201002</v>
      </c>
      <c r="AL4306">
        <v>78.356943575103003</v>
      </c>
      <c r="AM4306">
        <v>98.714353683885705</v>
      </c>
      <c r="AN4306">
        <v>1.0000000398298701</v>
      </c>
    </row>
    <row r="4307" spans="1:40" x14ac:dyDescent="0.25">
      <c r="A4307" t="str">
        <f>"20190303170626045"</f>
        <v>20190303170626045</v>
      </c>
      <c r="B4307" t="str">
        <f>"1551603986039064"</f>
        <v>1551603986039064</v>
      </c>
      <c r="C4307" t="s">
        <v>40</v>
      </c>
      <c r="D4307">
        <v>5.6787869999999998</v>
      </c>
      <c r="E4307">
        <v>0.35699259999999999</v>
      </c>
      <c r="F4307" t="s">
        <v>92</v>
      </c>
      <c r="G4307">
        <v>-384.16210000000001</v>
      </c>
      <c r="H4307">
        <v>2.6191300000000002</v>
      </c>
      <c r="I4307">
        <v>1.401756</v>
      </c>
      <c r="J4307">
        <v>-420.25540000000001</v>
      </c>
      <c r="K4307">
        <v>1.135586</v>
      </c>
      <c r="L4307">
        <v>31.120699999999999</v>
      </c>
      <c r="M4307">
        <v>0.37421779999999999</v>
      </c>
      <c r="N4307">
        <v>-1.5930179999999999E-2</v>
      </c>
      <c r="O4307">
        <v>-0.92720409999999998</v>
      </c>
      <c r="P4307">
        <v>0.49631629999999899</v>
      </c>
      <c r="Q4307">
        <v>0.191665</v>
      </c>
      <c r="R4307">
        <v>-0.84672019999999903</v>
      </c>
      <c r="S4307">
        <v>2.5035400000000001</v>
      </c>
      <c r="T4307">
        <v>0.10253</v>
      </c>
      <c r="U4307">
        <v>-2.0754999999999999</v>
      </c>
      <c r="V4307">
        <v>-0.15071789999999999</v>
      </c>
      <c r="W4307">
        <v>0.2018075</v>
      </c>
      <c r="X4307">
        <v>0.96775919999999904</v>
      </c>
      <c r="Y4307">
        <v>-0.47423219999999999</v>
      </c>
      <c r="Z4307">
        <v>-4.5457440000000002E-2</v>
      </c>
      <c r="AA4307">
        <v>0.87922549999999899</v>
      </c>
      <c r="AB4307">
        <v>36</v>
      </c>
      <c r="AC4307">
        <v>36.093299999999999</v>
      </c>
      <c r="AD4307">
        <v>1.48354399999999</v>
      </c>
      <c r="AE4307">
        <v>-29.718944</v>
      </c>
      <c r="AF4307">
        <v>-22.324854019032699</v>
      </c>
      <c r="AG4307">
        <v>1.48354399999999</v>
      </c>
      <c r="AH4307">
        <v>41.026182661551601</v>
      </c>
      <c r="AI4307">
        <v>88.180739818134697</v>
      </c>
      <c r="AJ4307">
        <v>118.55331422125199</v>
      </c>
      <c r="AK4307">
        <v>46.730586060417203</v>
      </c>
      <c r="AL4307">
        <v>78.357323478808595</v>
      </c>
      <c r="AM4307">
        <v>98.852079432302403</v>
      </c>
      <c r="AN4307">
        <v>1.0000000108106499</v>
      </c>
    </row>
    <row r="4308" spans="1:40" x14ac:dyDescent="0.25">
      <c r="A4308" t="str">
        <f>"20190303170626068"</f>
        <v>20190303170626068</v>
      </c>
      <c r="B4308" t="str">
        <f>"1551603986059560"</f>
        <v>1551603986059560</v>
      </c>
      <c r="C4308" t="s">
        <v>40</v>
      </c>
      <c r="D4308">
        <v>5.7467620000000004</v>
      </c>
      <c r="E4308">
        <v>0.35725020000000002</v>
      </c>
      <c r="F4308" t="s">
        <v>93</v>
      </c>
      <c r="G4308">
        <v>-334.60930000000002</v>
      </c>
      <c r="H4308">
        <v>4.9796269999999998</v>
      </c>
      <c r="I4308">
        <v>-37.260620000000003</v>
      </c>
      <c r="J4308">
        <v>-420.1139</v>
      </c>
      <c r="K4308">
        <v>1.135675</v>
      </c>
      <c r="L4308">
        <v>30.800719999999998</v>
      </c>
      <c r="M4308">
        <v>0.3887545</v>
      </c>
      <c r="N4308">
        <v>-1.596158E-2</v>
      </c>
      <c r="O4308">
        <v>-0.9212032</v>
      </c>
      <c r="P4308">
        <v>0.51023949999999996</v>
      </c>
      <c r="Q4308">
        <v>0.19109480000000001</v>
      </c>
      <c r="R4308">
        <v>-0.83853349999999904</v>
      </c>
      <c r="S4308">
        <v>2.540314</v>
      </c>
      <c r="T4308">
        <v>0.1140164</v>
      </c>
      <c r="U4308">
        <v>-2.0282290000000001</v>
      </c>
      <c r="V4308">
        <v>-0.1514684</v>
      </c>
      <c r="W4308">
        <v>0.20120540000000001</v>
      </c>
      <c r="X4308">
        <v>0.96776740000000006</v>
      </c>
      <c r="Y4308">
        <v>-0.4764544</v>
      </c>
      <c r="Z4308">
        <v>-4.8873840000000002E-2</v>
      </c>
      <c r="AA4308">
        <v>0.877839699999999</v>
      </c>
      <c r="AB4308">
        <v>36</v>
      </c>
      <c r="AC4308">
        <v>85.504599999999897</v>
      </c>
      <c r="AD4308">
        <v>3.8439519999999998</v>
      </c>
      <c r="AE4308">
        <v>-68.061340000000001</v>
      </c>
      <c r="AF4308">
        <v>-52.249977105173201</v>
      </c>
      <c r="AG4308">
        <v>3.8439519999999998</v>
      </c>
      <c r="AH4308">
        <v>95.832277094048493</v>
      </c>
      <c r="AI4308">
        <v>87.983053246954299</v>
      </c>
      <c r="AJ4308">
        <v>118.60024125059699</v>
      </c>
      <c r="AK4308">
        <v>109.218411485884</v>
      </c>
      <c r="AL4308">
        <v>78.392543781855693</v>
      </c>
      <c r="AM4308">
        <v>98.895380994276294</v>
      </c>
      <c r="AN4308">
        <v>1.0000000148452399</v>
      </c>
    </row>
    <row r="4309" spans="1:40" x14ac:dyDescent="0.25">
      <c r="A4309" t="str">
        <f>"20190303170626090"</f>
        <v>20190303170626090</v>
      </c>
      <c r="B4309" t="str">
        <f>"1551603986079080"</f>
        <v>1551603986079080</v>
      </c>
      <c r="C4309" t="s">
        <v>40</v>
      </c>
      <c r="D4309">
        <v>5.7711360000000003</v>
      </c>
      <c r="E4309">
        <v>0.3580585</v>
      </c>
      <c r="F4309" t="s">
        <v>93</v>
      </c>
      <c r="G4309">
        <v>-334.60930000000002</v>
      </c>
      <c r="H4309">
        <v>5.1194790000000001</v>
      </c>
      <c r="I4309">
        <v>-35.294469999999997</v>
      </c>
      <c r="J4309">
        <v>-419.96690000000001</v>
      </c>
      <c r="K4309">
        <v>1.13574</v>
      </c>
      <c r="L4309">
        <v>30.48218</v>
      </c>
      <c r="M4309">
        <v>0.40331240000000002</v>
      </c>
      <c r="N4309">
        <v>-1.599076E-2</v>
      </c>
      <c r="O4309">
        <v>-0.91492269999999998</v>
      </c>
      <c r="P4309">
        <v>0.5247501</v>
      </c>
      <c r="Q4309">
        <v>0.1883649</v>
      </c>
      <c r="R4309">
        <v>-0.83015439999999996</v>
      </c>
      <c r="S4309">
        <v>2.5699459999999998</v>
      </c>
      <c r="T4309">
        <v>0.1197381</v>
      </c>
      <c r="U4309">
        <v>-1.986572</v>
      </c>
      <c r="V4309">
        <v>-0.1526575</v>
      </c>
      <c r="W4309">
        <v>0.19843250000000001</v>
      </c>
      <c r="X4309">
        <v>0.96815300000000004</v>
      </c>
      <c r="Y4309">
        <v>-0.47624870000000002</v>
      </c>
      <c r="Z4309">
        <v>-5.0461550000000001E-2</v>
      </c>
      <c r="AA4309">
        <v>0.87786149999999996</v>
      </c>
      <c r="AB4309">
        <v>36</v>
      </c>
      <c r="AC4309">
        <v>85.357599999999906</v>
      </c>
      <c r="AD4309">
        <v>3.9837389999999999</v>
      </c>
      <c r="AE4309">
        <v>-65.776650000000004</v>
      </c>
      <c r="AF4309">
        <v>-51.503270998186998</v>
      </c>
      <c r="AG4309">
        <v>3.9837389999999999</v>
      </c>
      <c r="AH4309">
        <v>94.489286350756501</v>
      </c>
      <c r="AI4309">
        <v>87.879951798836998</v>
      </c>
      <c r="AJ4309">
        <v>118.593474187388</v>
      </c>
      <c r="AK4309">
        <v>107.687893168211</v>
      </c>
      <c r="AL4309">
        <v>78.554689153945702</v>
      </c>
      <c r="AM4309">
        <v>98.960572026307602</v>
      </c>
      <c r="AN4309">
        <v>1.0000000003857501</v>
      </c>
    </row>
    <row r="4310" spans="1:40" x14ac:dyDescent="0.25">
      <c r="A4310" t="str">
        <f>"20190303170626114"</f>
        <v>20190303170626114</v>
      </c>
      <c r="B4310" t="str">
        <f>"1551603986109337"</f>
        <v>1551603986109337</v>
      </c>
      <c r="C4310" t="s">
        <v>40</v>
      </c>
      <c r="D4310">
        <v>5.7753579999999998</v>
      </c>
      <c r="E4310">
        <v>0.36058669999999998</v>
      </c>
      <c r="F4310" t="s">
        <v>93</v>
      </c>
      <c r="G4310">
        <v>-334.8827</v>
      </c>
      <c r="H4310">
        <v>4.799455</v>
      </c>
      <c r="I4310">
        <v>-33.248359999999998</v>
      </c>
      <c r="J4310">
        <v>-419.80930000000001</v>
      </c>
      <c r="K4310">
        <v>1.1357980000000001</v>
      </c>
      <c r="L4310">
        <v>30.154419999999998</v>
      </c>
      <c r="M4310">
        <v>0.41837809999999998</v>
      </c>
      <c r="N4310">
        <v>-1.6019309999999998E-2</v>
      </c>
      <c r="O4310">
        <v>-0.90813189999999999</v>
      </c>
      <c r="P4310">
        <v>0.54026839999999998</v>
      </c>
      <c r="Q4310">
        <v>0.18406249999999999</v>
      </c>
      <c r="R4310">
        <v>-0.82111599999999996</v>
      </c>
      <c r="S4310">
        <v>2.5981749999999999</v>
      </c>
      <c r="T4310">
        <v>0.111877</v>
      </c>
      <c r="U4310">
        <v>-1.9461059999999999</v>
      </c>
      <c r="V4310">
        <v>-0.15434579999999901</v>
      </c>
      <c r="W4310">
        <v>0.19407150000000001</v>
      </c>
      <c r="X4310">
        <v>0.96876910000000005</v>
      </c>
      <c r="Y4310">
        <v>-0.47515089999999999</v>
      </c>
      <c r="Z4310">
        <v>-4.7772920000000003E-2</v>
      </c>
      <c r="AA4310">
        <v>0.87860649999999996</v>
      </c>
      <c r="AB4310">
        <v>36</v>
      </c>
      <c r="AC4310">
        <v>84.926599999999993</v>
      </c>
      <c r="AD4310">
        <v>3.6636570000000002</v>
      </c>
      <c r="AE4310">
        <v>-63.40278</v>
      </c>
      <c r="AF4310">
        <v>-50.544304591385298</v>
      </c>
      <c r="AG4310">
        <v>3.6636570000000002</v>
      </c>
      <c r="AH4310">
        <v>93.010302917211902</v>
      </c>
      <c r="AI4310">
        <v>88.017807938946902</v>
      </c>
      <c r="AJ4310">
        <v>118.520848708231</v>
      </c>
      <c r="AK4310">
        <v>105.92009043610101</v>
      </c>
      <c r="AL4310">
        <v>78.809511355251203</v>
      </c>
      <c r="AM4310">
        <v>99.052371195862094</v>
      </c>
      <c r="AN4310">
        <v>0.99999997110234895</v>
      </c>
    </row>
    <row r="4311" spans="1:40" x14ac:dyDescent="0.25">
      <c r="A4311" t="str">
        <f>"20190303170626136"</f>
        <v>20190303170626136</v>
      </c>
      <c r="B4311" t="str">
        <f>"1551603986128856"</f>
        <v>1551603986128856</v>
      </c>
      <c r="C4311" t="s">
        <v>40</v>
      </c>
      <c r="D4311">
        <v>5.8015660000000002</v>
      </c>
      <c r="E4311">
        <v>0.36199009999999998</v>
      </c>
      <c r="F4311" t="s">
        <v>93</v>
      </c>
      <c r="G4311">
        <v>-334.60930000000002</v>
      </c>
      <c r="H4311">
        <v>4.0380229999999999</v>
      </c>
      <c r="I4311">
        <v>-32.058619999999998</v>
      </c>
      <c r="J4311">
        <v>-419.65219999999999</v>
      </c>
      <c r="K4311">
        <v>1.1358509999999999</v>
      </c>
      <c r="L4311">
        <v>29.840879999999999</v>
      </c>
      <c r="M4311">
        <v>0.43287189999999998</v>
      </c>
      <c r="N4311">
        <v>-1.6045719999999999E-2</v>
      </c>
      <c r="O4311">
        <v>-0.90131280000000003</v>
      </c>
      <c r="P4311">
        <v>0.55496880000000004</v>
      </c>
      <c r="Q4311">
        <v>0.18242800000000001</v>
      </c>
      <c r="R4311">
        <v>-0.81162190000000001</v>
      </c>
      <c r="S4311">
        <v>2.6175229999999998</v>
      </c>
      <c r="T4311">
        <v>8.9162469999999994E-2</v>
      </c>
      <c r="U4311">
        <v>-1.911316</v>
      </c>
      <c r="V4311">
        <v>-0.15609690000000001</v>
      </c>
      <c r="W4311">
        <v>0.1923695</v>
      </c>
      <c r="X4311">
        <v>0.96882800000000002</v>
      </c>
      <c r="Y4311">
        <v>-0.47200579999999998</v>
      </c>
      <c r="Z4311">
        <v>-4.0490539999999998E-2</v>
      </c>
      <c r="AA4311">
        <v>0.88066509999999998</v>
      </c>
      <c r="AB4311">
        <v>36</v>
      </c>
      <c r="AC4311">
        <v>85.042899999999904</v>
      </c>
      <c r="AD4311">
        <v>2.9021720000000002</v>
      </c>
      <c r="AE4311">
        <v>-61.899500000000003</v>
      </c>
      <c r="AF4311">
        <v>-49.824181903864897</v>
      </c>
      <c r="AG4311">
        <v>2.9021720000000002</v>
      </c>
      <c r="AH4311">
        <v>92.544950428548205</v>
      </c>
      <c r="AI4311">
        <v>88.418340722952394</v>
      </c>
      <c r="AJ4311">
        <v>118.29705303701</v>
      </c>
      <c r="AK4311">
        <v>105.144850347173</v>
      </c>
      <c r="AL4311">
        <v>78.908901866801003</v>
      </c>
      <c r="AM4311">
        <v>99.152796990745102</v>
      </c>
      <c r="AN4311">
        <v>0.99999998015192904</v>
      </c>
    </row>
    <row r="4312" spans="1:40" x14ac:dyDescent="0.25">
      <c r="A4312" t="str">
        <f>"20190303170626157"</f>
        <v>20190303170626157</v>
      </c>
      <c r="B4312" t="str">
        <f>"1551603986149352"</f>
        <v>1551603986149352</v>
      </c>
      <c r="C4312" t="s">
        <v>40</v>
      </c>
      <c r="D4312">
        <v>5.9912049999999999</v>
      </c>
      <c r="E4312">
        <v>0.36275479999999999</v>
      </c>
      <c r="F4312" t="s">
        <v>93</v>
      </c>
      <c r="G4312">
        <v>-334.60930000000002</v>
      </c>
      <c r="H4312">
        <v>3.754162</v>
      </c>
      <c r="I4312">
        <v>-30.3811</v>
      </c>
      <c r="J4312">
        <v>-419.4973</v>
      </c>
      <c r="K4312">
        <v>1.1359189999999999</v>
      </c>
      <c r="L4312">
        <v>29.543700000000001</v>
      </c>
      <c r="M4312">
        <v>0.44668839999999999</v>
      </c>
      <c r="N4312">
        <v>-1.607041E-2</v>
      </c>
      <c r="O4312">
        <v>-0.89454529999999999</v>
      </c>
      <c r="P4312">
        <v>0.56791899999999995</v>
      </c>
      <c r="Q4312">
        <v>0.18365899999999999</v>
      </c>
      <c r="R4312">
        <v>-0.80233290000000002</v>
      </c>
      <c r="S4312">
        <v>2.6423649999999999</v>
      </c>
      <c r="T4312">
        <v>8.1353430000000004E-2</v>
      </c>
      <c r="U4312">
        <v>-1.8711549999999999</v>
      </c>
      <c r="V4312">
        <v>-0.15694029999999901</v>
      </c>
      <c r="W4312">
        <v>0.1935626</v>
      </c>
      <c r="X4312">
        <v>0.96845409999999998</v>
      </c>
      <c r="Y4312">
        <v>-0.4713331</v>
      </c>
      <c r="Z4312">
        <v>-3.785637E-2</v>
      </c>
      <c r="AA4312">
        <v>0.88114239999999999</v>
      </c>
      <c r="AB4312">
        <v>36</v>
      </c>
      <c r="AC4312">
        <v>84.887999999999906</v>
      </c>
      <c r="AD4312">
        <v>2.6182430000000001</v>
      </c>
      <c r="AE4312">
        <v>-59.924799999999998</v>
      </c>
      <c r="AF4312">
        <v>-49.143594542532703</v>
      </c>
      <c r="AG4312">
        <v>2.6182430000000001</v>
      </c>
      <c r="AH4312">
        <v>91.477669231965095</v>
      </c>
      <c r="AI4312">
        <v>88.555672756828102</v>
      </c>
      <c r="AJ4312">
        <v>118.245562396395</v>
      </c>
      <c r="AK4312">
        <v>103.875464134129</v>
      </c>
      <c r="AL4312">
        <v>78.839233553623103</v>
      </c>
      <c r="AM4312">
        <v>99.204898019854596</v>
      </c>
      <c r="AN4312">
        <v>1.00000004084482</v>
      </c>
    </row>
    <row r="4313" spans="1:40" x14ac:dyDescent="0.25">
      <c r="A4313" t="str">
        <f>"20190303170626180"</f>
        <v>20190303170626180</v>
      </c>
      <c r="B4313" t="str">
        <f>"1551603986169395"</f>
        <v>1551603986169395</v>
      </c>
      <c r="C4313" t="s">
        <v>40</v>
      </c>
      <c r="D4313">
        <v>5.855086</v>
      </c>
      <c r="E4313">
        <v>0.38439099999999998</v>
      </c>
      <c r="F4313" t="s">
        <v>94</v>
      </c>
      <c r="G4313">
        <v>-364.55130000000003</v>
      </c>
      <c r="H4313">
        <v>2.8746019999999999</v>
      </c>
      <c r="I4313">
        <v>-8.1775110000000009</v>
      </c>
      <c r="J4313">
        <v>-419.33170000000001</v>
      </c>
      <c r="K4313">
        <v>1.1359840000000001</v>
      </c>
      <c r="L4313">
        <v>29.237369999999999</v>
      </c>
      <c r="M4313">
        <v>0.4610127</v>
      </c>
      <c r="N4313">
        <v>-1.6095689999999999E-2</v>
      </c>
      <c r="O4313">
        <v>-0.88724760000000003</v>
      </c>
      <c r="P4313">
        <v>0.57991590000000004</v>
      </c>
      <c r="Q4313">
        <v>0.18497769999999999</v>
      </c>
      <c r="R4313">
        <v>-0.79339839999999995</v>
      </c>
      <c r="S4313">
        <v>2.6677550000000001</v>
      </c>
      <c r="T4313">
        <v>8.4416989999999997E-2</v>
      </c>
      <c r="U4313">
        <v>-1.8314509999999999</v>
      </c>
      <c r="V4313">
        <v>-0.1561497</v>
      </c>
      <c r="W4313">
        <v>0.19490879999999999</v>
      </c>
      <c r="X4313">
        <v>0.96831179999999994</v>
      </c>
      <c r="Y4313">
        <v>-0.46994989999999998</v>
      </c>
      <c r="Z4313">
        <v>-3.8566919999999998E-2</v>
      </c>
      <c r="AA4313">
        <v>0.88185020000000003</v>
      </c>
      <c r="AB4313">
        <v>36</v>
      </c>
      <c r="AC4313">
        <v>54.780399999999901</v>
      </c>
      <c r="AD4313">
        <v>1.73861799999999</v>
      </c>
      <c r="AE4313">
        <v>-37.414881000000001</v>
      </c>
      <c r="AF4313">
        <v>-31.337579057324799</v>
      </c>
      <c r="AG4313">
        <v>1.73861799999999</v>
      </c>
      <c r="AH4313">
        <v>58.418167733221601</v>
      </c>
      <c r="AI4313">
        <v>88.497683799524495</v>
      </c>
      <c r="AJ4313">
        <v>118.210688397249</v>
      </c>
      <c r="AK4313">
        <v>66.315525897265005</v>
      </c>
      <c r="AL4313">
        <v>78.760603501225305</v>
      </c>
      <c r="AM4313">
        <v>99.160638687823806</v>
      </c>
      <c r="AN4313">
        <v>0.99999995557338395</v>
      </c>
    </row>
    <row r="4314" spans="1:40" x14ac:dyDescent="0.25">
      <c r="A4314" t="str">
        <f>"20190303170626202"</f>
        <v>20190303170626202</v>
      </c>
      <c r="B4314" t="str">
        <f>"1551603986188919"</f>
        <v>1551603986188919</v>
      </c>
      <c r="C4314" t="s">
        <v>40</v>
      </c>
      <c r="D4314">
        <v>5.8494890000000002</v>
      </c>
      <c r="E4314">
        <v>0.38565359999999999</v>
      </c>
      <c r="F4314" t="s">
        <v>93</v>
      </c>
      <c r="G4314">
        <v>-334.8827</v>
      </c>
      <c r="H4314">
        <v>2.4990610000000002</v>
      </c>
      <c r="I4314">
        <v>-33.278060000000004</v>
      </c>
      <c r="J4314">
        <v>-419.15730000000002</v>
      </c>
      <c r="K4314">
        <v>1.1360349999999999</v>
      </c>
      <c r="L4314">
        <v>28.92728</v>
      </c>
      <c r="M4314">
        <v>0.47559800000000002</v>
      </c>
      <c r="N4314">
        <v>-1.612135E-2</v>
      </c>
      <c r="O4314">
        <v>-0.87951520000000005</v>
      </c>
      <c r="P4314">
        <v>0.5922752</v>
      </c>
      <c r="Q4314">
        <v>0.18369940000000001</v>
      </c>
      <c r="R4314">
        <v>-0.78451569999999904</v>
      </c>
      <c r="S4314">
        <v>2.563599</v>
      </c>
      <c r="T4314">
        <v>4.1378619999999998E-2</v>
      </c>
      <c r="U4314">
        <v>-1.8977660000000001</v>
      </c>
      <c r="V4314">
        <v>-0.1551739</v>
      </c>
      <c r="W4314">
        <v>0.19367300000000001</v>
      </c>
      <c r="X4314">
        <v>0.96871660000000004</v>
      </c>
      <c r="Y4314">
        <v>-0.423678</v>
      </c>
      <c r="Z4314">
        <v>-2.525525E-2</v>
      </c>
      <c r="AA4314">
        <v>0.90546070000000001</v>
      </c>
      <c r="AB4314">
        <v>36</v>
      </c>
      <c r="AC4314">
        <v>84.274600000000007</v>
      </c>
      <c r="AD4314">
        <v>1.3630260000000001</v>
      </c>
      <c r="AE4314">
        <v>-62.2053399999999</v>
      </c>
      <c r="AF4314">
        <v>-44.534296300601603</v>
      </c>
      <c r="AG4314">
        <v>1.3630260000000001</v>
      </c>
      <c r="AH4314">
        <v>94.787627074863593</v>
      </c>
      <c r="AI4314">
        <v>89.254343898631504</v>
      </c>
      <c r="AJ4314">
        <v>115.165657694868</v>
      </c>
      <c r="AK4314">
        <v>104.737078598507</v>
      </c>
      <c r="AL4314">
        <v>78.832785753179905</v>
      </c>
      <c r="AM4314">
        <v>99.100613574467104</v>
      </c>
      <c r="AN4314">
        <v>1.0000000106428799</v>
      </c>
    </row>
    <row r="4315" spans="1:40" x14ac:dyDescent="0.25">
      <c r="A4315" t="str">
        <f>"20190303170626226"</f>
        <v>20190303170626226</v>
      </c>
      <c r="B4315" t="str">
        <f>"1551603986219171"</f>
        <v>1551603986219171</v>
      </c>
      <c r="C4315" t="s">
        <v>40</v>
      </c>
      <c r="D4315">
        <v>5.8719190000000001</v>
      </c>
      <c r="E4315">
        <v>0.38819999999999999</v>
      </c>
      <c r="F4315" t="s">
        <v>93</v>
      </c>
      <c r="G4315">
        <v>-334.60930000000002</v>
      </c>
      <c r="H4315">
        <v>2.2131059999999998</v>
      </c>
      <c r="I4315">
        <v>-32.037570000000002</v>
      </c>
      <c r="J4315">
        <v>-418.97550000000001</v>
      </c>
      <c r="K4315">
        <v>1.1360790000000001</v>
      </c>
      <c r="L4315">
        <v>28.61703</v>
      </c>
      <c r="M4315">
        <v>0.49029719999999999</v>
      </c>
      <c r="N4315">
        <v>-1.614703E-2</v>
      </c>
      <c r="O4315">
        <v>-0.87140569999999895</v>
      </c>
      <c r="P4315">
        <v>0.60580119999999904</v>
      </c>
      <c r="Q4315">
        <v>0.18106820000000001</v>
      </c>
      <c r="R4315">
        <v>-0.77473800000000004</v>
      </c>
      <c r="S4315">
        <v>2.5855410000000001</v>
      </c>
      <c r="T4315">
        <v>3.2937649999999999E-2</v>
      </c>
      <c r="U4315">
        <v>-1.864349</v>
      </c>
      <c r="V4315">
        <v>-0.15535209999999999</v>
      </c>
      <c r="W4315">
        <v>0.19104280000000001</v>
      </c>
      <c r="X4315">
        <v>0.96921020000000002</v>
      </c>
      <c r="Y4315">
        <v>-0.41985709999999998</v>
      </c>
      <c r="Z4315">
        <v>-2.2447439999999999E-2</v>
      </c>
      <c r="AA4315">
        <v>0.90731260000000002</v>
      </c>
      <c r="AB4315">
        <v>36</v>
      </c>
      <c r="AC4315">
        <v>84.366199999999907</v>
      </c>
      <c r="AD4315">
        <v>1.077027</v>
      </c>
      <c r="AE4315">
        <v>-60.654600000000002</v>
      </c>
      <c r="AF4315">
        <v>-43.779412356096003</v>
      </c>
      <c r="AG4315">
        <v>1.077027</v>
      </c>
      <c r="AH4315">
        <v>94.221439475683198</v>
      </c>
      <c r="AI4315">
        <v>89.406068866844805</v>
      </c>
      <c r="AJ4315">
        <v>114.92164729720101</v>
      </c>
      <c r="AK4315">
        <v>103.901282909662</v>
      </c>
      <c r="AL4315">
        <v>78.986353149546503</v>
      </c>
      <c r="AM4315">
        <v>99.106327195259894</v>
      </c>
      <c r="AN4315">
        <v>1.0000000190951399</v>
      </c>
    </row>
    <row r="4316" spans="1:40" x14ac:dyDescent="0.25">
      <c r="A4316" t="str">
        <f>"20190303170626247"</f>
        <v>20190303170626247</v>
      </c>
      <c r="B4316" t="str">
        <f>"1551603986239668"</f>
        <v>1551603986239668</v>
      </c>
      <c r="C4316" t="s">
        <v>40</v>
      </c>
      <c r="D4316">
        <v>5.8982199999999896</v>
      </c>
      <c r="E4316">
        <v>0.388955</v>
      </c>
      <c r="F4316" t="s">
        <v>93</v>
      </c>
      <c r="G4316">
        <v>-334.60930000000002</v>
      </c>
      <c r="H4316">
        <v>1.7103790000000001</v>
      </c>
      <c r="I4316">
        <v>-30.852409999999999</v>
      </c>
      <c r="J4316">
        <v>-418.80040000000002</v>
      </c>
      <c r="K4316">
        <v>1.1361270000000001</v>
      </c>
      <c r="L4316">
        <v>28.329249999999998</v>
      </c>
      <c r="M4316">
        <v>0.50400869999999998</v>
      </c>
      <c r="N4316">
        <v>-1.6170380000000002E-2</v>
      </c>
      <c r="O4316">
        <v>-0.86354730000000002</v>
      </c>
      <c r="P4316">
        <v>0.61889709999999998</v>
      </c>
      <c r="Q4316">
        <v>0.18027799999999999</v>
      </c>
      <c r="R4316">
        <v>-0.76450379999999996</v>
      </c>
      <c r="S4316">
        <v>2.6015630000000001</v>
      </c>
      <c r="T4316">
        <v>1.7709369999999999E-2</v>
      </c>
      <c r="U4316">
        <v>-1.8338319999999999</v>
      </c>
      <c r="V4316">
        <v>-0.1564313</v>
      </c>
      <c r="W4316">
        <v>0.19021460000000001</v>
      </c>
      <c r="X4316">
        <v>0.96919949999999999</v>
      </c>
      <c r="Y4316">
        <v>-0.41531099999999999</v>
      </c>
      <c r="Z4316">
        <v>-1.760662E-2</v>
      </c>
      <c r="AA4316">
        <v>0.90950909999999996</v>
      </c>
      <c r="AB4316">
        <v>36</v>
      </c>
      <c r="AC4316">
        <v>84.191100000000006</v>
      </c>
      <c r="AD4316">
        <v>0.57425199999999998</v>
      </c>
      <c r="AE4316">
        <v>-59.181660000000001</v>
      </c>
      <c r="AF4316">
        <v>-42.879192930517803</v>
      </c>
      <c r="AG4316">
        <v>0.57425199999999998</v>
      </c>
      <c r="AH4316">
        <v>93.548519567532296</v>
      </c>
      <c r="AI4316">
        <v>89.6802771527652</v>
      </c>
      <c r="AJ4316">
        <v>114.624975969169</v>
      </c>
      <c r="AK4316">
        <v>102.90908834990699</v>
      </c>
      <c r="AL4316">
        <v>79.0346918207307</v>
      </c>
      <c r="AM4316">
        <v>99.168615740915698</v>
      </c>
      <c r="AN4316">
        <v>1.0000000082365399</v>
      </c>
    </row>
    <row r="4317" spans="1:40" x14ac:dyDescent="0.25">
      <c r="A4317" t="str">
        <f>"20190303170626270"</f>
        <v>20190303170626270</v>
      </c>
      <c r="B4317" t="str">
        <f>"1551603986259638"</f>
        <v>1551603986259638</v>
      </c>
      <c r="C4317" t="s">
        <v>40</v>
      </c>
      <c r="D4317">
        <v>5.882873</v>
      </c>
      <c r="E4317">
        <v>0.396733</v>
      </c>
      <c r="F4317" t="s">
        <v>94</v>
      </c>
      <c r="G4317">
        <v>-364.55130000000003</v>
      </c>
      <c r="H4317">
        <v>1.417033</v>
      </c>
      <c r="I4317">
        <v>-8.7082420000000003</v>
      </c>
      <c r="J4317">
        <v>-418.61219999999997</v>
      </c>
      <c r="K4317">
        <v>1.1361709999999901</v>
      </c>
      <c r="L4317">
        <v>28.030819999999999</v>
      </c>
      <c r="M4317">
        <v>0.51830270000000001</v>
      </c>
      <c r="N4317">
        <v>-1.6193349999999999E-2</v>
      </c>
      <c r="O4317">
        <v>-0.85504389999999997</v>
      </c>
      <c r="P4317">
        <v>0.63198759999999998</v>
      </c>
      <c r="Q4317">
        <v>0.18191060000000001</v>
      </c>
      <c r="R4317">
        <v>-0.75332619999999995</v>
      </c>
      <c r="S4317">
        <v>2.627472</v>
      </c>
      <c r="T4317">
        <v>1.3605239999999999E-2</v>
      </c>
      <c r="U4317">
        <v>-1.7938540000000001</v>
      </c>
      <c r="V4317">
        <v>-0.1573117</v>
      </c>
      <c r="W4317">
        <v>0.19181210000000001</v>
      </c>
      <c r="X4317">
        <v>0.96874199999999999</v>
      </c>
      <c r="Y4317">
        <v>-0.41380729999999999</v>
      </c>
      <c r="Z4317">
        <v>-1.616538E-2</v>
      </c>
      <c r="AA4317">
        <v>0.91022099999999995</v>
      </c>
      <c r="AB4317">
        <v>35</v>
      </c>
      <c r="AC4317">
        <v>54.060899999999897</v>
      </c>
      <c r="AD4317">
        <v>0.280862</v>
      </c>
      <c r="AE4317">
        <v>-36.739061999999997</v>
      </c>
      <c r="AF4317">
        <v>-27.1855506681786</v>
      </c>
      <c r="AG4317">
        <v>0.280862</v>
      </c>
      <c r="AH4317">
        <v>59.440118251573097</v>
      </c>
      <c r="AI4317">
        <v>89.753799982423999</v>
      </c>
      <c r="AJ4317">
        <v>114.577475773643</v>
      </c>
      <c r="AK4317">
        <v>65.362532894282296</v>
      </c>
      <c r="AL4317">
        <v>78.941444320762301</v>
      </c>
      <c r="AM4317">
        <v>99.223612437379899</v>
      </c>
      <c r="AN4317">
        <v>0.99999995761364902</v>
      </c>
    </row>
    <row r="4318" spans="1:40" x14ac:dyDescent="0.25">
      <c r="A4318" t="str">
        <f>"20190303170626292"</f>
        <v>20190303170626292</v>
      </c>
      <c r="B4318" t="str">
        <f>"1551603986279158"</f>
        <v>1551603986279158</v>
      </c>
      <c r="C4318" t="s">
        <v>40</v>
      </c>
      <c r="D4318">
        <v>5.7286960000000002</v>
      </c>
      <c r="E4318">
        <v>0.37213970000000002</v>
      </c>
      <c r="F4318" t="s">
        <v>94</v>
      </c>
      <c r="G4318">
        <v>-364.55130000000003</v>
      </c>
      <c r="H4318">
        <v>1.2773920000000001</v>
      </c>
      <c r="I4318">
        <v>-9.0034779999999994</v>
      </c>
      <c r="J4318">
        <v>-418.4205</v>
      </c>
      <c r="K4318">
        <v>1.1362099999999999</v>
      </c>
      <c r="L4318">
        <v>27.737919999999999</v>
      </c>
      <c r="M4318">
        <v>0.53239639999999999</v>
      </c>
      <c r="N4318">
        <v>-1.6213809999999999E-2</v>
      </c>
      <c r="O4318">
        <v>-0.84633989999999903</v>
      </c>
      <c r="P4318">
        <v>0.64461089999999999</v>
      </c>
      <c r="Q4318">
        <v>0.1831304</v>
      </c>
      <c r="R4318">
        <v>-0.74225339999999995</v>
      </c>
      <c r="S4318">
        <v>2.6120299999999999</v>
      </c>
      <c r="T4318">
        <v>6.8233010000000004E-3</v>
      </c>
      <c r="U4318">
        <v>-1.7893680000000001</v>
      </c>
      <c r="V4318">
        <v>-0.1578369</v>
      </c>
      <c r="W4318">
        <v>0.1930133</v>
      </c>
      <c r="X4318">
        <v>0.96841790000000005</v>
      </c>
      <c r="Y4318">
        <v>-0.39724710000000002</v>
      </c>
      <c r="Z4318">
        <v>-1.3996669999999999E-2</v>
      </c>
      <c r="AA4318">
        <v>0.91760489999999995</v>
      </c>
      <c r="AB4318">
        <v>35</v>
      </c>
      <c r="AC4318">
        <v>53.8691999999999</v>
      </c>
      <c r="AD4318">
        <v>0.141182</v>
      </c>
      <c r="AE4318">
        <v>-36.741397999999997</v>
      </c>
      <c r="AF4318">
        <v>-26.033964983638999</v>
      </c>
      <c r="AG4318">
        <v>0.141182</v>
      </c>
      <c r="AH4318">
        <v>59.783056449391502</v>
      </c>
      <c r="AI4318">
        <v>89.875944554853902</v>
      </c>
      <c r="AJ4318">
        <v>113.531871751046</v>
      </c>
      <c r="AK4318">
        <v>65.205836422498194</v>
      </c>
      <c r="AL4318">
        <v>78.871309733745093</v>
      </c>
      <c r="AM4318">
        <v>99.256917855862696</v>
      </c>
      <c r="AN4318">
        <v>0.99999992500945201</v>
      </c>
    </row>
    <row r="4319" spans="1:40" x14ac:dyDescent="0.25">
      <c r="A4319" t="str">
        <f>"20190303170626316"</f>
        <v>20190303170626316</v>
      </c>
      <c r="B4319" t="str">
        <f>"1551603986309413"</f>
        <v>1551603986309413</v>
      </c>
      <c r="C4319" t="s">
        <v>40</v>
      </c>
      <c r="D4319">
        <v>5.6887400000000001</v>
      </c>
      <c r="E4319">
        <v>0.36145769999999999</v>
      </c>
      <c r="F4319" t="s">
        <v>94</v>
      </c>
      <c r="G4319">
        <v>-364.76560000000001</v>
      </c>
      <c r="H4319">
        <v>2.7634889999999999</v>
      </c>
      <c r="I4319">
        <v>-3.3101470000000002</v>
      </c>
      <c r="J4319">
        <v>-418.21480000000003</v>
      </c>
      <c r="K4319">
        <v>1.136239</v>
      </c>
      <c r="L4319">
        <v>27.434629999999999</v>
      </c>
      <c r="M4319">
        <v>0.54704989999999998</v>
      </c>
      <c r="N4319">
        <v>-1.6232460000000001E-2</v>
      </c>
      <c r="O4319">
        <v>-0.83694269999999904</v>
      </c>
      <c r="P4319">
        <v>0.65786080000000002</v>
      </c>
      <c r="Q4319">
        <v>0.1824993</v>
      </c>
      <c r="R4319">
        <v>-0.73069410000000001</v>
      </c>
      <c r="S4319">
        <v>2.7785639999999998</v>
      </c>
      <c r="T4319">
        <v>8.4269999999999998E-2</v>
      </c>
      <c r="U4319">
        <v>-1.6078490000000001</v>
      </c>
      <c r="V4319">
        <v>-0.15830839999999999</v>
      </c>
      <c r="W4319">
        <v>0.1923704</v>
      </c>
      <c r="X4319">
        <v>0.96846889999999997</v>
      </c>
      <c r="Y4319">
        <v>-0.4498045</v>
      </c>
      <c r="Z4319">
        <v>-3.6848659999999998E-2</v>
      </c>
      <c r="AA4319">
        <v>0.89236659999999901</v>
      </c>
      <c r="AB4319">
        <v>35</v>
      </c>
      <c r="AC4319">
        <v>53.449199999999998</v>
      </c>
      <c r="AD4319">
        <v>1.6272500000000001</v>
      </c>
      <c r="AE4319">
        <v>-30.744776999999999</v>
      </c>
      <c r="AF4319">
        <v>-27.899236228347899</v>
      </c>
      <c r="AG4319">
        <v>1.6272500000000001</v>
      </c>
      <c r="AH4319">
        <v>54.939972274414302</v>
      </c>
      <c r="AI4319">
        <v>88.487243754517493</v>
      </c>
      <c r="AJ4319">
        <v>116.922055771747</v>
      </c>
      <c r="AK4319">
        <v>61.6394019941877</v>
      </c>
      <c r="AL4319">
        <v>78.908849152177893</v>
      </c>
      <c r="AM4319">
        <v>99.283609484928704</v>
      </c>
      <c r="AN4319">
        <v>0.999999965286964</v>
      </c>
    </row>
    <row r="4320" spans="1:40" x14ac:dyDescent="0.25">
      <c r="A4320" t="str">
        <f>"20190303170626328"</f>
        <v>20190303170626328</v>
      </c>
      <c r="B4320" t="str">
        <f>"1551603986319173"</f>
        <v>1551603986319173</v>
      </c>
      <c r="C4320" t="s">
        <v>40</v>
      </c>
      <c r="D4320">
        <v>5.8958709999999996</v>
      </c>
      <c r="E4320">
        <v>0.36167050000000001</v>
      </c>
      <c r="F4320" t="s">
        <v>94</v>
      </c>
      <c r="G4320">
        <v>-364.4</v>
      </c>
      <c r="H4320">
        <v>3.2707630000000001</v>
      </c>
      <c r="I4320">
        <v>-0.68864080000000005</v>
      </c>
      <c r="J4320">
        <v>-418.1035</v>
      </c>
      <c r="K4320">
        <v>1.1362509999999999</v>
      </c>
      <c r="L4320">
        <v>27.27524</v>
      </c>
      <c r="M4320">
        <v>0.55477460000000001</v>
      </c>
      <c r="N4320">
        <v>-1.6241289999999999E-2</v>
      </c>
      <c r="O4320">
        <v>-0.83184219999999898</v>
      </c>
      <c r="P4320">
        <v>0.66454579999999996</v>
      </c>
      <c r="Q4320">
        <v>0.1818669</v>
      </c>
      <c r="R4320">
        <v>-0.72477829999999999</v>
      </c>
      <c r="S4320">
        <v>2.8654480000000002</v>
      </c>
      <c r="T4320">
        <v>0.11365599999999999</v>
      </c>
      <c r="U4320">
        <v>-1.4974670000000001</v>
      </c>
      <c r="V4320">
        <v>-0.15813440000000001</v>
      </c>
      <c r="W4320">
        <v>0.19175039999999999</v>
      </c>
      <c r="X4320">
        <v>0.96862029999999999</v>
      </c>
      <c r="Y4320">
        <v>-0.47932959999999902</v>
      </c>
      <c r="Z4320">
        <v>-4.5409869999999998E-2</v>
      </c>
      <c r="AA4320">
        <v>0.8764594</v>
      </c>
      <c r="AB4320">
        <v>35</v>
      </c>
      <c r="AC4320">
        <v>53.703499999999998</v>
      </c>
      <c r="AD4320">
        <v>2.134512</v>
      </c>
      <c r="AE4320">
        <v>-27.963880799999998</v>
      </c>
      <c r="AF4320">
        <v>-29.126833484945699</v>
      </c>
      <c r="AG4320">
        <v>2.134512</v>
      </c>
      <c r="AH4320">
        <v>52.996007290869699</v>
      </c>
      <c r="AI4320">
        <v>87.978463881631299</v>
      </c>
      <c r="AJ4320">
        <v>118.793384350651</v>
      </c>
      <c r="AK4320">
        <v>60.510373979275798</v>
      </c>
      <c r="AL4320">
        <v>78.945046750293201</v>
      </c>
      <c r="AM4320">
        <v>99.2721587201369</v>
      </c>
      <c r="AN4320">
        <v>0.99999999496780401</v>
      </c>
    </row>
    <row r="4321" spans="1:40" x14ac:dyDescent="0.25">
      <c r="A4321" t="str">
        <f>"20190303170626340"</f>
        <v>20190303170626340</v>
      </c>
      <c r="B4321" t="str">
        <f>"1551603986328934"</f>
        <v>1551603986328934</v>
      </c>
      <c r="C4321" t="s">
        <v>40</v>
      </c>
      <c r="D4321">
        <v>5.6786370000000002</v>
      </c>
      <c r="E4321">
        <v>0.36096719999999999</v>
      </c>
      <c r="F4321" t="s">
        <v>94</v>
      </c>
      <c r="G4321">
        <v>-364.55130000000003</v>
      </c>
      <c r="H4321">
        <v>3.3140679999999998</v>
      </c>
      <c r="I4321">
        <v>-0.1311717</v>
      </c>
      <c r="J4321">
        <v>-417.99799999999999</v>
      </c>
      <c r="K4321">
        <v>1.136269</v>
      </c>
      <c r="L4321">
        <v>27.12677</v>
      </c>
      <c r="M4321">
        <v>0.56198040000000005</v>
      </c>
      <c r="N4321">
        <v>-1.624894E-2</v>
      </c>
      <c r="O4321">
        <v>-0.82699109999999998</v>
      </c>
      <c r="P4321">
        <v>0.67084330000000003</v>
      </c>
      <c r="Q4321">
        <v>0.181032</v>
      </c>
      <c r="R4321">
        <v>-0.71916409999999997</v>
      </c>
      <c r="S4321">
        <v>2.8766780000000001</v>
      </c>
      <c r="T4321">
        <v>0.11698649999999999</v>
      </c>
      <c r="U4321">
        <v>-1.4721979999999999</v>
      </c>
      <c r="V4321">
        <v>-0.15802459999999999</v>
      </c>
      <c r="W4321">
        <v>0.19092519999999999</v>
      </c>
      <c r="X4321">
        <v>0.96880120000000003</v>
      </c>
      <c r="Y4321">
        <v>-0.47915350000000001</v>
      </c>
      <c r="Z4321">
        <v>-4.621517E-2</v>
      </c>
      <c r="AA4321">
        <v>0.8765136</v>
      </c>
      <c r="AB4321">
        <v>35</v>
      </c>
      <c r="AC4321">
        <v>53.4467</v>
      </c>
      <c r="AD4321">
        <v>2.1777989999999998</v>
      </c>
      <c r="AE4321">
        <v>-27.2579417</v>
      </c>
      <c r="AF4321">
        <v>-28.847316148878999</v>
      </c>
      <c r="AG4321">
        <v>2.1777989999999998</v>
      </c>
      <c r="AH4321">
        <v>52.515812621808998</v>
      </c>
      <c r="AI4321">
        <v>87.918399742012596</v>
      </c>
      <c r="AJ4321">
        <v>118.780311003538</v>
      </c>
      <c r="AK4321">
        <v>59.956826407063303</v>
      </c>
      <c r="AL4321">
        <v>78.993217111262496</v>
      </c>
      <c r="AM4321">
        <v>99.264132168233203</v>
      </c>
      <c r="AN4321">
        <v>0.99999998566081905</v>
      </c>
    </row>
    <row r="4322" spans="1:40" x14ac:dyDescent="0.25">
      <c r="A4322" t="str">
        <f>"20190303170626353"</f>
        <v>20190303170626353</v>
      </c>
      <c r="B4322" t="str">
        <f>"1551603986349430"</f>
        <v>1551603986349430</v>
      </c>
      <c r="C4322" t="s">
        <v>40</v>
      </c>
      <c r="D4322">
        <v>5.7316520000000004</v>
      </c>
      <c r="E4322">
        <v>0.3609079</v>
      </c>
      <c r="F4322" t="s">
        <v>94</v>
      </c>
      <c r="G4322">
        <v>-364.29390000000001</v>
      </c>
      <c r="H4322">
        <v>3.3145910000000001</v>
      </c>
      <c r="I4322">
        <v>0.322623299999999</v>
      </c>
      <c r="J4322">
        <v>-417.88420000000002</v>
      </c>
      <c r="K4322">
        <v>1.1362749999999999</v>
      </c>
      <c r="L4322">
        <v>26.970549999999999</v>
      </c>
      <c r="M4322">
        <v>0.56959439999999995</v>
      </c>
      <c r="N4322">
        <v>-1.6256219999999998E-2</v>
      </c>
      <c r="O4322">
        <v>-0.82176519999999997</v>
      </c>
      <c r="P4322">
        <v>0.67748509999999995</v>
      </c>
      <c r="Q4322">
        <v>0.18051819999999999</v>
      </c>
      <c r="R4322">
        <v>-0.71304089999999998</v>
      </c>
      <c r="S4322">
        <v>2.8926090000000002</v>
      </c>
      <c r="T4322">
        <v>0.1173289</v>
      </c>
      <c r="U4322">
        <v>-1.4437260000000001</v>
      </c>
      <c r="V4322">
        <v>-0.15797439999999999</v>
      </c>
      <c r="W4322">
        <v>0.19041830000000001</v>
      </c>
      <c r="X4322">
        <v>0.96890909999999997</v>
      </c>
      <c r="Y4322">
        <v>-0.4798925</v>
      </c>
      <c r="Z4322">
        <v>-4.60775E-2</v>
      </c>
      <c r="AA4322">
        <v>0.87611649999999996</v>
      </c>
      <c r="AB4322">
        <v>35</v>
      </c>
      <c r="AC4322">
        <v>53.590299999999999</v>
      </c>
      <c r="AD4322">
        <v>2.1783160000000001</v>
      </c>
      <c r="AE4322">
        <v>-26.647926699999999</v>
      </c>
      <c r="AF4322">
        <v>-28.8257615806323</v>
      </c>
      <c r="AG4322">
        <v>2.1783160000000001</v>
      </c>
      <c r="AH4322">
        <v>52.360638111742503</v>
      </c>
      <c r="AI4322">
        <v>87.912812213777997</v>
      </c>
      <c r="AJ4322">
        <v>118.833816789984</v>
      </c>
      <c r="AK4322">
        <v>59.810584471046397</v>
      </c>
      <c r="AL4322">
        <v>79.022802647521601</v>
      </c>
      <c r="AM4322">
        <v>99.260226727968004</v>
      </c>
      <c r="AN4322">
        <v>0.99999994204652798</v>
      </c>
    </row>
    <row r="4323" spans="1:40" x14ac:dyDescent="0.25">
      <c r="A4323" t="str">
        <f>"20190303170626366"</f>
        <v>20190303170626366</v>
      </c>
      <c r="B4323" t="str">
        <f>"1551603986359696"</f>
        <v>1551603986359696</v>
      </c>
      <c r="C4323" t="s">
        <v>40</v>
      </c>
      <c r="D4323">
        <v>5.8353609999999998</v>
      </c>
      <c r="E4323">
        <v>0.36095690000000002</v>
      </c>
      <c r="F4323" t="s">
        <v>94</v>
      </c>
      <c r="G4323">
        <v>-362.91699999999997</v>
      </c>
      <c r="H4323">
        <v>3.3569650000000002</v>
      </c>
      <c r="I4323">
        <v>0.1658897</v>
      </c>
      <c r="J4323">
        <v>-417.76760000000002</v>
      </c>
      <c r="K4323">
        <v>1.136277</v>
      </c>
      <c r="L4323">
        <v>26.81241</v>
      </c>
      <c r="M4323">
        <v>0.57729169999999996</v>
      </c>
      <c r="N4323">
        <v>-1.6263070000000001E-2</v>
      </c>
      <c r="O4323">
        <v>-0.81637609999999905</v>
      </c>
      <c r="P4323">
        <v>0.68402419999999997</v>
      </c>
      <c r="Q4323">
        <v>0.18038499999999999</v>
      </c>
      <c r="R4323">
        <v>-0.7068044</v>
      </c>
      <c r="S4323">
        <v>2.9055789999999999</v>
      </c>
      <c r="T4323">
        <v>0.1173862</v>
      </c>
      <c r="U4323">
        <v>-1.416901</v>
      </c>
      <c r="V4323">
        <v>-0.1577721</v>
      </c>
      <c r="W4323">
        <v>0.1902971</v>
      </c>
      <c r="X4323">
        <v>0.96896590000000005</v>
      </c>
      <c r="Y4323">
        <v>-0.4797322</v>
      </c>
      <c r="Z4323">
        <v>-4.5857050000000003E-2</v>
      </c>
      <c r="AA4323">
        <v>0.87621579999999999</v>
      </c>
      <c r="AB4323">
        <v>35</v>
      </c>
      <c r="AC4323">
        <v>54.8506</v>
      </c>
      <c r="AD4323">
        <v>2.220688</v>
      </c>
      <c r="AE4323">
        <v>-26.646520299999899</v>
      </c>
      <c r="AF4323">
        <v>-29.360853279782201</v>
      </c>
      <c r="AG4323">
        <v>2.220688</v>
      </c>
      <c r="AH4323">
        <v>53.354684271106201</v>
      </c>
      <c r="AI4323">
        <v>87.911655494236598</v>
      </c>
      <c r="AJ4323">
        <v>118.823799649601</v>
      </c>
      <c r="AK4323">
        <v>60.940245275020601</v>
      </c>
      <c r="AL4323">
        <v>79.029876533193701</v>
      </c>
      <c r="AM4323">
        <v>99.248040469328402</v>
      </c>
      <c r="AN4323">
        <v>0.99999996858481399</v>
      </c>
    </row>
    <row r="4324" spans="1:40" x14ac:dyDescent="0.25">
      <c r="A4324" t="str">
        <f>"20190303170626380"</f>
        <v>20190303170626380</v>
      </c>
      <c r="B4324" t="str">
        <f>"1551603986369456"</f>
        <v>1551603986369456</v>
      </c>
      <c r="C4324" t="s">
        <v>40</v>
      </c>
      <c r="D4324">
        <v>5.7442690000000001</v>
      </c>
      <c r="E4324">
        <v>0.36123179999999999</v>
      </c>
      <c r="F4324" t="s">
        <v>94</v>
      </c>
      <c r="G4324">
        <v>-362.18959999999998</v>
      </c>
      <c r="H4324">
        <v>3.3689870000000002</v>
      </c>
      <c r="I4324">
        <v>0.32260559999999899</v>
      </c>
      <c r="J4324">
        <v>-417.62180000000001</v>
      </c>
      <c r="K4324">
        <v>1.136277</v>
      </c>
      <c r="L4324">
        <v>26.619689999999999</v>
      </c>
      <c r="M4324">
        <v>0.58670239999999996</v>
      </c>
      <c r="N4324">
        <v>-1.6270380000000001E-2</v>
      </c>
      <c r="O4324">
        <v>-0.80963929999999995</v>
      </c>
      <c r="P4324">
        <v>0.69167019999999901</v>
      </c>
      <c r="Q4324">
        <v>0.1813255</v>
      </c>
      <c r="R4324">
        <v>-0.69908040000000005</v>
      </c>
      <c r="S4324">
        <v>2.9178470000000001</v>
      </c>
      <c r="T4324">
        <v>0.1172174</v>
      </c>
      <c r="U4324">
        <v>-1.390717</v>
      </c>
      <c r="V4324">
        <v>-0.157274</v>
      </c>
      <c r="W4324">
        <v>0.19126090000000001</v>
      </c>
      <c r="X4324">
        <v>0.96885719999999997</v>
      </c>
      <c r="Y4324">
        <v>-0.47742770000000001</v>
      </c>
      <c r="Z4324">
        <v>-4.5493230000000003E-2</v>
      </c>
      <c r="AA4324">
        <v>0.87749249999999901</v>
      </c>
      <c r="AB4324">
        <v>35</v>
      </c>
      <c r="AC4324">
        <v>55.432200000000002</v>
      </c>
      <c r="AD4324">
        <v>2.23271</v>
      </c>
      <c r="AE4324">
        <v>-26.297084399999999</v>
      </c>
      <c r="AF4324">
        <v>-29.416464732365501</v>
      </c>
      <c r="AG4324">
        <v>2.23271</v>
      </c>
      <c r="AH4324">
        <v>53.749296083036398</v>
      </c>
      <c r="AI4324">
        <v>87.913120015378297</v>
      </c>
      <c r="AJ4324">
        <v>118.691457166063</v>
      </c>
      <c r="AK4324">
        <v>61.313132530612997</v>
      </c>
      <c r="AL4324">
        <v>78.973622626969401</v>
      </c>
      <c r="AM4324">
        <v>99.220362339554498</v>
      </c>
      <c r="AN4324">
        <v>1.00000005846832</v>
      </c>
    </row>
    <row r="4325" spans="1:40" x14ac:dyDescent="0.25">
      <c r="A4325" t="str">
        <f>"20190303170626392"</f>
        <v>20190303170626392</v>
      </c>
      <c r="B4325" t="str">
        <f>"1551603986379876"</f>
        <v>1551603986379876</v>
      </c>
      <c r="C4325" t="s">
        <v>40</v>
      </c>
      <c r="D4325">
        <v>5.8636350000000004</v>
      </c>
      <c r="E4325">
        <v>0.36216809999999999</v>
      </c>
      <c r="F4325" t="s">
        <v>94</v>
      </c>
      <c r="G4325">
        <v>-360.58429999999998</v>
      </c>
      <c r="H4325">
        <v>3.4054259999999998</v>
      </c>
      <c r="I4325">
        <v>0.16587349999999901</v>
      </c>
      <c r="J4325">
        <v>-417.51420000000002</v>
      </c>
      <c r="K4325">
        <v>1.136279</v>
      </c>
      <c r="L4325">
        <v>26.48105</v>
      </c>
      <c r="M4325">
        <v>0.59349770000000002</v>
      </c>
      <c r="N4325">
        <v>-1.6274810000000001E-2</v>
      </c>
      <c r="O4325">
        <v>-0.80467119999999903</v>
      </c>
      <c r="P4325">
        <v>0.69690609999999997</v>
      </c>
      <c r="Q4325">
        <v>0.1817541</v>
      </c>
      <c r="R4325">
        <v>-0.693748699999999</v>
      </c>
      <c r="S4325">
        <v>2.93222</v>
      </c>
      <c r="T4325">
        <v>0.1166539</v>
      </c>
      <c r="U4325">
        <v>-1.359955</v>
      </c>
      <c r="V4325">
        <v>-0.15648290000000001</v>
      </c>
      <c r="W4325">
        <v>0.19172420000000001</v>
      </c>
      <c r="X4325">
        <v>0.96889360000000002</v>
      </c>
      <c r="Y4325">
        <v>-0.47926429999999998</v>
      </c>
      <c r="Z4325">
        <v>-4.5117549999999999E-2</v>
      </c>
      <c r="AA4325">
        <v>0.87651019999999902</v>
      </c>
      <c r="AB4325">
        <v>35</v>
      </c>
      <c r="AC4325">
        <v>56.929900000000004</v>
      </c>
      <c r="AD4325">
        <v>2.2691469999999998</v>
      </c>
      <c r="AE4325">
        <v>-26.3151765</v>
      </c>
      <c r="AF4325">
        <v>-30.156376246787602</v>
      </c>
      <c r="AG4325">
        <v>2.2691469999999998</v>
      </c>
      <c r="AH4325">
        <v>54.898243405162802</v>
      </c>
      <c r="AI4325">
        <v>87.925211586722099</v>
      </c>
      <c r="AJ4325">
        <v>118.780610551159</v>
      </c>
      <c r="AK4325">
        <v>62.6767355995662</v>
      </c>
      <c r="AL4325">
        <v>78.946575634817293</v>
      </c>
      <c r="AM4325">
        <v>99.1744351117825</v>
      </c>
      <c r="AN4325">
        <v>0.999999937489503</v>
      </c>
    </row>
    <row r="4326" spans="1:40" x14ac:dyDescent="0.25">
      <c r="A4326" t="str">
        <f>"20190303170626403"</f>
        <v>20190303170626403</v>
      </c>
      <c r="B4326" t="str">
        <f>"1551603986389088"</f>
        <v>1551603986389088</v>
      </c>
      <c r="C4326" t="s">
        <v>40</v>
      </c>
      <c r="D4326">
        <v>5.7699480000000003</v>
      </c>
      <c r="E4326">
        <v>0.36235250000000002</v>
      </c>
      <c r="F4326" t="s">
        <v>94</v>
      </c>
      <c r="G4326">
        <v>-360.29180000000002</v>
      </c>
      <c r="H4326">
        <v>3.3970189999999998</v>
      </c>
      <c r="I4326">
        <v>0.32259749999999998</v>
      </c>
      <c r="J4326">
        <v>-417.40789999999998</v>
      </c>
      <c r="K4326">
        <v>1.1362859999999999</v>
      </c>
      <c r="L4326">
        <v>26.344999999999999</v>
      </c>
      <c r="M4326">
        <v>0.60014279999999998</v>
      </c>
      <c r="N4326">
        <v>-1.6278919999999999E-2</v>
      </c>
      <c r="O4326">
        <v>-0.79972739999999998</v>
      </c>
      <c r="P4326">
        <v>0.70218319999999901</v>
      </c>
      <c r="Q4326">
        <v>0.18195439999999999</v>
      </c>
      <c r="R4326">
        <v>-0.68835440000000003</v>
      </c>
      <c r="S4326">
        <v>2.9376220000000002</v>
      </c>
      <c r="T4326">
        <v>0.1160595</v>
      </c>
      <c r="U4326">
        <v>-1.3428960000000001</v>
      </c>
      <c r="V4326">
        <v>-0.15589420000000001</v>
      </c>
      <c r="W4326">
        <v>0.1919507</v>
      </c>
      <c r="X4326">
        <v>0.96894369999999996</v>
      </c>
      <c r="Y4326">
        <v>-0.47682550000000001</v>
      </c>
      <c r="Z4326">
        <v>-4.472632E-2</v>
      </c>
      <c r="AA4326">
        <v>0.87785939999999996</v>
      </c>
      <c r="AB4326">
        <v>35</v>
      </c>
      <c r="AC4326">
        <v>57.116099999999904</v>
      </c>
      <c r="AD4326">
        <v>2.2607330000000001</v>
      </c>
      <c r="AE4326">
        <v>-26.022402499999998</v>
      </c>
      <c r="AF4326">
        <v>-30.025177945309402</v>
      </c>
      <c r="AG4326">
        <v>2.2607330000000001</v>
      </c>
      <c r="AH4326">
        <v>55.024549349017803</v>
      </c>
      <c r="AI4326">
        <v>87.934472602184798</v>
      </c>
      <c r="AJ4326">
        <v>118.61991834403599</v>
      </c>
      <c r="AK4326">
        <v>62.724183975618899</v>
      </c>
      <c r="AL4326">
        <v>78.933353056947794</v>
      </c>
      <c r="AM4326">
        <v>99.140039292351403</v>
      </c>
      <c r="AN4326">
        <v>0.99999998329690898</v>
      </c>
    </row>
    <row r="4327" spans="1:40" x14ac:dyDescent="0.25">
      <c r="A4327" t="str">
        <f>"20190303170626415"</f>
        <v>20190303170626415</v>
      </c>
      <c r="B4327" t="str">
        <f>"1551603986409648"</f>
        <v>1551603986409648</v>
      </c>
      <c r="C4327" t="s">
        <v>40</v>
      </c>
      <c r="D4327">
        <v>5.7654389999999998</v>
      </c>
      <c r="E4327">
        <v>0.36308560000000001</v>
      </c>
      <c r="F4327" t="s">
        <v>94</v>
      </c>
      <c r="G4327">
        <v>-358.98180000000002</v>
      </c>
      <c r="H4327">
        <v>3.463768</v>
      </c>
      <c r="I4327">
        <v>0.16585449999999999</v>
      </c>
      <c r="J4327">
        <v>-417.28539999999998</v>
      </c>
      <c r="K4327">
        <v>1.136285</v>
      </c>
      <c r="L4327">
        <v>26.192689999999999</v>
      </c>
      <c r="M4327">
        <v>0.60762459999999996</v>
      </c>
      <c r="N4327">
        <v>-1.628251E-2</v>
      </c>
      <c r="O4327">
        <v>-0.79405749999999997</v>
      </c>
      <c r="P4327">
        <v>0.70864139999999998</v>
      </c>
      <c r="Q4327">
        <v>0.18137120000000001</v>
      </c>
      <c r="R4327">
        <v>-0.68185929999999995</v>
      </c>
      <c r="S4327">
        <v>2.947327</v>
      </c>
      <c r="T4327">
        <v>0.1174108</v>
      </c>
      <c r="U4327">
        <v>-1.3206180000000001</v>
      </c>
      <c r="V4327">
        <v>-0.15581500000000001</v>
      </c>
      <c r="W4327">
        <v>0.1913764</v>
      </c>
      <c r="X4327">
        <v>0.96906999999999999</v>
      </c>
      <c r="Y4327">
        <v>-0.4751686</v>
      </c>
      <c r="Z4327">
        <v>-4.4857599999999997E-2</v>
      </c>
      <c r="AA4327">
        <v>0.87875059999999905</v>
      </c>
      <c r="AB4327">
        <v>35</v>
      </c>
      <c r="AC4327">
        <v>58.303599999999904</v>
      </c>
      <c r="AD4327">
        <v>2.327483</v>
      </c>
      <c r="AE4327">
        <v>-26.026835500000001</v>
      </c>
      <c r="AF4327">
        <v>-30.4454491993069</v>
      </c>
      <c r="AG4327">
        <v>2.327483</v>
      </c>
      <c r="AH4327">
        <v>56.026491635325698</v>
      </c>
      <c r="AI4327">
        <v>87.909556643982995</v>
      </c>
      <c r="AJ4327">
        <v>118.520172980647</v>
      </c>
      <c r="AK4327">
        <v>63.806820317471399</v>
      </c>
      <c r="AL4327">
        <v>78.966879242228501</v>
      </c>
      <c r="AM4327">
        <v>99.134303570890907</v>
      </c>
      <c r="AN4327">
        <v>0.99999995280097798</v>
      </c>
    </row>
    <row r="4328" spans="1:40" x14ac:dyDescent="0.25">
      <c r="A4328" t="str">
        <f>"20190303170626427"</f>
        <v>20190303170626427</v>
      </c>
      <c r="B4328" t="str">
        <f>"1551603986419408"</f>
        <v>1551603986419408</v>
      </c>
      <c r="C4328" t="s">
        <v>40</v>
      </c>
      <c r="D4328">
        <v>5.7195280000000004</v>
      </c>
      <c r="E4328">
        <v>0.363566</v>
      </c>
      <c r="F4328" t="s">
        <v>94</v>
      </c>
      <c r="G4328">
        <v>-358.20699999999999</v>
      </c>
      <c r="H4328">
        <v>3.3699370000000002</v>
      </c>
      <c r="I4328">
        <v>0.2605672</v>
      </c>
      <c r="J4328">
        <v>-417.18189999999998</v>
      </c>
      <c r="K4328">
        <v>1.1362810000000001</v>
      </c>
      <c r="L4328">
        <v>26.065580000000001</v>
      </c>
      <c r="M4328">
        <v>0.61385679999999998</v>
      </c>
      <c r="N4328">
        <v>-1.6285020000000001E-2</v>
      </c>
      <c r="O4328">
        <v>-0.78924939999999999</v>
      </c>
      <c r="P4328">
        <v>0.71410980000000002</v>
      </c>
      <c r="Q4328">
        <v>0.18058869999999999</v>
      </c>
      <c r="R4328">
        <v>-0.67633959999999904</v>
      </c>
      <c r="S4328">
        <v>2.9562680000000001</v>
      </c>
      <c r="T4328">
        <v>0.1117716</v>
      </c>
      <c r="U4328">
        <v>-1.2976379999999901</v>
      </c>
      <c r="V4328">
        <v>-0.1558321</v>
      </c>
      <c r="W4328">
        <v>0.19059860000000001</v>
      </c>
      <c r="X4328">
        <v>0.96922059999999999</v>
      </c>
      <c r="Y4328">
        <v>-0.4750297</v>
      </c>
      <c r="Z4328">
        <v>-4.300226E-2</v>
      </c>
      <c r="AA4328">
        <v>0.87891839999999999</v>
      </c>
      <c r="AB4328">
        <v>35</v>
      </c>
      <c r="AC4328">
        <v>58.974899999999899</v>
      </c>
      <c r="AD4328">
        <v>2.2336559999999999</v>
      </c>
      <c r="AE4328">
        <v>-25.8050128</v>
      </c>
      <c r="AF4328">
        <v>-30.672465360695</v>
      </c>
      <c r="AG4328">
        <v>2.2336559999999999</v>
      </c>
      <c r="AH4328">
        <v>56.508202395242201</v>
      </c>
      <c r="AI4328">
        <v>88.010333593465504</v>
      </c>
      <c r="AJ4328">
        <v>118.492963362938</v>
      </c>
      <c r="AK4328">
        <v>64.334798424888405</v>
      </c>
      <c r="AL4328">
        <v>79.012280365828303</v>
      </c>
      <c r="AM4328">
        <v>99.133893582081299</v>
      </c>
      <c r="AN4328">
        <v>1.0000000205883599</v>
      </c>
    </row>
    <row r="4329" spans="1:40" x14ac:dyDescent="0.25">
      <c r="A4329" t="str">
        <f>"20190303170626437"</f>
        <v>20190303170626437</v>
      </c>
      <c r="B4329" t="str">
        <f>"1551603986429168"</f>
        <v>1551603986429168</v>
      </c>
      <c r="C4329" t="s">
        <v>40</v>
      </c>
      <c r="D4329">
        <v>5.8073480000000002</v>
      </c>
      <c r="E4329">
        <v>0.3639657</v>
      </c>
      <c r="F4329" t="s">
        <v>94</v>
      </c>
      <c r="G4329">
        <v>-357.44819999999999</v>
      </c>
      <c r="H4329">
        <v>3.2721809999999998</v>
      </c>
      <c r="I4329">
        <v>0.32263849999999999</v>
      </c>
      <c r="J4329">
        <v>-417.07089999999999</v>
      </c>
      <c r="K4329">
        <v>1.1362760000000001</v>
      </c>
      <c r="L4329">
        <v>25.93158</v>
      </c>
      <c r="M4329">
        <v>0.62043680000000001</v>
      </c>
      <c r="N4329">
        <v>-1.6286829999999999E-2</v>
      </c>
      <c r="O4329">
        <v>-0.78408739999999999</v>
      </c>
      <c r="P4329">
        <v>0.72039730000000002</v>
      </c>
      <c r="Q4329">
        <v>0.17973310000000001</v>
      </c>
      <c r="R4329">
        <v>-0.66986880000000004</v>
      </c>
      <c r="S4329">
        <v>2.9642940000000002</v>
      </c>
      <c r="T4329">
        <v>0.1059942</v>
      </c>
      <c r="U4329">
        <v>-1.277496</v>
      </c>
      <c r="V4329">
        <v>-0.15660479999999999</v>
      </c>
      <c r="W4329">
        <v>0.18971660000000001</v>
      </c>
      <c r="X4329">
        <v>0.96926909999999999</v>
      </c>
      <c r="Y4329">
        <v>-0.4736532</v>
      </c>
      <c r="Z4329">
        <v>-4.1088069999999997E-2</v>
      </c>
      <c r="AA4329">
        <v>0.87975249999999905</v>
      </c>
      <c r="AB4329">
        <v>35</v>
      </c>
      <c r="AC4329">
        <v>59.622700000000002</v>
      </c>
      <c r="AD4329">
        <v>2.13590499999999</v>
      </c>
      <c r="AE4329">
        <v>-25.6089415</v>
      </c>
      <c r="AF4329">
        <v>-30.831365490636301</v>
      </c>
      <c r="AG4329">
        <v>2.13590499999999</v>
      </c>
      <c r="AH4329">
        <v>57.017556671271699</v>
      </c>
      <c r="AI4329">
        <v>88.112698004469294</v>
      </c>
      <c r="AJ4329">
        <v>118.401623207507</v>
      </c>
      <c r="AK4329">
        <v>64.854737351622205</v>
      </c>
      <c r="AL4329">
        <v>79.063754455282506</v>
      </c>
      <c r="AM4329">
        <v>99.177963908995295</v>
      </c>
      <c r="AN4329">
        <v>1.0000000199567001</v>
      </c>
    </row>
    <row r="4330" spans="1:40" x14ac:dyDescent="0.25">
      <c r="A4330" t="str">
        <f>"20190303170626449"</f>
        <v>20190303170626449</v>
      </c>
      <c r="B4330" t="str">
        <f>"1551603986438929"</f>
        <v>1551603986438929</v>
      </c>
      <c r="C4330" t="s">
        <v>40</v>
      </c>
      <c r="D4330">
        <v>5.7952380000000003</v>
      </c>
      <c r="E4330">
        <v>0.3644599</v>
      </c>
      <c r="F4330" t="s">
        <v>94</v>
      </c>
      <c r="G4330">
        <v>-356.06909999999999</v>
      </c>
      <c r="H4330">
        <v>3.2098119999999999</v>
      </c>
      <c r="I4330">
        <v>0.2293625</v>
      </c>
      <c r="J4330">
        <v>-416.96269999999998</v>
      </c>
      <c r="K4330">
        <v>1.136266</v>
      </c>
      <c r="L4330">
        <v>25.80341</v>
      </c>
      <c r="M4330">
        <v>0.6267353</v>
      </c>
      <c r="N4330">
        <v>-1.628785E-2</v>
      </c>
      <c r="O4330">
        <v>-0.77906200000000003</v>
      </c>
      <c r="P4330">
        <v>0.72675449999999997</v>
      </c>
      <c r="Q4330">
        <v>0.17876710000000001</v>
      </c>
      <c r="R4330">
        <v>-0.66322700000000001</v>
      </c>
      <c r="S4330">
        <v>2.9739990000000001</v>
      </c>
      <c r="T4330">
        <v>0.1010904</v>
      </c>
      <c r="U4330">
        <v>-1.2530520000000001</v>
      </c>
      <c r="V4330">
        <v>-0.15784039999999999</v>
      </c>
      <c r="W4330">
        <v>0.18870609999999999</v>
      </c>
      <c r="X4330">
        <v>0.96926590000000001</v>
      </c>
      <c r="Y4330">
        <v>-0.47379199999999999</v>
      </c>
      <c r="Z4330">
        <v>-3.9453559999999999E-2</v>
      </c>
      <c r="AA4330">
        <v>0.8797526</v>
      </c>
      <c r="AB4330">
        <v>35</v>
      </c>
      <c r="AC4330">
        <v>60.8935999999999</v>
      </c>
      <c r="AD4330">
        <v>2.0735459999999999</v>
      </c>
      <c r="AE4330">
        <v>-25.574047499999999</v>
      </c>
      <c r="AF4330">
        <v>-31.384963002481399</v>
      </c>
      <c r="AG4330">
        <v>2.0735459999999999</v>
      </c>
      <c r="AH4330">
        <v>58.038435843523899</v>
      </c>
      <c r="AI4330">
        <v>88.199988330812999</v>
      </c>
      <c r="AJ4330">
        <v>118.40282460698</v>
      </c>
      <c r="AK4330">
        <v>66.013449620846899</v>
      </c>
      <c r="AL4330">
        <v>79.122716526672704</v>
      </c>
      <c r="AM4330">
        <v>99.249160650100293</v>
      </c>
      <c r="AN4330">
        <v>0.99999998447608895</v>
      </c>
    </row>
    <row r="4331" spans="1:40" x14ac:dyDescent="0.25">
      <c r="A4331" t="str">
        <f>"20190303170626460"</f>
        <v>20190303170626460</v>
      </c>
      <c r="B4331" t="str">
        <f>"1551603986449664"</f>
        <v>1551603986449664</v>
      </c>
      <c r="C4331" t="s">
        <v>40</v>
      </c>
      <c r="D4331">
        <v>5.8151659999999996</v>
      </c>
      <c r="E4331">
        <v>0.3649212</v>
      </c>
      <c r="F4331" t="s">
        <v>95</v>
      </c>
      <c r="G4331">
        <v>-350.39</v>
      </c>
      <c r="H4331">
        <v>3.2356099999999999</v>
      </c>
      <c r="I4331">
        <v>-1.623712</v>
      </c>
      <c r="J4331">
        <v>-416.85120000000001</v>
      </c>
      <c r="K4331">
        <v>1.1362509999999999</v>
      </c>
      <c r="L4331">
        <v>25.672910000000002</v>
      </c>
      <c r="M4331">
        <v>0.63314040000000005</v>
      </c>
      <c r="N4331">
        <v>-1.628841E-2</v>
      </c>
      <c r="O4331">
        <v>-0.77386560000000004</v>
      </c>
      <c r="P4331">
        <v>0.73329509999999998</v>
      </c>
      <c r="Q4331">
        <v>0.1782339</v>
      </c>
      <c r="R4331">
        <v>-0.65613339999999998</v>
      </c>
      <c r="S4331">
        <v>2.9831850000000002</v>
      </c>
      <c r="T4331">
        <v>9.4073530000000002E-2</v>
      </c>
      <c r="U4331">
        <v>-1.229034</v>
      </c>
      <c r="V4331">
        <v>-0.15934309999999999</v>
      </c>
      <c r="W4331">
        <v>0.18811659999999999</v>
      </c>
      <c r="X4331">
        <v>0.96913459999999996</v>
      </c>
      <c r="Y4331">
        <v>-0.47362680000000001</v>
      </c>
      <c r="Z4331">
        <v>-3.72095E-2</v>
      </c>
      <c r="AA4331">
        <v>0.87993929999999998</v>
      </c>
      <c r="AB4331">
        <v>35</v>
      </c>
      <c r="AC4331">
        <v>66.461200000000005</v>
      </c>
      <c r="AD4331">
        <v>2.0993590000000002</v>
      </c>
      <c r="AE4331">
        <v>-27.296621999999999</v>
      </c>
      <c r="AF4331">
        <v>-34.124837877104298</v>
      </c>
      <c r="AG4331">
        <v>2.0993590000000002</v>
      </c>
      <c r="AH4331">
        <v>63.157650186530503</v>
      </c>
      <c r="AI4331">
        <v>88.324906947799406</v>
      </c>
      <c r="AJ4331">
        <v>118.38288602148</v>
      </c>
      <c r="AK4331">
        <v>71.817829578968002</v>
      </c>
      <c r="AL4331">
        <v>79.157108245219106</v>
      </c>
      <c r="AM4331">
        <v>99.336915526114495</v>
      </c>
      <c r="AN4331">
        <v>0.99999997581516398</v>
      </c>
    </row>
    <row r="4332" spans="1:40" x14ac:dyDescent="0.25">
      <c r="A4332" t="str">
        <f>"20190303170626475"</f>
        <v>20190303170626475</v>
      </c>
      <c r="B4332" t="str">
        <f>"1551603986459424"</f>
        <v>1551603986459424</v>
      </c>
      <c r="C4332" t="s">
        <v>40</v>
      </c>
      <c r="D4332">
        <v>5.7661100000000003</v>
      </c>
      <c r="E4332">
        <v>0.36543039999999999</v>
      </c>
      <c r="F4332" t="s">
        <v>95</v>
      </c>
      <c r="G4332">
        <v>-350.39</v>
      </c>
      <c r="H4332">
        <v>3.1269429999999998</v>
      </c>
      <c r="I4332">
        <v>-1.048737</v>
      </c>
      <c r="J4332">
        <v>-416.71460000000002</v>
      </c>
      <c r="K4332">
        <v>1.1362289999999999</v>
      </c>
      <c r="L4332">
        <v>25.51688</v>
      </c>
      <c r="M4332">
        <v>0.64081599999999905</v>
      </c>
      <c r="N4332">
        <v>-1.628754E-2</v>
      </c>
      <c r="O4332">
        <v>-0.76752169999999997</v>
      </c>
      <c r="P4332">
        <v>0.7402569</v>
      </c>
      <c r="Q4332">
        <v>0.177894</v>
      </c>
      <c r="R4332">
        <v>-0.64836229999999995</v>
      </c>
      <c r="S4332">
        <v>2.9926759999999999</v>
      </c>
      <c r="T4332">
        <v>8.9638709999999996E-2</v>
      </c>
      <c r="U4332">
        <v>-1.203247</v>
      </c>
      <c r="V4332">
        <v>-0.1599583</v>
      </c>
      <c r="W4332">
        <v>0.1877569</v>
      </c>
      <c r="X4332">
        <v>0.96910300000000005</v>
      </c>
      <c r="Y4332">
        <v>-0.47240539999999998</v>
      </c>
      <c r="Z4332">
        <v>-3.5672269999999999E-2</v>
      </c>
      <c r="AA4332">
        <v>0.88065919999999898</v>
      </c>
      <c r="AB4332">
        <v>35</v>
      </c>
      <c r="AC4332">
        <v>66.324600000000004</v>
      </c>
      <c r="AD4332">
        <v>1.9907139999999901</v>
      </c>
      <c r="AE4332">
        <v>-26.565617</v>
      </c>
      <c r="AF4332">
        <v>-33.860105784873703</v>
      </c>
      <c r="AG4332">
        <v>1.9907139999999901</v>
      </c>
      <c r="AH4332">
        <v>62.8511029631848</v>
      </c>
      <c r="AI4332">
        <v>88.402754946663904</v>
      </c>
      <c r="AJ4332">
        <v>118.31291271306</v>
      </c>
      <c r="AK4332">
        <v>71.4194010733883</v>
      </c>
      <c r="AL4332">
        <v>79.178091347970806</v>
      </c>
      <c r="AM4332">
        <v>99.372625730779106</v>
      </c>
      <c r="AN4332">
        <v>0.99999996792274903</v>
      </c>
    </row>
    <row r="4333" spans="1:40" x14ac:dyDescent="0.25">
      <c r="A4333" t="str">
        <f>"20190303170626489"</f>
        <v>20190303170626489</v>
      </c>
      <c r="B4333" t="str">
        <f>"1551603986478945"</f>
        <v>1551603986478945</v>
      </c>
      <c r="C4333" t="s">
        <v>40</v>
      </c>
      <c r="D4333">
        <v>5.799404</v>
      </c>
      <c r="E4333">
        <v>0.36658039999999997</v>
      </c>
      <c r="F4333" t="s">
        <v>95</v>
      </c>
      <c r="G4333">
        <v>-350.54129999999998</v>
      </c>
      <c r="H4333">
        <v>3.0090150000000002</v>
      </c>
      <c r="I4333">
        <v>-0.37827519999999998</v>
      </c>
      <c r="J4333">
        <v>-416.56229999999999</v>
      </c>
      <c r="K4333">
        <v>1.1362099999999999</v>
      </c>
      <c r="L4333">
        <v>25.34592</v>
      </c>
      <c r="M4333">
        <v>0.64921219999999902</v>
      </c>
      <c r="N4333">
        <v>-1.628549E-2</v>
      </c>
      <c r="O4333">
        <v>-0.76043319999999903</v>
      </c>
      <c r="P4333">
        <v>0.74757469999999904</v>
      </c>
      <c r="Q4333">
        <v>0.17794189999999999</v>
      </c>
      <c r="R4333">
        <v>-0.63989790000000002</v>
      </c>
      <c r="S4333">
        <v>3.0029910000000002</v>
      </c>
      <c r="T4333">
        <v>8.4988359999999999E-2</v>
      </c>
      <c r="U4333">
        <v>-1.1751400000000001</v>
      </c>
      <c r="V4333">
        <v>-0.16031979999999901</v>
      </c>
      <c r="W4333">
        <v>0.18779570000000001</v>
      </c>
      <c r="X4333">
        <v>0.9690358</v>
      </c>
      <c r="Y4333">
        <v>-0.47095169999999997</v>
      </c>
      <c r="Z4333">
        <v>-3.4053020000000003E-2</v>
      </c>
      <c r="AA4333">
        <v>0.88150149999999905</v>
      </c>
      <c r="AB4333">
        <v>35</v>
      </c>
      <c r="AC4333">
        <v>66.021000000000001</v>
      </c>
      <c r="AD4333">
        <v>1.8728050000000001</v>
      </c>
      <c r="AE4333">
        <v>-25.7241952</v>
      </c>
      <c r="AF4333">
        <v>-33.485143691059797</v>
      </c>
      <c r="AG4333">
        <v>1.8728050000000001</v>
      </c>
      <c r="AH4333">
        <v>62.387854255916601</v>
      </c>
      <c r="AI4333">
        <v>88.484892416945797</v>
      </c>
      <c r="AJ4333">
        <v>118.223583512565</v>
      </c>
      <c r="AK4333">
        <v>70.830830894720194</v>
      </c>
      <c r="AL4333">
        <v>79.175828608301103</v>
      </c>
      <c r="AM4333">
        <v>99.394070219005997</v>
      </c>
      <c r="AN4333">
        <v>1.0000000224460801</v>
      </c>
    </row>
    <row r="4334" spans="1:40" x14ac:dyDescent="0.25">
      <c r="A4334" t="str">
        <f>"20190303170626503"</f>
        <v>20190303170626503</v>
      </c>
      <c r="B4334" t="str">
        <f>"1551603986489680"</f>
        <v>1551603986489680</v>
      </c>
      <c r="C4334" t="s">
        <v>40</v>
      </c>
      <c r="D4334">
        <v>5.7861099999999999</v>
      </c>
      <c r="E4334">
        <v>0.36720799999999998</v>
      </c>
      <c r="F4334" t="s">
        <v>95</v>
      </c>
      <c r="G4334">
        <v>-350.54129999999998</v>
      </c>
      <c r="H4334">
        <v>2.880077</v>
      </c>
      <c r="I4334">
        <v>0.16473579999999999</v>
      </c>
      <c r="J4334">
        <v>-416.4171</v>
      </c>
      <c r="K4334">
        <v>1.1361889999999999</v>
      </c>
      <c r="L4334">
        <v>25.185880000000001</v>
      </c>
      <c r="M4334">
        <v>0.65705550000000001</v>
      </c>
      <c r="N4334">
        <v>-1.6282520000000002E-2</v>
      </c>
      <c r="O4334">
        <v>-0.75366630000000001</v>
      </c>
      <c r="P4334">
        <v>0.75420489999999996</v>
      </c>
      <c r="Q4334">
        <v>0.17833789999999999</v>
      </c>
      <c r="R4334">
        <v>-0.63195780000000001</v>
      </c>
      <c r="S4334">
        <v>3.0110169999999998</v>
      </c>
      <c r="T4334">
        <v>7.9532500000000006E-2</v>
      </c>
      <c r="U4334">
        <v>-1.1484379999999901</v>
      </c>
      <c r="V4334">
        <v>-0.16046079999999999</v>
      </c>
      <c r="W4334">
        <v>0.1881901</v>
      </c>
      <c r="X4334">
        <v>0.96893589999999996</v>
      </c>
      <c r="Y4334">
        <v>-0.46947889999999998</v>
      </c>
      <c r="Z4334">
        <v>-3.22408E-2</v>
      </c>
      <c r="AA4334">
        <v>0.88235490000000005</v>
      </c>
      <c r="AB4334">
        <v>35</v>
      </c>
      <c r="AC4334">
        <v>65.875799999999998</v>
      </c>
      <c r="AD4334">
        <v>1.7438880000000001</v>
      </c>
      <c r="AE4334">
        <v>-25.021144199999998</v>
      </c>
      <c r="AF4334">
        <v>-33.192165961828003</v>
      </c>
      <c r="AG4334">
        <v>1.7438880000000001</v>
      </c>
      <c r="AH4334">
        <v>62.1118514753868</v>
      </c>
      <c r="AI4334">
        <v>88.581500896350704</v>
      </c>
      <c r="AJ4334">
        <v>118.119754754779</v>
      </c>
      <c r="AK4334">
        <v>70.446029840542394</v>
      </c>
      <c r="AL4334">
        <v>79.152820471422203</v>
      </c>
      <c r="AM4334">
        <v>99.403136846581404</v>
      </c>
      <c r="AN4334">
        <v>0.99999998019172898</v>
      </c>
    </row>
    <row r="4335" spans="1:40" x14ac:dyDescent="0.25">
      <c r="A4335" t="str">
        <f>"20190303170626517"</f>
        <v>20190303170626517</v>
      </c>
      <c r="B4335" t="str">
        <f>"1551603986509200"</f>
        <v>1551603986509200</v>
      </c>
      <c r="C4335" t="s">
        <v>40</v>
      </c>
      <c r="D4335">
        <v>5.7834349999999999</v>
      </c>
      <c r="E4335">
        <v>0.3677996</v>
      </c>
      <c r="F4335" t="s">
        <v>95</v>
      </c>
      <c r="G4335">
        <v>-349.00709999999998</v>
      </c>
      <c r="H4335">
        <v>2.865345</v>
      </c>
      <c r="I4335">
        <v>0.166052799999999</v>
      </c>
      <c r="J4335">
        <v>-416.2724</v>
      </c>
      <c r="K4335">
        <v>1.1361669999999999</v>
      </c>
      <c r="L4335">
        <v>25.031040000000001</v>
      </c>
      <c r="M4335">
        <v>0.66466879999999995</v>
      </c>
      <c r="N4335">
        <v>-1.6277469999999999E-2</v>
      </c>
      <c r="O4335">
        <v>-0.74696090000000004</v>
      </c>
      <c r="P4335">
        <v>0.76070380000000004</v>
      </c>
      <c r="Q4335">
        <v>0.17868809999999999</v>
      </c>
      <c r="R4335">
        <v>-0.6240194</v>
      </c>
      <c r="S4335">
        <v>3.020111</v>
      </c>
      <c r="T4335">
        <v>7.7469830000000003E-2</v>
      </c>
      <c r="U4335">
        <v>-1.120941</v>
      </c>
      <c r="V4335">
        <v>-0.16072449999999999</v>
      </c>
      <c r="W4335">
        <v>0.18853329999999999</v>
      </c>
      <c r="X4335">
        <v>0.96882550000000001</v>
      </c>
      <c r="Y4335">
        <v>-0.46847299999999997</v>
      </c>
      <c r="Z4335">
        <v>-3.1400339999999999E-2</v>
      </c>
      <c r="AA4335">
        <v>0.88291960000000003</v>
      </c>
      <c r="AB4335">
        <v>35</v>
      </c>
      <c r="AC4335">
        <v>67.265299999999996</v>
      </c>
      <c r="AD4335">
        <v>1.7291779999999899</v>
      </c>
      <c r="AE4335">
        <v>-24.864987200000002</v>
      </c>
      <c r="AF4335">
        <v>-33.7024384426567</v>
      </c>
      <c r="AG4335">
        <v>1.7291779999999899</v>
      </c>
      <c r="AH4335">
        <v>63.253924096754702</v>
      </c>
      <c r="AI4335">
        <v>88.617939754584498</v>
      </c>
      <c r="AJ4335">
        <v>118.049218539214</v>
      </c>
      <c r="AK4335">
        <v>71.693119106192896</v>
      </c>
      <c r="AL4335">
        <v>79.1327984798492</v>
      </c>
      <c r="AM4335">
        <v>99.419367244274198</v>
      </c>
      <c r="AN4335">
        <v>1.0000000097796899</v>
      </c>
    </row>
    <row r="4336" spans="1:40" x14ac:dyDescent="0.25">
      <c r="A4336" t="str">
        <f>"20190303170626530"</f>
        <v>20190303170626530</v>
      </c>
      <c r="B4336" t="str">
        <f>"1551603986518960"</f>
        <v>1551603986518960</v>
      </c>
      <c r="C4336" t="s">
        <v>40</v>
      </c>
      <c r="D4336">
        <v>5.8124039999999999</v>
      </c>
      <c r="E4336">
        <v>0.38605410000000001</v>
      </c>
      <c r="F4336" t="s">
        <v>95</v>
      </c>
      <c r="G4336">
        <v>-348.71559999999999</v>
      </c>
      <c r="H4336">
        <v>2.7984100000000001</v>
      </c>
      <c r="I4336">
        <v>0.6355343</v>
      </c>
      <c r="J4336">
        <v>-416.13389999999998</v>
      </c>
      <c r="K4336">
        <v>1.1361380000000001</v>
      </c>
      <c r="L4336">
        <v>24.88504</v>
      </c>
      <c r="M4336">
        <v>0.67182889999999995</v>
      </c>
      <c r="N4336">
        <v>-1.627207E-2</v>
      </c>
      <c r="O4336">
        <v>-0.74052769999999901</v>
      </c>
      <c r="P4336">
        <v>0.76684459999999999</v>
      </c>
      <c r="Q4336">
        <v>0.17854020000000001</v>
      </c>
      <c r="R4336">
        <v>-0.61650059999999995</v>
      </c>
      <c r="S4336">
        <v>3.028931</v>
      </c>
      <c r="T4336">
        <v>7.4527259999999998E-2</v>
      </c>
      <c r="U4336">
        <v>-1.0937809999999999</v>
      </c>
      <c r="V4336">
        <v>-0.16094359999999999</v>
      </c>
      <c r="W4336">
        <v>0.18838160000000001</v>
      </c>
      <c r="X4336">
        <v>0.96881859999999997</v>
      </c>
      <c r="Y4336">
        <v>-0.46782669999999998</v>
      </c>
      <c r="Z4336">
        <v>-3.0328379999999999E-2</v>
      </c>
      <c r="AA4336">
        <v>0.88329969999999902</v>
      </c>
      <c r="AB4336">
        <v>35</v>
      </c>
      <c r="AC4336">
        <v>67.418299999999903</v>
      </c>
      <c r="AD4336">
        <v>1.662272</v>
      </c>
      <c r="AE4336">
        <v>-24.2495057</v>
      </c>
      <c r="AF4336">
        <v>-33.619954384627498</v>
      </c>
      <c r="AG4336">
        <v>1.662272</v>
      </c>
      <c r="AH4336">
        <v>63.225331404591003</v>
      </c>
      <c r="AI4336">
        <v>88.670208446785693</v>
      </c>
      <c r="AJ4336">
        <v>118.001730399839</v>
      </c>
      <c r="AK4336">
        <v>71.6275576314506</v>
      </c>
      <c r="AL4336">
        <v>79.141648449849697</v>
      </c>
      <c r="AM4336">
        <v>99.432043141488506</v>
      </c>
      <c r="AN4336">
        <v>0.99999997465273904</v>
      </c>
    </row>
    <row r="4337" spans="1:40" x14ac:dyDescent="0.25">
      <c r="A4337" t="str">
        <f>"20190303170626542"</f>
        <v>20190303170626542</v>
      </c>
      <c r="B4337" t="str">
        <f>"1551603986529697"</f>
        <v>1551603986529697</v>
      </c>
      <c r="C4337" t="s">
        <v>40</v>
      </c>
      <c r="D4337">
        <v>5.8164110000000004</v>
      </c>
      <c r="E4337">
        <v>0.38647920000000002</v>
      </c>
      <c r="F4337" t="s">
        <v>95</v>
      </c>
      <c r="G4337">
        <v>-350.39</v>
      </c>
      <c r="H4337">
        <v>1.127461</v>
      </c>
      <c r="I4337">
        <v>-1.3989389999999999</v>
      </c>
      <c r="J4337">
        <v>-416.00200000000001</v>
      </c>
      <c r="K4337">
        <v>1.136112</v>
      </c>
      <c r="L4337">
        <v>24.747959999999999</v>
      </c>
      <c r="M4337">
        <v>0.67853109999999905</v>
      </c>
      <c r="N4337">
        <v>-1.6266550000000001E-2</v>
      </c>
      <c r="O4337">
        <v>-0.73439140000000003</v>
      </c>
      <c r="P4337">
        <v>0.77267629999999998</v>
      </c>
      <c r="Q4337">
        <v>0.1775967</v>
      </c>
      <c r="R4337">
        <v>-0.60945090000000002</v>
      </c>
      <c r="S4337">
        <v>2.9606629999999998</v>
      </c>
      <c r="T4337">
        <v>-3.9076809999999998E-4</v>
      </c>
      <c r="U4337">
        <v>-1.1836549999999999</v>
      </c>
      <c r="V4337">
        <v>-0.16112389999999999</v>
      </c>
      <c r="W4337">
        <v>0.18743699999999999</v>
      </c>
      <c r="X4337">
        <v>0.96897180000000005</v>
      </c>
      <c r="Y4337">
        <v>-0.42997869999999999</v>
      </c>
      <c r="Z4337">
        <v>-9.3434810000000007E-3</v>
      </c>
      <c r="AA4337">
        <v>0.90279069999999995</v>
      </c>
      <c r="AB4337">
        <v>35</v>
      </c>
      <c r="AC4337">
        <v>65.611999999999895</v>
      </c>
      <c r="AD4337">
        <v>-8.6509999999999608E-3</v>
      </c>
      <c r="AE4337">
        <v>-26.146899000000001</v>
      </c>
      <c r="AF4337">
        <v>-30.447435720548299</v>
      </c>
      <c r="AG4337">
        <v>-8.6509999999999608E-3</v>
      </c>
      <c r="AH4337">
        <v>63.730278358717896</v>
      </c>
      <c r="AI4337">
        <v>90.007017781315398</v>
      </c>
      <c r="AJ4337">
        <v>115.536354714993</v>
      </c>
      <c r="AK4337">
        <v>70.629985108850093</v>
      </c>
      <c r="AL4337">
        <v>79.196751305877299</v>
      </c>
      <c r="AM4337">
        <v>99.440953358292305</v>
      </c>
      <c r="AN4337">
        <v>0.99999994465772302</v>
      </c>
    </row>
    <row r="4338" spans="1:40" x14ac:dyDescent="0.25">
      <c r="A4338" t="str">
        <f>"20190303170626554"</f>
        <v>20190303170626554</v>
      </c>
      <c r="B4338" t="str">
        <f>"1551603986549216"</f>
        <v>1551603986549216</v>
      </c>
      <c r="C4338" t="s">
        <v>40</v>
      </c>
      <c r="D4338">
        <v>5.8648020000000001</v>
      </c>
      <c r="E4338">
        <v>0.3875731</v>
      </c>
      <c r="F4338" t="s">
        <v>95</v>
      </c>
      <c r="G4338">
        <v>-350.39</v>
      </c>
      <c r="H4338">
        <v>0.98377309999999996</v>
      </c>
      <c r="I4338">
        <v>-0.86586689999999999</v>
      </c>
      <c r="J4338">
        <v>-415.88069999999999</v>
      </c>
      <c r="K4338">
        <v>1.136082</v>
      </c>
      <c r="L4338">
        <v>24.62537</v>
      </c>
      <c r="M4338">
        <v>0.68454780000000004</v>
      </c>
      <c r="N4338">
        <v>-1.626031E-2</v>
      </c>
      <c r="O4338">
        <v>-0.72878659999999995</v>
      </c>
      <c r="P4338">
        <v>0.77787890000000004</v>
      </c>
      <c r="Q4338">
        <v>0.17678279999999999</v>
      </c>
      <c r="R4338">
        <v>-0.60303589999999996</v>
      </c>
      <c r="S4338">
        <v>2.9697269999999998</v>
      </c>
      <c r="T4338">
        <v>-6.8951849999999999E-3</v>
      </c>
      <c r="U4338">
        <v>-1.159332</v>
      </c>
      <c r="V4338">
        <v>-0.16126670000000001</v>
      </c>
      <c r="W4338">
        <v>0.18662280000000001</v>
      </c>
      <c r="X4338">
        <v>0.9691052</v>
      </c>
      <c r="Y4338">
        <v>-0.42991770000000001</v>
      </c>
      <c r="Z4338">
        <v>-7.4249819999999897E-3</v>
      </c>
      <c r="AA4338">
        <v>0.90283760000000002</v>
      </c>
      <c r="AB4338">
        <v>35</v>
      </c>
      <c r="AC4338">
        <v>65.490700000000004</v>
      </c>
      <c r="AD4338">
        <v>-0.1523089</v>
      </c>
      <c r="AE4338">
        <v>-25.491236899999901</v>
      </c>
      <c r="AF4338">
        <v>-30.2826358718347</v>
      </c>
      <c r="AG4338">
        <v>-0.1523089</v>
      </c>
      <c r="AH4338">
        <v>63.417272995301801</v>
      </c>
      <c r="AI4338">
        <v>90.124175814619306</v>
      </c>
      <c r="AJ4338">
        <v>115.525128687197</v>
      </c>
      <c r="AK4338">
        <v>70.276679969302705</v>
      </c>
      <c r="AL4338">
        <v>79.244239594339007</v>
      </c>
      <c r="AM4338">
        <v>99.447892552802699</v>
      </c>
      <c r="AN4338">
        <v>0.99999995333788305</v>
      </c>
    </row>
    <row r="4339" spans="1:40" x14ac:dyDescent="0.25">
      <c r="A4339" t="str">
        <f>"20190303170626565"</f>
        <v>20190303170626565</v>
      </c>
      <c r="B4339" t="str">
        <f>"1551603986558976"</f>
        <v>1551603986558976</v>
      </c>
      <c r="C4339" t="s">
        <v>40</v>
      </c>
      <c r="D4339">
        <v>5.8611279999999999</v>
      </c>
      <c r="E4339">
        <v>0.38850119999999999</v>
      </c>
      <c r="F4339" t="s">
        <v>95</v>
      </c>
      <c r="G4339">
        <v>-350.54129999999998</v>
      </c>
      <c r="H4339">
        <v>0.80594739999999998</v>
      </c>
      <c r="I4339">
        <v>-0.45492549999999998</v>
      </c>
      <c r="J4339">
        <v>-415.74630000000002</v>
      </c>
      <c r="K4339">
        <v>1.136047</v>
      </c>
      <c r="L4339">
        <v>24.490780000000001</v>
      </c>
      <c r="M4339">
        <v>0.69112229999999997</v>
      </c>
      <c r="N4339">
        <v>-1.6253489999999999E-2</v>
      </c>
      <c r="O4339">
        <v>-0.72255499999999995</v>
      </c>
      <c r="P4339">
        <v>0.78322259999999999</v>
      </c>
      <c r="Q4339">
        <v>0.1760987</v>
      </c>
      <c r="R4339">
        <v>-0.59628139999999996</v>
      </c>
      <c r="S4339">
        <v>2.9748230000000002</v>
      </c>
      <c r="T4339">
        <v>-1.503062E-2</v>
      </c>
      <c r="U4339">
        <v>-1.1418759999999999</v>
      </c>
      <c r="V4339">
        <v>-0.16094439999999999</v>
      </c>
      <c r="W4339">
        <v>0.1859585</v>
      </c>
      <c r="X4339">
        <v>0.96928650000000005</v>
      </c>
      <c r="Y4339">
        <v>-0.42688090000000001</v>
      </c>
      <c r="Z4339">
        <v>-5.0870439999999998E-3</v>
      </c>
      <c r="AA4339">
        <v>0.90429349999999997</v>
      </c>
      <c r="AB4339">
        <v>35</v>
      </c>
      <c r="AC4339">
        <v>65.204999999999998</v>
      </c>
      <c r="AD4339">
        <v>-0.33009959999999999</v>
      </c>
      <c r="AE4339">
        <v>-24.945705499999999</v>
      </c>
      <c r="AF4339">
        <v>-29.876945134477101</v>
      </c>
      <c r="AG4339">
        <v>-0.33009959999999999</v>
      </c>
      <c r="AH4339">
        <v>63.096200148189901</v>
      </c>
      <c r="AI4339">
        <v>90.270914481656405</v>
      </c>
      <c r="AJ4339">
        <v>115.338218439383</v>
      </c>
      <c r="AK4339">
        <v>69.813116886835203</v>
      </c>
      <c r="AL4339">
        <v>79.282979747090195</v>
      </c>
      <c r="AM4339">
        <v>99.427617823293204</v>
      </c>
      <c r="AN4339">
        <v>0.99999999134793005</v>
      </c>
    </row>
    <row r="4340" spans="1:40" x14ac:dyDescent="0.25">
      <c r="A4340" t="str">
        <f>"20190303170626576"</f>
        <v>20190303170626576</v>
      </c>
      <c r="B4340" t="str">
        <f>"1551603986569712"</f>
        <v>1551603986569712</v>
      </c>
      <c r="C4340" t="s">
        <v>40</v>
      </c>
      <c r="D4340">
        <v>5.8616809999999999</v>
      </c>
      <c r="E4340">
        <v>0.38937290000000002</v>
      </c>
      <c r="F4340" t="s">
        <v>95</v>
      </c>
      <c r="G4340">
        <v>-350.54129999999998</v>
      </c>
      <c r="H4340">
        <v>0.66985309999999998</v>
      </c>
      <c r="I4340">
        <v>-5.5792330000000001E-2</v>
      </c>
      <c r="J4340">
        <v>-415.62920000000003</v>
      </c>
      <c r="K4340">
        <v>1.1360140000000001</v>
      </c>
      <c r="L4340">
        <v>24.375979999999998</v>
      </c>
      <c r="M4340">
        <v>0.69673660000000004</v>
      </c>
      <c r="N4340">
        <v>-1.6247000000000001E-2</v>
      </c>
      <c r="O4340">
        <v>-0.71714309999999903</v>
      </c>
      <c r="P4340">
        <v>0.78742489999999998</v>
      </c>
      <c r="Q4340">
        <v>0.17596110000000001</v>
      </c>
      <c r="R4340">
        <v>-0.59076240000000002</v>
      </c>
      <c r="S4340">
        <v>2.980804</v>
      </c>
      <c r="T4340">
        <v>-2.1311759999999999E-2</v>
      </c>
      <c r="U4340">
        <v>-1.122131</v>
      </c>
      <c r="V4340">
        <v>-0.160199799999999</v>
      </c>
      <c r="W4340">
        <v>0.18585499999999999</v>
      </c>
      <c r="X4340">
        <v>0.96942969999999895</v>
      </c>
      <c r="Y4340">
        <v>-0.42567559999999899</v>
      </c>
      <c r="Z4340">
        <v>-3.2815740000000002E-3</v>
      </c>
      <c r="AA4340">
        <v>0.9048699</v>
      </c>
      <c r="AB4340">
        <v>35</v>
      </c>
      <c r="AC4340">
        <v>65.087900000000005</v>
      </c>
      <c r="AD4340">
        <v>-0.46616089999999899</v>
      </c>
      <c r="AE4340">
        <v>-24.431772330000001</v>
      </c>
      <c r="AF4340">
        <v>-29.6574085009679</v>
      </c>
      <c r="AG4340">
        <v>-0.46616089999999899</v>
      </c>
      <c r="AH4340">
        <v>62.875669093383003</v>
      </c>
      <c r="AI4340">
        <v>90.384191311703006</v>
      </c>
      <c r="AJ4340">
        <v>115.252473164069</v>
      </c>
      <c r="AK4340">
        <v>69.520708777446799</v>
      </c>
      <c r="AL4340">
        <v>79.289015166554904</v>
      </c>
      <c r="AM4340">
        <v>99.383417565179201</v>
      </c>
      <c r="AN4340">
        <v>1.00000000009356</v>
      </c>
    </row>
    <row r="4341" spans="1:40" x14ac:dyDescent="0.25">
      <c r="A4341" t="str">
        <f>"20190303170626595"</f>
        <v>20190303170626595</v>
      </c>
      <c r="B4341" t="str">
        <f>"1551603986589232"</f>
        <v>1551603986589232</v>
      </c>
      <c r="C4341" t="s">
        <v>40</v>
      </c>
      <c r="D4341">
        <v>5.8688399999999996</v>
      </c>
      <c r="E4341">
        <v>0.39025670000000001</v>
      </c>
      <c r="F4341" t="s">
        <v>95</v>
      </c>
      <c r="G4341">
        <v>-350.54129999999998</v>
      </c>
      <c r="H4341">
        <v>0.5992345</v>
      </c>
      <c r="I4341">
        <v>0.24732109999999999</v>
      </c>
      <c r="J4341">
        <v>-415.4357</v>
      </c>
      <c r="K4341">
        <v>1.1359649999999999</v>
      </c>
      <c r="L4341">
        <v>24.189969999999999</v>
      </c>
      <c r="M4341">
        <v>0.70581590000000005</v>
      </c>
      <c r="N4341">
        <v>-1.6235779999999998E-2</v>
      </c>
      <c r="O4341">
        <v>-0.70820939999999999</v>
      </c>
      <c r="P4341">
        <v>0.79387839999999998</v>
      </c>
      <c r="Q4341">
        <v>0.17598820000000001</v>
      </c>
      <c r="R4341">
        <v>-0.58205269999999898</v>
      </c>
      <c r="S4341">
        <v>2.9851679999999998</v>
      </c>
      <c r="T4341">
        <v>-2.4618629999999999E-2</v>
      </c>
      <c r="U4341">
        <v>-1.1066279999999999</v>
      </c>
      <c r="V4341">
        <v>-0.1584999</v>
      </c>
      <c r="W4341">
        <v>0.1859557</v>
      </c>
      <c r="X4341">
        <v>0.96968980000000005</v>
      </c>
      <c r="Y4341">
        <v>-0.41869879999999998</v>
      </c>
      <c r="Z4341">
        <v>-2.3098839999999999E-3</v>
      </c>
      <c r="AA4341">
        <v>0.90812219999999999</v>
      </c>
      <c r="AB4341">
        <v>35</v>
      </c>
      <c r="AC4341">
        <v>64.894400000000005</v>
      </c>
      <c r="AD4341">
        <v>-0.536730499999999</v>
      </c>
      <c r="AE4341">
        <v>-23.942648899999998</v>
      </c>
      <c r="AF4341">
        <v>-29.0617993328495</v>
      </c>
      <c r="AG4341">
        <v>-0.536730499999999</v>
      </c>
      <c r="AH4341">
        <v>62.764395161737703</v>
      </c>
      <c r="AI4341">
        <v>90.444607244321901</v>
      </c>
      <c r="AJ4341">
        <v>114.845553106772</v>
      </c>
      <c r="AK4341">
        <v>69.168240978871196</v>
      </c>
      <c r="AL4341">
        <v>79.283143382030502</v>
      </c>
      <c r="AM4341">
        <v>99.2831449814541</v>
      </c>
      <c r="AN4341">
        <v>1.0000000244432601</v>
      </c>
    </row>
    <row r="4342" spans="1:40" x14ac:dyDescent="0.25">
      <c r="A4342" t="str">
        <f>"20190303170626606"</f>
        <v>20190303170626606</v>
      </c>
      <c r="B4342" t="str">
        <f>"1551603986598993"</f>
        <v>1551603986598993</v>
      </c>
      <c r="C4342" t="s">
        <v>40</v>
      </c>
      <c r="D4342">
        <v>5.8681210000000004</v>
      </c>
      <c r="E4342">
        <v>0.39080999999999999</v>
      </c>
      <c r="F4342" t="s">
        <v>95</v>
      </c>
      <c r="G4342">
        <v>-348.76100000000002</v>
      </c>
      <c r="H4342">
        <v>0.58275589999999999</v>
      </c>
      <c r="I4342">
        <v>0.1668096</v>
      </c>
      <c r="J4342">
        <v>-415.3005</v>
      </c>
      <c r="K4342">
        <v>1.135931</v>
      </c>
      <c r="L4342">
        <v>24.06241</v>
      </c>
      <c r="M4342">
        <v>0.71202589999999999</v>
      </c>
      <c r="N4342">
        <v>-1.6227720000000001E-2</v>
      </c>
      <c r="O4342">
        <v>-0.70196559999999997</v>
      </c>
      <c r="P4342">
        <v>0.7982783</v>
      </c>
      <c r="Q4342">
        <v>0.17659049999999901</v>
      </c>
      <c r="R4342">
        <v>-0.57581890000000002</v>
      </c>
      <c r="S4342">
        <v>2.9936219999999998</v>
      </c>
      <c r="T4342">
        <v>-2.4838450000000001E-2</v>
      </c>
      <c r="U4342">
        <v>-1.0786129999999901</v>
      </c>
      <c r="V4342">
        <v>-0.15746379999999999</v>
      </c>
      <c r="W4342">
        <v>0.18660270000000001</v>
      </c>
      <c r="X4342">
        <v>0.96973430000000005</v>
      </c>
      <c r="Y4342">
        <v>-0.41903659999999998</v>
      </c>
      <c r="Z4342">
        <v>-2.1535959999999998E-3</v>
      </c>
      <c r="AA4342">
        <v>0.90796679999999996</v>
      </c>
      <c r="AB4342">
        <v>35</v>
      </c>
      <c r="AC4342">
        <v>66.539500000000004</v>
      </c>
      <c r="AD4342">
        <v>-0.55317510000000003</v>
      </c>
      <c r="AE4342">
        <v>-23.895600399999999</v>
      </c>
      <c r="AF4342">
        <v>-29.696247393248299</v>
      </c>
      <c r="AG4342">
        <v>-0.55317510000000003</v>
      </c>
      <c r="AH4342">
        <v>64.156260180108404</v>
      </c>
      <c r="AI4342">
        <v>90.4483146414141</v>
      </c>
      <c r="AJ4342">
        <v>114.838178652666</v>
      </c>
      <c r="AK4342">
        <v>70.697940792006307</v>
      </c>
      <c r="AL4342">
        <v>79.245412494792703</v>
      </c>
      <c r="AM4342">
        <v>99.223092199601695</v>
      </c>
      <c r="AN4342">
        <v>1.0000000142771099</v>
      </c>
    </row>
    <row r="4343" spans="1:40" x14ac:dyDescent="0.25">
      <c r="A4343" t="str">
        <f>"20190303170626617"</f>
        <v>20190303170626617</v>
      </c>
      <c r="B4343" t="str">
        <f>"1551603986609729"</f>
        <v>1551603986609729</v>
      </c>
      <c r="C4343" t="s">
        <v>40</v>
      </c>
      <c r="D4343">
        <v>5.8748550000000002</v>
      </c>
      <c r="E4343">
        <v>0.39141860000000001</v>
      </c>
      <c r="F4343" t="s">
        <v>95</v>
      </c>
      <c r="G4343">
        <v>-348.04820000000001</v>
      </c>
      <c r="H4343">
        <v>0.60267720000000002</v>
      </c>
      <c r="I4343">
        <v>0.32352350000000002</v>
      </c>
      <c r="J4343">
        <v>-415.17290000000003</v>
      </c>
      <c r="K4343">
        <v>1.1358999999999999</v>
      </c>
      <c r="L4343">
        <v>23.944459999999999</v>
      </c>
      <c r="M4343">
        <v>0.71777029999999997</v>
      </c>
      <c r="N4343">
        <v>-1.621976E-2</v>
      </c>
      <c r="O4343">
        <v>-0.69609109999999996</v>
      </c>
      <c r="P4343">
        <v>0.80248520000000001</v>
      </c>
      <c r="Q4343">
        <v>0.17649429999999999</v>
      </c>
      <c r="R4343">
        <v>-0.56997159999999902</v>
      </c>
      <c r="S4343">
        <v>2.999603</v>
      </c>
      <c r="T4343">
        <v>-2.3784280000000001E-2</v>
      </c>
      <c r="U4343">
        <v>-1.0588070000000001</v>
      </c>
      <c r="V4343">
        <v>-0.15657399999999999</v>
      </c>
      <c r="W4343">
        <v>0.18654599999999999</v>
      </c>
      <c r="X4343">
        <v>0.96988929999999995</v>
      </c>
      <c r="Y4343">
        <v>-0.41747269999999997</v>
      </c>
      <c r="Z4343">
        <v>-2.3656459999999999E-3</v>
      </c>
      <c r="AA4343">
        <v>0.90868640000000001</v>
      </c>
      <c r="AB4343">
        <v>35</v>
      </c>
      <c r="AC4343">
        <v>67.124700000000004</v>
      </c>
      <c r="AD4343">
        <v>-0.533222799999999</v>
      </c>
      <c r="AE4343">
        <v>-23.620936499999999</v>
      </c>
      <c r="AF4343">
        <v>-29.7727430850064</v>
      </c>
      <c r="AG4343">
        <v>-0.533222799999999</v>
      </c>
      <c r="AH4343">
        <v>64.627309670167904</v>
      </c>
      <c r="AI4343">
        <v>90.429353226261</v>
      </c>
      <c r="AJ4343">
        <v>114.734749867438</v>
      </c>
      <c r="AK4343">
        <v>71.157499341699904</v>
      </c>
      <c r="AL4343">
        <v>79.248719518794204</v>
      </c>
      <c r="AM4343">
        <v>99.170421533087094</v>
      </c>
      <c r="AN4343">
        <v>1.0000000409232399</v>
      </c>
    </row>
    <row r="4344" spans="1:40" x14ac:dyDescent="0.25">
      <c r="A4344" t="str">
        <f>"20190303170626629"</f>
        <v>20190303170626629</v>
      </c>
      <c r="B4344" t="str">
        <f>"1551603986619489"</f>
        <v>1551603986619489</v>
      </c>
      <c r="C4344" t="s">
        <v>40</v>
      </c>
      <c r="D4344">
        <v>5.8472650000000002</v>
      </c>
      <c r="E4344">
        <v>0.39210129999999999</v>
      </c>
      <c r="F4344" t="s">
        <v>95</v>
      </c>
      <c r="G4344">
        <v>-346.53649999999999</v>
      </c>
      <c r="H4344">
        <v>0.56736980000000004</v>
      </c>
      <c r="I4344">
        <v>0.166814299999999</v>
      </c>
      <c r="J4344">
        <v>-415.05799999999999</v>
      </c>
      <c r="K4344">
        <v>1.1358680000000001</v>
      </c>
      <c r="L4344">
        <v>23.839780000000001</v>
      </c>
      <c r="M4344">
        <v>0.72286090000000003</v>
      </c>
      <c r="N4344">
        <v>-1.621237E-2</v>
      </c>
      <c r="O4344">
        <v>-0.69080339999999996</v>
      </c>
      <c r="P4344">
        <v>0.80641130000000005</v>
      </c>
      <c r="Q4344">
        <v>0.1760023</v>
      </c>
      <c r="R4344">
        <v>-0.56455649999999902</v>
      </c>
      <c r="S4344">
        <v>3.0046390000000001</v>
      </c>
      <c r="T4344">
        <v>-2.488804E-2</v>
      </c>
      <c r="U4344">
        <v>-1.040894</v>
      </c>
      <c r="V4344">
        <v>-0.15602379999999999</v>
      </c>
      <c r="W4344">
        <v>0.18608079999999999</v>
      </c>
      <c r="X4344">
        <v>0.97006729999999997</v>
      </c>
      <c r="Y4344">
        <v>-0.4161087</v>
      </c>
      <c r="Z4344">
        <v>-2.0057550000000001E-3</v>
      </c>
      <c r="AA4344">
        <v>0.90931269999999997</v>
      </c>
      <c r="AB4344">
        <v>35</v>
      </c>
      <c r="AC4344">
        <v>68.521500000000003</v>
      </c>
      <c r="AD4344">
        <v>-0.56849819999999995</v>
      </c>
      <c r="AE4344">
        <v>-23.672965699999999</v>
      </c>
      <c r="AF4344">
        <v>-30.224736990518601</v>
      </c>
      <c r="AG4344">
        <v>-0.56849819999999995</v>
      </c>
      <c r="AH4344">
        <v>65.889484899707696</v>
      </c>
      <c r="AI4344">
        <v>90.449322492663896</v>
      </c>
      <c r="AJ4344">
        <v>114.641807572207</v>
      </c>
      <c r="AK4344">
        <v>72.4933247733765</v>
      </c>
      <c r="AL4344">
        <v>79.275848397963898</v>
      </c>
      <c r="AM4344">
        <v>99.1370928358903</v>
      </c>
      <c r="AN4344">
        <v>1.0000000284121799</v>
      </c>
    </row>
    <row r="4345" spans="1:40" x14ac:dyDescent="0.25">
      <c r="A4345" t="str">
        <f>"20190303170626640"</f>
        <v>20190303170626640</v>
      </c>
      <c r="B4345" t="str">
        <f>"1551603986629249"</f>
        <v>1551603986629249</v>
      </c>
      <c r="C4345" t="s">
        <v>40</v>
      </c>
      <c r="D4345">
        <v>5.8688890000000002</v>
      </c>
      <c r="E4345">
        <v>0.39210129999999999</v>
      </c>
      <c r="F4345" t="s">
        <v>95</v>
      </c>
      <c r="G4345">
        <v>-346.01089999999999</v>
      </c>
      <c r="H4345">
        <v>0.51668579999999997</v>
      </c>
      <c r="I4345">
        <v>0.3235517</v>
      </c>
      <c r="J4345">
        <v>-414.91849999999999</v>
      </c>
      <c r="K4345">
        <v>1.13584</v>
      </c>
      <c r="L4345">
        <v>23.714479999999998</v>
      </c>
      <c r="M4345">
        <v>0.72893940000000002</v>
      </c>
      <c r="N4345">
        <v>-1.6203309999999999E-2</v>
      </c>
      <c r="O4345">
        <v>-0.68438669999999902</v>
      </c>
      <c r="P4345">
        <v>0.811334</v>
      </c>
      <c r="Q4345">
        <v>0.17516389999999901</v>
      </c>
      <c r="R4345">
        <v>-0.55772270000000002</v>
      </c>
      <c r="S4345">
        <v>3.0086360000000001</v>
      </c>
      <c r="T4345">
        <v>-2.698004E-2</v>
      </c>
      <c r="U4345">
        <v>-1.024689</v>
      </c>
      <c r="V4345">
        <v>-0.15572030000000001</v>
      </c>
      <c r="W4345">
        <v>0.18526090000000001</v>
      </c>
      <c r="X4345">
        <v>0.97027300000000005</v>
      </c>
      <c r="Y4345">
        <v>-0.41282380000000002</v>
      </c>
      <c r="Z4345">
        <v>-1.3912250000000001E-3</v>
      </c>
      <c r="AA4345">
        <v>0.91080989999999995</v>
      </c>
      <c r="AB4345">
        <v>35</v>
      </c>
      <c r="AC4345">
        <v>68.907600000000002</v>
      </c>
      <c r="AD4345">
        <v>-0.61915419999999999</v>
      </c>
      <c r="AE4345">
        <v>-23.390928299999999</v>
      </c>
      <c r="AF4345">
        <v>-30.1106439037721</v>
      </c>
      <c r="AG4345">
        <v>-0.61915419999999999</v>
      </c>
      <c r="AH4345">
        <v>66.241794719026998</v>
      </c>
      <c r="AI4345">
        <v>90.487520991894996</v>
      </c>
      <c r="AJ4345">
        <v>114.44448324319001</v>
      </c>
      <c r="AK4345">
        <v>72.766816584352895</v>
      </c>
      <c r="AL4345">
        <v>79.323656768389597</v>
      </c>
      <c r="AM4345">
        <v>99.117717269317694</v>
      </c>
      <c r="AN4345">
        <v>1.0000000537149401</v>
      </c>
    </row>
    <row r="4346" spans="1:40" x14ac:dyDescent="0.25">
      <c r="A4346" t="str">
        <f>"20190303170626653"</f>
        <v>20190303170626653</v>
      </c>
      <c r="B4346" t="str">
        <f>"1551603986639009"</f>
        <v>1551603986639009</v>
      </c>
      <c r="C4346" t="s">
        <v>40</v>
      </c>
      <c r="D4346">
        <v>5.8770569999999998</v>
      </c>
      <c r="E4346">
        <v>0.40082010000000001</v>
      </c>
      <c r="F4346" t="s">
        <v>95</v>
      </c>
      <c r="G4346">
        <v>-344.19699999999898</v>
      </c>
      <c r="H4346">
        <v>0.44405549999999999</v>
      </c>
      <c r="I4346">
        <v>0.30395220000000001</v>
      </c>
      <c r="J4346">
        <v>-414.78219999999999</v>
      </c>
      <c r="K4346">
        <v>1.135802</v>
      </c>
      <c r="L4346">
        <v>23.594940000000001</v>
      </c>
      <c r="M4346">
        <v>0.73474740000000005</v>
      </c>
      <c r="N4346">
        <v>-1.6193799999999901E-2</v>
      </c>
      <c r="O4346">
        <v>-0.67814770000000002</v>
      </c>
      <c r="P4346">
        <v>0.81612419999999997</v>
      </c>
      <c r="Q4346">
        <v>0.17419670000000001</v>
      </c>
      <c r="R4346">
        <v>-0.55099670000000001</v>
      </c>
      <c r="S4346">
        <v>3.0174259999999999</v>
      </c>
      <c r="T4346">
        <v>-2.9515860000000001E-2</v>
      </c>
      <c r="U4346">
        <v>-0.99884030000000001</v>
      </c>
      <c r="V4346">
        <v>-0.15555669999999999</v>
      </c>
      <c r="W4346">
        <v>0.18430630000000001</v>
      </c>
      <c r="X4346">
        <v>0.97048100000000004</v>
      </c>
      <c r="Y4346">
        <v>-0.41288239999999998</v>
      </c>
      <c r="Z4346">
        <v>-6.3906409999999999E-4</v>
      </c>
      <c r="AA4346">
        <v>0.91078409999999999</v>
      </c>
      <c r="AB4346">
        <v>35</v>
      </c>
      <c r="AC4346">
        <v>70.5852</v>
      </c>
      <c r="AD4346">
        <v>-0.69174649999999904</v>
      </c>
      <c r="AE4346">
        <v>-23.2909878</v>
      </c>
      <c r="AF4346">
        <v>-30.755563381570798</v>
      </c>
      <c r="AG4346">
        <v>-0.69174649999999904</v>
      </c>
      <c r="AH4346">
        <v>67.660025056920801</v>
      </c>
      <c r="AI4346">
        <v>90.533259660410295</v>
      </c>
      <c r="AJ4346">
        <v>114.44466118014699</v>
      </c>
      <c r="AK4346">
        <v>74.325380475590094</v>
      </c>
      <c r="AL4346">
        <v>79.379309506683299</v>
      </c>
      <c r="AM4346">
        <v>99.106379395057601</v>
      </c>
      <c r="AN4346">
        <v>1.00000003524778</v>
      </c>
    </row>
    <row r="4347" spans="1:40" x14ac:dyDescent="0.25">
      <c r="A4347" t="str">
        <f>"20190303170626664"</f>
        <v>20190303170626664</v>
      </c>
      <c r="B4347" t="str">
        <f>"1551603986659504"</f>
        <v>1551603986659504</v>
      </c>
      <c r="C4347" t="s">
        <v>40</v>
      </c>
      <c r="D4347">
        <v>5.8594850000000003</v>
      </c>
      <c r="E4347">
        <v>0.4018331</v>
      </c>
      <c r="F4347" t="s">
        <v>43</v>
      </c>
      <c r="G4347">
        <v>-350.66370000000001</v>
      </c>
      <c r="H4347">
        <v>-0.05</v>
      </c>
      <c r="I4347">
        <v>1.4556880000000001</v>
      </c>
      <c r="J4347">
        <v>-414.65269999999998</v>
      </c>
      <c r="K4347">
        <v>1.1357680000000001</v>
      </c>
      <c r="L4347">
        <v>23.48227</v>
      </c>
      <c r="M4347">
        <v>0.74019029999999997</v>
      </c>
      <c r="N4347">
        <v>-1.618501E-2</v>
      </c>
      <c r="O4347">
        <v>-0.67220249999999904</v>
      </c>
      <c r="P4347">
        <v>0.82036390000000003</v>
      </c>
      <c r="Q4347">
        <v>0.17372409999999999</v>
      </c>
      <c r="R4347">
        <v>-0.54481489999999999</v>
      </c>
      <c r="S4347">
        <v>2.9905400000000002</v>
      </c>
      <c r="T4347">
        <v>-5.5306790000000002E-2</v>
      </c>
      <c r="U4347">
        <v>-1.0325930000000001</v>
      </c>
      <c r="V4347">
        <v>-0.1550975</v>
      </c>
      <c r="W4347">
        <v>0.18385770000000001</v>
      </c>
      <c r="X4347">
        <v>0.97063949999999999</v>
      </c>
      <c r="Y4347">
        <v>-0.393758</v>
      </c>
      <c r="Z4347">
        <v>5.9834969999999999E-3</v>
      </c>
      <c r="AA4347">
        <v>0.91919470000000003</v>
      </c>
      <c r="AB4347">
        <v>35</v>
      </c>
      <c r="AC4347">
        <v>63.988999999999898</v>
      </c>
      <c r="AD4347">
        <v>-1.1857679999999999</v>
      </c>
      <c r="AE4347">
        <v>-22.026582000000001</v>
      </c>
      <c r="AF4347">
        <v>-26.705005900709601</v>
      </c>
      <c r="AG4347">
        <v>-1.1857679999999999</v>
      </c>
      <c r="AH4347">
        <v>62.159426464844401</v>
      </c>
      <c r="AI4347">
        <v>91.004129509960194</v>
      </c>
      <c r="AJ4347">
        <v>113.249384279365</v>
      </c>
      <c r="AK4347">
        <v>67.663562456799198</v>
      </c>
      <c r="AL4347">
        <v>79.405458501622903</v>
      </c>
      <c r="AM4347">
        <v>99.078488020052902</v>
      </c>
      <c r="AN4347">
        <v>0.99999996365789401</v>
      </c>
    </row>
    <row r="4348" spans="1:40" x14ac:dyDescent="0.25">
      <c r="A4348" t="str">
        <f>"20190303170626677"</f>
        <v>20190303170626677</v>
      </c>
      <c r="B4348" t="str">
        <f>"1551603986669264"</f>
        <v>1551603986669264</v>
      </c>
      <c r="C4348" t="s">
        <v>40</v>
      </c>
      <c r="D4348">
        <v>5.8831720000000001</v>
      </c>
      <c r="E4348">
        <v>0.40240369999999998</v>
      </c>
      <c r="F4348" t="s">
        <v>96</v>
      </c>
      <c r="G4348">
        <v>-360.54930000000002</v>
      </c>
      <c r="H4348">
        <v>7.9986450000000001E-2</v>
      </c>
      <c r="I4348">
        <v>5.1099319999999997</v>
      </c>
      <c r="J4348">
        <v>-414.5077</v>
      </c>
      <c r="K4348">
        <v>1.1357280000000001</v>
      </c>
      <c r="L4348">
        <v>23.359310000000001</v>
      </c>
      <c r="M4348">
        <v>0.74614569999999902</v>
      </c>
      <c r="N4348">
        <v>-1.6174190000000001E-2</v>
      </c>
      <c r="O4348">
        <v>-0.66558629999999996</v>
      </c>
      <c r="P4348">
        <v>0.82505830000000002</v>
      </c>
      <c r="Q4348">
        <v>0.17338719999999999</v>
      </c>
      <c r="R4348">
        <v>-0.53778800000000004</v>
      </c>
      <c r="S4348">
        <v>2.9940799999999999</v>
      </c>
      <c r="T4348">
        <v>-5.8426859999999997E-2</v>
      </c>
      <c r="U4348">
        <v>-1.016724</v>
      </c>
      <c r="V4348">
        <v>-0.1547606</v>
      </c>
      <c r="W4348">
        <v>0.18353990000000001</v>
      </c>
      <c r="X4348">
        <v>0.97075339999999999</v>
      </c>
      <c r="Y4348">
        <v>-0.39026</v>
      </c>
      <c r="Z4348">
        <v>6.7862159999999899E-3</v>
      </c>
      <c r="AA4348">
        <v>0.92067969999999999</v>
      </c>
      <c r="AB4348">
        <v>35</v>
      </c>
      <c r="AC4348">
        <v>53.958399999999898</v>
      </c>
      <c r="AD4348">
        <v>-1.05574155</v>
      </c>
      <c r="AE4348">
        <v>-18.249378</v>
      </c>
      <c r="AF4348">
        <v>-22.292534423557001</v>
      </c>
      <c r="AG4348">
        <v>-1.05574155</v>
      </c>
      <c r="AH4348">
        <v>52.396217464911899</v>
      </c>
      <c r="AI4348">
        <v>91.062190725090005</v>
      </c>
      <c r="AJ4348">
        <v>113.04784892656301</v>
      </c>
      <c r="AK4348">
        <v>56.9511657990967</v>
      </c>
      <c r="AL4348">
        <v>79.423982192493099</v>
      </c>
      <c r="AM4348">
        <v>99.058049961422796</v>
      </c>
      <c r="AN4348">
        <v>0.99999995090796301</v>
      </c>
    </row>
    <row r="4349" spans="1:40" x14ac:dyDescent="0.25">
      <c r="A4349" t="str">
        <f>"20190303170626689"</f>
        <v>20190303170626689</v>
      </c>
      <c r="B4349" t="str">
        <f>"1551603986679024"</f>
        <v>1551603986679024</v>
      </c>
      <c r="C4349" t="s">
        <v>40</v>
      </c>
      <c r="D4349">
        <v>5.8963580000000002</v>
      </c>
      <c r="E4349">
        <v>0.40240369999999998</v>
      </c>
      <c r="F4349" t="s">
        <v>96</v>
      </c>
      <c r="G4349">
        <v>-361.53199999999998</v>
      </c>
      <c r="H4349">
        <v>7.9986180000000004E-2</v>
      </c>
      <c r="I4349">
        <v>5.7953809999999999</v>
      </c>
      <c r="J4349">
        <v>-414.35559999999998</v>
      </c>
      <c r="K4349">
        <v>1.1356889999999999</v>
      </c>
      <c r="L4349">
        <v>23.232330000000001</v>
      </c>
      <c r="M4349">
        <v>0.75227469999999996</v>
      </c>
      <c r="N4349">
        <v>-1.6162619999999999E-2</v>
      </c>
      <c r="O4349">
        <v>-0.65865149999999995</v>
      </c>
      <c r="P4349">
        <v>0.82974669999999895</v>
      </c>
      <c r="Q4349">
        <v>0.1736962</v>
      </c>
      <c r="R4349">
        <v>-0.53042469999999997</v>
      </c>
      <c r="S4349">
        <v>3.0002439999999999</v>
      </c>
      <c r="T4349">
        <v>-5.9791209999999997E-2</v>
      </c>
      <c r="U4349">
        <v>-0.99472050000000001</v>
      </c>
      <c r="V4349">
        <v>-0.15436069999999999</v>
      </c>
      <c r="W4349">
        <v>0.18386949999999999</v>
      </c>
      <c r="X4349">
        <v>0.97075469999999997</v>
      </c>
      <c r="Y4349">
        <v>-0.38837919999999998</v>
      </c>
      <c r="Z4349">
        <v>7.1469230000000003E-3</v>
      </c>
      <c r="AA4349">
        <v>0.92147199999999996</v>
      </c>
      <c r="AB4349">
        <v>35</v>
      </c>
      <c r="AC4349">
        <v>52.823599999999999</v>
      </c>
      <c r="AD4349">
        <v>-1.05570282</v>
      </c>
      <c r="AE4349">
        <v>-17.436948999999998</v>
      </c>
      <c r="AF4349">
        <v>-21.669991767999399</v>
      </c>
      <c r="AG4349">
        <v>-1.05570282</v>
      </c>
      <c r="AH4349">
        <v>51.210971001736297</v>
      </c>
      <c r="AI4349">
        <v>91.0876313586148</v>
      </c>
      <c r="AJ4349">
        <v>112.93571751988701</v>
      </c>
      <c r="AK4349">
        <v>55.617143064076899</v>
      </c>
      <c r="AL4349">
        <v>79.404770572763596</v>
      </c>
      <c r="AM4349">
        <v>99.035018718626702</v>
      </c>
      <c r="AN4349">
        <v>0.99999995315341295</v>
      </c>
    </row>
    <row r="4350" spans="1:40" x14ac:dyDescent="0.25">
      <c r="A4350" t="str">
        <f>"20190303170626708"</f>
        <v>20190303170626708</v>
      </c>
      <c r="B4350" t="str">
        <f>"1551603986699520"</f>
        <v>1551603986699520</v>
      </c>
      <c r="C4350" t="s">
        <v>40</v>
      </c>
      <c r="D4350">
        <v>5.8793870000000004</v>
      </c>
      <c r="E4350">
        <v>0.4038041</v>
      </c>
      <c r="F4350" t="s">
        <v>96</v>
      </c>
      <c r="G4350">
        <v>-360.54590000000002</v>
      </c>
      <c r="H4350">
        <v>7.9986429999999997E-2</v>
      </c>
      <c r="I4350">
        <v>5.9162809999999997</v>
      </c>
      <c r="J4350">
        <v>-414.14659999999998</v>
      </c>
      <c r="K4350">
        <v>1.135635</v>
      </c>
      <c r="L4350">
        <v>23.06146</v>
      </c>
      <c r="M4350">
        <v>0.76050109999999904</v>
      </c>
      <c r="N4350">
        <v>-1.61461E-2</v>
      </c>
      <c r="O4350">
        <v>-0.64913589999999999</v>
      </c>
      <c r="P4350">
        <v>0.83553339999999998</v>
      </c>
      <c r="Q4350">
        <v>0.17576939999999999</v>
      </c>
      <c r="R4350">
        <v>-0.52056639999999998</v>
      </c>
      <c r="S4350">
        <v>3.008972</v>
      </c>
      <c r="T4350">
        <v>-5.9033629999999997E-2</v>
      </c>
      <c r="U4350">
        <v>-0.96829219999999905</v>
      </c>
      <c r="V4350">
        <v>-0.1534015</v>
      </c>
      <c r="W4350">
        <v>0.18598290000000001</v>
      </c>
      <c r="X4350">
        <v>0.97050420000000004</v>
      </c>
      <c r="Y4350">
        <v>-0.38490089999999999</v>
      </c>
      <c r="Z4350">
        <v>6.9424659999999996E-3</v>
      </c>
      <c r="AA4350">
        <v>0.92293179999999997</v>
      </c>
      <c r="AB4350">
        <v>35</v>
      </c>
      <c r="AC4350">
        <v>53.600699999999897</v>
      </c>
      <c r="AD4350">
        <v>-1.05564857</v>
      </c>
      <c r="AE4350">
        <v>-17.145178999999999</v>
      </c>
      <c r="AF4350">
        <v>-21.750393581255299</v>
      </c>
      <c r="AG4350">
        <v>-1.05564857</v>
      </c>
      <c r="AH4350">
        <v>51.8814511220071</v>
      </c>
      <c r="AI4350">
        <v>91.075029354367203</v>
      </c>
      <c r="AJ4350">
        <v>112.74501784725101</v>
      </c>
      <c r="AK4350">
        <v>56.266144219841998</v>
      </c>
      <c r="AL4350">
        <v>79.281557336453403</v>
      </c>
      <c r="AM4350">
        <v>98.982072644276002</v>
      </c>
      <c r="AN4350">
        <v>1.0000000307561401</v>
      </c>
    </row>
    <row r="4351" spans="1:40" x14ac:dyDescent="0.25">
      <c r="A4351" t="str">
        <f>"20190303170626721"</f>
        <v>20190303170626721</v>
      </c>
      <c r="B4351" t="str">
        <f>"1551603986709281"</f>
        <v>1551603986709281</v>
      </c>
      <c r="C4351" t="s">
        <v>40</v>
      </c>
      <c r="D4351">
        <v>5.8935079999999997</v>
      </c>
      <c r="E4351">
        <v>0.4045803</v>
      </c>
      <c r="F4351" t="s">
        <v>41</v>
      </c>
      <c r="G4351">
        <v>-355.51490000000001</v>
      </c>
      <c r="H4351">
        <v>7.9986899999999903E-2</v>
      </c>
      <c r="I4351">
        <v>4.7232260000000004</v>
      </c>
      <c r="J4351">
        <v>-413.98129999999998</v>
      </c>
      <c r="K4351">
        <v>1.135591</v>
      </c>
      <c r="L4351">
        <v>22.929259999999999</v>
      </c>
      <c r="M4351">
        <v>0.76684469999999905</v>
      </c>
      <c r="N4351">
        <v>-1.6132830000000001E-2</v>
      </c>
      <c r="O4351">
        <v>-0.64162989999999998</v>
      </c>
      <c r="P4351">
        <v>0.84013819999999995</v>
      </c>
      <c r="Q4351">
        <v>0.1762591</v>
      </c>
      <c r="R4351">
        <v>-0.51293350000000004</v>
      </c>
      <c r="S4351">
        <v>3.0144959999999998</v>
      </c>
      <c r="T4351">
        <v>-5.427527E-2</v>
      </c>
      <c r="U4351">
        <v>-0.94284060000000003</v>
      </c>
      <c r="V4351">
        <v>-0.1526284</v>
      </c>
      <c r="W4351">
        <v>0.18650810000000001</v>
      </c>
      <c r="X4351">
        <v>0.97052530000000004</v>
      </c>
      <c r="Y4351">
        <v>-0.3834166</v>
      </c>
      <c r="Z4351">
        <v>5.7665579999999998E-3</v>
      </c>
      <c r="AA4351">
        <v>0.92355750000000003</v>
      </c>
      <c r="AB4351">
        <v>34</v>
      </c>
      <c r="AC4351">
        <v>58.466399999999901</v>
      </c>
      <c r="AD4351">
        <v>-1.0556041</v>
      </c>
      <c r="AE4351">
        <v>-18.206033999999999</v>
      </c>
      <c r="AF4351">
        <v>-23.5486575910925</v>
      </c>
      <c r="AG4351">
        <v>-1.0556041</v>
      </c>
      <c r="AH4351">
        <v>56.506749345465799</v>
      </c>
      <c r="AI4351">
        <v>90.987885994126302</v>
      </c>
      <c r="AJ4351">
        <v>112.623475117513</v>
      </c>
      <c r="AK4351">
        <v>61.226352953199502</v>
      </c>
      <c r="AL4351">
        <v>79.250929689097504</v>
      </c>
      <c r="AM4351">
        <v>98.937346927845098</v>
      </c>
      <c r="AN4351">
        <v>1.0000000288961199</v>
      </c>
    </row>
    <row r="4352" spans="1:40" x14ac:dyDescent="0.25">
      <c r="A4352" t="str">
        <f>"20190303170626739"</f>
        <v>20190303170626739</v>
      </c>
      <c r="B4352" t="str">
        <f>"1551603986729777"</f>
        <v>1551603986729777</v>
      </c>
      <c r="C4352" t="s">
        <v>40</v>
      </c>
      <c r="D4352">
        <v>5.8994140000000002</v>
      </c>
      <c r="E4352">
        <v>0.41193010000000002</v>
      </c>
      <c r="F4352" t="s">
        <v>41</v>
      </c>
      <c r="G4352">
        <v>-354.23320000000001</v>
      </c>
      <c r="H4352">
        <v>7.9985810000000004E-2</v>
      </c>
      <c r="I4352">
        <v>4.7153650000000003</v>
      </c>
      <c r="J4352">
        <v>-413.77379999999999</v>
      </c>
      <c r="K4352">
        <v>1.1355189999999999</v>
      </c>
      <c r="L4352">
        <v>22.767610000000001</v>
      </c>
      <c r="M4352">
        <v>0.77459699999999998</v>
      </c>
      <c r="N4352">
        <v>-1.6115190000000001E-2</v>
      </c>
      <c r="O4352">
        <v>-0.63225010000000004</v>
      </c>
      <c r="P4352">
        <v>0.84590880000000002</v>
      </c>
      <c r="Q4352">
        <v>0.17643059999999999</v>
      </c>
      <c r="R4352">
        <v>-0.50330010000000003</v>
      </c>
      <c r="S4352">
        <v>3.0199889999999998</v>
      </c>
      <c r="T4352">
        <v>-5.3355930000000003E-2</v>
      </c>
      <c r="U4352">
        <v>-0.92062379999999999</v>
      </c>
      <c r="V4352">
        <v>-0.15185589999999999</v>
      </c>
      <c r="W4352">
        <v>0.18671699999999999</v>
      </c>
      <c r="X4352">
        <v>0.97060630000000003</v>
      </c>
      <c r="Y4352">
        <v>-0.37885760000000002</v>
      </c>
      <c r="Z4352">
        <v>5.5276479999999996E-3</v>
      </c>
      <c r="AA4352">
        <v>0.92543850000000005</v>
      </c>
      <c r="AB4352">
        <v>34</v>
      </c>
      <c r="AC4352">
        <v>59.540599999999898</v>
      </c>
      <c r="AD4352">
        <v>-1.05553319</v>
      </c>
      <c r="AE4352">
        <v>-18.052244999999999</v>
      </c>
      <c r="AF4352">
        <v>-23.6575945744788</v>
      </c>
      <c r="AG4352">
        <v>-1.05553319</v>
      </c>
      <c r="AH4352">
        <v>57.524407670847999</v>
      </c>
      <c r="AI4352">
        <v>90.972227968648994</v>
      </c>
      <c r="AJ4352">
        <v>112.355496207309</v>
      </c>
      <c r="AK4352">
        <v>62.208145843189399</v>
      </c>
      <c r="AL4352">
        <v>79.238746502026302</v>
      </c>
      <c r="AM4352">
        <v>98.892106716593304</v>
      </c>
      <c r="AN4352">
        <v>1.0000000210267499</v>
      </c>
    </row>
    <row r="4353" spans="1:40" x14ac:dyDescent="0.25">
      <c r="A4353" t="str">
        <f>"20190303170626750"</f>
        <v>20190303170626750</v>
      </c>
      <c r="B4353" t="str">
        <f>"1551603986739537"</f>
        <v>1551603986739537</v>
      </c>
      <c r="C4353" t="s">
        <v>40</v>
      </c>
      <c r="D4353">
        <v>5.8798909999999998</v>
      </c>
      <c r="E4353">
        <v>0.4126437</v>
      </c>
      <c r="F4353" t="s">
        <v>96</v>
      </c>
      <c r="G4353">
        <v>-369.12099999999998</v>
      </c>
      <c r="H4353">
        <v>7.9985609999999999E-2</v>
      </c>
      <c r="I4353">
        <v>8.8357460000000003</v>
      </c>
      <c r="J4353">
        <v>-413.64150000000001</v>
      </c>
      <c r="K4353">
        <v>1.135472</v>
      </c>
      <c r="L4353">
        <v>22.666720000000002</v>
      </c>
      <c r="M4353">
        <v>0.77942460000000002</v>
      </c>
      <c r="N4353">
        <v>-1.610367E-2</v>
      </c>
      <c r="O4353">
        <v>-0.62628909999999904</v>
      </c>
      <c r="P4353">
        <v>0.84962969999999904</v>
      </c>
      <c r="Q4353">
        <v>0.1759811</v>
      </c>
      <c r="R4353">
        <v>-0.49715189999999998</v>
      </c>
      <c r="S4353">
        <v>3.0036930000000002</v>
      </c>
      <c r="T4353">
        <v>-7.1003319999999995E-2</v>
      </c>
      <c r="U4353">
        <v>-0.93716429999999995</v>
      </c>
      <c r="V4353">
        <v>-0.15146799999999999</v>
      </c>
      <c r="W4353">
        <v>0.18628929999999999</v>
      </c>
      <c r="X4353">
        <v>0.97074910000000003</v>
      </c>
      <c r="Y4353">
        <v>-0.3656143</v>
      </c>
      <c r="Z4353">
        <v>9.7534409999999998E-3</v>
      </c>
      <c r="AA4353">
        <v>0.93071539999999997</v>
      </c>
      <c r="AB4353">
        <v>34</v>
      </c>
      <c r="AC4353">
        <v>44.520499999999998</v>
      </c>
      <c r="AD4353">
        <v>-1.05548639</v>
      </c>
      <c r="AE4353">
        <v>-13.830973999999999</v>
      </c>
      <c r="AF4353">
        <v>-17.095956651342</v>
      </c>
      <c r="AG4353">
        <v>-1.05548639</v>
      </c>
      <c r="AH4353">
        <v>43.345964485350599</v>
      </c>
      <c r="AI4353">
        <v>91.297647259138699</v>
      </c>
      <c r="AJ4353">
        <v>111.524628787664</v>
      </c>
      <c r="AK4353">
        <v>46.607493201300898</v>
      </c>
      <c r="AL4353">
        <v>79.263689718890404</v>
      </c>
      <c r="AM4353">
        <v>98.868470345001597</v>
      </c>
      <c r="AN4353">
        <v>1.00000003673464</v>
      </c>
    </row>
    <row r="4354" spans="1:40" x14ac:dyDescent="0.25">
      <c r="A4354" t="str">
        <f>"20190303170626761"</f>
        <v>20190303170626761</v>
      </c>
      <c r="B4354" t="str">
        <f>"1551603986749296"</f>
        <v>1551603986749296</v>
      </c>
      <c r="C4354" t="s">
        <v>40</v>
      </c>
      <c r="D4354">
        <v>5.8931290000000001</v>
      </c>
      <c r="E4354">
        <v>0.41322910000000002</v>
      </c>
      <c r="F4354" t="s">
        <v>97</v>
      </c>
      <c r="G4354">
        <v>-370.97179999999997</v>
      </c>
      <c r="H4354">
        <v>5.5788570000000003E-2</v>
      </c>
      <c r="I4354">
        <v>9.6105350000000005</v>
      </c>
      <c r="J4354">
        <v>-413.50209999999998</v>
      </c>
      <c r="K4354">
        <v>1.1354200000000001</v>
      </c>
      <c r="L4354">
        <v>22.561489999999999</v>
      </c>
      <c r="M4354">
        <v>0.78443189999999996</v>
      </c>
      <c r="N4354">
        <v>-1.609176E-2</v>
      </c>
      <c r="O4354">
        <v>-0.62000619999999995</v>
      </c>
      <c r="P4354">
        <v>0.85378369999999904</v>
      </c>
      <c r="Q4354">
        <v>0.1750941</v>
      </c>
      <c r="R4354">
        <v>-0.4903013</v>
      </c>
      <c r="S4354">
        <v>3.0081479999999998</v>
      </c>
      <c r="T4354">
        <v>-7.6115970000000005E-2</v>
      </c>
      <c r="U4354">
        <v>-0.9204407</v>
      </c>
      <c r="V4354">
        <v>-0.151534</v>
      </c>
      <c r="W4354">
        <v>0.18540799999999999</v>
      </c>
      <c r="X4354">
        <v>0.97090739999999998</v>
      </c>
      <c r="Y4354">
        <v>-0.36322919999999997</v>
      </c>
      <c r="Z4354">
        <v>1.096568E-2</v>
      </c>
      <c r="AA4354">
        <v>0.93163530000000006</v>
      </c>
      <c r="AB4354">
        <v>34</v>
      </c>
      <c r="AC4354">
        <v>42.530299999999997</v>
      </c>
      <c r="AD4354">
        <v>-1.0796314300000001</v>
      </c>
      <c r="AE4354">
        <v>-12.950955</v>
      </c>
      <c r="AF4354">
        <v>-16.2024514466334</v>
      </c>
      <c r="AG4354">
        <v>-1.0796314300000001</v>
      </c>
      <c r="AH4354">
        <v>41.372757619909002</v>
      </c>
      <c r="AI4354">
        <v>91.391920507423293</v>
      </c>
      <c r="AJ4354">
        <v>111.38636717073</v>
      </c>
      <c r="AK4354">
        <v>44.445360950057498</v>
      </c>
      <c r="AL4354">
        <v>79.3150786281129</v>
      </c>
      <c r="AM4354">
        <v>98.870849631066093</v>
      </c>
      <c r="AN4354">
        <v>0.99999992949737704</v>
      </c>
    </row>
    <row r="4355" spans="1:40" x14ac:dyDescent="0.25">
      <c r="A4355" t="str">
        <f>"20190303170626773"</f>
        <v>20190303170626773</v>
      </c>
      <c r="B4355" t="str">
        <f>"1551603986769793"</f>
        <v>1551603986769793</v>
      </c>
      <c r="C4355" t="s">
        <v>40</v>
      </c>
      <c r="D4355">
        <v>5.8788970000000003</v>
      </c>
      <c r="E4355">
        <v>0.41424430000000001</v>
      </c>
      <c r="F4355" t="s">
        <v>97</v>
      </c>
      <c r="G4355">
        <v>-371.11700000000002</v>
      </c>
      <c r="H4355" s="1">
        <v>-5.9803680000000003E-6</v>
      </c>
      <c r="I4355">
        <v>9.9012639999999994</v>
      </c>
      <c r="J4355">
        <v>-413.35820000000001</v>
      </c>
      <c r="K4355">
        <v>1.135362</v>
      </c>
      <c r="L4355">
        <v>22.4556</v>
      </c>
      <c r="M4355">
        <v>0.78948409999999902</v>
      </c>
      <c r="N4355">
        <v>-1.607832E-2</v>
      </c>
      <c r="O4355">
        <v>-0.61356029999999995</v>
      </c>
      <c r="P4355">
        <v>0.85795959999999905</v>
      </c>
      <c r="Q4355">
        <v>0.1743036</v>
      </c>
      <c r="R4355">
        <v>-0.48324279999999997</v>
      </c>
      <c r="S4355">
        <v>3.0133969999999999</v>
      </c>
      <c r="T4355">
        <v>-8.0723760000000006E-2</v>
      </c>
      <c r="U4355">
        <v>-0.90008539999999904</v>
      </c>
      <c r="V4355">
        <v>-0.15163550000000001</v>
      </c>
      <c r="W4355">
        <v>0.18462120000000001</v>
      </c>
      <c r="X4355">
        <v>0.97104159999999995</v>
      </c>
      <c r="Y4355">
        <v>-0.36179739999999999</v>
      </c>
      <c r="Z4355">
        <v>1.205294E-2</v>
      </c>
      <c r="AA4355">
        <v>0.93217890000000003</v>
      </c>
      <c r="AB4355">
        <v>34</v>
      </c>
      <c r="AC4355">
        <v>42.241199999999999</v>
      </c>
      <c r="AD4355">
        <v>-1.1353679803679999</v>
      </c>
      <c r="AE4355">
        <v>-12.554335999999999</v>
      </c>
      <c r="AF4355">
        <v>-15.997525570271801</v>
      </c>
      <c r="AG4355">
        <v>-1.1353679803679999</v>
      </c>
      <c r="AH4355">
        <v>41.029671572493498</v>
      </c>
      <c r="AI4355">
        <v>91.476843403134893</v>
      </c>
      <c r="AJ4355">
        <v>111.30087892733</v>
      </c>
      <c r="AK4355">
        <v>44.052739235705097</v>
      </c>
      <c r="AL4355">
        <v>79.360952205300805</v>
      </c>
      <c r="AM4355">
        <v>98.875489634998203</v>
      </c>
      <c r="AN4355">
        <v>1.0000000506401201</v>
      </c>
    </row>
    <row r="4356" spans="1:40" x14ac:dyDescent="0.25">
      <c r="A4356" t="str">
        <f>"20190303170626784"</f>
        <v>20190303170626784</v>
      </c>
      <c r="B4356" t="str">
        <f>"1551603986779553"</f>
        <v>1551603986779553</v>
      </c>
      <c r="C4356" t="s">
        <v>40</v>
      </c>
      <c r="D4356">
        <v>5.86998</v>
      </c>
      <c r="E4356">
        <v>0.4148037</v>
      </c>
      <c r="F4356" t="s">
        <v>97</v>
      </c>
      <c r="G4356">
        <v>-374.38049999999998</v>
      </c>
      <c r="H4356" s="1">
        <v>-4.4187889999999999E-6</v>
      </c>
      <c r="I4356">
        <v>11.060129999999999</v>
      </c>
      <c r="J4356">
        <v>-413.22089999999997</v>
      </c>
      <c r="K4356">
        <v>1.13531</v>
      </c>
      <c r="L4356">
        <v>22.355409999999999</v>
      </c>
      <c r="M4356">
        <v>0.79423180000000004</v>
      </c>
      <c r="N4356">
        <v>-1.6065909999999999E-2</v>
      </c>
      <c r="O4356">
        <v>-0.60740260000000001</v>
      </c>
      <c r="P4356">
        <v>0.86170840000000004</v>
      </c>
      <c r="Q4356">
        <v>0.17384439999999901</v>
      </c>
      <c r="R4356">
        <v>-0.4766938</v>
      </c>
      <c r="S4356">
        <v>3.017639</v>
      </c>
      <c r="T4356">
        <v>-8.7899679999999994E-2</v>
      </c>
      <c r="U4356">
        <v>-0.88223269999999998</v>
      </c>
      <c r="V4356">
        <v>-0.15149660000000001</v>
      </c>
      <c r="W4356">
        <v>0.18417459999999999</v>
      </c>
      <c r="X4356">
        <v>0.97114800000000001</v>
      </c>
      <c r="Y4356">
        <v>-0.3599426</v>
      </c>
      <c r="Z4356">
        <v>1.373195E-2</v>
      </c>
      <c r="AA4356">
        <v>0.93287339999999996</v>
      </c>
      <c r="AB4356">
        <v>34</v>
      </c>
      <c r="AC4356">
        <v>38.840399999999903</v>
      </c>
      <c r="AD4356">
        <v>-1.1353144187890001</v>
      </c>
      <c r="AE4356">
        <v>-11.295279999999901</v>
      </c>
      <c r="AF4356">
        <v>-14.611064950054899</v>
      </c>
      <c r="AG4356">
        <v>-1.1353144187890001</v>
      </c>
      <c r="AH4356">
        <v>37.684240324304</v>
      </c>
      <c r="AI4356">
        <v>91.608991347110901</v>
      </c>
      <c r="AJ4356">
        <v>111.192481661838</v>
      </c>
      <c r="AK4356">
        <v>40.433576723116303</v>
      </c>
      <c r="AL4356">
        <v>79.386986091245205</v>
      </c>
      <c r="AM4356">
        <v>98.866532744430899</v>
      </c>
      <c r="AN4356">
        <v>0.99999997050035905</v>
      </c>
    </row>
    <row r="4357" spans="1:40" x14ac:dyDescent="0.25">
      <c r="A4357" t="str">
        <f>"20190303170626797"</f>
        <v>20190303170626797</v>
      </c>
      <c r="B4357" t="str">
        <f>"1551603986789313"</f>
        <v>1551603986789313</v>
      </c>
      <c r="C4357" t="s">
        <v>40</v>
      </c>
      <c r="D4357">
        <v>5.8934680000000004</v>
      </c>
      <c r="E4357">
        <v>0.4148037</v>
      </c>
      <c r="F4357" t="s">
        <v>97</v>
      </c>
      <c r="G4357">
        <v>-376.01089999999999</v>
      </c>
      <c r="H4357" s="1">
        <v>-3.6142839999999998E-6</v>
      </c>
      <c r="I4357">
        <v>11.73057</v>
      </c>
      <c r="J4357">
        <v>-413.06209999999999</v>
      </c>
      <c r="K4357">
        <v>1.1352500000000001</v>
      </c>
      <c r="L4357">
        <v>22.242370000000001</v>
      </c>
      <c r="M4357">
        <v>0.79959519999999995</v>
      </c>
      <c r="N4357">
        <v>-1.6050729999999999E-2</v>
      </c>
      <c r="O4357">
        <v>-0.60032489999999905</v>
      </c>
      <c r="P4357">
        <v>0.86585630000000002</v>
      </c>
      <c r="Q4357">
        <v>0.1738809</v>
      </c>
      <c r="R4357">
        <v>-0.46910410000000002</v>
      </c>
      <c r="S4357">
        <v>3.0226139999999999</v>
      </c>
      <c r="T4357">
        <v>-9.2222810000000002E-2</v>
      </c>
      <c r="U4357">
        <v>-0.86306759999999905</v>
      </c>
      <c r="V4357">
        <v>-0.15137300000000001</v>
      </c>
      <c r="W4357">
        <v>0.18422240000000001</v>
      </c>
      <c r="X4357">
        <v>0.97115830000000003</v>
      </c>
      <c r="Y4357">
        <v>-0.35750559999999998</v>
      </c>
      <c r="Z4357">
        <v>1.4683150000000001E-2</v>
      </c>
      <c r="AA4357">
        <v>0.93379559999999995</v>
      </c>
      <c r="AB4357">
        <v>34</v>
      </c>
      <c r="AC4357">
        <v>37.051200000000001</v>
      </c>
      <c r="AD4357">
        <v>-1.135253614284</v>
      </c>
      <c r="AE4357">
        <v>-10.511799999999999</v>
      </c>
      <c r="AF4357">
        <v>-13.8273409519509</v>
      </c>
      <c r="AG4357">
        <v>-1.135253614284</v>
      </c>
      <c r="AH4357">
        <v>35.909883832919</v>
      </c>
      <c r="AI4357">
        <v>91.689872024638305</v>
      </c>
      <c r="AJ4357">
        <v>111.059534259465</v>
      </c>
      <c r="AK4357">
        <v>38.496803964277099</v>
      </c>
      <c r="AL4357">
        <v>79.3842006436237</v>
      </c>
      <c r="AM4357">
        <v>98.859321223666299</v>
      </c>
      <c r="AN4357">
        <v>1.0000000607248201</v>
      </c>
    </row>
    <row r="4358" spans="1:40" x14ac:dyDescent="0.25">
      <c r="A4358" t="str">
        <f>"20190303170626808"</f>
        <v>20190303170626808</v>
      </c>
      <c r="B4358" t="str">
        <f>"1551603986799073"</f>
        <v>1551603986799073</v>
      </c>
      <c r="C4358" t="s">
        <v>40</v>
      </c>
      <c r="D4358">
        <v>5.89893</v>
      </c>
      <c r="E4358">
        <v>0.42020619999999997</v>
      </c>
      <c r="F4358" t="s">
        <v>97</v>
      </c>
      <c r="G4358">
        <v>-375.59179999999998</v>
      </c>
      <c r="H4358" s="1">
        <v>-3.7297200000000002E-6</v>
      </c>
      <c r="I4358">
        <v>11.90164</v>
      </c>
      <c r="J4358">
        <v>-412.93099999999998</v>
      </c>
      <c r="K4358">
        <v>1.1352070000000001</v>
      </c>
      <c r="L4358">
        <v>22.150359999999999</v>
      </c>
      <c r="M4358">
        <v>0.80394330000000003</v>
      </c>
      <c r="N4358">
        <v>-1.6038340000000002E-2</v>
      </c>
      <c r="O4358">
        <v>-0.59448979999999996</v>
      </c>
      <c r="P4358">
        <v>0.86896709999999999</v>
      </c>
      <c r="Q4358">
        <v>0.17439859999999999</v>
      </c>
      <c r="R4358">
        <v>-0.46312170000000003</v>
      </c>
      <c r="S4358">
        <v>3.0301819999999999</v>
      </c>
      <c r="T4358">
        <v>-9.1806650000000004E-2</v>
      </c>
      <c r="U4358">
        <v>-0.83624270000000001</v>
      </c>
      <c r="V4358">
        <v>-0.15093509999999999</v>
      </c>
      <c r="W4358">
        <v>0.18476129999999999</v>
      </c>
      <c r="X4358">
        <v>0.97112399999999999</v>
      </c>
      <c r="Y4358">
        <v>-0.35898999999999998</v>
      </c>
      <c r="Z4358">
        <v>1.457901E-2</v>
      </c>
      <c r="AA4358">
        <v>0.93322749999999999</v>
      </c>
      <c r="AB4358">
        <v>34</v>
      </c>
      <c r="AC4358">
        <v>37.339199999999998</v>
      </c>
      <c r="AD4358">
        <v>-1.13521072972</v>
      </c>
      <c r="AE4358">
        <v>-10.24872</v>
      </c>
      <c r="AF4358">
        <v>-13.9481887331397</v>
      </c>
      <c r="AG4358">
        <v>-1.13521072972</v>
      </c>
      <c r="AH4358">
        <v>36.084983883973401</v>
      </c>
      <c r="AI4358">
        <v>91.680777886690393</v>
      </c>
      <c r="AJ4358">
        <v>111.13337158100001</v>
      </c>
      <c r="AK4358">
        <v>38.703575212669698</v>
      </c>
      <c r="AL4358">
        <v>79.352783825751203</v>
      </c>
      <c r="AM4358">
        <v>98.834404419064896</v>
      </c>
      <c r="AN4358">
        <v>0.99999998288284897</v>
      </c>
    </row>
    <row r="4359" spans="1:40" x14ac:dyDescent="0.25">
      <c r="A4359" t="str">
        <f>"20190303170626829"</f>
        <v>20190303170626829</v>
      </c>
      <c r="B4359" t="str">
        <f>"1551603986819568"</f>
        <v>1551603986819568</v>
      </c>
      <c r="C4359" t="s">
        <v>40</v>
      </c>
      <c r="D4359">
        <v>5.9020609999999998</v>
      </c>
      <c r="E4359">
        <v>0.4219175</v>
      </c>
      <c r="F4359" t="s">
        <v>98</v>
      </c>
      <c r="G4359">
        <v>-382.38249999999999</v>
      </c>
      <c r="H4359" s="1">
        <v>-4.6849959999999999E-6</v>
      </c>
      <c r="I4359">
        <v>13.50681</v>
      </c>
      <c r="J4359">
        <v>-412.67250000000001</v>
      </c>
      <c r="K4359">
        <v>1.135119</v>
      </c>
      <c r="L4359">
        <v>21.973210000000002</v>
      </c>
      <c r="M4359">
        <v>0.81229709999999999</v>
      </c>
      <c r="N4359">
        <v>-1.6013860000000001E-2</v>
      </c>
      <c r="O4359">
        <v>-0.58302379999999998</v>
      </c>
      <c r="P4359">
        <v>0.87514599999999898</v>
      </c>
      <c r="Q4359">
        <v>0.1746394</v>
      </c>
      <c r="R4359">
        <v>-0.45124350000000002</v>
      </c>
      <c r="S4359">
        <v>3.0195620000000001</v>
      </c>
      <c r="T4359">
        <v>-0.1122098</v>
      </c>
      <c r="U4359">
        <v>-0.85437009999999902</v>
      </c>
      <c r="V4359">
        <v>-0.1503168</v>
      </c>
      <c r="W4359">
        <v>0.18503549999999999</v>
      </c>
      <c r="X4359">
        <v>0.97116769999999997</v>
      </c>
      <c r="Y4359">
        <v>-0.33951379999999998</v>
      </c>
      <c r="Z4359">
        <v>1.886227E-2</v>
      </c>
      <c r="AA4359">
        <v>0.94041189999999997</v>
      </c>
      <c r="AB4359">
        <v>34</v>
      </c>
      <c r="AC4359">
        <v>30.29</v>
      </c>
      <c r="AD4359">
        <v>-1.135123684996</v>
      </c>
      <c r="AE4359">
        <v>-8.4664000000000001</v>
      </c>
      <c r="AF4359">
        <v>-10.769913665389801</v>
      </c>
      <c r="AG4359">
        <v>-1.135123684996</v>
      </c>
      <c r="AH4359">
        <v>29.505948614002801</v>
      </c>
      <c r="AI4359">
        <v>92.069703123739302</v>
      </c>
      <c r="AJ4359">
        <v>110.052497546098</v>
      </c>
      <c r="AK4359">
        <v>31.430567124256001</v>
      </c>
      <c r="AL4359">
        <v>79.336797750661106</v>
      </c>
      <c r="AM4359">
        <v>98.798392319298003</v>
      </c>
      <c r="AN4359">
        <v>0.99999998907288901</v>
      </c>
    </row>
    <row r="4360" spans="1:40" x14ac:dyDescent="0.25">
      <c r="A4360" t="str">
        <f>"20190303170626840"</f>
        <v>20190303170626840</v>
      </c>
      <c r="B4360" t="str">
        <f>"1551603986829330"</f>
        <v>1551603986829330</v>
      </c>
      <c r="C4360" t="s">
        <v>40</v>
      </c>
      <c r="D4360">
        <v>5.904325</v>
      </c>
      <c r="E4360">
        <v>0.42290889999999998</v>
      </c>
      <c r="F4360" t="s">
        <v>98</v>
      </c>
      <c r="G4360">
        <v>-382.47199999999998</v>
      </c>
      <c r="H4360" s="1">
        <v>-4.6016790000000004E-6</v>
      </c>
      <c r="I4360">
        <v>13.738</v>
      </c>
      <c r="J4360">
        <v>-412.53149999999999</v>
      </c>
      <c r="K4360">
        <v>1.1350629999999999</v>
      </c>
      <c r="L4360">
        <v>21.878450000000001</v>
      </c>
      <c r="M4360">
        <v>0.81674389999999997</v>
      </c>
      <c r="N4360">
        <v>-1.6000730000000001E-2</v>
      </c>
      <c r="O4360">
        <v>-0.57677869999999998</v>
      </c>
      <c r="P4360">
        <v>0.87846610000000003</v>
      </c>
      <c r="Q4360">
        <v>0.17455129999999999</v>
      </c>
      <c r="R4360">
        <v>-0.44478040000000002</v>
      </c>
      <c r="S4360">
        <v>3.025299</v>
      </c>
      <c r="T4360">
        <v>-0.11370959999999999</v>
      </c>
      <c r="U4360">
        <v>-0.824951199999999</v>
      </c>
      <c r="V4360">
        <v>-0.1500109</v>
      </c>
      <c r="W4360">
        <v>0.18496560000000001</v>
      </c>
      <c r="X4360">
        <v>0.97122830000000004</v>
      </c>
      <c r="Y4360">
        <v>-0.34124700000000002</v>
      </c>
      <c r="Z4360">
        <v>1.9188770000000001E-2</v>
      </c>
      <c r="AA4360">
        <v>0.9397778</v>
      </c>
      <c r="AB4360">
        <v>34</v>
      </c>
      <c r="AC4360">
        <v>30.0595</v>
      </c>
      <c r="AD4360">
        <v>-1.135067601679</v>
      </c>
      <c r="AE4360">
        <v>-8.1404499999999995</v>
      </c>
      <c r="AF4360">
        <v>-10.6762007497717</v>
      </c>
      <c r="AG4360">
        <v>-1.135067601679</v>
      </c>
      <c r="AH4360">
        <v>29.2110864675968</v>
      </c>
      <c r="AI4360">
        <v>92.090152868773899</v>
      </c>
      <c r="AJ4360">
        <v>110.076577062862</v>
      </c>
      <c r="AK4360">
        <v>31.121651844451002</v>
      </c>
      <c r="AL4360">
        <v>79.3408729421282</v>
      </c>
      <c r="AM4360">
        <v>98.780227255137802</v>
      </c>
      <c r="AN4360">
        <v>0.99999997701152898</v>
      </c>
    </row>
    <row r="4361" spans="1:40" x14ac:dyDescent="0.25">
      <c r="A4361" t="str">
        <f>"20190303170626851"</f>
        <v>20190303170626851</v>
      </c>
      <c r="B4361" t="str">
        <f>"1551603986839088"</f>
        <v>1551603986839088</v>
      </c>
      <c r="C4361" t="s">
        <v>40</v>
      </c>
      <c r="D4361">
        <v>5.9066530000000004</v>
      </c>
      <c r="E4361">
        <v>0.42290889999999998</v>
      </c>
      <c r="F4361" t="s">
        <v>98</v>
      </c>
      <c r="G4361">
        <v>-383.12889999999999</v>
      </c>
      <c r="H4361" s="1">
        <v>-4.2416259999999996E-6</v>
      </c>
      <c r="I4361">
        <v>14.01728</v>
      </c>
      <c r="J4361">
        <v>-412.4</v>
      </c>
      <c r="K4361">
        <v>1.1350129999999901</v>
      </c>
      <c r="L4361">
        <v>21.792079999999999</v>
      </c>
      <c r="M4361">
        <v>0.82080129999999996</v>
      </c>
      <c r="N4361">
        <v>-1.598815E-2</v>
      </c>
      <c r="O4361">
        <v>-0.57099009999999994</v>
      </c>
      <c r="P4361">
        <v>0.88163019999999903</v>
      </c>
      <c r="Q4361">
        <v>0.17344699999999999</v>
      </c>
      <c r="R4361">
        <v>-0.43891269999999999</v>
      </c>
      <c r="S4361">
        <v>3.0283199999999999</v>
      </c>
      <c r="T4361">
        <v>-0.11690639999999899</v>
      </c>
      <c r="U4361">
        <v>-0.80966190000000005</v>
      </c>
      <c r="V4361">
        <v>-0.14968199999999901</v>
      </c>
      <c r="W4361">
        <v>0.18388109999999999</v>
      </c>
      <c r="X4361">
        <v>0.97148500000000004</v>
      </c>
      <c r="Y4361">
        <v>-0.33923940000000002</v>
      </c>
      <c r="Z4361">
        <v>1.9803870000000001E-2</v>
      </c>
      <c r="AA4361">
        <v>0.94049159999999998</v>
      </c>
      <c r="AB4361">
        <v>34</v>
      </c>
      <c r="AC4361">
        <v>29.271099999999901</v>
      </c>
      <c r="AD4361">
        <v>-1.13501724162599</v>
      </c>
      <c r="AE4361">
        <v>-7.7747999999999902</v>
      </c>
      <c r="AF4361">
        <v>-10.318770048085</v>
      </c>
      <c r="AG4361">
        <v>-1.13501724162599</v>
      </c>
      <c r="AH4361">
        <v>28.428800266541099</v>
      </c>
      <c r="AI4361">
        <v>92.149256391357497</v>
      </c>
      <c r="AJ4361">
        <v>109.949322195131</v>
      </c>
      <c r="AK4361">
        <v>30.264863522555899</v>
      </c>
      <c r="AL4361">
        <v>79.404095264878293</v>
      </c>
      <c r="AM4361">
        <v>98.7589964200926</v>
      </c>
      <c r="AN4361">
        <v>1.0000000326431</v>
      </c>
    </row>
    <row r="4362" spans="1:40" x14ac:dyDescent="0.25">
      <c r="A4362" t="str">
        <f>"20190303170626861"</f>
        <v>20190303170626861</v>
      </c>
      <c r="B4362" t="str">
        <f>"1551603986849825"</f>
        <v>1551603986849825</v>
      </c>
      <c r="C4362" t="s">
        <v>40</v>
      </c>
      <c r="D4362">
        <v>5.907743</v>
      </c>
      <c r="E4362">
        <v>0.42924960000000001</v>
      </c>
      <c r="F4362" t="s">
        <v>98</v>
      </c>
      <c r="G4362">
        <v>-383.77550000000002</v>
      </c>
      <c r="H4362" s="1">
        <v>-3.8775569999999998E-6</v>
      </c>
      <c r="I4362">
        <v>14.3467</v>
      </c>
      <c r="J4362">
        <v>-412.25979999999998</v>
      </c>
      <c r="K4362">
        <v>1.1349579999999999</v>
      </c>
      <c r="L4362">
        <v>21.700710000000001</v>
      </c>
      <c r="M4362">
        <v>0.8250653</v>
      </c>
      <c r="N4362">
        <v>-1.5975260000000002E-2</v>
      </c>
      <c r="O4362">
        <v>-0.56481150000000002</v>
      </c>
      <c r="P4362">
        <v>0.8848724</v>
      </c>
      <c r="Q4362">
        <v>0.1721781</v>
      </c>
      <c r="R4362">
        <v>-0.4328458</v>
      </c>
      <c r="S4362">
        <v>3.03363</v>
      </c>
      <c r="T4362">
        <v>-0.1202892</v>
      </c>
      <c r="U4362">
        <v>-0.7890625</v>
      </c>
      <c r="V4362">
        <v>-0.14913199999999999</v>
      </c>
      <c r="W4362">
        <v>0.18264169999999999</v>
      </c>
      <c r="X4362">
        <v>0.97180330000000004</v>
      </c>
      <c r="Y4362">
        <v>-0.338534</v>
      </c>
      <c r="Z4362">
        <v>2.046564E-2</v>
      </c>
      <c r="AA4362">
        <v>0.9407316</v>
      </c>
      <c r="AB4362">
        <v>34</v>
      </c>
      <c r="AC4362">
        <v>28.484299999999902</v>
      </c>
      <c r="AD4362">
        <v>-1.1349618775569901</v>
      </c>
      <c r="AE4362">
        <v>-7.3540099999999997</v>
      </c>
      <c r="AF4362">
        <v>-10.0071058982801</v>
      </c>
      <c r="AG4362">
        <v>-1.1349618775569901</v>
      </c>
      <c r="AH4362">
        <v>27.617460141826498</v>
      </c>
      <c r="AI4362">
        <v>92.212667646295998</v>
      </c>
      <c r="AJ4362">
        <v>109.91783596642099</v>
      </c>
      <c r="AK4362">
        <v>29.396503390850299</v>
      </c>
      <c r="AL4362">
        <v>79.476330667157399</v>
      </c>
      <c r="AM4362">
        <v>98.724493759851399</v>
      </c>
      <c r="AN4362">
        <v>0.99999999894688996</v>
      </c>
    </row>
    <row r="4363" spans="1:40" x14ac:dyDescent="0.25">
      <c r="A4363" t="str">
        <f>"20190303170626874"</f>
        <v>20190303170626874</v>
      </c>
      <c r="B4363" t="str">
        <f>"1551603986869345"</f>
        <v>1551603986869345</v>
      </c>
      <c r="C4363" t="s">
        <v>40</v>
      </c>
      <c r="D4363">
        <v>5.9013019999999896</v>
      </c>
      <c r="E4363">
        <v>0.43003269999999999</v>
      </c>
      <c r="F4363" t="s">
        <v>98</v>
      </c>
      <c r="G4363">
        <v>-387.92790000000002</v>
      </c>
      <c r="H4363" s="1">
        <v>-1.9870519999999999E-6</v>
      </c>
      <c r="I4363">
        <v>15.14043</v>
      </c>
      <c r="J4363">
        <v>-412.1139</v>
      </c>
      <c r="K4363">
        <v>1.1348940000000001</v>
      </c>
      <c r="L4363">
        <v>21.60812</v>
      </c>
      <c r="M4363">
        <v>0.82939869999999905</v>
      </c>
      <c r="N4363">
        <v>-1.5961090000000001E-2</v>
      </c>
      <c r="O4363">
        <v>-0.55842910000000001</v>
      </c>
      <c r="P4363">
        <v>0.88804749999999999</v>
      </c>
      <c r="Q4363">
        <v>0.1712167</v>
      </c>
      <c r="R4363">
        <v>-0.42668060000000002</v>
      </c>
      <c r="S4363">
        <v>3.0195310000000002</v>
      </c>
      <c r="T4363">
        <v>-0.140846</v>
      </c>
      <c r="U4363">
        <v>-0.81411739999999999</v>
      </c>
      <c r="V4363">
        <v>-0.14843589999999901</v>
      </c>
      <c r="W4363">
        <v>0.1817153</v>
      </c>
      <c r="X4363">
        <v>0.97208349999999999</v>
      </c>
      <c r="Y4363">
        <v>-0.32270179999999998</v>
      </c>
      <c r="Z4363">
        <v>2.461139E-2</v>
      </c>
      <c r="AA4363">
        <v>0.94618060000000004</v>
      </c>
      <c r="AB4363">
        <v>34</v>
      </c>
      <c r="AC4363">
        <v>24.1859999999999</v>
      </c>
      <c r="AD4363">
        <v>-1.1348959870519999</v>
      </c>
      <c r="AE4363">
        <v>-6.4676900000000002</v>
      </c>
      <c r="AF4363">
        <v>-8.1262113184545797</v>
      </c>
      <c r="AG4363">
        <v>-1.1348959870519999</v>
      </c>
      <c r="AH4363">
        <v>23.6260500306404</v>
      </c>
      <c r="AI4363">
        <v>92.600815172784095</v>
      </c>
      <c r="AJ4363">
        <v>108.980723482164</v>
      </c>
      <c r="AK4363">
        <v>25.010268677963701</v>
      </c>
      <c r="AL4363">
        <v>79.530312844272899</v>
      </c>
      <c r="AM4363">
        <v>98.681927811773306</v>
      </c>
      <c r="AN4363">
        <v>0.99999999881757495</v>
      </c>
    </row>
    <row r="4364" spans="1:40" x14ac:dyDescent="0.25">
      <c r="A4364" t="str">
        <f>"20190303170626888"</f>
        <v>20190303170626888</v>
      </c>
      <c r="B4364" t="str">
        <f>"1551603986879106"</f>
        <v>1551603986879106</v>
      </c>
      <c r="C4364" t="s">
        <v>40</v>
      </c>
      <c r="D4364">
        <v>5.8828959999999997</v>
      </c>
      <c r="E4364">
        <v>0.43053999999999998</v>
      </c>
      <c r="F4364" t="s">
        <v>98</v>
      </c>
      <c r="G4364">
        <v>-388.86090000000002</v>
      </c>
      <c r="H4364" s="1">
        <v>-1.542221E-6</v>
      </c>
      <c r="I4364">
        <v>15.465809999999999</v>
      </c>
      <c r="J4364">
        <v>-411.92630000000003</v>
      </c>
      <c r="K4364">
        <v>1.1348199999999999</v>
      </c>
      <c r="L4364">
        <v>21.490629999999999</v>
      </c>
      <c r="M4364">
        <v>0.83486249999999995</v>
      </c>
      <c r="N4364">
        <v>-1.594307E-2</v>
      </c>
      <c r="O4364">
        <v>-0.55022789999999999</v>
      </c>
      <c r="P4364">
        <v>0.89186500000000002</v>
      </c>
      <c r="Q4364">
        <v>0.17066289999999901</v>
      </c>
      <c r="R4364">
        <v>-0.4188693</v>
      </c>
      <c r="S4364">
        <v>3.02298</v>
      </c>
      <c r="T4364">
        <v>-0.1475407</v>
      </c>
      <c r="U4364">
        <v>-0.79852290000000004</v>
      </c>
      <c r="V4364">
        <v>-0.14738960000000001</v>
      </c>
      <c r="W4364">
        <v>0.18121029999999999</v>
      </c>
      <c r="X4364">
        <v>0.97233689999999995</v>
      </c>
      <c r="Y4364">
        <v>-0.31814140000000002</v>
      </c>
      <c r="Z4364">
        <v>2.5784689999999999E-2</v>
      </c>
      <c r="AA4364">
        <v>0.9476926</v>
      </c>
      <c r="AB4364">
        <v>34</v>
      </c>
      <c r="AC4364">
        <v>23.0654</v>
      </c>
      <c r="AD4364">
        <v>-1.134821542221</v>
      </c>
      <c r="AE4364">
        <v>-6.0248199999999903</v>
      </c>
      <c r="AF4364">
        <v>-7.64497908664283</v>
      </c>
      <c r="AG4364">
        <v>-1.134821542221</v>
      </c>
      <c r="AH4364">
        <v>22.523288314490699</v>
      </c>
      <c r="AI4364">
        <v>92.731561183146994</v>
      </c>
      <c r="AJ4364">
        <v>108.748524049081</v>
      </c>
      <c r="AK4364">
        <v>23.812434601811901</v>
      </c>
      <c r="AL4364">
        <v>79.559735256241396</v>
      </c>
      <c r="AM4364">
        <v>98.619440024662794</v>
      </c>
      <c r="AN4364">
        <v>0.99999995705792899</v>
      </c>
    </row>
    <row r="4365" spans="1:40" x14ac:dyDescent="0.25">
      <c r="A4365" t="str">
        <f>"20190303170626902"</f>
        <v>20190303170626902</v>
      </c>
      <c r="B4365" t="str">
        <f>"1551603986888865"</f>
        <v>1551603986888865</v>
      </c>
      <c r="C4365" t="s">
        <v>40</v>
      </c>
      <c r="D4365">
        <v>5.8976290000000002</v>
      </c>
      <c r="E4365">
        <v>0.43096859999999998</v>
      </c>
      <c r="F4365" t="s">
        <v>98</v>
      </c>
      <c r="G4365">
        <v>-389.33920000000001</v>
      </c>
      <c r="H4365" s="1">
        <v>-1.2947789999999999E-6</v>
      </c>
      <c r="I4365">
        <v>15.70547</v>
      </c>
      <c r="J4365">
        <v>-411.7509</v>
      </c>
      <c r="K4365">
        <v>1.134749</v>
      </c>
      <c r="L4365">
        <v>21.38297</v>
      </c>
      <c r="M4365">
        <v>0.83984799999999904</v>
      </c>
      <c r="N4365">
        <v>-1.592592E-2</v>
      </c>
      <c r="O4365">
        <v>-0.54258819999999996</v>
      </c>
      <c r="P4365">
        <v>0.89518359999999997</v>
      </c>
      <c r="Q4365">
        <v>0.1707138</v>
      </c>
      <c r="R4365">
        <v>-0.41170800000000002</v>
      </c>
      <c r="S4365">
        <v>3.0285639999999998</v>
      </c>
      <c r="T4365">
        <v>-0.15216109999999999</v>
      </c>
      <c r="U4365">
        <v>-0.77569580000000005</v>
      </c>
      <c r="V4365">
        <v>-0.14627219999999999</v>
      </c>
      <c r="W4365">
        <v>0.18131059999999999</v>
      </c>
      <c r="X4365">
        <v>0.97248699999999999</v>
      </c>
      <c r="Y4365">
        <v>-0.31657259999999998</v>
      </c>
      <c r="Z4365">
        <v>2.656507E-2</v>
      </c>
      <c r="AA4365">
        <v>0.94819620000000004</v>
      </c>
      <c r="AB4365">
        <v>34</v>
      </c>
      <c r="AC4365">
        <v>22.4117</v>
      </c>
      <c r="AD4365">
        <v>-1.134750294779</v>
      </c>
      <c r="AE4365">
        <v>-5.6774999999999904</v>
      </c>
      <c r="AF4365">
        <v>-7.3752565879329799</v>
      </c>
      <c r="AG4365">
        <v>-1.134750294779</v>
      </c>
      <c r="AH4365">
        <v>21.853097104769802</v>
      </c>
      <c r="AI4365">
        <v>92.816673784101098</v>
      </c>
      <c r="AJ4365">
        <v>108.64915347919199</v>
      </c>
      <c r="AK4365">
        <v>23.091988243541198</v>
      </c>
      <c r="AL4365">
        <v>79.553892437263201</v>
      </c>
      <c r="AM4365">
        <v>98.553763366521807</v>
      </c>
      <c r="AN4365">
        <v>1.00000002766709</v>
      </c>
    </row>
    <row r="4366" spans="1:40" x14ac:dyDescent="0.25">
      <c r="A4366" t="str">
        <f>"20190303170626920"</f>
        <v>20190303170626920</v>
      </c>
      <c r="B4366" t="str">
        <f>"1551603986909361"</f>
        <v>1551603986909361</v>
      </c>
      <c r="C4366" t="s">
        <v>40</v>
      </c>
      <c r="D4366">
        <v>5.885192</v>
      </c>
      <c r="E4366">
        <v>0.43166290000000002</v>
      </c>
      <c r="F4366" t="s">
        <v>98</v>
      </c>
      <c r="G4366">
        <v>-389.29480000000001</v>
      </c>
      <c r="H4366" s="1">
        <v>-1.2866159999999999E-6</v>
      </c>
      <c r="I4366">
        <v>15.800219999999999</v>
      </c>
      <c r="J4366">
        <v>-411.52330000000001</v>
      </c>
      <c r="K4366">
        <v>1.1346540000000001</v>
      </c>
      <c r="L4366">
        <v>21.247070000000001</v>
      </c>
      <c r="M4366">
        <v>0.84612799999999999</v>
      </c>
      <c r="N4366">
        <v>-1.5901599999999998E-2</v>
      </c>
      <c r="O4366">
        <v>-0.53274270000000001</v>
      </c>
      <c r="P4366">
        <v>0.89878829999999998</v>
      </c>
      <c r="Q4366">
        <v>0.1717804</v>
      </c>
      <c r="R4366">
        <v>-0.40332519999999999</v>
      </c>
      <c r="S4366">
        <v>3.03363</v>
      </c>
      <c r="T4366">
        <v>-0.15329489999999901</v>
      </c>
      <c r="U4366">
        <v>-0.75418090000000004</v>
      </c>
      <c r="V4366">
        <v>-0.1438796</v>
      </c>
      <c r="W4366">
        <v>0.18247160000000001</v>
      </c>
      <c r="X4366">
        <v>0.97262669999999996</v>
      </c>
      <c r="Y4366">
        <v>-0.31219340000000001</v>
      </c>
      <c r="Z4366">
        <v>2.6434889999999999E-2</v>
      </c>
      <c r="AA4366">
        <v>0.94965069999999996</v>
      </c>
      <c r="AB4366">
        <v>34</v>
      </c>
      <c r="AC4366">
        <v>22.2285</v>
      </c>
      <c r="AD4366">
        <v>-1.134655286616</v>
      </c>
      <c r="AE4366">
        <v>-5.4468500000000004</v>
      </c>
      <c r="AF4366">
        <v>-7.2165143742952704</v>
      </c>
      <c r="AG4366">
        <v>-1.134655286616</v>
      </c>
      <c r="AH4366">
        <v>21.6594294671076</v>
      </c>
      <c r="AI4366">
        <v>92.845269656465504</v>
      </c>
      <c r="AJ4366">
        <v>108.427102748503</v>
      </c>
      <c r="AK4366">
        <v>22.8581803119685</v>
      </c>
      <c r="AL4366">
        <v>79.486242851679805</v>
      </c>
      <c r="AM4366">
        <v>98.414676549615194</v>
      </c>
      <c r="AN4366">
        <v>0.99999996082780396</v>
      </c>
    </row>
    <row r="4367" spans="1:40" x14ac:dyDescent="0.25">
      <c r="A4367" t="str">
        <f>"20190303170626932"</f>
        <v>20190303170626932</v>
      </c>
      <c r="B4367" t="str">
        <f>"1551603986919120"</f>
        <v>1551603986919120</v>
      </c>
      <c r="C4367" t="s">
        <v>40</v>
      </c>
      <c r="D4367">
        <v>5.8745589999999996</v>
      </c>
      <c r="E4367">
        <v>0.43200139999999998</v>
      </c>
      <c r="F4367" t="s">
        <v>98</v>
      </c>
      <c r="G4367">
        <v>-388.69690000000003</v>
      </c>
      <c r="H4367" s="1">
        <v>-1.526449E-6</v>
      </c>
      <c r="I4367">
        <v>15.76177</v>
      </c>
      <c r="J4367">
        <v>-411.3646</v>
      </c>
      <c r="K4367">
        <v>1.1345879999999999</v>
      </c>
      <c r="L4367">
        <v>21.154509999999998</v>
      </c>
      <c r="M4367">
        <v>0.85038919999999996</v>
      </c>
      <c r="N4367">
        <v>-1.5884220000000001E-2</v>
      </c>
      <c r="O4367">
        <v>-0.52591449999999995</v>
      </c>
      <c r="P4367">
        <v>0.90169049999999995</v>
      </c>
      <c r="Q4367">
        <v>0.17165710000000001</v>
      </c>
      <c r="R4367">
        <v>-0.39684760000000002</v>
      </c>
      <c r="S4367">
        <v>3.0390009999999998</v>
      </c>
      <c r="T4367">
        <v>-0.15106240000000001</v>
      </c>
      <c r="U4367">
        <v>-0.73028559999999998</v>
      </c>
      <c r="V4367">
        <v>-0.14302200000000001</v>
      </c>
      <c r="W4367">
        <v>0.18238670000000001</v>
      </c>
      <c r="X4367">
        <v>0.97276910000000005</v>
      </c>
      <c r="Y4367">
        <v>-0.31201180000000001</v>
      </c>
      <c r="Z4367">
        <v>2.578722E-2</v>
      </c>
      <c r="AA4367">
        <v>0.94972820000000002</v>
      </c>
      <c r="AB4367">
        <v>34</v>
      </c>
      <c r="AC4367">
        <v>22.6676999999999</v>
      </c>
      <c r="AD4367">
        <v>-1.134589526449</v>
      </c>
      <c r="AE4367">
        <v>-5.3927399999999999</v>
      </c>
      <c r="AF4367">
        <v>-7.3189152331119702</v>
      </c>
      <c r="AG4367">
        <v>-1.134589526449</v>
      </c>
      <c r="AH4367">
        <v>22.062961929904901</v>
      </c>
      <c r="AI4367">
        <v>92.794364078782394</v>
      </c>
      <c r="AJ4367">
        <v>108.35215846043999</v>
      </c>
      <c r="AK4367">
        <v>23.272904904704902</v>
      </c>
      <c r="AL4367">
        <v>79.491190292193707</v>
      </c>
      <c r="AM4367">
        <v>98.364025114968996</v>
      </c>
      <c r="AN4367">
        <v>0.99999996136784897</v>
      </c>
    </row>
    <row r="4368" spans="1:40" x14ac:dyDescent="0.25">
      <c r="A4368" t="str">
        <f>"20190303170626946"</f>
        <v>20190303170626946</v>
      </c>
      <c r="B4368" t="str">
        <f>"1551603986939617"</f>
        <v>1551603986939617</v>
      </c>
      <c r="C4368" t="s">
        <v>40</v>
      </c>
      <c r="D4368">
        <v>5.8714320000000004</v>
      </c>
      <c r="E4368">
        <v>0.43814350000000002</v>
      </c>
      <c r="F4368" t="s">
        <v>98</v>
      </c>
      <c r="G4368">
        <v>-388.4984</v>
      </c>
      <c r="H4368" s="1">
        <v>-1.588157E-6</v>
      </c>
      <c r="I4368">
        <v>15.81626</v>
      </c>
      <c r="J4368">
        <v>-411.19029999999998</v>
      </c>
      <c r="K4368">
        <v>1.1345179999999999</v>
      </c>
      <c r="L4368">
        <v>21.05423</v>
      </c>
      <c r="M4368">
        <v>0.85497389999999995</v>
      </c>
      <c r="N4368">
        <v>-1.586539E-2</v>
      </c>
      <c r="O4368">
        <v>-0.51842829999999995</v>
      </c>
      <c r="P4368">
        <v>0.90495740000000002</v>
      </c>
      <c r="Q4368">
        <v>0.17163900000000001</v>
      </c>
      <c r="R4368">
        <v>-0.38934819999999998</v>
      </c>
      <c r="S4368">
        <v>3.0431819999999998</v>
      </c>
      <c r="T4368">
        <v>-0.15099860000000001</v>
      </c>
      <c r="U4368">
        <v>-0.710449199999999</v>
      </c>
      <c r="V4368">
        <v>-0.1425207</v>
      </c>
      <c r="W4368">
        <v>0.18239559999999999</v>
      </c>
      <c r="X4368">
        <v>0.97284099999999996</v>
      </c>
      <c r="Y4368">
        <v>-0.30983539999999998</v>
      </c>
      <c r="Z4368">
        <v>2.5526199999999999E-2</v>
      </c>
      <c r="AA4368">
        <v>0.9504475</v>
      </c>
      <c r="AB4368">
        <v>34</v>
      </c>
      <c r="AC4368">
        <v>22.691899999999901</v>
      </c>
      <c r="AD4368">
        <v>-1.134519588157</v>
      </c>
      <c r="AE4368">
        <v>-5.2379699999999998</v>
      </c>
      <c r="AF4368">
        <v>-7.2694606880556103</v>
      </c>
      <c r="AG4368">
        <v>-1.134519588157</v>
      </c>
      <c r="AH4368">
        <v>22.066908761344401</v>
      </c>
      <c r="AI4368">
        <v>92.795605991096295</v>
      </c>
      <c r="AJ4368">
        <v>108.233337419509</v>
      </c>
      <c r="AK4368">
        <v>23.2611404637132</v>
      </c>
      <c r="AL4368">
        <v>79.490671625012098</v>
      </c>
      <c r="AM4368">
        <v>98.3345139504261</v>
      </c>
      <c r="AN4368">
        <v>0.99999995805442399</v>
      </c>
    </row>
    <row r="4369" spans="1:40" x14ac:dyDescent="0.25">
      <c r="A4369" t="str">
        <f>"20190303170626957"</f>
        <v>20190303170626957</v>
      </c>
      <c r="B4369" t="str">
        <f>"1551603986949376"</f>
        <v>1551603986949376</v>
      </c>
      <c r="C4369" t="s">
        <v>40</v>
      </c>
      <c r="D4369">
        <v>5.8675280000000001</v>
      </c>
      <c r="E4369">
        <v>0.43863360000000001</v>
      </c>
      <c r="F4369" t="s">
        <v>98</v>
      </c>
      <c r="G4369">
        <v>-389.80799999999999</v>
      </c>
      <c r="H4369" s="1">
        <v>-1.0618970000000001E-6</v>
      </c>
      <c r="I4369">
        <v>15.90405</v>
      </c>
      <c r="J4369">
        <v>-411.0299</v>
      </c>
      <c r="K4369">
        <v>1.1344399999999999</v>
      </c>
      <c r="L4369">
        <v>20.964230000000001</v>
      </c>
      <c r="M4369">
        <v>0.8590814</v>
      </c>
      <c r="N4369">
        <v>-1.5847119999999999E-2</v>
      </c>
      <c r="O4369">
        <v>-0.51159370000000004</v>
      </c>
      <c r="P4369">
        <v>0.90807910000000003</v>
      </c>
      <c r="Q4369">
        <v>0.1714157</v>
      </c>
      <c r="R4369">
        <v>-0.3821119</v>
      </c>
      <c r="S4369">
        <v>3.0314640000000002</v>
      </c>
      <c r="T4369">
        <v>-0.16084590000000001</v>
      </c>
      <c r="U4369">
        <v>-0.73016359999999902</v>
      </c>
      <c r="V4369">
        <v>-0.14250699999999999</v>
      </c>
      <c r="W4369">
        <v>0.1821818</v>
      </c>
      <c r="X4369">
        <v>0.9728831</v>
      </c>
      <c r="Y4369">
        <v>-0.29547519999999999</v>
      </c>
      <c r="Z4369">
        <v>2.7018159999999999E-2</v>
      </c>
      <c r="AA4369">
        <v>0.95496829999999999</v>
      </c>
      <c r="AB4369">
        <v>34</v>
      </c>
      <c r="AC4369">
        <v>21.221899999999899</v>
      </c>
      <c r="AD4369">
        <v>-1.134441061897</v>
      </c>
      <c r="AE4369">
        <v>-5.0601799999999999</v>
      </c>
      <c r="AF4369">
        <v>-6.4931446858592103</v>
      </c>
      <c r="AG4369">
        <v>-1.134441061897</v>
      </c>
      <c r="AH4369">
        <v>20.7665601853728</v>
      </c>
      <c r="AI4369">
        <v>92.984642671237594</v>
      </c>
      <c r="AJ4369">
        <v>107.363059555023</v>
      </c>
      <c r="AK4369">
        <v>21.7875631121778</v>
      </c>
      <c r="AL4369">
        <v>79.503130542951098</v>
      </c>
      <c r="AM4369">
        <v>98.333368471746496</v>
      </c>
      <c r="AN4369">
        <v>0.99999998978292404</v>
      </c>
    </row>
    <row r="4370" spans="1:40" x14ac:dyDescent="0.25">
      <c r="A4370" t="str">
        <f>"20190303170626976"</f>
        <v>20190303170626976</v>
      </c>
      <c r="B4370" t="str">
        <f>"1551603986968897"</f>
        <v>1551603986968897</v>
      </c>
      <c r="C4370" t="s">
        <v>40</v>
      </c>
      <c r="D4370">
        <v>5.8730229999999999</v>
      </c>
      <c r="E4370">
        <v>0.43954189999999999</v>
      </c>
      <c r="F4370" t="s">
        <v>41</v>
      </c>
      <c r="G4370">
        <v>-390.26139999999998</v>
      </c>
      <c r="H4370" s="1">
        <v>-5.206146E-6</v>
      </c>
      <c r="I4370">
        <v>16.108889999999999</v>
      </c>
      <c r="J4370">
        <v>-410.78820000000002</v>
      </c>
      <c r="K4370">
        <v>1.1343190000000001</v>
      </c>
      <c r="L4370">
        <v>20.831479999999999</v>
      </c>
      <c r="M4370">
        <v>0.86510159999999903</v>
      </c>
      <c r="N4370">
        <v>-1.581859E-2</v>
      </c>
      <c r="O4370">
        <v>-0.50134709999999905</v>
      </c>
      <c r="P4370">
        <v>0.91271199999999997</v>
      </c>
      <c r="Q4370">
        <v>0.1697186</v>
      </c>
      <c r="R4370">
        <v>-0.37168899999999999</v>
      </c>
      <c r="S4370">
        <v>3.0363159999999998</v>
      </c>
      <c r="T4370">
        <v>-0.16585329999999901</v>
      </c>
      <c r="U4370">
        <v>-0.70983890000000005</v>
      </c>
      <c r="V4370">
        <v>-0.14213020000000001</v>
      </c>
      <c r="W4370">
        <v>0.18051429999999999</v>
      </c>
      <c r="X4370">
        <v>0.97324900000000003</v>
      </c>
      <c r="Y4370">
        <v>-0.29047699999999999</v>
      </c>
      <c r="Z4370">
        <v>2.7577629999999999E-2</v>
      </c>
      <c r="AA4370">
        <v>0.95648449999999996</v>
      </c>
      <c r="AB4370">
        <v>34</v>
      </c>
      <c r="AC4370">
        <v>20.526800000000001</v>
      </c>
      <c r="AD4370">
        <v>-1.1343242061459999</v>
      </c>
      <c r="AE4370">
        <v>-4.7225900000000003</v>
      </c>
      <c r="AF4370">
        <v>-6.1883606429332998</v>
      </c>
      <c r="AG4370">
        <v>-1.1343242061459999</v>
      </c>
      <c r="AH4370">
        <v>20.069736825337198</v>
      </c>
      <c r="AI4370">
        <v>93.091536647977094</v>
      </c>
      <c r="AJ4370">
        <v>107.13677449273</v>
      </c>
      <c r="AK4370">
        <v>21.032756240919799</v>
      </c>
      <c r="AL4370">
        <v>79.600282366245807</v>
      </c>
      <c r="AM4370">
        <v>98.308561406503301</v>
      </c>
      <c r="AN4370">
        <v>1.0000000111287599</v>
      </c>
    </row>
    <row r="4371" spans="1:40" x14ac:dyDescent="0.25">
      <c r="A4371" t="str">
        <f>"20190303170626988"</f>
        <v>20190303170626988</v>
      </c>
      <c r="B4371" t="str">
        <f>"1551603986979633"</f>
        <v>1551603986979633</v>
      </c>
      <c r="C4371" t="s">
        <v>40</v>
      </c>
      <c r="D4371">
        <v>5.8649089999999999</v>
      </c>
      <c r="E4371">
        <v>0.44023479999999998</v>
      </c>
      <c r="F4371" t="s">
        <v>41</v>
      </c>
      <c r="G4371">
        <v>-390.5754</v>
      </c>
      <c r="H4371" s="1">
        <v>-5.0235549999999999E-6</v>
      </c>
      <c r="I4371">
        <v>16.301500000000001</v>
      </c>
      <c r="J4371">
        <v>-410.63459999999998</v>
      </c>
      <c r="K4371">
        <v>1.1342410000000001</v>
      </c>
      <c r="L4371">
        <v>20.74896</v>
      </c>
      <c r="M4371">
        <v>0.86882000000000004</v>
      </c>
      <c r="N4371">
        <v>-1.5799939999999998E-2</v>
      </c>
      <c r="O4371">
        <v>-0.49487599999999998</v>
      </c>
      <c r="P4371">
        <v>0.91550900000000002</v>
      </c>
      <c r="Q4371">
        <v>0.1692178</v>
      </c>
      <c r="R4371">
        <v>-0.36497819999999997</v>
      </c>
      <c r="S4371">
        <v>3.041077</v>
      </c>
      <c r="T4371">
        <v>-0.17066219999999999</v>
      </c>
      <c r="U4371">
        <v>-0.68154910000000002</v>
      </c>
      <c r="V4371">
        <v>-0.1420043</v>
      </c>
      <c r="W4371">
        <v>0.180027399999999</v>
      </c>
      <c r="X4371">
        <v>0.97335760000000004</v>
      </c>
      <c r="Y4371">
        <v>-0.29206949999999998</v>
      </c>
      <c r="Z4371">
        <v>2.8411659999999998E-2</v>
      </c>
      <c r="AA4371">
        <v>0.95597500000000002</v>
      </c>
      <c r="AB4371">
        <v>34</v>
      </c>
      <c r="AC4371">
        <v>20.059199999999901</v>
      </c>
      <c r="AD4371">
        <v>-1.134246023555</v>
      </c>
      <c r="AE4371">
        <v>-4.4474600000000004</v>
      </c>
      <c r="AF4371">
        <v>-6.0451085155109796</v>
      </c>
      <c r="AG4371">
        <v>-1.134246023555</v>
      </c>
      <c r="AH4371">
        <v>19.571580274875998</v>
      </c>
      <c r="AI4371">
        <v>93.169377774169604</v>
      </c>
      <c r="AJ4371">
        <v>107.164441760038</v>
      </c>
      <c r="AK4371">
        <v>20.515277367419799</v>
      </c>
      <c r="AL4371">
        <v>79.628644760843301</v>
      </c>
      <c r="AM4371">
        <v>98.300390936899106</v>
      </c>
      <c r="AN4371">
        <v>1.0000000517234999</v>
      </c>
    </row>
    <row r="4372" spans="1:40" x14ac:dyDescent="0.25">
      <c r="A4372" t="str">
        <f>"20190303170626998"</f>
        <v>20190303170626998</v>
      </c>
      <c r="B4372" t="str">
        <f>"1551603986989393"</f>
        <v>1551603986989393</v>
      </c>
      <c r="C4372" t="s">
        <v>40</v>
      </c>
      <c r="D4372">
        <v>5.8678169999999996</v>
      </c>
      <c r="E4372">
        <v>0.43992609999999899</v>
      </c>
      <c r="F4372" t="s">
        <v>41</v>
      </c>
      <c r="G4372">
        <v>-390.98570000000001</v>
      </c>
      <c r="H4372" s="1">
        <v>-4.8010679999999996E-6</v>
      </c>
      <c r="I4372">
        <v>16.462250000000001</v>
      </c>
      <c r="J4372">
        <v>-410.49149999999997</v>
      </c>
      <c r="K4372">
        <v>1.134166</v>
      </c>
      <c r="L4372">
        <v>20.67334</v>
      </c>
      <c r="M4372">
        <v>0.87220900000000001</v>
      </c>
      <c r="N4372">
        <v>-1.578216E-2</v>
      </c>
      <c r="O4372">
        <v>-0.4888788</v>
      </c>
      <c r="P4372">
        <v>0.91801710000000003</v>
      </c>
      <c r="Q4372">
        <v>0.1688549</v>
      </c>
      <c r="R4372">
        <v>-0.35879359999999999</v>
      </c>
      <c r="S4372">
        <v>3.044556</v>
      </c>
      <c r="T4372">
        <v>-0.17574870000000001</v>
      </c>
      <c r="U4372">
        <v>-0.66421509999999995</v>
      </c>
      <c r="V4372">
        <v>-0.14185059999999999</v>
      </c>
      <c r="W4372">
        <v>0.17967939999999999</v>
      </c>
      <c r="X4372">
        <v>0.97344430000000004</v>
      </c>
      <c r="Y4372">
        <v>-0.2908519</v>
      </c>
      <c r="Z4372">
        <v>2.919159E-2</v>
      </c>
      <c r="AA4372">
        <v>0.95632269999999997</v>
      </c>
      <c r="AB4372">
        <v>34</v>
      </c>
      <c r="AC4372">
        <v>19.505799999999901</v>
      </c>
      <c r="AD4372">
        <v>-1.1341708010680001</v>
      </c>
      <c r="AE4372">
        <v>-4.2110899999999898</v>
      </c>
      <c r="AF4372">
        <v>-5.84487072898958</v>
      </c>
      <c r="AG4372">
        <v>-1.1341708010680001</v>
      </c>
      <c r="AH4372">
        <v>19.012804222338801</v>
      </c>
      <c r="AI4372">
        <v>93.263442213749997</v>
      </c>
      <c r="AJ4372">
        <v>107.088349765559</v>
      </c>
      <c r="AK4372">
        <v>19.923242247224199</v>
      </c>
      <c r="AL4372">
        <v>79.648914118503299</v>
      </c>
      <c r="AM4372">
        <v>98.290803664255407</v>
      </c>
      <c r="AN4372">
        <v>1.0000000423536</v>
      </c>
    </row>
    <row r="4373" spans="1:40" x14ac:dyDescent="0.25">
      <c r="A4373" t="str">
        <f>"20190303170627008"</f>
        <v>20190303170627008</v>
      </c>
      <c r="B4373" t="str">
        <f>"1551603986999154"</f>
        <v>1551603986999154</v>
      </c>
      <c r="C4373" t="s">
        <v>40</v>
      </c>
      <c r="D4373">
        <v>5.8729930000000001</v>
      </c>
      <c r="E4373">
        <v>0.43992609999999899</v>
      </c>
      <c r="F4373" t="s">
        <v>41</v>
      </c>
      <c r="G4373">
        <v>-390.88569999999999</v>
      </c>
      <c r="H4373" s="1">
        <v>-4.8324289999999998E-6</v>
      </c>
      <c r="I4373">
        <v>16.551919999999999</v>
      </c>
      <c r="J4373">
        <v>-410.35700000000003</v>
      </c>
      <c r="K4373">
        <v>1.1340920000000001</v>
      </c>
      <c r="L4373">
        <v>20.603580000000001</v>
      </c>
      <c r="M4373">
        <v>0.87532379999999999</v>
      </c>
      <c r="N4373">
        <v>-1.5764609999999998E-2</v>
      </c>
      <c r="O4373">
        <v>-0.48328019999999999</v>
      </c>
      <c r="P4373">
        <v>0.92041870000000003</v>
      </c>
      <c r="Q4373">
        <v>0.16878609999999999</v>
      </c>
      <c r="R4373">
        <v>-0.35261969999999998</v>
      </c>
      <c r="S4373">
        <v>3.0498050000000001</v>
      </c>
      <c r="T4373">
        <v>-0.17642739999999901</v>
      </c>
      <c r="U4373">
        <v>-0.6411133</v>
      </c>
      <c r="V4373">
        <v>-0.1421221</v>
      </c>
      <c r="W4373">
        <v>0.17960909999999999</v>
      </c>
      <c r="X4373">
        <v>0.97341759999999999</v>
      </c>
      <c r="Y4373">
        <v>-0.29198560000000001</v>
      </c>
      <c r="Z4373">
        <v>2.917254E-2</v>
      </c>
      <c r="AA4373">
        <v>0.95597770000000004</v>
      </c>
      <c r="AB4373">
        <v>34</v>
      </c>
      <c r="AC4373">
        <v>19.4712999999999</v>
      </c>
      <c r="AD4373">
        <v>-1.1340968324289999</v>
      </c>
      <c r="AE4373">
        <v>-4.0516599999999903</v>
      </c>
      <c r="AF4373">
        <v>-5.8453012166576297</v>
      </c>
      <c r="AG4373">
        <v>-1.1340968324289999</v>
      </c>
      <c r="AH4373">
        <v>18.942546482019601</v>
      </c>
      <c r="AI4373">
        <v>93.274237821994603</v>
      </c>
      <c r="AJ4373">
        <v>107.149207834275</v>
      </c>
      <c r="AK4373">
        <v>19.8563286929447</v>
      </c>
      <c r="AL4373">
        <v>79.6530078870464</v>
      </c>
      <c r="AM4373">
        <v>98.306675595648301</v>
      </c>
      <c r="AN4373">
        <v>0.99999997205048896</v>
      </c>
    </row>
    <row r="4374" spans="1:40" x14ac:dyDescent="0.25">
      <c r="A4374" t="str">
        <f>"20190303170627030"</f>
        <v>20190303170627030</v>
      </c>
      <c r="B4374" t="str">
        <f>"1551603987019649"</f>
        <v>1551603987019649</v>
      </c>
      <c r="C4374" t="s">
        <v>40</v>
      </c>
      <c r="D4374">
        <v>5.7968400000000004</v>
      </c>
      <c r="E4374">
        <v>0.40855520000000001</v>
      </c>
      <c r="F4374" t="s">
        <v>41</v>
      </c>
      <c r="G4374">
        <v>-390.75220000000002</v>
      </c>
      <c r="H4374" s="1">
        <v>-4.8835139999999999E-6</v>
      </c>
      <c r="I4374">
        <v>16.619730000000001</v>
      </c>
      <c r="J4374">
        <v>-410.07909999999998</v>
      </c>
      <c r="K4374">
        <v>1.1339349999999999</v>
      </c>
      <c r="L4374">
        <v>20.462710000000001</v>
      </c>
      <c r="M4374">
        <v>0.8815598</v>
      </c>
      <c r="N4374">
        <v>-1.5726830000000001E-2</v>
      </c>
      <c r="O4374">
        <v>-0.47181010000000001</v>
      </c>
      <c r="P4374">
        <v>0.92491769999999995</v>
      </c>
      <c r="Q4374">
        <v>0.17004540000000001</v>
      </c>
      <c r="R4374">
        <v>-0.34001730000000002</v>
      </c>
      <c r="S4374">
        <v>3.0540470000000002</v>
      </c>
      <c r="T4374">
        <v>-0.1766701</v>
      </c>
      <c r="U4374">
        <v>-0.62060550000000003</v>
      </c>
      <c r="V4374">
        <v>-0.14256489999999999</v>
      </c>
      <c r="W4374">
        <v>0.1808679</v>
      </c>
      <c r="X4374">
        <v>0.97311970000000003</v>
      </c>
      <c r="Y4374">
        <v>-0.2859334</v>
      </c>
      <c r="Z4374">
        <v>2.862555E-2</v>
      </c>
      <c r="AA4374">
        <v>0.95782179999999995</v>
      </c>
      <c r="AB4374">
        <v>34</v>
      </c>
      <c r="AC4374">
        <v>19.326899999999899</v>
      </c>
      <c r="AD4374">
        <v>-1.133939883514</v>
      </c>
      <c r="AE4374">
        <v>-3.8429799999999998</v>
      </c>
      <c r="AF4374">
        <v>-5.7126025244488199</v>
      </c>
      <c r="AG4374">
        <v>-1.133939883514</v>
      </c>
      <c r="AH4374">
        <v>18.791083244532999</v>
      </c>
      <c r="AI4374">
        <v>93.304336209412298</v>
      </c>
      <c r="AJ4374">
        <v>106.90958781844</v>
      </c>
      <c r="AK4374">
        <v>19.672937166695</v>
      </c>
      <c r="AL4374">
        <v>79.579682867506506</v>
      </c>
      <c r="AM4374">
        <v>98.334708235967298</v>
      </c>
      <c r="AN4374">
        <v>0.99999994924525304</v>
      </c>
    </row>
    <row r="4375" spans="1:40" x14ac:dyDescent="0.25">
      <c r="A4375" t="str">
        <f>"20190303170627040"</f>
        <v>20190303170627040</v>
      </c>
      <c r="B4375" t="str">
        <f>"1551603987029408"</f>
        <v>1551603987029408</v>
      </c>
      <c r="C4375" t="s">
        <v>40</v>
      </c>
      <c r="D4375">
        <v>5.8099589999999903</v>
      </c>
      <c r="E4375">
        <v>0.40618120000000002</v>
      </c>
      <c r="F4375" t="s">
        <v>41</v>
      </c>
      <c r="G4375">
        <v>-333.80329999999998</v>
      </c>
      <c r="H4375" s="1">
        <v>-4.0875630000000001E-6</v>
      </c>
      <c r="I4375">
        <v>12.126849999999999</v>
      </c>
      <c r="J4375">
        <v>-409.9357</v>
      </c>
      <c r="K4375">
        <v>1.133856</v>
      </c>
      <c r="L4375">
        <v>20.391480000000001</v>
      </c>
      <c r="M4375">
        <v>0.88467770000000001</v>
      </c>
      <c r="N4375">
        <v>-1.570684E-2</v>
      </c>
      <c r="O4375">
        <v>-0.46593879999999999</v>
      </c>
      <c r="P4375">
        <v>0.92714129999999995</v>
      </c>
      <c r="Q4375">
        <v>0.1705255</v>
      </c>
      <c r="R4375">
        <v>-0.33366210000000002</v>
      </c>
      <c r="S4375">
        <v>3.126465</v>
      </c>
      <c r="T4375">
        <v>-4.6478989999999998E-2</v>
      </c>
      <c r="U4375">
        <v>-0.3416748</v>
      </c>
      <c r="V4375">
        <v>-0.1427078</v>
      </c>
      <c r="W4375">
        <v>0.18135229999999999</v>
      </c>
      <c r="X4375">
        <v>0.9730086</v>
      </c>
      <c r="Y4375">
        <v>-0.36703819999999998</v>
      </c>
      <c r="Z4375">
        <v>4.6959649999999999E-3</v>
      </c>
      <c r="AA4375">
        <v>0.93019399999999997</v>
      </c>
      <c r="AB4375">
        <v>34</v>
      </c>
      <c r="AC4375">
        <v>76.132400000000004</v>
      </c>
      <c r="AD4375">
        <v>-1.1338600875630001</v>
      </c>
      <c r="AE4375">
        <v>-8.2646299999999897</v>
      </c>
      <c r="AF4375">
        <v>-28.158802261656401</v>
      </c>
      <c r="AG4375">
        <v>-1.1338600875630001</v>
      </c>
      <c r="AH4375">
        <v>71.196614118077306</v>
      </c>
      <c r="AI4375">
        <v>90.848461302973206</v>
      </c>
      <c r="AJ4375">
        <v>111.57917380613701</v>
      </c>
      <c r="AK4375">
        <v>76.571284731207498</v>
      </c>
      <c r="AL4375">
        <v>79.551462151648096</v>
      </c>
      <c r="AM4375">
        <v>98.343884205452298</v>
      </c>
      <c r="AN4375">
        <v>0.99999995428504396</v>
      </c>
    </row>
    <row r="4376" spans="1:40" x14ac:dyDescent="0.25">
      <c r="A4376" t="str">
        <f>"20190303170627055"</f>
        <v>20190303170627055</v>
      </c>
      <c r="B4376" t="str">
        <f>"1551603987048929"</f>
        <v>1551603987048929</v>
      </c>
      <c r="C4376" t="s">
        <v>40</v>
      </c>
      <c r="D4376">
        <v>5.7897619999999996</v>
      </c>
      <c r="E4376">
        <v>0.40432059999999997</v>
      </c>
      <c r="F4376" t="s">
        <v>43</v>
      </c>
      <c r="G4376">
        <v>-280.12520000000001</v>
      </c>
      <c r="H4376">
        <v>-0.05</v>
      </c>
      <c r="I4376">
        <v>7.8824009999999998</v>
      </c>
      <c r="J4376">
        <v>-409.74790000000002</v>
      </c>
      <c r="K4376">
        <v>1.133742</v>
      </c>
      <c r="L4376">
        <v>20.300509999999999</v>
      </c>
      <c r="M4376">
        <v>0.88864339999999997</v>
      </c>
      <c r="N4376">
        <v>-1.567843E-2</v>
      </c>
      <c r="O4376">
        <v>-0.45833079999999998</v>
      </c>
      <c r="P4376">
        <v>0.92984770000000005</v>
      </c>
      <c r="Q4376">
        <v>0.1709435</v>
      </c>
      <c r="R4376">
        <v>-0.32582430000000001</v>
      </c>
      <c r="S4376">
        <v>3.1323850000000002</v>
      </c>
      <c r="T4376">
        <v>-2.8566959999999999E-2</v>
      </c>
      <c r="U4376">
        <v>-0.30184939999999999</v>
      </c>
      <c r="V4376">
        <v>-0.14249479999999901</v>
      </c>
      <c r="W4376">
        <v>0.18178939999999999</v>
      </c>
      <c r="X4376">
        <v>0.97295830000000005</v>
      </c>
      <c r="Y4376">
        <v>-0.37097419999999998</v>
      </c>
      <c r="Z4376">
        <v>1.2065800000000001E-3</v>
      </c>
      <c r="AA4376">
        <v>0.92864239999999998</v>
      </c>
      <c r="AB4376">
        <v>34</v>
      </c>
      <c r="AC4376">
        <v>129.62270000000001</v>
      </c>
      <c r="AD4376">
        <v>-1.1837420000000001</v>
      </c>
      <c r="AE4376">
        <v>-12.418108999999999</v>
      </c>
      <c r="AF4376">
        <v>-48.376753393819698</v>
      </c>
      <c r="AG4376">
        <v>-1.1837420000000001</v>
      </c>
      <c r="AH4376">
        <v>120.884826899854</v>
      </c>
      <c r="AI4376">
        <v>90.520881171006195</v>
      </c>
      <c r="AJ4376">
        <v>111.810734089063</v>
      </c>
      <c r="AK4376">
        <v>130.21080173571099</v>
      </c>
      <c r="AL4376">
        <v>79.525995368042103</v>
      </c>
      <c r="AM4376">
        <v>98.332030080527005</v>
      </c>
      <c r="AN4376">
        <v>1.0000000037591401</v>
      </c>
    </row>
    <row r="4377" spans="1:40" x14ac:dyDescent="0.25">
      <c r="A4377" t="str">
        <f>"20190303170627068"</f>
        <v>20190303170627068</v>
      </c>
      <c r="B4377" t="str">
        <f>"1551603987059666"</f>
        <v>1551603987059666</v>
      </c>
      <c r="C4377" t="s">
        <v>40</v>
      </c>
      <c r="D4377">
        <v>5.8089589999999998</v>
      </c>
      <c r="E4377">
        <v>0.40417350000000002</v>
      </c>
      <c r="F4377" t="s">
        <v>88</v>
      </c>
      <c r="G4377">
        <v>-241.07</v>
      </c>
      <c r="H4377">
        <v>0.58588030000000002</v>
      </c>
      <c r="I4377">
        <v>6.2642569999999997</v>
      </c>
      <c r="J4377">
        <v>-409.56819999999999</v>
      </c>
      <c r="K4377">
        <v>1.133629</v>
      </c>
      <c r="L4377">
        <v>20.214939999999999</v>
      </c>
      <c r="M4377">
        <v>0.89233390000000001</v>
      </c>
      <c r="N4377">
        <v>-1.565126E-2</v>
      </c>
      <c r="O4377">
        <v>-0.45110459999999902</v>
      </c>
      <c r="P4377">
        <v>0.93222919999999998</v>
      </c>
      <c r="Q4377">
        <v>0.1713615</v>
      </c>
      <c r="R4377">
        <v>-0.31872299999999998</v>
      </c>
      <c r="S4377">
        <v>3.1367189999999998</v>
      </c>
      <c r="T4377">
        <v>-1.01881E-2</v>
      </c>
      <c r="U4377">
        <v>-0.26101679999999999</v>
      </c>
      <c r="V4377">
        <v>-0.14194409999999999</v>
      </c>
      <c r="W4377">
        <v>0.18223809999999999</v>
      </c>
      <c r="X4377">
        <v>0.97295489999999996</v>
      </c>
      <c r="Y4377">
        <v>-0.37555169999999999</v>
      </c>
      <c r="Z4377">
        <v>-2.31496E-3</v>
      </c>
      <c r="AA4377">
        <v>0.92679860000000003</v>
      </c>
      <c r="AB4377">
        <v>34</v>
      </c>
      <c r="AC4377">
        <v>168.4982</v>
      </c>
      <c r="AD4377">
        <v>-0.54774869999999898</v>
      </c>
      <c r="AE4377">
        <v>-13.9506829999999</v>
      </c>
      <c r="AF4377">
        <v>-63.568761541627801</v>
      </c>
      <c r="AG4377">
        <v>-0.54774869999999898</v>
      </c>
      <c r="AH4377">
        <v>156.66741035595101</v>
      </c>
      <c r="AI4377">
        <v>90.185621517688006</v>
      </c>
      <c r="AJ4377">
        <v>112.085155809296</v>
      </c>
      <c r="AK4377">
        <v>169.07384463663999</v>
      </c>
      <c r="AL4377">
        <v>79.499850457557699</v>
      </c>
      <c r="AM4377">
        <v>98.300307350288307</v>
      </c>
      <c r="AN4377">
        <v>1.00000004502521</v>
      </c>
    </row>
    <row r="4378" spans="1:40" x14ac:dyDescent="0.25">
      <c r="A4378" t="str">
        <f>"20190303170627079"</f>
        <v>20190303170627079</v>
      </c>
      <c r="B4378" t="str">
        <f>"1551603987069425"</f>
        <v>1551603987069425</v>
      </c>
      <c r="C4378" t="s">
        <v>40</v>
      </c>
      <c r="D4378">
        <v>5.8205819999999999</v>
      </c>
      <c r="E4378">
        <v>0.40432990000000002</v>
      </c>
      <c r="F4378" t="s">
        <v>88</v>
      </c>
      <c r="G4378">
        <v>-241.07</v>
      </c>
      <c r="H4378">
        <v>0.81078149999999904</v>
      </c>
      <c r="I4378">
        <v>7.5364869999999904</v>
      </c>
      <c r="J4378">
        <v>-409.41469999999998</v>
      </c>
      <c r="K4378">
        <v>1.1335280000000001</v>
      </c>
      <c r="L4378">
        <v>20.143219999999999</v>
      </c>
      <c r="M4378">
        <v>0.89539999999999997</v>
      </c>
      <c r="N4378">
        <v>-1.5627829999999999E-2</v>
      </c>
      <c r="O4378">
        <v>-0.44498870000000001</v>
      </c>
      <c r="P4378">
        <v>0.93418029999999996</v>
      </c>
      <c r="Q4378">
        <v>0.1715806</v>
      </c>
      <c r="R4378">
        <v>-0.312837799999999</v>
      </c>
      <c r="S4378">
        <v>3.1383969999999999</v>
      </c>
      <c r="T4378">
        <v>-6.0133929999999997E-3</v>
      </c>
      <c r="U4378">
        <v>-0.23614499999999999</v>
      </c>
      <c r="V4378">
        <v>-0.14136209999999999</v>
      </c>
      <c r="W4378">
        <v>0.18248890000000001</v>
      </c>
      <c r="X4378">
        <v>0.97299259999999999</v>
      </c>
      <c r="Y4378">
        <v>-0.37654789999999999</v>
      </c>
      <c r="Z4378">
        <v>-3.034227E-3</v>
      </c>
      <c r="AA4378">
        <v>0.9263922</v>
      </c>
      <c r="AB4378">
        <v>34</v>
      </c>
      <c r="AC4378">
        <v>168.34469999999999</v>
      </c>
      <c r="AD4378">
        <v>-0.32274649999999999</v>
      </c>
      <c r="AE4378">
        <v>-12.606733</v>
      </c>
      <c r="AF4378">
        <v>-63.6309480974138</v>
      </c>
      <c r="AG4378">
        <v>-0.32274649999999999</v>
      </c>
      <c r="AH4378">
        <v>156.36419618884301</v>
      </c>
      <c r="AI4378">
        <v>90.109539670209401</v>
      </c>
      <c r="AJ4378">
        <v>112.143405975627</v>
      </c>
      <c r="AK4378">
        <v>168.81576813456201</v>
      </c>
      <c r="AL4378">
        <v>79.4852353451667</v>
      </c>
      <c r="AM4378">
        <v>98.266429802843305</v>
      </c>
      <c r="AN4378">
        <v>1.00000002079719</v>
      </c>
    </row>
    <row r="4379" spans="1:40" x14ac:dyDescent="0.25">
      <c r="A4379" t="str">
        <f>"20190303170627092"</f>
        <v>20190303170627092</v>
      </c>
      <c r="B4379" t="str">
        <f>"1551603987088945"</f>
        <v>1551603987088945</v>
      </c>
      <c r="C4379" t="s">
        <v>40</v>
      </c>
      <c r="D4379">
        <v>5.7833620000000003</v>
      </c>
      <c r="E4379">
        <v>0.40489239999999999</v>
      </c>
      <c r="F4379" t="s">
        <v>88</v>
      </c>
      <c r="G4379">
        <v>-241.07</v>
      </c>
      <c r="H4379">
        <v>0.91272260000000005</v>
      </c>
      <c r="I4379">
        <v>8.4648459999999996</v>
      </c>
      <c r="J4379">
        <v>-409.24020000000002</v>
      </c>
      <c r="K4379">
        <v>1.13341</v>
      </c>
      <c r="L4379">
        <v>20.06354</v>
      </c>
      <c r="M4379">
        <v>0.89878159999999896</v>
      </c>
      <c r="N4379">
        <v>-1.5599750000000001E-2</v>
      </c>
      <c r="O4379">
        <v>-0.43811919999999999</v>
      </c>
      <c r="P4379">
        <v>0.93639220000000001</v>
      </c>
      <c r="Q4379">
        <v>0.17177100000000001</v>
      </c>
      <c r="R4379">
        <v>-0.30604629999999999</v>
      </c>
      <c r="S4379">
        <v>3.139221</v>
      </c>
      <c r="T4379">
        <v>-4.117608E-3</v>
      </c>
      <c r="U4379">
        <v>-0.21777340000000001</v>
      </c>
      <c r="V4379">
        <v>-0.14090949999999999</v>
      </c>
      <c r="W4379">
        <v>0.18270739999999999</v>
      </c>
      <c r="X4379">
        <v>0.97301720000000003</v>
      </c>
      <c r="Y4379">
        <v>-0.37486399999999998</v>
      </c>
      <c r="Z4379">
        <v>-3.3049730000000001E-3</v>
      </c>
      <c r="AA4379">
        <v>0.92707390000000001</v>
      </c>
      <c r="AB4379">
        <v>34</v>
      </c>
      <c r="AC4379">
        <v>168.17019999999999</v>
      </c>
      <c r="AD4379">
        <v>-0.22068740000000001</v>
      </c>
      <c r="AE4379">
        <v>-11.598693999999901</v>
      </c>
      <c r="AF4379">
        <v>-63.261485453907298</v>
      </c>
      <c r="AG4379">
        <v>-0.22068740000000001</v>
      </c>
      <c r="AH4379">
        <v>156.24862534788599</v>
      </c>
      <c r="AI4379">
        <v>90.075010340467998</v>
      </c>
      <c r="AJ4379">
        <v>112.041896276344</v>
      </c>
      <c r="AK4379">
        <v>168.56956180718799</v>
      </c>
      <c r="AL4379">
        <v>79.472501669013496</v>
      </c>
      <c r="AM4379">
        <v>98.240121675189101</v>
      </c>
      <c r="AN4379">
        <v>0.99999997635042404</v>
      </c>
    </row>
    <row r="4380" spans="1:40" x14ac:dyDescent="0.25">
      <c r="A4380" t="str">
        <f>"20190303170627111"</f>
        <v>20190303170627111</v>
      </c>
      <c r="B4380" t="str">
        <f>"1551603987099680"</f>
        <v>1551603987099680</v>
      </c>
      <c r="C4380" t="s">
        <v>40</v>
      </c>
      <c r="D4380">
        <v>5.8137439999999998</v>
      </c>
      <c r="E4380">
        <v>0.40527829999999998</v>
      </c>
      <c r="F4380" t="s">
        <v>88</v>
      </c>
      <c r="G4380">
        <v>-241.07</v>
      </c>
      <c r="H4380">
        <v>0.94250769999999995</v>
      </c>
      <c r="I4380">
        <v>9.3698979999999992</v>
      </c>
      <c r="J4380">
        <v>-408.99099999999999</v>
      </c>
      <c r="K4380">
        <v>1.133238</v>
      </c>
      <c r="L4380">
        <v>19.952089999999998</v>
      </c>
      <c r="M4380">
        <v>0.90345109999999995</v>
      </c>
      <c r="N4380">
        <v>-1.5558900000000001E-2</v>
      </c>
      <c r="O4380">
        <v>-0.42840879999999998</v>
      </c>
      <c r="P4380">
        <v>0.93909509999999996</v>
      </c>
      <c r="Q4380">
        <v>0.17274310000000001</v>
      </c>
      <c r="R4380">
        <v>-0.29708679999999998</v>
      </c>
      <c r="S4380">
        <v>3.1391909999999998</v>
      </c>
      <c r="T4380">
        <v>-3.563643E-3</v>
      </c>
      <c r="U4380">
        <v>-0.1996155</v>
      </c>
      <c r="V4380">
        <v>-0.13958709999999999</v>
      </c>
      <c r="W4380">
        <v>0.18374099999999999</v>
      </c>
      <c r="X4380">
        <v>0.97301320000000002</v>
      </c>
      <c r="Y4380">
        <v>-0.37020829999999999</v>
      </c>
      <c r="Z4380">
        <v>-3.2858470000000002E-3</v>
      </c>
      <c r="AA4380">
        <v>0.92894299999999996</v>
      </c>
      <c r="AB4380">
        <v>34</v>
      </c>
      <c r="AC4380">
        <v>167.92099999999999</v>
      </c>
      <c r="AD4380">
        <v>-0.19073029999999999</v>
      </c>
      <c r="AE4380">
        <v>-10.582191999999999</v>
      </c>
      <c r="AF4380">
        <v>-62.385810396524498</v>
      </c>
      <c r="AG4380">
        <v>-0.19073029999999999</v>
      </c>
      <c r="AH4380">
        <v>156.260625026713</v>
      </c>
      <c r="AI4380">
        <v>90.064949680422004</v>
      </c>
      <c r="AJ4380">
        <v>111.763961753243</v>
      </c>
      <c r="AK4380">
        <v>168.254000400043</v>
      </c>
      <c r="AL4380">
        <v>79.412261199124799</v>
      </c>
      <c r="AM4380">
        <v>98.163870582657793</v>
      </c>
      <c r="AN4380">
        <v>1.00000000047082</v>
      </c>
    </row>
    <row r="4381" spans="1:40" x14ac:dyDescent="0.25">
      <c r="A4381" t="str">
        <f>"20190303170627127"</f>
        <v>20190303170627127</v>
      </c>
      <c r="B4381" t="str">
        <f>"1551603987119201"</f>
        <v>1551603987119201</v>
      </c>
      <c r="C4381" t="s">
        <v>40</v>
      </c>
      <c r="D4381">
        <v>5.7636180000000001</v>
      </c>
      <c r="E4381">
        <v>0.40566069999999999</v>
      </c>
      <c r="F4381" t="s">
        <v>99</v>
      </c>
      <c r="G4381">
        <v>-279.68</v>
      </c>
      <c r="H4381">
        <v>1.0671580000000001</v>
      </c>
      <c r="I4381">
        <v>12.823930000000001</v>
      </c>
      <c r="J4381">
        <v>-408.7817</v>
      </c>
      <c r="K4381">
        <v>1.1330880000000001</v>
      </c>
      <c r="L4381">
        <v>19.860690000000002</v>
      </c>
      <c r="M4381">
        <v>0.90722420000000004</v>
      </c>
      <c r="N4381">
        <v>-1.5524019999999999E-2</v>
      </c>
      <c r="O4381">
        <v>-0.42036089999999998</v>
      </c>
      <c r="P4381">
        <v>0.94147289999999995</v>
      </c>
      <c r="Q4381">
        <v>0.17314099999999999</v>
      </c>
      <c r="R4381">
        <v>-0.2892248</v>
      </c>
      <c r="S4381">
        <v>3.1401059999999998</v>
      </c>
      <c r="T4381">
        <v>-1.6049149999999999E-3</v>
      </c>
      <c r="U4381">
        <v>-0.17309569999999999</v>
      </c>
      <c r="V4381">
        <v>-0.1389803</v>
      </c>
      <c r="W4381">
        <v>0.18417549999999999</v>
      </c>
      <c r="X4381">
        <v>0.97301789999999999</v>
      </c>
      <c r="Y4381">
        <v>-0.36978450000000002</v>
      </c>
      <c r="Z4381">
        <v>-3.5226300000000001E-3</v>
      </c>
      <c r="AA4381">
        <v>0.92911089999999996</v>
      </c>
      <c r="AB4381">
        <v>34</v>
      </c>
      <c r="AC4381">
        <v>129.10169999999999</v>
      </c>
      <c r="AD4381">
        <v>-6.5929999999999794E-2</v>
      </c>
      <c r="AE4381">
        <v>-7.0367599999999904</v>
      </c>
      <c r="AF4381">
        <v>-47.891145775654202</v>
      </c>
      <c r="AG4381">
        <v>-6.5929999999999794E-2</v>
      </c>
      <c r="AH4381">
        <v>120.09660443558001</v>
      </c>
      <c r="AI4381">
        <v>90.029216599388207</v>
      </c>
      <c r="AJ4381">
        <v>111.74072216726</v>
      </c>
      <c r="AK4381">
        <v>129.29331223008401</v>
      </c>
      <c r="AL4381">
        <v>79.386933795633695</v>
      </c>
      <c r="AM4381">
        <v>98.128817958930796</v>
      </c>
      <c r="AN4381">
        <v>0.99999998615437402</v>
      </c>
    </row>
    <row r="4382" spans="1:40" x14ac:dyDescent="0.25">
      <c r="A4382" t="str">
        <f>"20190303170627141"</f>
        <v>20190303170627141</v>
      </c>
      <c r="B4382" t="str">
        <f>"1551603987128960"</f>
        <v>1551603987128960</v>
      </c>
      <c r="C4382" t="s">
        <v>40</v>
      </c>
      <c r="D4382">
        <v>5.7680889999999998</v>
      </c>
      <c r="E4382">
        <v>0.40596860000000001</v>
      </c>
      <c r="F4382" t="s">
        <v>99</v>
      </c>
      <c r="G4382">
        <v>-279.68</v>
      </c>
      <c r="H4382">
        <v>1.0947089999999999</v>
      </c>
      <c r="I4382">
        <v>13.704929999999999</v>
      </c>
      <c r="J4382">
        <v>-408.56670000000003</v>
      </c>
      <c r="K4382">
        <v>1.1329309999999999</v>
      </c>
      <c r="L4382">
        <v>19.769100000000002</v>
      </c>
      <c r="M4382">
        <v>0.9109604</v>
      </c>
      <c r="N4382">
        <v>-1.5487610000000001E-2</v>
      </c>
      <c r="O4382">
        <v>-0.41220299999999999</v>
      </c>
      <c r="P4382">
        <v>0.94364780000000004</v>
      </c>
      <c r="Q4382">
        <v>0.173520799999999</v>
      </c>
      <c r="R4382">
        <v>-0.28181430000000002</v>
      </c>
      <c r="S4382">
        <v>3.140625</v>
      </c>
      <c r="T4382">
        <v>-9.3388559999999995E-4</v>
      </c>
      <c r="U4382">
        <v>-0.14974979999999999</v>
      </c>
      <c r="V4382">
        <v>-0.137802799999999</v>
      </c>
      <c r="W4382">
        <v>0.18460989999999999</v>
      </c>
      <c r="X4382">
        <v>0.97310300000000005</v>
      </c>
      <c r="Y4382">
        <v>-0.36834359999999999</v>
      </c>
      <c r="Z4382">
        <v>-3.5167390000000001E-3</v>
      </c>
      <c r="AA4382">
        <v>0.92968309999999998</v>
      </c>
      <c r="AB4382">
        <v>34</v>
      </c>
      <c r="AC4382">
        <v>128.88669999999999</v>
      </c>
      <c r="AD4382">
        <v>-3.8221999999999902E-2</v>
      </c>
      <c r="AE4382">
        <v>-6.0641699999999998</v>
      </c>
      <c r="AF4382">
        <v>-47.608971019026399</v>
      </c>
      <c r="AG4382">
        <v>-3.8221999999999902E-2</v>
      </c>
      <c r="AH4382">
        <v>119.92472035133601</v>
      </c>
      <c r="AI4382">
        <v>90.016972576921702</v>
      </c>
      <c r="AJ4382">
        <v>111.652605910142</v>
      </c>
      <c r="AK4382">
        <v>129.02927626611699</v>
      </c>
      <c r="AL4382">
        <v>79.361609756125802</v>
      </c>
      <c r="AM4382">
        <v>98.060160472025004</v>
      </c>
      <c r="AN4382">
        <v>0.99999993773742302</v>
      </c>
    </row>
    <row r="4383" spans="1:40" x14ac:dyDescent="0.25">
      <c r="A4383" t="str">
        <f>"20190303170627153"</f>
        <v>20190303170627153</v>
      </c>
      <c r="B4383" t="str">
        <f>"1551603987149457"</f>
        <v>1551603987149457</v>
      </c>
      <c r="C4383" t="s">
        <v>40</v>
      </c>
      <c r="D4383">
        <v>5.7826199999999996</v>
      </c>
      <c r="E4383">
        <v>0.40679999999999999</v>
      </c>
      <c r="F4383" t="s">
        <v>100</v>
      </c>
      <c r="G4383">
        <v>-279.68</v>
      </c>
      <c r="H4383">
        <v>1.146776</v>
      </c>
      <c r="I4383">
        <v>14.556179999999999</v>
      </c>
      <c r="J4383">
        <v>-408.41269999999997</v>
      </c>
      <c r="K4383">
        <v>1.1328210000000001</v>
      </c>
      <c r="L4383">
        <v>19.70532</v>
      </c>
      <c r="M4383">
        <v>0.9135392</v>
      </c>
      <c r="N4383">
        <v>-1.5460929999999999E-2</v>
      </c>
      <c r="O4383">
        <v>-0.40645700000000001</v>
      </c>
      <c r="P4383">
        <v>0.94534890000000005</v>
      </c>
      <c r="Q4383">
        <v>0.17356170000000001</v>
      </c>
      <c r="R4383">
        <v>-0.27602850000000001</v>
      </c>
      <c r="S4383">
        <v>3.1411129999999998</v>
      </c>
      <c r="T4383">
        <v>3.374815E-4</v>
      </c>
      <c r="U4383">
        <v>-0.12704469999999901</v>
      </c>
      <c r="V4383">
        <v>-0.13757800000000001</v>
      </c>
      <c r="W4383">
        <v>0.1846699</v>
      </c>
      <c r="X4383">
        <v>0.97312350000000003</v>
      </c>
      <c r="Y4383">
        <v>-0.369201</v>
      </c>
      <c r="Z4383">
        <v>-3.6436580000000001E-3</v>
      </c>
      <c r="AA4383">
        <v>0.92934240000000001</v>
      </c>
      <c r="AB4383">
        <v>34</v>
      </c>
      <c r="AC4383">
        <v>128.732699999999</v>
      </c>
      <c r="AD4383">
        <v>1.3955000000000099E-2</v>
      </c>
      <c r="AE4383">
        <v>-5.1491400000000001</v>
      </c>
      <c r="AF4383">
        <v>-47.626053025460998</v>
      </c>
      <c r="AG4383">
        <v>1.3955000000000099E-2</v>
      </c>
      <c r="AH4383">
        <v>119.709566767913</v>
      </c>
      <c r="AI4383">
        <v>89.993793932952002</v>
      </c>
      <c r="AJ4383">
        <v>111.694971548033</v>
      </c>
      <c r="AK4383">
        <v>128.83563752815999</v>
      </c>
      <c r="AL4383">
        <v>79.358112668410996</v>
      </c>
      <c r="AM4383">
        <v>98.047016867324601</v>
      </c>
      <c r="AN4383">
        <v>1.0000000121511201</v>
      </c>
    </row>
    <row r="4384" spans="1:40" x14ac:dyDescent="0.25">
      <c r="A4384" t="str">
        <f>"20190303170627166"</f>
        <v>20190303170627166</v>
      </c>
      <c r="B4384" t="str">
        <f>"1551603987159218"</f>
        <v>1551603987159218</v>
      </c>
      <c r="C4384" t="s">
        <v>40</v>
      </c>
      <c r="D4384">
        <v>5.7536589999999999</v>
      </c>
      <c r="E4384">
        <v>0.4072153</v>
      </c>
      <c r="F4384" t="s">
        <v>100</v>
      </c>
      <c r="G4384">
        <v>-279.68</v>
      </c>
      <c r="H4384">
        <v>1.036268</v>
      </c>
      <c r="I4384">
        <v>15.01412</v>
      </c>
      <c r="J4384">
        <v>-408.23919999999998</v>
      </c>
      <c r="K4384">
        <v>1.1326929999999999</v>
      </c>
      <c r="L4384">
        <v>19.634160000000001</v>
      </c>
      <c r="M4384">
        <v>0.91637990000000002</v>
      </c>
      <c r="N4384">
        <v>-1.543199E-2</v>
      </c>
      <c r="O4384">
        <v>-0.40001229999999999</v>
      </c>
      <c r="P4384">
        <v>0.94729419999999998</v>
      </c>
      <c r="Q4384">
        <v>0.17343629999999999</v>
      </c>
      <c r="R4384">
        <v>-0.26935809999999999</v>
      </c>
      <c r="S4384">
        <v>3.1404109999999998</v>
      </c>
      <c r="T4384">
        <v>-2.3553369999999999E-3</v>
      </c>
      <c r="U4384">
        <v>-0.114440899999999</v>
      </c>
      <c r="V4384">
        <v>-0.1375275</v>
      </c>
      <c r="W4384">
        <v>0.18456069999999999</v>
      </c>
      <c r="X4384">
        <v>0.97315130000000005</v>
      </c>
      <c r="Y4384">
        <v>-0.3663728</v>
      </c>
      <c r="Z4384">
        <v>-3.0588189999999999E-3</v>
      </c>
      <c r="AA4384">
        <v>0.93046309999999999</v>
      </c>
      <c r="AB4384">
        <v>34</v>
      </c>
      <c r="AC4384">
        <v>128.55919999999901</v>
      </c>
      <c r="AD4384">
        <v>-9.64249999999999E-2</v>
      </c>
      <c r="AE4384">
        <v>-4.6200400000000004</v>
      </c>
      <c r="AF4384">
        <v>-47.197140678807102</v>
      </c>
      <c r="AG4384">
        <v>-9.64249999999999E-2</v>
      </c>
      <c r="AH4384">
        <v>119.671316489963</v>
      </c>
      <c r="AI4384">
        <v>90.042946623275597</v>
      </c>
      <c r="AJ4384">
        <v>111.523767982042</v>
      </c>
      <c r="AK4384">
        <v>128.642152409218</v>
      </c>
      <c r="AL4384">
        <v>79.364478223460495</v>
      </c>
      <c r="AM4384">
        <v>98.043874973902106</v>
      </c>
      <c r="AN4384">
        <v>0.99999995896621396</v>
      </c>
    </row>
    <row r="4385" spans="1:40" x14ac:dyDescent="0.25">
      <c r="A4385" t="str">
        <f>"20190303170627177"</f>
        <v>20190303170627177</v>
      </c>
      <c r="B4385" t="str">
        <f>"1551603987168977"</f>
        <v>1551603987168977</v>
      </c>
      <c r="C4385" t="s">
        <v>40</v>
      </c>
      <c r="D4385">
        <v>5.7649309999999998</v>
      </c>
      <c r="E4385">
        <v>0.40763690000000002</v>
      </c>
      <c r="F4385" t="s">
        <v>100</v>
      </c>
      <c r="G4385">
        <v>-279.68</v>
      </c>
      <c r="H4385">
        <v>0.9357086</v>
      </c>
      <c r="I4385">
        <v>15.701510000000001</v>
      </c>
      <c r="J4385">
        <v>-408.06599999999997</v>
      </c>
      <c r="K4385">
        <v>1.13256</v>
      </c>
      <c r="L4385">
        <v>19.564789999999999</v>
      </c>
      <c r="M4385">
        <v>0.91912130000000003</v>
      </c>
      <c r="N4385">
        <v>-1.5402900000000001E-2</v>
      </c>
      <c r="O4385">
        <v>-0.39367350000000001</v>
      </c>
      <c r="P4385">
        <v>0.94922899999999999</v>
      </c>
      <c r="Q4385">
        <v>0.1734552</v>
      </c>
      <c r="R4385">
        <v>-0.26244519999999999</v>
      </c>
      <c r="S4385">
        <v>3.140533</v>
      </c>
      <c r="T4385">
        <v>-4.8120020000000001E-3</v>
      </c>
      <c r="U4385">
        <v>-9.6069340000000003E-2</v>
      </c>
      <c r="V4385">
        <v>-0.1378392</v>
      </c>
      <c r="W4385">
        <v>0.1845851</v>
      </c>
      <c r="X4385">
        <v>0.97310260000000004</v>
      </c>
      <c r="Y4385">
        <v>-0.36538710000000002</v>
      </c>
      <c r="Z4385">
        <v>-2.515219E-3</v>
      </c>
      <c r="AA4385">
        <v>0.93085220000000002</v>
      </c>
      <c r="AB4385">
        <v>34</v>
      </c>
      <c r="AC4385">
        <v>128.385999999999</v>
      </c>
      <c r="AD4385">
        <v>-0.19685140000000001</v>
      </c>
      <c r="AE4385">
        <v>-3.8632799999999898</v>
      </c>
      <c r="AF4385">
        <v>-46.996807078549203</v>
      </c>
      <c r="AG4385">
        <v>-0.19685140000000001</v>
      </c>
      <c r="AH4385">
        <v>119.537076056367</v>
      </c>
      <c r="AI4385">
        <v>90.0878107364328</v>
      </c>
      <c r="AJ4385">
        <v>111.46260536446199</v>
      </c>
      <c r="AK4385">
        <v>128.44396123663299</v>
      </c>
      <c r="AL4385">
        <v>79.363056070325598</v>
      </c>
      <c r="AM4385">
        <v>98.062264809178401</v>
      </c>
      <c r="AN4385">
        <v>0.999999987162705</v>
      </c>
    </row>
    <row r="4386" spans="1:40" x14ac:dyDescent="0.25">
      <c r="A4386" t="str">
        <f>"20190303170627189"</f>
        <v>20190303170627189</v>
      </c>
      <c r="B4386" t="str">
        <f>"1551603987179713"</f>
        <v>1551603987179713</v>
      </c>
      <c r="C4386" t="s">
        <v>40</v>
      </c>
      <c r="D4386">
        <v>5.7801559999999998</v>
      </c>
      <c r="E4386">
        <v>0.40806369999999997</v>
      </c>
      <c r="F4386" t="s">
        <v>100</v>
      </c>
      <c r="G4386">
        <v>-279.68</v>
      </c>
      <c r="H4386">
        <v>0.87640640000000003</v>
      </c>
      <c r="I4386">
        <v>16.432020000000001</v>
      </c>
      <c r="J4386">
        <v>-407.9171</v>
      </c>
      <c r="K4386">
        <v>1.13245</v>
      </c>
      <c r="L4386">
        <v>19.506260000000001</v>
      </c>
      <c r="M4386">
        <v>0.92141269999999997</v>
      </c>
      <c r="N4386">
        <v>-1.537787E-2</v>
      </c>
      <c r="O4386">
        <v>-0.38828099999999999</v>
      </c>
      <c r="P4386">
        <v>0.95074800000000004</v>
      </c>
      <c r="Q4386">
        <v>0.17325450000000001</v>
      </c>
      <c r="R4386">
        <v>-0.25702380000000002</v>
      </c>
      <c r="S4386">
        <v>3.1404109999999998</v>
      </c>
      <c r="T4386">
        <v>-6.2656400000000003E-3</v>
      </c>
      <c r="U4386">
        <v>-7.6629639999999999E-2</v>
      </c>
      <c r="V4386">
        <v>-0.1376463</v>
      </c>
      <c r="W4386">
        <v>0.18440329999999999</v>
      </c>
      <c r="X4386">
        <v>0.97316440000000004</v>
      </c>
      <c r="Y4386">
        <v>-0.36569069999999998</v>
      </c>
      <c r="Z4386">
        <v>-2.1644609999999999E-3</v>
      </c>
      <c r="AA4386">
        <v>0.9307339</v>
      </c>
      <c r="AB4386">
        <v>34</v>
      </c>
      <c r="AC4386">
        <v>128.2371</v>
      </c>
      <c r="AD4386">
        <v>-0.25604359999999898</v>
      </c>
      <c r="AE4386">
        <v>-3.0742400000000001</v>
      </c>
      <c r="AF4386">
        <v>-46.964752488504999</v>
      </c>
      <c r="AG4386">
        <v>-0.25604359999999898</v>
      </c>
      <c r="AH4386">
        <v>119.366602011678</v>
      </c>
      <c r="AI4386">
        <v>90.114366613627496</v>
      </c>
      <c r="AJ4386">
        <v>111.477141584709</v>
      </c>
      <c r="AK4386">
        <v>128.27368869119601</v>
      </c>
      <c r="AL4386">
        <v>79.373654679258394</v>
      </c>
      <c r="AM4386">
        <v>98.050625480079304</v>
      </c>
      <c r="AN4386">
        <v>1.00000001519096</v>
      </c>
    </row>
    <row r="4387" spans="1:40" x14ac:dyDescent="0.25">
      <c r="A4387" t="str">
        <f>"20190303170627201"</f>
        <v>20190303170627201</v>
      </c>
      <c r="B4387" t="str">
        <f>"1551603987189474"</f>
        <v>1551603987189474</v>
      </c>
      <c r="C4387" t="s">
        <v>40</v>
      </c>
      <c r="D4387">
        <v>5.7547430000000004</v>
      </c>
      <c r="E4387">
        <v>0.40806369999999997</v>
      </c>
      <c r="F4387" t="s">
        <v>100</v>
      </c>
      <c r="G4387">
        <v>-279.68</v>
      </c>
      <c r="H4387">
        <v>0.75886129999999996</v>
      </c>
      <c r="I4387">
        <v>16.96021</v>
      </c>
      <c r="J4387">
        <v>-407.7473</v>
      </c>
      <c r="K4387">
        <v>1.132328</v>
      </c>
      <c r="L4387">
        <v>19.44031</v>
      </c>
      <c r="M4387">
        <v>0.92396489999999998</v>
      </c>
      <c r="N4387">
        <v>-1.534976E-2</v>
      </c>
      <c r="O4387">
        <v>-0.38216899999999998</v>
      </c>
      <c r="P4387">
        <v>0.952484</v>
      </c>
      <c r="Q4387">
        <v>0.17328929999999901</v>
      </c>
      <c r="R4387">
        <v>-0.25048949999999998</v>
      </c>
      <c r="S4387">
        <v>3.1402589999999999</v>
      </c>
      <c r="T4387">
        <v>-9.148359E-3</v>
      </c>
      <c r="U4387">
        <v>-6.2347409999999999E-2</v>
      </c>
      <c r="V4387">
        <v>-0.13782239999999901</v>
      </c>
      <c r="W4387">
        <v>0.1844469</v>
      </c>
      <c r="X4387">
        <v>0.97313119999999997</v>
      </c>
      <c r="Y4387">
        <v>-0.36375649999999998</v>
      </c>
      <c r="Z4387">
        <v>-1.5750289999999999E-3</v>
      </c>
      <c r="AA4387">
        <v>0.93149269999999995</v>
      </c>
      <c r="AB4387">
        <v>34</v>
      </c>
      <c r="AC4387">
        <v>128.06729999999999</v>
      </c>
      <c r="AD4387">
        <v>-0.37346669999999899</v>
      </c>
      <c r="AE4387">
        <v>-2.4801000000000002</v>
      </c>
      <c r="AF4387">
        <v>-46.656929333129902</v>
      </c>
      <c r="AG4387">
        <v>-0.37346669999999899</v>
      </c>
      <c r="AH4387">
        <v>119.29055377232601</v>
      </c>
      <c r="AI4387">
        <v>90.167054163328402</v>
      </c>
      <c r="AJ4387">
        <v>111.36146519418899</v>
      </c>
      <c r="AK4387">
        <v>128.090767627807</v>
      </c>
      <c r="AL4387">
        <v>79.371112849548695</v>
      </c>
      <c r="AM4387">
        <v>98.061061283772304</v>
      </c>
      <c r="AN4387">
        <v>1.0000000026374001</v>
      </c>
    </row>
    <row r="4388" spans="1:40" x14ac:dyDescent="0.25">
      <c r="A4388" t="str">
        <f>"20190303170627213"</f>
        <v>20190303170627213</v>
      </c>
      <c r="B4388" t="str">
        <f>"1551603987208993"</f>
        <v>1551603987208993</v>
      </c>
      <c r="C4388" t="s">
        <v>40</v>
      </c>
      <c r="D4388">
        <v>5.7799620000000003</v>
      </c>
      <c r="E4388">
        <v>0.41866419999999999</v>
      </c>
      <c r="F4388" t="s">
        <v>100</v>
      </c>
      <c r="G4388">
        <v>-279.68</v>
      </c>
      <c r="H4388">
        <v>0.75618260000000004</v>
      </c>
      <c r="I4388">
        <v>17.768999999999998</v>
      </c>
      <c r="J4388">
        <v>-407.58390000000003</v>
      </c>
      <c r="K4388">
        <v>1.1322159999999999</v>
      </c>
      <c r="L4388">
        <v>19.378599999999999</v>
      </c>
      <c r="M4388">
        <v>0.92634360000000004</v>
      </c>
      <c r="N4388">
        <v>-1.5322819999999999E-2</v>
      </c>
      <c r="O4388">
        <v>-0.37636809999999998</v>
      </c>
      <c r="P4388">
        <v>0.95396950000000003</v>
      </c>
      <c r="Q4388">
        <v>0.17356930000000001</v>
      </c>
      <c r="R4388">
        <v>-0.24457300000000001</v>
      </c>
      <c r="S4388">
        <v>3.1405639999999999</v>
      </c>
      <c r="T4388">
        <v>-9.2240570000000008E-3</v>
      </c>
      <c r="U4388">
        <v>-4.0985109999999998E-2</v>
      </c>
      <c r="V4388">
        <v>-0.13769589999999901</v>
      </c>
      <c r="W4388">
        <v>0.18474119999999999</v>
      </c>
      <c r="X4388">
        <v>0.97309330000000005</v>
      </c>
      <c r="Y4388">
        <v>-0.36425239999999998</v>
      </c>
      <c r="Z4388">
        <v>-1.4712929999999901E-3</v>
      </c>
      <c r="AA4388">
        <v>0.93129910000000005</v>
      </c>
      <c r="AB4388">
        <v>34</v>
      </c>
      <c r="AC4388">
        <v>127.90389999999999</v>
      </c>
      <c r="AD4388">
        <v>-0.37603339999999902</v>
      </c>
      <c r="AE4388">
        <v>-1.6095999999999899</v>
      </c>
      <c r="AF4388">
        <v>-46.652974473158899</v>
      </c>
      <c r="AG4388">
        <v>-0.37603339999999902</v>
      </c>
      <c r="AH4388">
        <v>119.101702849316</v>
      </c>
      <c r="AI4388">
        <v>90.168435403954106</v>
      </c>
      <c r="AJ4388">
        <v>111.390627942248</v>
      </c>
      <c r="AK4388">
        <v>127.913474856709</v>
      </c>
      <c r="AL4388">
        <v>79.353956055877902</v>
      </c>
      <c r="AM4388">
        <v>98.0540691360073</v>
      </c>
      <c r="AN4388">
        <v>1.0000000211795601</v>
      </c>
    </row>
    <row r="4389" spans="1:40" x14ac:dyDescent="0.25">
      <c r="A4389" t="str">
        <f>"20190303170627229"</f>
        <v>20190303170627229</v>
      </c>
      <c r="B4389" t="str">
        <f>"1551603987219729"</f>
        <v>1551603987219729</v>
      </c>
      <c r="C4389" t="s">
        <v>40</v>
      </c>
      <c r="D4389">
        <v>5.7598089999999997</v>
      </c>
      <c r="E4389">
        <v>0.41956300000000002</v>
      </c>
      <c r="F4389" t="s">
        <v>41</v>
      </c>
      <c r="G4389">
        <v>-326.3304</v>
      </c>
      <c r="H4389" s="1">
        <v>-2.2351049999999999E-6</v>
      </c>
      <c r="I4389">
        <v>16.684850000000001</v>
      </c>
      <c r="J4389">
        <v>-407.36810000000003</v>
      </c>
      <c r="K4389">
        <v>1.13208</v>
      </c>
      <c r="L4389">
        <v>19.29843</v>
      </c>
      <c r="M4389">
        <v>0.92940270000000003</v>
      </c>
      <c r="N4389">
        <v>-1.528946E-2</v>
      </c>
      <c r="O4389">
        <v>-0.36875049999999998</v>
      </c>
      <c r="P4389">
        <v>0.95584639999999998</v>
      </c>
      <c r="Q4389">
        <v>0.17425280000000001</v>
      </c>
      <c r="R4389">
        <v>-0.23663010000000001</v>
      </c>
      <c r="S4389">
        <v>3.126099</v>
      </c>
      <c r="T4389">
        <v>-4.3560269999999998E-2</v>
      </c>
      <c r="U4389">
        <v>-0.1036377</v>
      </c>
      <c r="V4389">
        <v>-0.1377081</v>
      </c>
      <c r="W4389">
        <v>0.18543660000000001</v>
      </c>
      <c r="X4389">
        <v>0.97295929999999997</v>
      </c>
      <c r="Y4389">
        <v>-0.33772580000000002</v>
      </c>
      <c r="Z4389">
        <v>4.2218150000000003E-3</v>
      </c>
      <c r="AA4389">
        <v>0.94123509999999999</v>
      </c>
      <c r="AB4389">
        <v>34</v>
      </c>
      <c r="AC4389">
        <v>81.037700000000001</v>
      </c>
      <c r="AD4389">
        <v>-1.1320822351049999</v>
      </c>
      <c r="AE4389">
        <v>-2.61357999999999</v>
      </c>
      <c r="AF4389">
        <v>-27.451480713557199</v>
      </c>
      <c r="AG4389">
        <v>-1.1320822351049999</v>
      </c>
      <c r="AH4389">
        <v>76.274460714793094</v>
      </c>
      <c r="AI4389">
        <v>90.800099833729803</v>
      </c>
      <c r="AJ4389">
        <v>109.794005016716</v>
      </c>
      <c r="AK4389">
        <v>81.071935716907404</v>
      </c>
      <c r="AL4389">
        <v>79.313412099306007</v>
      </c>
      <c r="AM4389">
        <v>98.055868145735701</v>
      </c>
      <c r="AN4389">
        <v>1.00000002644082</v>
      </c>
    </row>
    <row r="4390" spans="1:40" x14ac:dyDescent="0.25">
      <c r="A4390" t="str">
        <f>"20190303170627244"</f>
        <v>20190303170627244</v>
      </c>
      <c r="B4390" t="str">
        <f>"1551603987239249"</f>
        <v>1551603987239249</v>
      </c>
      <c r="C4390" t="s">
        <v>40</v>
      </c>
      <c r="D4390">
        <v>5.7487849999999998</v>
      </c>
      <c r="E4390">
        <v>0.42102610000000001</v>
      </c>
      <c r="F4390" t="s">
        <v>41</v>
      </c>
      <c r="G4390">
        <v>-326.74930000000001</v>
      </c>
      <c r="H4390" s="1">
        <v>-1.9619159999999998E-6</v>
      </c>
      <c r="I4390">
        <v>17.10857</v>
      </c>
      <c r="J4390">
        <v>-407.16989999999998</v>
      </c>
      <c r="K4390">
        <v>1.13198</v>
      </c>
      <c r="L4390">
        <v>19.226230000000001</v>
      </c>
      <c r="M4390">
        <v>0.93213049999999997</v>
      </c>
      <c r="N4390">
        <v>-1.526105E-2</v>
      </c>
      <c r="O4390">
        <v>-0.36180129999999999</v>
      </c>
      <c r="P4390">
        <v>0.9572908</v>
      </c>
      <c r="Q4390">
        <v>0.17568989999999901</v>
      </c>
      <c r="R4390">
        <v>-0.229625</v>
      </c>
      <c r="S4390">
        <v>3.1255489999999999</v>
      </c>
      <c r="T4390">
        <v>-4.3890239999999997E-2</v>
      </c>
      <c r="U4390">
        <v>-8.4899899999999903E-2</v>
      </c>
      <c r="V4390">
        <v>-0.13745579999999999</v>
      </c>
      <c r="W4390">
        <v>0.1868889</v>
      </c>
      <c r="X4390">
        <v>0.97271700000000005</v>
      </c>
      <c r="Y4390">
        <v>-0.33632970000000001</v>
      </c>
      <c r="Z4390">
        <v>4.2878619999999999E-3</v>
      </c>
      <c r="AA4390">
        <v>0.94173459999999998</v>
      </c>
      <c r="AB4390">
        <v>34</v>
      </c>
      <c r="AC4390">
        <v>80.420599999999894</v>
      </c>
      <c r="AD4390">
        <v>-1.1319819619159901</v>
      </c>
      <c r="AE4390">
        <v>-2.1176599999999901</v>
      </c>
      <c r="AF4390">
        <v>-27.1201268412849</v>
      </c>
      <c r="AG4390">
        <v>-1.1319819619159901</v>
      </c>
      <c r="AH4390">
        <v>75.722480829186196</v>
      </c>
      <c r="AI4390">
        <v>90.806309210604795</v>
      </c>
      <c r="AJ4390">
        <v>109.705065738694</v>
      </c>
      <c r="AK4390">
        <v>80.440516942495805</v>
      </c>
      <c r="AL4390">
        <v>79.228720215491904</v>
      </c>
      <c r="AM4390">
        <v>98.043278771089305</v>
      </c>
      <c r="AN4390">
        <v>0.99999995999292401</v>
      </c>
    </row>
    <row r="4391" spans="1:40" x14ac:dyDescent="0.25">
      <c r="A4391" t="str">
        <f>"20190303170627256"</f>
        <v>20190303170627256</v>
      </c>
      <c r="B4391" t="str">
        <f>"1551603987249009"</f>
        <v>1551603987249009</v>
      </c>
      <c r="C4391" t="s">
        <v>40</v>
      </c>
      <c r="D4391">
        <v>5.7592499999999998</v>
      </c>
      <c r="E4391">
        <v>0.42179850000000002</v>
      </c>
      <c r="F4391" t="s">
        <v>41</v>
      </c>
      <c r="G4391">
        <v>-326.44670000000002</v>
      </c>
      <c r="H4391" s="1">
        <v>-2.0689530000000002E-6</v>
      </c>
      <c r="I4391">
        <v>17.311640000000001</v>
      </c>
      <c r="J4391">
        <v>-406.98129999999998</v>
      </c>
      <c r="K4391">
        <v>1.131891</v>
      </c>
      <c r="L4391">
        <v>19.159700000000001</v>
      </c>
      <c r="M4391">
        <v>0.93464499999999995</v>
      </c>
      <c r="N4391">
        <v>-1.523644E-2</v>
      </c>
      <c r="O4391">
        <v>-0.35525580000000001</v>
      </c>
      <c r="P4391">
        <v>0.95892469999999996</v>
      </c>
      <c r="Q4391">
        <v>0.17602950000000001</v>
      </c>
      <c r="R4391">
        <v>-0.22243470000000001</v>
      </c>
      <c r="S4391">
        <v>3.1240839999999999</v>
      </c>
      <c r="T4391">
        <v>-4.3809059999999997E-2</v>
      </c>
      <c r="U4391">
        <v>-7.4096679999999998E-2</v>
      </c>
      <c r="V4391">
        <v>-0.13787629999999901</v>
      </c>
      <c r="W4391">
        <v>0.1872239</v>
      </c>
      <c r="X4391">
        <v>0.97259309999999999</v>
      </c>
      <c r="Y4391">
        <v>-0.33296679999999901</v>
      </c>
      <c r="Z4391">
        <v>4.2537599999999997E-3</v>
      </c>
      <c r="AA4391">
        <v>0.94292900000000002</v>
      </c>
      <c r="AB4391">
        <v>34</v>
      </c>
      <c r="AC4391">
        <v>80.534599999999898</v>
      </c>
      <c r="AD4391">
        <v>-1.131893068953</v>
      </c>
      <c r="AE4391">
        <v>-1.84806</v>
      </c>
      <c r="AF4391">
        <v>-26.8809160915661</v>
      </c>
      <c r="AG4391">
        <v>-1.131893068953</v>
      </c>
      <c r="AH4391">
        <v>75.9216166042401</v>
      </c>
      <c r="AI4391">
        <v>90.805171429412297</v>
      </c>
      <c r="AJ4391">
        <v>109.49709070242901</v>
      </c>
      <c r="AK4391">
        <v>80.547853476319204</v>
      </c>
      <c r="AL4391">
        <v>79.2091816919542</v>
      </c>
      <c r="AM4391">
        <v>98.068575240370393</v>
      </c>
      <c r="AN4391">
        <v>1.0000000005002501</v>
      </c>
    </row>
    <row r="4392" spans="1:40" x14ac:dyDescent="0.25">
      <c r="A4392" t="str">
        <f>"20190303170627269"</f>
        <v>20190303170627269</v>
      </c>
      <c r="B4392" t="str">
        <f>"1551603987259746"</f>
        <v>1551603987259746</v>
      </c>
      <c r="C4392" t="s">
        <v>40</v>
      </c>
      <c r="D4392">
        <v>5.7724330000000004</v>
      </c>
      <c r="E4392">
        <v>0.42225020000000002</v>
      </c>
      <c r="F4392" t="s">
        <v>41</v>
      </c>
      <c r="G4392">
        <v>-327.08730000000003</v>
      </c>
      <c r="H4392" s="1">
        <v>-1.695871E-6</v>
      </c>
      <c r="I4392">
        <v>17.70777</v>
      </c>
      <c r="J4392">
        <v>-406.8066</v>
      </c>
      <c r="K4392">
        <v>1.131815</v>
      </c>
      <c r="L4392">
        <v>19.099119999999999</v>
      </c>
      <c r="M4392">
        <v>0.93691939999999996</v>
      </c>
      <c r="N4392">
        <v>-1.5215289999999999E-2</v>
      </c>
      <c r="O4392">
        <v>-0.34921479999999999</v>
      </c>
      <c r="P4392">
        <v>0.96032329999999999</v>
      </c>
      <c r="Q4392">
        <v>0.1763952</v>
      </c>
      <c r="R4392">
        <v>-0.2160193</v>
      </c>
      <c r="S4392">
        <v>3.1234440000000001</v>
      </c>
      <c r="T4392">
        <v>-4.4251199999999997E-2</v>
      </c>
      <c r="U4392">
        <v>-5.6762699999999902E-2</v>
      </c>
      <c r="V4392">
        <v>-0.1380468</v>
      </c>
      <c r="W4392">
        <v>0.1875906</v>
      </c>
      <c r="X4392">
        <v>0.97249819999999998</v>
      </c>
      <c r="Y4392">
        <v>-0.33210460000000003</v>
      </c>
      <c r="Z4392">
        <v>4.3380099999999998E-3</v>
      </c>
      <c r="AA4392">
        <v>0.94323259999999998</v>
      </c>
      <c r="AB4392">
        <v>34</v>
      </c>
      <c r="AC4392">
        <v>79.719299999999905</v>
      </c>
      <c r="AD4392">
        <v>-1.1318166958710001</v>
      </c>
      <c r="AE4392">
        <v>-1.3913500000000001</v>
      </c>
      <c r="AF4392">
        <v>-26.533296123338101</v>
      </c>
      <c r="AG4392">
        <v>-1.1318166958710001</v>
      </c>
      <c r="AH4392">
        <v>75.169978051556797</v>
      </c>
      <c r="AI4392">
        <v>90.813443589792996</v>
      </c>
      <c r="AJ4392">
        <v>109.441875426797</v>
      </c>
      <c r="AK4392">
        <v>79.723411947014299</v>
      </c>
      <c r="AL4392">
        <v>79.187791813755396</v>
      </c>
      <c r="AM4392">
        <v>98.079199250972806</v>
      </c>
      <c r="AN4392">
        <v>0.99999995060091795</v>
      </c>
    </row>
    <row r="4393" spans="1:40" x14ac:dyDescent="0.25">
      <c r="A4393" t="str">
        <f>"20190303170627282"</f>
        <v>20190303170627282</v>
      </c>
      <c r="B4393" t="str">
        <f>"1551603987269505"</f>
        <v>1551603987269505</v>
      </c>
      <c r="C4393" t="s">
        <v>40</v>
      </c>
      <c r="D4393">
        <v>5.7707680000000003</v>
      </c>
      <c r="E4393">
        <v>0.42269390000000001</v>
      </c>
      <c r="F4393" t="s">
        <v>41</v>
      </c>
      <c r="G4393">
        <v>-326.32150000000001</v>
      </c>
      <c r="H4393" s="1">
        <v>-1.9929859999999998E-6</v>
      </c>
      <c r="I4393">
        <v>18.073540000000001</v>
      </c>
      <c r="J4393">
        <v>-406.62869999999998</v>
      </c>
      <c r="K4393">
        <v>1.1317429999999999</v>
      </c>
      <c r="L4393">
        <v>19.038450000000001</v>
      </c>
      <c r="M4393">
        <v>0.93918420000000002</v>
      </c>
      <c r="N4393">
        <v>-1.5195159999999999E-2</v>
      </c>
      <c r="O4393">
        <v>-0.34307749999999998</v>
      </c>
      <c r="P4393">
        <v>0.96174709999999997</v>
      </c>
      <c r="Q4393">
        <v>0.17675869999999999</v>
      </c>
      <c r="R4393">
        <v>-0.20928140000000001</v>
      </c>
      <c r="S4393">
        <v>3.1230470000000001</v>
      </c>
      <c r="T4393">
        <v>-4.3917659999999997E-2</v>
      </c>
      <c r="U4393">
        <v>-3.9794919999999998E-2</v>
      </c>
      <c r="V4393">
        <v>-0.1384532</v>
      </c>
      <c r="W4393">
        <v>0.187948</v>
      </c>
      <c r="X4393">
        <v>0.97237150000000006</v>
      </c>
      <c r="Y4393">
        <v>-0.3310553</v>
      </c>
      <c r="Z4393">
        <v>4.2915100000000001E-3</v>
      </c>
      <c r="AA4393">
        <v>0.94360160000000004</v>
      </c>
      <c r="AB4393">
        <v>33</v>
      </c>
      <c r="AC4393">
        <v>80.307199999999895</v>
      </c>
      <c r="AD4393">
        <v>-1.131744992986</v>
      </c>
      <c r="AE4393">
        <v>-0.96491000000000304</v>
      </c>
      <c r="AF4393">
        <v>-26.643150813176501</v>
      </c>
      <c r="AG4393">
        <v>-1.131744992986</v>
      </c>
      <c r="AH4393">
        <v>75.747996721155602</v>
      </c>
      <c r="AI4393">
        <v>90.807500611270001</v>
      </c>
      <c r="AJ4393">
        <v>109.378510223044</v>
      </c>
      <c r="AK4393">
        <v>80.305026861654298</v>
      </c>
      <c r="AL4393">
        <v>79.166944418377199</v>
      </c>
      <c r="AM4393">
        <v>98.103710201813598</v>
      </c>
      <c r="AN4393">
        <v>1.00000003665324</v>
      </c>
    </row>
    <row r="4394" spans="1:40" x14ac:dyDescent="0.25">
      <c r="A4394" t="str">
        <f>"20190303170627302"</f>
        <v>20190303170627302</v>
      </c>
      <c r="B4394" t="str">
        <f>"1551603987289025"</f>
        <v>1551603987289025</v>
      </c>
      <c r="C4394" t="s">
        <v>40</v>
      </c>
      <c r="D4394">
        <v>5.7553910000000004</v>
      </c>
      <c r="E4394">
        <v>0.42933929999999998</v>
      </c>
      <c r="F4394" t="s">
        <v>41</v>
      </c>
      <c r="G4394">
        <v>-326.26409999999998</v>
      </c>
      <c r="H4394" s="1">
        <v>-1.9473060000000001E-6</v>
      </c>
      <c r="I4394">
        <v>18.483969999999999</v>
      </c>
      <c r="J4394">
        <v>-406.35980000000001</v>
      </c>
      <c r="K4394">
        <v>1.1316539999999999</v>
      </c>
      <c r="L4394">
        <v>18.949649999999998</v>
      </c>
      <c r="M4394">
        <v>0.94250429999999996</v>
      </c>
      <c r="N4394">
        <v>-1.516731E-2</v>
      </c>
      <c r="O4394">
        <v>-0.33384950000000002</v>
      </c>
      <c r="P4394">
        <v>0.96359399999999995</v>
      </c>
      <c r="Q4394">
        <v>0.17794989999999999</v>
      </c>
      <c r="R4394">
        <v>-0.1995507</v>
      </c>
      <c r="S4394">
        <v>3.122681</v>
      </c>
      <c r="T4394">
        <v>-4.3975590000000002E-2</v>
      </c>
      <c r="U4394">
        <v>-2.1545410000000001E-2</v>
      </c>
      <c r="V4394">
        <v>-0.13865369999999999</v>
      </c>
      <c r="W4394">
        <v>0.189137</v>
      </c>
      <c r="X4394">
        <v>0.97211230000000004</v>
      </c>
      <c r="Y4394">
        <v>-0.32731080000000001</v>
      </c>
      <c r="Z4394">
        <v>4.2775069999999998E-3</v>
      </c>
      <c r="AA4394">
        <v>0.9449071</v>
      </c>
      <c r="AB4394">
        <v>33</v>
      </c>
      <c r="AC4394">
        <v>80.095699999999994</v>
      </c>
      <c r="AD4394">
        <v>-1.1316559473059999</v>
      </c>
      <c r="AE4394">
        <v>-0.46567999999999499</v>
      </c>
      <c r="AF4394">
        <v>-26.2987815197271</v>
      </c>
      <c r="AG4394">
        <v>-1.1316559473059999</v>
      </c>
      <c r="AH4394">
        <v>75.639616493424498</v>
      </c>
      <c r="AI4394">
        <v>90.809614501127996</v>
      </c>
      <c r="AJ4394">
        <v>109.17181096333999</v>
      </c>
      <c r="AK4394">
        <v>80.089063784500297</v>
      </c>
      <c r="AL4394">
        <v>79.097575076201196</v>
      </c>
      <c r="AM4394">
        <v>98.1174243103127</v>
      </c>
      <c r="AN4394">
        <v>0.99999998855199002</v>
      </c>
    </row>
    <row r="4395" spans="1:40" x14ac:dyDescent="0.25">
      <c r="A4395" t="str">
        <f>"20190303170627323"</f>
        <v>20190303170627323</v>
      </c>
      <c r="B4395" t="str">
        <f>"1551603987319281"</f>
        <v>1551603987319281</v>
      </c>
      <c r="C4395" t="s">
        <v>40</v>
      </c>
      <c r="D4395">
        <v>5.7437649999999998</v>
      </c>
      <c r="E4395">
        <v>0.43193500000000001</v>
      </c>
      <c r="F4395" t="s">
        <v>41</v>
      </c>
      <c r="G4395">
        <v>-344.61360000000002</v>
      </c>
      <c r="H4395" s="1">
        <v>-2.5555290000000001E-6</v>
      </c>
      <c r="I4395">
        <v>18.13663</v>
      </c>
      <c r="J4395">
        <v>-406.06509999999997</v>
      </c>
      <c r="K4395">
        <v>1.1315869999999999</v>
      </c>
      <c r="L4395">
        <v>18.855530000000002</v>
      </c>
      <c r="M4395">
        <v>0.94601550000000001</v>
      </c>
      <c r="N4395">
        <v>-1.513985E-2</v>
      </c>
      <c r="O4395">
        <v>-0.32376749999999999</v>
      </c>
      <c r="P4395">
        <v>0.96519520000000003</v>
      </c>
      <c r="Q4395">
        <v>0.180039</v>
      </c>
      <c r="R4395">
        <v>-0.18969559999999999</v>
      </c>
      <c r="S4395">
        <v>3.115326</v>
      </c>
      <c r="T4395">
        <v>-5.7096239999999999E-2</v>
      </c>
      <c r="U4395">
        <v>-4.1015629999999997E-2</v>
      </c>
      <c r="V4395">
        <v>-0.13808689999999901</v>
      </c>
      <c r="W4395">
        <v>0.19124260000000001</v>
      </c>
      <c r="X4395">
        <v>0.97178100000000001</v>
      </c>
      <c r="Y4395">
        <v>-0.31122680000000003</v>
      </c>
      <c r="Z4395">
        <v>6.0837879999999997E-3</v>
      </c>
      <c r="AA4395">
        <v>0.95031620000000006</v>
      </c>
      <c r="AB4395">
        <v>33</v>
      </c>
      <c r="AC4395">
        <v>61.451499999999903</v>
      </c>
      <c r="AD4395">
        <v>-1.1315895555290001</v>
      </c>
      <c r="AE4395">
        <v>-0.71889999999999699</v>
      </c>
      <c r="AF4395">
        <v>-19.211597733258198</v>
      </c>
      <c r="AG4395">
        <v>-1.1315895555290001</v>
      </c>
      <c r="AH4395">
        <v>58.3537359042855</v>
      </c>
      <c r="AI4395">
        <v>91.055230826303699</v>
      </c>
      <c r="AJ4395">
        <v>108.22291608605499</v>
      </c>
      <c r="AK4395">
        <v>61.445296617184802</v>
      </c>
      <c r="AL4395">
        <v>78.974690406183996</v>
      </c>
      <c r="AM4395">
        <v>98.087400600364603</v>
      </c>
      <c r="AN4395">
        <v>1.0000000179836801</v>
      </c>
    </row>
    <row r="4396" spans="1:40" x14ac:dyDescent="0.25">
      <c r="A4396" t="str">
        <f>"20190303170627338"</f>
        <v>20190303170627338</v>
      </c>
      <c r="B4396" t="str">
        <f>"1551603987329042"</f>
        <v>1551603987329042</v>
      </c>
      <c r="C4396" t="s">
        <v>40</v>
      </c>
      <c r="D4396">
        <v>5.8078760000000003</v>
      </c>
      <c r="E4396">
        <v>0.43231459999999999</v>
      </c>
      <c r="F4396" t="s">
        <v>41</v>
      </c>
      <c r="G4396">
        <v>-348.56569999999999</v>
      </c>
      <c r="H4396" s="1">
        <v>-8.2755579999999999E-7</v>
      </c>
      <c r="I4396">
        <v>18.32009</v>
      </c>
      <c r="J4396">
        <v>-405.8451</v>
      </c>
      <c r="K4396">
        <v>1.131537</v>
      </c>
      <c r="L4396">
        <v>18.787839999999999</v>
      </c>
      <c r="M4396">
        <v>0.94855270000000003</v>
      </c>
      <c r="N4396">
        <v>-1.512106E-2</v>
      </c>
      <c r="O4396">
        <v>-0.31625809999999999</v>
      </c>
      <c r="P4396">
        <v>0.96626909999999999</v>
      </c>
      <c r="Q4396">
        <v>0.18141599999999999</v>
      </c>
      <c r="R4396">
        <v>-0.1827908</v>
      </c>
      <c r="S4396">
        <v>3.1138919999999999</v>
      </c>
      <c r="T4396">
        <v>-6.128132E-2</v>
      </c>
      <c r="U4396">
        <v>-2.8991699999999999E-2</v>
      </c>
      <c r="V4396">
        <v>-0.1372515</v>
      </c>
      <c r="W4396">
        <v>0.19264229999999999</v>
      </c>
      <c r="X4396">
        <v>0.97162289999999996</v>
      </c>
      <c r="Y4396">
        <v>-0.30734280000000003</v>
      </c>
      <c r="Z4396">
        <v>6.6401250000000002E-3</v>
      </c>
      <c r="AA4396">
        <v>0.95157570000000002</v>
      </c>
      <c r="AB4396">
        <v>33</v>
      </c>
      <c r="AC4396">
        <v>57.279400000000003</v>
      </c>
      <c r="AD4396">
        <v>-1.1315378275557999</v>
      </c>
      <c r="AE4396">
        <v>-0.467749999999998</v>
      </c>
      <c r="AF4396">
        <v>-17.666514909976499</v>
      </c>
      <c r="AG4396">
        <v>-1.1315378275557999</v>
      </c>
      <c r="AH4396">
        <v>54.465433513053298</v>
      </c>
      <c r="AI4396">
        <v>91.132117966765506</v>
      </c>
      <c r="AJ4396">
        <v>107.97109098811001</v>
      </c>
      <c r="AK4396">
        <v>57.2701455793893</v>
      </c>
      <c r="AL4396">
        <v>78.892974381877593</v>
      </c>
      <c r="AM4396">
        <v>98.040405857956102</v>
      </c>
      <c r="AN4396">
        <v>1.00000004490297</v>
      </c>
    </row>
    <row r="4397" spans="1:40" x14ac:dyDescent="0.25">
      <c r="A4397" t="str">
        <f>"20190303170627356"</f>
        <v>20190303170627356</v>
      </c>
      <c r="B4397" t="str">
        <f>"1551603987349538"</f>
        <v>1551603987349538</v>
      </c>
      <c r="C4397" t="s">
        <v>40</v>
      </c>
      <c r="D4397">
        <v>5.7913930000000002</v>
      </c>
      <c r="E4397">
        <v>0.43278</v>
      </c>
      <c r="F4397" t="s">
        <v>41</v>
      </c>
      <c r="G4397">
        <v>-345.74709999999999</v>
      </c>
      <c r="H4397" s="1">
        <v>-1.9863630000000002E-6</v>
      </c>
      <c r="I4397">
        <v>18.603999999999999</v>
      </c>
      <c r="J4397">
        <v>-405.58569999999997</v>
      </c>
      <c r="K4397">
        <v>1.1314869999999999</v>
      </c>
      <c r="L4397">
        <v>18.7103</v>
      </c>
      <c r="M4397">
        <v>0.95145860000000004</v>
      </c>
      <c r="N4397">
        <v>-1.510076E-2</v>
      </c>
      <c r="O4397">
        <v>-0.30740669999999998</v>
      </c>
      <c r="P4397">
        <v>0.96726210000000001</v>
      </c>
      <c r="Q4397">
        <v>0.18330080000000001</v>
      </c>
      <c r="R4397">
        <v>-0.175514</v>
      </c>
      <c r="S4397">
        <v>3.1139220000000001</v>
      </c>
      <c r="T4397">
        <v>-5.8629630000000002E-2</v>
      </c>
      <c r="U4397">
        <v>-9.5214840000000002E-3</v>
      </c>
      <c r="V4397">
        <v>-0.13541020000000001</v>
      </c>
      <c r="W4397">
        <v>0.19457720000000001</v>
      </c>
      <c r="X4397">
        <v>0.97149560000000001</v>
      </c>
      <c r="Y4397">
        <v>-0.30443369999999997</v>
      </c>
      <c r="Z4397">
        <v>6.1793179999999996E-3</v>
      </c>
      <c r="AA4397">
        <v>0.95251350000000001</v>
      </c>
      <c r="AB4397">
        <v>33</v>
      </c>
      <c r="AC4397">
        <v>59.8385999999999</v>
      </c>
      <c r="AD4397">
        <v>-1.131488986363</v>
      </c>
      <c r="AE4397">
        <v>-0.10630000000000001</v>
      </c>
      <c r="AF4397">
        <v>-18.289189874632601</v>
      </c>
      <c r="AG4397">
        <v>-1.131488986363</v>
      </c>
      <c r="AH4397">
        <v>56.952749901566499</v>
      </c>
      <c r="AI4397">
        <v>91.0836631827313</v>
      </c>
      <c r="AJ4397">
        <v>107.80334000913101</v>
      </c>
      <c r="AK4397">
        <v>59.828007278757099</v>
      </c>
      <c r="AL4397">
        <v>78.779973630039294</v>
      </c>
      <c r="AM4397">
        <v>97.934948770606596</v>
      </c>
      <c r="AN4397">
        <v>0.99999995492161897</v>
      </c>
    </row>
    <row r="4398" spans="1:40" x14ac:dyDescent="0.25">
      <c r="A4398" t="str">
        <f>"20190303170627378"</f>
        <v>20190303170627378</v>
      </c>
      <c r="B4398" t="str">
        <f>"1551603987369057"</f>
        <v>1551603987369057</v>
      </c>
      <c r="C4398" t="s">
        <v>40</v>
      </c>
      <c r="D4398">
        <v>5.803966</v>
      </c>
      <c r="E4398">
        <v>0.43794559999999999</v>
      </c>
      <c r="F4398" t="s">
        <v>41</v>
      </c>
      <c r="G4398">
        <v>-341.39769999999999</v>
      </c>
      <c r="H4398" s="1">
        <v>-3.7966720000000001E-6</v>
      </c>
      <c r="I4398">
        <v>18.917179999999998</v>
      </c>
      <c r="J4398">
        <v>-405.27289999999999</v>
      </c>
      <c r="K4398">
        <v>1.131418</v>
      </c>
      <c r="L4398">
        <v>18.62012</v>
      </c>
      <c r="M4398">
        <v>0.95484089999999999</v>
      </c>
      <c r="N4398">
        <v>-1.507853E-2</v>
      </c>
      <c r="O4398">
        <v>-0.29673490000000002</v>
      </c>
      <c r="P4398">
        <v>0.96866600000000003</v>
      </c>
      <c r="Q4398">
        <v>0.18415429999999999</v>
      </c>
      <c r="R4398">
        <v>-0.1666542</v>
      </c>
      <c r="S4398">
        <v>3.1137700000000001</v>
      </c>
      <c r="T4398">
        <v>-5.4888840000000001E-2</v>
      </c>
      <c r="U4398">
        <v>1.004028E-2</v>
      </c>
      <c r="V4398">
        <v>-0.13335339999999901</v>
      </c>
      <c r="W4398">
        <v>0.1954892</v>
      </c>
      <c r="X4398">
        <v>0.97159709999999999</v>
      </c>
      <c r="Y4398">
        <v>-0.2997609</v>
      </c>
      <c r="Z4398">
        <v>5.5474679999999998E-3</v>
      </c>
      <c r="AA4398">
        <v>0.95399820000000002</v>
      </c>
      <c r="AB4398">
        <v>33</v>
      </c>
      <c r="AC4398">
        <v>63.8752</v>
      </c>
      <c r="AD4398">
        <v>-1.1314217966719999</v>
      </c>
      <c r="AE4398">
        <v>0.29705999999999799</v>
      </c>
      <c r="AF4398">
        <v>-19.233797933948399</v>
      </c>
      <c r="AG4398">
        <v>-1.1314217966719999</v>
      </c>
      <c r="AH4398">
        <v>60.890322798754397</v>
      </c>
      <c r="AI4398">
        <v>91.0150817003627</v>
      </c>
      <c r="AJ4398">
        <v>107.530081714975</v>
      </c>
      <c r="AK4398">
        <v>63.865879065291601</v>
      </c>
      <c r="AL4398">
        <v>78.726697759408694</v>
      </c>
      <c r="AM4398">
        <v>97.815116160543596</v>
      </c>
      <c r="AN4398">
        <v>1.0000000406683001</v>
      </c>
    </row>
    <row r="4399" spans="1:40" x14ac:dyDescent="0.25">
      <c r="A4399" t="str">
        <f>"20190303170627391"</f>
        <v>20190303170627391</v>
      </c>
      <c r="B4399" t="str">
        <f>"1551603987379793"</f>
        <v>1551603987379793</v>
      </c>
      <c r="C4399" t="s">
        <v>40</v>
      </c>
      <c r="D4399">
        <v>5.735582</v>
      </c>
      <c r="E4399">
        <v>0.44024740000000001</v>
      </c>
      <c r="F4399" t="s">
        <v>41</v>
      </c>
      <c r="G4399">
        <v>-352.98410000000001</v>
      </c>
      <c r="H4399" s="1">
        <v>-3.176017E-6</v>
      </c>
      <c r="I4399">
        <v>18.57949</v>
      </c>
      <c r="J4399">
        <v>-405.09879999999998</v>
      </c>
      <c r="K4399">
        <v>1.131386</v>
      </c>
      <c r="L4399">
        <v>18.571719999999999</v>
      </c>
      <c r="M4399">
        <v>0.95666790000000002</v>
      </c>
      <c r="N4399">
        <v>-1.506706E-2</v>
      </c>
      <c r="O4399">
        <v>-0.29079149999999998</v>
      </c>
      <c r="P4399">
        <v>0.96939889999999995</v>
      </c>
      <c r="Q4399">
        <v>0.18490719999999999</v>
      </c>
      <c r="R4399">
        <v>-0.16147919999999999</v>
      </c>
      <c r="S4399">
        <v>3.1094059999999999</v>
      </c>
      <c r="T4399">
        <v>-6.7281129999999995E-2</v>
      </c>
      <c r="U4399">
        <v>-2.4108889999999998E-3</v>
      </c>
      <c r="V4399">
        <v>-0.13245489999999999</v>
      </c>
      <c r="W4399">
        <v>0.19626669999999999</v>
      </c>
      <c r="X4399">
        <v>0.97156319999999996</v>
      </c>
      <c r="Y4399">
        <v>-0.28996369999999999</v>
      </c>
      <c r="Z4399">
        <v>7.1134989999999997E-3</v>
      </c>
      <c r="AA4399">
        <v>0.95701119999999995</v>
      </c>
      <c r="AB4399">
        <v>33</v>
      </c>
      <c r="AC4399">
        <v>52.1146999999999</v>
      </c>
      <c r="AD4399">
        <v>-1.1313891760169901</v>
      </c>
      <c r="AE4399">
        <v>7.7699999999971603E-3</v>
      </c>
      <c r="AF4399">
        <v>-15.156521630164701</v>
      </c>
      <c r="AG4399">
        <v>-1.1313891760169901</v>
      </c>
      <c r="AH4399">
        <v>49.836368189720901</v>
      </c>
      <c r="AI4399">
        <v>91.244258922405905</v>
      </c>
      <c r="AJ4399">
        <v>106.915865714677</v>
      </c>
      <c r="AK4399">
        <v>52.102435487553599</v>
      </c>
      <c r="AL4399">
        <v>78.681269642797602</v>
      </c>
      <c r="AM4399">
        <v>97.763371755065293</v>
      </c>
      <c r="AN4399">
        <v>0.999999984828569</v>
      </c>
    </row>
    <row r="4400" spans="1:40" x14ac:dyDescent="0.25">
      <c r="A4400" t="str">
        <f>"20190303170627404"</f>
        <v>20190303170627404</v>
      </c>
      <c r="B4400" t="str">
        <f>"1551603987399313"</f>
        <v>1551603987399313</v>
      </c>
      <c r="C4400" t="s">
        <v>40</v>
      </c>
      <c r="D4400">
        <v>5.7944360000000001</v>
      </c>
      <c r="E4400">
        <v>0.4415578</v>
      </c>
      <c r="F4400" t="s">
        <v>96</v>
      </c>
      <c r="G4400">
        <v>-365.90730000000002</v>
      </c>
      <c r="H4400" s="1">
        <v>-2.1281660000000001E-6</v>
      </c>
      <c r="I4400">
        <v>18.527889999999999</v>
      </c>
      <c r="J4400">
        <v>-404.91759999999999</v>
      </c>
      <c r="K4400">
        <v>1.1313550000000001</v>
      </c>
      <c r="L4400">
        <v>18.52216</v>
      </c>
      <c r="M4400">
        <v>0.95852630000000005</v>
      </c>
      <c r="N4400">
        <v>-1.505578E-2</v>
      </c>
      <c r="O4400">
        <v>-0.28460659999999999</v>
      </c>
      <c r="P4400">
        <v>0.97002940000000004</v>
      </c>
      <c r="Q4400">
        <v>0.1860116</v>
      </c>
      <c r="R4400">
        <v>-0.1563436</v>
      </c>
      <c r="S4400">
        <v>3.111237</v>
      </c>
      <c r="T4400">
        <v>-8.9815859999999997E-2</v>
      </c>
      <c r="U4400">
        <v>-3.479004E-3</v>
      </c>
      <c r="V4400">
        <v>-0.13126940000000001</v>
      </c>
      <c r="W4400">
        <v>0.1974023</v>
      </c>
      <c r="X4400">
        <v>0.97149399999999997</v>
      </c>
      <c r="Y4400">
        <v>-0.2833638</v>
      </c>
      <c r="Z4400">
        <v>1.002027E-2</v>
      </c>
      <c r="AA4400">
        <v>0.95896020000000004</v>
      </c>
      <c r="AB4400">
        <v>33</v>
      </c>
      <c r="AC4400">
        <v>39.010299999999901</v>
      </c>
      <c r="AD4400">
        <v>-1.131357128166</v>
      </c>
      <c r="AE4400">
        <v>5.7299999999997899E-3</v>
      </c>
      <c r="AF4400">
        <v>-11.1000028713358</v>
      </c>
      <c r="AG4400">
        <v>-1.131357128166</v>
      </c>
      <c r="AH4400">
        <v>37.3635753555969</v>
      </c>
      <c r="AI4400">
        <v>91.662594198377803</v>
      </c>
      <c r="AJ4400">
        <v>106.545676493719</v>
      </c>
      <c r="AK4400">
        <v>38.9939328107397</v>
      </c>
      <c r="AL4400">
        <v>78.614905953091395</v>
      </c>
      <c r="AM4400">
        <v>97.695265583683295</v>
      </c>
      <c r="AN4400">
        <v>0.999999957728824</v>
      </c>
    </row>
    <row r="4401" spans="1:40" x14ac:dyDescent="0.25">
      <c r="A4401" t="str">
        <f>"20190303170627421"</f>
        <v>20190303170627421</v>
      </c>
      <c r="B4401" t="str">
        <f>"1551603987409073"</f>
        <v>1551603987409073</v>
      </c>
      <c r="C4401" t="s">
        <v>40</v>
      </c>
      <c r="D4401">
        <v>5.8323780000000003</v>
      </c>
      <c r="E4401">
        <v>0.442274</v>
      </c>
      <c r="F4401" t="s">
        <v>96</v>
      </c>
      <c r="G4401">
        <v>-362.42399999999998</v>
      </c>
      <c r="H4401" s="1">
        <v>-3.7687870000000001E-6</v>
      </c>
      <c r="I4401">
        <v>18.561360000000001</v>
      </c>
      <c r="J4401">
        <v>-404.66160000000002</v>
      </c>
      <c r="K4401">
        <v>1.1313169999999999</v>
      </c>
      <c r="L4401">
        <v>18.454740000000001</v>
      </c>
      <c r="M4401">
        <v>0.96107969999999998</v>
      </c>
      <c r="N4401">
        <v>-1.5040639999999999E-2</v>
      </c>
      <c r="O4401">
        <v>-0.275862</v>
      </c>
      <c r="P4401">
        <v>0.97067639999999999</v>
      </c>
      <c r="Q4401">
        <v>0.18813659999999999</v>
      </c>
      <c r="R4401">
        <v>-0.14964</v>
      </c>
      <c r="S4401">
        <v>3.1090390000000001</v>
      </c>
      <c r="T4401">
        <v>-8.2775710000000002E-2</v>
      </c>
      <c r="U4401">
        <v>2.8686520000000002E-3</v>
      </c>
      <c r="V4401">
        <v>-0.1290364</v>
      </c>
      <c r="W4401">
        <v>0.19958390000000001</v>
      </c>
      <c r="X4401">
        <v>0.97134750000000003</v>
      </c>
      <c r="Y4401">
        <v>-0.2766111</v>
      </c>
      <c r="Z4401">
        <v>8.8434140000000008E-3</v>
      </c>
      <c r="AA4401">
        <v>0.9609413</v>
      </c>
      <c r="AB4401">
        <v>33</v>
      </c>
      <c r="AC4401">
        <v>42.237599999999901</v>
      </c>
      <c r="AD4401">
        <v>-1.1313207687869999</v>
      </c>
      <c r="AE4401">
        <v>0.10661999999999899</v>
      </c>
      <c r="AF4401">
        <v>-11.7471198311927</v>
      </c>
      <c r="AG4401">
        <v>-1.1313207687869999</v>
      </c>
      <c r="AH4401">
        <v>40.5397875658998</v>
      </c>
      <c r="AI4401">
        <v>91.535377811598195</v>
      </c>
      <c r="AJ4401">
        <v>106.159879437623</v>
      </c>
      <c r="AK4401">
        <v>42.2226134541501</v>
      </c>
      <c r="AL4401">
        <v>78.487372834717803</v>
      </c>
      <c r="AM4401">
        <v>97.567019979391901</v>
      </c>
      <c r="AN4401">
        <v>1.0000000457102001</v>
      </c>
    </row>
    <row r="4402" spans="1:40" x14ac:dyDescent="0.25">
      <c r="A4402" t="str">
        <f>"20190303170627433"</f>
        <v>20190303170627433</v>
      </c>
      <c r="B4402" t="str">
        <f>"1551603987419809"</f>
        <v>1551603987419809</v>
      </c>
      <c r="C4402" t="s">
        <v>40</v>
      </c>
      <c r="D4402">
        <v>5.7944329999999997</v>
      </c>
      <c r="E4402">
        <v>0.44294339999999999</v>
      </c>
      <c r="F4402" t="s">
        <v>41</v>
      </c>
      <c r="G4402">
        <v>-357.61810000000003</v>
      </c>
      <c r="H4402" s="1">
        <v>-1.1560090000000001E-6</v>
      </c>
      <c r="I4402">
        <v>18.75996</v>
      </c>
      <c r="J4402">
        <v>-404.50389999999999</v>
      </c>
      <c r="K4402">
        <v>1.1312949999999999</v>
      </c>
      <c r="L4402">
        <v>18.414760000000001</v>
      </c>
      <c r="M4402">
        <v>0.96260939999999995</v>
      </c>
      <c r="N4402">
        <v>-1.5031940000000001E-2</v>
      </c>
      <c r="O4402">
        <v>-0.27047569999999999</v>
      </c>
      <c r="P4402">
        <v>0.97121820000000003</v>
      </c>
      <c r="Q4402">
        <v>0.189051</v>
      </c>
      <c r="R4402">
        <v>-0.14489659999999999</v>
      </c>
      <c r="S4402">
        <v>3.108215</v>
      </c>
      <c r="T4402">
        <v>-7.4747560000000005E-2</v>
      </c>
      <c r="U4402">
        <v>2.0172120000000002E-2</v>
      </c>
      <c r="V4402">
        <v>-0.1283</v>
      </c>
      <c r="W4402">
        <v>0.200516</v>
      </c>
      <c r="X4402">
        <v>0.97125300000000003</v>
      </c>
      <c r="Y4402">
        <v>-0.27660990000000002</v>
      </c>
      <c r="Z4402">
        <v>7.7448040000000001E-3</v>
      </c>
      <c r="AA4402">
        <v>0.96095109999999995</v>
      </c>
      <c r="AB4402">
        <v>33</v>
      </c>
      <c r="AC4402">
        <v>46.885799999999897</v>
      </c>
      <c r="AD4402">
        <v>-1.131296156009</v>
      </c>
      <c r="AE4402">
        <v>0.34519999999999801</v>
      </c>
      <c r="AF4402">
        <v>-13.007660785993901</v>
      </c>
      <c r="AG4402">
        <v>-1.131296156009</v>
      </c>
      <c r="AH4402">
        <v>45.0182267204925</v>
      </c>
      <c r="AI4402">
        <v>91.382974735106501</v>
      </c>
      <c r="AJ4402">
        <v>106.11623191115</v>
      </c>
      <c r="AK4402">
        <v>46.873444584047199</v>
      </c>
      <c r="AL4402">
        <v>78.432864762468199</v>
      </c>
      <c r="AM4402">
        <v>97.525055522962901</v>
      </c>
      <c r="AN4402">
        <v>0.999999973132499</v>
      </c>
    </row>
    <row r="4403" spans="1:40" x14ac:dyDescent="0.25">
      <c r="A4403" t="str">
        <f>"20190303170627445"</f>
        <v>20190303170627445</v>
      </c>
      <c r="B4403" t="str">
        <f>"1551603987439329"</f>
        <v>1551603987439329</v>
      </c>
      <c r="C4403" t="s">
        <v>40</v>
      </c>
      <c r="D4403">
        <v>5.7682929999999999</v>
      </c>
      <c r="E4403">
        <v>0.44807330000000001</v>
      </c>
      <c r="F4403" t="s">
        <v>41</v>
      </c>
      <c r="G4403">
        <v>-355.22660000000002</v>
      </c>
      <c r="H4403" s="1">
        <v>-2.156079E-6</v>
      </c>
      <c r="I4403">
        <v>18.90588</v>
      </c>
      <c r="J4403">
        <v>-404.32920000000001</v>
      </c>
      <c r="K4403">
        <v>1.1312679999999999</v>
      </c>
      <c r="L4403">
        <v>18.370999999999999</v>
      </c>
      <c r="M4403">
        <v>0.96426690000000004</v>
      </c>
      <c r="N4403">
        <v>-1.502274E-2</v>
      </c>
      <c r="O4403">
        <v>-0.26450709999999999</v>
      </c>
      <c r="P4403">
        <v>0.97178710000000001</v>
      </c>
      <c r="Q4403">
        <v>0.18980739999999999</v>
      </c>
      <c r="R4403">
        <v>-0.140012</v>
      </c>
      <c r="S4403">
        <v>3.1074220000000001</v>
      </c>
      <c r="T4403">
        <v>-7.1339609999999998E-2</v>
      </c>
      <c r="U4403">
        <v>3.0975340000000001E-2</v>
      </c>
      <c r="V4403">
        <v>-0.1271272</v>
      </c>
      <c r="W4403">
        <v>0.20130310000000001</v>
      </c>
      <c r="X4403">
        <v>0.97124449999999996</v>
      </c>
      <c r="Y4403">
        <v>-0.2740107</v>
      </c>
      <c r="Z4403">
        <v>7.2138749999999998E-3</v>
      </c>
      <c r="AA4403">
        <v>0.96169959999999999</v>
      </c>
      <c r="AB4403">
        <v>33</v>
      </c>
      <c r="AC4403">
        <v>49.102600000000002</v>
      </c>
      <c r="AD4403">
        <v>-1.1312701560789999</v>
      </c>
      <c r="AE4403">
        <v>0.53488000000000102</v>
      </c>
      <c r="AF4403">
        <v>-13.498111302283201</v>
      </c>
      <c r="AG4403">
        <v>-1.1312701560789999</v>
      </c>
      <c r="AH4403">
        <v>47.1868086069193</v>
      </c>
      <c r="AI4403">
        <v>91.320420460316598</v>
      </c>
      <c r="AJ4403">
        <v>105.963542077018</v>
      </c>
      <c r="AK4403">
        <v>49.0925013357528</v>
      </c>
      <c r="AL4403">
        <v>78.386829715693594</v>
      </c>
      <c r="AM4403">
        <v>97.457110618360801</v>
      </c>
      <c r="AN4403">
        <v>1.00000007091484</v>
      </c>
    </row>
    <row r="4404" spans="1:40" x14ac:dyDescent="0.25">
      <c r="A4404" t="str">
        <f>"20190303170627457"</f>
        <v>20190303170627457</v>
      </c>
      <c r="B4404" t="str">
        <f>"1551603987449089"</f>
        <v>1551603987449089</v>
      </c>
      <c r="C4404" t="s">
        <v>40</v>
      </c>
      <c r="D4404">
        <v>5.8346819999999999</v>
      </c>
      <c r="E4404">
        <v>0.44830819999999999</v>
      </c>
      <c r="F4404" t="s">
        <v>96</v>
      </c>
      <c r="G4404">
        <v>-363.97160000000002</v>
      </c>
      <c r="H4404" s="1">
        <v>-3.0544520000000001E-6</v>
      </c>
      <c r="I4404">
        <v>18.464210000000001</v>
      </c>
      <c r="J4404">
        <v>-404.14389999999997</v>
      </c>
      <c r="K4404">
        <v>1.1312420000000001</v>
      </c>
      <c r="L4404">
        <v>18.3262</v>
      </c>
      <c r="M4404">
        <v>0.96598200000000001</v>
      </c>
      <c r="N4404">
        <v>-1.5013189999999999E-2</v>
      </c>
      <c r="O4404">
        <v>-0.25817329999999999</v>
      </c>
      <c r="P4404">
        <v>0.97249359999999996</v>
      </c>
      <c r="Q4404">
        <v>0.18995690000000001</v>
      </c>
      <c r="R4404">
        <v>-0.1348075</v>
      </c>
      <c r="S4404">
        <v>3.1051030000000002</v>
      </c>
      <c r="T4404">
        <v>-8.7039710000000006E-2</v>
      </c>
      <c r="U4404">
        <v>7.1716310000000004E-3</v>
      </c>
      <c r="V4404">
        <v>-0.12593019999999999</v>
      </c>
      <c r="W4404">
        <v>0.20148379999999999</v>
      </c>
      <c r="X4404">
        <v>0.97136290000000003</v>
      </c>
      <c r="Y4404">
        <v>-0.26025679999999901</v>
      </c>
      <c r="Z4404">
        <v>8.8658890000000001E-3</v>
      </c>
      <c r="AA4404">
        <v>0.96549870000000004</v>
      </c>
      <c r="AB4404">
        <v>33</v>
      </c>
      <c r="AC4404">
        <v>40.1722999999999</v>
      </c>
      <c r="AD4404">
        <v>-1.1312450544519901</v>
      </c>
      <c r="AE4404">
        <v>0.13801000000000099</v>
      </c>
      <c r="AF4404">
        <v>-10.497589875697001</v>
      </c>
      <c r="AG4404">
        <v>-1.1312450544519901</v>
      </c>
      <c r="AH4404">
        <v>38.743734347688097</v>
      </c>
      <c r="AI4404">
        <v>91.614281888376198</v>
      </c>
      <c r="AJ4404">
        <v>105.160261200561</v>
      </c>
      <c r="AK4404">
        <v>40.156644030294501</v>
      </c>
      <c r="AL4404">
        <v>78.376259080555599</v>
      </c>
      <c r="AM4404">
        <v>97.386784927880001</v>
      </c>
      <c r="AN4404">
        <v>1.00000001021544</v>
      </c>
    </row>
    <row r="4405" spans="1:40" x14ac:dyDescent="0.25">
      <c r="A4405" t="str">
        <f>"20190303170627470"</f>
        <v>20190303170627470</v>
      </c>
      <c r="B4405" t="str">
        <f>"1551603987459826"</f>
        <v>1551603987459826</v>
      </c>
      <c r="C4405" t="s">
        <v>40</v>
      </c>
      <c r="D4405">
        <v>5.7776389999999997</v>
      </c>
      <c r="E4405">
        <v>0.4482816</v>
      </c>
      <c r="F4405" t="s">
        <v>96</v>
      </c>
      <c r="G4405">
        <v>-360.51209999999998</v>
      </c>
      <c r="H4405" s="1">
        <v>-4.6586660000000003E-6</v>
      </c>
      <c r="I4405">
        <v>18.63982</v>
      </c>
      <c r="J4405">
        <v>-403.98</v>
      </c>
      <c r="K4405">
        <v>1.1312199999999999</v>
      </c>
      <c r="L4405">
        <v>18.287600000000001</v>
      </c>
      <c r="M4405">
        <v>0.96746239999999994</v>
      </c>
      <c r="N4405">
        <v>-1.5005070000000001E-2</v>
      </c>
      <c r="O4405">
        <v>-0.25257010000000002</v>
      </c>
      <c r="P4405">
        <v>0.97311199999999998</v>
      </c>
      <c r="Q4405">
        <v>0.18979950000000001</v>
      </c>
      <c r="R4405">
        <v>-0.1304971</v>
      </c>
      <c r="S4405">
        <v>3.1036990000000002</v>
      </c>
      <c r="T4405">
        <v>-8.0469849999999996E-2</v>
      </c>
      <c r="U4405">
        <v>2.2308350000000001E-2</v>
      </c>
      <c r="V4405">
        <v>-0.12459190000000001</v>
      </c>
      <c r="W4405">
        <v>0.2013624</v>
      </c>
      <c r="X4405">
        <v>0.9715606</v>
      </c>
      <c r="Y4405">
        <v>-0.25939590000000001</v>
      </c>
      <c r="Z4405">
        <v>7.9835080000000003E-3</v>
      </c>
      <c r="AA4405">
        <v>0.96573810000000004</v>
      </c>
      <c r="AB4405">
        <v>33</v>
      </c>
      <c r="AC4405">
        <v>43.4679</v>
      </c>
      <c r="AD4405">
        <v>-1.131224658666</v>
      </c>
      <c r="AE4405">
        <v>0.35221999999999898</v>
      </c>
      <c r="AF4405">
        <v>-11.3130627858528</v>
      </c>
      <c r="AG4405">
        <v>-1.131224658666</v>
      </c>
      <c r="AH4405">
        <v>41.940913900448898</v>
      </c>
      <c r="AI4405">
        <v>91.491710175200396</v>
      </c>
      <c r="AJ4405">
        <v>105.09558848408599</v>
      </c>
      <c r="AK4405">
        <v>43.454635168528299</v>
      </c>
      <c r="AL4405">
        <v>78.383359960372502</v>
      </c>
      <c r="AM4405">
        <v>97.307665384705999</v>
      </c>
      <c r="AN4405">
        <v>0.99999997857586398</v>
      </c>
    </row>
    <row r="4406" spans="1:40" x14ac:dyDescent="0.25">
      <c r="A4406" t="str">
        <f>"20190303170627483"</f>
        <v>20190303170627483</v>
      </c>
      <c r="B4406" t="str">
        <f>"1551603987469585"</f>
        <v>1551603987469585</v>
      </c>
      <c r="C4406" t="s">
        <v>40</v>
      </c>
      <c r="D4406">
        <v>5.8298379999999996</v>
      </c>
      <c r="E4406">
        <v>0.448154</v>
      </c>
      <c r="F4406" t="s">
        <v>96</v>
      </c>
      <c r="G4406">
        <v>-363.5643</v>
      </c>
      <c r="H4406" s="1">
        <v>-3.192665E-6</v>
      </c>
      <c r="I4406">
        <v>18.770659999999999</v>
      </c>
      <c r="J4406">
        <v>-403.79270000000002</v>
      </c>
      <c r="K4406">
        <v>1.131197</v>
      </c>
      <c r="L4406">
        <v>18.244319999999998</v>
      </c>
      <c r="M4406">
        <v>0.96911170000000002</v>
      </c>
      <c r="N4406">
        <v>-1.499614E-2</v>
      </c>
      <c r="O4406">
        <v>-0.246166</v>
      </c>
      <c r="P4406">
        <v>0.97378920000000002</v>
      </c>
      <c r="Q4406">
        <v>0.1897819</v>
      </c>
      <c r="R4406">
        <v>-0.12537029999999999</v>
      </c>
      <c r="S4406">
        <v>3.104797</v>
      </c>
      <c r="T4406">
        <v>-8.6902259999999995E-2</v>
      </c>
      <c r="U4406">
        <v>3.7109379999999997E-2</v>
      </c>
      <c r="V4406">
        <v>-0.1232654</v>
      </c>
      <c r="W4406">
        <v>0.20138010000000001</v>
      </c>
      <c r="X4406">
        <v>0.97172610000000004</v>
      </c>
      <c r="Y4406">
        <v>-0.25758629999999999</v>
      </c>
      <c r="Z4406">
        <v>8.6546350000000008E-3</v>
      </c>
      <c r="AA4406">
        <v>0.96621659999999998</v>
      </c>
      <c r="AB4406">
        <v>33</v>
      </c>
      <c r="AC4406">
        <v>40.228400000000001</v>
      </c>
      <c r="AD4406">
        <v>-1.1312001926649999</v>
      </c>
      <c r="AE4406">
        <v>0.52633999999999703</v>
      </c>
      <c r="AF4406">
        <v>-10.405890687386099</v>
      </c>
      <c r="AG4406">
        <v>-1.1312001926649999</v>
      </c>
      <c r="AH4406">
        <v>38.829916858969</v>
      </c>
      <c r="AI4406">
        <v>91.611835769122706</v>
      </c>
      <c r="AJ4406">
        <v>105.00199046603601</v>
      </c>
      <c r="AK4406">
        <v>40.215974663660198</v>
      </c>
      <c r="AL4406">
        <v>78.382324379143796</v>
      </c>
      <c r="AM4406">
        <v>97.229471762697798</v>
      </c>
      <c r="AN4406">
        <v>0.99999995846718903</v>
      </c>
    </row>
    <row r="4407" spans="1:40" x14ac:dyDescent="0.25">
      <c r="A4407" t="str">
        <f>"20190303170627501"</f>
        <v>20190303170627501</v>
      </c>
      <c r="B4407" t="str">
        <f>"1551603987489105"</f>
        <v>1551603987489105</v>
      </c>
      <c r="C4407" t="s">
        <v>40</v>
      </c>
      <c r="D4407">
        <v>5.8055139999999996</v>
      </c>
      <c r="E4407">
        <v>0.4406157</v>
      </c>
      <c r="F4407" t="s">
        <v>96</v>
      </c>
      <c r="G4407">
        <v>-362.08710000000002</v>
      </c>
      <c r="H4407" s="1">
        <v>-3.8533080000000002E-6</v>
      </c>
      <c r="I4407">
        <v>18.98274</v>
      </c>
      <c r="J4407">
        <v>-403.53140000000002</v>
      </c>
      <c r="K4407">
        <v>1.131162</v>
      </c>
      <c r="L4407">
        <v>18.18665</v>
      </c>
      <c r="M4407">
        <v>0.97133539999999996</v>
      </c>
      <c r="N4407">
        <v>-1.498383E-2</v>
      </c>
      <c r="O4407">
        <v>-0.23724110000000001</v>
      </c>
      <c r="P4407">
        <v>0.97440930000000003</v>
      </c>
      <c r="Q4407">
        <v>0.19003239999999999</v>
      </c>
      <c r="R4407">
        <v>-0.12005979999999999</v>
      </c>
      <c r="S4407">
        <v>3.1042480000000001</v>
      </c>
      <c r="T4407">
        <v>-8.4197999999999995E-2</v>
      </c>
      <c r="U4407">
        <v>5.4962160000000003E-2</v>
      </c>
      <c r="V4407">
        <v>-0.1195875</v>
      </c>
      <c r="W4407">
        <v>0.20172670000000001</v>
      </c>
      <c r="X4407">
        <v>0.97211380000000003</v>
      </c>
      <c r="Y4407">
        <v>-0.25426700000000002</v>
      </c>
      <c r="Z4407">
        <v>8.1647600000000001E-3</v>
      </c>
      <c r="AA4407">
        <v>0.96709959999999995</v>
      </c>
      <c r="AB4407">
        <v>33</v>
      </c>
      <c r="AC4407">
        <v>41.444299999999998</v>
      </c>
      <c r="AD4407">
        <v>-1.131165853308</v>
      </c>
      <c r="AE4407">
        <v>0.79608999999999897</v>
      </c>
      <c r="AF4407">
        <v>-10.5988581775408</v>
      </c>
      <c r="AG4407">
        <v>-1.131165853308</v>
      </c>
      <c r="AH4407">
        <v>40.0421246987327</v>
      </c>
      <c r="AI4407">
        <v>91.564297534771399</v>
      </c>
      <c r="AJ4407">
        <v>104.825774235582</v>
      </c>
      <c r="AK4407">
        <v>41.436542824470401</v>
      </c>
      <c r="AL4407">
        <v>78.362050485571004</v>
      </c>
      <c r="AM4407">
        <v>97.013176318576299</v>
      </c>
      <c r="AN4407">
        <v>1.00000003589978</v>
      </c>
    </row>
    <row r="4408" spans="1:40" x14ac:dyDescent="0.25">
      <c r="A4408" t="str">
        <f>"20190303170627532"</f>
        <v>20190303170627532</v>
      </c>
      <c r="B4408" t="str">
        <f>"1551603987519361"</f>
        <v>1551603987519361</v>
      </c>
      <c r="C4408" t="s">
        <v>40</v>
      </c>
      <c r="D4408">
        <v>5.8138709999999998</v>
      </c>
      <c r="E4408">
        <v>0.43961539999999999</v>
      </c>
      <c r="F4408" t="s">
        <v>101</v>
      </c>
      <c r="G4408">
        <v>-279.68</v>
      </c>
      <c r="H4408">
        <v>0.68297050000000004</v>
      </c>
      <c r="I4408">
        <v>23.400200000000002</v>
      </c>
      <c r="J4408">
        <v>-403.10160000000002</v>
      </c>
      <c r="K4408">
        <v>1.1310880000000001</v>
      </c>
      <c r="L4408">
        <v>18.09732</v>
      </c>
      <c r="M4408">
        <v>0.9747905</v>
      </c>
      <c r="N4408">
        <v>-1.4962110000000001E-2</v>
      </c>
      <c r="O4408">
        <v>-0.2226204</v>
      </c>
      <c r="P4408">
        <v>0.97555639999999999</v>
      </c>
      <c r="Q4408">
        <v>0.1905326</v>
      </c>
      <c r="R4408">
        <v>-0.1094855</v>
      </c>
      <c r="S4408">
        <v>3.0970460000000002</v>
      </c>
      <c r="T4408">
        <v>-1.1207460000000001E-2</v>
      </c>
      <c r="U4408">
        <v>0.13037109999999999</v>
      </c>
      <c r="V4408">
        <v>-0.1154633</v>
      </c>
      <c r="W4408">
        <v>0.20233470000000001</v>
      </c>
      <c r="X4408">
        <v>0.97248599999999996</v>
      </c>
      <c r="Y4408">
        <v>-0.26342779999999999</v>
      </c>
      <c r="Z4408" s="1">
        <v>-9.7641140000000005E-5</v>
      </c>
      <c r="AA4408">
        <v>0.96467910000000001</v>
      </c>
      <c r="AB4408">
        <v>33</v>
      </c>
      <c r="AC4408">
        <v>123.4216</v>
      </c>
      <c r="AD4408">
        <v>-0.448117499999999</v>
      </c>
      <c r="AE4408">
        <v>5.30288</v>
      </c>
      <c r="AF4408">
        <v>-32.648584400975203</v>
      </c>
      <c r="AG4408">
        <v>-0.448117499999999</v>
      </c>
      <c r="AH4408">
        <v>119.141429439158</v>
      </c>
      <c r="AI4408">
        <v>90.207838826310294</v>
      </c>
      <c r="AJ4408">
        <v>105.324684666011</v>
      </c>
      <c r="AK4408">
        <v>123.534655386605</v>
      </c>
      <c r="AL4408">
        <v>78.326481497388201</v>
      </c>
      <c r="AM4408">
        <v>96.771032144776896</v>
      </c>
      <c r="AN4408">
        <v>1.0000000623334799</v>
      </c>
    </row>
    <row r="4409" spans="1:40" x14ac:dyDescent="0.25">
      <c r="A4409" t="str">
        <f>"20190303170627545"</f>
        <v>20190303170627545</v>
      </c>
      <c r="B4409" t="str">
        <f>"1551603987539858"</f>
        <v>1551603987539858</v>
      </c>
      <c r="C4409" t="s">
        <v>40</v>
      </c>
      <c r="D4409">
        <v>5.792484</v>
      </c>
      <c r="E4409">
        <v>0.44068350000000001</v>
      </c>
      <c r="F4409" t="s">
        <v>101</v>
      </c>
      <c r="G4409">
        <v>-279.68</v>
      </c>
      <c r="H4409">
        <v>1.123254</v>
      </c>
      <c r="I4409">
        <v>24.982749999999999</v>
      </c>
      <c r="J4409">
        <v>-402.89530000000002</v>
      </c>
      <c r="K4409">
        <v>1.131049</v>
      </c>
      <c r="L4409">
        <v>18.056429999999999</v>
      </c>
      <c r="M4409">
        <v>0.97636129999999999</v>
      </c>
      <c r="N4409">
        <v>-1.4950690000000001E-2</v>
      </c>
      <c r="O4409">
        <v>-0.21562790000000001</v>
      </c>
      <c r="P4409">
        <v>0.97587570000000001</v>
      </c>
      <c r="Q4409">
        <v>0.1903338</v>
      </c>
      <c r="R4409">
        <v>-0.1069571</v>
      </c>
      <c r="S4409">
        <v>3.0945429999999998</v>
      </c>
      <c r="T4409">
        <v>-1.9633770000000001E-4</v>
      </c>
      <c r="U4409">
        <v>0.17263789999999901</v>
      </c>
      <c r="V4409">
        <v>-0.1109807</v>
      </c>
      <c r="W4409">
        <v>0.2022544</v>
      </c>
      <c r="X4409">
        <v>0.97302440000000001</v>
      </c>
      <c r="Y4409">
        <v>-0.26968399999999998</v>
      </c>
      <c r="Z4409">
        <v>-1.195984E-3</v>
      </c>
      <c r="AA4409">
        <v>0.96294809999999997</v>
      </c>
      <c r="AB4409">
        <v>33</v>
      </c>
      <c r="AC4409">
        <v>123.2153</v>
      </c>
      <c r="AD4409">
        <v>-7.79499999999977E-3</v>
      </c>
      <c r="AE4409">
        <v>6.9263199999999996</v>
      </c>
      <c r="AF4409">
        <v>-33.334967786774399</v>
      </c>
      <c r="AG4409">
        <v>-7.79499999999977E-3</v>
      </c>
      <c r="AH4409">
        <v>118.82240472218599</v>
      </c>
      <c r="AI4409">
        <v>90.0036190037127</v>
      </c>
      <c r="AJ4409">
        <v>105.67116990833</v>
      </c>
      <c r="AK4409">
        <v>123.409821335541</v>
      </c>
      <c r="AL4409">
        <v>78.331178985784106</v>
      </c>
      <c r="AM4409">
        <v>96.506892514047095</v>
      </c>
      <c r="AN4409">
        <v>1.0000000205435999</v>
      </c>
    </row>
    <row r="4410" spans="1:40" x14ac:dyDescent="0.25">
      <c r="A4410" t="str">
        <f>"20190303170627558"</f>
        <v>20190303170627558</v>
      </c>
      <c r="B4410" t="str">
        <f>"1551603987549618"</f>
        <v>1551603987549618</v>
      </c>
      <c r="C4410" t="s">
        <v>40</v>
      </c>
      <c r="D4410">
        <v>5.8140700000000001</v>
      </c>
      <c r="E4410">
        <v>0.44126110000000002</v>
      </c>
      <c r="F4410" t="s">
        <v>101</v>
      </c>
      <c r="G4410">
        <v>-279.68</v>
      </c>
      <c r="H4410">
        <v>1.2030400000000001</v>
      </c>
      <c r="I4410">
        <v>24.934349999999998</v>
      </c>
      <c r="J4410">
        <v>-402.70679999999999</v>
      </c>
      <c r="K4410">
        <v>1.131003</v>
      </c>
      <c r="L4410">
        <v>18.020720000000001</v>
      </c>
      <c r="M4410">
        <v>0.97774450000000002</v>
      </c>
      <c r="N4410">
        <v>-1.4939289999999999E-2</v>
      </c>
      <c r="O4410">
        <v>-0.2092676</v>
      </c>
      <c r="P4410">
        <v>0.97642079999999998</v>
      </c>
      <c r="Q4410">
        <v>0.18984899999999999</v>
      </c>
      <c r="R4410">
        <v>-0.10276109999999999</v>
      </c>
      <c r="S4410">
        <v>3.092743</v>
      </c>
      <c r="T4410">
        <v>1.807094E-3</v>
      </c>
      <c r="U4410">
        <v>0.17263789999999901</v>
      </c>
      <c r="V4410">
        <v>-0.1088095</v>
      </c>
      <c r="W4410">
        <v>0.2018276</v>
      </c>
      <c r="X4410">
        <v>0.97335819999999995</v>
      </c>
      <c r="Y4410">
        <v>-0.26344099999999998</v>
      </c>
      <c r="Z4410">
        <v>-1.3661140000000001E-3</v>
      </c>
      <c r="AA4410">
        <v>0.96467449999999999</v>
      </c>
      <c r="AB4410">
        <v>33</v>
      </c>
      <c r="AC4410">
        <v>123.026799999999</v>
      </c>
      <c r="AD4410">
        <v>7.2036999999999907E-2</v>
      </c>
      <c r="AE4410">
        <v>6.9136299999999897</v>
      </c>
      <c r="AF4410">
        <v>-32.508896882335598</v>
      </c>
      <c r="AG4410">
        <v>7.2036999999999907E-2</v>
      </c>
      <c r="AH4410">
        <v>118.855176760867</v>
      </c>
      <c r="AI4410">
        <v>89.966503922698294</v>
      </c>
      <c r="AJ4410">
        <v>105.297219234118</v>
      </c>
      <c r="AK4410">
        <v>123.220885440305</v>
      </c>
      <c r="AL4410">
        <v>78.356147941379902</v>
      </c>
      <c r="AM4410">
        <v>96.378483317477901</v>
      </c>
      <c r="AN4410">
        <v>1.00000003645962</v>
      </c>
    </row>
    <row r="4411" spans="1:40" x14ac:dyDescent="0.25">
      <c r="A4411" t="str">
        <f>"20190303170627578"</f>
        <v>20190303170627578</v>
      </c>
      <c r="B4411" t="str">
        <f>"1551603987569137"</f>
        <v>1551603987569137</v>
      </c>
      <c r="C4411" t="s">
        <v>40</v>
      </c>
      <c r="D4411">
        <v>5.8015749999999997</v>
      </c>
      <c r="E4411">
        <v>0.4420829</v>
      </c>
      <c r="F4411" t="s">
        <v>101</v>
      </c>
      <c r="G4411">
        <v>-279.68</v>
      </c>
      <c r="H4411">
        <v>1.1840649999999999</v>
      </c>
      <c r="I4411">
        <v>25.244810000000001</v>
      </c>
      <c r="J4411">
        <v>-402.42070000000001</v>
      </c>
      <c r="K4411">
        <v>1.130919</v>
      </c>
      <c r="L4411">
        <v>17.96875</v>
      </c>
      <c r="M4411">
        <v>0.97975060000000003</v>
      </c>
      <c r="N4411">
        <v>-1.492186E-2</v>
      </c>
      <c r="O4411">
        <v>-0.19966500000000001</v>
      </c>
      <c r="P4411">
        <v>0.97734909999999997</v>
      </c>
      <c r="Q4411">
        <v>0.18809819999999999</v>
      </c>
      <c r="R4411">
        <v>-9.6994529999999995E-2</v>
      </c>
      <c r="S4411">
        <v>3.091278</v>
      </c>
      <c r="T4411">
        <v>1.333356E-3</v>
      </c>
      <c r="U4411">
        <v>0.1815186</v>
      </c>
      <c r="V4411">
        <v>-0.1049823</v>
      </c>
      <c r="W4411">
        <v>0.2001819</v>
      </c>
      <c r="X4411">
        <v>0.97411800000000004</v>
      </c>
      <c r="Y4411">
        <v>-0.25675940000000003</v>
      </c>
      <c r="Z4411">
        <v>-1.2114039999999999E-3</v>
      </c>
      <c r="AA4411">
        <v>0.96647459999999996</v>
      </c>
      <c r="AB4411">
        <v>33</v>
      </c>
      <c r="AC4411">
        <v>122.7407</v>
      </c>
      <c r="AD4411">
        <v>5.3145999999999902E-2</v>
      </c>
      <c r="AE4411">
        <v>7.2760600000000002</v>
      </c>
      <c r="AF4411">
        <v>-31.639262535964502</v>
      </c>
      <c r="AG4411">
        <v>5.3145999999999902E-2</v>
      </c>
      <c r="AH4411">
        <v>118.81570562346</v>
      </c>
      <c r="AI4411">
        <v>89.975234737693199</v>
      </c>
      <c r="AJ4411">
        <v>104.911189347825</v>
      </c>
      <c r="AK4411">
        <v>122.9561615419</v>
      </c>
      <c r="AL4411">
        <v>78.452403484607103</v>
      </c>
      <c r="AM4411">
        <v>96.151119241327905</v>
      </c>
      <c r="AN4411">
        <v>0.99999997716244904</v>
      </c>
    </row>
    <row r="4412" spans="1:40" x14ac:dyDescent="0.25">
      <c r="A4412" t="str">
        <f>"20190303170627600"</f>
        <v>20190303170627600</v>
      </c>
      <c r="B4412" t="str">
        <f>"1551603987589633"</f>
        <v>1551603987589633</v>
      </c>
      <c r="C4412" t="s">
        <v>40</v>
      </c>
      <c r="D4412">
        <v>5.783633</v>
      </c>
      <c r="E4412">
        <v>0.44289539999999999</v>
      </c>
      <c r="F4412" t="s">
        <v>101</v>
      </c>
      <c r="G4412">
        <v>-279.68</v>
      </c>
      <c r="H4412">
        <v>0.95945049999999998</v>
      </c>
      <c r="I4412">
        <v>25.66732</v>
      </c>
      <c r="J4412">
        <v>-402.11079999999998</v>
      </c>
      <c r="K4412">
        <v>1.1308069999999999</v>
      </c>
      <c r="L4412">
        <v>17.915559999999999</v>
      </c>
      <c r="M4412">
        <v>0.98178989999999999</v>
      </c>
      <c r="N4412">
        <v>-1.4900800000000001E-2</v>
      </c>
      <c r="O4412">
        <v>-0.189384</v>
      </c>
      <c r="P4412">
        <v>0.97819610000000001</v>
      </c>
      <c r="Q4412">
        <v>0.18705530000000001</v>
      </c>
      <c r="R4412">
        <v>-9.0238509999999994E-2</v>
      </c>
      <c r="S4412">
        <v>3.0895999999999999</v>
      </c>
      <c r="T4412">
        <v>-4.3160919999999997E-3</v>
      </c>
      <c r="U4412">
        <v>0.1937866</v>
      </c>
      <c r="V4412">
        <v>-0.1014528</v>
      </c>
      <c r="W4412">
        <v>0.19923769999999999</v>
      </c>
      <c r="X4412">
        <v>0.97468540000000004</v>
      </c>
      <c r="Y4412">
        <v>-0.25047989999999998</v>
      </c>
      <c r="Z4412">
        <v>-5.2167230000000004E-4</v>
      </c>
      <c r="AA4412">
        <v>0.96812160000000003</v>
      </c>
      <c r="AB4412">
        <v>33</v>
      </c>
      <c r="AC4412">
        <v>122.430799999999</v>
      </c>
      <c r="AD4412">
        <v>-0.17135649999999999</v>
      </c>
      <c r="AE4412">
        <v>7.75176</v>
      </c>
      <c r="AF4412">
        <v>-30.800397757698601</v>
      </c>
      <c r="AG4412">
        <v>-0.17135649999999999</v>
      </c>
      <c r="AH4412">
        <v>118.74623086134901</v>
      </c>
      <c r="AI4412">
        <v>90.080032120435803</v>
      </c>
      <c r="AJ4412">
        <v>104.540937299261</v>
      </c>
      <c r="AK4412">
        <v>122.675837917902</v>
      </c>
      <c r="AL4412">
        <v>78.507614419011105</v>
      </c>
      <c r="AM4412">
        <v>95.942389365719805</v>
      </c>
      <c r="AN4412">
        <v>0.99999998035114401</v>
      </c>
    </row>
    <row r="4413" spans="1:40" x14ac:dyDescent="0.25">
      <c r="A4413" t="str">
        <f>"20190303170627623"</f>
        <v>20190303170627623</v>
      </c>
      <c r="B4413" t="str">
        <f>"1551603987619890"</f>
        <v>1551603987619890</v>
      </c>
      <c r="C4413" t="s">
        <v>40</v>
      </c>
      <c r="D4413">
        <v>5.744961</v>
      </c>
      <c r="E4413">
        <v>0.44375379999999998</v>
      </c>
      <c r="F4413" t="s">
        <v>101</v>
      </c>
      <c r="G4413">
        <v>-279.68</v>
      </c>
      <c r="H4413">
        <v>0.80381369999999996</v>
      </c>
      <c r="I4413">
        <v>26.20918</v>
      </c>
      <c r="J4413">
        <v>-401.78660000000002</v>
      </c>
      <c r="K4413">
        <v>1.130671</v>
      </c>
      <c r="L4413">
        <v>17.86328</v>
      </c>
      <c r="M4413">
        <v>0.98377539999999997</v>
      </c>
      <c r="N4413">
        <v>-1.487424E-2</v>
      </c>
      <c r="O4413">
        <v>-0.17878769999999999</v>
      </c>
      <c r="P4413">
        <v>0.97878750000000003</v>
      </c>
      <c r="Q4413">
        <v>0.1868446</v>
      </c>
      <c r="R4413">
        <v>-8.405079E-2</v>
      </c>
      <c r="S4413">
        <v>3.0877379999999999</v>
      </c>
      <c r="T4413">
        <v>-8.2467789999999992E-3</v>
      </c>
      <c r="U4413">
        <v>0.20916750000000001</v>
      </c>
      <c r="V4413">
        <v>-9.7028169999999997E-2</v>
      </c>
      <c r="W4413">
        <v>0.19914519999999999</v>
      </c>
      <c r="X4413">
        <v>0.97515469999999904</v>
      </c>
      <c r="Y4413">
        <v>-0.24487700000000001</v>
      </c>
      <c r="Z4413" s="1">
        <v>-3.7459419999999997E-5</v>
      </c>
      <c r="AA4413">
        <v>0.96955409999999997</v>
      </c>
      <c r="AB4413">
        <v>33</v>
      </c>
      <c r="AC4413">
        <v>122.1066</v>
      </c>
      <c r="AD4413">
        <v>-0.32685729999999902</v>
      </c>
      <c r="AE4413">
        <v>8.3459000000000003</v>
      </c>
      <c r="AF4413">
        <v>-30.044753959975001</v>
      </c>
      <c r="AG4413">
        <v>-0.32685729999999902</v>
      </c>
      <c r="AH4413">
        <v>118.645585256052</v>
      </c>
      <c r="AI4413">
        <v>90.153014179906805</v>
      </c>
      <c r="AJ4413">
        <v>104.210349914205</v>
      </c>
      <c r="AK4413">
        <v>122.39104941523</v>
      </c>
      <c r="AL4413">
        <v>78.513022683876798</v>
      </c>
      <c r="AM4413">
        <v>95.682243624401195</v>
      </c>
      <c r="AN4413">
        <v>0.99999998269433898</v>
      </c>
    </row>
    <row r="4414" spans="1:40" x14ac:dyDescent="0.25">
      <c r="A4414" t="str">
        <f>"20190303170627636"</f>
        <v>20190303170627636</v>
      </c>
      <c r="B4414" t="str">
        <f>"1551603987629649"</f>
        <v>1551603987629649</v>
      </c>
      <c r="C4414" t="s">
        <v>40</v>
      </c>
      <c r="D4414">
        <v>5.7261749999999996</v>
      </c>
      <c r="E4414">
        <v>0.44409549999999998</v>
      </c>
      <c r="F4414" t="s">
        <v>102</v>
      </c>
      <c r="G4414">
        <v>-279.68</v>
      </c>
      <c r="H4414">
        <v>0.63385130000000001</v>
      </c>
      <c r="I4414">
        <v>26.654949999999999</v>
      </c>
      <c r="J4414">
        <v>-401.59640000000002</v>
      </c>
      <c r="K4414">
        <v>1.130574</v>
      </c>
      <c r="L4414">
        <v>17.83456</v>
      </c>
      <c r="M4414">
        <v>0.98486419999999997</v>
      </c>
      <c r="N4414">
        <v>-1.485564E-2</v>
      </c>
      <c r="O4414">
        <v>-0.1726898</v>
      </c>
      <c r="P4414">
        <v>0.97909900000000005</v>
      </c>
      <c r="Q4414">
        <v>0.18695629999999999</v>
      </c>
      <c r="R4414">
        <v>-8.0076519999999998E-2</v>
      </c>
      <c r="S4414">
        <v>3.0865170000000002</v>
      </c>
      <c r="T4414">
        <v>-1.2558339999999999E-2</v>
      </c>
      <c r="U4414">
        <v>0.22222900000000001</v>
      </c>
      <c r="V4414">
        <v>-9.4890779999999994E-2</v>
      </c>
      <c r="W4414">
        <v>0.1993134</v>
      </c>
      <c r="X4414">
        <v>0.97533069999999999</v>
      </c>
      <c r="Y4414">
        <v>-0.24297869999999999</v>
      </c>
      <c r="Z4414">
        <v>4.331087E-4</v>
      </c>
      <c r="AA4414">
        <v>0.97003159999999999</v>
      </c>
      <c r="AB4414">
        <v>33</v>
      </c>
      <c r="AC4414">
        <v>121.9164</v>
      </c>
      <c r="AD4414">
        <v>-0.49672269999999902</v>
      </c>
      <c r="AE4414">
        <v>8.8203899999999997</v>
      </c>
      <c r="AF4414">
        <v>-29.743396931214601</v>
      </c>
      <c r="AG4414">
        <v>-0.49672269999999902</v>
      </c>
      <c r="AH4414">
        <v>118.55903488577199</v>
      </c>
      <c r="AI4414">
        <v>90.232833603842906</v>
      </c>
      <c r="AJ4414">
        <v>104.083372609069</v>
      </c>
      <c r="AK4414">
        <v>122.234042506555</v>
      </c>
      <c r="AL4414">
        <v>78.503188970115204</v>
      </c>
      <c r="AM4414">
        <v>95.556867851550507</v>
      </c>
      <c r="AN4414">
        <v>1.0000000329555201</v>
      </c>
    </row>
    <row r="4415" spans="1:40" x14ac:dyDescent="0.25">
      <c r="A4415" t="str">
        <f>"20190303170627649"</f>
        <v>20190303170627649</v>
      </c>
      <c r="B4415" t="str">
        <f>"1551603987639410"</f>
        <v>1551603987639410</v>
      </c>
      <c r="C4415" t="s">
        <v>40</v>
      </c>
      <c r="D4415">
        <v>5.7212269999999998</v>
      </c>
      <c r="E4415">
        <v>0.44443630000000001</v>
      </c>
      <c r="F4415" t="s">
        <v>102</v>
      </c>
      <c r="G4415">
        <v>-279.68</v>
      </c>
      <c r="H4415">
        <v>0.6365092</v>
      </c>
      <c r="I4415">
        <v>26.994489999999999</v>
      </c>
      <c r="J4415">
        <v>-401.41140000000001</v>
      </c>
      <c r="K4415">
        <v>1.130474</v>
      </c>
      <c r="L4415">
        <v>17.807459999999999</v>
      </c>
      <c r="M4415">
        <v>0.98587670000000005</v>
      </c>
      <c r="N4415">
        <v>-1.4837339999999999E-2</v>
      </c>
      <c r="O4415">
        <v>-0.16681509999999999</v>
      </c>
      <c r="P4415">
        <v>0.97949640000000004</v>
      </c>
      <c r="Q4415">
        <v>0.1866053</v>
      </c>
      <c r="R4415">
        <v>-7.5930070000000002E-2</v>
      </c>
      <c r="S4415">
        <v>3.0853579999999998</v>
      </c>
      <c r="T4415">
        <v>-1.2503500000000001E-2</v>
      </c>
      <c r="U4415">
        <v>0.2318115</v>
      </c>
      <c r="V4415">
        <v>-9.3153860000000005E-2</v>
      </c>
      <c r="W4415">
        <v>0.1990101</v>
      </c>
      <c r="X4415">
        <v>0.97555999999999998</v>
      </c>
      <c r="Y4415">
        <v>-0.2402175</v>
      </c>
      <c r="Z4415">
        <v>4.679121E-4</v>
      </c>
      <c r="AA4415">
        <v>0.970719</v>
      </c>
      <c r="AB4415">
        <v>33</v>
      </c>
      <c r="AC4415">
        <v>121.73139999999999</v>
      </c>
      <c r="AD4415">
        <v>-0.49396479999999998</v>
      </c>
      <c r="AE4415">
        <v>9.18703</v>
      </c>
      <c r="AF4415">
        <v>-29.366662103175599</v>
      </c>
      <c r="AG4415">
        <v>-0.49396479999999998</v>
      </c>
      <c r="AH4415">
        <v>118.49070188262</v>
      </c>
      <c r="AI4415">
        <v>90.231839519113805</v>
      </c>
      <c r="AJ4415">
        <v>103.9196719886</v>
      </c>
      <c r="AK4415">
        <v>122.076579559479</v>
      </c>
      <c r="AL4415">
        <v>78.520921504412399</v>
      </c>
      <c r="AM4415">
        <v>95.454497425558301</v>
      </c>
      <c r="AN4415">
        <v>0.99999998756745401</v>
      </c>
    </row>
    <row r="4416" spans="1:40" x14ac:dyDescent="0.25">
      <c r="A4416" t="str">
        <f>"20190303170627660"</f>
        <v>20190303170627660</v>
      </c>
      <c r="B4416" t="str">
        <f>"1551603987649170"</f>
        <v>1551603987649170</v>
      </c>
      <c r="C4416" t="s">
        <v>40</v>
      </c>
      <c r="D4416">
        <v>5.7282190000000002</v>
      </c>
      <c r="E4416">
        <v>0.44456709999999999</v>
      </c>
      <c r="F4416" t="s">
        <v>102</v>
      </c>
      <c r="G4416">
        <v>-279.68</v>
      </c>
      <c r="H4416">
        <v>0.55149820000000005</v>
      </c>
      <c r="I4416">
        <v>27.326429999999998</v>
      </c>
      <c r="J4416">
        <v>-401.2362</v>
      </c>
      <c r="K4416">
        <v>1.1303719999999999</v>
      </c>
      <c r="L4416">
        <v>17.782589999999999</v>
      </c>
      <c r="M4416">
        <v>0.98679329999999998</v>
      </c>
      <c r="N4416">
        <v>-1.481965E-2</v>
      </c>
      <c r="O4416">
        <v>-0.161304799999999</v>
      </c>
      <c r="P4416">
        <v>0.97977879999999995</v>
      </c>
      <c r="Q4416">
        <v>0.1865945</v>
      </c>
      <c r="R4416">
        <v>-7.2223599999999999E-2</v>
      </c>
      <c r="S4416">
        <v>3.0842900000000002</v>
      </c>
      <c r="T4416">
        <v>-1.466954E-2</v>
      </c>
      <c r="U4416">
        <v>0.24118039999999999</v>
      </c>
      <c r="V4416">
        <v>-9.1340169999999998E-2</v>
      </c>
      <c r="W4416">
        <v>0.19904749999999999</v>
      </c>
      <c r="X4416">
        <v>0.97572389999999998</v>
      </c>
      <c r="Y4416">
        <v>-0.23774989999999999</v>
      </c>
      <c r="Z4416">
        <v>7.0264250000000002E-4</v>
      </c>
      <c r="AA4416">
        <v>0.97132620000000003</v>
      </c>
      <c r="AB4416">
        <v>33</v>
      </c>
      <c r="AC4416">
        <v>121.5562</v>
      </c>
      <c r="AD4416">
        <v>-0.57887379999999899</v>
      </c>
      <c r="AE4416">
        <v>9.5438399999999994</v>
      </c>
      <c r="AF4416">
        <v>-29.027931234771501</v>
      </c>
      <c r="AG4416">
        <v>-0.57887379999999899</v>
      </c>
      <c r="AH4416">
        <v>118.421719635885</v>
      </c>
      <c r="AI4416">
        <v>90.272020390245402</v>
      </c>
      <c r="AJ4416">
        <v>103.77296891793399</v>
      </c>
      <c r="AK4416">
        <v>121.92891194531001</v>
      </c>
      <c r="AL4416">
        <v>78.518735407093004</v>
      </c>
      <c r="AM4416">
        <v>95.348028009438906</v>
      </c>
      <c r="AN4416">
        <v>1.00000003147154</v>
      </c>
    </row>
    <row r="4417" spans="1:40" x14ac:dyDescent="0.25">
      <c r="A4417" t="str">
        <f>"20190303170627680"</f>
        <v>20190303170627680</v>
      </c>
      <c r="B4417" t="str">
        <f>"1551603987669665"</f>
        <v>1551603987669665</v>
      </c>
      <c r="C4417" t="s">
        <v>40</v>
      </c>
      <c r="D4417">
        <v>5.7446780000000004</v>
      </c>
      <c r="E4417">
        <v>0.44471319999999998</v>
      </c>
      <c r="F4417" t="s">
        <v>102</v>
      </c>
      <c r="G4417">
        <v>-279.68</v>
      </c>
      <c r="H4417">
        <v>0.52316379999999996</v>
      </c>
      <c r="I4417">
        <v>27.67577</v>
      </c>
      <c r="J4417">
        <v>-400.97340000000003</v>
      </c>
      <c r="K4417">
        <v>1.1302080000000001</v>
      </c>
      <c r="L4417">
        <v>17.747409999999999</v>
      </c>
      <c r="M4417">
        <v>0.98808490000000004</v>
      </c>
      <c r="N4417">
        <v>-1.479162E-2</v>
      </c>
      <c r="O4417">
        <v>-0.15319739999999901</v>
      </c>
      <c r="P4417">
        <v>0.98029999999999995</v>
      </c>
      <c r="Q4417">
        <v>0.1859836</v>
      </c>
      <c r="R4417">
        <v>-6.6499489999999994E-2</v>
      </c>
      <c r="S4417">
        <v>3.0833439999999999</v>
      </c>
      <c r="T4417">
        <v>-1.5402320000000001E-2</v>
      </c>
      <c r="U4417">
        <v>0.250946</v>
      </c>
      <c r="V4417">
        <v>-8.8947330000000005E-2</v>
      </c>
      <c r="W4417">
        <v>0.19850209999999999</v>
      </c>
      <c r="X4417">
        <v>0.97605600000000003</v>
      </c>
      <c r="Y4417">
        <v>-0.23285230000000001</v>
      </c>
      <c r="Z4417">
        <v>8.0301669999999995E-4</v>
      </c>
      <c r="AA4417">
        <v>0.97251180000000004</v>
      </c>
      <c r="AB4417">
        <v>33</v>
      </c>
      <c r="AC4417">
        <v>121.29340000000001</v>
      </c>
      <c r="AD4417">
        <v>-0.60704420000000003</v>
      </c>
      <c r="AE4417">
        <v>9.9283599999999907</v>
      </c>
      <c r="AF4417">
        <v>-28.394296038115002</v>
      </c>
      <c r="AG4417">
        <v>-0.60704420000000003</v>
      </c>
      <c r="AH4417">
        <v>118.33718008526699</v>
      </c>
      <c r="AI4417">
        <v>90.285800461653594</v>
      </c>
      <c r="AJ4417">
        <v>103.492699288919</v>
      </c>
      <c r="AK4417">
        <v>121.69754615724101</v>
      </c>
      <c r="AL4417">
        <v>78.550620579090193</v>
      </c>
      <c r="AM4417">
        <v>95.2069440363083</v>
      </c>
      <c r="AN4417">
        <v>1.0000000131772599</v>
      </c>
    </row>
    <row r="4418" spans="1:40" x14ac:dyDescent="0.25">
      <c r="A4418" t="str">
        <f>"20190303170627694"</f>
        <v>20190303170627694</v>
      </c>
      <c r="B4418" t="str">
        <f>"1551603987689185"</f>
        <v>1551603987689185</v>
      </c>
      <c r="C4418" t="s">
        <v>40</v>
      </c>
      <c r="D4418">
        <v>5.7451910000000002</v>
      </c>
      <c r="E4418">
        <v>0.44507770000000002</v>
      </c>
      <c r="F4418" t="s">
        <v>102</v>
      </c>
      <c r="G4418">
        <v>-279.68</v>
      </c>
      <c r="H4418">
        <v>0.37491740000000001</v>
      </c>
      <c r="I4418">
        <v>28.27535</v>
      </c>
      <c r="J4418">
        <v>-400.76929999999999</v>
      </c>
      <c r="K4418">
        <v>1.13008</v>
      </c>
      <c r="L4418">
        <v>17.72156</v>
      </c>
      <c r="M4418">
        <v>0.98902319999999999</v>
      </c>
      <c r="N4418">
        <v>-1.47695E-2</v>
      </c>
      <c r="O4418">
        <v>-0.1470204</v>
      </c>
      <c r="P4418">
        <v>0.98067420000000005</v>
      </c>
      <c r="Q4418">
        <v>0.18565039999999999</v>
      </c>
      <c r="R4418">
        <v>-6.1743319999999997E-2</v>
      </c>
      <c r="S4418">
        <v>3.0820919999999998</v>
      </c>
      <c r="T4418">
        <v>-1.9192219999999999E-2</v>
      </c>
      <c r="U4418">
        <v>0.26751710000000001</v>
      </c>
      <c r="V4418">
        <v>-8.7518120000000005E-2</v>
      </c>
      <c r="W4418">
        <v>0.1982082</v>
      </c>
      <c r="X4418">
        <v>0.97624489999999997</v>
      </c>
      <c r="Y4418">
        <v>-0.2319977</v>
      </c>
      <c r="Z4418">
        <v>1.180349E-3</v>
      </c>
      <c r="AA4418">
        <v>0.97271560000000001</v>
      </c>
      <c r="AB4418">
        <v>33</v>
      </c>
      <c r="AC4418">
        <v>121.089299999999</v>
      </c>
      <c r="AD4418">
        <v>-0.75516259999999902</v>
      </c>
      <c r="AE4418">
        <v>10.553789999999999</v>
      </c>
      <c r="AF4418">
        <v>-28.242530631321401</v>
      </c>
      <c r="AG4418">
        <v>-0.75516259999999902</v>
      </c>
      <c r="AH4418">
        <v>118.216834868479</v>
      </c>
      <c r="AI4418">
        <v>90.355979687642304</v>
      </c>
      <c r="AJ4418">
        <v>103.436368056741</v>
      </c>
      <c r="AK4418">
        <v>121.546003033151</v>
      </c>
      <c r="AL4418">
        <v>78.567801127267401</v>
      </c>
      <c r="AM4418">
        <v>95.122741399801598</v>
      </c>
      <c r="AN4418">
        <v>1.0000000083257901</v>
      </c>
    </row>
    <row r="4419" spans="1:40" x14ac:dyDescent="0.25">
      <c r="A4419" t="str">
        <f>"20190303170627714"</f>
        <v>20190303170627714</v>
      </c>
      <c r="B4419" t="str">
        <f>"1551603987709681"</f>
        <v>1551603987709681</v>
      </c>
      <c r="C4419" t="s">
        <v>40</v>
      </c>
      <c r="D4419">
        <v>6.3180440000000004</v>
      </c>
      <c r="E4419">
        <v>0.44554739999999998</v>
      </c>
      <c r="F4419" t="s">
        <v>103</v>
      </c>
      <c r="G4419">
        <v>-274.49669999999998</v>
      </c>
      <c r="H4419">
        <v>0.33766010000000002</v>
      </c>
      <c r="I4419">
        <v>29.2193</v>
      </c>
      <c r="J4419">
        <v>-400.47699999999998</v>
      </c>
      <c r="K4419">
        <v>1.1298870000000001</v>
      </c>
      <c r="L4419">
        <v>17.68646</v>
      </c>
      <c r="M4419">
        <v>0.99027430000000005</v>
      </c>
      <c r="N4419">
        <v>-1.4737200000000001E-2</v>
      </c>
      <c r="O4419">
        <v>-0.13834630000000001</v>
      </c>
      <c r="P4419">
        <v>0.98123610000000006</v>
      </c>
      <c r="Q4419">
        <v>0.18471850000000001</v>
      </c>
      <c r="R4419">
        <v>-5.5273000000000003E-2</v>
      </c>
      <c r="S4419">
        <v>3.0804140000000002</v>
      </c>
      <c r="T4419">
        <v>-1.9330980000000001E-2</v>
      </c>
      <c r="U4419">
        <v>0.28048709999999999</v>
      </c>
      <c r="V4419">
        <v>-8.5305720000000002E-2</v>
      </c>
      <c r="W4419">
        <v>0.19733690000000001</v>
      </c>
      <c r="X4419">
        <v>0.97661719999999996</v>
      </c>
      <c r="Y4419">
        <v>-0.22757930000000001</v>
      </c>
      <c r="Z4419">
        <v>1.2223239999999999E-3</v>
      </c>
      <c r="AA4419">
        <v>0.97375880000000004</v>
      </c>
      <c r="AB4419">
        <v>33</v>
      </c>
      <c r="AC4419">
        <v>125.9803</v>
      </c>
      <c r="AD4419">
        <v>-0.79222689999999996</v>
      </c>
      <c r="AE4419">
        <v>11.53284</v>
      </c>
      <c r="AF4419">
        <v>-28.851584282016699</v>
      </c>
      <c r="AG4419">
        <v>-0.79222689999999996</v>
      </c>
      <c r="AH4419">
        <v>123.168069311355</v>
      </c>
      <c r="AI4419">
        <v>90.358813458518796</v>
      </c>
      <c r="AJ4419">
        <v>103.18358513608599</v>
      </c>
      <c r="AK4419">
        <v>126.504604014756</v>
      </c>
      <c r="AL4419">
        <v>78.618729196011898</v>
      </c>
      <c r="AM4419">
        <v>94.992011059555495</v>
      </c>
      <c r="AN4419">
        <v>1.0000000366510799</v>
      </c>
    </row>
    <row r="4420" spans="1:40" x14ac:dyDescent="0.25">
      <c r="A4420" t="str">
        <f>"20190303170627737"</f>
        <v>20190303170627737</v>
      </c>
      <c r="B4420" t="str">
        <f>"1551603987729201"</f>
        <v>1551603987729201</v>
      </c>
      <c r="C4420" t="s">
        <v>40</v>
      </c>
      <c r="D4420">
        <v>5.6196780000000004</v>
      </c>
      <c r="E4420">
        <v>0.44587700000000002</v>
      </c>
      <c r="F4420" t="s">
        <v>43</v>
      </c>
      <c r="G4420">
        <v>-240.41839999999999</v>
      </c>
      <c r="H4420">
        <v>-0.05</v>
      </c>
      <c r="I4420">
        <v>33.220440000000004</v>
      </c>
      <c r="J4420">
        <v>-400.14839999999998</v>
      </c>
      <c r="K4420">
        <v>1.129661</v>
      </c>
      <c r="L4420">
        <v>17.64987</v>
      </c>
      <c r="M4420">
        <v>0.99155470000000001</v>
      </c>
      <c r="N4420">
        <v>-1.469933E-2</v>
      </c>
      <c r="O4420">
        <v>-0.12885269999999999</v>
      </c>
      <c r="P4420">
        <v>0.98200080000000001</v>
      </c>
      <c r="Q4420">
        <v>0.18277470000000001</v>
      </c>
      <c r="R4420">
        <v>-4.7623289999999999E-2</v>
      </c>
      <c r="S4420">
        <v>3.07843</v>
      </c>
      <c r="T4420">
        <v>-2.2692919999999998E-2</v>
      </c>
      <c r="U4420">
        <v>0.29876710000000001</v>
      </c>
      <c r="V4420">
        <v>-8.3454089999999995E-2</v>
      </c>
      <c r="W4420">
        <v>0.19544610000000001</v>
      </c>
      <c r="X4420">
        <v>0.97715719999999995</v>
      </c>
      <c r="Y4420">
        <v>-0.22403500000000001</v>
      </c>
      <c r="Z4420">
        <v>1.5307669999999999E-3</v>
      </c>
      <c r="AA4420">
        <v>0.97457990000000005</v>
      </c>
      <c r="AB4420">
        <v>33</v>
      </c>
      <c r="AC4420">
        <v>159.72999999999999</v>
      </c>
      <c r="AD4420">
        <v>-1.1796610000000001</v>
      </c>
      <c r="AE4420">
        <v>15.57057</v>
      </c>
      <c r="AF4420">
        <v>-36.022662862272597</v>
      </c>
      <c r="AG4420">
        <v>-1.1796610000000001</v>
      </c>
      <c r="AH4420">
        <v>156.383184312872</v>
      </c>
      <c r="AI4420">
        <v>90.421167948859505</v>
      </c>
      <c r="AJ4420">
        <v>102.97173819472999</v>
      </c>
      <c r="AK4420">
        <v>160.48278467049801</v>
      </c>
      <c r="AL4420">
        <v>78.729215067798194</v>
      </c>
      <c r="AM4420">
        <v>94.881499266139599</v>
      </c>
      <c r="AN4420">
        <v>0.99999997832738796</v>
      </c>
    </row>
    <row r="4421" spans="1:40" x14ac:dyDescent="0.25">
      <c r="A4421" t="str">
        <f>"20190303170627758"</f>
        <v>20190303170627758</v>
      </c>
      <c r="B4421" t="str">
        <f>"1551603987749697"</f>
        <v>1551603987749697</v>
      </c>
      <c r="C4421" t="s">
        <v>40</v>
      </c>
      <c r="D4421">
        <v>5.6606800000000002</v>
      </c>
      <c r="E4421">
        <v>0.4516713</v>
      </c>
      <c r="F4421" t="s">
        <v>43</v>
      </c>
      <c r="G4421">
        <v>-276.99799999999999</v>
      </c>
      <c r="H4421">
        <v>-0.05</v>
      </c>
      <c r="I4421">
        <v>30.450710000000001</v>
      </c>
      <c r="J4421">
        <v>-399.83519999999999</v>
      </c>
      <c r="K4421">
        <v>1.129429</v>
      </c>
      <c r="L4421">
        <v>17.617739999999898</v>
      </c>
      <c r="M4421">
        <v>0.99265809999999999</v>
      </c>
      <c r="N4421">
        <v>-1.4662690000000001E-2</v>
      </c>
      <c r="O4421">
        <v>-0.1200615</v>
      </c>
      <c r="P4421">
        <v>0.98274209999999995</v>
      </c>
      <c r="Q4421">
        <v>0.18020839999999999</v>
      </c>
      <c r="R4421">
        <v>-4.1746150000000003E-2</v>
      </c>
      <c r="S4421">
        <v>3.0759889999999999</v>
      </c>
      <c r="T4421">
        <v>-2.9464959999999998E-2</v>
      </c>
      <c r="U4421">
        <v>0.31973269999999998</v>
      </c>
      <c r="V4421">
        <v>-8.053449E-2</v>
      </c>
      <c r="W4421">
        <v>0.19295580000000001</v>
      </c>
      <c r="X4421">
        <v>0.97789689999999996</v>
      </c>
      <c r="Y4421">
        <v>-0.22204360000000001</v>
      </c>
      <c r="Z4421">
        <v>2.0834360000000001E-3</v>
      </c>
      <c r="AA4421">
        <v>0.97503450000000003</v>
      </c>
      <c r="AB4421">
        <v>33</v>
      </c>
      <c r="AC4421">
        <v>122.8372</v>
      </c>
      <c r="AD4421">
        <v>-1.1794290000000001</v>
      </c>
      <c r="AE4421">
        <v>12.83297</v>
      </c>
      <c r="AF4421">
        <v>-27.4872205462942</v>
      </c>
      <c r="AG4421">
        <v>-1.1794290000000001</v>
      </c>
      <c r="AH4421">
        <v>120.39656890664099</v>
      </c>
      <c r="AI4421">
        <v>90.547184470447107</v>
      </c>
      <c r="AJ4421">
        <v>102.860530456571</v>
      </c>
      <c r="AK4421">
        <v>123.500089678584</v>
      </c>
      <c r="AL4421">
        <v>78.874668721107</v>
      </c>
      <c r="AM4421">
        <v>94.707957237024502</v>
      </c>
      <c r="AN4421">
        <v>1.0000000459314</v>
      </c>
    </row>
    <row r="4422" spans="1:40" x14ac:dyDescent="0.25">
      <c r="A4422" t="str">
        <f>"20190303170627772"</f>
        <v>20190303170627772</v>
      </c>
      <c r="B4422" t="str">
        <f>"1551603987759458"</f>
        <v>1551603987759458</v>
      </c>
      <c r="C4422" t="s">
        <v>40</v>
      </c>
      <c r="D4422">
        <v>5.7469859999999997</v>
      </c>
      <c r="E4422">
        <v>0.45278170000000001</v>
      </c>
      <c r="F4422" t="s">
        <v>41</v>
      </c>
      <c r="G4422">
        <v>-349.55399999999997</v>
      </c>
      <c r="H4422" s="1">
        <v>-9.1254620000000003E-7</v>
      </c>
      <c r="I4422">
        <v>22.393329999999999</v>
      </c>
      <c r="J4422">
        <v>-399.6506</v>
      </c>
      <c r="K4422">
        <v>1.1292960000000001</v>
      </c>
      <c r="L4422">
        <v>17.60013</v>
      </c>
      <c r="M4422">
        <v>0.99325549999999996</v>
      </c>
      <c r="N4422">
        <v>-1.4640739999999999E-2</v>
      </c>
      <c r="O4422">
        <v>-0.1150186</v>
      </c>
      <c r="P4422">
        <v>0.98309530000000001</v>
      </c>
      <c r="Q4422">
        <v>0.17903569999999999</v>
      </c>
      <c r="R4422">
        <v>-3.8343460000000003E-2</v>
      </c>
      <c r="S4422">
        <v>3.0777890000000001</v>
      </c>
      <c r="T4422">
        <v>-6.913424E-2</v>
      </c>
      <c r="U4422">
        <v>0.29232789999999997</v>
      </c>
      <c r="V4422">
        <v>-7.8887520000000003E-2</v>
      </c>
      <c r="W4422">
        <v>0.19182479999999999</v>
      </c>
      <c r="X4422">
        <v>0.9782535</v>
      </c>
      <c r="Y4422">
        <v>-0.20835239999999999</v>
      </c>
      <c r="Z4422">
        <v>4.7595199999999997E-3</v>
      </c>
      <c r="AA4422">
        <v>0.97804219999999997</v>
      </c>
      <c r="AB4422">
        <v>33</v>
      </c>
      <c r="AC4422">
        <v>50.096599999999903</v>
      </c>
      <c r="AD4422">
        <v>-1.12929691254619</v>
      </c>
      <c r="AE4422">
        <v>4.7931999999999899</v>
      </c>
      <c r="AF4422">
        <v>-10.518743712581299</v>
      </c>
      <c r="AG4422">
        <v>-1.12929691254619</v>
      </c>
      <c r="AH4422">
        <v>49.187919560906202</v>
      </c>
      <c r="AI4422">
        <v>91.286143333384103</v>
      </c>
      <c r="AJ4422">
        <v>102.070782899565</v>
      </c>
      <c r="AK4422">
        <v>50.3127291203512</v>
      </c>
      <c r="AL4422">
        <v>78.940702838956597</v>
      </c>
      <c r="AM4422">
        <v>94.610422880486794</v>
      </c>
      <c r="AN4422">
        <v>0.99999995248451901</v>
      </c>
    </row>
    <row r="4423" spans="1:40" x14ac:dyDescent="0.25">
      <c r="A4423" t="str">
        <f>"20190303170627791"</f>
        <v>20190303170627791</v>
      </c>
      <c r="B4423" t="str">
        <f>"1551603987778981"</f>
        <v>1551603987778981</v>
      </c>
      <c r="C4423" t="s">
        <v>40</v>
      </c>
      <c r="D4423">
        <v>5.7217630000000002</v>
      </c>
      <c r="E4423">
        <v>0.4537542</v>
      </c>
      <c r="F4423" t="s">
        <v>41</v>
      </c>
      <c r="G4423">
        <v>-342.73910000000001</v>
      </c>
      <c r="H4423" s="1">
        <v>-3.9485310000000002E-6</v>
      </c>
      <c r="I4423">
        <v>23.02487</v>
      </c>
      <c r="J4423">
        <v>-399.3723</v>
      </c>
      <c r="K4423">
        <v>1.129081</v>
      </c>
      <c r="L4423">
        <v>17.575099999999999</v>
      </c>
      <c r="M4423">
        <v>0.99408909999999995</v>
      </c>
      <c r="N4423">
        <v>-1.460731E-2</v>
      </c>
      <c r="O4423">
        <v>-0.10758089999999999</v>
      </c>
      <c r="P4423">
        <v>0.98354569999999997</v>
      </c>
      <c r="Q4423">
        <v>0.17727399999999999</v>
      </c>
      <c r="R4423">
        <v>-3.4813549999999999E-2</v>
      </c>
      <c r="S4423">
        <v>3.0741580000000002</v>
      </c>
      <c r="T4423">
        <v>-6.1000699999999998E-2</v>
      </c>
      <c r="U4423">
        <v>0.29302979999999901</v>
      </c>
      <c r="V4423">
        <v>-7.4968190000000004E-2</v>
      </c>
      <c r="W4423">
        <v>0.1901543</v>
      </c>
      <c r="X4423">
        <v>0.97888770000000003</v>
      </c>
      <c r="Y4423">
        <v>-0.20137650000000001</v>
      </c>
      <c r="Z4423">
        <v>4.02879E-3</v>
      </c>
      <c r="AA4423">
        <v>0.97950559999999998</v>
      </c>
      <c r="AB4423">
        <v>33</v>
      </c>
      <c r="AC4423">
        <v>56.633199999999903</v>
      </c>
      <c r="AD4423">
        <v>-1.1290849485309999</v>
      </c>
      <c r="AE4423">
        <v>5.44977</v>
      </c>
      <c r="AF4423">
        <v>-11.50690307458</v>
      </c>
      <c r="AG4423">
        <v>-1.1290849485309999</v>
      </c>
      <c r="AH4423">
        <v>55.696161058836502</v>
      </c>
      <c r="AI4423">
        <v>91.137340645764098</v>
      </c>
      <c r="AJ4423">
        <v>101.673149705063</v>
      </c>
      <c r="AK4423">
        <v>56.883618097661802</v>
      </c>
      <c r="AL4423">
        <v>79.038210987023206</v>
      </c>
      <c r="AM4423">
        <v>94.3794528135451</v>
      </c>
      <c r="AN4423">
        <v>1.00000000826582</v>
      </c>
    </row>
    <row r="4424" spans="1:40" x14ac:dyDescent="0.25">
      <c r="A4424" t="str">
        <f>"20190303170627805"</f>
        <v>20190303170627805</v>
      </c>
      <c r="B4424" t="str">
        <f>"1551603987799474"</f>
        <v>1551603987799474</v>
      </c>
      <c r="C4424" t="s">
        <v>40</v>
      </c>
      <c r="D4424">
        <v>5.8243029999999996</v>
      </c>
      <c r="E4424">
        <v>0.45388279999999998</v>
      </c>
      <c r="F4424" t="s">
        <v>41</v>
      </c>
      <c r="G4424">
        <v>-331.37909999999999</v>
      </c>
      <c r="H4424" s="1">
        <v>-4.607258E-6</v>
      </c>
      <c r="I4424">
        <v>24.129449999999999</v>
      </c>
      <c r="J4424">
        <v>-399.16500000000002</v>
      </c>
      <c r="K4424">
        <v>1.128925</v>
      </c>
      <c r="L4424">
        <v>17.557590000000001</v>
      </c>
      <c r="M4424">
        <v>0.99466030000000005</v>
      </c>
      <c r="N4424">
        <v>-1.458213E-2</v>
      </c>
      <c r="O4424">
        <v>-0.1021685</v>
      </c>
      <c r="P4424">
        <v>0.98372099999999996</v>
      </c>
      <c r="Q4424">
        <v>0.17698259999999999</v>
      </c>
      <c r="R4424">
        <v>-3.1152300000000001E-2</v>
      </c>
      <c r="S4424">
        <v>3.069855</v>
      </c>
      <c r="T4424">
        <v>-5.0977590000000003E-2</v>
      </c>
      <c r="U4424">
        <v>0.295929</v>
      </c>
      <c r="V4424">
        <v>-7.3202619999999996E-2</v>
      </c>
      <c r="W4424">
        <v>0.1899034</v>
      </c>
      <c r="X4424">
        <v>0.97907</v>
      </c>
      <c r="Y4424">
        <v>-0.19710839999999999</v>
      </c>
      <c r="Z4424">
        <v>3.2792400000000001E-3</v>
      </c>
      <c r="AA4424">
        <v>0.98037620000000003</v>
      </c>
      <c r="AB4424">
        <v>33</v>
      </c>
      <c r="AC4424">
        <v>67.785899999999998</v>
      </c>
      <c r="AD4424">
        <v>-1.128929607258</v>
      </c>
      <c r="AE4424">
        <v>6.5718599999999903</v>
      </c>
      <c r="AF4424">
        <v>-13.4600838464396</v>
      </c>
      <c r="AG4424">
        <v>-1.128929607258</v>
      </c>
      <c r="AH4424">
        <v>66.741260189169694</v>
      </c>
      <c r="AI4424">
        <v>90.949944303739898</v>
      </c>
      <c r="AJ4424">
        <v>101.402215099706</v>
      </c>
      <c r="AK4424">
        <v>68.094376793166802</v>
      </c>
      <c r="AL4424">
        <v>79.052853154795102</v>
      </c>
      <c r="AM4424">
        <v>94.275906563304204</v>
      </c>
      <c r="AN4424">
        <v>0.99999999490321201</v>
      </c>
    </row>
    <row r="4425" spans="1:40" x14ac:dyDescent="0.25">
      <c r="A4425" t="str">
        <f>"20190303170627826"</f>
        <v>20190303170627826</v>
      </c>
      <c r="B4425" t="str">
        <f>"1551603987818994"</f>
        <v>1551603987818994</v>
      </c>
      <c r="C4425" t="s">
        <v>40</v>
      </c>
      <c r="D4425">
        <v>5.7357589999999998</v>
      </c>
      <c r="E4425">
        <v>0.45476369999999999</v>
      </c>
      <c r="F4425" t="s">
        <v>41</v>
      </c>
      <c r="G4425">
        <v>-337.8621</v>
      </c>
      <c r="H4425" s="1">
        <v>-1.9809789999999998E-6</v>
      </c>
      <c r="I4425">
        <v>23.680980000000002</v>
      </c>
      <c r="J4425">
        <v>-398.8623</v>
      </c>
      <c r="K4425">
        <v>1.128687</v>
      </c>
      <c r="L4425">
        <v>17.534089999999999</v>
      </c>
      <c r="M4425">
        <v>0.99541749999999996</v>
      </c>
      <c r="N4425">
        <v>-1.4544059999999999E-2</v>
      </c>
      <c r="O4425">
        <v>-9.4511079999999997E-2</v>
      </c>
      <c r="P4425">
        <v>0.98404000000000003</v>
      </c>
      <c r="Q4425">
        <v>0.1760197</v>
      </c>
      <c r="R4425">
        <v>-2.612126E-2</v>
      </c>
      <c r="S4425">
        <v>3.0695190000000001</v>
      </c>
      <c r="T4425">
        <v>-5.6526899999999998E-2</v>
      </c>
      <c r="U4425">
        <v>0.306610099999999</v>
      </c>
      <c r="V4425">
        <v>-7.0552879999999998E-2</v>
      </c>
      <c r="W4425">
        <v>0.18899930000000001</v>
      </c>
      <c r="X4425">
        <v>0.97943939999999996</v>
      </c>
      <c r="Y4425">
        <v>-0.19294320000000001</v>
      </c>
      <c r="Z4425">
        <v>3.5438549999999998E-3</v>
      </c>
      <c r="AA4425">
        <v>0.98120359999999995</v>
      </c>
      <c r="AB4425">
        <v>33</v>
      </c>
      <c r="AC4425">
        <v>61.0002</v>
      </c>
      <c r="AD4425">
        <v>-1.1286889809789999</v>
      </c>
      <c r="AE4425">
        <v>6.1468899999999902</v>
      </c>
      <c r="AF4425">
        <v>-11.881147742985601</v>
      </c>
      <c r="AG4425">
        <v>-1.1286889809789999</v>
      </c>
      <c r="AH4425">
        <v>60.125705002920803</v>
      </c>
      <c r="AI4425">
        <v>91.055042331199004</v>
      </c>
      <c r="AJ4425">
        <v>101.17793349828</v>
      </c>
      <c r="AK4425">
        <v>61.298743972488502</v>
      </c>
      <c r="AL4425">
        <v>79.105609646387293</v>
      </c>
      <c r="AM4425">
        <v>94.120124348881902</v>
      </c>
      <c r="AN4425">
        <v>0.99999999127457195</v>
      </c>
    </row>
    <row r="4426" spans="1:40" x14ac:dyDescent="0.25">
      <c r="A4426" t="str">
        <f>"20190303170627849"</f>
        <v>20190303170627849</v>
      </c>
      <c r="B4426" t="str">
        <f>"1551603987839489"</f>
        <v>1551603987839489</v>
      </c>
      <c r="C4426" t="s">
        <v>40</v>
      </c>
      <c r="D4426">
        <v>5.8255109999999997</v>
      </c>
      <c r="E4426">
        <v>0.4551713</v>
      </c>
      <c r="F4426" t="s">
        <v>41</v>
      </c>
      <c r="G4426">
        <v>-345.5856</v>
      </c>
      <c r="H4426" s="1">
        <v>-2.7801759999999998E-6</v>
      </c>
      <c r="I4426">
        <v>23.014109999999999</v>
      </c>
      <c r="J4426">
        <v>-398.52809999999999</v>
      </c>
      <c r="K4426">
        <v>1.128414</v>
      </c>
      <c r="L4426">
        <v>17.510649999999998</v>
      </c>
      <c r="M4426">
        <v>0.99615819999999999</v>
      </c>
      <c r="N4426">
        <v>-1.450268E-2</v>
      </c>
      <c r="O4426">
        <v>-8.6363159999999994E-2</v>
      </c>
      <c r="P4426">
        <v>0.98450150000000003</v>
      </c>
      <c r="Q4426">
        <v>0.1741926</v>
      </c>
      <c r="R4426">
        <v>-2.0337259999999999E-2</v>
      </c>
      <c r="S4426">
        <v>3.0686339999999999</v>
      </c>
      <c r="T4426">
        <v>-6.5010310000000002E-2</v>
      </c>
      <c r="U4426">
        <v>0.31564330000000002</v>
      </c>
      <c r="V4426">
        <v>-6.8156519999999998E-2</v>
      </c>
      <c r="W4426">
        <v>0.1872267</v>
      </c>
      <c r="X4426">
        <v>0.97994939999999997</v>
      </c>
      <c r="Y4426">
        <v>-0.18778539999999999</v>
      </c>
      <c r="Z4426">
        <v>3.9252430000000001E-3</v>
      </c>
      <c r="AA4426">
        <v>0.98220220000000003</v>
      </c>
      <c r="AB4426">
        <v>33</v>
      </c>
      <c r="AC4426">
        <v>52.942500000000003</v>
      </c>
      <c r="AD4426">
        <v>-1.1284167801759999</v>
      </c>
      <c r="AE4426">
        <v>5.5034599999999996</v>
      </c>
      <c r="AF4426">
        <v>-10.0511382511846</v>
      </c>
      <c r="AG4426">
        <v>-1.1284167801759999</v>
      </c>
      <c r="AH4426">
        <v>52.245823421602999</v>
      </c>
      <c r="AI4426">
        <v>91.215021220257398</v>
      </c>
      <c r="AJ4426">
        <v>100.889613906682</v>
      </c>
      <c r="AK4426">
        <v>53.215831944784298</v>
      </c>
      <c r="AL4426">
        <v>79.209018233730703</v>
      </c>
      <c r="AM4426">
        <v>93.978575227808903</v>
      </c>
      <c r="AN4426">
        <v>0.99999998748588004</v>
      </c>
    </row>
    <row r="4427" spans="1:40" x14ac:dyDescent="0.25">
      <c r="A4427" t="str">
        <f>"20190303170627860"</f>
        <v>20190303170627860</v>
      </c>
      <c r="B4427" t="str">
        <f>"1551603987849251"</f>
        <v>1551603987849251</v>
      </c>
      <c r="C4427" t="s">
        <v>40</v>
      </c>
      <c r="D4427">
        <v>5.6572800000000001</v>
      </c>
      <c r="E4427">
        <v>0.45550200000000002</v>
      </c>
      <c r="F4427" t="s">
        <v>41</v>
      </c>
      <c r="G4427">
        <v>-350.17239999999998</v>
      </c>
      <c r="H4427" s="1">
        <v>-4.7684199999999997E-6</v>
      </c>
      <c r="I4427">
        <v>22.722919999999998</v>
      </c>
      <c r="J4427">
        <v>-398.35169999999999</v>
      </c>
      <c r="K4427">
        <v>1.1282669999999999</v>
      </c>
      <c r="L4427">
        <v>17.499110000000002</v>
      </c>
      <c r="M4427">
        <v>0.99651369999999895</v>
      </c>
      <c r="N4427">
        <v>-1.4481549999999999E-2</v>
      </c>
      <c r="O4427">
        <v>-8.2163620000000007E-2</v>
      </c>
      <c r="P4427">
        <v>0.98472479999999996</v>
      </c>
      <c r="Q4427">
        <v>0.17321489999999901</v>
      </c>
      <c r="R4427">
        <v>-1.7714819999999999E-2</v>
      </c>
      <c r="S4427">
        <v>3.0667110000000002</v>
      </c>
      <c r="T4427">
        <v>-7.1564199999999994E-2</v>
      </c>
      <c r="U4427">
        <v>0.33056639999999998</v>
      </c>
      <c r="V4427">
        <v>-6.6562549999999998E-2</v>
      </c>
      <c r="W4427">
        <v>0.18628320000000001</v>
      </c>
      <c r="X4427">
        <v>0.98023870000000002</v>
      </c>
      <c r="Y4427">
        <v>-0.1884219</v>
      </c>
      <c r="Z4427">
        <v>4.2864160000000004E-3</v>
      </c>
      <c r="AA4427">
        <v>0.98207889999999998</v>
      </c>
      <c r="AB4427">
        <v>33</v>
      </c>
      <c r="AC4427">
        <v>48.179299999999998</v>
      </c>
      <c r="AD4427">
        <v>-1.1282717684200001</v>
      </c>
      <c r="AE4427">
        <v>5.2238100000000003</v>
      </c>
      <c r="AF4427">
        <v>-9.1601792413339904</v>
      </c>
      <c r="AG4427">
        <v>-1.1282717684200001</v>
      </c>
      <c r="AH4427">
        <v>47.561332296880003</v>
      </c>
      <c r="AI4427">
        <v>91.334426977911406</v>
      </c>
      <c r="AJ4427">
        <v>100.901521978725</v>
      </c>
      <c r="AK4427">
        <v>48.448552205107397</v>
      </c>
      <c r="AL4427">
        <v>79.264044576460407</v>
      </c>
      <c r="AM4427">
        <v>93.884673803628303</v>
      </c>
      <c r="AN4427">
        <v>0.99999995632121497</v>
      </c>
    </row>
    <row r="4428" spans="1:40" x14ac:dyDescent="0.25">
      <c r="A4428" t="str">
        <f>"20190303170627880"</f>
        <v>20190303170627880</v>
      </c>
      <c r="B4428" t="str">
        <f>"1551603987869746"</f>
        <v>1551603987869746</v>
      </c>
      <c r="C4428" t="s">
        <v>40</v>
      </c>
      <c r="D4428">
        <v>5.8158500000000002</v>
      </c>
      <c r="E4428">
        <v>0.45597480000000001</v>
      </c>
      <c r="F4428" t="s">
        <v>41</v>
      </c>
      <c r="G4428">
        <v>-352.72449999999998</v>
      </c>
      <c r="H4428" s="1">
        <v>-3.8601870000000002E-6</v>
      </c>
      <c r="I4428">
        <v>22.498919999999998</v>
      </c>
      <c r="J4428">
        <v>-398.08659999999998</v>
      </c>
      <c r="K4428">
        <v>1.1280349999999999</v>
      </c>
      <c r="L4428">
        <v>17.483309999999999</v>
      </c>
      <c r="M4428">
        <v>0.99699800000000005</v>
      </c>
      <c r="N4428">
        <v>-1.44493E-2</v>
      </c>
      <c r="O4428">
        <v>-7.6069269999999994E-2</v>
      </c>
      <c r="P4428">
        <v>0.98514029999999997</v>
      </c>
      <c r="Q4428">
        <v>0.17112920000000001</v>
      </c>
      <c r="R4428">
        <v>-1.4621E-2</v>
      </c>
      <c r="S4428">
        <v>3.0659179999999999</v>
      </c>
      <c r="T4428">
        <v>-7.581425E-2</v>
      </c>
      <c r="U4428">
        <v>0.33596799999999999</v>
      </c>
      <c r="V4428">
        <v>-6.3529989999999995E-2</v>
      </c>
      <c r="W4428">
        <v>0.1842608</v>
      </c>
      <c r="X4428">
        <v>0.98082199999999997</v>
      </c>
      <c r="Y4428">
        <v>-0.1841458</v>
      </c>
      <c r="Z4428">
        <v>4.3846279999999998E-3</v>
      </c>
      <c r="AA4428">
        <v>0.98288920000000002</v>
      </c>
      <c r="AB4428">
        <v>33</v>
      </c>
      <c r="AC4428">
        <v>45.362099999999998</v>
      </c>
      <c r="AD4428">
        <v>-1.1280388601869999</v>
      </c>
      <c r="AE4428">
        <v>5.0156099999999997</v>
      </c>
      <c r="AF4428">
        <v>-8.4469355495901706</v>
      </c>
      <c r="AG4428">
        <v>-1.1280388601869999</v>
      </c>
      <c r="AH4428">
        <v>44.821681436570202</v>
      </c>
      <c r="AI4428">
        <v>91.416744879017102</v>
      </c>
      <c r="AJ4428">
        <v>100.67258620860299</v>
      </c>
      <c r="AK4428">
        <v>45.624624038455401</v>
      </c>
      <c r="AL4428">
        <v>79.381960963768705</v>
      </c>
      <c r="AM4428">
        <v>93.7059962068587</v>
      </c>
      <c r="AN4428">
        <v>0.99999994886501797</v>
      </c>
    </row>
    <row r="4429" spans="1:40" x14ac:dyDescent="0.25">
      <c r="A4429" t="str">
        <f>"20190303170627904"</f>
        <v>20190303170627904</v>
      </c>
      <c r="B4429" t="str">
        <f>"1551603987899025"</f>
        <v>1551603987899025</v>
      </c>
      <c r="C4429" t="s">
        <v>40</v>
      </c>
      <c r="D4429">
        <v>5.7172499999999999</v>
      </c>
      <c r="E4429">
        <v>0.45680229999999999</v>
      </c>
      <c r="F4429" t="s">
        <v>41</v>
      </c>
      <c r="G4429">
        <v>-356.79379999999998</v>
      </c>
      <c r="H4429" s="1">
        <v>-2.0151870000000001E-6</v>
      </c>
      <c r="I4429">
        <v>22.087019999999999</v>
      </c>
      <c r="J4429">
        <v>-397.74029999999999</v>
      </c>
      <c r="K4429">
        <v>1.127705</v>
      </c>
      <c r="L4429">
        <v>17.46463</v>
      </c>
      <c r="M4429">
        <v>0.99754759999999998</v>
      </c>
      <c r="N4429">
        <v>-1.440492E-2</v>
      </c>
      <c r="O4429">
        <v>-6.8493369999999998E-2</v>
      </c>
      <c r="P4429">
        <v>0.9852033</v>
      </c>
      <c r="Q4429">
        <v>0.17109179999999999</v>
      </c>
      <c r="R4429">
        <v>-1.012981E-2</v>
      </c>
      <c r="S4429">
        <v>3.0648499999999999</v>
      </c>
      <c r="T4429">
        <v>-8.3725690000000005E-2</v>
      </c>
      <c r="U4429">
        <v>0.34170529999999999</v>
      </c>
      <c r="V4429">
        <v>-6.0390739999999998E-2</v>
      </c>
      <c r="W4429">
        <v>0.18428330000000001</v>
      </c>
      <c r="X4429">
        <v>0.98101609999999995</v>
      </c>
      <c r="Y4429">
        <v>-0.17851700000000001</v>
      </c>
      <c r="Z4429">
        <v>4.6030139999999999E-3</v>
      </c>
      <c r="AA4429">
        <v>0.98392610000000003</v>
      </c>
      <c r="AB4429">
        <v>33</v>
      </c>
      <c r="AC4429">
        <v>40.9465</v>
      </c>
      <c r="AD4429">
        <v>-1.1277070151869999</v>
      </c>
      <c r="AE4429">
        <v>4.6223900000000002</v>
      </c>
      <c r="AF4429">
        <v>-7.4108366778128199</v>
      </c>
      <c r="AG4429">
        <v>-1.1277070151869999</v>
      </c>
      <c r="AH4429">
        <v>40.503348745951499</v>
      </c>
      <c r="AI4429">
        <v>91.5688048600542</v>
      </c>
      <c r="AJ4429">
        <v>100.368632444203</v>
      </c>
      <c r="AK4429">
        <v>41.191182102647801</v>
      </c>
      <c r="AL4429">
        <v>79.3806497067566</v>
      </c>
      <c r="AM4429">
        <v>93.522647225306301</v>
      </c>
      <c r="AN4429">
        <v>0.99999998229792297</v>
      </c>
    </row>
    <row r="4430" spans="1:40" x14ac:dyDescent="0.25">
      <c r="A4430" t="str">
        <f>"20190303170627928"</f>
        <v>20190303170627928</v>
      </c>
      <c r="B4430" t="str">
        <f>"1551603987919521"</f>
        <v>1551603987919521</v>
      </c>
      <c r="C4430" t="s">
        <v>40</v>
      </c>
      <c r="D4430">
        <v>5.7687239999999997</v>
      </c>
      <c r="E4430">
        <v>0.45702589999999998</v>
      </c>
      <c r="F4430" t="s">
        <v>41</v>
      </c>
      <c r="G4430">
        <v>-357.08609999999999</v>
      </c>
      <c r="H4430" s="1">
        <v>-1.893386E-6</v>
      </c>
      <c r="I4430">
        <v>22.100570000000001</v>
      </c>
      <c r="J4430">
        <v>-397.40249999999997</v>
      </c>
      <c r="K4430">
        <v>1.1273409999999999</v>
      </c>
      <c r="L4430">
        <v>17.44867</v>
      </c>
      <c r="M4430">
        <v>0.99799740000000003</v>
      </c>
      <c r="N4430">
        <v>-1.4357190000000001E-2</v>
      </c>
      <c r="O4430">
        <v>-6.160471E-2</v>
      </c>
      <c r="P4430">
        <v>0.98513949999999995</v>
      </c>
      <c r="Q4430">
        <v>0.1716027</v>
      </c>
      <c r="R4430">
        <v>-7.2691980000000002E-3</v>
      </c>
      <c r="S4430">
        <v>3.0633849999999998</v>
      </c>
      <c r="T4430">
        <v>-8.4975239999999994E-2</v>
      </c>
      <c r="U4430">
        <v>0.3493347</v>
      </c>
      <c r="V4430">
        <v>-5.628756E-2</v>
      </c>
      <c r="W4430">
        <v>0.18486540000000001</v>
      </c>
      <c r="X4430">
        <v>0.98115059999999998</v>
      </c>
      <c r="Y4430">
        <v>-0.17419399999999999</v>
      </c>
      <c r="Z4430">
        <v>4.4851259999999999E-3</v>
      </c>
      <c r="AA4430">
        <v>0.98470119999999906</v>
      </c>
      <c r="AB4430">
        <v>33</v>
      </c>
      <c r="AC4430">
        <v>40.316399999999902</v>
      </c>
      <c r="AD4430">
        <v>-1.1273428933859999</v>
      </c>
      <c r="AE4430">
        <v>4.6519000000000004</v>
      </c>
      <c r="AF4430">
        <v>-7.1215034199812104</v>
      </c>
      <c r="AG4430">
        <v>-1.1273428933859999</v>
      </c>
      <c r="AH4430">
        <v>39.922394799850501</v>
      </c>
      <c r="AI4430">
        <v>91.592385133990902</v>
      </c>
      <c r="AJ4430">
        <v>100.114246150982</v>
      </c>
      <c r="AK4430">
        <v>40.568267396022797</v>
      </c>
      <c r="AL4430">
        <v>79.346715001182005</v>
      </c>
      <c r="AM4430">
        <v>93.283398614091098</v>
      </c>
      <c r="AN4430">
        <v>1.00000000270413</v>
      </c>
    </row>
    <row r="4431" spans="1:40" x14ac:dyDescent="0.25">
      <c r="A4431" t="str">
        <f>"20190303170627959"</f>
        <v>20190303170627959</v>
      </c>
      <c r="B4431" t="str">
        <f>"1551603987949778"</f>
        <v>1551603987949778</v>
      </c>
      <c r="C4431" t="s">
        <v>40</v>
      </c>
      <c r="D4431">
        <v>5.8879659999999996</v>
      </c>
      <c r="E4431">
        <v>0.45780140000000002</v>
      </c>
      <c r="F4431" t="s">
        <v>41</v>
      </c>
      <c r="G4431">
        <v>-356.11950000000002</v>
      </c>
      <c r="H4431" s="1">
        <v>-2.3494260000000002E-6</v>
      </c>
      <c r="I4431">
        <v>22.256</v>
      </c>
      <c r="J4431">
        <v>-396.94639999999998</v>
      </c>
      <c r="K4431">
        <v>1.1268499999999999</v>
      </c>
      <c r="L4431">
        <v>17.430050000000001</v>
      </c>
      <c r="M4431">
        <v>0.99849690000000002</v>
      </c>
      <c r="N4431">
        <v>-1.429616E-2</v>
      </c>
      <c r="O4431">
        <v>-5.2910539999999999E-2</v>
      </c>
      <c r="P4431">
        <v>0.98511899999999997</v>
      </c>
      <c r="Q4431">
        <v>0.17186390000000001</v>
      </c>
      <c r="R4431">
        <v>-1.8598919999999999E-3</v>
      </c>
      <c r="S4431">
        <v>3.0625</v>
      </c>
      <c r="T4431">
        <v>-8.3629729999999999E-2</v>
      </c>
      <c r="U4431">
        <v>0.35662840000000001</v>
      </c>
      <c r="V4431">
        <v>-5.2895400000000002E-2</v>
      </c>
      <c r="W4431">
        <v>0.18518209999999999</v>
      </c>
      <c r="X4431">
        <v>0.98127960000000003</v>
      </c>
      <c r="Y4431">
        <v>-0.16796820000000001</v>
      </c>
      <c r="Z4431">
        <v>4.1771669999999999E-3</v>
      </c>
      <c r="AA4431">
        <v>0.98578359999999998</v>
      </c>
      <c r="AB4431">
        <v>33</v>
      </c>
      <c r="AC4431">
        <v>40.826899999999902</v>
      </c>
      <c r="AD4431">
        <v>-1.1268523494260001</v>
      </c>
      <c r="AE4431">
        <v>4.82594999999999</v>
      </c>
      <c r="AF4431">
        <v>-6.9743429997553701</v>
      </c>
      <c r="AG4431">
        <v>-1.1268523494260001</v>
      </c>
      <c r="AH4431">
        <v>40.4839148729451</v>
      </c>
      <c r="AI4431">
        <v>91.571257763136799</v>
      </c>
      <c r="AJ4431">
        <v>99.774651951093205</v>
      </c>
      <c r="AK4431">
        <v>41.095725081028903</v>
      </c>
      <c r="AL4431">
        <v>79.3282505226925</v>
      </c>
      <c r="AM4431">
        <v>93.085514941318493</v>
      </c>
      <c r="AN4431">
        <v>0.99999999343886403</v>
      </c>
    </row>
    <row r="4432" spans="1:40" x14ac:dyDescent="0.25">
      <c r="A4432" t="str">
        <f>"20190303170627981"</f>
        <v>20190303170627981</v>
      </c>
      <c r="B4432" t="str">
        <f>"1551603987969301"</f>
        <v>1551603987969301</v>
      </c>
      <c r="C4432" t="s">
        <v>40</v>
      </c>
      <c r="D4432">
        <v>5.7908200000000001</v>
      </c>
      <c r="E4432">
        <v>0.45812170000000002</v>
      </c>
      <c r="F4432" t="s">
        <v>41</v>
      </c>
      <c r="G4432">
        <v>-355.16059999999999</v>
      </c>
      <c r="H4432" s="1">
        <v>-2.8111180000000001E-6</v>
      </c>
      <c r="I4432">
        <v>22.445170000000001</v>
      </c>
      <c r="J4432">
        <v>-396.63850000000002</v>
      </c>
      <c r="K4432">
        <v>1.126512</v>
      </c>
      <c r="L4432">
        <v>17.419219999999999</v>
      </c>
      <c r="M4432">
        <v>0.99876929999999997</v>
      </c>
      <c r="N4432">
        <v>-1.425743E-2</v>
      </c>
      <c r="O4432">
        <v>-4.7507189999999998E-2</v>
      </c>
      <c r="P4432">
        <v>0.98524389999999995</v>
      </c>
      <c r="Q4432">
        <v>0.17115620000000001</v>
      </c>
      <c r="R4432">
        <v>7.1411949999999999E-4</v>
      </c>
      <c r="S4432">
        <v>3.0603639999999999</v>
      </c>
      <c r="T4432">
        <v>-8.2530019999999996E-2</v>
      </c>
      <c r="U4432">
        <v>0.36730960000000001</v>
      </c>
      <c r="V4432">
        <v>-4.9985479999999999E-2</v>
      </c>
      <c r="W4432">
        <v>0.1845205</v>
      </c>
      <c r="X4432">
        <v>0.98155680000000001</v>
      </c>
      <c r="Y4432">
        <v>-0.1661099</v>
      </c>
      <c r="Z4432">
        <v>4.0224229999999998E-3</v>
      </c>
      <c r="AA4432">
        <v>0.98609910000000001</v>
      </c>
      <c r="AB4432">
        <v>32</v>
      </c>
      <c r="AC4432">
        <v>41.477899999999998</v>
      </c>
      <c r="AD4432">
        <v>-1.1265148111179999</v>
      </c>
      <c r="AE4432">
        <v>5.0259499999999901</v>
      </c>
      <c r="AF4432">
        <v>-6.9858940318729896</v>
      </c>
      <c r="AG4432">
        <v>-1.1265148111179999</v>
      </c>
      <c r="AH4432">
        <v>41.162341285209799</v>
      </c>
      <c r="AI4432">
        <v>91.545567278526505</v>
      </c>
      <c r="AJ4432">
        <v>99.6322108434277</v>
      </c>
      <c r="AK4432">
        <v>41.766135697767297</v>
      </c>
      <c r="AL4432">
        <v>79.366822823084902</v>
      </c>
      <c r="AM4432">
        <v>92.915251733484894</v>
      </c>
      <c r="AN4432">
        <v>1.0000000573786501</v>
      </c>
    </row>
    <row r="4433" spans="1:40" x14ac:dyDescent="0.25">
      <c r="A4433" t="str">
        <f>"20190303170628004"</f>
        <v>20190303170628004</v>
      </c>
      <c r="B4433" t="str">
        <f>"1551603987989797"</f>
        <v>1551603987989797</v>
      </c>
      <c r="C4433" t="s">
        <v>40</v>
      </c>
      <c r="D4433">
        <v>5.8181430000000001</v>
      </c>
      <c r="E4433">
        <v>0.46557510000000002</v>
      </c>
      <c r="F4433" t="s">
        <v>41</v>
      </c>
      <c r="G4433">
        <v>-355.94979999999998</v>
      </c>
      <c r="H4433" s="1">
        <v>-2.455031E-6</v>
      </c>
      <c r="I4433">
        <v>22.379300000000001</v>
      </c>
      <c r="J4433">
        <v>-396.31420000000003</v>
      </c>
      <c r="K4433">
        <v>1.1261380000000001</v>
      </c>
      <c r="L4433">
        <v>17.409269999999999</v>
      </c>
      <c r="M4433">
        <v>0.99900469999999997</v>
      </c>
      <c r="N4433">
        <v>-1.4215530000000001E-2</v>
      </c>
      <c r="O4433">
        <v>-4.2281079999999999E-2</v>
      </c>
      <c r="P4433">
        <v>0.98545000000000005</v>
      </c>
      <c r="Q4433">
        <v>0.169938899999999</v>
      </c>
      <c r="R4433">
        <v>3.0399300000000001E-3</v>
      </c>
      <c r="S4433">
        <v>3.0593870000000001</v>
      </c>
      <c r="T4433">
        <v>-8.4702609999999998E-2</v>
      </c>
      <c r="U4433">
        <v>0.37295529999999999</v>
      </c>
      <c r="V4433">
        <v>-4.6981059999999998E-2</v>
      </c>
      <c r="W4433">
        <v>0.18334819999999999</v>
      </c>
      <c r="X4433">
        <v>0.98192480000000004</v>
      </c>
      <c r="Y4433">
        <v>-0.16277849999999999</v>
      </c>
      <c r="Z4433">
        <v>3.9742639999999999E-3</v>
      </c>
      <c r="AA4433">
        <v>0.98665460000000005</v>
      </c>
      <c r="AB4433">
        <v>32</v>
      </c>
      <c r="AC4433">
        <v>40.364400000000003</v>
      </c>
      <c r="AD4433">
        <v>-1.1261404550309999</v>
      </c>
      <c r="AE4433">
        <v>4.9700299999999897</v>
      </c>
      <c r="AF4433">
        <v>-6.6672952908952903</v>
      </c>
      <c r="AG4433">
        <v>-1.1261404550309999</v>
      </c>
      <c r="AH4433">
        <v>40.087400621550003</v>
      </c>
      <c r="AI4433">
        <v>91.587343856941203</v>
      </c>
      <c r="AJ4433">
        <v>99.442938136931701</v>
      </c>
      <c r="AK4433">
        <v>40.6536678223884</v>
      </c>
      <c r="AL4433">
        <v>79.435156435451503</v>
      </c>
      <c r="AM4433">
        <v>92.739278212237807</v>
      </c>
      <c r="AN4433">
        <v>1.0000000476485</v>
      </c>
    </row>
    <row r="4434" spans="1:40" x14ac:dyDescent="0.25">
      <c r="A4434" t="str">
        <f>"20190303170628025"</f>
        <v>20190303170628025</v>
      </c>
      <c r="B4434" t="str">
        <f>"1551603988019077"</f>
        <v>1551603988019077</v>
      </c>
      <c r="C4434" t="s">
        <v>40</v>
      </c>
      <c r="D4434">
        <v>5.788894</v>
      </c>
      <c r="E4434">
        <v>0.46666239999999998</v>
      </c>
      <c r="F4434" t="s">
        <v>96</v>
      </c>
      <c r="G4434">
        <v>-361.05630000000002</v>
      </c>
      <c r="H4434" s="1">
        <v>-4.5855609999999998E-6</v>
      </c>
      <c r="I4434">
        <v>21.102959999999999</v>
      </c>
      <c r="J4434">
        <v>-395.98360000000002</v>
      </c>
      <c r="K4434">
        <v>1.125723</v>
      </c>
      <c r="L4434">
        <v>17.400449999999999</v>
      </c>
      <c r="M4434">
        <v>0.99919539999999996</v>
      </c>
      <c r="N4434">
        <v>-1.4171390000000001E-2</v>
      </c>
      <c r="O4434">
        <v>-3.7519759999999999E-2</v>
      </c>
      <c r="P4434">
        <v>0.98541400000000001</v>
      </c>
      <c r="Q4434">
        <v>0.170075799999999</v>
      </c>
      <c r="R4434">
        <v>5.8037719999999996E-3</v>
      </c>
      <c r="S4434">
        <v>3.0601500000000001</v>
      </c>
      <c r="T4434">
        <v>-9.7741599999999998E-2</v>
      </c>
      <c r="U4434">
        <v>0.32058720000000002</v>
      </c>
      <c r="V4434">
        <v>-4.486039E-2</v>
      </c>
      <c r="W4434">
        <v>0.18351319999999999</v>
      </c>
      <c r="X4434">
        <v>0.98199309999999995</v>
      </c>
      <c r="Y4434">
        <v>-0.1413285</v>
      </c>
      <c r="Z4434">
        <v>3.9200049999999998E-3</v>
      </c>
      <c r="AA4434">
        <v>0.98995500000000003</v>
      </c>
      <c r="AB4434">
        <v>32</v>
      </c>
      <c r="AC4434">
        <v>34.927300000000002</v>
      </c>
      <c r="AD4434">
        <v>-1.1257275855610001</v>
      </c>
      <c r="AE4434">
        <v>3.70250999999999</v>
      </c>
      <c r="AF4434">
        <v>-5.0053561646723796</v>
      </c>
      <c r="AG4434">
        <v>-1.1257275855610001</v>
      </c>
      <c r="AH4434">
        <v>34.728095976763697</v>
      </c>
      <c r="AI4434">
        <v>91.837643825330503</v>
      </c>
      <c r="AJ4434">
        <v>98.201553375044796</v>
      </c>
      <c r="AK4434">
        <v>35.105006809619503</v>
      </c>
      <c r="AL4434">
        <v>79.425538935170493</v>
      </c>
      <c r="AM4434">
        <v>92.6156245137132</v>
      </c>
      <c r="AN4434">
        <v>0.9999999988064</v>
      </c>
    </row>
    <row r="4435" spans="1:40" x14ac:dyDescent="0.25">
      <c r="A4435" t="str">
        <f>"20190303170628049"</f>
        <v>20190303170628049</v>
      </c>
      <c r="B4435" t="str">
        <f>"1551603988039572"</f>
        <v>1551603988039572</v>
      </c>
      <c r="C4435" t="s">
        <v>40</v>
      </c>
      <c r="D4435">
        <v>5.8223539999999998</v>
      </c>
      <c r="E4435">
        <v>0.4676517</v>
      </c>
      <c r="F4435" t="s">
        <v>41</v>
      </c>
      <c r="G4435">
        <v>-358.83629999999999</v>
      </c>
      <c r="H4435" s="1">
        <v>-9.2611449999999999E-7</v>
      </c>
      <c r="I4435">
        <v>21.287040000000001</v>
      </c>
      <c r="J4435">
        <v>-395.65640000000002</v>
      </c>
      <c r="K4435">
        <v>1.1253169999999999</v>
      </c>
      <c r="L4435">
        <v>17.39282</v>
      </c>
      <c r="M4435">
        <v>0.99934800000000001</v>
      </c>
      <c r="N4435">
        <v>-1.413059E-2</v>
      </c>
      <c r="O4435">
        <v>-3.3225989999999997E-2</v>
      </c>
      <c r="P4435">
        <v>0.98536469999999998</v>
      </c>
      <c r="Q4435">
        <v>0.17030719999999999</v>
      </c>
      <c r="R4435">
        <v>7.1957940000000001E-3</v>
      </c>
      <c r="S4435">
        <v>3.0585019999999998</v>
      </c>
      <c r="T4435">
        <v>-9.2685939999999994E-2</v>
      </c>
      <c r="U4435">
        <v>0.32000729999999999</v>
      </c>
      <c r="V4435">
        <v>-4.1840189999999999E-2</v>
      </c>
      <c r="W4435">
        <v>0.18377940000000001</v>
      </c>
      <c r="X4435">
        <v>0.98207659999999997</v>
      </c>
      <c r="Y4435">
        <v>-0.13695639999999901</v>
      </c>
      <c r="Z4435">
        <v>3.5758769999999999E-3</v>
      </c>
      <c r="AA4435">
        <v>0.99057059999999997</v>
      </c>
      <c r="AB4435">
        <v>32</v>
      </c>
      <c r="AC4435">
        <v>36.820099999999996</v>
      </c>
      <c r="AD4435">
        <v>-1.1253179261145001</v>
      </c>
      <c r="AE4435">
        <v>3.8942199999999998</v>
      </c>
      <c r="AF4435">
        <v>-5.1108547259391601</v>
      </c>
      <c r="AG4435">
        <v>-1.1253179261145001</v>
      </c>
      <c r="AH4435">
        <v>36.6365214165873</v>
      </c>
      <c r="AI4435">
        <v>91.742466647652506</v>
      </c>
      <c r="AJ4435">
        <v>97.941603307285902</v>
      </c>
      <c r="AK4435">
        <v>37.008402802235999</v>
      </c>
      <c r="AL4435">
        <v>79.410022479646102</v>
      </c>
      <c r="AM4435">
        <v>92.439542359371202</v>
      </c>
      <c r="AN4435">
        <v>0.99999995881557702</v>
      </c>
    </row>
    <row r="4436" spans="1:40" x14ac:dyDescent="0.25">
      <c r="A4436" t="str">
        <f>"20190303170628069"</f>
        <v>20190303170628069</v>
      </c>
      <c r="B4436" t="str">
        <f>"1551603988059093"</f>
        <v>1551603988059093</v>
      </c>
      <c r="C4436" t="s">
        <v>40</v>
      </c>
      <c r="D4436">
        <v>5.7862039999999997</v>
      </c>
      <c r="E4436">
        <v>0.46858119999999998</v>
      </c>
      <c r="F4436" t="s">
        <v>41</v>
      </c>
      <c r="G4436">
        <v>-358.11410000000001</v>
      </c>
      <c r="H4436" s="1">
        <v>-1.234885E-6</v>
      </c>
      <c r="I4436">
        <v>21.283080000000002</v>
      </c>
      <c r="J4436">
        <v>-395.3546</v>
      </c>
      <c r="K4436">
        <v>1.124954</v>
      </c>
      <c r="L4436">
        <v>17.38663</v>
      </c>
      <c r="M4436">
        <v>0.99946100000000004</v>
      </c>
      <c r="N4436">
        <v>-1.409578E-2</v>
      </c>
      <c r="O4436">
        <v>-2.9651199999999999E-2</v>
      </c>
      <c r="P4436">
        <v>0.98541199999999995</v>
      </c>
      <c r="Q4436">
        <v>0.17001939999999999</v>
      </c>
      <c r="R4436">
        <v>7.5524099999999999E-3</v>
      </c>
      <c r="S4436">
        <v>3.0580750000000001</v>
      </c>
      <c r="T4436">
        <v>-9.1664670000000004E-2</v>
      </c>
      <c r="U4436">
        <v>0.31689450000000002</v>
      </c>
      <c r="V4436">
        <v>-3.8510860000000001E-2</v>
      </c>
      <c r="W4436">
        <v>0.18352679999999999</v>
      </c>
      <c r="X4436">
        <v>0.98226000000000002</v>
      </c>
      <c r="Y4436">
        <v>-0.13243389999999999</v>
      </c>
      <c r="Z4436">
        <v>3.38507E-3</v>
      </c>
      <c r="AA4436">
        <v>0.99118609999999896</v>
      </c>
      <c r="AB4436">
        <v>32</v>
      </c>
      <c r="AC4436">
        <v>37.240499999999997</v>
      </c>
      <c r="AD4436">
        <v>-1.124955234885</v>
      </c>
      <c r="AE4436">
        <v>3.89644999999999</v>
      </c>
      <c r="AF4436">
        <v>-4.9945632940164799</v>
      </c>
      <c r="AG4436">
        <v>-1.124955234885</v>
      </c>
      <c r="AH4436">
        <v>37.075111255178399</v>
      </c>
      <c r="AI4436">
        <v>91.722420112554801</v>
      </c>
      <c r="AJ4436">
        <v>97.672394479601294</v>
      </c>
      <c r="AK4436">
        <v>37.426929627773198</v>
      </c>
      <c r="AL4436">
        <v>79.424745621895099</v>
      </c>
      <c r="AM4436">
        <v>92.245210242991902</v>
      </c>
      <c r="AN4436">
        <v>0.99999994012808702</v>
      </c>
    </row>
    <row r="4437" spans="1:40" x14ac:dyDescent="0.25">
      <c r="A4437" t="str">
        <f>"20190303170628092"</f>
        <v>20190303170628092</v>
      </c>
      <c r="B4437" t="str">
        <f>"1551603988079448"</f>
        <v>1551603988079448</v>
      </c>
      <c r="C4437" t="s">
        <v>40</v>
      </c>
      <c r="D4437">
        <v>5.8855559999999896</v>
      </c>
      <c r="E4437">
        <v>0.46917969999999998</v>
      </c>
      <c r="F4437" t="s">
        <v>41</v>
      </c>
      <c r="G4437">
        <v>-358.88810000000001</v>
      </c>
      <c r="H4437" s="1">
        <v>-8.5556329999999997E-7</v>
      </c>
      <c r="I4437">
        <v>21.105499999999999</v>
      </c>
      <c r="J4437">
        <v>-395.03339999999997</v>
      </c>
      <c r="K4437">
        <v>1.1245579999999999</v>
      </c>
      <c r="L4437">
        <v>17.38083</v>
      </c>
      <c r="M4437">
        <v>0.99955499999999997</v>
      </c>
      <c r="N4437">
        <v>-1.405968E-2</v>
      </c>
      <c r="O4437">
        <v>-2.6308370000000001E-2</v>
      </c>
      <c r="P4437">
        <v>0.98561609999999999</v>
      </c>
      <c r="Q4437">
        <v>0.16885439999999999</v>
      </c>
      <c r="R4437">
        <v>7.0205490000000001E-3</v>
      </c>
      <c r="S4437">
        <v>3.0582579999999999</v>
      </c>
      <c r="T4437">
        <v>-9.4344259999999999E-2</v>
      </c>
      <c r="U4437">
        <v>0.31188959999999999</v>
      </c>
      <c r="V4437">
        <v>-3.4506250000000002E-2</v>
      </c>
      <c r="W4437">
        <v>0.1824008</v>
      </c>
      <c r="X4437">
        <v>0.98261860000000001</v>
      </c>
      <c r="Y4437">
        <v>-0.12750529999999999</v>
      </c>
      <c r="Z4437">
        <v>3.3008569999999999E-3</v>
      </c>
      <c r="AA4437">
        <v>0.99183239999999995</v>
      </c>
      <c r="AB4437">
        <v>32</v>
      </c>
      <c r="AC4437">
        <v>36.145299999999899</v>
      </c>
      <c r="AD4437">
        <v>-1.1245588555632999</v>
      </c>
      <c r="AE4437">
        <v>3.7246700000000001</v>
      </c>
      <c r="AF4437">
        <v>-4.6699256290890698</v>
      </c>
      <c r="AG4437">
        <v>-1.1245588555632999</v>
      </c>
      <c r="AH4437">
        <v>36.000306071290296</v>
      </c>
      <c r="AI4437">
        <v>91.774337470348996</v>
      </c>
      <c r="AJ4437">
        <v>97.391082030379707</v>
      </c>
      <c r="AK4437">
        <v>36.319345743383501</v>
      </c>
      <c r="AL4437">
        <v>79.490369295038704</v>
      </c>
      <c r="AM4437">
        <v>92.011208013967902</v>
      </c>
      <c r="AN4437">
        <v>1.0000000230978301</v>
      </c>
    </row>
    <row r="4438" spans="1:40" x14ac:dyDescent="0.25">
      <c r="A4438" t="str">
        <f>"20190303170628116"</f>
        <v>20190303170628116</v>
      </c>
      <c r="B4438" t="str">
        <f>"1551603988109704"</f>
        <v>1551603988109704</v>
      </c>
      <c r="C4438" t="s">
        <v>40</v>
      </c>
      <c r="D4438">
        <v>5.9355279999999997</v>
      </c>
      <c r="E4438">
        <v>0.487346</v>
      </c>
      <c r="F4438" t="s">
        <v>96</v>
      </c>
      <c r="G4438">
        <v>-360.09379999999999</v>
      </c>
      <c r="H4438" s="1">
        <v>-4.9143800000000002E-6</v>
      </c>
      <c r="I4438">
        <v>20.873010000000001</v>
      </c>
      <c r="J4438">
        <v>-394.69380000000001</v>
      </c>
      <c r="K4438">
        <v>1.124125</v>
      </c>
      <c r="L4438">
        <v>17.375339999999898</v>
      </c>
      <c r="M4438">
        <v>0.99963020000000002</v>
      </c>
      <c r="N4438">
        <v>-1.402248E-2</v>
      </c>
      <c r="O4438">
        <v>-2.3303589999999999E-2</v>
      </c>
      <c r="P4438">
        <v>0.98592690000000005</v>
      </c>
      <c r="Q4438">
        <v>0.16702229999999901</v>
      </c>
      <c r="R4438">
        <v>7.1998189999999997E-3</v>
      </c>
      <c r="S4438">
        <v>3.0585019999999998</v>
      </c>
      <c r="T4438">
        <v>-9.8440769999999997E-2</v>
      </c>
      <c r="U4438">
        <v>0.30569459999999998</v>
      </c>
      <c r="V4438">
        <v>-3.1523679999999998E-2</v>
      </c>
      <c r="W4438">
        <v>0.18059500000000001</v>
      </c>
      <c r="X4438">
        <v>0.98305229999999999</v>
      </c>
      <c r="Y4438">
        <v>-0.1225226</v>
      </c>
      <c r="Z4438">
        <v>3.2501769999999999E-3</v>
      </c>
      <c r="AA4438">
        <v>0.99246040000000002</v>
      </c>
      <c r="AB4438">
        <v>32</v>
      </c>
      <c r="AC4438">
        <v>34.6</v>
      </c>
      <c r="AD4438">
        <v>-1.1241299143799901</v>
      </c>
      <c r="AE4438">
        <v>3.4976699999999998</v>
      </c>
      <c r="AF4438">
        <v>-4.2986118518126304</v>
      </c>
      <c r="AG4438">
        <v>-1.1241299143799901</v>
      </c>
      <c r="AH4438">
        <v>34.473065588522601</v>
      </c>
      <c r="AI4438">
        <v>91.853349502665097</v>
      </c>
      <c r="AJ4438">
        <v>97.107797782929396</v>
      </c>
      <c r="AK4438">
        <v>34.758221804164997</v>
      </c>
      <c r="AL4438">
        <v>79.595581854424694</v>
      </c>
      <c r="AM4438">
        <v>91.836682649723997</v>
      </c>
      <c r="AN4438">
        <v>1.0000000604805099</v>
      </c>
    </row>
    <row r="4439" spans="1:40" x14ac:dyDescent="0.25">
      <c r="A4439" t="str">
        <f>"20190303170628139"</f>
        <v>20190303170628139</v>
      </c>
      <c r="B4439" t="str">
        <f>"1551603988129224"</f>
        <v>1551603988129224</v>
      </c>
      <c r="C4439" t="s">
        <v>40</v>
      </c>
      <c r="D4439">
        <v>5.9055119999999999</v>
      </c>
      <c r="E4439">
        <v>0.49509039999999999</v>
      </c>
      <c r="F4439" t="s">
        <v>96</v>
      </c>
      <c r="G4439">
        <v>-365.10230000000001</v>
      </c>
      <c r="H4439" s="1">
        <v>-2.4366219999999999E-6</v>
      </c>
      <c r="I4439">
        <v>18.93404</v>
      </c>
      <c r="J4439">
        <v>-394.36349999999999</v>
      </c>
      <c r="K4439">
        <v>1.123675</v>
      </c>
      <c r="L4439">
        <v>17.370450000000002</v>
      </c>
      <c r="M4439">
        <v>0.9996834</v>
      </c>
      <c r="N4439">
        <v>-1.398862E-2</v>
      </c>
      <c r="O4439">
        <v>-2.091643E-2</v>
      </c>
      <c r="P4439">
        <v>0.98589079999999996</v>
      </c>
      <c r="Q4439">
        <v>0.16724700000000001</v>
      </c>
      <c r="R4439">
        <v>6.9262600000000001E-3</v>
      </c>
      <c r="S4439">
        <v>3.0613709999999998</v>
      </c>
      <c r="T4439">
        <v>-0.1162962</v>
      </c>
      <c r="U4439">
        <v>0.16125490000000001</v>
      </c>
      <c r="V4439">
        <v>-2.8696590000000001E-2</v>
      </c>
      <c r="W4439">
        <v>0.1808379</v>
      </c>
      <c r="X4439">
        <v>0.98309420000000003</v>
      </c>
      <c r="Y4439">
        <v>-7.3400859999999998E-2</v>
      </c>
      <c r="Z4439">
        <v>2.4082359999999998E-3</v>
      </c>
      <c r="AA4439">
        <v>0.99729959999999995</v>
      </c>
      <c r="AB4439">
        <v>32</v>
      </c>
      <c r="AC4439">
        <v>29.261199999999899</v>
      </c>
      <c r="AD4439">
        <v>-1.1236774366219999</v>
      </c>
      <c r="AE4439">
        <v>1.56358999999999</v>
      </c>
      <c r="AF4439">
        <v>-2.1721534510706402</v>
      </c>
      <c r="AG4439">
        <v>-1.1236774366219999</v>
      </c>
      <c r="AH4439">
        <v>29.179181718802599</v>
      </c>
      <c r="AI4439">
        <v>92.199266197309399</v>
      </c>
      <c r="AJ4439">
        <v>94.257353557215097</v>
      </c>
      <c r="AK4439">
        <v>29.281488134578701</v>
      </c>
      <c r="AL4439">
        <v>79.581431339414493</v>
      </c>
      <c r="AM4439">
        <v>91.671993129472796</v>
      </c>
      <c r="AN4439">
        <v>1.00000002321383</v>
      </c>
    </row>
    <row r="4440" spans="1:40" x14ac:dyDescent="0.25">
      <c r="A4440" t="str">
        <f>"20190303170628160"</f>
        <v>20190303170628160</v>
      </c>
      <c r="B4440" t="str">
        <f>"1551603988149721"</f>
        <v>1551603988149721</v>
      </c>
      <c r="C4440" t="s">
        <v>40</v>
      </c>
      <c r="D4440">
        <v>5.8442119999999997</v>
      </c>
      <c r="E4440">
        <v>0.50406859999999998</v>
      </c>
      <c r="F4440" t="s">
        <v>96</v>
      </c>
      <c r="G4440">
        <v>-365.35250000000002</v>
      </c>
      <c r="H4440" s="1">
        <v>-2.4297819999999999E-6</v>
      </c>
      <c r="I4440">
        <v>18.306000000000001</v>
      </c>
      <c r="J4440">
        <v>-394.05970000000002</v>
      </c>
      <c r="K4440">
        <v>1.123237</v>
      </c>
      <c r="L4440">
        <v>17.366150000000001</v>
      </c>
      <c r="M4440">
        <v>0.99971779999999999</v>
      </c>
      <c r="N4440">
        <v>-1.396009E-2</v>
      </c>
      <c r="O4440">
        <v>-1.9225720000000002E-2</v>
      </c>
      <c r="P4440">
        <v>0.98573060000000001</v>
      </c>
      <c r="Q4440">
        <v>0.1682505</v>
      </c>
      <c r="R4440">
        <v>5.1934190000000003E-3</v>
      </c>
      <c r="S4440">
        <v>3.0623779999999998</v>
      </c>
      <c r="T4440">
        <v>-0.1186146</v>
      </c>
      <c r="U4440">
        <v>9.8754880000000003E-2</v>
      </c>
      <c r="V4440">
        <v>-2.5102639999999999E-2</v>
      </c>
      <c r="W4440">
        <v>0.18186160000000001</v>
      </c>
      <c r="X4440">
        <v>0.98300370000000004</v>
      </c>
      <c r="Y4440">
        <v>-5.1384390000000002E-2</v>
      </c>
      <c r="Z4440">
        <v>1.829413E-3</v>
      </c>
      <c r="AA4440">
        <v>0.99867729999999999</v>
      </c>
      <c r="AB4440">
        <v>32</v>
      </c>
      <c r="AC4440">
        <v>28.7072</v>
      </c>
      <c r="AD4440">
        <v>-1.1232394297820001</v>
      </c>
      <c r="AE4440">
        <v>0.93984999999999597</v>
      </c>
      <c r="AF4440">
        <v>-1.48936885805748</v>
      </c>
      <c r="AG4440">
        <v>-1.1232394297820001</v>
      </c>
      <c r="AH4440">
        <v>28.640022229774999</v>
      </c>
      <c r="AI4440">
        <v>92.242917284468106</v>
      </c>
      <c r="AJ4440">
        <v>92.976874447342595</v>
      </c>
      <c r="AK4440">
        <v>28.700710091110501</v>
      </c>
      <c r="AL4440">
        <v>79.521788756571397</v>
      </c>
      <c r="AM4440">
        <v>91.462825425283</v>
      </c>
      <c r="AN4440">
        <v>1.0000000291516</v>
      </c>
    </row>
    <row r="4441" spans="1:40" x14ac:dyDescent="0.25">
      <c r="A4441" t="str">
        <f>"20190303170628181"</f>
        <v>20190303170628181</v>
      </c>
      <c r="B4441" t="str">
        <f>"1551603988169240"</f>
        <v>1551603988169240</v>
      </c>
      <c r="C4441" t="s">
        <v>40</v>
      </c>
      <c r="D4441">
        <v>5.8257349999999999</v>
      </c>
      <c r="E4441">
        <v>0.50754390000000005</v>
      </c>
      <c r="F4441" t="s">
        <v>96</v>
      </c>
      <c r="G4441">
        <v>-367.06560000000002</v>
      </c>
      <c r="H4441" s="1">
        <v>-1.749065E-6</v>
      </c>
      <c r="I4441">
        <v>17.578209999999999</v>
      </c>
      <c r="J4441">
        <v>-393.74579999999997</v>
      </c>
      <c r="K4441">
        <v>1.122771</v>
      </c>
      <c r="L4441">
        <v>17.36176</v>
      </c>
      <c r="M4441">
        <v>0.99974099999999999</v>
      </c>
      <c r="N4441">
        <v>-1.3933539999999999E-2</v>
      </c>
      <c r="O4441">
        <v>-1.7997799999999901E-2</v>
      </c>
      <c r="P4441">
        <v>0.98568060000000002</v>
      </c>
      <c r="Q4441">
        <v>0.16858480000000001</v>
      </c>
      <c r="R4441">
        <v>3.6032960000000002E-3</v>
      </c>
      <c r="S4441">
        <v>3.0650629999999999</v>
      </c>
      <c r="T4441">
        <v>-0.12753900000000001</v>
      </c>
      <c r="U4441">
        <v>2.4078370000000002E-2</v>
      </c>
      <c r="V4441">
        <v>-2.2090410000000001E-2</v>
      </c>
      <c r="W4441">
        <v>0.18221039999999999</v>
      </c>
      <c r="X4441">
        <v>0.98301139999999998</v>
      </c>
      <c r="Y4441">
        <v>-2.5816499999999999E-2</v>
      </c>
      <c r="Z4441">
        <v>1.214683E-3</v>
      </c>
      <c r="AA4441">
        <v>0.99966600000000005</v>
      </c>
      <c r="AB4441">
        <v>32</v>
      </c>
      <c r="AC4441">
        <v>26.6801999999999</v>
      </c>
      <c r="AD4441">
        <v>-1.1227727490649999</v>
      </c>
      <c r="AE4441">
        <v>0.216450000000001</v>
      </c>
      <c r="AF4441">
        <v>-0.69541496321650897</v>
      </c>
      <c r="AG4441">
        <v>-1.1227727490649999</v>
      </c>
      <c r="AH4441">
        <v>26.624833607509</v>
      </c>
      <c r="AI4441">
        <v>92.413917595366996</v>
      </c>
      <c r="AJ4441">
        <v>91.496170306271196</v>
      </c>
      <c r="AK4441">
        <v>26.6575690047808</v>
      </c>
      <c r="AL4441">
        <v>79.501464249597007</v>
      </c>
      <c r="AM4441">
        <v>91.287344448242393</v>
      </c>
      <c r="AN4441">
        <v>1.0000000143060399</v>
      </c>
    </row>
    <row r="4442" spans="1:40" x14ac:dyDescent="0.25">
      <c r="A4442" t="str">
        <f>"20190303170628205"</f>
        <v>20190303170628205</v>
      </c>
      <c r="B4442" t="str">
        <f>"1551603988199496"</f>
        <v>1551603988199496</v>
      </c>
      <c r="C4442" t="s">
        <v>40</v>
      </c>
      <c r="D4442">
        <v>5.8221230000000004</v>
      </c>
      <c r="E4442">
        <v>0.51048209999999905</v>
      </c>
      <c r="F4442" t="s">
        <v>96</v>
      </c>
      <c r="G4442">
        <v>-366.30650000000003</v>
      </c>
      <c r="H4442" s="1">
        <v>-2.1617270000000001E-6</v>
      </c>
      <c r="I4442">
        <v>17.27488</v>
      </c>
      <c r="J4442">
        <v>-393.41750000000002</v>
      </c>
      <c r="K4442">
        <v>1.1222780000000001</v>
      </c>
      <c r="L4442">
        <v>17.356960000000001</v>
      </c>
      <c r="M4442">
        <v>0.99975380000000003</v>
      </c>
      <c r="N4442">
        <v>-1.390953E-2</v>
      </c>
      <c r="O4442">
        <v>-1.7297719999999999E-2</v>
      </c>
      <c r="P4442">
        <v>0.98569099999999998</v>
      </c>
      <c r="Q4442">
        <v>0.16855220000000001</v>
      </c>
      <c r="R4442">
        <v>1.9172830000000001E-3</v>
      </c>
      <c r="S4442">
        <v>3.0650330000000001</v>
      </c>
      <c r="T4442">
        <v>-0.1254159</v>
      </c>
      <c r="U4442">
        <v>-9.7045900000000008E-3</v>
      </c>
      <c r="V4442">
        <v>-1.949267E-2</v>
      </c>
      <c r="W4442">
        <v>0.1821884</v>
      </c>
      <c r="X4442">
        <v>0.98307040000000001</v>
      </c>
      <c r="Y4442">
        <v>-1.4111439999999999E-2</v>
      </c>
      <c r="Z4442">
        <v>8.5369389999999997E-4</v>
      </c>
      <c r="AA4442">
        <v>0.99990000000000001</v>
      </c>
      <c r="AB4442">
        <v>32</v>
      </c>
      <c r="AC4442">
        <v>27.110999999999901</v>
      </c>
      <c r="AD4442">
        <v>-1.122280161727</v>
      </c>
      <c r="AE4442">
        <v>-8.2080000000001194E-2</v>
      </c>
      <c r="AF4442">
        <v>-0.38627414454268399</v>
      </c>
      <c r="AG4442">
        <v>-1.122280161727</v>
      </c>
      <c r="AH4442">
        <v>27.0619896718825</v>
      </c>
      <c r="AI4442">
        <v>92.374494808363394</v>
      </c>
      <c r="AJ4442">
        <v>90.817766011856605</v>
      </c>
      <c r="AK4442">
        <v>27.0880048264398</v>
      </c>
      <c r="AL4442">
        <v>79.5027460025632</v>
      </c>
      <c r="AM4442">
        <v>91.135932267884897</v>
      </c>
      <c r="AN4442">
        <v>0.99999999431722397</v>
      </c>
    </row>
    <row r="4443" spans="1:40" x14ac:dyDescent="0.25">
      <c r="A4443" t="str">
        <f>"20190303170628227"</f>
        <v>20190303170628227</v>
      </c>
      <c r="B4443" t="str">
        <f>"1551603988219993"</f>
        <v>1551603988219993</v>
      </c>
      <c r="C4443" t="s">
        <v>40</v>
      </c>
      <c r="D4443">
        <v>5.864598</v>
      </c>
      <c r="E4443">
        <v>0.5118239</v>
      </c>
      <c r="F4443" t="s">
        <v>96</v>
      </c>
      <c r="G4443">
        <v>-367.02929999999998</v>
      </c>
      <c r="H4443" s="1">
        <v>-1.868546E-6</v>
      </c>
      <c r="I4443">
        <v>17.00132</v>
      </c>
      <c r="J4443">
        <v>-393.09050000000002</v>
      </c>
      <c r="K4443">
        <v>1.1218060000000001</v>
      </c>
      <c r="L4443">
        <v>17.35181</v>
      </c>
      <c r="M4443">
        <v>0.99975599999999998</v>
      </c>
      <c r="N4443">
        <v>-1.3888849999999999E-2</v>
      </c>
      <c r="O4443">
        <v>-1.7179090000000001E-2</v>
      </c>
      <c r="P4443">
        <v>0.98556200000000005</v>
      </c>
      <c r="Q4443">
        <v>0.1693154</v>
      </c>
      <c r="R4443">
        <v>1.6236580000000001E-4</v>
      </c>
      <c r="S4443">
        <v>3.0659480000000001</v>
      </c>
      <c r="T4443">
        <v>-0.1303936</v>
      </c>
      <c r="U4443">
        <v>-4.1320799999999998E-2</v>
      </c>
      <c r="V4443">
        <v>-1.740645E-2</v>
      </c>
      <c r="W4443">
        <v>0.18295639999999999</v>
      </c>
      <c r="X4443">
        <v>0.98296700000000004</v>
      </c>
      <c r="Y4443">
        <v>-3.6935990000000001E-3</v>
      </c>
      <c r="Z4443">
        <v>5.9583979999999997E-4</v>
      </c>
      <c r="AA4443">
        <v>0.99999300000000002</v>
      </c>
      <c r="AB4443">
        <v>32</v>
      </c>
      <c r="AC4443">
        <v>26.061199999999999</v>
      </c>
      <c r="AD4443">
        <v>-1.12180786854599</v>
      </c>
      <c r="AE4443">
        <v>-0.35049000000000002</v>
      </c>
      <c r="AF4443">
        <v>-9.7132659226993504E-2</v>
      </c>
      <c r="AG4443">
        <v>-1.12180786854599</v>
      </c>
      <c r="AH4443">
        <v>26.015180663187099</v>
      </c>
      <c r="AI4443">
        <v>92.469120465596703</v>
      </c>
      <c r="AJ4443">
        <v>90.213923771584106</v>
      </c>
      <c r="AK4443">
        <v>26.0395374879371</v>
      </c>
      <c r="AL4443">
        <v>79.4579914826096</v>
      </c>
      <c r="AM4443">
        <v>91.014491733884199</v>
      </c>
      <c r="AN4443">
        <v>1.0000000759457699</v>
      </c>
    </row>
    <row r="4444" spans="1:40" x14ac:dyDescent="0.25">
      <c r="A4444" t="str">
        <f>"20190303170628249"</f>
        <v>20190303170628249</v>
      </c>
      <c r="B4444" t="str">
        <f>"1551603988239512"</f>
        <v>1551603988239512</v>
      </c>
      <c r="C4444" t="s">
        <v>40</v>
      </c>
      <c r="D4444">
        <v>5.8664880000000004</v>
      </c>
      <c r="E4444">
        <v>0.51274129999999996</v>
      </c>
      <c r="F4444" t="s">
        <v>96</v>
      </c>
      <c r="G4444">
        <v>-366.68799999999999</v>
      </c>
      <c r="H4444" s="1">
        <v>-2.058023E-6</v>
      </c>
      <c r="I4444">
        <v>16.84282</v>
      </c>
      <c r="J4444">
        <v>-392.77530000000002</v>
      </c>
      <c r="K4444">
        <v>1.1214040000000001</v>
      </c>
      <c r="L4444">
        <v>17.34637</v>
      </c>
      <c r="M4444">
        <v>0.99975080000000005</v>
      </c>
      <c r="N4444">
        <v>-1.38712E-2</v>
      </c>
      <c r="O4444">
        <v>-1.7493599999999901E-2</v>
      </c>
      <c r="P4444">
        <v>0.98526840000000004</v>
      </c>
      <c r="Q4444">
        <v>0.1710055</v>
      </c>
      <c r="R4444">
        <v>-1.9259069999999999E-3</v>
      </c>
      <c r="S4444">
        <v>3.0663450000000001</v>
      </c>
      <c r="T4444">
        <v>-0.13028489999999901</v>
      </c>
      <c r="U4444">
        <v>-5.911255E-2</v>
      </c>
      <c r="V4444">
        <v>-1.5440819999999999E-2</v>
      </c>
      <c r="W4444">
        <v>0.18464369999999999</v>
      </c>
      <c r="X4444">
        <v>0.98268420000000001</v>
      </c>
      <c r="Y4444">
        <v>1.784304E-3</v>
      </c>
      <c r="Z4444">
        <v>4.4995369999999997E-4</v>
      </c>
      <c r="AA4444">
        <v>0.99999830000000001</v>
      </c>
      <c r="AB4444">
        <v>32</v>
      </c>
      <c r="AC4444">
        <v>26.0872999999999</v>
      </c>
      <c r="AD4444">
        <v>-1.1214060580230001</v>
      </c>
      <c r="AE4444">
        <v>-0.50355000000000005</v>
      </c>
      <c r="AF4444">
        <v>4.6981467634761E-2</v>
      </c>
      <c r="AG4444">
        <v>-1.1214060580230001</v>
      </c>
      <c r="AH4444">
        <v>26.0440093905138</v>
      </c>
      <c r="AI4444">
        <v>92.465521547687501</v>
      </c>
      <c r="AJ4444">
        <v>89.896642761467206</v>
      </c>
      <c r="AK4444">
        <v>26.068183364754098</v>
      </c>
      <c r="AL4444">
        <v>79.359639694479895</v>
      </c>
      <c r="AM4444">
        <v>90.900208856617297</v>
      </c>
      <c r="AN4444">
        <v>0.99999997590080003</v>
      </c>
    </row>
    <row r="4445" spans="1:40" x14ac:dyDescent="0.25">
      <c r="A4445" t="str">
        <f>"20190303170628272"</f>
        <v>20190303170628272</v>
      </c>
      <c r="B4445" t="str">
        <f>"1551603988259032"</f>
        <v>1551603988259032</v>
      </c>
      <c r="C4445" t="s">
        <v>40</v>
      </c>
      <c r="D4445">
        <v>5.8587220000000002</v>
      </c>
      <c r="E4445">
        <v>0.5133432</v>
      </c>
      <c r="F4445" t="s">
        <v>96</v>
      </c>
      <c r="G4445">
        <v>-365.78829999999999</v>
      </c>
      <c r="H4445" s="1">
        <v>-2.5066209999999998E-6</v>
      </c>
      <c r="I4445">
        <v>16.711269999999999</v>
      </c>
      <c r="J4445">
        <v>-392.45260000000002</v>
      </c>
      <c r="K4445">
        <v>1.121019</v>
      </c>
      <c r="L4445">
        <v>17.340329999999899</v>
      </c>
      <c r="M4445">
        <v>0.99973749999999995</v>
      </c>
      <c r="N4445">
        <v>-1.385421E-2</v>
      </c>
      <c r="O4445">
        <v>-1.8249359999999999E-2</v>
      </c>
      <c r="P4445">
        <v>0.9851974</v>
      </c>
      <c r="Q4445">
        <v>0.171379799999999</v>
      </c>
      <c r="R4445">
        <v>-3.8783820000000001E-3</v>
      </c>
      <c r="S4445">
        <v>3.0668329999999999</v>
      </c>
      <c r="T4445">
        <v>-0.1274382</v>
      </c>
      <c r="U4445">
        <v>-7.2174070000000007E-2</v>
      </c>
      <c r="V4445">
        <v>-1.4057500000000001E-2</v>
      </c>
      <c r="W4445">
        <v>0.18501480000000001</v>
      </c>
      <c r="X4445">
        <v>0.98263520000000004</v>
      </c>
      <c r="Y4445">
        <v>5.2781729999999997E-3</v>
      </c>
      <c r="Z4445">
        <v>3.58873E-4</v>
      </c>
      <c r="AA4445">
        <v>0.99998600000000004</v>
      </c>
      <c r="AB4445">
        <v>32</v>
      </c>
      <c r="AC4445">
        <v>26.664300000000001</v>
      </c>
      <c r="AD4445">
        <v>-1.1210215066210001</v>
      </c>
      <c r="AE4445">
        <v>-0.62905999999999496</v>
      </c>
      <c r="AF4445">
        <v>0.14205117540855799</v>
      </c>
      <c r="AG4445">
        <v>-1.1210215066210001</v>
      </c>
      <c r="AH4445">
        <v>26.624306532942501</v>
      </c>
      <c r="AI4445">
        <v>92.410991333011296</v>
      </c>
      <c r="AJ4445">
        <v>89.694307320709498</v>
      </c>
      <c r="AK4445">
        <v>26.648275105808001</v>
      </c>
      <c r="AL4445">
        <v>79.338004868264903</v>
      </c>
      <c r="AM4445">
        <v>90.819612894619098</v>
      </c>
      <c r="AN4445">
        <v>1.00000001290216</v>
      </c>
    </row>
    <row r="4446" spans="1:40" x14ac:dyDescent="0.25">
      <c r="A4446" t="str">
        <f>"20190303170628294"</f>
        <v>20190303170628294</v>
      </c>
      <c r="B4446" t="str">
        <f>"1551603988279530"</f>
        <v>1551603988279530</v>
      </c>
      <c r="C4446" t="s">
        <v>40</v>
      </c>
      <c r="D4446">
        <v>5.8706319999999996</v>
      </c>
      <c r="E4446">
        <v>0.51370470000000001</v>
      </c>
      <c r="F4446" t="s">
        <v>96</v>
      </c>
      <c r="G4446">
        <v>-365.27350000000001</v>
      </c>
      <c r="H4446" s="1">
        <v>-2.770054E-6</v>
      </c>
      <c r="I4446">
        <v>16.598179999999999</v>
      </c>
      <c r="J4446">
        <v>-392.13720000000001</v>
      </c>
      <c r="K4446">
        <v>1.1206510000000001</v>
      </c>
      <c r="L4446">
        <v>17.333770000000001</v>
      </c>
      <c r="M4446">
        <v>0.99971589999999999</v>
      </c>
      <c r="N4446">
        <v>-1.3840119999999999E-2</v>
      </c>
      <c r="O4446">
        <v>-1.9406730000000001E-2</v>
      </c>
      <c r="P4446">
        <v>0.98543130000000001</v>
      </c>
      <c r="Q4446">
        <v>0.16999349999999999</v>
      </c>
      <c r="R4446">
        <v>-5.2431730000000003E-3</v>
      </c>
      <c r="S4446">
        <v>3.0667420000000001</v>
      </c>
      <c r="T4446">
        <v>-0.12648980000000001</v>
      </c>
      <c r="U4446">
        <v>-8.3740229999999999E-2</v>
      </c>
      <c r="V4446">
        <v>-1.367267E-2</v>
      </c>
      <c r="W4446">
        <v>0.1836304</v>
      </c>
      <c r="X4446">
        <v>0.98290029999999995</v>
      </c>
      <c r="Y4446">
        <v>7.8875790000000005E-3</v>
      </c>
      <c r="Z4446">
        <v>3.1416350000000002E-4</v>
      </c>
      <c r="AA4446">
        <v>0.99996879999999999</v>
      </c>
      <c r="AB4446">
        <v>32</v>
      </c>
      <c r="AC4446">
        <v>26.863699999999898</v>
      </c>
      <c r="AD4446">
        <v>-1.120653770054</v>
      </c>
      <c r="AE4446">
        <v>-0.73559000000000196</v>
      </c>
      <c r="AF4446">
        <v>0.213693342792795</v>
      </c>
      <c r="AG4446">
        <v>-1.120653770054</v>
      </c>
      <c r="AH4446">
        <v>26.826267206403699</v>
      </c>
      <c r="AI4446">
        <v>92.392035610808094</v>
      </c>
      <c r="AJ4446">
        <v>89.543601515816604</v>
      </c>
      <c r="AK4446">
        <v>26.850514742672299</v>
      </c>
      <c r="AL4446">
        <v>79.418708146317201</v>
      </c>
      <c r="AM4446">
        <v>90.796963600824</v>
      </c>
      <c r="AN4446">
        <v>1.0000000327245799</v>
      </c>
    </row>
    <row r="4447" spans="1:40" x14ac:dyDescent="0.25">
      <c r="A4447" t="str">
        <f>"20190303170628318"</f>
        <v>20190303170628318</v>
      </c>
      <c r="B4447" t="str">
        <f>"1551603988309785"</f>
        <v>1551603988309785</v>
      </c>
      <c r="C4447" t="s">
        <v>40</v>
      </c>
      <c r="D4447">
        <v>5.8736800000000002</v>
      </c>
      <c r="E4447">
        <v>0.51437189999999999</v>
      </c>
      <c r="F4447" t="s">
        <v>96</v>
      </c>
      <c r="G4447">
        <v>-366.4984</v>
      </c>
      <c r="H4447" s="1">
        <v>-2.199865E-6</v>
      </c>
      <c r="I4447">
        <v>16.54853</v>
      </c>
      <c r="J4447">
        <v>-391.7878</v>
      </c>
      <c r="K4447">
        <v>1.1202319999999999</v>
      </c>
      <c r="L4447">
        <v>17.325589999999998</v>
      </c>
      <c r="M4447">
        <v>0.99968080000000004</v>
      </c>
      <c r="N4447">
        <v>-1.382863E-2</v>
      </c>
      <c r="O4447">
        <v>-2.1150660000000002E-2</v>
      </c>
      <c r="P4447">
        <v>0.98548340000000001</v>
      </c>
      <c r="Q4447">
        <v>0.1695487</v>
      </c>
      <c r="R4447">
        <v>-8.7127599999999999E-3</v>
      </c>
      <c r="S4447">
        <v>3.0670169999999999</v>
      </c>
      <c r="T4447">
        <v>-0.13405690000000001</v>
      </c>
      <c r="U4447">
        <v>-9.393311E-2</v>
      </c>
      <c r="V4447">
        <v>-1.1737040000000001E-2</v>
      </c>
      <c r="W4447">
        <v>0.18318599999999999</v>
      </c>
      <c r="X4447">
        <v>0.9830082</v>
      </c>
      <c r="Y4447">
        <v>9.4604340000000002E-3</v>
      </c>
      <c r="Z4447">
        <v>3.5924120000000001E-4</v>
      </c>
      <c r="AA4447">
        <v>0.99995520000000004</v>
      </c>
      <c r="AB4447">
        <v>32</v>
      </c>
      <c r="AC4447">
        <v>25.289400000000001</v>
      </c>
      <c r="AD4447">
        <v>-1.1202341998649901</v>
      </c>
      <c r="AE4447">
        <v>-0.77705999999999797</v>
      </c>
      <c r="AF4447">
        <v>0.24147419138790199</v>
      </c>
      <c r="AG4447">
        <v>-1.1202341998649901</v>
      </c>
      <c r="AH4447">
        <v>25.250678732986199</v>
      </c>
      <c r="AI4447">
        <v>92.540117968173405</v>
      </c>
      <c r="AJ4447">
        <v>89.4520927363845</v>
      </c>
      <c r="AK4447">
        <v>25.2766693004465</v>
      </c>
      <c r="AL4447">
        <v>79.444609360420998</v>
      </c>
      <c r="AM4447">
        <v>90.684074560050803</v>
      </c>
      <c r="AN4447">
        <v>0.99999999498559999</v>
      </c>
    </row>
    <row r="4448" spans="1:40" x14ac:dyDescent="0.25">
      <c r="A4448" t="str">
        <f>"20190303170628341"</f>
        <v>20190303170628341</v>
      </c>
      <c r="B4448" t="str">
        <f>"1551603988329305"</f>
        <v>1551603988329305</v>
      </c>
      <c r="C4448" t="s">
        <v>40</v>
      </c>
      <c r="D4448">
        <v>5.8846059999999998</v>
      </c>
      <c r="E4448">
        <v>0.51482870000000003</v>
      </c>
      <c r="F4448" t="s">
        <v>96</v>
      </c>
      <c r="G4448">
        <v>-366.53820000000002</v>
      </c>
      <c r="H4448" s="1">
        <v>-2.204814E-6</v>
      </c>
      <c r="I4448">
        <v>16.414459999999998</v>
      </c>
      <c r="J4448">
        <v>-391.46120000000002</v>
      </c>
      <c r="K4448">
        <v>1.1198429999999999</v>
      </c>
      <c r="L4448">
        <v>17.316929999999999</v>
      </c>
      <c r="M4448">
        <v>0.99963519999999995</v>
      </c>
      <c r="N4448">
        <v>-1.382185E-2</v>
      </c>
      <c r="O4448">
        <v>-2.3204619999999999E-2</v>
      </c>
      <c r="P4448">
        <v>0.98538460000000005</v>
      </c>
      <c r="Q4448">
        <v>0.16974330000000001</v>
      </c>
      <c r="R4448">
        <v>-1.429566E-2</v>
      </c>
      <c r="S4448">
        <v>3.0665589999999998</v>
      </c>
      <c r="T4448">
        <v>-0.13605239999999999</v>
      </c>
      <c r="U4448">
        <v>-0.1106567</v>
      </c>
      <c r="V4448">
        <v>-8.0003909999999904E-3</v>
      </c>
      <c r="W4448">
        <v>0.18337400000000001</v>
      </c>
      <c r="X4448">
        <v>0.98301059999999996</v>
      </c>
      <c r="Y4448">
        <v>1.2854290000000001E-2</v>
      </c>
      <c r="Z4448">
        <v>3.3405890000000001E-4</v>
      </c>
      <c r="AA4448">
        <v>0.99991730000000001</v>
      </c>
      <c r="AB4448">
        <v>32</v>
      </c>
      <c r="AC4448">
        <v>24.922999999999998</v>
      </c>
      <c r="AD4448">
        <v>-1.119845204814</v>
      </c>
      <c r="AE4448">
        <v>-0.902469999999997</v>
      </c>
      <c r="AF4448">
        <v>0.32319132781979398</v>
      </c>
      <c r="AG4448">
        <v>-1.119845204814</v>
      </c>
      <c r="AH4448">
        <v>24.887052598649898</v>
      </c>
      <c r="AI4448">
        <v>92.576189103642704</v>
      </c>
      <c r="AJ4448">
        <v>89.255980267955806</v>
      </c>
      <c r="AK4448">
        <v>24.914331076010999</v>
      </c>
      <c r="AL4448">
        <v>79.433651504893007</v>
      </c>
      <c r="AM4448">
        <v>90.466300687163198</v>
      </c>
      <c r="AN4448">
        <v>0.99999993492225403</v>
      </c>
    </row>
    <row r="4449" spans="1:40" x14ac:dyDescent="0.25">
      <c r="A4449" t="str">
        <f>"20190303170628362"</f>
        <v>20190303170628362</v>
      </c>
      <c r="B4449" t="str">
        <f>"1551603988349802"</f>
        <v>1551603988349802</v>
      </c>
      <c r="C4449" t="s">
        <v>40</v>
      </c>
      <c r="D4449">
        <v>5.8809930000000001</v>
      </c>
      <c r="E4449">
        <v>0.51514450000000001</v>
      </c>
      <c r="F4449" t="s">
        <v>96</v>
      </c>
      <c r="G4449">
        <v>-366.26729999999998</v>
      </c>
      <c r="H4449" s="1">
        <v>-2.3639229999999999E-6</v>
      </c>
      <c r="I4449">
        <v>16.23939</v>
      </c>
      <c r="J4449">
        <v>-391.16539999999998</v>
      </c>
      <c r="K4449">
        <v>1.1194959999999901</v>
      </c>
      <c r="L4449">
        <v>17.308039999999998</v>
      </c>
      <c r="M4449">
        <v>0.99958159999999896</v>
      </c>
      <c r="N4449">
        <v>-1.381843E-2</v>
      </c>
      <c r="O4449">
        <v>-2.5414599999999999E-2</v>
      </c>
      <c r="P4449">
        <v>0.98533990000000005</v>
      </c>
      <c r="Q4449">
        <v>0.16953029999999999</v>
      </c>
      <c r="R4449">
        <v>-1.9109350000000001E-2</v>
      </c>
      <c r="S4449">
        <v>3.066071</v>
      </c>
      <c r="T4449">
        <v>-0.1362836</v>
      </c>
      <c r="U4449">
        <v>-0.131134</v>
      </c>
      <c r="V4449">
        <v>-5.2120700000000001E-3</v>
      </c>
      <c r="W4449">
        <v>0.1831546</v>
      </c>
      <c r="X4449">
        <v>0.98307029999999995</v>
      </c>
      <c r="Y4449">
        <v>1.731224E-2</v>
      </c>
      <c r="Z4449">
        <v>2.7319079999999998E-4</v>
      </c>
      <c r="AA4449">
        <v>0.99985009999999996</v>
      </c>
      <c r="AB4449">
        <v>32</v>
      </c>
      <c r="AC4449">
        <v>24.898099999999999</v>
      </c>
      <c r="AD4449">
        <v>-1.1194983639229901</v>
      </c>
      <c r="AE4449">
        <v>-1.0686499999999901</v>
      </c>
      <c r="AF4449">
        <v>0.434592158649584</v>
      </c>
      <c r="AG4449">
        <v>-1.1194983639229901</v>
      </c>
      <c r="AH4449">
        <v>24.867037213619099</v>
      </c>
      <c r="AI4449">
        <v>92.577286406676606</v>
      </c>
      <c r="AJ4449">
        <v>88.998764443539599</v>
      </c>
      <c r="AK4449">
        <v>24.896017487034001</v>
      </c>
      <c r="AL4449">
        <v>79.446439399192698</v>
      </c>
      <c r="AM4449">
        <v>90.303769542702796</v>
      </c>
      <c r="AN4449">
        <v>0.99999999395846695</v>
      </c>
    </row>
    <row r="4450" spans="1:40" x14ac:dyDescent="0.25">
      <c r="A4450" t="str">
        <f>"20190303170628382"</f>
        <v>20190303170628382</v>
      </c>
      <c r="B4450" t="str">
        <f>"1551603988369321"</f>
        <v>1551603988369321</v>
      </c>
      <c r="C4450" t="s">
        <v>40</v>
      </c>
      <c r="D4450">
        <v>5.8388439999999999</v>
      </c>
      <c r="E4450">
        <v>0.51527259999999997</v>
      </c>
      <c r="F4450" t="s">
        <v>96</v>
      </c>
      <c r="G4450">
        <v>-366.25790000000001</v>
      </c>
      <c r="H4450" s="1">
        <v>-2.3902169999999998E-6</v>
      </c>
      <c r="I4450">
        <v>16.11609</v>
      </c>
      <c r="J4450">
        <v>-390.85950000000003</v>
      </c>
      <c r="K4450">
        <v>1.119165</v>
      </c>
      <c r="L4450">
        <v>17.297879999999999</v>
      </c>
      <c r="M4450">
        <v>0.99951250000000003</v>
      </c>
      <c r="N4450">
        <v>-1.3816520000000001E-2</v>
      </c>
      <c r="O4450">
        <v>-2.8001849999999998E-2</v>
      </c>
      <c r="P4450">
        <v>0.98563049999999996</v>
      </c>
      <c r="Q4450">
        <v>0.16742650000000001</v>
      </c>
      <c r="R4450">
        <v>-2.2385760000000001E-2</v>
      </c>
      <c r="S4450">
        <v>3.0654599999999999</v>
      </c>
      <c r="T4450">
        <v>-0.1377813</v>
      </c>
      <c r="U4450">
        <v>-0.146698</v>
      </c>
      <c r="V4450">
        <v>-4.361579E-3</v>
      </c>
      <c r="W4450">
        <v>0.18105460000000001</v>
      </c>
      <c r="X4450">
        <v>0.98346339999999999</v>
      </c>
      <c r="Y4450">
        <v>1.9796609999999999E-2</v>
      </c>
      <c r="Z4450">
        <v>2.8889170000000002E-4</v>
      </c>
      <c r="AA4450">
        <v>0.99980400000000003</v>
      </c>
      <c r="AB4450">
        <v>32</v>
      </c>
      <c r="AC4450">
        <v>24.601600000000001</v>
      </c>
      <c r="AD4450">
        <v>-1.1191673902169901</v>
      </c>
      <c r="AE4450">
        <v>-1.1817899999999899</v>
      </c>
      <c r="AF4450">
        <v>0.491355988644957</v>
      </c>
      <c r="AG4450">
        <v>-1.1191673902169901</v>
      </c>
      <c r="AH4450">
        <v>24.574307422307701</v>
      </c>
      <c r="AI4450">
        <v>92.607052226421004</v>
      </c>
      <c r="AJ4450">
        <v>88.854540512233996</v>
      </c>
      <c r="AK4450">
        <v>24.6046855627336</v>
      </c>
      <c r="AL4450">
        <v>79.568806975844495</v>
      </c>
      <c r="AM4450">
        <v>90.254100386802705</v>
      </c>
      <c r="AN4450">
        <v>1.0000000253460399</v>
      </c>
    </row>
    <row r="4451" spans="1:40" x14ac:dyDescent="0.25">
      <c r="A4451" t="str">
        <f>"20190303170628406"</f>
        <v>20190303170628406</v>
      </c>
      <c r="B4451" t="str">
        <f>"1551603988399577"</f>
        <v>1551603988399577</v>
      </c>
      <c r="C4451" t="s">
        <v>40</v>
      </c>
      <c r="D4451">
        <v>5.8856289999999998</v>
      </c>
      <c r="E4451">
        <v>0.5154666</v>
      </c>
      <c r="F4451" t="s">
        <v>96</v>
      </c>
      <c r="G4451">
        <v>-367.40219999999999</v>
      </c>
      <c r="H4451" s="1">
        <v>-1.9353719999999998E-6</v>
      </c>
      <c r="I4451">
        <v>16.093429999999898</v>
      </c>
      <c r="J4451">
        <v>-390.53339999999997</v>
      </c>
      <c r="K4451">
        <v>1.118878</v>
      </c>
      <c r="L4451">
        <v>17.285710000000002</v>
      </c>
      <c r="M4451">
        <v>0.99942180000000003</v>
      </c>
      <c r="N4451">
        <v>-1.3814460000000001E-2</v>
      </c>
      <c r="O4451">
        <v>-3.106801E-2</v>
      </c>
      <c r="P4451">
        <v>0.98598869999999905</v>
      </c>
      <c r="Q4451">
        <v>0.16491810000000001</v>
      </c>
      <c r="R4451">
        <v>-2.5059330000000001E-2</v>
      </c>
      <c r="S4451">
        <v>3.0650330000000001</v>
      </c>
      <c r="T4451">
        <v>-0.14623520000000001</v>
      </c>
      <c r="U4451">
        <v>-0.1573792</v>
      </c>
      <c r="V4451">
        <v>-4.6141400000000001E-3</v>
      </c>
      <c r="W4451">
        <v>0.178555399999999</v>
      </c>
      <c r="X4451">
        <v>0.98391899999999999</v>
      </c>
      <c r="Y4451">
        <v>2.021241E-2</v>
      </c>
      <c r="Z4451">
        <v>4.2970319999999999E-4</v>
      </c>
      <c r="AA4451">
        <v>0.99979560000000001</v>
      </c>
      <c r="AB4451">
        <v>32</v>
      </c>
      <c r="AC4451">
        <v>23.1311999999999</v>
      </c>
      <c r="AD4451">
        <v>-1.118879935372</v>
      </c>
      <c r="AE4451">
        <v>-1.19228</v>
      </c>
      <c r="AF4451">
        <v>0.47189421536126702</v>
      </c>
      <c r="AG4451">
        <v>-1.118879935372</v>
      </c>
      <c r="AH4451">
        <v>23.1031645703282</v>
      </c>
      <c r="AI4451">
        <v>92.772075280079306</v>
      </c>
      <c r="AJ4451">
        <v>88.829866456775306</v>
      </c>
      <c r="AK4451">
        <v>23.135055427293398</v>
      </c>
      <c r="AL4451">
        <v>79.714372341399596</v>
      </c>
      <c r="AM4451">
        <v>90.268689607683797</v>
      </c>
      <c r="AN4451">
        <v>0.99999995985904899</v>
      </c>
    </row>
    <row r="4452" spans="1:40" x14ac:dyDescent="0.25">
      <c r="A4452" t="str">
        <f>"20190303170628428"</f>
        <v>20190303170628428</v>
      </c>
      <c r="B4452" t="str">
        <f>"1551603988419097"</f>
        <v>1551603988419097</v>
      </c>
      <c r="C4452" t="s">
        <v>40</v>
      </c>
      <c r="D4452">
        <v>5.8965589999999999</v>
      </c>
      <c r="E4452">
        <v>0.5154765</v>
      </c>
      <c r="F4452" t="s">
        <v>96</v>
      </c>
      <c r="G4452">
        <v>-368.32679999999999</v>
      </c>
      <c r="H4452" s="1">
        <v>-1.5874109999999999E-6</v>
      </c>
      <c r="I4452">
        <v>16.066859999999998</v>
      </c>
      <c r="J4452">
        <v>-390.20679999999999</v>
      </c>
      <c r="K4452">
        <v>1.118662</v>
      </c>
      <c r="L4452">
        <v>17.272279999999999</v>
      </c>
      <c r="M4452">
        <v>0.99931440000000005</v>
      </c>
      <c r="N4452">
        <v>-1.381189E-2</v>
      </c>
      <c r="O4452">
        <v>-3.4353439999999999E-2</v>
      </c>
      <c r="P4452">
        <v>0.98566620000000005</v>
      </c>
      <c r="Q4452">
        <v>0.16636770000000001</v>
      </c>
      <c r="R4452">
        <v>-2.8006639999999999E-2</v>
      </c>
      <c r="S4452">
        <v>3.0641780000000001</v>
      </c>
      <c r="T4452">
        <v>-0.1543881</v>
      </c>
      <c r="U4452">
        <v>-0.16818239999999901</v>
      </c>
      <c r="V4452">
        <v>-4.7972359999999999E-3</v>
      </c>
      <c r="W4452">
        <v>0.1800031</v>
      </c>
      <c r="X4452">
        <v>0.98365429999999998</v>
      </c>
      <c r="Y4452">
        <v>2.045657E-2</v>
      </c>
      <c r="Z4452">
        <v>5.975822E-4</v>
      </c>
      <c r="AA4452">
        <v>0.99979050000000003</v>
      </c>
      <c r="AB4452">
        <v>32</v>
      </c>
      <c r="AC4452">
        <v>21.8799999999999</v>
      </c>
      <c r="AD4452">
        <v>-1.118663587411</v>
      </c>
      <c r="AE4452">
        <v>-1.2054199999999899</v>
      </c>
      <c r="AF4452">
        <v>0.451806017793419</v>
      </c>
      <c r="AG4452">
        <v>-1.118663587411</v>
      </c>
      <c r="AH4452">
        <v>21.851550109528201</v>
      </c>
      <c r="AI4452">
        <v>92.930004344703207</v>
      </c>
      <c r="AJ4452">
        <v>88.815512404012793</v>
      </c>
      <c r="AK4452">
        <v>21.884829884847999</v>
      </c>
      <c r="AL4452">
        <v>79.630059163779805</v>
      </c>
      <c r="AM4452">
        <v>90.279426620710794</v>
      </c>
      <c r="AN4452">
        <v>0.99999995569566802</v>
      </c>
    </row>
    <row r="4453" spans="1:40" x14ac:dyDescent="0.25">
      <c r="A4453" t="str">
        <f>"20190303170628450"</f>
        <v>20190303170628450</v>
      </c>
      <c r="B4453" t="str">
        <f>"1551603988439592"</f>
        <v>1551603988439592</v>
      </c>
      <c r="C4453" t="s">
        <v>40</v>
      </c>
      <c r="D4453">
        <v>5.8709889999999998</v>
      </c>
      <c r="E4453">
        <v>0.51544699999999999</v>
      </c>
      <c r="F4453" t="s">
        <v>96</v>
      </c>
      <c r="G4453">
        <v>-367.34870000000001</v>
      </c>
      <c r="H4453" s="1">
        <v>-1.9935000000000001E-6</v>
      </c>
      <c r="I4453">
        <v>15.952220000000001</v>
      </c>
      <c r="J4453">
        <v>-389.90440000000001</v>
      </c>
      <c r="K4453">
        <v>1.118536</v>
      </c>
      <c r="L4453">
        <v>17.258790000000001</v>
      </c>
      <c r="M4453">
        <v>0.99920059999999999</v>
      </c>
      <c r="N4453">
        <v>-1.3808580000000001E-2</v>
      </c>
      <c r="O4453">
        <v>-3.7516439999999998E-2</v>
      </c>
      <c r="P4453">
        <v>0.98509559999999996</v>
      </c>
      <c r="Q4453">
        <v>0.16930429999999999</v>
      </c>
      <c r="R4453">
        <v>-3.037832E-2</v>
      </c>
      <c r="S4453">
        <v>3.063904</v>
      </c>
      <c r="T4453">
        <v>-0.149946</v>
      </c>
      <c r="U4453">
        <v>-0.17694089999999901</v>
      </c>
      <c r="V4453">
        <v>-5.4452709999999998E-3</v>
      </c>
      <c r="W4453">
        <v>0.18293519999999999</v>
      </c>
      <c r="X4453">
        <v>0.98310989999999998</v>
      </c>
      <c r="Y4453">
        <v>2.0148079999999999E-2</v>
      </c>
      <c r="Z4453">
        <v>6.8329199999999995E-4</v>
      </c>
      <c r="AA4453">
        <v>0.99979669999999998</v>
      </c>
      <c r="AB4453">
        <v>32</v>
      </c>
      <c r="AC4453">
        <v>22.555700000000002</v>
      </c>
      <c r="AD4453">
        <v>-1.1185379934999999</v>
      </c>
      <c r="AE4453">
        <v>-1.30657</v>
      </c>
      <c r="AF4453">
        <v>0.45823664510745399</v>
      </c>
      <c r="AG4453">
        <v>-1.1185379934999999</v>
      </c>
      <c r="AH4453">
        <v>22.533611821397901</v>
      </c>
      <c r="AI4453">
        <v>92.841166015137105</v>
      </c>
      <c r="AJ4453">
        <v>88.835011106217394</v>
      </c>
      <c r="AK4453">
        <v>22.5660091682882</v>
      </c>
      <c r="AL4453">
        <v>79.459226269114495</v>
      </c>
      <c r="AM4453">
        <v>90.317347893847696</v>
      </c>
      <c r="AN4453">
        <v>1.0000000069266499</v>
      </c>
    </row>
    <row r="4454" spans="1:40" x14ac:dyDescent="0.25">
      <c r="A4454" t="str">
        <f>"20190303170628471"</f>
        <v>20190303170628471</v>
      </c>
      <c r="B4454" t="str">
        <f>"1551603988459113"</f>
        <v>1551603988459113</v>
      </c>
      <c r="C4454" t="s">
        <v>40</v>
      </c>
      <c r="D4454">
        <v>5.8430499999999999</v>
      </c>
      <c r="E4454">
        <v>0.51535200000000003</v>
      </c>
      <c r="F4454" t="s">
        <v>96</v>
      </c>
      <c r="G4454">
        <v>-365.74489999999997</v>
      </c>
      <c r="H4454" s="1">
        <v>-2.6875160000000001E-6</v>
      </c>
      <c r="I4454">
        <v>15.80735</v>
      </c>
      <c r="J4454">
        <v>-389.59539999999998</v>
      </c>
      <c r="K4454">
        <v>1.1184449999999999</v>
      </c>
      <c r="L4454">
        <v>17.2439</v>
      </c>
      <c r="M4454">
        <v>0.9990713</v>
      </c>
      <c r="N4454">
        <v>-1.3804800000000001E-2</v>
      </c>
      <c r="O4454">
        <v>-4.0816810000000002E-2</v>
      </c>
      <c r="P4454">
        <v>0.98499340000000002</v>
      </c>
      <c r="Q4454">
        <v>0.1696154</v>
      </c>
      <c r="R4454">
        <v>-3.1921150000000002E-2</v>
      </c>
      <c r="S4454">
        <v>3.0640869999999998</v>
      </c>
      <c r="T4454">
        <v>-0.14186119999999999</v>
      </c>
      <c r="U4454">
        <v>-0.184082</v>
      </c>
      <c r="V4454">
        <v>-7.1085460000000003E-3</v>
      </c>
      <c r="W4454">
        <v>0.183254</v>
      </c>
      <c r="X4454">
        <v>0.98303989999999997</v>
      </c>
      <c r="Y4454">
        <v>1.916679E-2</v>
      </c>
      <c r="Z4454">
        <v>7.4742059999999895E-4</v>
      </c>
      <c r="AA4454">
        <v>0.99981600000000004</v>
      </c>
      <c r="AB4454">
        <v>32</v>
      </c>
      <c r="AC4454">
        <v>23.8505</v>
      </c>
      <c r="AD4454">
        <v>-1.1184476875159901</v>
      </c>
      <c r="AE4454">
        <v>-1.43655</v>
      </c>
      <c r="AF4454">
        <v>0.460748989045351</v>
      </c>
      <c r="AG4454">
        <v>-1.1184476875159901</v>
      </c>
      <c r="AH4454">
        <v>23.837031795929601</v>
      </c>
      <c r="AI4454">
        <v>92.685880800644995</v>
      </c>
      <c r="AJ4454">
        <v>88.892660555852601</v>
      </c>
      <c r="AK4454">
        <v>23.867704114572302</v>
      </c>
      <c r="AL4454">
        <v>79.440646237956898</v>
      </c>
      <c r="AM4454">
        <v>90.414309312803994</v>
      </c>
      <c r="AN4454">
        <v>1.0000000024671201</v>
      </c>
    </row>
    <row r="4455" spans="1:40" x14ac:dyDescent="0.25">
      <c r="A4455" t="str">
        <f>"20190303170628484"</f>
        <v>20190303170628484</v>
      </c>
      <c r="B4455" t="str">
        <f>"1551603988479608"</f>
        <v>1551603988479608</v>
      </c>
      <c r="C4455" t="s">
        <v>40</v>
      </c>
      <c r="D4455">
        <v>5.8611190000000004</v>
      </c>
      <c r="E4455">
        <v>0.515358599999999</v>
      </c>
      <c r="F4455" t="s">
        <v>96</v>
      </c>
      <c r="G4455">
        <v>-365.19839999999999</v>
      </c>
      <c r="H4455" s="1">
        <v>-2.957604E-6</v>
      </c>
      <c r="I4455">
        <v>15.741110000000001</v>
      </c>
      <c r="J4455">
        <v>-389.41399999999999</v>
      </c>
      <c r="K4455">
        <v>1.118406</v>
      </c>
      <c r="L4455">
        <v>17.234739999999999</v>
      </c>
      <c r="M4455">
        <v>0.99898980000000004</v>
      </c>
      <c r="N4455">
        <v>-1.3802419999999999E-2</v>
      </c>
      <c r="O4455">
        <v>-4.2769160000000001E-2</v>
      </c>
      <c r="P4455">
        <v>0.98502979999999996</v>
      </c>
      <c r="Q4455">
        <v>0.16936129999999999</v>
      </c>
      <c r="R4455">
        <v>-3.214653E-2</v>
      </c>
      <c r="S4455">
        <v>3.0637819999999998</v>
      </c>
      <c r="T4455">
        <v>-0.14045450000000001</v>
      </c>
      <c r="U4455">
        <v>-0.18872069999999999</v>
      </c>
      <c r="V4455">
        <v>-8.7926889999999994E-3</v>
      </c>
      <c r="W4455">
        <v>0.1830107</v>
      </c>
      <c r="X4455">
        <v>0.98307160000000005</v>
      </c>
      <c r="Y4455">
        <v>1.8728499999999999E-2</v>
      </c>
      <c r="Z4455">
        <v>8.0868909999999995E-4</v>
      </c>
      <c r="AA4455">
        <v>0.9998243</v>
      </c>
      <c r="AB4455">
        <v>32</v>
      </c>
      <c r="AC4455">
        <v>24.215599999999899</v>
      </c>
      <c r="AD4455">
        <v>-1.1184089576039999</v>
      </c>
      <c r="AE4455">
        <v>-1.49362999999999</v>
      </c>
      <c r="AF4455">
        <v>0.455515695859466</v>
      </c>
      <c r="AG4455">
        <v>-1.1184089576039999</v>
      </c>
      <c r="AH4455">
        <v>24.205887585616299</v>
      </c>
      <c r="AI4455">
        <v>92.644945461525793</v>
      </c>
      <c r="AJ4455">
        <v>88.921913249613297</v>
      </c>
      <c r="AK4455">
        <v>24.235992386389199</v>
      </c>
      <c r="AL4455">
        <v>79.454826072532597</v>
      </c>
      <c r="AM4455">
        <v>90.512445418215904</v>
      </c>
      <c r="AN4455">
        <v>0.99999999921045002</v>
      </c>
    </row>
    <row r="4456" spans="1:40" x14ac:dyDescent="0.25">
      <c r="A4456" t="str">
        <f>"20190303170628497"</f>
        <v>20190303170628497</v>
      </c>
      <c r="B4456" t="str">
        <f>"1551603988489368"</f>
        <v>1551603988489368</v>
      </c>
      <c r="C4456" t="s">
        <v>40</v>
      </c>
      <c r="D4456">
        <v>5.8211940000000002</v>
      </c>
      <c r="E4456">
        <v>0.51535329999999901</v>
      </c>
      <c r="F4456" t="s">
        <v>96</v>
      </c>
      <c r="G4456">
        <v>-365.12700000000001</v>
      </c>
      <c r="H4456" s="1">
        <v>-2.9944020000000001E-6</v>
      </c>
      <c r="I4456">
        <v>15.723879999999999</v>
      </c>
      <c r="J4456">
        <v>-389.22669999999999</v>
      </c>
      <c r="K4456">
        <v>1.1183780000000001</v>
      </c>
      <c r="L4456">
        <v>17.22476</v>
      </c>
      <c r="M4456">
        <v>0.99890109999999999</v>
      </c>
      <c r="N4456">
        <v>-1.380024E-2</v>
      </c>
      <c r="O4456">
        <v>-4.4789139999999998E-2</v>
      </c>
      <c r="P4456">
        <v>0.98497349999999995</v>
      </c>
      <c r="Q4456">
        <v>0.16959669999999999</v>
      </c>
      <c r="R4456">
        <v>-3.2624739999999999E-2</v>
      </c>
      <c r="S4456">
        <v>3.063599</v>
      </c>
      <c r="T4456">
        <v>-0.14107739999999999</v>
      </c>
      <c r="U4456">
        <v>-0.19058230000000001</v>
      </c>
      <c r="V4456">
        <v>-1.0289909999999999E-2</v>
      </c>
      <c r="W4456">
        <v>0.18325350000000001</v>
      </c>
      <c r="X4456">
        <v>0.98301179999999999</v>
      </c>
      <c r="Y4456">
        <v>1.7318670000000001E-2</v>
      </c>
      <c r="Z4456">
        <v>9.2266560000000002E-4</v>
      </c>
      <c r="AA4456">
        <v>0.99984960000000001</v>
      </c>
      <c r="AB4456">
        <v>32</v>
      </c>
      <c r="AC4456">
        <v>24.099699999999999</v>
      </c>
      <c r="AD4456">
        <v>-1.118380994402</v>
      </c>
      <c r="AE4456">
        <v>-1.50088</v>
      </c>
      <c r="AF4456">
        <v>0.41896706186357902</v>
      </c>
      <c r="AG4456">
        <v>-1.118380994402</v>
      </c>
      <c r="AH4456">
        <v>24.091058964590399</v>
      </c>
      <c r="AI4456">
        <v>92.657536614256202</v>
      </c>
      <c r="AJ4456">
        <v>89.003670830874697</v>
      </c>
      <c r="AK4456">
        <v>24.120643264285899</v>
      </c>
      <c r="AL4456">
        <v>79.440674960207005</v>
      </c>
      <c r="AM4456">
        <v>90.599735305604398</v>
      </c>
      <c r="AN4456">
        <v>0.99999996322464801</v>
      </c>
    </row>
    <row r="4457" spans="1:40" x14ac:dyDescent="0.25">
      <c r="A4457" t="str">
        <f>"20190303170628510"</f>
        <v>20190303170628510</v>
      </c>
      <c r="B4457" t="str">
        <f>"1551603988499129"</f>
        <v>1551603988499129</v>
      </c>
      <c r="C4457" t="s">
        <v>40</v>
      </c>
      <c r="D4457">
        <v>5.839054</v>
      </c>
      <c r="E4457">
        <v>0.51532230000000001</v>
      </c>
      <c r="F4457" t="s">
        <v>96</v>
      </c>
      <c r="G4457">
        <v>-364.7518</v>
      </c>
      <c r="H4457" s="1">
        <v>-3.1788189999999998E-6</v>
      </c>
      <c r="I4457">
        <v>15.684100000000001</v>
      </c>
      <c r="J4457">
        <v>-389.04640000000001</v>
      </c>
      <c r="K4457">
        <v>1.118363</v>
      </c>
      <c r="L4457">
        <v>17.214870000000001</v>
      </c>
      <c r="M4457">
        <v>0.99881240000000004</v>
      </c>
      <c r="N4457">
        <v>-1.379818E-2</v>
      </c>
      <c r="O4457">
        <v>-4.6728470000000001E-2</v>
      </c>
      <c r="P4457">
        <v>0.9848479</v>
      </c>
      <c r="Q4457">
        <v>0.17023269999999999</v>
      </c>
      <c r="R4457">
        <v>-3.3099669999999998E-2</v>
      </c>
      <c r="S4457">
        <v>3.0634459999999999</v>
      </c>
      <c r="T4457">
        <v>-0.139984</v>
      </c>
      <c r="U4457">
        <v>-0.1928406</v>
      </c>
      <c r="V4457">
        <v>-1.1707800000000001E-2</v>
      </c>
      <c r="W4457">
        <v>0.18389620000000001</v>
      </c>
      <c r="X4457">
        <v>0.98287590000000002</v>
      </c>
      <c r="Y4457">
        <v>1.611711E-2</v>
      </c>
      <c r="Z4457">
        <v>1.0072659999999999E-3</v>
      </c>
      <c r="AA4457">
        <v>0.99986960000000003</v>
      </c>
      <c r="AB4457">
        <v>32</v>
      </c>
      <c r="AC4457">
        <v>24.294599999999999</v>
      </c>
      <c r="AD4457">
        <v>-1.118366178819</v>
      </c>
      <c r="AE4457">
        <v>-1.53077</v>
      </c>
      <c r="AF4457">
        <v>0.39291070552902402</v>
      </c>
      <c r="AG4457">
        <v>-1.118366178819</v>
      </c>
      <c r="AH4457">
        <v>24.288328039053599</v>
      </c>
      <c r="AI4457">
        <v>92.636001500267099</v>
      </c>
      <c r="AJ4457">
        <v>89.073210734493102</v>
      </c>
      <c r="AK4457">
        <v>24.317236698793</v>
      </c>
      <c r="AL4457">
        <v>79.403214309080795</v>
      </c>
      <c r="AM4457">
        <v>90.682462356661304</v>
      </c>
      <c r="AN4457">
        <v>0.99999995987804402</v>
      </c>
    </row>
    <row r="4458" spans="1:40" x14ac:dyDescent="0.25">
      <c r="A4458" t="str">
        <f>"20190303170628530"</f>
        <v>20190303170628530</v>
      </c>
      <c r="B4458" t="str">
        <f>"1551603988519625"</f>
        <v>1551603988519625</v>
      </c>
      <c r="C4458" t="s">
        <v>40</v>
      </c>
      <c r="D4458">
        <v>5.7947309999999996</v>
      </c>
      <c r="E4458">
        <v>0.51523890000000006</v>
      </c>
      <c r="F4458" t="s">
        <v>96</v>
      </c>
      <c r="G4458">
        <v>-364.18709999999999</v>
      </c>
      <c r="H4458" s="1">
        <v>-3.4536310000000001E-6</v>
      </c>
      <c r="I4458">
        <v>15.63959</v>
      </c>
      <c r="J4458">
        <v>-388.76139999999998</v>
      </c>
      <c r="K4458">
        <v>1.118358</v>
      </c>
      <c r="L4458">
        <v>17.198460000000001</v>
      </c>
      <c r="M4458">
        <v>0.99866520000000003</v>
      </c>
      <c r="N4458">
        <v>-1.3795099999999999E-2</v>
      </c>
      <c r="O4458">
        <v>-4.9776260000000003E-2</v>
      </c>
      <c r="P4458">
        <v>0.98419520000000005</v>
      </c>
      <c r="Q4458">
        <v>0.17374700000000001</v>
      </c>
      <c r="R4458">
        <v>-3.4231440000000002E-2</v>
      </c>
      <c r="S4458">
        <v>3.0634160000000001</v>
      </c>
      <c r="T4458">
        <v>-0.13781640000000001</v>
      </c>
      <c r="U4458">
        <v>-0.1941223</v>
      </c>
      <c r="V4458">
        <v>-1.351756E-2</v>
      </c>
      <c r="W4458">
        <v>0.18741169999999999</v>
      </c>
      <c r="X4458">
        <v>0.98218850000000002</v>
      </c>
      <c r="Y4458">
        <v>1.348763E-2</v>
      </c>
      <c r="Z4458">
        <v>1.1520009999999999E-3</v>
      </c>
      <c r="AA4458">
        <v>0.99990840000000003</v>
      </c>
      <c r="AB4458">
        <v>32</v>
      </c>
      <c r="AC4458">
        <v>24.574299999999901</v>
      </c>
      <c r="AD4458">
        <v>-1.118361453631</v>
      </c>
      <c r="AE4458">
        <v>-1.55887</v>
      </c>
      <c r="AF4458">
        <v>0.33291744837779103</v>
      </c>
      <c r="AG4458">
        <v>-1.118361453631</v>
      </c>
      <c r="AH4458">
        <v>24.5707492004465</v>
      </c>
      <c r="AI4458">
        <v>92.605835379079295</v>
      </c>
      <c r="AJ4458">
        <v>89.223727473126601</v>
      </c>
      <c r="AK4458">
        <v>24.598440654635901</v>
      </c>
      <c r="AL4458">
        <v>79.198228297434198</v>
      </c>
      <c r="AM4458">
        <v>90.788494513146006</v>
      </c>
      <c r="AN4458">
        <v>1.0000000596287399</v>
      </c>
    </row>
    <row r="4459" spans="1:40" x14ac:dyDescent="0.25">
      <c r="A4459" t="str">
        <f>"20190303170628550"</f>
        <v>20190303170628550</v>
      </c>
      <c r="B4459" t="str">
        <f>"1551603988539145"</f>
        <v>1551603988539145</v>
      </c>
      <c r="C4459" t="s">
        <v>40</v>
      </c>
      <c r="D4459">
        <v>5.7919400000000003</v>
      </c>
      <c r="E4459">
        <v>0.51519190000000004</v>
      </c>
      <c r="F4459" t="s">
        <v>96</v>
      </c>
      <c r="G4459">
        <v>-361.7149</v>
      </c>
      <c r="H4459" s="1">
        <v>-4.6516929999999999E-6</v>
      </c>
      <c r="I4459">
        <v>15.473710000000001</v>
      </c>
      <c r="J4459">
        <v>-388.46170000000001</v>
      </c>
      <c r="K4459">
        <v>1.118368</v>
      </c>
      <c r="L4459">
        <v>17.18027</v>
      </c>
      <c r="M4459">
        <v>0.99850229999999995</v>
      </c>
      <c r="N4459">
        <v>-1.3791919999999999E-2</v>
      </c>
      <c r="O4459">
        <v>-5.2945699999999998E-2</v>
      </c>
      <c r="P4459">
        <v>0.98368169999999999</v>
      </c>
      <c r="Q4459">
        <v>0.1763101</v>
      </c>
      <c r="R4459">
        <v>-3.5849350000000002E-2</v>
      </c>
      <c r="S4459">
        <v>3.0637509999999999</v>
      </c>
      <c r="T4459">
        <v>-0.12668470000000001</v>
      </c>
      <c r="U4459">
        <v>-0.19537350000000001</v>
      </c>
      <c r="V4459">
        <v>-1.4978750000000001E-2</v>
      </c>
      <c r="W4459">
        <v>0.189975</v>
      </c>
      <c r="X4459">
        <v>0.98167470000000001</v>
      </c>
      <c r="Y4459">
        <v>1.0715239999999999E-2</v>
      </c>
      <c r="Z4459">
        <v>1.1593370000000001E-3</v>
      </c>
      <c r="AA4459">
        <v>0.99994190000000005</v>
      </c>
      <c r="AB4459">
        <v>32</v>
      </c>
      <c r="AC4459">
        <v>26.7468</v>
      </c>
      <c r="AD4459">
        <v>-1.1183726516929999</v>
      </c>
      <c r="AE4459">
        <v>-1.7065599999999901</v>
      </c>
      <c r="AF4459">
        <v>0.28740293064236</v>
      </c>
      <c r="AG4459">
        <v>-1.1183726516929999</v>
      </c>
      <c r="AH4459">
        <v>26.753057033146799</v>
      </c>
      <c r="AI4459">
        <v>92.393635047196298</v>
      </c>
      <c r="AJ4459">
        <v>89.384506170792505</v>
      </c>
      <c r="AK4459">
        <v>26.777965166371398</v>
      </c>
      <c r="AL4459">
        <v>79.048675213042202</v>
      </c>
      <c r="AM4459">
        <v>90.874172028494598</v>
      </c>
      <c r="AN4459">
        <v>1.00000004009832</v>
      </c>
    </row>
    <row r="4460" spans="1:40" x14ac:dyDescent="0.25">
      <c r="A4460" t="str">
        <f>"20190303170628564"</f>
        <v>20190303170628564</v>
      </c>
      <c r="B4460" t="str">
        <f>"1551603988549881"</f>
        <v>1551603988549881</v>
      </c>
      <c r="C4460" t="s">
        <v>40</v>
      </c>
      <c r="D4460">
        <v>5.778308</v>
      </c>
      <c r="E4460">
        <v>0.5151618</v>
      </c>
      <c r="F4460" t="s">
        <v>41</v>
      </c>
      <c r="G4460">
        <v>-359.56939999999997</v>
      </c>
      <c r="H4460" s="1">
        <v>-1.2806299999999901E-6</v>
      </c>
      <c r="I4460">
        <v>15.3014799999999</v>
      </c>
      <c r="J4460">
        <v>-388.29039999999998</v>
      </c>
      <c r="K4460">
        <v>1.118374</v>
      </c>
      <c r="L4460">
        <v>17.169589999999999</v>
      </c>
      <c r="M4460">
        <v>0.9984054</v>
      </c>
      <c r="N4460">
        <v>-1.379002E-2</v>
      </c>
      <c r="O4460">
        <v>-5.4743020000000003E-2</v>
      </c>
      <c r="P4460">
        <v>0.98365429999999998</v>
      </c>
      <c r="Q4460">
        <v>0.1763672</v>
      </c>
      <c r="R4460">
        <v>-3.6326020000000001E-2</v>
      </c>
      <c r="S4460">
        <v>3.0637509999999999</v>
      </c>
      <c r="T4460">
        <v>-0.11859260000000001</v>
      </c>
      <c r="U4460">
        <v>-0.1992188</v>
      </c>
      <c r="V4460">
        <v>-1.6273300000000001E-2</v>
      </c>
      <c r="W4460">
        <v>0.1900387</v>
      </c>
      <c r="X4460">
        <v>0.98164169999999995</v>
      </c>
      <c r="Y4460">
        <v>1.016384E-2</v>
      </c>
      <c r="Z4460">
        <v>1.093042E-3</v>
      </c>
      <c r="AA4460">
        <v>0.99994769999999999</v>
      </c>
      <c r="AB4460">
        <v>32</v>
      </c>
      <c r="AC4460">
        <v>28.721</v>
      </c>
      <c r="AD4460">
        <v>-1.11837528063</v>
      </c>
      <c r="AE4460">
        <v>-1.8681099999999999</v>
      </c>
      <c r="AF4460">
        <v>0.29244308501544403</v>
      </c>
      <c r="AG4460">
        <v>-1.11837528063</v>
      </c>
      <c r="AH4460">
        <v>28.736810550268402</v>
      </c>
      <c r="AI4460">
        <v>92.228589321312796</v>
      </c>
      <c r="AJ4460">
        <v>89.416943780204093</v>
      </c>
      <c r="AK4460">
        <v>28.760051579027401</v>
      </c>
      <c r="AL4460">
        <v>79.044957055724296</v>
      </c>
      <c r="AM4460">
        <v>90.949741652342496</v>
      </c>
      <c r="AN4460">
        <v>0.99999997748473402</v>
      </c>
    </row>
    <row r="4461" spans="1:40" x14ac:dyDescent="0.25">
      <c r="A4461" t="str">
        <f>"20190303170628585"</f>
        <v>20190303170628585</v>
      </c>
      <c r="B4461" t="str">
        <f>"1551603988569401"</f>
        <v>1551603988569401</v>
      </c>
      <c r="C4461" t="s">
        <v>40</v>
      </c>
      <c r="D4461">
        <v>5.7789699999999904</v>
      </c>
      <c r="E4461">
        <v>0.51515509999999998</v>
      </c>
      <c r="F4461" t="s">
        <v>41</v>
      </c>
      <c r="G4461">
        <v>-359.37830000000002</v>
      </c>
      <c r="H4461" s="1">
        <v>-1.353091E-6</v>
      </c>
      <c r="I4461">
        <v>15.273630000000001</v>
      </c>
      <c r="J4461">
        <v>-387.98469999999998</v>
      </c>
      <c r="K4461">
        <v>1.118398</v>
      </c>
      <c r="L4461">
        <v>17.149509999999999</v>
      </c>
      <c r="M4461">
        <v>0.99822750000000005</v>
      </c>
      <c r="N4461">
        <v>-1.3786730000000001E-2</v>
      </c>
      <c r="O4461">
        <v>-5.7895950000000002E-2</v>
      </c>
      <c r="P4461">
        <v>0.98377930000000002</v>
      </c>
      <c r="Q4461">
        <v>0.17549809999999999</v>
      </c>
      <c r="R4461">
        <v>-3.7137980000000001E-2</v>
      </c>
      <c r="S4461">
        <v>3.0636899999999998</v>
      </c>
      <c r="T4461">
        <v>-0.1185095</v>
      </c>
      <c r="U4461">
        <v>-0.2008972</v>
      </c>
      <c r="V4461">
        <v>-1.859245E-2</v>
      </c>
      <c r="W4461">
        <v>0.1891833</v>
      </c>
      <c r="X4461">
        <v>0.98176569999999996</v>
      </c>
      <c r="Y4461">
        <v>7.5560940000000002E-3</v>
      </c>
      <c r="Z4461">
        <v>1.238292E-3</v>
      </c>
      <c r="AA4461">
        <v>0.99997069999999999</v>
      </c>
      <c r="AB4461">
        <v>32</v>
      </c>
      <c r="AC4461">
        <v>28.606399999999901</v>
      </c>
      <c r="AD4461">
        <v>-1.1183993530909999</v>
      </c>
      <c r="AE4461">
        <v>-1.87588</v>
      </c>
      <c r="AF4461">
        <v>0.216052023801733</v>
      </c>
      <c r="AG4461">
        <v>-1.1183993530909999</v>
      </c>
      <c r="AH4461">
        <v>28.623459496594499</v>
      </c>
      <c r="AI4461">
        <v>92.2375059259778</v>
      </c>
      <c r="AJ4461">
        <v>89.567535362394096</v>
      </c>
      <c r="AK4461">
        <v>28.646115428503901</v>
      </c>
      <c r="AL4461">
        <v>79.094873026789998</v>
      </c>
      <c r="AM4461">
        <v>91.084924431771995</v>
      </c>
      <c r="AN4461">
        <v>0.99999994494618905</v>
      </c>
    </row>
    <row r="4462" spans="1:40" x14ac:dyDescent="0.25">
      <c r="A4462" t="str">
        <f>"20190303170628597"</f>
        <v>20190303170628597</v>
      </c>
      <c r="B4462" t="str">
        <f>"1551603988589897"</f>
        <v>1551603988589897</v>
      </c>
      <c r="C4462" t="s">
        <v>40</v>
      </c>
      <c r="D4462">
        <v>5.7618970000000003</v>
      </c>
      <c r="E4462">
        <v>0.51512219999999997</v>
      </c>
      <c r="F4462" t="s">
        <v>41</v>
      </c>
      <c r="G4462">
        <v>-359.54219999999998</v>
      </c>
      <c r="H4462" s="1">
        <v>-1.3061300000000001E-6</v>
      </c>
      <c r="I4462">
        <v>15.240410000000001</v>
      </c>
      <c r="J4462">
        <v>-387.7962</v>
      </c>
      <c r="K4462">
        <v>1.1184210000000001</v>
      </c>
      <c r="L4462">
        <v>17.13663</v>
      </c>
      <c r="M4462">
        <v>0.99811490000000003</v>
      </c>
      <c r="N4462">
        <v>-1.3784609999999999E-2</v>
      </c>
      <c r="O4462">
        <v>-5.9805530000000003E-2</v>
      </c>
      <c r="P4462">
        <v>0.98372269999999995</v>
      </c>
      <c r="Q4462">
        <v>0.175653799999999</v>
      </c>
      <c r="R4462">
        <v>-3.7891130000000002E-2</v>
      </c>
      <c r="S4462">
        <v>3.063202</v>
      </c>
      <c r="T4462">
        <v>-0.1204495</v>
      </c>
      <c r="U4462">
        <v>-0.2055969</v>
      </c>
      <c r="V4462">
        <v>-1.972894E-2</v>
      </c>
      <c r="W4462">
        <v>0.18934290000000001</v>
      </c>
      <c r="X4462">
        <v>0.98171280000000005</v>
      </c>
      <c r="Y4462">
        <v>7.1826609999999999E-3</v>
      </c>
      <c r="Z4462">
        <v>1.331189E-3</v>
      </c>
      <c r="AA4462">
        <v>0.99997329999999995</v>
      </c>
      <c r="AB4462">
        <v>32</v>
      </c>
      <c r="AC4462">
        <v>28.254000000000001</v>
      </c>
      <c r="AD4462">
        <v>-1.1184223061299901</v>
      </c>
      <c r="AE4462">
        <v>-1.89622</v>
      </c>
      <c r="AF4462">
        <v>0.20260322059629601</v>
      </c>
      <c r="AG4462">
        <v>-1.1184223061299901</v>
      </c>
      <c r="AH4462">
        <v>28.272729314573802</v>
      </c>
      <c r="AI4462">
        <v>92.265286802170493</v>
      </c>
      <c r="AJ4462">
        <v>89.589423764870503</v>
      </c>
      <c r="AK4462">
        <v>28.295567487064201</v>
      </c>
      <c r="AL4462">
        <v>79.085560839450295</v>
      </c>
      <c r="AM4462">
        <v>91.151286667531906</v>
      </c>
      <c r="AN4462">
        <v>0.999999993268886</v>
      </c>
    </row>
    <row r="4463" spans="1:40" x14ac:dyDescent="0.25">
      <c r="A4463" t="str">
        <f>"20190303170628622"</f>
        <v>20190303170628622</v>
      </c>
      <c r="B4463" t="str">
        <f>"1551603988609416"</f>
        <v>1551603988609416</v>
      </c>
      <c r="C4463" t="s">
        <v>40</v>
      </c>
      <c r="D4463">
        <v>5.722607</v>
      </c>
      <c r="E4463">
        <v>0.51520699999999997</v>
      </c>
      <c r="F4463" t="s">
        <v>41</v>
      </c>
      <c r="G4463">
        <v>-359.21409999999997</v>
      </c>
      <c r="H4463" s="1">
        <v>-1.432298E-6</v>
      </c>
      <c r="I4463">
        <v>15.18587</v>
      </c>
      <c r="J4463">
        <v>-387.45030000000003</v>
      </c>
      <c r="K4463">
        <v>1.1184689999999999</v>
      </c>
      <c r="L4463">
        <v>17.112300000000001</v>
      </c>
      <c r="M4463">
        <v>0.99790259999999997</v>
      </c>
      <c r="N4463">
        <v>-1.37807E-2</v>
      </c>
      <c r="O4463">
        <v>-6.3252099999999895E-2</v>
      </c>
      <c r="P4463">
        <v>0.98324299999999998</v>
      </c>
      <c r="Q4463">
        <v>0.1776537</v>
      </c>
      <c r="R4463">
        <v>-4.0898740000000003E-2</v>
      </c>
      <c r="S4463">
        <v>3.0630190000000002</v>
      </c>
      <c r="T4463">
        <v>-0.11985659999999999</v>
      </c>
      <c r="U4463">
        <v>-0.20904539999999999</v>
      </c>
      <c r="V4463">
        <v>-2.0105830000000002E-2</v>
      </c>
      <c r="W4463">
        <v>0.19133339999999999</v>
      </c>
      <c r="X4463">
        <v>0.98131919999999995</v>
      </c>
      <c r="Y4463">
        <v>4.8572379999999998E-3</v>
      </c>
      <c r="Z4463">
        <v>1.4688909999999999E-3</v>
      </c>
      <c r="AA4463">
        <v>0.99998710000000002</v>
      </c>
      <c r="AB4463">
        <v>32</v>
      </c>
      <c r="AC4463">
        <v>28.2362</v>
      </c>
      <c r="AD4463">
        <v>-1.1184704322979999</v>
      </c>
      <c r="AE4463">
        <v>-1.9264300000000001</v>
      </c>
      <c r="AF4463">
        <v>0.13619078953634101</v>
      </c>
      <c r="AG4463">
        <v>-1.1184704322979999</v>
      </c>
      <c r="AH4463">
        <v>28.257379069943202</v>
      </c>
      <c r="AI4463">
        <v>92.266645355062806</v>
      </c>
      <c r="AJ4463">
        <v>89.723856306329793</v>
      </c>
      <c r="AK4463">
        <v>28.2798337325654</v>
      </c>
      <c r="AL4463">
        <v>78.969390356306704</v>
      </c>
      <c r="AM4463">
        <v>91.173744536907705</v>
      </c>
      <c r="AN4463">
        <v>1.0000000433220899</v>
      </c>
    </row>
    <row r="4464" spans="1:40" x14ac:dyDescent="0.25">
      <c r="A4464" t="str">
        <f>"20190303170628639"</f>
        <v>20190303170628639</v>
      </c>
      <c r="B4464" t="str">
        <f>"1551603988629913"</f>
        <v>1551603988629913</v>
      </c>
      <c r="C4464" t="s">
        <v>40</v>
      </c>
      <c r="D4464">
        <v>5.736116</v>
      </c>
      <c r="E4464">
        <v>0.51521729999999999</v>
      </c>
      <c r="F4464" t="s">
        <v>41</v>
      </c>
      <c r="G4464">
        <v>-357.33839999999998</v>
      </c>
      <c r="H4464" s="1">
        <v>-2.1325089999999999E-6</v>
      </c>
      <c r="I4464">
        <v>14.95331</v>
      </c>
      <c r="J4464">
        <v>-387.21120000000002</v>
      </c>
      <c r="K4464">
        <v>1.11853799999999</v>
      </c>
      <c r="L4464">
        <v>17.094729999999998</v>
      </c>
      <c r="M4464">
        <v>0.99775449999999999</v>
      </c>
      <c r="N4464">
        <v>-1.377754E-2</v>
      </c>
      <c r="O4464">
        <v>-6.5546679999999996E-2</v>
      </c>
      <c r="P4464">
        <v>0.98250599999999999</v>
      </c>
      <c r="Q4464">
        <v>0.18093790000000001</v>
      </c>
      <c r="R4464">
        <v>-4.4086210000000001E-2</v>
      </c>
      <c r="S4464">
        <v>3.0625610000000001</v>
      </c>
      <c r="T4464">
        <v>-0.1137552</v>
      </c>
      <c r="U4464">
        <v>-0.21957399999999999</v>
      </c>
      <c r="V4464">
        <v>-1.9142929999999999E-2</v>
      </c>
      <c r="W4464">
        <v>0.1945973</v>
      </c>
      <c r="X4464">
        <v>0.98069640000000002</v>
      </c>
      <c r="Y4464">
        <v>5.9858300000000001E-3</v>
      </c>
      <c r="Z4464">
        <v>1.3728900000000001E-3</v>
      </c>
      <c r="AA4464">
        <v>0.99998120000000001</v>
      </c>
      <c r="AB4464">
        <v>32</v>
      </c>
      <c r="AC4464">
        <v>29.872800000000002</v>
      </c>
      <c r="AD4464">
        <v>-1.1185401325090001</v>
      </c>
      <c r="AE4464">
        <v>-2.1414199999999899</v>
      </c>
      <c r="AF4464">
        <v>0.17831678315109201</v>
      </c>
      <c r="AG4464">
        <v>-1.1185401325090001</v>
      </c>
      <c r="AH4464">
        <v>29.907206894045</v>
      </c>
      <c r="AI4464">
        <v>92.141846108691695</v>
      </c>
      <c r="AJ4464">
        <v>89.6583874227194</v>
      </c>
      <c r="AK4464">
        <v>29.928647699259599</v>
      </c>
      <c r="AL4464">
        <v>78.778799997433396</v>
      </c>
      <c r="AM4464">
        <v>91.118256196637901</v>
      </c>
      <c r="AN4464">
        <v>0.999999994954617</v>
      </c>
    </row>
    <row r="4465" spans="1:40" x14ac:dyDescent="0.25">
      <c r="A4465" t="str">
        <f>"20190303170628653"</f>
        <v>20190303170628653</v>
      </c>
      <c r="B4465" t="str">
        <f>"1551603988639673"</f>
        <v>1551603988639673</v>
      </c>
      <c r="C4465" t="s">
        <v>40</v>
      </c>
      <c r="D4465">
        <v>5.7143750000000004</v>
      </c>
      <c r="E4465">
        <v>0.51518969999999997</v>
      </c>
      <c r="F4465" t="s">
        <v>41</v>
      </c>
      <c r="G4465">
        <v>-354.12290000000002</v>
      </c>
      <c r="H4465" s="1">
        <v>-3.3880879999999999E-6</v>
      </c>
      <c r="I4465">
        <v>14.62975</v>
      </c>
      <c r="J4465">
        <v>-387.02449999999999</v>
      </c>
      <c r="K4465">
        <v>1.1185969999999901</v>
      </c>
      <c r="L4465">
        <v>17.080660000000002</v>
      </c>
      <c r="M4465">
        <v>0.9976391</v>
      </c>
      <c r="N4465">
        <v>-1.3774649999999999E-2</v>
      </c>
      <c r="O4465">
        <v>-6.7280419999999994E-2</v>
      </c>
      <c r="P4465">
        <v>0.98224370000000005</v>
      </c>
      <c r="Q4465">
        <v>0.18194299999999999</v>
      </c>
      <c r="R4465">
        <v>-4.5761179999999999E-2</v>
      </c>
      <c r="S4465">
        <v>3.0622250000000002</v>
      </c>
      <c r="T4465">
        <v>-0.103517899999999</v>
      </c>
      <c r="U4465">
        <v>-0.22811890000000001</v>
      </c>
      <c r="V4465">
        <v>-1.9182540000000001E-2</v>
      </c>
      <c r="W4465">
        <v>0.1955944</v>
      </c>
      <c r="X4465">
        <v>0.98049719999999996</v>
      </c>
      <c r="Y4465">
        <v>7.0271300000000004E-3</v>
      </c>
      <c r="Z4465">
        <v>1.1743610000000001E-3</v>
      </c>
      <c r="AA4465">
        <v>0.99997460000000005</v>
      </c>
      <c r="AB4465">
        <v>32</v>
      </c>
      <c r="AC4465">
        <v>32.901599999999902</v>
      </c>
      <c r="AD4465">
        <v>-1.11860038808799</v>
      </c>
      <c r="AE4465">
        <v>-2.4509099999999999</v>
      </c>
      <c r="AF4465">
        <v>0.23124630510830901</v>
      </c>
      <c r="AG4465">
        <v>-1.11860038808799</v>
      </c>
      <c r="AH4465">
        <v>32.954067158756601</v>
      </c>
      <c r="AI4465">
        <v>91.9440667618058</v>
      </c>
      <c r="AJ4465">
        <v>89.597948872923595</v>
      </c>
      <c r="AK4465">
        <v>32.973857584239397</v>
      </c>
      <c r="AL4465">
        <v>78.720550548718506</v>
      </c>
      <c r="AM4465">
        <v>91.120797070133804</v>
      </c>
      <c r="AN4465">
        <v>0.99999994918002399</v>
      </c>
    </row>
    <row r="4466" spans="1:40" x14ac:dyDescent="0.25">
      <c r="A4466" t="str">
        <f>"20190303170628667"</f>
        <v>20190303170628667</v>
      </c>
      <c r="B4466" t="str">
        <f>"1551603988659193"</f>
        <v>1551603988659193</v>
      </c>
      <c r="C4466" t="s">
        <v>40</v>
      </c>
      <c r="D4466">
        <v>5.7000699999999904</v>
      </c>
      <c r="E4466">
        <v>0.51515200000000005</v>
      </c>
      <c r="F4466" t="s">
        <v>41</v>
      </c>
      <c r="G4466">
        <v>-352.92430000000002</v>
      </c>
      <c r="H4466" s="1">
        <v>-3.9274709999999999E-6</v>
      </c>
      <c r="I4466">
        <v>14.487780000000001</v>
      </c>
      <c r="J4466">
        <v>-386.82650000000001</v>
      </c>
      <c r="K4466">
        <v>1.1186659999999999</v>
      </c>
      <c r="L4466">
        <v>17.06549</v>
      </c>
      <c r="M4466">
        <v>0.99751650000000003</v>
      </c>
      <c r="N4466">
        <v>-1.377139E-2</v>
      </c>
      <c r="O4466">
        <v>-6.9075520000000001E-2</v>
      </c>
      <c r="P4466">
        <v>0.98208439999999997</v>
      </c>
      <c r="Q4466">
        <v>0.18239830000000001</v>
      </c>
      <c r="R4466">
        <v>-4.7343219999999998E-2</v>
      </c>
      <c r="S4466">
        <v>3.0620120000000002</v>
      </c>
      <c r="T4466">
        <v>-0.1004442</v>
      </c>
      <c r="U4466">
        <v>-0.23281859999999999</v>
      </c>
      <c r="V4466">
        <v>-1.9390689999999999E-2</v>
      </c>
      <c r="W4466">
        <v>0.1960433</v>
      </c>
      <c r="X4466">
        <v>0.98040349999999998</v>
      </c>
      <c r="Y4466">
        <v>6.7585459999999998E-3</v>
      </c>
      <c r="Z4466">
        <v>1.150931E-3</v>
      </c>
      <c r="AA4466">
        <v>0.99997650000000005</v>
      </c>
      <c r="AB4466">
        <v>32</v>
      </c>
      <c r="AC4466">
        <v>33.902199999999901</v>
      </c>
      <c r="AD4466">
        <v>-1.1186699274709999</v>
      </c>
      <c r="AE4466">
        <v>-2.5777100000000002</v>
      </c>
      <c r="AF4466">
        <v>0.22926970594762799</v>
      </c>
      <c r="AG4466">
        <v>-1.1186699274709999</v>
      </c>
      <c r="AH4466">
        <v>33.962514667877798</v>
      </c>
      <c r="AI4466">
        <v>91.886504656835797</v>
      </c>
      <c r="AJ4466">
        <v>89.613221014123397</v>
      </c>
      <c r="AK4466">
        <v>33.981706690078298</v>
      </c>
      <c r="AL4466">
        <v>78.694323268622199</v>
      </c>
      <c r="AM4466">
        <v>91.133063952926605</v>
      </c>
      <c r="AN4466">
        <v>0.999999998572908</v>
      </c>
    </row>
    <row r="4467" spans="1:40" x14ac:dyDescent="0.25">
      <c r="A4467" t="str">
        <f>"20190303170628686"</f>
        <v>20190303170628686</v>
      </c>
      <c r="B4467" t="str">
        <f>"1551603988679689"</f>
        <v>1551603988679689</v>
      </c>
      <c r="C4467" t="s">
        <v>40</v>
      </c>
      <c r="D4467">
        <v>5.7550559999999997</v>
      </c>
      <c r="E4467">
        <v>0.51513779999999998</v>
      </c>
      <c r="F4467" t="s">
        <v>41</v>
      </c>
      <c r="G4467">
        <v>-352.19209999999998</v>
      </c>
      <c r="H4467" s="1">
        <v>-4.2598999999999997E-6</v>
      </c>
      <c r="I4467">
        <v>14.384410000000001</v>
      </c>
      <c r="J4467">
        <v>-386.55529999999999</v>
      </c>
      <c r="K4467">
        <v>1.118768</v>
      </c>
      <c r="L4467">
        <v>17.044219999999999</v>
      </c>
      <c r="M4467">
        <v>0.99735050000000003</v>
      </c>
      <c r="N4467">
        <v>-1.3766520000000001E-2</v>
      </c>
      <c r="O4467">
        <v>-7.1432590000000004E-2</v>
      </c>
      <c r="P4467">
        <v>0.98227940000000002</v>
      </c>
      <c r="Q4467">
        <v>0.18103749999999999</v>
      </c>
      <c r="R4467">
        <v>-4.8506220000000003E-2</v>
      </c>
      <c r="S4467">
        <v>3.0616759999999998</v>
      </c>
      <c r="T4467">
        <v>-9.8890420000000007E-2</v>
      </c>
      <c r="U4467">
        <v>-0.2369995</v>
      </c>
      <c r="V4467">
        <v>-2.0624469999999999E-2</v>
      </c>
      <c r="W4467">
        <v>0.19468340000000001</v>
      </c>
      <c r="X4467">
        <v>0.98064929999999995</v>
      </c>
      <c r="Y4467">
        <v>5.7619180000000004E-3</v>
      </c>
      <c r="Z4467">
        <v>1.184383E-3</v>
      </c>
      <c r="AA4467">
        <v>0.9999827</v>
      </c>
      <c r="AB4467">
        <v>32</v>
      </c>
      <c r="AC4467">
        <v>34.363199999999999</v>
      </c>
      <c r="AD4467">
        <v>-1.1187722598999901</v>
      </c>
      <c r="AE4467">
        <v>-2.6598099999999998</v>
      </c>
      <c r="AF4467">
        <v>0.19792067517775899</v>
      </c>
      <c r="AG4467">
        <v>-1.1187722598999901</v>
      </c>
      <c r="AH4467">
        <v>34.429138517409498</v>
      </c>
      <c r="AI4467">
        <v>91.861136407347203</v>
      </c>
      <c r="AJ4467">
        <v>89.670630897560301</v>
      </c>
      <c r="AK4467">
        <v>34.447879514044899</v>
      </c>
      <c r="AL4467">
        <v>78.7737709536745</v>
      </c>
      <c r="AM4467">
        <v>91.204835308774406</v>
      </c>
      <c r="AN4467">
        <v>1.0000000222944101</v>
      </c>
    </row>
    <row r="4468" spans="1:40" x14ac:dyDescent="0.25">
      <c r="A4468" t="str">
        <f>"20190303170628699"</f>
        <v>20190303170628699</v>
      </c>
      <c r="B4468" t="str">
        <f>"1551603988689449"</f>
        <v>1551603988689449</v>
      </c>
      <c r="C4468" t="s">
        <v>40</v>
      </c>
      <c r="D4468">
        <v>5.8098669999999997</v>
      </c>
      <c r="E4468">
        <v>0.51524040000000004</v>
      </c>
      <c r="F4468" t="s">
        <v>41</v>
      </c>
      <c r="G4468">
        <v>-353.4486</v>
      </c>
      <c r="H4468" s="1">
        <v>-3.711201E-6</v>
      </c>
      <c r="I4468">
        <v>14.438829999999999</v>
      </c>
      <c r="J4468">
        <v>-386.36040000000003</v>
      </c>
      <c r="K4468">
        <v>1.118841</v>
      </c>
      <c r="L4468">
        <v>17.028589999999902</v>
      </c>
      <c r="M4468">
        <v>0.99723300000000004</v>
      </c>
      <c r="N4468">
        <v>-1.3762949999999999E-2</v>
      </c>
      <c r="O4468">
        <v>-7.3057469999999999E-2</v>
      </c>
      <c r="P4468">
        <v>0.98238289999999995</v>
      </c>
      <c r="Q4468">
        <v>0.1801015</v>
      </c>
      <c r="R4468">
        <v>-4.9877699999999997E-2</v>
      </c>
      <c r="S4468">
        <v>3.0612789999999999</v>
      </c>
      <c r="T4468">
        <v>-0.10344979999999999</v>
      </c>
      <c r="U4468">
        <v>-0.2409058</v>
      </c>
      <c r="V4468">
        <v>-2.0908070000000001E-2</v>
      </c>
      <c r="W4468">
        <v>0.19374359999999999</v>
      </c>
      <c r="X4468">
        <v>0.98082939999999996</v>
      </c>
      <c r="Y4468">
        <v>5.4131960000000003E-3</v>
      </c>
      <c r="Z4468">
        <v>1.327076E-3</v>
      </c>
      <c r="AA4468">
        <v>0.9999844</v>
      </c>
      <c r="AB4468">
        <v>32</v>
      </c>
      <c r="AC4468">
        <v>32.911799999999999</v>
      </c>
      <c r="AD4468">
        <v>-1.118844711201</v>
      </c>
      <c r="AE4468">
        <v>-2.5897599999999898</v>
      </c>
      <c r="AF4468">
        <v>0.177953733763491</v>
      </c>
      <c r="AG4468">
        <v>-1.118844711201</v>
      </c>
      <c r="AH4468">
        <v>32.975179277179897</v>
      </c>
      <c r="AI4468">
        <v>91.943266596474899</v>
      </c>
      <c r="AJ4468">
        <v>89.690800804172696</v>
      </c>
      <c r="AK4468">
        <v>32.994634857523401</v>
      </c>
      <c r="AL4468">
        <v>78.828662691033799</v>
      </c>
      <c r="AM4468">
        <v>91.221173395205</v>
      </c>
      <c r="AN4468">
        <v>1.00000002091822</v>
      </c>
    </row>
    <row r="4469" spans="1:40" x14ac:dyDescent="0.25">
      <c r="A4469" t="str">
        <f>"20190303170628719"</f>
        <v>20190303170628719</v>
      </c>
      <c r="B4469" t="str">
        <f>"1551603988708972"</f>
        <v>1551603988708972</v>
      </c>
      <c r="C4469" t="s">
        <v>40</v>
      </c>
      <c r="D4469">
        <v>5.7526669999999998</v>
      </c>
      <c r="E4469">
        <v>0.5426955</v>
      </c>
      <c r="F4469" t="s">
        <v>41</v>
      </c>
      <c r="G4469">
        <v>-354.4</v>
      </c>
      <c r="H4469" s="1">
        <v>-3.3004810000000001E-6</v>
      </c>
      <c r="I4469">
        <v>14.45351</v>
      </c>
      <c r="J4469">
        <v>-386.0797</v>
      </c>
      <c r="K4469">
        <v>1.1189340000000001</v>
      </c>
      <c r="L4469">
        <v>17.00562</v>
      </c>
      <c r="M4469">
        <v>0.99706570000000005</v>
      </c>
      <c r="N4469">
        <v>-1.375821E-2</v>
      </c>
      <c r="O4469">
        <v>-7.5304839999999998E-2</v>
      </c>
      <c r="P4469">
        <v>0.9822147</v>
      </c>
      <c r="Q4469">
        <v>0.18018239999999999</v>
      </c>
      <c r="R4469">
        <v>-5.2808750000000002E-2</v>
      </c>
      <c r="S4469">
        <v>3.0609130000000002</v>
      </c>
      <c r="T4469">
        <v>-0.1071539</v>
      </c>
      <c r="U4469">
        <v>-0.24661250000000001</v>
      </c>
      <c r="V4469">
        <v>-2.0238519999999999E-2</v>
      </c>
      <c r="W4469">
        <v>0.1938105</v>
      </c>
      <c r="X4469">
        <v>0.98083019999999999</v>
      </c>
      <c r="Y4469">
        <v>5.0237830000000004E-3</v>
      </c>
      <c r="Z4469">
        <v>1.469122E-3</v>
      </c>
      <c r="AA4469">
        <v>0.99998629999999999</v>
      </c>
      <c r="AB4469">
        <v>32</v>
      </c>
      <c r="AC4469">
        <v>31.6797</v>
      </c>
      <c r="AD4469">
        <v>-1.1189373004809999</v>
      </c>
      <c r="AE4469">
        <v>-2.5521099999999901</v>
      </c>
      <c r="AF4469">
        <v>0.15880480825062501</v>
      </c>
      <c r="AG4469">
        <v>-1.1189373004809999</v>
      </c>
      <c r="AH4469">
        <v>31.742590396762701</v>
      </c>
      <c r="AI4469">
        <v>92.018834893365096</v>
      </c>
      <c r="AJ4469">
        <v>89.713357692139994</v>
      </c>
      <c r="AK4469">
        <v>31.7627027305011</v>
      </c>
      <c r="AL4469">
        <v>78.824755245874798</v>
      </c>
      <c r="AM4469">
        <v>91.182077439993293</v>
      </c>
      <c r="AN4469">
        <v>0.99999999441704002</v>
      </c>
    </row>
    <row r="4470" spans="1:40" x14ac:dyDescent="0.25">
      <c r="A4470" t="str">
        <f>"20190303170628741"</f>
        <v>20190303170628741</v>
      </c>
      <c r="B4470" t="str">
        <f>"1551603988729465"</f>
        <v>1551603988729465</v>
      </c>
      <c r="C4470" t="s">
        <v>40</v>
      </c>
      <c r="D4470">
        <v>5.7026519999999996</v>
      </c>
      <c r="E4470">
        <v>0.55324709999999999</v>
      </c>
      <c r="F4470" t="s">
        <v>42</v>
      </c>
      <c r="G4470">
        <v>-385.30919999999998</v>
      </c>
      <c r="H4470">
        <v>1.0405770000000001</v>
      </c>
      <c r="I4470">
        <v>16.889129999999899</v>
      </c>
      <c r="J4470">
        <v>-385.77870000000001</v>
      </c>
      <c r="K4470">
        <v>1.119054</v>
      </c>
      <c r="L4470">
        <v>16.980439999999899</v>
      </c>
      <c r="M4470">
        <v>0.99689139999999998</v>
      </c>
      <c r="N4470">
        <v>-1.37532E-2</v>
      </c>
      <c r="O4470">
        <v>-7.7579380000000003E-2</v>
      </c>
      <c r="P4470">
        <v>0.98169079999999997</v>
      </c>
      <c r="Q4470">
        <v>0.1817819</v>
      </c>
      <c r="R4470">
        <v>-5.6907850000000003E-2</v>
      </c>
      <c r="S4470">
        <v>3.086792</v>
      </c>
      <c r="T4470">
        <v>-0.31390439999999997</v>
      </c>
      <c r="U4470">
        <v>-0.46676640000000003</v>
      </c>
      <c r="V4470">
        <v>-1.839971E-2</v>
      </c>
      <c r="W4470">
        <v>0.19538620000000001</v>
      </c>
      <c r="X4470">
        <v>0.98055369999999997</v>
      </c>
      <c r="Y4470">
        <v>7.2226399999999996E-2</v>
      </c>
      <c r="Z4470">
        <v>2.6031470000000001E-3</v>
      </c>
      <c r="AA4470">
        <v>0.99738479999999996</v>
      </c>
      <c r="AB4470">
        <v>32</v>
      </c>
      <c r="AC4470">
        <v>0.469500000000039</v>
      </c>
      <c r="AD4470">
        <v>-7.8476999999999894E-2</v>
      </c>
      <c r="AE4470">
        <v>-9.1310000000000002E-2</v>
      </c>
      <c r="AF4470">
        <v>5.3176241335490197E-2</v>
      </c>
      <c r="AG4470">
        <v>-7.8476999999999894E-2</v>
      </c>
      <c r="AH4470">
        <v>0.462712536691544</v>
      </c>
      <c r="AI4470">
        <v>99.564107530303005</v>
      </c>
      <c r="AJ4470">
        <v>83.444166568751299</v>
      </c>
      <c r="AK4470">
        <v>0.47232324078229898</v>
      </c>
      <c r="AL4470">
        <v>78.732714088030505</v>
      </c>
      <c r="AM4470">
        <v>91.075006925871094</v>
      </c>
      <c r="AN4470">
        <v>0.99999993753110505</v>
      </c>
    </row>
    <row r="4471" spans="1:40" x14ac:dyDescent="0.25">
      <c r="A4471" t="str">
        <f>"20190303170628762"</f>
        <v>20190303170628762</v>
      </c>
      <c r="B4471" t="str">
        <f>"1551603988748984"</f>
        <v>1551603988748984</v>
      </c>
      <c r="C4471" t="s">
        <v>40</v>
      </c>
      <c r="D4471">
        <v>5.7001289999999996</v>
      </c>
      <c r="E4471">
        <v>0.55854019999999904</v>
      </c>
      <c r="F4471" t="s">
        <v>42</v>
      </c>
      <c r="G4471">
        <v>-385.04160000000002</v>
      </c>
      <c r="H4471">
        <v>1.016529</v>
      </c>
      <c r="I4471">
        <v>16.848020000000002</v>
      </c>
      <c r="J4471">
        <v>-385.47660000000002</v>
      </c>
      <c r="K4471">
        <v>1.1191770000000001</v>
      </c>
      <c r="L4471">
        <v>16.954560000000001</v>
      </c>
      <c r="M4471">
        <v>0.99672260000000001</v>
      </c>
      <c r="N4471">
        <v>-1.3747880000000001E-2</v>
      </c>
      <c r="O4471">
        <v>-7.9719129999999999E-2</v>
      </c>
      <c r="P4471">
        <v>0.98141540000000005</v>
      </c>
      <c r="Q4471">
        <v>0.18259929999999999</v>
      </c>
      <c r="R4471">
        <v>-5.9003849999999997E-2</v>
      </c>
      <c r="S4471">
        <v>3.103577</v>
      </c>
      <c r="T4471">
        <v>-0.43149140000000002</v>
      </c>
      <c r="U4471">
        <v>-0.55621339999999997</v>
      </c>
      <c r="V4471">
        <v>-1.844906E-2</v>
      </c>
      <c r="W4471">
        <v>0.19619110000000001</v>
      </c>
      <c r="X4471">
        <v>0.98039209999999999</v>
      </c>
      <c r="Y4471">
        <v>9.6974950000000004E-2</v>
      </c>
      <c r="Z4471">
        <v>2.498784E-3</v>
      </c>
      <c r="AA4471">
        <v>0.99528369999999999</v>
      </c>
      <c r="AB4471">
        <v>31</v>
      </c>
      <c r="AC4471">
        <v>0.435000000000002</v>
      </c>
      <c r="AD4471">
        <v>-0.102648</v>
      </c>
      <c r="AE4471">
        <v>-0.106539999999998</v>
      </c>
      <c r="AF4471">
        <v>6.7950211480824696E-2</v>
      </c>
      <c r="AG4471">
        <v>-0.102648</v>
      </c>
      <c r="AH4471">
        <v>0.42004370680988001</v>
      </c>
      <c r="AI4471">
        <v>103.562806704333</v>
      </c>
      <c r="AJ4471">
        <v>80.810902751133298</v>
      </c>
      <c r="AK4471">
        <v>0.43771058791725898</v>
      </c>
      <c r="AL4471">
        <v>78.685687176768894</v>
      </c>
      <c r="AM4471">
        <v>91.078067159427206</v>
      </c>
      <c r="AN4471">
        <v>0.99999999263825101</v>
      </c>
    </row>
    <row r="4472" spans="1:40" x14ac:dyDescent="0.25">
      <c r="A4472" t="str">
        <f>"20190303170628786"</f>
        <v>20190303170628786</v>
      </c>
      <c r="B4472" t="str">
        <f>"1551603988779242"</f>
        <v>1551603988779242</v>
      </c>
      <c r="C4472" t="s">
        <v>40</v>
      </c>
      <c r="D4472">
        <v>5.6707850000000004</v>
      </c>
      <c r="E4472">
        <v>0.56242389999999998</v>
      </c>
      <c r="F4472" t="s">
        <v>42</v>
      </c>
      <c r="G4472">
        <v>-384.76889999999997</v>
      </c>
      <c r="H4472">
        <v>1.001225</v>
      </c>
      <c r="I4472">
        <v>16.818379999999902</v>
      </c>
      <c r="J4472">
        <v>-385.15890000000002</v>
      </c>
      <c r="K4472">
        <v>1.119291</v>
      </c>
      <c r="L4472">
        <v>16.92679</v>
      </c>
      <c r="M4472">
        <v>0.99655179999999999</v>
      </c>
      <c r="N4472">
        <v>-1.374184E-2</v>
      </c>
      <c r="O4472">
        <v>-8.1827239999999996E-2</v>
      </c>
      <c r="P4472">
        <v>0.98172570000000003</v>
      </c>
      <c r="Q4472">
        <v>0.1809085</v>
      </c>
      <c r="R4472">
        <v>-5.9046889999999998E-2</v>
      </c>
      <c r="S4472">
        <v>3.1174930000000001</v>
      </c>
      <c r="T4472">
        <v>-0.51934990000000003</v>
      </c>
      <c r="U4472">
        <v>-0.59863279999999996</v>
      </c>
      <c r="V4472">
        <v>-2.0574720000000001E-2</v>
      </c>
      <c r="W4472">
        <v>0.1945028</v>
      </c>
      <c r="X4472">
        <v>0.98068619999999995</v>
      </c>
      <c r="Y4472">
        <v>0.1069507</v>
      </c>
      <c r="Z4472">
        <v>2.7546150000000002E-3</v>
      </c>
      <c r="AA4472">
        <v>0.99426049999999999</v>
      </c>
      <c r="AB4472">
        <v>31</v>
      </c>
      <c r="AC4472">
        <v>0.39000000000004298</v>
      </c>
      <c r="AD4472">
        <v>-0.118066</v>
      </c>
      <c r="AE4472">
        <v>-0.108410000000002</v>
      </c>
      <c r="AF4472">
        <v>7.0161810169882405E-2</v>
      </c>
      <c r="AG4472">
        <v>-0.118066</v>
      </c>
      <c r="AH4472">
        <v>0.36639315562886399</v>
      </c>
      <c r="AI4472">
        <v>107.561956545238</v>
      </c>
      <c r="AJ4472">
        <v>79.159480544812993</v>
      </c>
      <c r="AK4472">
        <v>0.39128787925770397</v>
      </c>
      <c r="AL4472">
        <v>78.784320438517497</v>
      </c>
      <c r="AM4472">
        <v>91.201884667462807</v>
      </c>
      <c r="AN4472">
        <v>1.0000000405906699</v>
      </c>
    </row>
    <row r="4473" spans="1:40" x14ac:dyDescent="0.25">
      <c r="A4473" t="str">
        <f>"20190303170628798"</f>
        <v>20190303170628798</v>
      </c>
      <c r="B4473" t="str">
        <f>"1551603988789001"</f>
        <v>1551603988789001</v>
      </c>
      <c r="C4473" t="s">
        <v>40</v>
      </c>
      <c r="D4473">
        <v>5.6551900000000002</v>
      </c>
      <c r="E4473">
        <v>0.56314189999999997</v>
      </c>
      <c r="F4473" t="s">
        <v>42</v>
      </c>
      <c r="G4473">
        <v>-384.23700000000002</v>
      </c>
      <c r="H4473">
        <v>0.9473606</v>
      </c>
      <c r="I4473">
        <v>16.74119</v>
      </c>
      <c r="J4473">
        <v>-384.96620000000001</v>
      </c>
      <c r="K4473">
        <v>1.119351</v>
      </c>
      <c r="L4473">
        <v>16.909669999999998</v>
      </c>
      <c r="M4473">
        <v>0.99645130000000004</v>
      </c>
      <c r="N4473">
        <v>-1.373834E-2</v>
      </c>
      <c r="O4473">
        <v>-8.3042599999999994E-2</v>
      </c>
      <c r="P4473">
        <v>0.9818308</v>
      </c>
      <c r="Q4473">
        <v>0.18030499999999999</v>
      </c>
      <c r="R4473">
        <v>-5.9149489999999999E-2</v>
      </c>
      <c r="S4473">
        <v>3.125397</v>
      </c>
      <c r="T4473">
        <v>-0.58278809999999903</v>
      </c>
      <c r="U4473">
        <v>-0.62850950000000005</v>
      </c>
      <c r="V4473">
        <v>-2.1715559999999998E-2</v>
      </c>
      <c r="W4473">
        <v>0.19389799999999999</v>
      </c>
      <c r="X4473">
        <v>0.98078129999999997</v>
      </c>
      <c r="Y4473">
        <v>0.1141914</v>
      </c>
      <c r="Z4473">
        <v>2.7828420000000002E-3</v>
      </c>
      <c r="AA4473">
        <v>0.99345490000000003</v>
      </c>
      <c r="AB4473">
        <v>31</v>
      </c>
      <c r="AC4473">
        <v>0.72920000000004803</v>
      </c>
      <c r="AD4473">
        <v>-0.17199039999999999</v>
      </c>
      <c r="AE4473">
        <v>-0.16848000000000199</v>
      </c>
      <c r="AF4473">
        <v>0.10195327216279799</v>
      </c>
      <c r="AG4473">
        <v>-0.17199039999999999</v>
      </c>
      <c r="AH4473">
        <v>0.70351927269174797</v>
      </c>
      <c r="AI4473">
        <v>103.6010083118</v>
      </c>
      <c r="AJ4473">
        <v>81.754161191258504</v>
      </c>
      <c r="AK4473">
        <v>0.73137851653271002</v>
      </c>
      <c r="AL4473">
        <v>78.819644751634897</v>
      </c>
      <c r="AM4473">
        <v>91.268383361525395</v>
      </c>
      <c r="AN4473">
        <v>0.99999997918990102</v>
      </c>
    </row>
    <row r="4474" spans="1:40" x14ac:dyDescent="0.25">
      <c r="A4474" t="str">
        <f>"20190303170628811"</f>
        <v>20190303170628811</v>
      </c>
      <c r="B4474" t="str">
        <f>"1551603988799737"</f>
        <v>1551603988799737</v>
      </c>
      <c r="C4474" t="s">
        <v>40</v>
      </c>
      <c r="D4474">
        <v>5.6799330000000001</v>
      </c>
      <c r="E4474">
        <v>0.56374760000000002</v>
      </c>
      <c r="F4474" t="s">
        <v>42</v>
      </c>
      <c r="G4474">
        <v>-384.22120000000001</v>
      </c>
      <c r="H4474">
        <v>0.97743279999999999</v>
      </c>
      <c r="I4474">
        <v>16.758050000000001</v>
      </c>
      <c r="J4474">
        <v>-384.80430000000001</v>
      </c>
      <c r="K4474">
        <v>1.1193959999999901</v>
      </c>
      <c r="L4474">
        <v>16.895109999999999</v>
      </c>
      <c r="M4474">
        <v>0.99636809999999998</v>
      </c>
      <c r="N4474">
        <v>-1.3735549999999999E-2</v>
      </c>
      <c r="O4474">
        <v>-8.4035769999999996E-2</v>
      </c>
      <c r="P4474">
        <v>0.98176750000000002</v>
      </c>
      <c r="Q4474">
        <v>0.1803003</v>
      </c>
      <c r="R4474">
        <v>-6.0204210000000001E-2</v>
      </c>
      <c r="S4474">
        <v>3.126617</v>
      </c>
      <c r="T4474">
        <v>-0.59542790000000001</v>
      </c>
      <c r="U4474">
        <v>-0.63540649999999999</v>
      </c>
      <c r="V4474">
        <v>-2.1664630000000001E-2</v>
      </c>
      <c r="W4474">
        <v>0.1938877</v>
      </c>
      <c r="X4474">
        <v>0.98078449999999995</v>
      </c>
      <c r="Y4474">
        <v>0.1151988</v>
      </c>
      <c r="Z4474">
        <v>2.9502479999999999E-3</v>
      </c>
      <c r="AA4474">
        <v>0.9933381</v>
      </c>
      <c r="AB4474">
        <v>31</v>
      </c>
      <c r="AC4474">
        <v>0.58310000000000095</v>
      </c>
      <c r="AD4474">
        <v>-0.14196319999999901</v>
      </c>
      <c r="AE4474">
        <v>-0.13705999999999799</v>
      </c>
      <c r="AF4474">
        <v>8.2911986794384995E-2</v>
      </c>
      <c r="AG4474">
        <v>-0.14196319999999901</v>
      </c>
      <c r="AH4474">
        <v>0.56104193516280498</v>
      </c>
      <c r="AI4474">
        <v>104.05329783067199</v>
      </c>
      <c r="AJ4474">
        <v>81.593551512617097</v>
      </c>
      <c r="AK4474">
        <v>0.58463321896694898</v>
      </c>
      <c r="AL4474">
        <v>78.820246730153698</v>
      </c>
      <c r="AM4474">
        <v>91.265405434069905</v>
      </c>
      <c r="AN4474">
        <v>1.0000000159222799</v>
      </c>
    </row>
    <row r="4475" spans="1:40" x14ac:dyDescent="0.25">
      <c r="A4475" t="str">
        <f>"20190303170628829"</f>
        <v>20190303170628829</v>
      </c>
      <c r="B4475" t="str">
        <f>"1551603988819258"</f>
        <v>1551603988819258</v>
      </c>
      <c r="C4475" t="s">
        <v>40</v>
      </c>
      <c r="D4475">
        <v>5.6621050000000004</v>
      </c>
      <c r="E4475">
        <v>0.56446890000000005</v>
      </c>
      <c r="F4475" t="s">
        <v>42</v>
      </c>
      <c r="G4475">
        <v>-383.95359999999999</v>
      </c>
      <c r="H4475">
        <v>0.95473929999999996</v>
      </c>
      <c r="I4475">
        <v>16.719819999999999</v>
      </c>
      <c r="J4475">
        <v>-384.54199999999997</v>
      </c>
      <c r="K4475">
        <v>1.1194820000000001</v>
      </c>
      <c r="L4475">
        <v>16.871310000000001</v>
      </c>
      <c r="M4475">
        <v>0.99623569999999995</v>
      </c>
      <c r="N4475">
        <v>-1.3731159999999999E-2</v>
      </c>
      <c r="O4475">
        <v>-8.5593820000000001E-2</v>
      </c>
      <c r="P4475">
        <v>0.98114570000000001</v>
      </c>
      <c r="Q4475">
        <v>0.1824848</v>
      </c>
      <c r="R4475">
        <v>-6.3660590000000003E-2</v>
      </c>
      <c r="S4475">
        <v>3.1274109999999999</v>
      </c>
      <c r="T4475">
        <v>-0.60506780000000004</v>
      </c>
      <c r="U4475">
        <v>-0.64288330000000005</v>
      </c>
      <c r="V4475">
        <v>-1.9734729999999999E-2</v>
      </c>
      <c r="W4475">
        <v>0.19605030000000001</v>
      </c>
      <c r="X4475">
        <v>0.98039529999999997</v>
      </c>
      <c r="Y4475">
        <v>0.1158647</v>
      </c>
      <c r="Z4475">
        <v>3.2307070000000002E-3</v>
      </c>
      <c r="AA4475">
        <v>0.99325969999999997</v>
      </c>
      <c r="AB4475">
        <v>31</v>
      </c>
      <c r="AC4475">
        <v>0.58839999999997805</v>
      </c>
      <c r="AD4475">
        <v>-0.16474269999999899</v>
      </c>
      <c r="AE4475">
        <v>-0.15148999999999899</v>
      </c>
      <c r="AF4475">
        <v>9.3678735768257901E-2</v>
      </c>
      <c r="AG4475">
        <v>-0.16474269999999899</v>
      </c>
      <c r="AH4475">
        <v>0.55817238175494899</v>
      </c>
      <c r="AI4475">
        <v>106.228994100316</v>
      </c>
      <c r="AJ4475">
        <v>80.472771038133502</v>
      </c>
      <c r="AK4475">
        <v>0.58946778579700299</v>
      </c>
      <c r="AL4475">
        <v>78.693914987527705</v>
      </c>
      <c r="AM4475">
        <v>91.153171641222102</v>
      </c>
      <c r="AN4475">
        <v>1.0000000619801701</v>
      </c>
    </row>
    <row r="4476" spans="1:40" x14ac:dyDescent="0.25">
      <c r="A4476" t="str">
        <f>"20190303170628852"</f>
        <v>20190303170628852</v>
      </c>
      <c r="B4476" t="str">
        <f>"1551603988839753"</f>
        <v>1551603988839753</v>
      </c>
      <c r="C4476" t="s">
        <v>40</v>
      </c>
      <c r="D4476">
        <v>5.6704910000000002</v>
      </c>
      <c r="E4476">
        <v>0.56488000000000005</v>
      </c>
      <c r="F4476" t="s">
        <v>42</v>
      </c>
      <c r="G4476">
        <v>-383.67680000000001</v>
      </c>
      <c r="H4476">
        <v>0.94954709999999998</v>
      </c>
      <c r="I4476">
        <v>16.69022</v>
      </c>
      <c r="J4476">
        <v>-384.22460000000001</v>
      </c>
      <c r="K4476">
        <v>1.1195850000000001</v>
      </c>
      <c r="L4476">
        <v>16.84198</v>
      </c>
      <c r="M4476">
        <v>0.99608070000000004</v>
      </c>
      <c r="N4476">
        <v>-1.372584E-2</v>
      </c>
      <c r="O4476">
        <v>-8.7379419999999999E-2</v>
      </c>
      <c r="P4476">
        <v>0.98038890000000001</v>
      </c>
      <c r="Q4476">
        <v>0.1845705</v>
      </c>
      <c r="R4476">
        <v>-6.9077379999999994E-2</v>
      </c>
      <c r="S4476">
        <v>3.1295169999999999</v>
      </c>
      <c r="T4476">
        <v>-0.61469719999999906</v>
      </c>
      <c r="U4476">
        <v>-0.65454100000000004</v>
      </c>
      <c r="V4476">
        <v>-1.6070190000000002E-2</v>
      </c>
      <c r="W4476">
        <v>0.1981068</v>
      </c>
      <c r="X4476">
        <v>0.98004869999999999</v>
      </c>
      <c r="Y4476">
        <v>0.1174755</v>
      </c>
      <c r="Z4476">
        <v>3.457683E-3</v>
      </c>
      <c r="AA4476">
        <v>0.9930698</v>
      </c>
      <c r="AB4476">
        <v>31</v>
      </c>
      <c r="AC4476">
        <v>0.54779999999999496</v>
      </c>
      <c r="AD4476">
        <v>-0.17003789999999999</v>
      </c>
      <c r="AE4476">
        <v>-0.15175999999999901</v>
      </c>
      <c r="AF4476">
        <v>9.4823527947847402E-2</v>
      </c>
      <c r="AG4476">
        <v>-0.17003789999999999</v>
      </c>
      <c r="AH4476">
        <v>0.51305716782837696</v>
      </c>
      <c r="AI4476">
        <v>108.050867962396</v>
      </c>
      <c r="AJ4476">
        <v>79.528721494727705</v>
      </c>
      <c r="AK4476">
        <v>0.54875499665056404</v>
      </c>
      <c r="AL4476">
        <v>78.5737284161562</v>
      </c>
      <c r="AM4476">
        <v>90.939414086673807</v>
      </c>
      <c r="AN4476">
        <v>1.0000000047922799</v>
      </c>
    </row>
    <row r="4477" spans="1:40" x14ac:dyDescent="0.25">
      <c r="A4477" t="str">
        <f>"20190303170628865"</f>
        <v>20190303170628865</v>
      </c>
      <c r="B4477" t="str">
        <f>"1551603988859273"</f>
        <v>1551603988859273</v>
      </c>
      <c r="C4477" t="s">
        <v>40</v>
      </c>
      <c r="D4477">
        <v>5.7265990000000002</v>
      </c>
      <c r="E4477">
        <v>0.5654595</v>
      </c>
      <c r="F4477" t="s">
        <v>42</v>
      </c>
      <c r="G4477">
        <v>-383.39510000000001</v>
      </c>
      <c r="H4477">
        <v>0.95520660000000002</v>
      </c>
      <c r="I4477">
        <v>16.6632</v>
      </c>
      <c r="J4477">
        <v>-384.04860000000002</v>
      </c>
      <c r="K4477">
        <v>1.119637</v>
      </c>
      <c r="L4477">
        <v>16.825559999999999</v>
      </c>
      <c r="M4477">
        <v>0.9959964</v>
      </c>
      <c r="N4477">
        <v>-1.372293E-2</v>
      </c>
      <c r="O4477">
        <v>-8.8334789999999996E-2</v>
      </c>
      <c r="P4477">
        <v>0.98025189999999995</v>
      </c>
      <c r="Q4477">
        <v>0.1847229</v>
      </c>
      <c r="R4477">
        <v>-7.0596500000000006E-2</v>
      </c>
      <c r="S4477">
        <v>3.1293030000000002</v>
      </c>
      <c r="T4477">
        <v>-0.61988529999999997</v>
      </c>
      <c r="U4477">
        <v>-0.67254639999999999</v>
      </c>
      <c r="V4477">
        <v>-1.5511270000000001E-2</v>
      </c>
      <c r="W4477">
        <v>0.19825209999999999</v>
      </c>
      <c r="X4477">
        <v>0.98002829999999996</v>
      </c>
      <c r="Y4477">
        <v>0.1219194</v>
      </c>
      <c r="Z4477">
        <v>3.2085009999999999E-3</v>
      </c>
      <c r="AA4477">
        <v>0.99253480000000005</v>
      </c>
      <c r="AB4477">
        <v>31</v>
      </c>
      <c r="AC4477">
        <v>0.65350000000000796</v>
      </c>
      <c r="AD4477">
        <v>-0.1644304</v>
      </c>
      <c r="AE4477">
        <v>-0.16235999999999901</v>
      </c>
      <c r="AF4477">
        <v>9.8140887859453796E-2</v>
      </c>
      <c r="AG4477">
        <v>-0.1644304</v>
      </c>
      <c r="AH4477">
        <v>0.62784993512158604</v>
      </c>
      <c r="AI4477">
        <v>104.507238488318</v>
      </c>
      <c r="AJ4477">
        <v>81.115836787857106</v>
      </c>
      <c r="AK4477">
        <v>0.65640272039821801</v>
      </c>
      <c r="AL4477">
        <v>78.5652346091574</v>
      </c>
      <c r="AM4477">
        <v>90.906765760124699</v>
      </c>
      <c r="AN4477">
        <v>0.99999998172615601</v>
      </c>
    </row>
    <row r="4478" spans="1:40" x14ac:dyDescent="0.25">
      <c r="A4478" t="str">
        <f>"20190303170628877"</f>
        <v>20190303170628877</v>
      </c>
      <c r="B4478" t="str">
        <f>"1551603988869033"</f>
        <v>1551603988869033</v>
      </c>
      <c r="C4478" t="s">
        <v>40</v>
      </c>
      <c r="D4478">
        <v>5.7149910000000004</v>
      </c>
      <c r="E4478">
        <v>0.56571329999999997</v>
      </c>
      <c r="F4478" t="s">
        <v>42</v>
      </c>
      <c r="G4478">
        <v>-383.1268</v>
      </c>
      <c r="H4478">
        <v>0.93466090000000002</v>
      </c>
      <c r="I4478">
        <v>16.624500000000001</v>
      </c>
      <c r="J4478">
        <v>-383.85660000000001</v>
      </c>
      <c r="K4478">
        <v>1.1196809999999999</v>
      </c>
      <c r="L4478">
        <v>16.807459999999999</v>
      </c>
      <c r="M4478">
        <v>0.9959074</v>
      </c>
      <c r="N4478">
        <v>-1.3719810000000001E-2</v>
      </c>
      <c r="O4478">
        <v>-8.9333259999999998E-2</v>
      </c>
      <c r="P4478">
        <v>0.98031279999999998</v>
      </c>
      <c r="Q4478">
        <v>0.1840321</v>
      </c>
      <c r="R4478">
        <v>-7.1548239999999999E-2</v>
      </c>
      <c r="S4478">
        <v>3.1297299999999999</v>
      </c>
      <c r="T4478">
        <v>-0.62801499999999999</v>
      </c>
      <c r="U4478">
        <v>-0.68209839999999999</v>
      </c>
      <c r="V4478">
        <v>-1.558266E-2</v>
      </c>
      <c r="W4478">
        <v>0.19755800000000001</v>
      </c>
      <c r="X4478">
        <v>0.98016729999999996</v>
      </c>
      <c r="Y4478">
        <v>0.123749</v>
      </c>
      <c r="Z4478">
        <v>3.262423E-3</v>
      </c>
      <c r="AA4478">
        <v>0.99230819999999997</v>
      </c>
      <c r="AB4478">
        <v>31</v>
      </c>
      <c r="AC4478">
        <v>0.729800000000011</v>
      </c>
      <c r="AD4478">
        <v>-0.18502009999999899</v>
      </c>
      <c r="AE4478">
        <v>-0.18295999999999699</v>
      </c>
      <c r="AF4478">
        <v>0.11035345390349401</v>
      </c>
      <c r="AG4478">
        <v>-0.18502009999999899</v>
      </c>
      <c r="AH4478">
        <v>0.70084559818421999</v>
      </c>
      <c r="AI4478">
        <v>104.616205364941</v>
      </c>
      <c r="AJ4478">
        <v>81.051812850010606</v>
      </c>
      <c r="AK4478">
        <v>0.73320861607501397</v>
      </c>
      <c r="AL4478">
        <v>78.605805807660005</v>
      </c>
      <c r="AM4478">
        <v>90.910809250936893</v>
      </c>
      <c r="AN4478">
        <v>0.99999995932298102</v>
      </c>
    </row>
    <row r="4479" spans="1:40" x14ac:dyDescent="0.25">
      <c r="A4479" t="str">
        <f>"20190303170628889"</f>
        <v>20190303170628889</v>
      </c>
      <c r="B4479" t="str">
        <f>"1551603988879769"</f>
        <v>1551603988879769</v>
      </c>
      <c r="C4479" t="s">
        <v>40</v>
      </c>
      <c r="D4479">
        <v>5.7060029999999999</v>
      </c>
      <c r="E4479">
        <v>0.56585699999999906</v>
      </c>
      <c r="F4479" t="s">
        <v>42</v>
      </c>
      <c r="G4479">
        <v>-383.10930000000002</v>
      </c>
      <c r="H4479">
        <v>0.96842539999999999</v>
      </c>
      <c r="I4479">
        <v>16.642779999999998</v>
      </c>
      <c r="J4479">
        <v>-383.69639999999998</v>
      </c>
      <c r="K4479">
        <v>1.1197280000000001</v>
      </c>
      <c r="L4479">
        <v>16.79224</v>
      </c>
      <c r="M4479">
        <v>0.99583460000000001</v>
      </c>
      <c r="N4479">
        <v>-1.3717139999999999E-2</v>
      </c>
      <c r="O4479">
        <v>-9.0142020000000003E-2</v>
      </c>
      <c r="P4479">
        <v>0.98059719999999995</v>
      </c>
      <c r="Q4479">
        <v>0.18248500000000001</v>
      </c>
      <c r="R4479">
        <v>-7.1615250000000005E-2</v>
      </c>
      <c r="S4479">
        <v>3.1288450000000001</v>
      </c>
      <c r="T4479">
        <v>-0.63319409999999998</v>
      </c>
      <c r="U4479">
        <v>-0.68878169999999905</v>
      </c>
      <c r="V4479">
        <v>-1.6366490000000001E-2</v>
      </c>
      <c r="W4479">
        <v>0.1960134</v>
      </c>
      <c r="X4479">
        <v>0.98046460000000002</v>
      </c>
      <c r="Y4479">
        <v>0.1249979</v>
      </c>
      <c r="Z4479">
        <v>3.321484E-3</v>
      </c>
      <c r="AA4479">
        <v>0.99215140000000002</v>
      </c>
      <c r="AB4479">
        <v>31</v>
      </c>
      <c r="AC4479">
        <v>0.58709999999996398</v>
      </c>
      <c r="AD4479">
        <v>-0.15130259999999901</v>
      </c>
      <c r="AE4479">
        <v>-0.14946000000000101</v>
      </c>
      <c r="AF4479">
        <v>9.0292260000469401E-2</v>
      </c>
      <c r="AG4479">
        <v>-0.15130259999999901</v>
      </c>
      <c r="AH4479">
        <v>0.56306329560824697</v>
      </c>
      <c r="AI4479">
        <v>104.859547937955</v>
      </c>
      <c r="AJ4479">
        <v>80.889669142151604</v>
      </c>
      <c r="AK4479">
        <v>0.589987664145593</v>
      </c>
      <c r="AL4479">
        <v>78.696070019947697</v>
      </c>
      <c r="AM4479">
        <v>90.956325929362606</v>
      </c>
      <c r="AN4479">
        <v>0.99999997341381897</v>
      </c>
    </row>
    <row r="4480" spans="1:40" x14ac:dyDescent="0.25">
      <c r="A4480" t="str">
        <f>"20190303170628909"</f>
        <v>20190303170628909</v>
      </c>
      <c r="B4480" t="str">
        <f>"1551603988899289"</f>
        <v>1551603988899289</v>
      </c>
      <c r="C4480" t="s">
        <v>40</v>
      </c>
      <c r="D4480">
        <v>5.7428330000000001</v>
      </c>
      <c r="E4480">
        <v>0.56618020000000002</v>
      </c>
      <c r="F4480" t="s">
        <v>42</v>
      </c>
      <c r="G4480">
        <v>-382.84300000000002</v>
      </c>
      <c r="H4480">
        <v>0.94489970000000001</v>
      </c>
      <c r="I4480">
        <v>16.603179999999998</v>
      </c>
      <c r="J4480">
        <v>-383.43169999999998</v>
      </c>
      <c r="K4480">
        <v>1.119801</v>
      </c>
      <c r="L4480">
        <v>16.766819999999999</v>
      </c>
      <c r="M4480">
        <v>0.99571790000000004</v>
      </c>
      <c r="N4480">
        <v>-1.371267E-2</v>
      </c>
      <c r="O4480">
        <v>-9.1421779999999994E-2</v>
      </c>
      <c r="P4480">
        <v>0.98084939999999998</v>
      </c>
      <c r="Q4480">
        <v>0.18088860000000001</v>
      </c>
      <c r="R4480">
        <v>-7.2207450000000006E-2</v>
      </c>
      <c r="S4480">
        <v>3.1280209999999999</v>
      </c>
      <c r="T4480">
        <v>-0.64077030000000001</v>
      </c>
      <c r="U4480">
        <v>-0.69226069999999995</v>
      </c>
      <c r="V4480">
        <v>-1.710557E-2</v>
      </c>
      <c r="W4480">
        <v>0.1944158</v>
      </c>
      <c r="X4480">
        <v>0.98077009999999998</v>
      </c>
      <c r="Y4480">
        <v>0.1248343</v>
      </c>
      <c r="Z4480">
        <v>3.6409099999999998E-3</v>
      </c>
      <c r="AA4480">
        <v>0.99217089999999997</v>
      </c>
      <c r="AB4480">
        <v>31</v>
      </c>
      <c r="AC4480">
        <v>0.58869999999996003</v>
      </c>
      <c r="AD4480">
        <v>-0.17490130000000001</v>
      </c>
      <c r="AE4480">
        <v>-0.163640000000004</v>
      </c>
      <c r="AF4480">
        <v>0.10086504879885801</v>
      </c>
      <c r="AG4480">
        <v>-0.17490130000000001</v>
      </c>
      <c r="AH4480">
        <v>0.55566675581607505</v>
      </c>
      <c r="AI4480">
        <v>107.20767159303</v>
      </c>
      <c r="AJ4480">
        <v>79.7116503985756</v>
      </c>
      <c r="AK4480">
        <v>0.59121042474744001</v>
      </c>
      <c r="AL4480">
        <v>78.789402244918506</v>
      </c>
      <c r="AM4480">
        <v>90.999191971428999</v>
      </c>
      <c r="AN4480">
        <v>1.0000000464343299</v>
      </c>
    </row>
    <row r="4481" spans="1:40" x14ac:dyDescent="0.25">
      <c r="A4481" t="str">
        <f>"20190303170628921"</f>
        <v>20190303170628921</v>
      </c>
      <c r="B4481" t="str">
        <f>"1551603988909050"</f>
        <v>1551603988909050</v>
      </c>
      <c r="C4481" t="s">
        <v>40</v>
      </c>
      <c r="D4481">
        <v>5.7469619999999999</v>
      </c>
      <c r="E4481">
        <v>0.56627309999999997</v>
      </c>
      <c r="F4481" t="s">
        <v>42</v>
      </c>
      <c r="G4481">
        <v>-382.56740000000002</v>
      </c>
      <c r="H4481">
        <v>0.93979360000000001</v>
      </c>
      <c r="I4481">
        <v>16.574149999999999</v>
      </c>
      <c r="J4481">
        <v>-383.24959999999999</v>
      </c>
      <c r="K4481">
        <v>1.1198549999999901</v>
      </c>
      <c r="L4481">
        <v>16.749210000000001</v>
      </c>
      <c r="M4481">
        <v>0.99564059999999999</v>
      </c>
      <c r="N4481">
        <v>-1.370966E-2</v>
      </c>
      <c r="O4481">
        <v>-9.2260709999999996E-2</v>
      </c>
      <c r="P4481">
        <v>0.98088719999999996</v>
      </c>
      <c r="Q4481">
        <v>0.18026410000000001</v>
      </c>
      <c r="R4481">
        <v>-7.3249529999999993E-2</v>
      </c>
      <c r="S4481">
        <v>3.1274109999999999</v>
      </c>
      <c r="T4481">
        <v>-0.65135050000000005</v>
      </c>
      <c r="U4481">
        <v>-0.6972351</v>
      </c>
      <c r="V4481">
        <v>-1.6928599999999999E-2</v>
      </c>
      <c r="W4481">
        <v>0.19378709999999999</v>
      </c>
      <c r="X4481">
        <v>0.98089749999999998</v>
      </c>
      <c r="Y4481">
        <v>0.12551470000000001</v>
      </c>
      <c r="Z4481">
        <v>3.818363E-3</v>
      </c>
      <c r="AA4481">
        <v>0.99208439999999998</v>
      </c>
      <c r="AB4481">
        <v>31</v>
      </c>
      <c r="AC4481">
        <v>0.68219999999996594</v>
      </c>
      <c r="AD4481">
        <v>-0.18006139999999901</v>
      </c>
      <c r="AE4481">
        <v>-0.17506000000000099</v>
      </c>
      <c r="AF4481">
        <v>0.10453450946960501</v>
      </c>
      <c r="AG4481">
        <v>-0.18006139999999901</v>
      </c>
      <c r="AH4481">
        <v>0.65277604160017699</v>
      </c>
      <c r="AI4481">
        <v>105.23602239552299</v>
      </c>
      <c r="AJ4481">
        <v>80.901991563403698</v>
      </c>
      <c r="AK4481">
        <v>0.68517598609934305</v>
      </c>
      <c r="AL4481">
        <v>78.826121504864503</v>
      </c>
      <c r="AM4481">
        <v>90.988728233351694</v>
      </c>
      <c r="AN4481">
        <v>0.99999996156530901</v>
      </c>
    </row>
    <row r="4482" spans="1:40" x14ac:dyDescent="0.25">
      <c r="A4482" t="str">
        <f>"20190303170628936"</f>
        <v>20190303170628936</v>
      </c>
      <c r="B4482" t="str">
        <f>"1551603988929546"</f>
        <v>1551603988929546</v>
      </c>
      <c r="C4482" t="s">
        <v>40</v>
      </c>
      <c r="D4482">
        <v>5.7299069999999999</v>
      </c>
      <c r="E4482">
        <v>0.56647579999999997</v>
      </c>
      <c r="F4482" t="s">
        <v>42</v>
      </c>
      <c r="G4482">
        <v>-382.54989999999998</v>
      </c>
      <c r="H4482">
        <v>0.97303079999999997</v>
      </c>
      <c r="I4482">
        <v>16.59273</v>
      </c>
      <c r="J4482">
        <v>-383.05689999999998</v>
      </c>
      <c r="K4482">
        <v>1.1199190000000001</v>
      </c>
      <c r="L4482">
        <v>16.73047</v>
      </c>
      <c r="M4482">
        <v>0.99556339999999999</v>
      </c>
      <c r="N4482">
        <v>-1.3706390000000001E-2</v>
      </c>
      <c r="O4482">
        <v>-9.3090439999999997E-2</v>
      </c>
      <c r="P4482">
        <v>0.98076169999999996</v>
      </c>
      <c r="Q4482">
        <v>0.1804326</v>
      </c>
      <c r="R4482">
        <v>-7.4504730000000005E-2</v>
      </c>
      <c r="S4482">
        <v>3.1268009999999999</v>
      </c>
      <c r="T4482">
        <v>-0.65611399999999998</v>
      </c>
      <c r="U4482">
        <v>-0.69937130000000003</v>
      </c>
      <c r="V4482">
        <v>-1.651646E-2</v>
      </c>
      <c r="W4482">
        <v>0.1939485</v>
      </c>
      <c r="X4482">
        <v>0.98087270000000004</v>
      </c>
      <c r="Y4482">
        <v>0.12537960000000001</v>
      </c>
      <c r="Z4482">
        <v>4.0344040000000001E-3</v>
      </c>
      <c r="AA4482">
        <v>0.99210069999999995</v>
      </c>
      <c r="AB4482">
        <v>31</v>
      </c>
      <c r="AC4482">
        <v>0.507000000000005</v>
      </c>
      <c r="AD4482">
        <v>-0.1468882</v>
      </c>
      <c r="AE4482">
        <v>-0.13774</v>
      </c>
      <c r="AF4482">
        <v>8.34197056311234E-2</v>
      </c>
      <c r="AG4482">
        <v>-0.1468882</v>
      </c>
      <c r="AH4482">
        <v>0.48009336924580298</v>
      </c>
      <c r="AI4482">
        <v>106.774955878597</v>
      </c>
      <c r="AJ4482">
        <v>80.142857299504797</v>
      </c>
      <c r="AK4482">
        <v>0.50894462742091096</v>
      </c>
      <c r="AL4482">
        <v>78.816695944075903</v>
      </c>
      <c r="AM4482">
        <v>90.964685862596696</v>
      </c>
      <c r="AN4482">
        <v>1.0000000338542301</v>
      </c>
    </row>
    <row r="4483" spans="1:40" x14ac:dyDescent="0.25">
      <c r="A4483" t="str">
        <f>"20190303170628952"</f>
        <v>20190303170628952</v>
      </c>
      <c r="B4483" t="str">
        <f>"1551603988939305"</f>
        <v>1551603988939305</v>
      </c>
      <c r="C4483" t="s">
        <v>40</v>
      </c>
      <c r="D4483">
        <v>5.7481159999999996</v>
      </c>
      <c r="E4483">
        <v>0.56647650000000005</v>
      </c>
      <c r="F4483" t="s">
        <v>42</v>
      </c>
      <c r="G4483">
        <v>-382.28100000000001</v>
      </c>
      <c r="H4483">
        <v>0.95595929999999996</v>
      </c>
      <c r="I4483">
        <v>16.555720000000001</v>
      </c>
      <c r="J4483">
        <v>-382.8193</v>
      </c>
      <c r="K4483">
        <v>1.1200049999999999</v>
      </c>
      <c r="L4483">
        <v>16.707149999999999</v>
      </c>
      <c r="M4483">
        <v>0.99547359999999896</v>
      </c>
      <c r="N4483">
        <v>-1.370239E-2</v>
      </c>
      <c r="O4483">
        <v>-9.4047019999999995E-2</v>
      </c>
      <c r="P4483">
        <v>0.98058029999999996</v>
      </c>
      <c r="Q4483">
        <v>0.1810127</v>
      </c>
      <c r="R4483">
        <v>-7.5478589999999998E-2</v>
      </c>
      <c r="S4483">
        <v>3.1269840000000002</v>
      </c>
      <c r="T4483">
        <v>-0.66072299999999995</v>
      </c>
      <c r="U4483">
        <v>-0.70315550000000004</v>
      </c>
      <c r="V4483">
        <v>-1.6514089999999999E-2</v>
      </c>
      <c r="W4483">
        <v>0.19451869999999999</v>
      </c>
      <c r="X4483">
        <v>0.98075979999999996</v>
      </c>
      <c r="Y4483">
        <v>0.1255588</v>
      </c>
      <c r="Z4483">
        <v>4.2393220000000002E-3</v>
      </c>
      <c r="AA4483">
        <v>0.99207710000000005</v>
      </c>
      <c r="AB4483">
        <v>31</v>
      </c>
      <c r="AC4483">
        <v>0.53829999999999201</v>
      </c>
      <c r="AD4483">
        <v>-0.16404569999999899</v>
      </c>
      <c r="AE4483">
        <v>-0.15142999999999701</v>
      </c>
      <c r="AF4483">
        <v>9.2194152437363702E-2</v>
      </c>
      <c r="AG4483">
        <v>-0.16404569999999899</v>
      </c>
      <c r="AH4483">
        <v>0.50656152918487896</v>
      </c>
      <c r="AI4483">
        <v>107.672285603018</v>
      </c>
      <c r="AJ4483">
        <v>79.685074819176805</v>
      </c>
      <c r="AK4483">
        <v>0.54038443378973899</v>
      </c>
      <c r="AL4483">
        <v>78.7833913785379</v>
      </c>
      <c r="AM4483">
        <v>90.964658475610506</v>
      </c>
      <c r="AN4483">
        <v>1.00000001255712</v>
      </c>
    </row>
    <row r="4484" spans="1:40" x14ac:dyDescent="0.25">
      <c r="A4484" t="str">
        <f>"20190303170628967"</f>
        <v>20190303170628967</v>
      </c>
      <c r="B4484" t="str">
        <f>"1551603988959801"</f>
        <v>1551603988959801</v>
      </c>
      <c r="C4484" t="s">
        <v>40</v>
      </c>
      <c r="D4484">
        <v>5.7545019999999996</v>
      </c>
      <c r="E4484">
        <v>0.56657460000000004</v>
      </c>
      <c r="F4484" t="s">
        <v>42</v>
      </c>
      <c r="G4484">
        <v>-382.00729999999999</v>
      </c>
      <c r="H4484">
        <v>0.94825839999999995</v>
      </c>
      <c r="I4484">
        <v>16.524079999999898</v>
      </c>
      <c r="J4484">
        <v>-382.6232</v>
      </c>
      <c r="K4484">
        <v>1.1200829999999999</v>
      </c>
      <c r="L4484">
        <v>16.687839999999898</v>
      </c>
      <c r="M4484">
        <v>0.99540450000000003</v>
      </c>
      <c r="N4484">
        <v>-1.369911E-2</v>
      </c>
      <c r="O4484">
        <v>-9.4775520000000002E-2</v>
      </c>
      <c r="P4484">
        <v>0.98051580000000005</v>
      </c>
      <c r="Q4484">
        <v>0.18120729999999999</v>
      </c>
      <c r="R4484">
        <v>-7.5848849999999995E-2</v>
      </c>
      <c r="S4484">
        <v>3.1272890000000002</v>
      </c>
      <c r="T4484">
        <v>-0.66144510000000001</v>
      </c>
      <c r="U4484">
        <v>-0.70480350000000003</v>
      </c>
      <c r="V4484">
        <v>-1.6895529999999999E-2</v>
      </c>
      <c r="W4484">
        <v>0.19470760000000001</v>
      </c>
      <c r="X4484">
        <v>0.98071580000000003</v>
      </c>
      <c r="Y4484">
        <v>0.12532660000000001</v>
      </c>
      <c r="Z4484">
        <v>4.4106830000000003E-3</v>
      </c>
      <c r="AA4484">
        <v>0.99210569999999998</v>
      </c>
      <c r="AB4484">
        <v>31</v>
      </c>
      <c r="AC4484">
        <v>0.61590000000001</v>
      </c>
      <c r="AD4484">
        <v>-0.17182459999999899</v>
      </c>
      <c r="AE4484">
        <v>-0.16375999999999899</v>
      </c>
      <c r="AF4484">
        <v>9.7553677840364006E-2</v>
      </c>
      <c r="AG4484">
        <v>-0.17182459999999899</v>
      </c>
      <c r="AH4484">
        <v>0.58604823552920504</v>
      </c>
      <c r="AI4484">
        <v>106.13052456194001</v>
      </c>
      <c r="AJ4484">
        <v>80.549190851040194</v>
      </c>
      <c r="AK4484">
        <v>0.61846014228261803</v>
      </c>
      <c r="AL4484">
        <v>78.7723570273901</v>
      </c>
      <c r="AM4484">
        <v>90.986979926769607</v>
      </c>
      <c r="AN4484">
        <v>0.99999999440068998</v>
      </c>
    </row>
    <row r="4485" spans="1:40" x14ac:dyDescent="0.25">
      <c r="A4485" t="str">
        <f>"20190303170628986"</f>
        <v>20190303170628986</v>
      </c>
      <c r="B4485" t="str">
        <f>"1551603988979321"</f>
        <v>1551603988979321</v>
      </c>
      <c r="C4485" t="s">
        <v>40</v>
      </c>
      <c r="D4485">
        <v>5.7251699999999897</v>
      </c>
      <c r="E4485">
        <v>0.56672029999999995</v>
      </c>
      <c r="F4485" t="s">
        <v>42</v>
      </c>
      <c r="G4485">
        <v>-381.73809999999997</v>
      </c>
      <c r="H4485">
        <v>0.93214929999999996</v>
      </c>
      <c r="I4485">
        <v>16.487660000000002</v>
      </c>
      <c r="J4485">
        <v>-382.35309999999998</v>
      </c>
      <c r="K4485">
        <v>1.120204</v>
      </c>
      <c r="L4485">
        <v>16.661069999999999</v>
      </c>
      <c r="M4485">
        <v>0.99531879999999995</v>
      </c>
      <c r="N4485">
        <v>-1.3694639999999999E-2</v>
      </c>
      <c r="O4485">
        <v>-9.5671149999999996E-2</v>
      </c>
      <c r="P4485">
        <v>0.98074470000000002</v>
      </c>
      <c r="Q4485">
        <v>0.17999109999999999</v>
      </c>
      <c r="R4485">
        <v>-7.5784290000000004E-2</v>
      </c>
      <c r="S4485">
        <v>3.1276549999999999</v>
      </c>
      <c r="T4485">
        <v>-0.66410040000000004</v>
      </c>
      <c r="U4485">
        <v>-0.70672609999999902</v>
      </c>
      <c r="V4485">
        <v>-1.792359E-2</v>
      </c>
      <c r="W4485">
        <v>0.19348770000000001</v>
      </c>
      <c r="X4485">
        <v>0.98093900000000001</v>
      </c>
      <c r="Y4485">
        <v>0.1250068</v>
      </c>
      <c r="Z4485">
        <v>4.6434650000000003E-3</v>
      </c>
      <c r="AA4485">
        <v>0.99214500000000005</v>
      </c>
      <c r="AB4485">
        <v>31</v>
      </c>
      <c r="AC4485">
        <v>0.61500000000000898</v>
      </c>
      <c r="AD4485">
        <v>-0.18805469999999899</v>
      </c>
      <c r="AE4485">
        <v>-0.17341000000000001</v>
      </c>
      <c r="AF4485">
        <v>0.10470234710718999</v>
      </c>
      <c r="AG4485">
        <v>-0.18805469999999899</v>
      </c>
      <c r="AH4485">
        <v>0.57865052278024198</v>
      </c>
      <c r="AI4485">
        <v>107.734041292545</v>
      </c>
      <c r="AJ4485">
        <v>79.743740341697105</v>
      </c>
      <c r="AK4485">
        <v>0.61738446627340104</v>
      </c>
      <c r="AL4485">
        <v>78.843607615336794</v>
      </c>
      <c r="AM4485">
        <v>91.046784558247893</v>
      </c>
      <c r="AN4485">
        <v>1.00000003342538</v>
      </c>
    </row>
    <row r="4486" spans="1:40" x14ac:dyDescent="0.25">
      <c r="A4486" t="str">
        <f>"20190303170628997"</f>
        <v>20190303170628997</v>
      </c>
      <c r="B4486" t="str">
        <f>"1551603988989081"</f>
        <v>1551603988989081</v>
      </c>
      <c r="C4486" t="s">
        <v>40</v>
      </c>
      <c r="D4486">
        <v>5.7332539999999996</v>
      </c>
      <c r="E4486">
        <v>0.56675609999999998</v>
      </c>
      <c r="F4486" t="s">
        <v>42</v>
      </c>
      <c r="G4486">
        <v>-381.4624</v>
      </c>
      <c r="H4486">
        <v>0.92925679999999999</v>
      </c>
      <c r="I4486">
        <v>16.45909</v>
      </c>
      <c r="J4486">
        <v>-382.18110000000001</v>
      </c>
      <c r="K4486">
        <v>1.1202780000000001</v>
      </c>
      <c r="L4486">
        <v>16.64395</v>
      </c>
      <c r="M4486">
        <v>0.99526979999999998</v>
      </c>
      <c r="N4486">
        <v>-1.369184E-2</v>
      </c>
      <c r="O4486">
        <v>-9.6181080000000002E-2</v>
      </c>
      <c r="P4486">
        <v>0.98077570000000003</v>
      </c>
      <c r="Q4486">
        <v>0.1797262</v>
      </c>
      <c r="R4486">
        <v>-7.601231E-2</v>
      </c>
      <c r="S4486">
        <v>3.1271360000000001</v>
      </c>
      <c r="T4486">
        <v>-0.6703057</v>
      </c>
      <c r="U4486">
        <v>-0.70864869999999902</v>
      </c>
      <c r="V4486">
        <v>-1.8238440000000002E-2</v>
      </c>
      <c r="W4486">
        <v>0.19321820000000001</v>
      </c>
      <c r="X4486">
        <v>0.98098629999999998</v>
      </c>
      <c r="Y4486">
        <v>0.12510569999999999</v>
      </c>
      <c r="Z4486">
        <v>4.7946229999999996E-3</v>
      </c>
      <c r="AA4486">
        <v>0.99213180000000001</v>
      </c>
      <c r="AB4486">
        <v>31</v>
      </c>
      <c r="AC4486">
        <v>0.718700000000012</v>
      </c>
      <c r="AD4486">
        <v>-0.1910212</v>
      </c>
      <c r="AE4486">
        <v>-0.18486</v>
      </c>
      <c r="AF4486">
        <v>0.10773271060164499</v>
      </c>
      <c r="AG4486">
        <v>-0.1910212</v>
      </c>
      <c r="AH4486">
        <v>0.68758995845737403</v>
      </c>
      <c r="AI4486">
        <v>105.34770476094999</v>
      </c>
      <c r="AJ4486">
        <v>81.095201642773901</v>
      </c>
      <c r="AK4486">
        <v>0.72171697136372703</v>
      </c>
      <c r="AL4486">
        <v>78.859345635204804</v>
      </c>
      <c r="AM4486">
        <v>91.065117075050495</v>
      </c>
      <c r="AN4486">
        <v>1.00000001714628</v>
      </c>
    </row>
    <row r="4487" spans="1:40" x14ac:dyDescent="0.25">
      <c r="A4487" t="str">
        <f>"20190303170629011"</f>
        <v>20190303170629011</v>
      </c>
      <c r="B4487" t="str">
        <f>"1551603988999818"</f>
        <v>1551603988999818</v>
      </c>
      <c r="C4487" t="s">
        <v>40</v>
      </c>
      <c r="D4487">
        <v>5.7764550000000003</v>
      </c>
      <c r="E4487">
        <v>0.56681219999999999</v>
      </c>
      <c r="F4487" t="s">
        <v>42</v>
      </c>
      <c r="G4487">
        <v>-381.44529999999997</v>
      </c>
      <c r="H4487">
        <v>0.96216650000000004</v>
      </c>
      <c r="I4487">
        <v>16.47672</v>
      </c>
      <c r="J4487">
        <v>-382.01429999999999</v>
      </c>
      <c r="K4487">
        <v>1.1203399999999999</v>
      </c>
      <c r="L4487">
        <v>16.627289999999999</v>
      </c>
      <c r="M4487">
        <v>0.99522600000000006</v>
      </c>
      <c r="N4487">
        <v>-1.368929E-2</v>
      </c>
      <c r="O4487">
        <v>-9.6633919999999998E-2</v>
      </c>
      <c r="P4487">
        <v>0.98076839999999998</v>
      </c>
      <c r="Q4487">
        <v>0.17959600000000001</v>
      </c>
      <c r="R4487">
        <v>-7.6414190000000007E-2</v>
      </c>
      <c r="S4487">
        <v>3.126862</v>
      </c>
      <c r="T4487">
        <v>-0.67189739999999998</v>
      </c>
      <c r="U4487">
        <v>-0.71017459999999999</v>
      </c>
      <c r="V4487">
        <v>-1.831752E-2</v>
      </c>
      <c r="W4487">
        <v>0.193083</v>
      </c>
      <c r="X4487">
        <v>0.98101150000000004</v>
      </c>
      <c r="Y4487">
        <v>0.12513740000000001</v>
      </c>
      <c r="Z4487">
        <v>4.8958860000000003E-3</v>
      </c>
      <c r="AA4487">
        <v>0.99212739999999999</v>
      </c>
      <c r="AB4487">
        <v>31</v>
      </c>
      <c r="AC4487">
        <v>0.56900000000001605</v>
      </c>
      <c r="AD4487">
        <v>-0.158173499999999</v>
      </c>
      <c r="AE4487">
        <v>-0.15056999999999801</v>
      </c>
      <c r="AF4487">
        <v>8.8485085445306894E-2</v>
      </c>
      <c r="AG4487">
        <v>-0.158173499999999</v>
      </c>
      <c r="AH4487">
        <v>0.54176276043438099</v>
      </c>
      <c r="AI4487">
        <v>106.07395835893399</v>
      </c>
      <c r="AJ4487">
        <v>80.723893522992299</v>
      </c>
      <c r="AK4487">
        <v>0.57127520079379801</v>
      </c>
      <c r="AL4487">
        <v>78.867241288826506</v>
      </c>
      <c r="AM4487">
        <v>91.069706769598696</v>
      </c>
      <c r="AN4487">
        <v>1.0000000697800899</v>
      </c>
    </row>
    <row r="4488" spans="1:40" x14ac:dyDescent="0.25">
      <c r="A4488" t="str">
        <f>"20190303170629024"</f>
        <v>20190303170629024</v>
      </c>
      <c r="B4488" t="str">
        <f>"1551603989019337"</f>
        <v>1551603989019337</v>
      </c>
      <c r="C4488" t="s">
        <v>40</v>
      </c>
      <c r="D4488">
        <v>5.8451199999999996</v>
      </c>
      <c r="E4488">
        <v>0.53964069999999997</v>
      </c>
      <c r="F4488" t="s">
        <v>42</v>
      </c>
      <c r="G4488">
        <v>-381.1798</v>
      </c>
      <c r="H4488">
        <v>0.94060290000000002</v>
      </c>
      <c r="I4488">
        <v>16.43683</v>
      </c>
      <c r="J4488">
        <v>-381.83510000000001</v>
      </c>
      <c r="K4488">
        <v>1.120411</v>
      </c>
      <c r="L4488">
        <v>16.60941</v>
      </c>
      <c r="M4488">
        <v>0.99518130000000005</v>
      </c>
      <c r="N4488">
        <v>-1.368669E-2</v>
      </c>
      <c r="O4488">
        <v>-9.7091849999999993E-2</v>
      </c>
      <c r="P4488">
        <v>0.98066719999999996</v>
      </c>
      <c r="Q4488">
        <v>0.18001800000000001</v>
      </c>
      <c r="R4488">
        <v>-7.671538E-2</v>
      </c>
      <c r="S4488">
        <v>3.1266479999999999</v>
      </c>
      <c r="T4488">
        <v>-0.67343059999999999</v>
      </c>
      <c r="U4488">
        <v>-0.71206669999999905</v>
      </c>
      <c r="V4488">
        <v>-1.8491859999999999E-2</v>
      </c>
      <c r="W4488">
        <v>0.19349849999999999</v>
      </c>
      <c r="X4488">
        <v>0.98092630000000003</v>
      </c>
      <c r="Y4488">
        <v>0.1252684</v>
      </c>
      <c r="Z4488">
        <v>4.9865830000000002E-3</v>
      </c>
      <c r="AA4488">
        <v>0.99211039999999995</v>
      </c>
      <c r="AB4488">
        <v>31</v>
      </c>
      <c r="AC4488">
        <v>0.65530000000001098</v>
      </c>
      <c r="AD4488">
        <v>-0.1798081</v>
      </c>
      <c r="AE4488">
        <v>-0.17257999999999901</v>
      </c>
      <c r="AF4488">
        <v>0.10102161779886699</v>
      </c>
      <c r="AG4488">
        <v>-0.1798081</v>
      </c>
      <c r="AH4488">
        <v>0.62495965848009005</v>
      </c>
      <c r="AI4488">
        <v>105.855861313308</v>
      </c>
      <c r="AJ4488">
        <v>80.817846558298498</v>
      </c>
      <c r="AK4488">
        <v>0.658111612734391</v>
      </c>
      <c r="AL4488">
        <v>78.842976661742199</v>
      </c>
      <c r="AM4488">
        <v>91.079979252661502</v>
      </c>
      <c r="AN4488">
        <v>1.0000000122100901</v>
      </c>
    </row>
    <row r="4489" spans="1:40" x14ac:dyDescent="0.25">
      <c r="A4489" t="str">
        <f>"20190303170629040"</f>
        <v>20190303170629040</v>
      </c>
      <c r="B4489" t="str">
        <f>"1551603989029097"</f>
        <v>1551603989029097</v>
      </c>
      <c r="C4489" t="s">
        <v>40</v>
      </c>
      <c r="D4489">
        <v>5.680377</v>
      </c>
      <c r="E4489">
        <v>0.53203020000000001</v>
      </c>
      <c r="F4489" t="s">
        <v>42</v>
      </c>
      <c r="G4489">
        <v>-380.90620000000001</v>
      </c>
      <c r="H4489">
        <v>0.92498480000000005</v>
      </c>
      <c r="I4489">
        <v>16.462119999999999</v>
      </c>
      <c r="J4489">
        <v>-381.5985</v>
      </c>
      <c r="K4489">
        <v>1.1205130000000001</v>
      </c>
      <c r="L4489">
        <v>16.585719999999998</v>
      </c>
      <c r="M4489">
        <v>0.99513099999999999</v>
      </c>
      <c r="N4489">
        <v>-1.3683320000000001E-2</v>
      </c>
      <c r="O4489">
        <v>-9.7608159999999999E-2</v>
      </c>
      <c r="P4489">
        <v>0.98030050000000002</v>
      </c>
      <c r="Q4489">
        <v>0.18191889999999999</v>
      </c>
      <c r="R4489">
        <v>-7.692177E-2</v>
      </c>
      <c r="S4489">
        <v>3.1415410000000001</v>
      </c>
      <c r="T4489">
        <v>-0.66090869999999902</v>
      </c>
      <c r="U4489">
        <v>-0.49746699999999999</v>
      </c>
      <c r="V4489">
        <v>-1.879714E-2</v>
      </c>
      <c r="W4489">
        <v>0.19538759999999999</v>
      </c>
      <c r="X4489">
        <v>0.98054589999999997</v>
      </c>
      <c r="Y4489">
        <v>5.9692710000000003E-2</v>
      </c>
      <c r="Z4489">
        <v>1.2220129999999999E-2</v>
      </c>
      <c r="AA4489">
        <v>0.99814199999999997</v>
      </c>
      <c r="AB4489">
        <v>31</v>
      </c>
      <c r="AC4489">
        <v>0.69229999999998804</v>
      </c>
      <c r="AD4489">
        <v>-0.19552820000000001</v>
      </c>
      <c r="AE4489">
        <v>-0.123599999999999</v>
      </c>
      <c r="AF4489">
        <v>5.1451802994465203E-2</v>
      </c>
      <c r="AG4489">
        <v>-0.19552820000000001</v>
      </c>
      <c r="AH4489">
        <v>0.65075313790610201</v>
      </c>
      <c r="AI4489">
        <v>106.674520391728</v>
      </c>
      <c r="AJ4489">
        <v>85.479313019902406</v>
      </c>
      <c r="AK4489">
        <v>0.68143834021961203</v>
      </c>
      <c r="AL4489">
        <v>78.732632489582102</v>
      </c>
      <c r="AM4489">
        <v>91.098229964372607</v>
      </c>
      <c r="AN4489">
        <v>0.99999995435637301</v>
      </c>
    </row>
    <row r="4490" spans="1:40" x14ac:dyDescent="0.25">
      <c r="A4490" t="str">
        <f>"20190303170629052"</f>
        <v>20190303170629052</v>
      </c>
      <c r="B4490" t="str">
        <f>"1551603989049593"</f>
        <v>1551603989049593</v>
      </c>
      <c r="C4490" t="s">
        <v>40</v>
      </c>
      <c r="D4490">
        <v>5.3667189999999998</v>
      </c>
      <c r="E4490">
        <v>0.53283319999999901</v>
      </c>
      <c r="F4490" t="s">
        <v>42</v>
      </c>
      <c r="G4490">
        <v>-380.87819999999999</v>
      </c>
      <c r="H4490">
        <v>0.97641549999999999</v>
      </c>
      <c r="I4490">
        <v>16.485139999999902</v>
      </c>
      <c r="J4490">
        <v>-381.43950000000001</v>
      </c>
      <c r="K4490">
        <v>1.1205719999999999</v>
      </c>
      <c r="L4490">
        <v>16.56973</v>
      </c>
      <c r="M4490">
        <v>0.99510109999999996</v>
      </c>
      <c r="N4490">
        <v>-1.368114E-2</v>
      </c>
      <c r="O4490">
        <v>-9.7912579999999999E-2</v>
      </c>
      <c r="P4490">
        <v>0.98003459999999998</v>
      </c>
      <c r="Q4490">
        <v>0.1832655</v>
      </c>
      <c r="R4490">
        <v>-7.7111970000000002E-2</v>
      </c>
      <c r="S4490">
        <v>3.1425779999999999</v>
      </c>
      <c r="T4490">
        <v>-0.62860240000000001</v>
      </c>
      <c r="U4490">
        <v>-0.43801879999999999</v>
      </c>
      <c r="V4490">
        <v>-1.8905129999999999E-2</v>
      </c>
      <c r="W4490">
        <v>0.1967264</v>
      </c>
      <c r="X4490">
        <v>0.98027620000000004</v>
      </c>
      <c r="Y4490">
        <v>4.1186E-2</v>
      </c>
      <c r="Z4490">
        <v>1.357597E-2</v>
      </c>
      <c r="AA4490">
        <v>0.99905929999999998</v>
      </c>
      <c r="AB4490">
        <v>31</v>
      </c>
      <c r="AC4490">
        <v>0.56130000000001701</v>
      </c>
      <c r="AD4490">
        <v>-0.14415649999999899</v>
      </c>
      <c r="AE4490">
        <v>-8.4590000000002094E-2</v>
      </c>
      <c r="AF4490">
        <v>2.7449640944929299E-2</v>
      </c>
      <c r="AG4490">
        <v>-0.14415649999999899</v>
      </c>
      <c r="AH4490">
        <v>0.53253958570868698</v>
      </c>
      <c r="AI4490">
        <v>105.12759282831</v>
      </c>
      <c r="AJ4490">
        <v>87.049312439396303</v>
      </c>
      <c r="AK4490">
        <v>0.55238844088832595</v>
      </c>
      <c r="AL4490">
        <v>78.654407872620297</v>
      </c>
      <c r="AM4490">
        <v>91.104841574416199</v>
      </c>
      <c r="AN4490">
        <v>1.0000000543418499</v>
      </c>
    </row>
    <row r="4491" spans="1:40" x14ac:dyDescent="0.25">
      <c r="A4491" t="str">
        <f>"20190303170629100"</f>
        <v>20190303170629100</v>
      </c>
      <c r="B4491" t="str">
        <f>"1551603989089609"</f>
        <v>1551603989089609</v>
      </c>
      <c r="C4491" t="s">
        <v>40</v>
      </c>
      <c r="D4491">
        <v>5.1956230000000003</v>
      </c>
      <c r="E4491">
        <v>0.46572940000000002</v>
      </c>
      <c r="F4491" t="s">
        <v>42</v>
      </c>
      <c r="G4491">
        <v>-380.61520000000002</v>
      </c>
      <c r="H4491">
        <v>0.95021429999999996</v>
      </c>
      <c r="I4491">
        <v>16.453299999999999</v>
      </c>
      <c r="J4491">
        <v>-380.77859999999998</v>
      </c>
      <c r="K4491">
        <v>1.1207480000000001</v>
      </c>
      <c r="L4491">
        <v>16.503170000000001</v>
      </c>
      <c r="M4491">
        <v>0.99499780000000004</v>
      </c>
      <c r="N4491">
        <v>-1.367282E-2</v>
      </c>
      <c r="O4491">
        <v>-9.8956630000000004E-2</v>
      </c>
      <c r="P4491">
        <v>0.97975369999999995</v>
      </c>
      <c r="Q4491">
        <v>0.18476419999999999</v>
      </c>
      <c r="R4491">
        <v>-7.7102970000000007E-2</v>
      </c>
      <c r="S4491">
        <v>3.147888</v>
      </c>
      <c r="T4491">
        <v>-0.65048530000000004</v>
      </c>
      <c r="U4491">
        <v>-0.44311519999999999</v>
      </c>
      <c r="V4491">
        <v>-1.99989E-2</v>
      </c>
      <c r="W4491">
        <v>0.19820579999999999</v>
      </c>
      <c r="X4491">
        <v>0.97995639999999995</v>
      </c>
      <c r="Y4491">
        <v>4.1566199999999998E-2</v>
      </c>
      <c r="Z4491">
        <v>1.422345E-2</v>
      </c>
      <c r="AA4491">
        <v>0.99903450000000005</v>
      </c>
      <c r="AB4491">
        <v>31</v>
      </c>
      <c r="AC4491">
        <v>0.16339999999996699</v>
      </c>
      <c r="AD4491">
        <v>-0.17053369999999901</v>
      </c>
      <c r="AE4491">
        <v>-4.9870000000002003E-2</v>
      </c>
      <c r="AF4491">
        <v>1.6757171918555198E-2</v>
      </c>
      <c r="AG4491">
        <v>-0.17053369999999901</v>
      </c>
      <c r="AH4491">
        <v>8.3917344469282298E-2</v>
      </c>
      <c r="AI4491">
        <v>153.35242948703601</v>
      </c>
      <c r="AJ4491">
        <v>78.707332642702099</v>
      </c>
      <c r="AK4491">
        <v>0.19080006904918601</v>
      </c>
      <c r="AL4491">
        <v>78.567941561905997</v>
      </c>
      <c r="AM4491">
        <v>91.1691270428785</v>
      </c>
      <c r="AN4491">
        <v>1.0000000205279</v>
      </c>
    </row>
    <row r="4492" spans="1:40" x14ac:dyDescent="0.25">
      <c r="A4492" t="str">
        <f>"20190303170629111"</f>
        <v>20190303170629111</v>
      </c>
      <c r="B4492" t="str">
        <f>"1551603989099370"</f>
        <v>1551603989099370</v>
      </c>
      <c r="C4492" t="s">
        <v>40</v>
      </c>
      <c r="D4492">
        <v>5.2058900000000001</v>
      </c>
      <c r="E4492">
        <v>0.4674394</v>
      </c>
      <c r="F4492" t="s">
        <v>42</v>
      </c>
      <c r="G4492">
        <v>-380.05309999999997</v>
      </c>
      <c r="H4492">
        <v>0.92937559999999997</v>
      </c>
      <c r="I4492">
        <v>16.524850000000001</v>
      </c>
      <c r="J4492">
        <v>-380.62920000000003</v>
      </c>
      <c r="K4492">
        <v>1.120779</v>
      </c>
      <c r="L4492">
        <v>16.48807</v>
      </c>
      <c r="M4492">
        <v>0.99497809999999998</v>
      </c>
      <c r="N4492">
        <v>-1.3671000000000001E-2</v>
      </c>
      <c r="O4492">
        <v>-9.9155309999999997E-2</v>
      </c>
      <c r="P4492">
        <v>0.97985800000000001</v>
      </c>
      <c r="Q4492">
        <v>0.18430160000000001</v>
      </c>
      <c r="R4492">
        <v>-7.6884519999999998E-2</v>
      </c>
      <c r="S4492">
        <v>3.2303769999999998</v>
      </c>
      <c r="T4492">
        <v>-0.85202559999999905</v>
      </c>
      <c r="U4492">
        <v>9.7900390000000004E-2</v>
      </c>
      <c r="V4492">
        <v>-2.0436360000000001E-2</v>
      </c>
      <c r="W4492">
        <v>0.19774169999999999</v>
      </c>
      <c r="X4492">
        <v>0.9800411</v>
      </c>
      <c r="Y4492">
        <v>-0.1218335</v>
      </c>
      <c r="Z4492">
        <v>4.099092E-2</v>
      </c>
      <c r="AA4492">
        <v>0.99170369999999997</v>
      </c>
      <c r="AB4492">
        <v>31</v>
      </c>
      <c r="AC4492">
        <v>0.57610000000005301</v>
      </c>
      <c r="AD4492">
        <v>-0.1914034</v>
      </c>
      <c r="AE4492">
        <v>3.6780000000000201E-2</v>
      </c>
      <c r="AF4492">
        <v>-8.44440457456513E-2</v>
      </c>
      <c r="AG4492">
        <v>-0.1914034</v>
      </c>
      <c r="AH4492">
        <v>0.51319494056123005</v>
      </c>
      <c r="AI4492">
        <v>110.20439852867401</v>
      </c>
      <c r="AJ4492">
        <v>99.344046366067602</v>
      </c>
      <c r="AK4492">
        <v>0.554197713285699</v>
      </c>
      <c r="AL4492">
        <v>78.595069127904907</v>
      </c>
      <c r="AM4492">
        <v>91.194590211188597</v>
      </c>
      <c r="AN4492">
        <v>0.99999999120907401</v>
      </c>
    </row>
    <row r="4493" spans="1:40" x14ac:dyDescent="0.25">
      <c r="A4493" t="str">
        <f>"20190303170629124"</f>
        <v>20190303170629124</v>
      </c>
      <c r="B4493" t="str">
        <f>"1551603989119865"</f>
        <v>1551603989119865</v>
      </c>
      <c r="C4493" t="s">
        <v>40</v>
      </c>
      <c r="D4493">
        <v>5.6188859999999998</v>
      </c>
      <c r="E4493">
        <v>0.4822477</v>
      </c>
      <c r="F4493" t="s">
        <v>42</v>
      </c>
      <c r="G4493">
        <v>-379.7747</v>
      </c>
      <c r="H4493">
        <v>0.92291690000000004</v>
      </c>
      <c r="I4493">
        <v>16.50919</v>
      </c>
      <c r="J4493">
        <v>-380.45089999999999</v>
      </c>
      <c r="K4493">
        <v>1.1208049999999901</v>
      </c>
      <c r="L4493">
        <v>16.470029999999898</v>
      </c>
      <c r="M4493">
        <v>0.99495509999999998</v>
      </c>
      <c r="N4493">
        <v>-1.366883E-2</v>
      </c>
      <c r="O4493">
        <v>-9.9387100000000006E-2</v>
      </c>
      <c r="P4493">
        <v>0.97997120000000004</v>
      </c>
      <c r="Q4493">
        <v>0.18359320000000001</v>
      </c>
      <c r="R4493">
        <v>-7.7136399999999994E-2</v>
      </c>
      <c r="S4493">
        <v>3.2075499999999999</v>
      </c>
      <c r="T4493">
        <v>-0.742753</v>
      </c>
      <c r="U4493">
        <v>7.9650879999999993E-2</v>
      </c>
      <c r="V4493">
        <v>-2.0440739999999999E-2</v>
      </c>
      <c r="W4493">
        <v>0.1970316</v>
      </c>
      <c r="X4493">
        <v>0.98018400000000006</v>
      </c>
      <c r="Y4493">
        <v>-0.11842229999999999</v>
      </c>
      <c r="Z4493">
        <v>3.5696850000000002E-2</v>
      </c>
      <c r="AA4493">
        <v>0.99232149999999997</v>
      </c>
      <c r="AB4493">
        <v>31</v>
      </c>
      <c r="AC4493">
        <v>0.67619999999999403</v>
      </c>
      <c r="AD4493">
        <v>-0.19788809999999901</v>
      </c>
      <c r="AE4493">
        <v>3.9160000000002498E-2</v>
      </c>
      <c r="AF4493">
        <v>-9.782770469358E-2</v>
      </c>
      <c r="AG4493">
        <v>-0.19788809999999901</v>
      </c>
      <c r="AH4493">
        <v>0.61634978266880303</v>
      </c>
      <c r="AI4493">
        <v>107.593574414667</v>
      </c>
      <c r="AJ4493">
        <v>99.018815180339402</v>
      </c>
      <c r="AK4493">
        <v>0.65468848662788104</v>
      </c>
      <c r="AL4493">
        <v>78.636571197779901</v>
      </c>
      <c r="AM4493">
        <v>91.194672021300093</v>
      </c>
      <c r="AN4493">
        <v>0.99999997455315304</v>
      </c>
    </row>
    <row r="4494" spans="1:40" x14ac:dyDescent="0.25">
      <c r="A4494" t="str">
        <f>"20190303170629142"</f>
        <v>20190303170629142</v>
      </c>
      <c r="B4494" t="str">
        <f>"1551603989139385"</f>
        <v>1551603989139385</v>
      </c>
      <c r="C4494" t="s">
        <v>40</v>
      </c>
      <c r="D4494">
        <v>5.7070530000000002</v>
      </c>
      <c r="E4494">
        <v>0.4820796</v>
      </c>
      <c r="F4494" t="s">
        <v>96</v>
      </c>
      <c r="G4494">
        <v>-366.68900000000002</v>
      </c>
      <c r="H4494" s="1">
        <v>-2.17841E-6</v>
      </c>
      <c r="I4494">
        <v>16.209440000000001</v>
      </c>
      <c r="J4494">
        <v>-380.19319999999999</v>
      </c>
      <c r="K4494">
        <v>1.12083</v>
      </c>
      <c r="L4494">
        <v>16.44388</v>
      </c>
      <c r="M4494">
        <v>0.9949228</v>
      </c>
      <c r="N4494">
        <v>-1.3665790000000001E-2</v>
      </c>
      <c r="O4494">
        <v>-9.9708500000000005E-2</v>
      </c>
      <c r="P4494">
        <v>0.98020320000000005</v>
      </c>
      <c r="Q4494">
        <v>0.18225459999999999</v>
      </c>
      <c r="R4494">
        <v>-7.7362330000000007E-2</v>
      </c>
      <c r="S4494">
        <v>3.104034</v>
      </c>
      <c r="T4494">
        <v>-0.2528009</v>
      </c>
      <c r="U4494">
        <v>-5.877686E-2</v>
      </c>
      <c r="V4494">
        <v>-2.0572569999999998E-2</v>
      </c>
      <c r="W4494">
        <v>0.19569210000000001</v>
      </c>
      <c r="X4494">
        <v>0.98044960000000003</v>
      </c>
      <c r="Y4494">
        <v>-8.0324110000000004E-2</v>
      </c>
      <c r="Z4494">
        <v>1.054684E-2</v>
      </c>
      <c r="AA4494">
        <v>0.99671299999999996</v>
      </c>
      <c r="AB4494">
        <v>31</v>
      </c>
      <c r="AC4494">
        <v>13.5041999999999</v>
      </c>
      <c r="AD4494">
        <v>-1.1208321784099999</v>
      </c>
      <c r="AE4494">
        <v>-0.23443999999999901</v>
      </c>
      <c r="AF4494">
        <v>-1.1057230279871999</v>
      </c>
      <c r="AG4494">
        <v>-1.1208321784099999</v>
      </c>
      <c r="AH4494">
        <v>13.368206504504199</v>
      </c>
      <c r="AI4494">
        <v>94.776412774272302</v>
      </c>
      <c r="AJ4494">
        <v>94.728336406203098</v>
      </c>
      <c r="AK4494">
        <v>13.4606030078095</v>
      </c>
      <c r="AL4494">
        <v>78.714843290838104</v>
      </c>
      <c r="AM4494">
        <v>91.202049031609604</v>
      </c>
      <c r="AN4494">
        <v>1.0000000233894799</v>
      </c>
    </row>
    <row r="4495" spans="1:40" x14ac:dyDescent="0.25">
      <c r="A4495" t="str">
        <f>"20190303170629165"</f>
        <v>20190303170629165</v>
      </c>
      <c r="B4495" t="str">
        <f>"1551603989159882"</f>
        <v>1551603989159882</v>
      </c>
      <c r="C4495" t="s">
        <v>40</v>
      </c>
      <c r="D4495">
        <v>5.7367520000000001</v>
      </c>
      <c r="E4495">
        <v>0.4831606</v>
      </c>
      <c r="F4495" t="s">
        <v>96</v>
      </c>
      <c r="G4495">
        <v>-364.72269999999997</v>
      </c>
      <c r="H4495" s="1">
        <v>-3.11042E-6</v>
      </c>
      <c r="I4495">
        <v>16.147120000000001</v>
      </c>
      <c r="J4495">
        <v>-379.8861</v>
      </c>
      <c r="K4495">
        <v>1.1208530000000001</v>
      </c>
      <c r="L4495">
        <v>16.41263</v>
      </c>
      <c r="M4495">
        <v>0.99488500000000002</v>
      </c>
      <c r="N4495">
        <v>-1.366238E-2</v>
      </c>
      <c r="O4495">
        <v>-0.10008649999999999</v>
      </c>
      <c r="P4495">
        <v>0.98043659999999999</v>
      </c>
      <c r="Q4495">
        <v>0.1808449</v>
      </c>
      <c r="R4495">
        <v>-7.771314E-2</v>
      </c>
      <c r="S4495">
        <v>3.0975649999999999</v>
      </c>
      <c r="T4495">
        <v>-0.22441720000000001</v>
      </c>
      <c r="U4495">
        <v>-5.941772E-2</v>
      </c>
      <c r="V4495">
        <v>-2.0633160000000001E-2</v>
      </c>
      <c r="W4495">
        <v>0.1942815</v>
      </c>
      <c r="X4495">
        <v>0.98072879999999996</v>
      </c>
      <c r="Y4495">
        <v>-8.0572519999999995E-2</v>
      </c>
      <c r="Z4495">
        <v>9.3282299999999999E-3</v>
      </c>
      <c r="AA4495">
        <v>0.99670510000000001</v>
      </c>
      <c r="AB4495">
        <v>31</v>
      </c>
      <c r="AC4495">
        <v>15.163399999999999</v>
      </c>
      <c r="AD4495">
        <v>-1.1208561104200001</v>
      </c>
      <c r="AE4495">
        <v>-0.26550999999999803</v>
      </c>
      <c r="AF4495">
        <v>-1.2468062450817201</v>
      </c>
      <c r="AG4495">
        <v>-1.1208561104200001</v>
      </c>
      <c r="AH4495">
        <v>15.031715491275399</v>
      </c>
      <c r="AI4495">
        <v>94.249889292424399</v>
      </c>
      <c r="AJ4495">
        <v>94.741546853155398</v>
      </c>
      <c r="AK4495">
        <v>15.124923631003499</v>
      </c>
      <c r="AL4495">
        <v>78.797246157296499</v>
      </c>
      <c r="AM4495">
        <v>91.205245130486503</v>
      </c>
      <c r="AN4495">
        <v>1.0000000038416299</v>
      </c>
    </row>
    <row r="4496" spans="1:40" x14ac:dyDescent="0.25">
      <c r="A4496" t="str">
        <f>"20190303170629177"</f>
        <v>20190303170629177</v>
      </c>
      <c r="B4496" t="str">
        <f>"1551603989169641"</f>
        <v>1551603989169641</v>
      </c>
      <c r="C4496" t="s">
        <v>40</v>
      </c>
      <c r="D4496">
        <v>5.6887230000000004</v>
      </c>
      <c r="E4496">
        <v>0.48330580000000001</v>
      </c>
      <c r="F4496" t="s">
        <v>96</v>
      </c>
      <c r="G4496">
        <v>-362.58789999999999</v>
      </c>
      <c r="H4496" s="1">
        <v>-4.1426459999999999E-6</v>
      </c>
      <c r="I4496">
        <v>16.016939999999899</v>
      </c>
      <c r="J4496">
        <v>-379.71409999999997</v>
      </c>
      <c r="K4496">
        <v>1.1208579999999999</v>
      </c>
      <c r="L4496">
        <v>16.39508</v>
      </c>
      <c r="M4496">
        <v>0.99486359999999996</v>
      </c>
      <c r="N4496">
        <v>-1.3660479999999999E-2</v>
      </c>
      <c r="O4496">
        <v>-0.10029879999999999</v>
      </c>
      <c r="P4496">
        <v>0.98056710000000002</v>
      </c>
      <c r="Q4496">
        <v>0.18002290000000001</v>
      </c>
      <c r="R4496">
        <v>-7.7976340000000005E-2</v>
      </c>
      <c r="S4496">
        <v>3.0911870000000001</v>
      </c>
      <c r="T4496">
        <v>-0.2002969</v>
      </c>
      <c r="U4496">
        <v>-7.0709229999999998E-2</v>
      </c>
      <c r="V4496">
        <v>-2.0598689999999999E-2</v>
      </c>
      <c r="W4496">
        <v>0.1934592</v>
      </c>
      <c r="X4496">
        <v>0.98089210000000004</v>
      </c>
      <c r="Y4496">
        <v>-7.7202660000000006E-2</v>
      </c>
      <c r="Z4496">
        <v>8.136585E-3</v>
      </c>
      <c r="AA4496">
        <v>0.99698220000000004</v>
      </c>
      <c r="AB4496">
        <v>31</v>
      </c>
      <c r="AC4496">
        <v>17.126199999999901</v>
      </c>
      <c r="AD4496">
        <v>-1.1208621426459999</v>
      </c>
      <c r="AE4496">
        <v>-0.37814000000000098</v>
      </c>
      <c r="AF4496">
        <v>-1.33594523153197</v>
      </c>
      <c r="AG4496">
        <v>-1.1208621426459999</v>
      </c>
      <c r="AH4496">
        <v>17.004950665931101</v>
      </c>
      <c r="AI4496">
        <v>93.759580732229097</v>
      </c>
      <c r="AJ4496">
        <v>94.492052269720801</v>
      </c>
      <c r="AK4496">
        <v>17.094134337696602</v>
      </c>
      <c r="AL4496">
        <v>78.845272066474493</v>
      </c>
      <c r="AM4496">
        <v>91.203031969659307</v>
      </c>
      <c r="AN4496">
        <v>1.0000000399683799</v>
      </c>
    </row>
    <row r="4497" spans="1:40" x14ac:dyDescent="0.25">
      <c r="A4497" t="str">
        <f>"20190303170629198"</f>
        <v>20190303170629198</v>
      </c>
      <c r="B4497" t="str">
        <f>"1551603989189161"</f>
        <v>1551603989189161</v>
      </c>
      <c r="C4497" t="s">
        <v>40</v>
      </c>
      <c r="D4497">
        <v>5.6980000000000004</v>
      </c>
      <c r="E4497">
        <v>0.48316880000000001</v>
      </c>
      <c r="F4497" t="s">
        <v>96</v>
      </c>
      <c r="G4497">
        <v>-361.95190000000002</v>
      </c>
      <c r="H4497" s="1">
        <v>-4.4511459999999996E-6</v>
      </c>
      <c r="I4497">
        <v>15.972569999999999</v>
      </c>
      <c r="J4497">
        <v>-379.42250000000001</v>
      </c>
      <c r="K4497">
        <v>1.12087</v>
      </c>
      <c r="L4497">
        <v>16.365259999999999</v>
      </c>
      <c r="M4497">
        <v>0.99482700000000002</v>
      </c>
      <c r="N4497">
        <v>-1.3657580000000001E-2</v>
      </c>
      <c r="O4497">
        <v>-0.1006623</v>
      </c>
      <c r="P4497">
        <v>0.98071949999999997</v>
      </c>
      <c r="Q4497">
        <v>0.1790638</v>
      </c>
      <c r="R4497">
        <v>-7.8266009999999997E-2</v>
      </c>
      <c r="S4497">
        <v>3.0893860000000002</v>
      </c>
      <c r="T4497">
        <v>-0.1949525</v>
      </c>
      <c r="U4497">
        <v>-7.3486330000000002E-2</v>
      </c>
      <c r="V4497">
        <v>-2.0691069999999999E-2</v>
      </c>
      <c r="W4497">
        <v>0.19249959999999999</v>
      </c>
      <c r="X4497">
        <v>0.98107889999999998</v>
      </c>
      <c r="Y4497">
        <v>-7.6676439999999998E-2</v>
      </c>
      <c r="Z4497">
        <v>7.9001230000000002E-3</v>
      </c>
      <c r="AA4497">
        <v>0.99702469999999999</v>
      </c>
      <c r="AB4497">
        <v>31</v>
      </c>
      <c r="AC4497">
        <v>17.470599999999902</v>
      </c>
      <c r="AD4497">
        <v>-1.120874451146</v>
      </c>
      <c r="AE4497">
        <v>-0.39268999999999799</v>
      </c>
      <c r="AF4497">
        <v>-1.36249414648634</v>
      </c>
      <c r="AG4497">
        <v>-1.120874451146</v>
      </c>
      <c r="AH4497">
        <v>17.3499966084424</v>
      </c>
      <c r="AI4497">
        <v>93.685070217090299</v>
      </c>
      <c r="AJ4497">
        <v>94.490218785708095</v>
      </c>
      <c r="AK4497">
        <v>17.439470523711599</v>
      </c>
      <c r="AL4497">
        <v>78.901306072381999</v>
      </c>
      <c r="AM4497">
        <v>91.208195653247699</v>
      </c>
      <c r="AN4497">
        <v>1.00000001220155</v>
      </c>
    </row>
    <row r="4498" spans="1:40" x14ac:dyDescent="0.25">
      <c r="A4498" t="str">
        <f>"20190303170629211"</f>
        <v>20190303170629211</v>
      </c>
      <c r="B4498" t="str">
        <f>"1551603989199897"</f>
        <v>1551603989199897</v>
      </c>
      <c r="C4498" t="s">
        <v>40</v>
      </c>
      <c r="D4498">
        <v>5.6736690000000003</v>
      </c>
      <c r="E4498">
        <v>0.48302820000000002</v>
      </c>
      <c r="F4498" t="s">
        <v>96</v>
      </c>
      <c r="G4498">
        <v>-361.01339999999999</v>
      </c>
      <c r="H4498" s="1">
        <v>-4.9044360000000001E-6</v>
      </c>
      <c r="I4498">
        <v>15.918340000000001</v>
      </c>
      <c r="J4498">
        <v>-379.25470000000001</v>
      </c>
      <c r="K4498">
        <v>1.1208739999999999</v>
      </c>
      <c r="L4498">
        <v>16.348020000000002</v>
      </c>
      <c r="M4498">
        <v>0.99480550000000001</v>
      </c>
      <c r="N4498">
        <v>-1.365603E-2</v>
      </c>
      <c r="O4498">
        <v>-0.10087450000000001</v>
      </c>
      <c r="P4498">
        <v>0.98075460000000003</v>
      </c>
      <c r="Q4498">
        <v>0.17890139999999999</v>
      </c>
      <c r="R4498">
        <v>-7.8196290000000002E-2</v>
      </c>
      <c r="S4498">
        <v>3.0873110000000001</v>
      </c>
      <c r="T4498">
        <v>-0.18797700000000001</v>
      </c>
      <c r="U4498">
        <v>-7.4951169999999998E-2</v>
      </c>
      <c r="V4498">
        <v>-2.0976189999999999E-2</v>
      </c>
      <c r="W4498">
        <v>0.19233629999999999</v>
      </c>
      <c r="X4498">
        <v>0.98110489999999995</v>
      </c>
      <c r="Y4498">
        <v>-7.6423140000000001E-2</v>
      </c>
      <c r="Z4498">
        <v>7.5936319999999899E-3</v>
      </c>
      <c r="AA4498">
        <v>0.99704649999999995</v>
      </c>
      <c r="AB4498">
        <v>31</v>
      </c>
      <c r="AC4498">
        <v>18.241299999999999</v>
      </c>
      <c r="AD4498">
        <v>-1.1208789044359999</v>
      </c>
      <c r="AE4498">
        <v>-0.429680000000002</v>
      </c>
      <c r="AF4498">
        <v>-1.4074543514362401</v>
      </c>
      <c r="AG4498">
        <v>-1.1208789044359999</v>
      </c>
      <c r="AH4498">
        <v>18.123193316265102</v>
      </c>
      <c r="AI4498">
        <v>93.528510155549796</v>
      </c>
      <c r="AJ4498">
        <v>94.440699691887602</v>
      </c>
      <c r="AK4498">
        <v>18.212287974016402</v>
      </c>
      <c r="AL4498">
        <v>78.9108409439702</v>
      </c>
      <c r="AM4498">
        <v>91.224806930783501</v>
      </c>
      <c r="AN4498">
        <v>1.0000000388243</v>
      </c>
    </row>
    <row r="4499" spans="1:40" x14ac:dyDescent="0.25">
      <c r="A4499" t="str">
        <f>"20190303170629224"</f>
        <v>20190303170629224</v>
      </c>
      <c r="B4499" t="str">
        <f>"1551603989219417"</f>
        <v>1551603989219417</v>
      </c>
      <c r="C4499" t="s">
        <v>40</v>
      </c>
      <c r="D4499">
        <v>5.7332199999999904</v>
      </c>
      <c r="E4499">
        <v>0.48306919999999998</v>
      </c>
      <c r="F4499" t="s">
        <v>96</v>
      </c>
      <c r="G4499">
        <v>-360.71449999999999</v>
      </c>
      <c r="H4499" s="1">
        <v>-5.049013E-6</v>
      </c>
      <c r="I4499">
        <v>15.899699999999999</v>
      </c>
      <c r="J4499">
        <v>-379.08159999999998</v>
      </c>
      <c r="K4499">
        <v>1.1208800000000001</v>
      </c>
      <c r="L4499">
        <v>16.330259999999999</v>
      </c>
      <c r="M4499">
        <v>0.99478330000000004</v>
      </c>
      <c r="N4499">
        <v>-1.365446E-2</v>
      </c>
      <c r="O4499">
        <v>-0.1010942</v>
      </c>
      <c r="P4499">
        <v>0.98080020000000001</v>
      </c>
      <c r="Q4499">
        <v>0.17875539999999901</v>
      </c>
      <c r="R4499">
        <v>-7.7962089999999998E-2</v>
      </c>
      <c r="S4499">
        <v>3.0869749999999998</v>
      </c>
      <c r="T4499">
        <v>-0.18662880000000001</v>
      </c>
      <c r="U4499">
        <v>-7.4646000000000004E-2</v>
      </c>
      <c r="V4499">
        <v>-2.1432940000000001E-2</v>
      </c>
      <c r="W4499">
        <v>0.1921889</v>
      </c>
      <c r="X4499">
        <v>0.98112390000000005</v>
      </c>
      <c r="Y4499">
        <v>-7.6742530000000003E-2</v>
      </c>
      <c r="Z4499">
        <v>7.5561730000000002E-3</v>
      </c>
      <c r="AA4499">
        <v>0.99702230000000003</v>
      </c>
      <c r="AB4499">
        <v>31</v>
      </c>
      <c r="AC4499">
        <v>18.367099999999901</v>
      </c>
      <c r="AD4499">
        <v>-1.12088504901299</v>
      </c>
      <c r="AE4499">
        <v>-0.430559999999999</v>
      </c>
      <c r="AF4499">
        <v>-1.4233284122007701</v>
      </c>
      <c r="AG4499">
        <v>-1.12088504901299</v>
      </c>
      <c r="AH4499">
        <v>18.2485910217375</v>
      </c>
      <c r="AI4499">
        <v>93.504252384802399</v>
      </c>
      <c r="AJ4499">
        <v>94.459847956583999</v>
      </c>
      <c r="AK4499">
        <v>18.338302029924002</v>
      </c>
      <c r="AL4499">
        <v>78.919446750869199</v>
      </c>
      <c r="AM4499">
        <v>91.251444100989204</v>
      </c>
      <c r="AN4499">
        <v>1.00000002567573</v>
      </c>
    </row>
    <row r="4500" spans="1:40" x14ac:dyDescent="0.25">
      <c r="A4500" t="str">
        <f>"20190303170629236"</f>
        <v>20190303170629236</v>
      </c>
      <c r="B4500" t="str">
        <f>"1551603989229177"</f>
        <v>1551603989229177</v>
      </c>
      <c r="C4500" t="s">
        <v>40</v>
      </c>
      <c r="D4500">
        <v>5.8241040000000002</v>
      </c>
      <c r="E4500">
        <v>0.48308830000000003</v>
      </c>
      <c r="F4500" t="s">
        <v>96</v>
      </c>
      <c r="G4500">
        <v>-360.13240000000002</v>
      </c>
      <c r="H4500" s="1">
        <v>-5.3292209999999997E-6</v>
      </c>
      <c r="I4500">
        <v>15.871169999999999</v>
      </c>
      <c r="J4500">
        <v>-378.89839999999998</v>
      </c>
      <c r="K4500">
        <v>1.120887</v>
      </c>
      <c r="L4500">
        <v>16.311399999999999</v>
      </c>
      <c r="M4500">
        <v>0.99475979999999997</v>
      </c>
      <c r="N4500">
        <v>-1.365267E-2</v>
      </c>
      <c r="O4500">
        <v>-0.1013252</v>
      </c>
      <c r="P4500">
        <v>0.98077029999999998</v>
      </c>
      <c r="Q4500">
        <v>0.17891949999999901</v>
      </c>
      <c r="R4500">
        <v>-7.7959749999999994E-2</v>
      </c>
      <c r="S4500">
        <v>3.08609</v>
      </c>
      <c r="T4500">
        <v>-0.1825495</v>
      </c>
      <c r="U4500">
        <v>-7.4768070000000006E-2</v>
      </c>
      <c r="V4500">
        <v>-2.1661949999999999E-2</v>
      </c>
      <c r="W4500">
        <v>0.19235079999999999</v>
      </c>
      <c r="X4500">
        <v>0.98108709999999999</v>
      </c>
      <c r="Y4500">
        <v>-7.6939660000000007E-2</v>
      </c>
      <c r="Z4500">
        <v>7.3925859999999996E-3</v>
      </c>
      <c r="AA4500">
        <v>0.99700829999999996</v>
      </c>
      <c r="AB4500">
        <v>31</v>
      </c>
      <c r="AC4500">
        <v>18.765999999999899</v>
      </c>
      <c r="AD4500">
        <v>-1.120892329221</v>
      </c>
      <c r="AE4500">
        <v>-0.44022999999999701</v>
      </c>
      <c r="AF4500">
        <v>-1.4584813162728401</v>
      </c>
      <c r="AG4500">
        <v>-1.120892329221</v>
      </c>
      <c r="AH4500">
        <v>18.647519076658298</v>
      </c>
      <c r="AI4500">
        <v>93.429431182207495</v>
      </c>
      <c r="AJ4500">
        <v>94.472179345145094</v>
      </c>
      <c r="AK4500">
        <v>18.738023777281299</v>
      </c>
      <c r="AL4500">
        <v>78.909993732242299</v>
      </c>
      <c r="AM4500">
        <v>91.264858831125494</v>
      </c>
      <c r="AN4500">
        <v>0.99999998406242596</v>
      </c>
    </row>
    <row r="4501" spans="1:40" x14ac:dyDescent="0.25">
      <c r="A4501" t="str">
        <f>"20190303170629254"</f>
        <v>20190303170629254</v>
      </c>
      <c r="B4501" t="str">
        <f>"1551603989249673"</f>
        <v>1551603989249673</v>
      </c>
      <c r="C4501" t="s">
        <v>40</v>
      </c>
      <c r="D4501">
        <v>5.7325990000000004</v>
      </c>
      <c r="E4501">
        <v>0.4828269</v>
      </c>
      <c r="F4501" t="s">
        <v>41</v>
      </c>
      <c r="G4501">
        <v>-359.79640000000001</v>
      </c>
      <c r="H4501" s="1">
        <v>-1.0585530000000001E-6</v>
      </c>
      <c r="I4501">
        <v>15.84585</v>
      </c>
      <c r="J4501">
        <v>-378.66820000000001</v>
      </c>
      <c r="K4501">
        <v>1.1209009999999999</v>
      </c>
      <c r="L4501">
        <v>16.287600000000001</v>
      </c>
      <c r="M4501">
        <v>0.99473069999999997</v>
      </c>
      <c r="N4501">
        <v>-1.365065E-2</v>
      </c>
      <c r="O4501">
        <v>-0.1016092</v>
      </c>
      <c r="P4501">
        <v>0.98060769999999997</v>
      </c>
      <c r="Q4501">
        <v>0.1800157</v>
      </c>
      <c r="R4501">
        <v>-7.7476080000000003E-2</v>
      </c>
      <c r="S4501">
        <v>3.0858759999999998</v>
      </c>
      <c r="T4501">
        <v>-0.18107570000000001</v>
      </c>
      <c r="U4501">
        <v>-7.5195310000000001E-2</v>
      </c>
      <c r="V4501">
        <v>-2.241071E-2</v>
      </c>
      <c r="W4501">
        <v>0.1934419</v>
      </c>
      <c r="X4501">
        <v>0.98085580000000006</v>
      </c>
      <c r="Y4501">
        <v>-7.7088680000000007E-2</v>
      </c>
      <c r="Z4501">
        <v>7.3448009999999998E-3</v>
      </c>
      <c r="AA4501">
        <v>0.99699720000000003</v>
      </c>
      <c r="AB4501">
        <v>31</v>
      </c>
      <c r="AC4501">
        <v>18.8718</v>
      </c>
      <c r="AD4501">
        <v>-1.1209020585529901</v>
      </c>
      <c r="AE4501">
        <v>-0.44174999999999998</v>
      </c>
      <c r="AF4501">
        <v>-1.4730700907997001</v>
      </c>
      <c r="AG4501">
        <v>-1.1209020585529901</v>
      </c>
      <c r="AH4501">
        <v>18.752877854567899</v>
      </c>
      <c r="AI4501">
        <v>93.410149110976207</v>
      </c>
      <c r="AJ4501">
        <v>94.491457003449497</v>
      </c>
      <c r="AK4501">
        <v>18.844011906853101</v>
      </c>
      <c r="AL4501">
        <v>78.846282532102506</v>
      </c>
      <c r="AM4501">
        <v>91.308873058005602</v>
      </c>
      <c r="AN4501">
        <v>1.00000005449597</v>
      </c>
    </row>
    <row r="4502" spans="1:40" x14ac:dyDescent="0.25">
      <c r="A4502" t="str">
        <f>"20190303170629267"</f>
        <v>20190303170629267</v>
      </c>
      <c r="B4502" t="str">
        <f>"1551603989259434"</f>
        <v>1551603989259434</v>
      </c>
      <c r="C4502" t="s">
        <v>40</v>
      </c>
      <c r="D4502">
        <v>5.7033459999999998</v>
      </c>
      <c r="E4502">
        <v>0.48275030000000002</v>
      </c>
      <c r="F4502" t="s">
        <v>41</v>
      </c>
      <c r="G4502">
        <v>-359.1103</v>
      </c>
      <c r="H4502" s="1">
        <v>-1.2945630000000001E-6</v>
      </c>
      <c r="I4502">
        <v>15.836309999999999</v>
      </c>
      <c r="J4502">
        <v>-378.49369999999999</v>
      </c>
      <c r="K4502">
        <v>1.120914</v>
      </c>
      <c r="L4502">
        <v>16.269590000000001</v>
      </c>
      <c r="M4502">
        <v>0.99470970000000003</v>
      </c>
      <c r="N4502">
        <v>-1.364921E-2</v>
      </c>
      <c r="O4502">
        <v>-0.1018165</v>
      </c>
      <c r="P4502">
        <v>0.9805372</v>
      </c>
      <c r="Q4502">
        <v>0.18040129999999999</v>
      </c>
      <c r="R4502">
        <v>-7.7475660000000002E-2</v>
      </c>
      <c r="S4502">
        <v>3.086182</v>
      </c>
      <c r="T4502">
        <v>-0.17687539999999999</v>
      </c>
      <c r="U4502">
        <v>-7.1197510000000006E-2</v>
      </c>
      <c r="V4502">
        <v>-2.2612879999999998E-2</v>
      </c>
      <c r="W4502">
        <v>0.193825</v>
      </c>
      <c r="X4502">
        <v>0.98077550000000002</v>
      </c>
      <c r="Y4502">
        <v>-7.8599249999999996E-2</v>
      </c>
      <c r="Z4502">
        <v>7.2167459999999996E-3</v>
      </c>
      <c r="AA4502">
        <v>0.99688019999999999</v>
      </c>
      <c r="AB4502">
        <v>31</v>
      </c>
      <c r="AC4502">
        <v>19.383399999999899</v>
      </c>
      <c r="AD4502">
        <v>-1.1209152945630001</v>
      </c>
      <c r="AE4502">
        <v>-0.433279999999999</v>
      </c>
      <c r="AF4502">
        <v>-1.53756633200129</v>
      </c>
      <c r="AG4502">
        <v>-1.1209152945630001</v>
      </c>
      <c r="AH4502">
        <v>19.262384529643001</v>
      </c>
      <c r="AI4502">
        <v>93.319860162778099</v>
      </c>
      <c r="AJ4502">
        <v>94.563799956844093</v>
      </c>
      <c r="AK4502">
        <v>19.356136471174199</v>
      </c>
      <c r="AL4502">
        <v>78.8239087696914</v>
      </c>
      <c r="AM4502">
        <v>91.320784503775002</v>
      </c>
      <c r="AN4502">
        <v>1.0000000271835701</v>
      </c>
    </row>
    <row r="4503" spans="1:40" x14ac:dyDescent="0.25">
      <c r="A4503" t="str">
        <f>"20190303170629316"</f>
        <v>20190303170629316</v>
      </c>
      <c r="B4503" t="str">
        <f>"1551603989309209"</f>
        <v>1551603989309209</v>
      </c>
      <c r="C4503" t="s">
        <v>40</v>
      </c>
      <c r="D4503">
        <v>5.7601709999999997</v>
      </c>
      <c r="E4503">
        <v>0.48240369999999999</v>
      </c>
      <c r="F4503" t="s">
        <v>41</v>
      </c>
      <c r="G4503">
        <v>-358.74470000000002</v>
      </c>
      <c r="H4503" s="1">
        <v>-1.4235499999999999E-6</v>
      </c>
      <c r="I4503">
        <v>15.819179999999999</v>
      </c>
      <c r="J4503">
        <v>-377.82440000000003</v>
      </c>
      <c r="K4503">
        <v>1.121</v>
      </c>
      <c r="L4503">
        <v>16.20016</v>
      </c>
      <c r="M4503">
        <v>0.99464649999999999</v>
      </c>
      <c r="N4503">
        <v>-1.3643509999999999E-2</v>
      </c>
      <c r="O4503">
        <v>-0.1024322</v>
      </c>
      <c r="P4503">
        <v>0.98097219999999996</v>
      </c>
      <c r="Q4503">
        <v>0.17841379999999901</v>
      </c>
      <c r="R4503">
        <v>-7.6567010000000005E-2</v>
      </c>
      <c r="S4503">
        <v>3.0862430000000001</v>
      </c>
      <c r="T4503">
        <v>-0.17516899999999999</v>
      </c>
      <c r="U4503">
        <v>-7.0373539999999998E-2</v>
      </c>
      <c r="V4503">
        <v>-2.4213060000000002E-2</v>
      </c>
      <c r="W4503">
        <v>0.19183230000000001</v>
      </c>
      <c r="X4503">
        <v>0.98112900000000003</v>
      </c>
      <c r="Y4503">
        <v>-7.9485550000000002E-2</v>
      </c>
      <c r="Z4503">
        <v>7.1967269999999896E-3</v>
      </c>
      <c r="AA4503">
        <v>0.99680999999999997</v>
      </c>
      <c r="AB4503">
        <v>31</v>
      </c>
      <c r="AC4503">
        <v>19.079699999999999</v>
      </c>
      <c r="AD4503">
        <v>-1.1210014235500001</v>
      </c>
      <c r="AE4503">
        <v>-0.38097999999999999</v>
      </c>
      <c r="AF4503">
        <v>-1.5701637207557499</v>
      </c>
      <c r="AG4503">
        <v>-1.1210014235500001</v>
      </c>
      <c r="AH4503">
        <v>18.952950808213998</v>
      </c>
      <c r="AI4503">
        <v>93.373373816265797</v>
      </c>
      <c r="AJ4503">
        <v>94.735873641632196</v>
      </c>
      <c r="AK4503">
        <v>19.0508898122937</v>
      </c>
      <c r="AL4503">
        <v>78.940265623302807</v>
      </c>
      <c r="AM4503">
        <v>91.413702589031502</v>
      </c>
      <c r="AN4503">
        <v>1.0000000091194201</v>
      </c>
    </row>
    <row r="4504" spans="1:40" x14ac:dyDescent="0.25">
      <c r="A4504" t="str">
        <f>"20190303170629333"</f>
        <v>20190303170629333</v>
      </c>
      <c r="B4504" t="str">
        <f>"1551603989319946"</f>
        <v>1551603989319946</v>
      </c>
      <c r="C4504" t="s">
        <v>40</v>
      </c>
      <c r="D4504">
        <v>5.7261670000000002</v>
      </c>
      <c r="E4504">
        <v>0.48248029999999997</v>
      </c>
      <c r="F4504" t="s">
        <v>41</v>
      </c>
      <c r="G4504">
        <v>-358.82709999999997</v>
      </c>
      <c r="H4504" s="1">
        <v>-1.4011659999999999E-6</v>
      </c>
      <c r="I4504">
        <v>15.797879999999999</v>
      </c>
      <c r="J4504">
        <v>-377.58339999999998</v>
      </c>
      <c r="K4504">
        <v>1.121046</v>
      </c>
      <c r="L4504">
        <v>16.175170000000001</v>
      </c>
      <c r="M4504">
        <v>0.99463400000000002</v>
      </c>
      <c r="N4504">
        <v>-1.364163E-2</v>
      </c>
      <c r="O4504">
        <v>-0.1025543</v>
      </c>
      <c r="P4504">
        <v>0.98108949999999995</v>
      </c>
      <c r="Q4504">
        <v>0.17793110000000001</v>
      </c>
      <c r="R4504">
        <v>-7.6184249999999995E-2</v>
      </c>
      <c r="S4504">
        <v>3.086182</v>
      </c>
      <c r="T4504">
        <v>-0.18211089999999999</v>
      </c>
      <c r="U4504">
        <v>-6.5338129999999994E-2</v>
      </c>
      <c r="V4504">
        <v>-2.475159E-2</v>
      </c>
      <c r="W4504">
        <v>0.19134599999999999</v>
      </c>
      <c r="X4504">
        <v>0.98121049999999999</v>
      </c>
      <c r="Y4504">
        <v>-8.120745E-2</v>
      </c>
      <c r="Z4504">
        <v>7.5839879999999998E-3</v>
      </c>
      <c r="AA4504">
        <v>0.99666829999999995</v>
      </c>
      <c r="AB4504">
        <v>31</v>
      </c>
      <c r="AC4504">
        <v>18.7563</v>
      </c>
      <c r="AD4504">
        <v>-1.1210474011660001</v>
      </c>
      <c r="AE4504">
        <v>-0.37729000000000201</v>
      </c>
      <c r="AF4504">
        <v>-1.5429080533347099</v>
      </c>
      <c r="AG4504">
        <v>-1.1210474011660001</v>
      </c>
      <c r="AH4504">
        <v>18.629559226387499</v>
      </c>
      <c r="AI4504">
        <v>93.431941076434001</v>
      </c>
      <c r="AJ4504">
        <v>94.734455768037193</v>
      </c>
      <c r="AK4504">
        <v>18.726926856966799</v>
      </c>
      <c r="AL4504">
        <v>78.968654234571304</v>
      </c>
      <c r="AM4504">
        <v>91.445012005232201</v>
      </c>
      <c r="AN4504">
        <v>0.99999998911688903</v>
      </c>
    </row>
    <row r="4505" spans="1:40" x14ac:dyDescent="0.25">
      <c r="A4505" t="str">
        <f>"20190303170629357"</f>
        <v>20190303170629357</v>
      </c>
      <c r="B4505" t="str">
        <f>"1551603989349227"</f>
        <v>1551603989349227</v>
      </c>
      <c r="C4505" t="s">
        <v>40</v>
      </c>
      <c r="D4505">
        <v>5.7060389999999996</v>
      </c>
      <c r="E4505">
        <v>0.4827398</v>
      </c>
      <c r="F4505" t="s">
        <v>41</v>
      </c>
      <c r="G4505">
        <v>-358.54180000000002</v>
      </c>
      <c r="H4505" s="1">
        <v>-1.5044529999999999E-6</v>
      </c>
      <c r="I4505">
        <v>15.77453</v>
      </c>
      <c r="J4505">
        <v>-377.27190000000002</v>
      </c>
      <c r="K4505">
        <v>1.1211279999999999</v>
      </c>
      <c r="L4505">
        <v>16.142910000000001</v>
      </c>
      <c r="M4505">
        <v>0.9946277</v>
      </c>
      <c r="N4505">
        <v>-1.3639409999999999E-2</v>
      </c>
      <c r="O4505">
        <v>-0.1026155</v>
      </c>
      <c r="P4505">
        <v>0.98092690000000005</v>
      </c>
      <c r="Q4505">
        <v>0.17884559999999999</v>
      </c>
      <c r="R4505">
        <v>-7.613723E-2</v>
      </c>
      <c r="S4505">
        <v>3.0857540000000001</v>
      </c>
      <c r="T4505">
        <v>-0.18166940000000001</v>
      </c>
      <c r="U4505">
        <v>-6.4910889999999999E-2</v>
      </c>
      <c r="V4505">
        <v>-2.4879519999999999E-2</v>
      </c>
      <c r="W4505">
        <v>0.19225159999999999</v>
      </c>
      <c r="X4505">
        <v>0.98103019999999996</v>
      </c>
      <c r="Y4505">
        <v>-8.1404630000000006E-2</v>
      </c>
      <c r="Z4505">
        <v>7.574791E-3</v>
      </c>
      <c r="AA4505">
        <v>0.99665239999999999</v>
      </c>
      <c r="AB4505">
        <v>31</v>
      </c>
      <c r="AC4505">
        <v>18.7301</v>
      </c>
      <c r="AD4505">
        <v>-1.1211295044530001</v>
      </c>
      <c r="AE4505">
        <v>-0.36838000000000098</v>
      </c>
      <c r="AF4505">
        <v>-1.5501901713489601</v>
      </c>
      <c r="AG4505">
        <v>-1.1211295044530001</v>
      </c>
      <c r="AH4505">
        <v>18.602387975287101</v>
      </c>
      <c r="AI4505">
        <v>93.437048013820302</v>
      </c>
      <c r="AJ4505">
        <v>94.763614692111801</v>
      </c>
      <c r="AK4505">
        <v>18.700504252992999</v>
      </c>
      <c r="AL4505">
        <v>78.915785311360693</v>
      </c>
      <c r="AM4505">
        <v>91.452744271959602</v>
      </c>
      <c r="AN4505">
        <v>0.99999996076501396</v>
      </c>
    </row>
    <row r="4506" spans="1:40" x14ac:dyDescent="0.25">
      <c r="A4506" t="str">
        <f>"20190303170629378"</f>
        <v>20190303170629378</v>
      </c>
      <c r="B4506" t="str">
        <f>"1551603989369722"</f>
        <v>1551603989369722</v>
      </c>
      <c r="C4506" t="s">
        <v>40</v>
      </c>
      <c r="D4506">
        <v>5.7038399999999996</v>
      </c>
      <c r="E4506">
        <v>0.48282540000000002</v>
      </c>
      <c r="F4506" t="s">
        <v>41</v>
      </c>
      <c r="G4506">
        <v>-357.68220000000002</v>
      </c>
      <c r="H4506" s="1">
        <v>-1.810206E-6</v>
      </c>
      <c r="I4506">
        <v>15.72489</v>
      </c>
      <c r="J4506">
        <v>-376.96409999999997</v>
      </c>
      <c r="K4506">
        <v>1.1212150000000001</v>
      </c>
      <c r="L4506">
        <v>16.111149999999999</v>
      </c>
      <c r="M4506">
        <v>0.99463409999999997</v>
      </c>
      <c r="N4506">
        <v>-1.363731E-2</v>
      </c>
      <c r="O4506">
        <v>-0.102552</v>
      </c>
      <c r="P4506">
        <v>0.98077970000000003</v>
      </c>
      <c r="Q4506">
        <v>0.17978529999999901</v>
      </c>
      <c r="R4506">
        <v>-7.5817770000000007E-2</v>
      </c>
      <c r="S4506">
        <v>3.0854490000000001</v>
      </c>
      <c r="T4506">
        <v>-0.17658190000000001</v>
      </c>
      <c r="U4506">
        <v>-6.5826419999999997E-2</v>
      </c>
      <c r="V4506">
        <v>-2.5161119999999999E-2</v>
      </c>
      <c r="W4506">
        <v>0.1931813</v>
      </c>
      <c r="X4506">
        <v>0.98084039999999995</v>
      </c>
      <c r="Y4506">
        <v>-8.1060199999999999E-2</v>
      </c>
      <c r="Z4506">
        <v>7.3252530000000003E-3</v>
      </c>
      <c r="AA4506">
        <v>0.99668230000000002</v>
      </c>
      <c r="AB4506">
        <v>31</v>
      </c>
      <c r="AC4506">
        <v>19.281899999999901</v>
      </c>
      <c r="AD4506">
        <v>-1.1212168102060001</v>
      </c>
      <c r="AE4506">
        <v>-0.38625999999999799</v>
      </c>
      <c r="AF4506">
        <v>-1.58799103690039</v>
      </c>
      <c r="AG4506">
        <v>-1.1212168102060001</v>
      </c>
      <c r="AH4506">
        <v>19.155092908285901</v>
      </c>
      <c r="AI4506">
        <v>93.338480209242704</v>
      </c>
      <c r="AJ4506">
        <v>94.739084379835802</v>
      </c>
      <c r="AK4506">
        <v>19.253478308966098</v>
      </c>
      <c r="AL4506">
        <v>78.861500179978194</v>
      </c>
      <c r="AM4506">
        <v>91.469464231683702</v>
      </c>
      <c r="AN4506">
        <v>0.99999999345075197</v>
      </c>
    </row>
    <row r="4507" spans="1:40" x14ac:dyDescent="0.25">
      <c r="A4507" t="str">
        <f>"20190303170629399"</f>
        <v>20190303170629399</v>
      </c>
      <c r="B4507" t="str">
        <f>"1551603989389241"</f>
        <v>1551603989389241</v>
      </c>
      <c r="C4507" t="s">
        <v>40</v>
      </c>
      <c r="D4507">
        <v>5.7382010000000001</v>
      </c>
      <c r="E4507">
        <v>0.48287649999999999</v>
      </c>
      <c r="F4507" t="s">
        <v>41</v>
      </c>
      <c r="G4507">
        <v>-356.88490000000002</v>
      </c>
      <c r="H4507" s="1">
        <v>-2.0896840000000001E-6</v>
      </c>
      <c r="I4507">
        <v>15.6942</v>
      </c>
      <c r="J4507">
        <v>-376.67309999999998</v>
      </c>
      <c r="K4507">
        <v>1.1213139999999999</v>
      </c>
      <c r="L4507">
        <v>16.08127</v>
      </c>
      <c r="M4507">
        <v>0.99465440000000005</v>
      </c>
      <c r="N4507">
        <v>-1.363556E-2</v>
      </c>
      <c r="O4507">
        <v>-0.1023559</v>
      </c>
      <c r="P4507">
        <v>0.98090619999999995</v>
      </c>
      <c r="Q4507">
        <v>0.179595799999999</v>
      </c>
      <c r="R4507">
        <v>-7.4620880000000001E-2</v>
      </c>
      <c r="S4507">
        <v>3.0854490000000001</v>
      </c>
      <c r="T4507">
        <v>-0.1722909</v>
      </c>
      <c r="U4507">
        <v>-6.4056399999999999E-2</v>
      </c>
      <c r="V4507">
        <v>-2.621588E-2</v>
      </c>
      <c r="W4507">
        <v>0.19298390000000001</v>
      </c>
      <c r="X4507">
        <v>0.98085169999999999</v>
      </c>
      <c r="Y4507">
        <v>-8.1447759999999994E-2</v>
      </c>
      <c r="Z4507">
        <v>7.1323659999999898E-3</v>
      </c>
      <c r="AA4507">
        <v>0.99665210000000004</v>
      </c>
      <c r="AB4507">
        <v>31</v>
      </c>
      <c r="AC4507">
        <v>19.7881999999999</v>
      </c>
      <c r="AD4507">
        <v>-1.121316089684</v>
      </c>
      <c r="AE4507">
        <v>-0.38706999999999903</v>
      </c>
      <c r="AF4507">
        <v>-1.6353415249213501</v>
      </c>
      <c r="AG4507">
        <v>-1.121316089684</v>
      </c>
      <c r="AH4507">
        <v>19.6607654193235</v>
      </c>
      <c r="AI4507">
        <v>93.253015184993203</v>
      </c>
      <c r="AJ4507">
        <v>94.754798319824005</v>
      </c>
      <c r="AK4507">
        <v>19.760500716069501</v>
      </c>
      <c r="AL4507">
        <v>78.8730280021704</v>
      </c>
      <c r="AM4507">
        <v>91.531018153847199</v>
      </c>
      <c r="AN4507">
        <v>1.0000000577081301</v>
      </c>
    </row>
    <row r="4508" spans="1:40" x14ac:dyDescent="0.25">
      <c r="A4508" t="str">
        <f>"20190303170629413"</f>
        <v>20190303170629413</v>
      </c>
      <c r="B4508" t="str">
        <f>"1551603989399002"</f>
        <v>1551603989399002</v>
      </c>
      <c r="C4508" t="s">
        <v>40</v>
      </c>
      <c r="D4508">
        <v>6.4361379999999997</v>
      </c>
      <c r="E4508">
        <v>0.48292180000000001</v>
      </c>
      <c r="F4508" t="s">
        <v>41</v>
      </c>
      <c r="G4508">
        <v>-356.59230000000002</v>
      </c>
      <c r="H4508" s="1">
        <v>-2.190999E-6</v>
      </c>
      <c r="I4508">
        <v>15.687709999999999</v>
      </c>
      <c r="J4508">
        <v>-376.49810000000002</v>
      </c>
      <c r="K4508">
        <v>1.1213759999999999</v>
      </c>
      <c r="L4508">
        <v>16.063420000000001</v>
      </c>
      <c r="M4508">
        <v>0.99467490000000003</v>
      </c>
      <c r="N4508">
        <v>-1.3634729999999999E-2</v>
      </c>
      <c r="O4508">
        <v>-0.10215680000000001</v>
      </c>
      <c r="P4508">
        <v>0.9810702</v>
      </c>
      <c r="Q4508">
        <v>0.179117</v>
      </c>
      <c r="R4508">
        <v>-7.3610560000000005E-2</v>
      </c>
      <c r="S4508">
        <v>3.0853579999999998</v>
      </c>
      <c r="T4508">
        <v>-0.17228669999999999</v>
      </c>
      <c r="U4508">
        <v>-6.045532E-2</v>
      </c>
      <c r="V4508">
        <v>-2.707205E-2</v>
      </c>
      <c r="W4508">
        <v>0.19250049999999999</v>
      </c>
      <c r="X4508">
        <v>0.9809234</v>
      </c>
      <c r="Y4508">
        <v>-8.2408700000000001E-2</v>
      </c>
      <c r="Z4508">
        <v>7.1576699999999997E-3</v>
      </c>
      <c r="AA4508">
        <v>0.99657289999999998</v>
      </c>
      <c r="AB4508">
        <v>31</v>
      </c>
      <c r="AC4508">
        <v>19.905799999999999</v>
      </c>
      <c r="AD4508">
        <v>-1.1213781909989999</v>
      </c>
      <c r="AE4508">
        <v>-0.37570999999999899</v>
      </c>
      <c r="AF4508">
        <v>-1.6547083414972601</v>
      </c>
      <c r="AG4508">
        <v>-1.1213781909989999</v>
      </c>
      <c r="AH4508">
        <v>19.777282706933399</v>
      </c>
      <c r="AI4508">
        <v>93.233938866479804</v>
      </c>
      <c r="AJ4508">
        <v>94.782634000143304</v>
      </c>
      <c r="AK4508">
        <v>19.878039642093398</v>
      </c>
      <c r="AL4508">
        <v>78.901253695636001</v>
      </c>
      <c r="AM4508">
        <v>91.580878354520294</v>
      </c>
      <c r="AN4508">
        <v>1.0000000275295</v>
      </c>
    </row>
    <row r="4509" spans="1:40" x14ac:dyDescent="0.25">
      <c r="A4509" t="str">
        <f>"20190303170629426"</f>
        <v>20190303170629426</v>
      </c>
      <c r="B4509" t="str">
        <f>"1551603989419498"</f>
        <v>1551603989419498</v>
      </c>
      <c r="C4509" t="s">
        <v>40</v>
      </c>
      <c r="D4509">
        <v>6.4439469999999996</v>
      </c>
      <c r="E4509">
        <v>0.48286230000000002</v>
      </c>
      <c r="F4509" t="s">
        <v>41</v>
      </c>
      <c r="G4509">
        <v>-356.67259999999999</v>
      </c>
      <c r="H4509" s="1">
        <v>-2.1627960000000002E-6</v>
      </c>
      <c r="I4509">
        <v>15.690950000000001</v>
      </c>
      <c r="J4509">
        <v>-376.31369999999998</v>
      </c>
      <c r="K4509">
        <v>1.121448</v>
      </c>
      <c r="L4509">
        <v>16.044650000000001</v>
      </c>
      <c r="M4509">
        <v>0.99470099999999995</v>
      </c>
      <c r="N4509">
        <v>-1.363399E-2</v>
      </c>
      <c r="O4509">
        <v>-0.1019026</v>
      </c>
      <c r="P4509">
        <v>0.98121119999999995</v>
      </c>
      <c r="Q4509">
        <v>0.1787376</v>
      </c>
      <c r="R4509">
        <v>-7.2648260000000006E-2</v>
      </c>
      <c r="S4509">
        <v>3.085388</v>
      </c>
      <c r="T4509">
        <v>-0.17451729999999999</v>
      </c>
      <c r="U4509">
        <v>-5.7952879999999998E-2</v>
      </c>
      <c r="V4509">
        <v>-2.7827709999999999E-2</v>
      </c>
      <c r="W4509">
        <v>0.19211539999999999</v>
      </c>
      <c r="X4509">
        <v>0.98097769999999995</v>
      </c>
      <c r="Y4509">
        <v>-8.2954509999999995E-2</v>
      </c>
      <c r="Z4509">
        <v>7.2693929999999999E-3</v>
      </c>
      <c r="AA4509">
        <v>0.99652680000000005</v>
      </c>
      <c r="AB4509">
        <v>31</v>
      </c>
      <c r="AC4509">
        <v>19.641099999999899</v>
      </c>
      <c r="AD4509">
        <v>-1.1214501627959901</v>
      </c>
      <c r="AE4509">
        <v>-0.35369999999999902</v>
      </c>
      <c r="AF4509">
        <v>-1.64444737832724</v>
      </c>
      <c r="AG4509">
        <v>-1.1214501627959901</v>
      </c>
      <c r="AH4509">
        <v>19.511295387762502</v>
      </c>
      <c r="AI4509">
        <v>93.277972244802996</v>
      </c>
      <c r="AJ4509">
        <v>94.817606620023398</v>
      </c>
      <c r="AK4509">
        <v>19.612559887894399</v>
      </c>
      <c r="AL4509">
        <v>78.923737423241704</v>
      </c>
      <c r="AM4509">
        <v>91.624892050311004</v>
      </c>
      <c r="AN4509">
        <v>0.99999997812914598</v>
      </c>
    </row>
    <row r="4510" spans="1:40" x14ac:dyDescent="0.25">
      <c r="A4510" t="str">
        <f>"20190303170629444"</f>
        <v>20190303170629444</v>
      </c>
      <c r="B4510" t="str">
        <f>"1551603989429258"</f>
        <v>1551603989429258</v>
      </c>
      <c r="C4510" t="s">
        <v>40</v>
      </c>
      <c r="D4510">
        <v>5.365793</v>
      </c>
      <c r="E4510">
        <v>0.48289989999999999</v>
      </c>
      <c r="F4510" t="s">
        <v>41</v>
      </c>
      <c r="G4510">
        <v>-356.6173</v>
      </c>
      <c r="H4510" s="1">
        <v>-2.1805250000000002E-6</v>
      </c>
      <c r="I4510">
        <v>15.69506</v>
      </c>
      <c r="J4510">
        <v>-376.08339999999998</v>
      </c>
      <c r="K4510">
        <v>1.1215569999999999</v>
      </c>
      <c r="L4510">
        <v>16.02139</v>
      </c>
      <c r="M4510">
        <v>0.99474229999999997</v>
      </c>
      <c r="N4510">
        <v>-1.3633370000000001E-2</v>
      </c>
      <c r="O4510">
        <v>-0.1014983</v>
      </c>
      <c r="P4510">
        <v>0.98136970000000001</v>
      </c>
      <c r="Q4510">
        <v>0.1785138</v>
      </c>
      <c r="R4510">
        <v>-7.1038740000000003E-2</v>
      </c>
      <c r="S4510">
        <v>3.085388</v>
      </c>
      <c r="T4510">
        <v>-0.17567249999999901</v>
      </c>
      <c r="U4510">
        <v>-5.4748539999999998E-2</v>
      </c>
      <c r="V4510">
        <v>-2.9094350000000001E-2</v>
      </c>
      <c r="W4510">
        <v>0.19188330000000001</v>
      </c>
      <c r="X4510">
        <v>0.98098640000000004</v>
      </c>
      <c r="Y4510">
        <v>-8.3579520000000004E-2</v>
      </c>
      <c r="Z4510">
        <v>7.3277680000000001E-3</v>
      </c>
      <c r="AA4510">
        <v>0.99647410000000003</v>
      </c>
      <c r="AB4510">
        <v>31</v>
      </c>
      <c r="AC4510">
        <v>19.466099999999901</v>
      </c>
      <c r="AD4510">
        <v>-1.12155918052499</v>
      </c>
      <c r="AE4510">
        <v>-0.32633000000000001</v>
      </c>
      <c r="AF4510">
        <v>-1.64585321133272</v>
      </c>
      <c r="AG4510">
        <v>-1.12155918052499</v>
      </c>
      <c r="AH4510">
        <v>19.334512823815899</v>
      </c>
      <c r="AI4510">
        <v>93.307964443244998</v>
      </c>
      <c r="AJ4510">
        <v>94.865581701364903</v>
      </c>
      <c r="AK4510">
        <v>19.4368236582775</v>
      </c>
      <c r="AL4510">
        <v>78.937288118961703</v>
      </c>
      <c r="AM4510">
        <v>91.698795165790102</v>
      </c>
      <c r="AN4510">
        <v>0.99999999950288598</v>
      </c>
    </row>
    <row r="4511" spans="1:40" x14ac:dyDescent="0.25">
      <c r="A4511" t="str">
        <f>"20190303170629456"</f>
        <v>20190303170629456</v>
      </c>
      <c r="B4511" t="str">
        <f>"1551603989449754"</f>
        <v>1551603989449754</v>
      </c>
      <c r="C4511" t="s">
        <v>40</v>
      </c>
      <c r="D4511">
        <v>5.752275</v>
      </c>
      <c r="E4511">
        <v>0.48291010000000001</v>
      </c>
      <c r="F4511" t="s">
        <v>41</v>
      </c>
      <c r="G4511">
        <v>-356.55849999999998</v>
      </c>
      <c r="H4511" s="1">
        <v>-2.1986629999999998E-6</v>
      </c>
      <c r="I4511">
        <v>15.7021</v>
      </c>
      <c r="J4511">
        <v>-375.90230000000003</v>
      </c>
      <c r="K4511">
        <v>1.121648</v>
      </c>
      <c r="L4511">
        <v>16.003299999999999</v>
      </c>
      <c r="M4511">
        <v>0.99478330000000004</v>
      </c>
      <c r="N4511">
        <v>-1.363309E-2</v>
      </c>
      <c r="O4511">
        <v>-0.1010957</v>
      </c>
      <c r="P4511">
        <v>0.98136970000000001</v>
      </c>
      <c r="Q4511">
        <v>0.17875769999999999</v>
      </c>
      <c r="R4511">
        <v>-7.0423769999999997E-2</v>
      </c>
      <c r="S4511">
        <v>3.0855709999999998</v>
      </c>
      <c r="T4511">
        <v>-0.17724309999999999</v>
      </c>
      <c r="U4511">
        <v>-5.044556E-2</v>
      </c>
      <c r="V4511">
        <v>-2.9348349999999999E-2</v>
      </c>
      <c r="W4511">
        <v>0.1921196</v>
      </c>
      <c r="X4511">
        <v>0.98093260000000004</v>
      </c>
      <c r="Y4511">
        <v>-8.455994E-2</v>
      </c>
      <c r="Z4511">
        <v>7.4175339999999999E-3</v>
      </c>
      <c r="AA4511">
        <v>0.99639080000000002</v>
      </c>
      <c r="AB4511">
        <v>31</v>
      </c>
      <c r="AC4511">
        <v>19.343800000000002</v>
      </c>
      <c r="AD4511">
        <v>-1.1216501986630001</v>
      </c>
      <c r="AE4511">
        <v>-0.30119999999999902</v>
      </c>
      <c r="AF4511">
        <v>-1.6505519287410699</v>
      </c>
      <c r="AG4511">
        <v>-1.1216501986630001</v>
      </c>
      <c r="AH4511">
        <v>19.210555180496701</v>
      </c>
      <c r="AI4511">
        <v>93.329307162304502</v>
      </c>
      <c r="AJ4511">
        <v>94.9107366748907</v>
      </c>
      <c r="AK4511">
        <v>19.313928942101398</v>
      </c>
      <c r="AL4511">
        <v>78.923492638484703</v>
      </c>
      <c r="AM4511">
        <v>91.713711141116406</v>
      </c>
      <c r="AN4511">
        <v>1.0000000160473199</v>
      </c>
    </row>
    <row r="4512" spans="1:40" x14ac:dyDescent="0.25">
      <c r="A4512" t="str">
        <f>"20190303170629469"</f>
        <v>20190303170629469</v>
      </c>
      <c r="B4512" t="str">
        <f>"1551603989459514"</f>
        <v>1551603989459514</v>
      </c>
      <c r="C4512" t="s">
        <v>40</v>
      </c>
      <c r="D4512">
        <v>5.7236760000000002</v>
      </c>
      <c r="E4512">
        <v>0.48298340000000001</v>
      </c>
      <c r="F4512" t="s">
        <v>41</v>
      </c>
      <c r="G4512">
        <v>-356.3175</v>
      </c>
      <c r="H4512" s="1">
        <v>-2.282041E-6</v>
      </c>
      <c r="I4512">
        <v>15.6969799999999</v>
      </c>
      <c r="J4512">
        <v>-375.73129999999998</v>
      </c>
      <c r="K4512">
        <v>1.1217299999999999</v>
      </c>
      <c r="L4512">
        <v>15.986269999999999</v>
      </c>
      <c r="M4512">
        <v>0.99482590000000004</v>
      </c>
      <c r="N4512">
        <v>-1.363282E-2</v>
      </c>
      <c r="O4512">
        <v>-0.100677</v>
      </c>
      <c r="P4512">
        <v>0.98127759999999997</v>
      </c>
      <c r="Q4512">
        <v>0.17953459999999999</v>
      </c>
      <c r="R4512">
        <v>-6.9726090000000004E-2</v>
      </c>
      <c r="S4512">
        <v>3.085693</v>
      </c>
      <c r="T4512">
        <v>-0.17672170000000001</v>
      </c>
      <c r="U4512">
        <v>-4.8248289999999999E-2</v>
      </c>
      <c r="V4512">
        <v>-2.965719E-2</v>
      </c>
      <c r="W4512">
        <v>0.19288839999999999</v>
      </c>
      <c r="X4512">
        <v>0.98077239999999999</v>
      </c>
      <c r="Y4512">
        <v>-8.4851910000000003E-2</v>
      </c>
      <c r="Z4512">
        <v>7.3853879999999997E-3</v>
      </c>
      <c r="AA4512">
        <v>0.99636619999999998</v>
      </c>
      <c r="AB4512">
        <v>31</v>
      </c>
      <c r="AC4512">
        <v>19.413799999999899</v>
      </c>
      <c r="AD4512">
        <v>-1.1217322820409901</v>
      </c>
      <c r="AE4512">
        <v>-0.28929000000000199</v>
      </c>
      <c r="AF4512">
        <v>-1.6613394010292899</v>
      </c>
      <c r="AG4512">
        <v>-1.1217322820409901</v>
      </c>
      <c r="AH4512">
        <v>19.2799182514938</v>
      </c>
      <c r="AI4512">
        <v>93.317527590543705</v>
      </c>
      <c r="AJ4512">
        <v>94.924978613972996</v>
      </c>
      <c r="AK4512">
        <v>19.3838484234238</v>
      </c>
      <c r="AL4512">
        <v>78.8786037863416</v>
      </c>
      <c r="AM4512">
        <v>91.7320167170746</v>
      </c>
      <c r="AN4512">
        <v>0.99999999218750801</v>
      </c>
    </row>
    <row r="4513" spans="1:40" x14ac:dyDescent="0.25">
      <c r="A4513" t="str">
        <f>"20190303170629480"</f>
        <v>20190303170629480</v>
      </c>
      <c r="B4513" t="str">
        <f>"1551603989469275"</f>
        <v>1551603989469275</v>
      </c>
      <c r="C4513" t="s">
        <v>40</v>
      </c>
      <c r="D4513">
        <v>5.7961299999999998</v>
      </c>
      <c r="E4513">
        <v>0.48296359999999999</v>
      </c>
      <c r="F4513" t="s">
        <v>41</v>
      </c>
      <c r="G4513">
        <v>-355.94490000000002</v>
      </c>
      <c r="H4513" s="1">
        <v>-2.418837E-6</v>
      </c>
      <c r="I4513">
        <v>15.687390000000001</v>
      </c>
      <c r="J4513">
        <v>-375.57380000000001</v>
      </c>
      <c r="K4513">
        <v>1.1218090000000001</v>
      </c>
      <c r="L4513">
        <v>15.97073</v>
      </c>
      <c r="M4513">
        <v>0.99486859999999999</v>
      </c>
      <c r="N4513">
        <v>-1.363257E-2</v>
      </c>
      <c r="O4513">
        <v>-0.10025299999999999</v>
      </c>
      <c r="P4513">
        <v>0.98123629999999995</v>
      </c>
      <c r="Q4513">
        <v>0.17998499999999901</v>
      </c>
      <c r="R4513">
        <v>-6.9142060000000005E-2</v>
      </c>
      <c r="S4513">
        <v>3.0859380000000001</v>
      </c>
      <c r="T4513">
        <v>-0.1749482</v>
      </c>
      <c r="U4513">
        <v>-4.6600339999999997E-2</v>
      </c>
      <c r="V4513">
        <v>-2.9849560000000001E-2</v>
      </c>
      <c r="W4513">
        <v>0.19333149999999999</v>
      </c>
      <c r="X4513">
        <v>0.98067930000000003</v>
      </c>
      <c r="Y4513">
        <v>-8.4966260000000002E-2</v>
      </c>
      <c r="Z4513">
        <v>7.2887519999999999E-3</v>
      </c>
      <c r="AA4513">
        <v>0.9963571</v>
      </c>
      <c r="AB4513">
        <v>31</v>
      </c>
      <c r="AC4513">
        <v>19.628899999999899</v>
      </c>
      <c r="AD4513">
        <v>-1.1218114188370001</v>
      </c>
      <c r="AE4513">
        <v>-0.28333999999999998</v>
      </c>
      <c r="AF4513">
        <v>-1.6806384738086599</v>
      </c>
      <c r="AG4513">
        <v>-1.1218114188370001</v>
      </c>
      <c r="AH4513">
        <v>19.494737870337701</v>
      </c>
      <c r="AI4513">
        <v>93.281270500284293</v>
      </c>
      <c r="AJ4513">
        <v>94.927278054256504</v>
      </c>
      <c r="AK4513">
        <v>19.599178839233499</v>
      </c>
      <c r="AL4513">
        <v>78.852728819615805</v>
      </c>
      <c r="AM4513">
        <v>91.743409845601306</v>
      </c>
      <c r="AN4513">
        <v>0.99999997728646595</v>
      </c>
    </row>
    <row r="4514" spans="1:40" x14ac:dyDescent="0.25">
      <c r="A4514" t="str">
        <f>"20190303170629499"</f>
        <v>20190303170629499</v>
      </c>
      <c r="B4514" t="str">
        <f>"1551603989489769"</f>
        <v>1551603989489769</v>
      </c>
      <c r="C4514" t="s">
        <v>40</v>
      </c>
      <c r="D4514">
        <v>5.7806050000000004</v>
      </c>
      <c r="E4514">
        <v>0.48314449999999998</v>
      </c>
      <c r="F4514" t="s">
        <v>41</v>
      </c>
      <c r="G4514">
        <v>-355.66449999999998</v>
      </c>
      <c r="H4514" s="1">
        <v>-2.5399559999999999E-6</v>
      </c>
      <c r="I4514">
        <v>15.68282</v>
      </c>
      <c r="J4514">
        <v>-375.31740000000002</v>
      </c>
      <c r="K4514">
        <v>1.121926</v>
      </c>
      <c r="L4514">
        <v>15.94571</v>
      </c>
      <c r="M4514">
        <v>0.99494990000000005</v>
      </c>
      <c r="N4514">
        <v>-1.363234E-2</v>
      </c>
      <c r="O4514">
        <v>-9.9443229999999994E-2</v>
      </c>
      <c r="P4514">
        <v>0.98118689999999997</v>
      </c>
      <c r="Q4514">
        <v>0.1810496</v>
      </c>
      <c r="R4514">
        <v>-6.7035139999999993E-2</v>
      </c>
      <c r="S4514">
        <v>3.0861209999999999</v>
      </c>
      <c r="T4514">
        <v>-0.17389019999999999</v>
      </c>
      <c r="U4514">
        <v>-4.4616700000000002E-2</v>
      </c>
      <c r="V4514">
        <v>-3.119622E-2</v>
      </c>
      <c r="W4514">
        <v>0.19438259999999999</v>
      </c>
      <c r="X4514">
        <v>0.98042960000000001</v>
      </c>
      <c r="Y4514">
        <v>-8.4800909999999993E-2</v>
      </c>
      <c r="Z4514">
        <v>7.1994869999999897E-3</v>
      </c>
      <c r="AA4514">
        <v>0.99637189999999998</v>
      </c>
      <c r="AB4514">
        <v>31</v>
      </c>
      <c r="AC4514">
        <v>19.652899999999999</v>
      </c>
      <c r="AD4514">
        <v>-1.1219285399559999</v>
      </c>
      <c r="AE4514">
        <v>-0.26288999999999801</v>
      </c>
      <c r="AF4514">
        <v>-1.6874444013994601</v>
      </c>
      <c r="AG4514">
        <v>-1.1219285399559999</v>
      </c>
      <c r="AH4514">
        <v>19.518015384570798</v>
      </c>
      <c r="AI4514">
        <v>93.277638247230101</v>
      </c>
      <c r="AJ4514">
        <v>94.941261968532402</v>
      </c>
      <c r="AK4514">
        <v>19.622923248306499</v>
      </c>
      <c r="AL4514">
        <v>78.7913409322002</v>
      </c>
      <c r="AM4514">
        <v>91.822475464513104</v>
      </c>
      <c r="AN4514">
        <v>0.99999999994060396</v>
      </c>
    </row>
    <row r="4515" spans="1:40" x14ac:dyDescent="0.25">
      <c r="A4515" t="str">
        <f>"20190303170629512"</f>
        <v>20190303170629512</v>
      </c>
      <c r="B4515" t="str">
        <f>"1551603989499530"</f>
        <v>1551603989499530</v>
      </c>
      <c r="C4515" t="s">
        <v>40</v>
      </c>
      <c r="D4515">
        <v>5.7190130000000003</v>
      </c>
      <c r="E4515">
        <v>0.48322500000000002</v>
      </c>
      <c r="F4515" t="s">
        <v>41</v>
      </c>
      <c r="G4515">
        <v>-355.15699999999998</v>
      </c>
      <c r="H4515" s="1">
        <v>-2.7567569999999999E-6</v>
      </c>
      <c r="I4515">
        <v>15.6878799999999</v>
      </c>
      <c r="J4515">
        <v>-375.15300000000002</v>
      </c>
      <c r="K4515">
        <v>1.122004</v>
      </c>
      <c r="L4515">
        <v>15.92984</v>
      </c>
      <c r="M4515">
        <v>0.99500900000000003</v>
      </c>
      <c r="N4515">
        <v>-1.363231E-2</v>
      </c>
      <c r="O4515">
        <v>-9.8849400000000004E-2</v>
      </c>
      <c r="P4515">
        <v>0.98127889999999995</v>
      </c>
      <c r="Q4515">
        <v>0.18100040000000001</v>
      </c>
      <c r="R4515">
        <v>-6.5806879999999998E-2</v>
      </c>
      <c r="S4515">
        <v>3.0864560000000001</v>
      </c>
      <c r="T4515">
        <v>-0.171762</v>
      </c>
      <c r="U4515">
        <v>-3.9459229999999998E-2</v>
      </c>
      <c r="V4515">
        <v>-3.1874920000000001E-2</v>
      </c>
      <c r="W4515">
        <v>0.19432650000000001</v>
      </c>
      <c r="X4515">
        <v>0.98041889999999998</v>
      </c>
      <c r="Y4515">
        <v>-8.5877449999999994E-2</v>
      </c>
      <c r="Z4515">
        <v>7.1138360000000001E-3</v>
      </c>
      <c r="AA4515">
        <v>0.99628030000000001</v>
      </c>
      <c r="AB4515">
        <v>31</v>
      </c>
      <c r="AC4515">
        <v>19.995999999999999</v>
      </c>
      <c r="AD4515">
        <v>-1.122006756757</v>
      </c>
      <c r="AE4515">
        <v>-0.24196000000000001</v>
      </c>
      <c r="AF4515">
        <v>-1.7305537183525399</v>
      </c>
      <c r="AG4515">
        <v>-1.122006756757</v>
      </c>
      <c r="AH4515">
        <v>19.8594507893675</v>
      </c>
      <c r="AI4515">
        <v>93.221441461589507</v>
      </c>
      <c r="AJ4515">
        <v>94.980177568368603</v>
      </c>
      <c r="AK4515">
        <v>19.966259063470599</v>
      </c>
      <c r="AL4515">
        <v>78.794617815410803</v>
      </c>
      <c r="AM4515">
        <v>91.862117642253395</v>
      </c>
      <c r="AN4515">
        <v>1.0000000093022301</v>
      </c>
    </row>
    <row r="4516" spans="1:40" x14ac:dyDescent="0.25">
      <c r="A4516" t="str">
        <f>"20190303170629547"</f>
        <v>20190303170629547</v>
      </c>
      <c r="B4516" t="str">
        <f>"1551603989539545"</f>
        <v>1551603989539545</v>
      </c>
      <c r="C4516" t="s">
        <v>40</v>
      </c>
      <c r="D4516">
        <v>5.7737759999999998</v>
      </c>
      <c r="E4516">
        <v>0.48355320000000002</v>
      </c>
      <c r="F4516" t="s">
        <v>41</v>
      </c>
      <c r="G4516">
        <v>-355.07350000000002</v>
      </c>
      <c r="H4516" s="1">
        <v>-2.791575E-6</v>
      </c>
      <c r="I4516">
        <v>15.6935</v>
      </c>
      <c r="J4516">
        <v>-374.67880000000002</v>
      </c>
      <c r="K4516">
        <v>1.1222019999999999</v>
      </c>
      <c r="L4516">
        <v>15.88486</v>
      </c>
      <c r="M4516">
        <v>0.99520280000000005</v>
      </c>
      <c r="N4516">
        <v>-1.363256E-2</v>
      </c>
      <c r="O4516">
        <v>-9.6880289999999994E-2</v>
      </c>
      <c r="P4516">
        <v>0.98141750000000005</v>
      </c>
      <c r="Q4516">
        <v>0.18151239999999999</v>
      </c>
      <c r="R4516">
        <v>-6.223219E-2</v>
      </c>
      <c r="S4516">
        <v>3.0865779999999998</v>
      </c>
      <c r="T4516">
        <v>-0.1724724</v>
      </c>
      <c r="U4516">
        <v>-3.6315920000000002E-2</v>
      </c>
      <c r="V4516">
        <v>-3.359943E-2</v>
      </c>
      <c r="W4516">
        <v>0.19481709999999999</v>
      </c>
      <c r="X4516">
        <v>0.98026389999999997</v>
      </c>
      <c r="Y4516">
        <v>-8.4922280000000003E-2</v>
      </c>
      <c r="Z4516">
        <v>7.0304089999999996E-3</v>
      </c>
      <c r="AA4516">
        <v>0.99636270000000005</v>
      </c>
      <c r="AB4516">
        <v>30</v>
      </c>
      <c r="AC4516">
        <v>19.6053</v>
      </c>
      <c r="AD4516">
        <v>-1.122204791575</v>
      </c>
      <c r="AE4516">
        <v>-0.191359999999999</v>
      </c>
      <c r="AF4516">
        <v>-1.7035029192890701</v>
      </c>
      <c r="AG4516">
        <v>-1.122204791575</v>
      </c>
      <c r="AH4516">
        <v>19.467822700063799</v>
      </c>
      <c r="AI4516">
        <v>93.286581000695406</v>
      </c>
      <c r="AJ4516">
        <v>95.000844472571998</v>
      </c>
      <c r="AK4516">
        <v>19.574406414279299</v>
      </c>
      <c r="AL4516">
        <v>78.765960361601003</v>
      </c>
      <c r="AM4516">
        <v>91.963096028151796</v>
      </c>
      <c r="AN4516">
        <v>0.99999996889597198</v>
      </c>
    </row>
    <row r="4517" spans="1:40" x14ac:dyDescent="0.25">
      <c r="A4517" t="str">
        <f>"20190303170629569"</f>
        <v>20190303170629569</v>
      </c>
      <c r="B4517" t="str">
        <f>"1551603989559065"</f>
        <v>1551603989559065</v>
      </c>
      <c r="C4517" t="s">
        <v>40</v>
      </c>
      <c r="D4517">
        <v>5.7174139999999998</v>
      </c>
      <c r="E4517">
        <v>0.48359829999999998</v>
      </c>
      <c r="F4517" t="s">
        <v>41</v>
      </c>
      <c r="G4517">
        <v>-354.54790000000003</v>
      </c>
      <c r="H4517" s="1">
        <v>-3.015462E-6</v>
      </c>
      <c r="I4517">
        <v>15.70247</v>
      </c>
      <c r="J4517">
        <v>-374.3811</v>
      </c>
      <c r="K4517">
        <v>1.1223190000000001</v>
      </c>
      <c r="L4517">
        <v>15.857329999999999</v>
      </c>
      <c r="M4517">
        <v>0.99534060000000002</v>
      </c>
      <c r="N4517">
        <v>-1.363289E-2</v>
      </c>
      <c r="O4517">
        <v>-9.5453040000000003E-2</v>
      </c>
      <c r="P4517">
        <v>0.98154019999999997</v>
      </c>
      <c r="Q4517">
        <v>0.18151149999999999</v>
      </c>
      <c r="R4517">
        <v>-6.0269709999999997E-2</v>
      </c>
      <c r="S4517">
        <v>3.086884</v>
      </c>
      <c r="T4517">
        <v>-0.17207939999999999</v>
      </c>
      <c r="U4517">
        <v>-2.7954099999999999E-2</v>
      </c>
      <c r="V4517">
        <v>-3.4212300000000001E-2</v>
      </c>
      <c r="W4517">
        <v>0.19480500000000001</v>
      </c>
      <c r="X4517">
        <v>0.98024520000000004</v>
      </c>
      <c r="Y4517">
        <v>-8.6193279999999997E-2</v>
      </c>
      <c r="Z4517">
        <v>6.9966280000000004E-3</v>
      </c>
      <c r="AA4517">
        <v>0.99625379999999997</v>
      </c>
      <c r="AB4517">
        <v>30</v>
      </c>
      <c r="AC4517">
        <v>19.833199999999898</v>
      </c>
      <c r="AD4517">
        <v>-1.1223220154619999</v>
      </c>
      <c r="AE4517">
        <v>-0.154859999999997</v>
      </c>
      <c r="AF4517">
        <v>-1.7336113258917401</v>
      </c>
      <c r="AG4517">
        <v>-1.1223220154619999</v>
      </c>
      <c r="AH4517">
        <v>19.694345142479701</v>
      </c>
      <c r="AI4517">
        <v>93.249051665186997</v>
      </c>
      <c r="AJ4517">
        <v>95.030542872949397</v>
      </c>
      <c r="AK4517">
        <v>19.802329295483499</v>
      </c>
      <c r="AL4517">
        <v>78.766668228622393</v>
      </c>
      <c r="AM4517">
        <v>91.9989131714932</v>
      </c>
      <c r="AN4517">
        <v>1.00000006080966</v>
      </c>
    </row>
    <row r="4518" spans="1:40" x14ac:dyDescent="0.25">
      <c r="A4518" t="str">
        <f>"20190303170629590"</f>
        <v>20190303170629590</v>
      </c>
      <c r="B4518" t="str">
        <f>"1551603989579562"</f>
        <v>1551603989579562</v>
      </c>
      <c r="C4518" t="s">
        <v>40</v>
      </c>
      <c r="D4518">
        <v>5.762175</v>
      </c>
      <c r="E4518">
        <v>0.4839736</v>
      </c>
      <c r="F4518" t="s">
        <v>41</v>
      </c>
      <c r="G4518">
        <v>-354.2919</v>
      </c>
      <c r="H4518" s="1">
        <v>-3.1232590000000002E-6</v>
      </c>
      <c r="I4518">
        <v>15.71386</v>
      </c>
      <c r="J4518">
        <v>-374.10059999999999</v>
      </c>
      <c r="K4518">
        <v>1.1224190000000001</v>
      </c>
      <c r="L4518">
        <v>15.831910000000001</v>
      </c>
      <c r="M4518">
        <v>0.99547870000000005</v>
      </c>
      <c r="N4518">
        <v>-1.363316E-2</v>
      </c>
      <c r="O4518">
        <v>-9.4001520000000005E-2</v>
      </c>
      <c r="P4518">
        <v>0.98182239999999998</v>
      </c>
      <c r="Q4518">
        <v>0.18057909999999999</v>
      </c>
      <c r="R4518">
        <v>-5.8445669999999998E-2</v>
      </c>
      <c r="S4518">
        <v>3.0869749999999998</v>
      </c>
      <c r="T4518">
        <v>-0.1724598</v>
      </c>
      <c r="U4518">
        <v>-2.2033690000000002E-2</v>
      </c>
      <c r="V4518">
        <v>-3.4665719999999997E-2</v>
      </c>
      <c r="W4518">
        <v>0.1938657</v>
      </c>
      <c r="X4518">
        <v>0.98041540000000005</v>
      </c>
      <c r="Y4518">
        <v>-8.6650569999999996E-2</v>
      </c>
      <c r="Z4518">
        <v>6.9685989999999998E-3</v>
      </c>
      <c r="AA4518">
        <v>0.99621440000000006</v>
      </c>
      <c r="AB4518">
        <v>30</v>
      </c>
      <c r="AC4518">
        <v>19.808699999999899</v>
      </c>
      <c r="AD4518">
        <v>-1.1224221232589999</v>
      </c>
      <c r="AE4518">
        <v>-0.11805</v>
      </c>
      <c r="AF4518">
        <v>-1.7391102284973801</v>
      </c>
      <c r="AG4518">
        <v>-1.1224221232589999</v>
      </c>
      <c r="AH4518">
        <v>19.668920838098099</v>
      </c>
      <c r="AI4518">
        <v>93.253420180751206</v>
      </c>
      <c r="AJ4518">
        <v>95.052906480873006</v>
      </c>
      <c r="AK4518">
        <v>19.777532271368301</v>
      </c>
      <c r="AL4518">
        <v>78.821531313923998</v>
      </c>
      <c r="AM4518">
        <v>92.025031790864006</v>
      </c>
      <c r="AN4518">
        <v>0.99999998916838395</v>
      </c>
    </row>
    <row r="4519" spans="1:40" x14ac:dyDescent="0.25">
      <c r="A4519" t="str">
        <f>"20190303170629610"</f>
        <v>20190303170629610</v>
      </c>
      <c r="B4519" t="str">
        <f>"1551603989599082"</f>
        <v>1551603989599082</v>
      </c>
      <c r="C4519" t="s">
        <v>40</v>
      </c>
      <c r="D4519">
        <v>5.77597</v>
      </c>
      <c r="E4519">
        <v>0.48436370000000001</v>
      </c>
      <c r="F4519" t="s">
        <v>41</v>
      </c>
      <c r="G4519">
        <v>-354.2312</v>
      </c>
      <c r="H4519" s="1">
        <v>-3.1507780000000002E-6</v>
      </c>
      <c r="I4519">
        <v>15.705690000000001</v>
      </c>
      <c r="J4519">
        <v>-373.81830000000002</v>
      </c>
      <c r="K4519">
        <v>1.122506</v>
      </c>
      <c r="L4519">
        <v>15.806850000000001</v>
      </c>
      <c r="M4519">
        <v>0.99562479999999998</v>
      </c>
      <c r="N4519">
        <v>-1.3633289999999999E-2</v>
      </c>
      <c r="O4519">
        <v>-9.2442410000000003E-2</v>
      </c>
      <c r="P4519">
        <v>0.98212469999999996</v>
      </c>
      <c r="Q4519">
        <v>0.17962829999999999</v>
      </c>
      <c r="R4519">
        <v>-5.6256510000000003E-2</v>
      </c>
      <c r="S4519">
        <v>3.0864259999999999</v>
      </c>
      <c r="T4519">
        <v>-0.1743517</v>
      </c>
      <c r="U4519">
        <v>-1.9592289999999998E-2</v>
      </c>
      <c r="V4519">
        <v>-3.5372830000000001E-2</v>
      </c>
      <c r="W4519">
        <v>0.1929071</v>
      </c>
      <c r="X4519">
        <v>0.98057919999999998</v>
      </c>
      <c r="Y4519">
        <v>-8.5874179999999994E-2</v>
      </c>
      <c r="Z4519">
        <v>6.9603759999999999E-3</v>
      </c>
      <c r="AA4519">
        <v>0.99628170000000005</v>
      </c>
      <c r="AB4519">
        <v>30</v>
      </c>
      <c r="AC4519">
        <v>19.5871</v>
      </c>
      <c r="AD4519">
        <v>-1.1225091507780001</v>
      </c>
      <c r="AE4519">
        <v>-0.101160000000001</v>
      </c>
      <c r="AF4519">
        <v>-1.7045221108008599</v>
      </c>
      <c r="AG4519">
        <v>-1.1225091507780001</v>
      </c>
      <c r="AH4519">
        <v>19.448692266947301</v>
      </c>
      <c r="AI4519">
        <v>93.290657474116301</v>
      </c>
      <c r="AJ4519">
        <v>95.008718163621793</v>
      </c>
      <c r="AK4519">
        <v>19.555486527166899</v>
      </c>
      <c r="AL4519">
        <v>78.877511675227595</v>
      </c>
      <c r="AM4519">
        <v>92.065957996746505</v>
      </c>
      <c r="AN4519">
        <v>0.99999997690262898</v>
      </c>
    </row>
    <row r="4520" spans="1:40" x14ac:dyDescent="0.25">
      <c r="A4520" t="str">
        <f>"20190303170629626"</f>
        <v>20190303170629626</v>
      </c>
      <c r="B4520" t="str">
        <f>"1551603989619578"</f>
        <v>1551603989619578</v>
      </c>
      <c r="C4520" t="s">
        <v>40</v>
      </c>
      <c r="D4520">
        <v>5.8166769999999897</v>
      </c>
      <c r="E4520">
        <v>0.48469319999999999</v>
      </c>
      <c r="F4520" t="s">
        <v>41</v>
      </c>
      <c r="G4520">
        <v>-354.24149999999997</v>
      </c>
      <c r="H4520" s="1">
        <v>-3.1475450000000001E-6</v>
      </c>
      <c r="I4520">
        <v>15.69894</v>
      </c>
      <c r="J4520">
        <v>-373.61689999999999</v>
      </c>
      <c r="K4520">
        <v>1.122565</v>
      </c>
      <c r="L4520">
        <v>15.78931</v>
      </c>
      <c r="M4520">
        <v>0.9957319</v>
      </c>
      <c r="N4520">
        <v>-1.363339E-2</v>
      </c>
      <c r="O4520">
        <v>-9.1281000000000001E-2</v>
      </c>
      <c r="P4520">
        <v>0.98217370000000004</v>
      </c>
      <c r="Q4520">
        <v>0.17986750000000001</v>
      </c>
      <c r="R4520">
        <v>-5.4615780000000003E-2</v>
      </c>
      <c r="S4520">
        <v>3.0860289999999999</v>
      </c>
      <c r="T4520">
        <v>-0.1769493</v>
      </c>
      <c r="U4520">
        <v>-1.6998289999999999E-2</v>
      </c>
      <c r="V4520">
        <v>-3.5892979999999998E-2</v>
      </c>
      <c r="W4520">
        <v>0.19313920000000001</v>
      </c>
      <c r="X4520">
        <v>0.98051460000000001</v>
      </c>
      <c r="Y4520">
        <v>-8.5542370000000006E-2</v>
      </c>
      <c r="Z4520">
        <v>7.0128459999999997E-3</v>
      </c>
      <c r="AA4520">
        <v>0.99630989999999997</v>
      </c>
      <c r="AB4520">
        <v>30</v>
      </c>
      <c r="AC4520">
        <v>19.375399999999999</v>
      </c>
      <c r="AD4520">
        <v>-1.122568147545</v>
      </c>
      <c r="AE4520">
        <v>-9.0370000000001796E-2</v>
      </c>
      <c r="AF4520">
        <v>-1.67316120231798</v>
      </c>
      <c r="AG4520">
        <v>-1.122568147545</v>
      </c>
      <c r="AH4520">
        <v>19.2381687909457</v>
      </c>
      <c r="AI4520">
        <v>93.326954192315597</v>
      </c>
      <c r="AJ4520">
        <v>94.970559387581602</v>
      </c>
      <c r="AK4520">
        <v>19.343390759733499</v>
      </c>
      <c r="AL4520">
        <v>78.863958352657093</v>
      </c>
      <c r="AM4520">
        <v>92.096448554480205</v>
      </c>
      <c r="AN4520">
        <v>0.99999996870153895</v>
      </c>
    </row>
    <row r="4521" spans="1:40" x14ac:dyDescent="0.25">
      <c r="A4521" t="str">
        <f>"20190303170629637"</f>
        <v>20190303170629637</v>
      </c>
      <c r="B4521" t="str">
        <f>"1551603989629338"</f>
        <v>1551603989629338</v>
      </c>
      <c r="C4521" t="s">
        <v>40</v>
      </c>
      <c r="D4521">
        <v>5.7515660000000004</v>
      </c>
      <c r="E4521">
        <v>0.48477789999999998</v>
      </c>
      <c r="F4521" t="s">
        <v>41</v>
      </c>
      <c r="G4521">
        <v>-353.98250000000002</v>
      </c>
      <c r="H4521" s="1">
        <v>-3.2598519999999999E-6</v>
      </c>
      <c r="I4521">
        <v>15.692329999999901</v>
      </c>
      <c r="J4521">
        <v>-373.44799999999998</v>
      </c>
      <c r="K4521">
        <v>1.1226100000000001</v>
      </c>
      <c r="L4521">
        <v>15.77481</v>
      </c>
      <c r="M4521">
        <v>0.99582409999999999</v>
      </c>
      <c r="N4521">
        <v>-1.3633589999999999E-2</v>
      </c>
      <c r="O4521">
        <v>-9.0268650000000006E-2</v>
      </c>
      <c r="P4521">
        <v>0.98217390000000004</v>
      </c>
      <c r="Q4521">
        <v>0.1803246</v>
      </c>
      <c r="R4521">
        <v>-5.3082499999999998E-2</v>
      </c>
      <c r="S4521">
        <v>3.0858759999999998</v>
      </c>
      <c r="T4521">
        <v>-0.17642939999999999</v>
      </c>
      <c r="U4521">
        <v>-1.522827E-2</v>
      </c>
      <c r="V4521">
        <v>-3.6442780000000001E-2</v>
      </c>
      <c r="W4521">
        <v>0.1935897</v>
      </c>
      <c r="X4521">
        <v>0.98040550000000004</v>
      </c>
      <c r="Y4521">
        <v>-8.5104070000000004E-2</v>
      </c>
      <c r="Z4521">
        <v>6.9314320000000004E-3</v>
      </c>
      <c r="AA4521">
        <v>0.99634800000000001</v>
      </c>
      <c r="AB4521">
        <v>30</v>
      </c>
      <c r="AC4521">
        <v>19.465499999999999</v>
      </c>
      <c r="AD4521">
        <v>-1.122613259852</v>
      </c>
      <c r="AE4521">
        <v>-8.2480000000002093E-2</v>
      </c>
      <c r="AF4521">
        <v>-1.66959152337362</v>
      </c>
      <c r="AG4521">
        <v>-1.122613259852</v>
      </c>
      <c r="AH4521">
        <v>19.3291736917087</v>
      </c>
      <c r="AI4521">
        <v>93.311626950222006</v>
      </c>
      <c r="AJ4521">
        <v>94.936770843266501</v>
      </c>
      <c r="AK4521">
        <v>19.433598534248901</v>
      </c>
      <c r="AL4521">
        <v>78.837650398954693</v>
      </c>
      <c r="AM4521">
        <v>92.128768777687696</v>
      </c>
      <c r="AN4521">
        <v>0.99999999629523395</v>
      </c>
    </row>
    <row r="4522" spans="1:40" x14ac:dyDescent="0.25">
      <c r="A4522" t="str">
        <f>"20190303170629657"</f>
        <v>20190303170629657</v>
      </c>
      <c r="B4522" t="str">
        <f>"1551603989649833"</f>
        <v>1551603989649833</v>
      </c>
      <c r="C4522" t="s">
        <v>40</v>
      </c>
      <c r="D4522">
        <v>6.4546039999999998</v>
      </c>
      <c r="E4522">
        <v>0.48509049999999998</v>
      </c>
      <c r="F4522" t="s">
        <v>41</v>
      </c>
      <c r="G4522">
        <v>-353.71460000000002</v>
      </c>
      <c r="H4522" s="1">
        <v>-3.373072E-6</v>
      </c>
      <c r="I4522">
        <v>15.701739999999999</v>
      </c>
      <c r="J4522">
        <v>-373.19049999999999</v>
      </c>
      <c r="K4522">
        <v>1.1226739999999999</v>
      </c>
      <c r="L4522">
        <v>15.753080000000001</v>
      </c>
      <c r="M4522">
        <v>0.99596660000000004</v>
      </c>
      <c r="N4522">
        <v>-1.3633889999999999E-2</v>
      </c>
      <c r="O4522">
        <v>-8.868463E-2</v>
      </c>
      <c r="P4522">
        <v>0.98199579999999997</v>
      </c>
      <c r="Q4522">
        <v>0.18194630000000001</v>
      </c>
      <c r="R4522">
        <v>-5.0793619999999998E-2</v>
      </c>
      <c r="S4522">
        <v>3.0860599999999998</v>
      </c>
      <c r="T4522">
        <v>-0.17556329999999901</v>
      </c>
      <c r="U4522">
        <v>-1.141357E-2</v>
      </c>
      <c r="V4522">
        <v>-3.7177729999999999E-2</v>
      </c>
      <c r="W4522">
        <v>0.19519919999999999</v>
      </c>
      <c r="X4522">
        <v>0.98005869999999995</v>
      </c>
      <c r="Y4522">
        <v>-8.4755960000000005E-2</v>
      </c>
      <c r="Z4522">
        <v>6.8135210000000003E-3</v>
      </c>
      <c r="AA4522">
        <v>0.9963784</v>
      </c>
      <c r="AB4522">
        <v>30</v>
      </c>
      <c r="AC4522">
        <v>19.4758999999999</v>
      </c>
      <c r="AD4522">
        <v>-1.1226773730720001</v>
      </c>
      <c r="AE4522">
        <v>-5.1339999999999698E-2</v>
      </c>
      <c r="AF4522">
        <v>-1.6706841482564101</v>
      </c>
      <c r="AG4522">
        <v>-1.1226773730720001</v>
      </c>
      <c r="AH4522">
        <v>19.3394371974858</v>
      </c>
      <c r="AI4522">
        <v>93.310058957921498</v>
      </c>
      <c r="AJ4522">
        <v>94.937376910319301</v>
      </c>
      <c r="AK4522">
        <v>19.443904472166601</v>
      </c>
      <c r="AL4522">
        <v>78.743639276609102</v>
      </c>
      <c r="AM4522">
        <v>92.172427171372703</v>
      </c>
      <c r="AN4522">
        <v>0.99999998336714102</v>
      </c>
    </row>
    <row r="4523" spans="1:40" x14ac:dyDescent="0.25">
      <c r="A4523" t="str">
        <f>"20190303170629680"</f>
        <v>20190303170629680</v>
      </c>
      <c r="B4523" t="str">
        <f>"1551603989669354"</f>
        <v>1551603989669354</v>
      </c>
      <c r="C4523" t="s">
        <v>40</v>
      </c>
      <c r="D4523">
        <v>5.7027130000000001</v>
      </c>
      <c r="E4523">
        <v>0.48524820000000002</v>
      </c>
      <c r="F4523" t="s">
        <v>41</v>
      </c>
      <c r="G4523">
        <v>-352.9796</v>
      </c>
      <c r="H4523" s="1">
        <v>-3.6877560000000001E-6</v>
      </c>
      <c r="I4523">
        <v>15.7054299999999</v>
      </c>
      <c r="J4523">
        <v>-372.89179999999999</v>
      </c>
      <c r="K4523">
        <v>1.1227450000000001</v>
      </c>
      <c r="L4523">
        <v>15.728490000000001</v>
      </c>
      <c r="M4523">
        <v>0.99613320000000005</v>
      </c>
      <c r="N4523">
        <v>-1.363403E-2</v>
      </c>
      <c r="O4523">
        <v>-8.6791170000000001E-2</v>
      </c>
      <c r="P4523">
        <v>0.9818578</v>
      </c>
      <c r="Q4523">
        <v>0.1834875</v>
      </c>
      <c r="R4523">
        <v>-4.7826430000000003E-2</v>
      </c>
      <c r="S4523">
        <v>3.0864259999999999</v>
      </c>
      <c r="T4523">
        <v>-0.17144509999999999</v>
      </c>
      <c r="U4523">
        <v>-7.2631839999999998E-3</v>
      </c>
      <c r="V4523">
        <v>-3.8288780000000001E-2</v>
      </c>
      <c r="W4523">
        <v>0.1967264</v>
      </c>
      <c r="X4523">
        <v>0.97971050000000004</v>
      </c>
      <c r="Y4523">
        <v>-8.4217029999999998E-2</v>
      </c>
      <c r="Z4523">
        <v>6.5407879999999996E-3</v>
      </c>
      <c r="AA4523">
        <v>0.99642600000000003</v>
      </c>
      <c r="AB4523">
        <v>30</v>
      </c>
      <c r="AC4523">
        <v>19.912199999999899</v>
      </c>
      <c r="AD4523">
        <v>-1.122748687756</v>
      </c>
      <c r="AE4523">
        <v>-2.3060000000000899E-2</v>
      </c>
      <c r="AF4523">
        <v>-1.69998616389387</v>
      </c>
      <c r="AG4523">
        <v>-1.122748687756</v>
      </c>
      <c r="AH4523">
        <v>19.7761758345336</v>
      </c>
      <c r="AI4523">
        <v>93.237439499760299</v>
      </c>
      <c r="AJ4523">
        <v>94.913142905551297</v>
      </c>
      <c r="AK4523">
        <v>19.880836205041199</v>
      </c>
      <c r="AL4523">
        <v>78.654407080858704</v>
      </c>
      <c r="AM4523">
        <v>92.238079109444996</v>
      </c>
      <c r="AN4523">
        <v>0.99999998547054902</v>
      </c>
    </row>
    <row r="4524" spans="1:40" x14ac:dyDescent="0.25">
      <c r="A4524" t="str">
        <f>"20190303170629692"</f>
        <v>20190303170629692</v>
      </c>
      <c r="B4524" t="str">
        <f>"1551603989679114"</f>
        <v>1551603989679114</v>
      </c>
      <c r="C4524" t="s">
        <v>40</v>
      </c>
      <c r="D4524">
        <v>5.8906330000000002</v>
      </c>
      <c r="E4524">
        <v>0.46892119999999998</v>
      </c>
      <c r="F4524" t="s">
        <v>41</v>
      </c>
      <c r="G4524">
        <v>-351.99650000000003</v>
      </c>
      <c r="H4524" s="1">
        <v>-4.1042679999999998E-6</v>
      </c>
      <c r="I4524">
        <v>15.735010000000001</v>
      </c>
      <c r="J4524">
        <v>-372.71429999999998</v>
      </c>
      <c r="K4524">
        <v>1.1227780000000001</v>
      </c>
      <c r="L4524">
        <v>15.7142</v>
      </c>
      <c r="M4524">
        <v>0.99623309999999998</v>
      </c>
      <c r="N4524">
        <v>-1.363413E-2</v>
      </c>
      <c r="O4524">
        <v>-8.5638939999999997E-2</v>
      </c>
      <c r="P4524">
        <v>0.9817709</v>
      </c>
      <c r="Q4524">
        <v>0.18447459999999999</v>
      </c>
      <c r="R4524">
        <v>-4.5774780000000001E-2</v>
      </c>
      <c r="S4524">
        <v>3.0864259999999999</v>
      </c>
      <c r="T4524">
        <v>-0.16583979999999901</v>
      </c>
      <c r="U4524">
        <v>9.765625E-4</v>
      </c>
      <c r="V4524">
        <v>-3.9207279999999997E-2</v>
      </c>
      <c r="W4524">
        <v>0.1977043</v>
      </c>
      <c r="X4524">
        <v>0.9794773</v>
      </c>
      <c r="Y4524">
        <v>-8.5738499999999995E-2</v>
      </c>
      <c r="Z4524">
        <v>6.3127359999999898E-3</v>
      </c>
      <c r="AA4524">
        <v>0.99629769999999895</v>
      </c>
      <c r="AB4524">
        <v>30</v>
      </c>
      <c r="AC4524">
        <v>20.717799999999901</v>
      </c>
      <c r="AD4524">
        <v>-1.122782104268</v>
      </c>
      <c r="AE4524">
        <v>2.08100000000008E-2</v>
      </c>
      <c r="AF4524">
        <v>-1.78989172009659</v>
      </c>
      <c r="AG4524">
        <v>-1.122782104268</v>
      </c>
      <c r="AH4524">
        <v>20.5794495154672</v>
      </c>
      <c r="AI4524">
        <v>93.111148793543194</v>
      </c>
      <c r="AJ4524">
        <v>94.970775200188797</v>
      </c>
      <c r="AK4524">
        <v>20.6876314348211</v>
      </c>
      <c r="AL4524">
        <v>78.597255145685295</v>
      </c>
      <c r="AM4524">
        <v>92.292256299904196</v>
      </c>
      <c r="AN4524">
        <v>0.99999999112938898</v>
      </c>
    </row>
    <row r="4525" spans="1:40" x14ac:dyDescent="0.25">
      <c r="A4525" t="str">
        <f>"20190303170629711"</f>
        <v>20190303170629711</v>
      </c>
      <c r="B4525" t="str">
        <f>"1551603989699610"</f>
        <v>1551603989699610</v>
      </c>
      <c r="C4525" t="s">
        <v>40</v>
      </c>
      <c r="D4525">
        <v>5.7885260000000001</v>
      </c>
      <c r="E4525">
        <v>0.45730140000000002</v>
      </c>
      <c r="F4525" t="s">
        <v>41</v>
      </c>
      <c r="G4525">
        <v>-344.53</v>
      </c>
      <c r="H4525" s="1">
        <v>-2.80114E-6</v>
      </c>
      <c r="I4525">
        <v>16.954190000000001</v>
      </c>
      <c r="J4525">
        <v>-372.46300000000002</v>
      </c>
      <c r="K4525">
        <v>1.1228279999999999</v>
      </c>
      <c r="L4525">
        <v>15.69431</v>
      </c>
      <c r="M4525">
        <v>0.99637399999999998</v>
      </c>
      <c r="N4525">
        <v>-1.3634169999999999E-2</v>
      </c>
      <c r="O4525">
        <v>-8.3984180000000005E-2</v>
      </c>
      <c r="P4525">
        <v>0.98159810000000003</v>
      </c>
      <c r="Q4525">
        <v>0.1862076</v>
      </c>
      <c r="R4525">
        <v>-4.2334940000000001E-2</v>
      </c>
      <c r="S4525">
        <v>3.0851440000000001</v>
      </c>
      <c r="T4525">
        <v>-0.1229029</v>
      </c>
      <c r="U4525">
        <v>0.13574220000000001</v>
      </c>
      <c r="V4525">
        <v>-4.1014620000000002E-2</v>
      </c>
      <c r="W4525">
        <v>0.1994213</v>
      </c>
      <c r="X4525">
        <v>0.97905509999999996</v>
      </c>
      <c r="Y4525">
        <v>-0.1275473</v>
      </c>
      <c r="Z4525">
        <v>5.6053219999999898E-3</v>
      </c>
      <c r="AA4525">
        <v>0.99181660000000005</v>
      </c>
      <c r="AB4525">
        <v>30</v>
      </c>
      <c r="AC4525">
        <v>27.933</v>
      </c>
      <c r="AD4525">
        <v>-1.1228308011399999</v>
      </c>
      <c r="AE4525">
        <v>1.2598800000000001</v>
      </c>
      <c r="AF4525">
        <v>-3.5957775140306598</v>
      </c>
      <c r="AG4525">
        <v>-1.1228308011399999</v>
      </c>
      <c r="AH4525">
        <v>27.6838356918072</v>
      </c>
      <c r="AI4525">
        <v>92.303264380647093</v>
      </c>
      <c r="AJ4525">
        <v>97.400559760222293</v>
      </c>
      <c r="AK4525">
        <v>27.9389535156451</v>
      </c>
      <c r="AL4525">
        <v>78.496879386269299</v>
      </c>
      <c r="AM4525">
        <v>92.398834738761806</v>
      </c>
      <c r="AN4525">
        <v>0.99999997139172103</v>
      </c>
    </row>
    <row r="4526" spans="1:40" x14ac:dyDescent="0.25">
      <c r="A4526" t="str">
        <f>"20190303170629735"</f>
        <v>20190303170629735</v>
      </c>
      <c r="B4526" t="str">
        <f>"1551603989729866"</f>
        <v>1551603989729866</v>
      </c>
      <c r="C4526" t="s">
        <v>40</v>
      </c>
      <c r="D4526">
        <v>5.7712120000000002</v>
      </c>
      <c r="E4526">
        <v>0.44931480000000001</v>
      </c>
      <c r="F4526" t="s">
        <v>41</v>
      </c>
      <c r="G4526">
        <v>-333.39879999999999</v>
      </c>
      <c r="H4526" s="1">
        <v>-2.9750389999999999E-6</v>
      </c>
      <c r="I4526">
        <v>18.709669999999999</v>
      </c>
      <c r="J4526">
        <v>-372.14460000000003</v>
      </c>
      <c r="K4526">
        <v>1.1228739999999999</v>
      </c>
      <c r="L4526">
        <v>15.66977</v>
      </c>
      <c r="M4526">
        <v>0.99655119999999997</v>
      </c>
      <c r="N4526">
        <v>-1.36341E-2</v>
      </c>
      <c r="O4526">
        <v>-8.1853330000000002E-2</v>
      </c>
      <c r="P4526">
        <v>0.98137660000000004</v>
      </c>
      <c r="Q4526">
        <v>0.18816079999999999</v>
      </c>
      <c r="R4526">
        <v>-3.8676380000000003E-2</v>
      </c>
      <c r="S4526">
        <v>3.083313</v>
      </c>
      <c r="T4526">
        <v>-8.8624120000000001E-2</v>
      </c>
      <c r="U4526">
        <v>0.23800660000000001</v>
      </c>
      <c r="V4526">
        <v>-4.256923E-2</v>
      </c>
      <c r="W4526">
        <v>0.2013587</v>
      </c>
      <c r="X4526">
        <v>0.97859209999999996</v>
      </c>
      <c r="Y4526">
        <v>-0.15821749999999901</v>
      </c>
      <c r="Z4526">
        <v>4.5848449999999997E-3</v>
      </c>
      <c r="AA4526">
        <v>0.98739359999999998</v>
      </c>
      <c r="AB4526">
        <v>30</v>
      </c>
      <c r="AC4526">
        <v>38.745800000000003</v>
      </c>
      <c r="AD4526">
        <v>-1.122876975039</v>
      </c>
      <c r="AE4526">
        <v>3.0398999999999998</v>
      </c>
      <c r="AF4526">
        <v>-6.1962924195144202</v>
      </c>
      <c r="AG4526">
        <v>-1.122876975039</v>
      </c>
      <c r="AH4526">
        <v>38.334911222441299</v>
      </c>
      <c r="AI4526">
        <v>91.656299907336106</v>
      </c>
      <c r="AJ4526">
        <v>99.181636143736696</v>
      </c>
      <c r="AK4526">
        <v>38.848684802469997</v>
      </c>
      <c r="AL4526">
        <v>78.383576425724002</v>
      </c>
      <c r="AM4526">
        <v>92.490823810585397</v>
      </c>
      <c r="AN4526">
        <v>0.99999998179544602</v>
      </c>
    </row>
    <row r="4527" spans="1:40" x14ac:dyDescent="0.25">
      <c r="A4527" t="str">
        <f>"20190303170629759"</f>
        <v>20190303170629759</v>
      </c>
      <c r="B4527" t="str">
        <f>"1551603989749386"</f>
        <v>1551603989749386</v>
      </c>
      <c r="C4527" t="s">
        <v>40</v>
      </c>
      <c r="D4527">
        <v>5.7642480000000003</v>
      </c>
      <c r="E4527">
        <v>0.44743640000000001</v>
      </c>
      <c r="F4527" t="s">
        <v>43</v>
      </c>
      <c r="G4527">
        <v>-310.17129999999997</v>
      </c>
      <c r="H4527">
        <v>-0.05</v>
      </c>
      <c r="I4527">
        <v>21.947600000000001</v>
      </c>
      <c r="J4527">
        <v>-371.82639999999998</v>
      </c>
      <c r="K4527">
        <v>1.1229169999999999</v>
      </c>
      <c r="L4527">
        <v>15.64597</v>
      </c>
      <c r="M4527">
        <v>0.99672539999999998</v>
      </c>
      <c r="N4527">
        <v>-1.36338E-2</v>
      </c>
      <c r="O4527">
        <v>-7.9701519999999998E-2</v>
      </c>
      <c r="P4527">
        <v>0.98106660000000001</v>
      </c>
      <c r="Q4527">
        <v>0.1902875</v>
      </c>
      <c r="R4527">
        <v>-3.6043319999999997E-2</v>
      </c>
      <c r="S4527">
        <v>3.0804140000000002</v>
      </c>
      <c r="T4527">
        <v>-5.8298229999999999E-2</v>
      </c>
      <c r="U4527">
        <v>0.31204219999999999</v>
      </c>
      <c r="V4527">
        <v>-4.3070740000000003E-2</v>
      </c>
      <c r="W4527">
        <v>0.2034745</v>
      </c>
      <c r="X4527">
        <v>0.97813240000000001</v>
      </c>
      <c r="Y4527">
        <v>-0.17970939999999999</v>
      </c>
      <c r="Z4527">
        <v>3.345551E-3</v>
      </c>
      <c r="AA4527">
        <v>0.98371399999999998</v>
      </c>
      <c r="AB4527">
        <v>30</v>
      </c>
      <c r="AC4527">
        <v>61.655099999999997</v>
      </c>
      <c r="AD4527">
        <v>-1.172917</v>
      </c>
      <c r="AE4527">
        <v>6.3016299999999896</v>
      </c>
      <c r="AF4527">
        <v>-11.192033362949401</v>
      </c>
      <c r="AG4527">
        <v>-1.172917</v>
      </c>
      <c r="AH4527">
        <v>60.934803641319199</v>
      </c>
      <c r="AI4527">
        <v>91.084595761599402</v>
      </c>
      <c r="AJ4527">
        <v>100.40764452252</v>
      </c>
      <c r="AK4527">
        <v>61.965213143282199</v>
      </c>
      <c r="AL4527">
        <v>78.259787429648995</v>
      </c>
      <c r="AM4527">
        <v>92.521313580249497</v>
      </c>
      <c r="AN4527">
        <v>0.99999997636207805</v>
      </c>
    </row>
    <row r="4528" spans="1:40" x14ac:dyDescent="0.25">
      <c r="A4528" t="str">
        <f>"20190303170629779"</f>
        <v>20190303170629779</v>
      </c>
      <c r="B4528" t="str">
        <f>"1551603989769882"</f>
        <v>1551603989769882</v>
      </c>
      <c r="C4528" t="s">
        <v>40</v>
      </c>
      <c r="D4528">
        <v>5.8194559999999997</v>
      </c>
      <c r="E4528">
        <v>0.44633469999999997</v>
      </c>
      <c r="F4528" t="s">
        <v>43</v>
      </c>
      <c r="G4528">
        <v>-296.58120000000002</v>
      </c>
      <c r="H4528">
        <v>-0.05</v>
      </c>
      <c r="I4528">
        <v>23.8401</v>
      </c>
      <c r="J4528">
        <v>-371.55309999999997</v>
      </c>
      <c r="K4528">
        <v>1.122943</v>
      </c>
      <c r="L4528">
        <v>15.62607</v>
      </c>
      <c r="M4528">
        <v>0.99687250000000005</v>
      </c>
      <c r="N4528">
        <v>-1.3633360000000001E-2</v>
      </c>
      <c r="O4528">
        <v>-7.7842499999999995E-2</v>
      </c>
      <c r="P4528">
        <v>0.98068900000000003</v>
      </c>
      <c r="Q4528">
        <v>0.1926658</v>
      </c>
      <c r="R4528">
        <v>-3.360374E-2</v>
      </c>
      <c r="S4528">
        <v>3.079529</v>
      </c>
      <c r="T4528">
        <v>-4.8003440000000001E-2</v>
      </c>
      <c r="U4528">
        <v>0.33535769999999998</v>
      </c>
      <c r="V4528">
        <v>-4.3660110000000002E-2</v>
      </c>
      <c r="W4528">
        <v>0.20584179999999999</v>
      </c>
      <c r="X4528">
        <v>0.9776108</v>
      </c>
      <c r="Y4528">
        <v>-0.18528059999999999</v>
      </c>
      <c r="Z4528">
        <v>2.8589140000000002E-3</v>
      </c>
      <c r="AA4528">
        <v>0.98268149999999999</v>
      </c>
      <c r="AB4528">
        <v>30</v>
      </c>
      <c r="AC4528">
        <v>74.971899999999906</v>
      </c>
      <c r="AD4528">
        <v>-1.1729430000000001</v>
      </c>
      <c r="AE4528">
        <v>8.2140299999999993</v>
      </c>
      <c r="AF4528">
        <v>-14.0222520319477</v>
      </c>
      <c r="AG4528">
        <v>-1.1729430000000001</v>
      </c>
      <c r="AH4528">
        <v>74.086988964278007</v>
      </c>
      <c r="AI4528">
        <v>90.8912098375624</v>
      </c>
      <c r="AJ4528">
        <v>100.71744945281201</v>
      </c>
      <c r="AK4528">
        <v>75.411413467205193</v>
      </c>
      <c r="AL4528">
        <v>78.121217914722394</v>
      </c>
      <c r="AM4528">
        <v>92.5571310202604</v>
      </c>
      <c r="AN4528">
        <v>0.99999996405454505</v>
      </c>
    </row>
    <row r="4529" spans="1:40" x14ac:dyDescent="0.25">
      <c r="A4529" t="str">
        <f>"20190303170629792"</f>
        <v>20190303170629792</v>
      </c>
      <c r="B4529" t="str">
        <f>"1551603989779266"</f>
        <v>1551603989779266</v>
      </c>
      <c r="C4529" t="s">
        <v>40</v>
      </c>
      <c r="D4529">
        <v>5.7918409999999998</v>
      </c>
      <c r="E4529">
        <v>0.44606889999999999</v>
      </c>
      <c r="F4529" t="s">
        <v>101</v>
      </c>
      <c r="G4529">
        <v>-279.68</v>
      </c>
      <c r="H4529">
        <v>2.009201E-2</v>
      </c>
      <c r="I4529">
        <v>26.12725</v>
      </c>
      <c r="J4529">
        <v>-371.37619999999998</v>
      </c>
      <c r="K4529">
        <v>1.1229549999999999</v>
      </c>
      <c r="L4529">
        <v>15.613490000000001</v>
      </c>
      <c r="M4529">
        <v>0.99696589999999996</v>
      </c>
      <c r="N4529">
        <v>-1.363282E-2</v>
      </c>
      <c r="O4529">
        <v>-7.6637159999999996E-2</v>
      </c>
      <c r="P4529">
        <v>0.98051290000000002</v>
      </c>
      <c r="Q4529">
        <v>0.1938511</v>
      </c>
      <c r="R4529">
        <v>-3.1884129999999997E-2</v>
      </c>
      <c r="S4529">
        <v>3.07843</v>
      </c>
      <c r="T4529">
        <v>-3.6953569999999998E-2</v>
      </c>
      <c r="U4529">
        <v>0.35186770000000001</v>
      </c>
      <c r="V4529">
        <v>-4.4183100000000003E-2</v>
      </c>
      <c r="W4529">
        <v>0.20702039999999999</v>
      </c>
      <c r="X4529">
        <v>0.97733840000000005</v>
      </c>
      <c r="Y4529">
        <v>-0.18934699999999999</v>
      </c>
      <c r="Z4529">
        <v>2.303944E-3</v>
      </c>
      <c r="AA4529">
        <v>0.98190750000000004</v>
      </c>
      <c r="AB4529">
        <v>30</v>
      </c>
      <c r="AC4529">
        <v>91.696199999999905</v>
      </c>
      <c r="AD4529">
        <v>-1.10286299</v>
      </c>
      <c r="AE4529">
        <v>10.51376</v>
      </c>
      <c r="AF4529">
        <v>-17.5083230138776</v>
      </c>
      <c r="AG4529">
        <v>-1.10286299</v>
      </c>
      <c r="AH4529">
        <v>90.607719187520104</v>
      </c>
      <c r="AI4529">
        <v>90.684696395159804</v>
      </c>
      <c r="AJ4529">
        <v>100.93659597517301</v>
      </c>
      <c r="AK4529">
        <v>92.290392012914793</v>
      </c>
      <c r="AL4529">
        <v>78.052202665210999</v>
      </c>
      <c r="AM4529">
        <v>92.588440913316504</v>
      </c>
      <c r="AN4529">
        <v>0.999999970228164</v>
      </c>
    </row>
    <row r="4530" spans="1:40" x14ac:dyDescent="0.25">
      <c r="A4530" t="str">
        <f>"20190303170629805"</f>
        <v>20190303170629805</v>
      </c>
      <c r="B4530" t="str">
        <f>"1551603989799762"</f>
        <v>1551603989799762</v>
      </c>
      <c r="C4530" t="s">
        <v>40</v>
      </c>
      <c r="D4530">
        <v>5.8222769999999997</v>
      </c>
      <c r="E4530">
        <v>0.44549889999999998</v>
      </c>
      <c r="F4530" t="s">
        <v>101</v>
      </c>
      <c r="G4530">
        <v>-279.68</v>
      </c>
      <c r="H4530">
        <v>0.13618540000000001</v>
      </c>
      <c r="I4530">
        <v>26.32535</v>
      </c>
      <c r="J4530">
        <v>-371.20080000000002</v>
      </c>
      <c r="K4530">
        <v>1.122965</v>
      </c>
      <c r="L4530">
        <v>15.6012</v>
      </c>
      <c r="M4530">
        <v>0.99705710000000003</v>
      </c>
      <c r="N4530">
        <v>-1.363222E-2</v>
      </c>
      <c r="O4530">
        <v>-7.5440660000000007E-2</v>
      </c>
      <c r="P4530">
        <v>0.98034549999999998</v>
      </c>
      <c r="Q4530">
        <v>0.1949767</v>
      </c>
      <c r="R4530">
        <v>-3.0114370000000001E-2</v>
      </c>
      <c r="S4530">
        <v>3.0779109999999998</v>
      </c>
      <c r="T4530">
        <v>-3.3122180000000001E-2</v>
      </c>
      <c r="U4530">
        <v>0.35955809999999999</v>
      </c>
      <c r="V4530">
        <v>-4.4765010000000001E-2</v>
      </c>
      <c r="W4530">
        <v>0.2081394</v>
      </c>
      <c r="X4530">
        <v>0.97707429999999995</v>
      </c>
      <c r="Y4530">
        <v>-0.19061210000000001</v>
      </c>
      <c r="Z4530">
        <v>2.110668E-3</v>
      </c>
      <c r="AA4530">
        <v>0.98166319999999996</v>
      </c>
      <c r="AB4530">
        <v>30</v>
      </c>
      <c r="AC4530">
        <v>91.520799999999994</v>
      </c>
      <c r="AD4530">
        <v>-0.98677959999999998</v>
      </c>
      <c r="AE4530">
        <v>10.72415</v>
      </c>
      <c r="AF4530">
        <v>-17.596596914498001</v>
      </c>
      <c r="AG4530">
        <v>-0.98677959999999998</v>
      </c>
      <c r="AH4530">
        <v>90.440460358614502</v>
      </c>
      <c r="AI4530">
        <v>90.613613532352701</v>
      </c>
      <c r="AJ4530">
        <v>101.010226138028</v>
      </c>
      <c r="AK4530">
        <v>92.141688864641594</v>
      </c>
      <c r="AL4530">
        <v>77.986662054062705</v>
      </c>
      <c r="AM4530">
        <v>92.623192342658896</v>
      </c>
      <c r="AN4530">
        <v>1.0000000518365699</v>
      </c>
    </row>
    <row r="4531" spans="1:40" x14ac:dyDescent="0.25">
      <c r="A4531" t="str">
        <f>"20190303170629824"</f>
        <v>20190303170629824</v>
      </c>
      <c r="B4531" t="str">
        <f>"1551603989809521"</f>
        <v>1551603989809521</v>
      </c>
      <c r="C4531" t="s">
        <v>40</v>
      </c>
      <c r="D4531">
        <v>5.8160160000000003</v>
      </c>
      <c r="E4531">
        <v>0.44528719999999999</v>
      </c>
      <c r="F4531" t="s">
        <v>101</v>
      </c>
      <c r="G4531">
        <v>-279.68</v>
      </c>
      <c r="H4531">
        <v>0.2466033</v>
      </c>
      <c r="I4531">
        <v>26.593060000000001</v>
      </c>
      <c r="J4531">
        <v>-370.94990000000001</v>
      </c>
      <c r="K4531">
        <v>1.1229789999999999</v>
      </c>
      <c r="L4531">
        <v>15.584009999999999</v>
      </c>
      <c r="M4531">
        <v>0.99718519999999999</v>
      </c>
      <c r="N4531">
        <v>-1.3631570000000001E-2</v>
      </c>
      <c r="O4531">
        <v>-7.3730749999999998E-2</v>
      </c>
      <c r="P4531">
        <v>0.98003470000000004</v>
      </c>
      <c r="Q4531">
        <v>0.1969197</v>
      </c>
      <c r="R4531">
        <v>-2.7477979999999999E-2</v>
      </c>
      <c r="S4531">
        <v>3.0773619999999999</v>
      </c>
      <c r="T4531">
        <v>-2.9467340000000002E-2</v>
      </c>
      <c r="U4531">
        <v>0.36959839999999999</v>
      </c>
      <c r="V4531">
        <v>-4.5700320000000003E-2</v>
      </c>
      <c r="W4531">
        <v>0.2100717</v>
      </c>
      <c r="X4531">
        <v>0.97661730000000002</v>
      </c>
      <c r="Y4531">
        <v>-0.19211039999999999</v>
      </c>
      <c r="Z4531">
        <v>1.9333390000000001E-3</v>
      </c>
      <c r="AA4531">
        <v>0.9813714</v>
      </c>
      <c r="AB4531">
        <v>30</v>
      </c>
      <c r="AC4531">
        <v>91.269900000000007</v>
      </c>
      <c r="AD4531">
        <v>-0.87637569999999998</v>
      </c>
      <c r="AE4531">
        <v>11.009049999999901</v>
      </c>
      <c r="AF4531">
        <v>-17.707492890618099</v>
      </c>
      <c r="AG4531">
        <v>-0.87637569999999998</v>
      </c>
      <c r="AH4531">
        <v>90.201455997505406</v>
      </c>
      <c r="AI4531">
        <v>90.5462294321608</v>
      </c>
      <c r="AJ4531">
        <v>101.106526697996</v>
      </c>
      <c r="AK4531">
        <v>91.927286498127103</v>
      </c>
      <c r="AL4531">
        <v>77.873445852954305</v>
      </c>
      <c r="AM4531">
        <v>92.679173046896807</v>
      </c>
      <c r="AN4531">
        <v>0.99999999452414101</v>
      </c>
    </row>
    <row r="4532" spans="1:40" x14ac:dyDescent="0.25">
      <c r="A4532" t="str">
        <f>"20190303170629835"</f>
        <v>20190303170629835</v>
      </c>
      <c r="B4532" t="str">
        <f>"1551603989830018"</f>
        <v>1551603989830018</v>
      </c>
      <c r="C4532" t="s">
        <v>40</v>
      </c>
      <c r="D4532">
        <v>5.7932360000000003</v>
      </c>
      <c r="E4532">
        <v>0.44469710000000001</v>
      </c>
      <c r="F4532" t="s">
        <v>102</v>
      </c>
      <c r="G4532">
        <v>-279.68</v>
      </c>
      <c r="H4532">
        <v>0.40615329999999999</v>
      </c>
      <c r="I4532">
        <v>26.84451</v>
      </c>
      <c r="J4532">
        <v>-370.78449999999998</v>
      </c>
      <c r="K4532">
        <v>1.1229830000000001</v>
      </c>
      <c r="L4532">
        <v>15.57297</v>
      </c>
      <c r="M4532">
        <v>0.99726769999999998</v>
      </c>
      <c r="N4532">
        <v>-1.3630929999999999E-2</v>
      </c>
      <c r="O4532">
        <v>-7.260403E-2</v>
      </c>
      <c r="P4532">
        <v>0.97991410000000001</v>
      </c>
      <c r="Q4532">
        <v>0.19772100000000001</v>
      </c>
      <c r="R4532">
        <v>-2.5981520000000001E-2</v>
      </c>
      <c r="S4532">
        <v>3.0765989999999999</v>
      </c>
      <c r="T4532">
        <v>-2.4163480000000001E-2</v>
      </c>
      <c r="U4532">
        <v>0.37957760000000001</v>
      </c>
      <c r="V4532">
        <v>-4.6080620000000003E-2</v>
      </c>
      <c r="W4532">
        <v>0.2108679</v>
      </c>
      <c r="X4532">
        <v>0.97642790000000002</v>
      </c>
      <c r="Y4532">
        <v>-0.19417110000000001</v>
      </c>
      <c r="Z4532">
        <v>1.670897E-3</v>
      </c>
      <c r="AA4532">
        <v>0.98096629999999996</v>
      </c>
      <c r="AB4532">
        <v>30</v>
      </c>
      <c r="AC4532">
        <v>91.104499999999902</v>
      </c>
      <c r="AD4532">
        <v>-0.71682970000000001</v>
      </c>
      <c r="AE4532">
        <v>11.2715399999999</v>
      </c>
      <c r="AF4532">
        <v>-17.855866746201201</v>
      </c>
      <c r="AG4532">
        <v>-0.71682970000000001</v>
      </c>
      <c r="AH4532">
        <v>90.040090855762699</v>
      </c>
      <c r="AI4532">
        <v>90.447422459697293</v>
      </c>
      <c r="AJ4532">
        <v>101.216806642487</v>
      </c>
      <c r="AK4532">
        <v>91.796316829112996</v>
      </c>
      <c r="AL4532">
        <v>77.826782615927101</v>
      </c>
      <c r="AM4532">
        <v>92.701958402378693</v>
      </c>
      <c r="AN4532">
        <v>1.0000000693441899</v>
      </c>
    </row>
    <row r="4533" spans="1:40" x14ac:dyDescent="0.25">
      <c r="A4533" t="str">
        <f>"20190303170629848"</f>
        <v>20190303170629848</v>
      </c>
      <c r="B4533" t="str">
        <f>"1551603989839778"</f>
        <v>1551603989839778</v>
      </c>
      <c r="C4533" t="s">
        <v>40</v>
      </c>
      <c r="D4533">
        <v>5.6602220000000001</v>
      </c>
      <c r="E4533">
        <v>0.44440980000000002</v>
      </c>
      <c r="F4533" t="s">
        <v>102</v>
      </c>
      <c r="G4533">
        <v>-279.68</v>
      </c>
      <c r="H4533">
        <v>0.39714569999999999</v>
      </c>
      <c r="I4533">
        <v>27.093769999999999</v>
      </c>
      <c r="J4533">
        <v>-370.62400000000002</v>
      </c>
      <c r="K4533">
        <v>1.1229830000000001</v>
      </c>
      <c r="L4533">
        <v>15.56241</v>
      </c>
      <c r="M4533">
        <v>0.99734670000000003</v>
      </c>
      <c r="N4533">
        <v>-1.363026E-2</v>
      </c>
      <c r="O4533">
        <v>-7.1511870000000005E-2</v>
      </c>
      <c r="P4533">
        <v>0.97980230000000001</v>
      </c>
      <c r="Q4533">
        <v>0.1984215</v>
      </c>
      <c r="R4533">
        <v>-2.483196E-2</v>
      </c>
      <c r="S4533">
        <v>3.0766909999999998</v>
      </c>
      <c r="T4533">
        <v>-2.4512409999999998E-2</v>
      </c>
      <c r="U4533">
        <v>0.38906859999999999</v>
      </c>
      <c r="V4533">
        <v>-4.6150320000000002E-2</v>
      </c>
      <c r="W4533">
        <v>0.21156559999999999</v>
      </c>
      <c r="X4533">
        <v>0.97627359999999996</v>
      </c>
      <c r="Y4533">
        <v>-0.196072</v>
      </c>
      <c r="Z4533">
        <v>1.716946E-3</v>
      </c>
      <c r="AA4533">
        <v>0.98058800000000002</v>
      </c>
      <c r="AB4533">
        <v>30</v>
      </c>
      <c r="AC4533">
        <v>90.944000000000003</v>
      </c>
      <c r="AD4533">
        <v>-0.72583730000000002</v>
      </c>
      <c r="AE4533">
        <v>11.531359999999999</v>
      </c>
      <c r="AF4533">
        <v>-18.004881754999499</v>
      </c>
      <c r="AG4533">
        <v>-0.72583730000000002</v>
      </c>
      <c r="AH4533">
        <v>89.880776876602795</v>
      </c>
      <c r="AI4533">
        <v>90.453672692244197</v>
      </c>
      <c r="AJ4533">
        <v>101.32753912138899</v>
      </c>
      <c r="AK4533">
        <v>91.669278707423302</v>
      </c>
      <c r="AL4533">
        <v>77.785883786532395</v>
      </c>
      <c r="AM4533">
        <v>92.706466277319095</v>
      </c>
      <c r="AN4533">
        <v>0.99999999859821098</v>
      </c>
    </row>
    <row r="4534" spans="1:40" x14ac:dyDescent="0.25">
      <c r="A4534" t="str">
        <f>"20190303170629860"</f>
        <v>20190303170629860</v>
      </c>
      <c r="B4534" t="str">
        <f>"1551603989849538"</f>
        <v>1551603989849538</v>
      </c>
      <c r="C4534" t="s">
        <v>40</v>
      </c>
      <c r="D4534">
        <v>5.8563489999999998</v>
      </c>
      <c r="E4534">
        <v>0.44425900000000001</v>
      </c>
      <c r="F4534" t="s">
        <v>102</v>
      </c>
      <c r="G4534">
        <v>-279.68</v>
      </c>
      <c r="H4534">
        <v>0.42618159999999999</v>
      </c>
      <c r="I4534">
        <v>27.242650000000001</v>
      </c>
      <c r="J4534">
        <v>-370.4676</v>
      </c>
      <c r="K4534">
        <v>1.1229849999999999</v>
      </c>
      <c r="L4534">
        <v>15.55222</v>
      </c>
      <c r="M4534">
        <v>0.99742249999999999</v>
      </c>
      <c r="N4534">
        <v>-1.3629550000000001E-2</v>
      </c>
      <c r="O4534">
        <v>-7.0447499999999996E-2</v>
      </c>
      <c r="P4534">
        <v>0.97965089999999999</v>
      </c>
      <c r="Q4534">
        <v>0.1993075</v>
      </c>
      <c r="R4534">
        <v>-2.368899E-2</v>
      </c>
      <c r="S4534">
        <v>3.0766300000000002</v>
      </c>
      <c r="T4534">
        <v>-2.3572920000000001E-2</v>
      </c>
      <c r="U4534">
        <v>0.39514159999999998</v>
      </c>
      <c r="V4534">
        <v>-4.6238090000000003E-2</v>
      </c>
      <c r="W4534">
        <v>0.21244779999999999</v>
      </c>
      <c r="X4534">
        <v>0.97607790000000005</v>
      </c>
      <c r="Y4534">
        <v>-0.19693330000000001</v>
      </c>
      <c r="Z4534">
        <v>1.6810239999999999E-3</v>
      </c>
      <c r="AA4534">
        <v>0.9804155</v>
      </c>
      <c r="AB4534">
        <v>30</v>
      </c>
      <c r="AC4534">
        <v>90.787599999999998</v>
      </c>
      <c r="AD4534">
        <v>-0.69680339999999996</v>
      </c>
      <c r="AE4534">
        <v>11.690429999999999</v>
      </c>
      <c r="AF4534">
        <v>-18.056686038692401</v>
      </c>
      <c r="AG4534">
        <v>-0.69680339999999996</v>
      </c>
      <c r="AH4534">
        <v>89.733157590083593</v>
      </c>
      <c r="AI4534">
        <v>90.436166355507595</v>
      </c>
      <c r="AJ4534">
        <v>101.37748500235</v>
      </c>
      <c r="AK4534">
        <v>91.534523633244206</v>
      </c>
      <c r="AL4534">
        <v>77.734162325264094</v>
      </c>
      <c r="AM4534">
        <v>92.712148692504798</v>
      </c>
      <c r="AN4534">
        <v>1.0000000477800399</v>
      </c>
    </row>
    <row r="4535" spans="1:40" x14ac:dyDescent="0.25">
      <c r="A4535" t="str">
        <f>"20190303170629879"</f>
        <v>20190303170629879</v>
      </c>
      <c r="B4535" t="str">
        <f>"1551603989870034"</f>
        <v>1551603989870034</v>
      </c>
      <c r="C4535" t="s">
        <v>40</v>
      </c>
      <c r="D4535">
        <v>5.8437099999999997</v>
      </c>
      <c r="E4535">
        <v>0.44426389999999999</v>
      </c>
      <c r="F4535" t="s">
        <v>102</v>
      </c>
      <c r="G4535">
        <v>-279.68</v>
      </c>
      <c r="H4535">
        <v>0.47149039999999998</v>
      </c>
      <c r="I4535">
        <v>27.357040000000001</v>
      </c>
      <c r="J4535">
        <v>-370.21420000000001</v>
      </c>
      <c r="K4535">
        <v>1.122995</v>
      </c>
      <c r="L4535">
        <v>15.536160000000001</v>
      </c>
      <c r="M4535">
        <v>0.99754259999999995</v>
      </c>
      <c r="N4535">
        <v>-1.3628370000000001E-2</v>
      </c>
      <c r="O4535">
        <v>-6.8725830000000002E-2</v>
      </c>
      <c r="P4535">
        <v>0.97934160000000003</v>
      </c>
      <c r="Q4535">
        <v>0.20100129999999999</v>
      </c>
      <c r="R4535">
        <v>-2.21078E-2</v>
      </c>
      <c r="S4535">
        <v>3.0764770000000001</v>
      </c>
      <c r="T4535">
        <v>-2.2077079999999999E-2</v>
      </c>
      <c r="U4535">
        <v>0.4000244</v>
      </c>
      <c r="V4535">
        <v>-4.6110850000000002E-2</v>
      </c>
      <c r="W4535">
        <v>0.21413650000000001</v>
      </c>
      <c r="X4535">
        <v>0.97571479999999999</v>
      </c>
      <c r="Y4535">
        <v>-0.19677890000000001</v>
      </c>
      <c r="Z4535">
        <v>1.608813E-3</v>
      </c>
      <c r="AA4535">
        <v>0.98044659999999995</v>
      </c>
      <c r="AB4535">
        <v>30</v>
      </c>
      <c r="AC4535">
        <v>90.534199999999998</v>
      </c>
      <c r="AD4535">
        <v>-0.65150459999999999</v>
      </c>
      <c r="AE4535">
        <v>11.820880000000001</v>
      </c>
      <c r="AF4535">
        <v>-18.014623358325</v>
      </c>
      <c r="AG4535">
        <v>-0.65150459999999999</v>
      </c>
      <c r="AH4535">
        <v>89.503067362058999</v>
      </c>
      <c r="AI4535">
        <v>90.408857020458299</v>
      </c>
      <c r="AJ4535">
        <v>101.380092104759</v>
      </c>
      <c r="AK4535">
        <v>91.300329573355896</v>
      </c>
      <c r="AL4535">
        <v>77.635127539965694</v>
      </c>
      <c r="AM4535">
        <v>92.705701404255706</v>
      </c>
      <c r="AN4535">
        <v>1.0000000110295</v>
      </c>
    </row>
    <row r="4536" spans="1:40" x14ac:dyDescent="0.25">
      <c r="A4536" t="str">
        <f>"20190303170629891"</f>
        <v>20190303170629891</v>
      </c>
      <c r="B4536" t="str">
        <f>"1551603989879498"</f>
        <v>1551603989879498</v>
      </c>
      <c r="C4536" t="s">
        <v>40</v>
      </c>
      <c r="D4536">
        <v>5.8673000000000002</v>
      </c>
      <c r="E4536">
        <v>0.44429740000000001</v>
      </c>
      <c r="F4536" t="s">
        <v>102</v>
      </c>
      <c r="G4536">
        <v>-279.68</v>
      </c>
      <c r="H4536">
        <v>0.56890620000000003</v>
      </c>
      <c r="I4536">
        <v>27.470289999999999</v>
      </c>
      <c r="J4536">
        <v>-370.05549999999999</v>
      </c>
      <c r="K4536">
        <v>1.123</v>
      </c>
      <c r="L4536">
        <v>15.526339999999999</v>
      </c>
      <c r="M4536">
        <v>0.99761619999999995</v>
      </c>
      <c r="N4536">
        <v>-1.362762E-2</v>
      </c>
      <c r="O4536">
        <v>-6.7648230000000004E-2</v>
      </c>
      <c r="P4536">
        <v>0.97915019999999997</v>
      </c>
      <c r="Q4536">
        <v>0.2020516</v>
      </c>
      <c r="R4536">
        <v>-2.097682E-2</v>
      </c>
      <c r="S4536">
        <v>3.0763240000000001</v>
      </c>
      <c r="T4536">
        <v>-1.8827920000000001E-2</v>
      </c>
      <c r="U4536">
        <v>0.40551759999999998</v>
      </c>
      <c r="V4536">
        <v>-4.6172560000000001E-2</v>
      </c>
      <c r="W4536">
        <v>0.21518300000000001</v>
      </c>
      <c r="X4536">
        <v>0.97548159999999895</v>
      </c>
      <c r="Y4536">
        <v>-0.1974494</v>
      </c>
      <c r="Z4536">
        <v>1.447886E-3</v>
      </c>
      <c r="AA4536">
        <v>0.98031199999999996</v>
      </c>
      <c r="AB4536">
        <v>30</v>
      </c>
      <c r="AC4536">
        <v>90.375500000000002</v>
      </c>
      <c r="AD4536">
        <v>-0.55409379999999997</v>
      </c>
      <c r="AE4536">
        <v>11.943949999999999</v>
      </c>
      <c r="AF4536">
        <v>-18.030228167063601</v>
      </c>
      <c r="AG4536">
        <v>-0.55409379999999997</v>
      </c>
      <c r="AH4536">
        <v>89.357069156523806</v>
      </c>
      <c r="AI4536">
        <v>90.348261883006202</v>
      </c>
      <c r="AJ4536">
        <v>101.40781411593299</v>
      </c>
      <c r="AK4536">
        <v>91.159650920455704</v>
      </c>
      <c r="AL4536">
        <v>77.573736147905095</v>
      </c>
      <c r="AM4536">
        <v>92.709963771557895</v>
      </c>
      <c r="AN4536">
        <v>0.99999999036225595</v>
      </c>
    </row>
    <row r="4537" spans="1:40" x14ac:dyDescent="0.25">
      <c r="A4537" t="str">
        <f>"20190303170629904"</f>
        <v>20190303170629904</v>
      </c>
      <c r="B4537" t="str">
        <f>"1551603989899994"</f>
        <v>1551603989899994</v>
      </c>
      <c r="C4537" t="s">
        <v>40</v>
      </c>
      <c r="D4537">
        <v>5.8419369999999997</v>
      </c>
      <c r="E4537">
        <v>0.44444050000000002</v>
      </c>
      <c r="F4537" t="s">
        <v>102</v>
      </c>
      <c r="G4537">
        <v>-279.68</v>
      </c>
      <c r="H4537">
        <v>0.63314409999999999</v>
      </c>
      <c r="I4537">
        <v>27.54269</v>
      </c>
      <c r="J4537">
        <v>-369.88200000000001</v>
      </c>
      <c r="K4537">
        <v>1.123</v>
      </c>
      <c r="L4537">
        <v>15.515750000000001</v>
      </c>
      <c r="M4537">
        <v>0.99769540000000001</v>
      </c>
      <c r="N4537">
        <v>-1.362679E-2</v>
      </c>
      <c r="O4537">
        <v>-6.6470860000000007E-2</v>
      </c>
      <c r="P4537">
        <v>0.97897330000000005</v>
      </c>
      <c r="Q4537">
        <v>0.2030305</v>
      </c>
      <c r="R4537">
        <v>-1.9745370000000002E-2</v>
      </c>
      <c r="S4537">
        <v>3.0760800000000001</v>
      </c>
      <c r="T4537">
        <v>-1.6673210000000001E-2</v>
      </c>
      <c r="U4537">
        <v>0.40899659999999999</v>
      </c>
      <c r="V4537">
        <v>-4.6238170000000002E-2</v>
      </c>
      <c r="W4537">
        <v>0.21615799999999999</v>
      </c>
      <c r="X4537">
        <v>0.97526290000000004</v>
      </c>
      <c r="Y4537">
        <v>-0.1973936</v>
      </c>
      <c r="Z4537">
        <v>1.3410640000000001E-3</v>
      </c>
      <c r="AA4537">
        <v>0.98032339999999996</v>
      </c>
      <c r="AB4537">
        <v>30</v>
      </c>
      <c r="AC4537">
        <v>90.201999999999899</v>
      </c>
      <c r="AD4537">
        <v>-0.48985590000000001</v>
      </c>
      <c r="AE4537">
        <v>12.02694</v>
      </c>
      <c r="AF4537">
        <v>-17.996175148403299</v>
      </c>
      <c r="AG4537">
        <v>-0.48985590000000001</v>
      </c>
      <c r="AH4537">
        <v>89.200369242761496</v>
      </c>
      <c r="AI4537">
        <v>90.308430069384897</v>
      </c>
      <c r="AJ4537">
        <v>101.406311518869</v>
      </c>
      <c r="AK4537">
        <v>90.998945883014301</v>
      </c>
      <c r="AL4537">
        <v>77.516526350517907</v>
      </c>
      <c r="AM4537">
        <v>92.714416460542594</v>
      </c>
      <c r="AN4537">
        <v>0.99999998672267898</v>
      </c>
    </row>
    <row r="4538" spans="1:40" x14ac:dyDescent="0.25">
      <c r="A4538" t="str">
        <f>"20190303170629924"</f>
        <v>20190303170629924</v>
      </c>
      <c r="B4538" t="str">
        <f>"1551603989919513"</f>
        <v>1551603989919513</v>
      </c>
      <c r="C4538" t="s">
        <v>40</v>
      </c>
      <c r="D4538">
        <v>5.8572199999999999</v>
      </c>
      <c r="E4538">
        <v>0.4445749</v>
      </c>
      <c r="F4538" t="s">
        <v>102</v>
      </c>
      <c r="G4538">
        <v>-279.68</v>
      </c>
      <c r="H4538">
        <v>0.65544769999999997</v>
      </c>
      <c r="I4538">
        <v>27.596990000000002</v>
      </c>
      <c r="J4538">
        <v>-369.61919999999998</v>
      </c>
      <c r="K4538">
        <v>1.123005</v>
      </c>
      <c r="L4538">
        <v>15.50015</v>
      </c>
      <c r="M4538">
        <v>0.99781260000000005</v>
      </c>
      <c r="N4538">
        <v>-1.3625470000000001E-2</v>
      </c>
      <c r="O4538">
        <v>-6.4687220000000004E-2</v>
      </c>
      <c r="P4538">
        <v>0.9787728</v>
      </c>
      <c r="Q4538">
        <v>0.20418330000000001</v>
      </c>
      <c r="R4538">
        <v>-1.7694089999999999E-2</v>
      </c>
      <c r="S4538">
        <v>3.0760190000000001</v>
      </c>
      <c r="T4538">
        <v>-1.5944360000000001E-2</v>
      </c>
      <c r="U4538">
        <v>0.4119873</v>
      </c>
      <c r="V4538">
        <v>-4.6527369999999998E-2</v>
      </c>
      <c r="W4538">
        <v>0.217305</v>
      </c>
      <c r="X4538">
        <v>0.97499420000000003</v>
      </c>
      <c r="Y4538">
        <v>-0.19658059999999999</v>
      </c>
      <c r="Z4538">
        <v>1.309475E-3</v>
      </c>
      <c r="AA4538">
        <v>0.98048679999999999</v>
      </c>
      <c r="AB4538">
        <v>30</v>
      </c>
      <c r="AC4538">
        <v>89.9391999999999</v>
      </c>
      <c r="AD4538">
        <v>-0.46755730000000001</v>
      </c>
      <c r="AE4538">
        <v>12.09684</v>
      </c>
      <c r="AF4538">
        <v>-17.889481385843801</v>
      </c>
      <c r="AG4538">
        <v>-0.46755730000000001</v>
      </c>
      <c r="AH4538">
        <v>88.965850123078397</v>
      </c>
      <c r="AI4538">
        <v>90.295204510655694</v>
      </c>
      <c r="AJ4538">
        <v>101.36956084157499</v>
      </c>
      <c r="AK4538">
        <v>90.747863017292502</v>
      </c>
      <c r="AL4538">
        <v>77.449207859041294</v>
      </c>
      <c r="AM4538">
        <v>92.732119946863506</v>
      </c>
      <c r="AN4538">
        <v>0.99999997460887802</v>
      </c>
    </row>
    <row r="4539" spans="1:40" x14ac:dyDescent="0.25">
      <c r="A4539" t="str">
        <f>"20190303170629937"</f>
        <v>20190303170629937</v>
      </c>
      <c r="B4539" t="str">
        <f>"1551603989929274"</f>
        <v>1551603989929274</v>
      </c>
      <c r="C4539" t="s">
        <v>40</v>
      </c>
      <c r="D4539">
        <v>5.7741989999999896</v>
      </c>
      <c r="E4539">
        <v>0.4446042</v>
      </c>
      <c r="F4539" t="s">
        <v>102</v>
      </c>
      <c r="G4539">
        <v>-279.68</v>
      </c>
      <c r="H4539">
        <v>0.67284759999999999</v>
      </c>
      <c r="I4539">
        <v>27.71632</v>
      </c>
      <c r="J4539">
        <v>-369.44119999999998</v>
      </c>
      <c r="K4539">
        <v>1.1230039999999999</v>
      </c>
      <c r="L4539">
        <v>15.48987</v>
      </c>
      <c r="M4539">
        <v>0.99789019999999995</v>
      </c>
      <c r="N4539">
        <v>-1.3624560000000001E-2</v>
      </c>
      <c r="O4539">
        <v>-6.3480060000000005E-2</v>
      </c>
      <c r="P4539">
        <v>0.97874779999999995</v>
      </c>
      <c r="Q4539">
        <v>0.2043816</v>
      </c>
      <c r="R4539">
        <v>-1.6761330000000001E-2</v>
      </c>
      <c r="S4539">
        <v>3.0758670000000001</v>
      </c>
      <c r="T4539">
        <v>-1.5395280000000001E-2</v>
      </c>
      <c r="U4539">
        <v>0.41778559999999998</v>
      </c>
      <c r="V4539">
        <v>-4.6273300000000003E-2</v>
      </c>
      <c r="W4539">
        <v>0.21750330000000001</v>
      </c>
      <c r="X4539">
        <v>0.97496210000000005</v>
      </c>
      <c r="Y4539">
        <v>-0.19721649999999999</v>
      </c>
      <c r="Z4539">
        <v>1.2969889999999999E-3</v>
      </c>
      <c r="AA4539">
        <v>0.98035910000000004</v>
      </c>
      <c r="AB4539">
        <v>30</v>
      </c>
      <c r="AC4539">
        <v>89.761199999999903</v>
      </c>
      <c r="AD4539">
        <v>-0.45015640000000001</v>
      </c>
      <c r="AE4539">
        <v>12.2264499999999</v>
      </c>
      <c r="AF4539">
        <v>-17.899918718401501</v>
      </c>
      <c r="AG4539">
        <v>-0.45015640000000001</v>
      </c>
      <c r="AH4539">
        <v>88.801727169908304</v>
      </c>
      <c r="AI4539">
        <v>90.284716515236497</v>
      </c>
      <c r="AJ4539">
        <v>101.396496729718</v>
      </c>
      <c r="AK4539">
        <v>90.588942367535594</v>
      </c>
      <c r="AL4539">
        <v>77.437568018063502</v>
      </c>
      <c r="AM4539">
        <v>92.717312527004296</v>
      </c>
      <c r="AN4539">
        <v>1.0000000001200899</v>
      </c>
    </row>
    <row r="4540" spans="1:40" x14ac:dyDescent="0.25">
      <c r="A4540" t="str">
        <f>"20190303170629950"</f>
        <v>20190303170629950</v>
      </c>
      <c r="B4540" t="str">
        <f>"1551603989940009"</f>
        <v>1551603989940009</v>
      </c>
      <c r="C4540" t="s">
        <v>40</v>
      </c>
      <c r="D4540">
        <v>5.8709850000000001</v>
      </c>
      <c r="E4540">
        <v>0.44457819999999998</v>
      </c>
      <c r="F4540" t="s">
        <v>102</v>
      </c>
      <c r="G4540">
        <v>-279.68</v>
      </c>
      <c r="H4540">
        <v>0.65476049999999997</v>
      </c>
      <c r="I4540">
        <v>27.773440000000001</v>
      </c>
      <c r="J4540">
        <v>-369.26369999999997</v>
      </c>
      <c r="K4540">
        <v>1.123</v>
      </c>
      <c r="L4540">
        <v>15.4798299999999</v>
      </c>
      <c r="M4540">
        <v>0.99796600000000002</v>
      </c>
      <c r="N4540">
        <v>-1.3623649999999999E-2</v>
      </c>
      <c r="O4540">
        <v>-6.2275869999999997E-2</v>
      </c>
      <c r="P4540">
        <v>0.97870089999999998</v>
      </c>
      <c r="Q4540">
        <v>0.20470150000000001</v>
      </c>
      <c r="R4540">
        <v>-1.5556739999999999E-2</v>
      </c>
      <c r="S4540">
        <v>3.0756839999999999</v>
      </c>
      <c r="T4540">
        <v>-1.6044619999999999E-2</v>
      </c>
      <c r="U4540">
        <v>0.42089840000000001</v>
      </c>
      <c r="V4540">
        <v>-4.6292710000000001E-2</v>
      </c>
      <c r="W4540">
        <v>0.2178216</v>
      </c>
      <c r="X4540">
        <v>0.97489009999999998</v>
      </c>
      <c r="Y4540">
        <v>-0.197015</v>
      </c>
      <c r="Z4540">
        <v>1.3393400000000001E-3</v>
      </c>
      <c r="AA4540">
        <v>0.98039949999999998</v>
      </c>
      <c r="AB4540">
        <v>30</v>
      </c>
      <c r="AC4540">
        <v>89.583699999999894</v>
      </c>
      <c r="AD4540">
        <v>-0.46823949999999998</v>
      </c>
      <c r="AE4540">
        <v>12.293609999999999</v>
      </c>
      <c r="AF4540">
        <v>-17.848685333271899</v>
      </c>
      <c r="AG4540">
        <v>-0.46823949999999998</v>
      </c>
      <c r="AH4540">
        <v>88.641740199377296</v>
      </c>
      <c r="AI4540">
        <v>90.296700390514005</v>
      </c>
      <c r="AJ4540">
        <v>101.38470424126599</v>
      </c>
      <c r="AK4540">
        <v>90.422082048188997</v>
      </c>
      <c r="AL4540">
        <v>77.418882592262307</v>
      </c>
      <c r="AM4540">
        <v>92.718651101863699</v>
      </c>
      <c r="AN4540">
        <v>0.999999985751857</v>
      </c>
    </row>
    <row r="4541" spans="1:40" x14ac:dyDescent="0.25">
      <c r="A4541" t="str">
        <f>"20190303170629970"</f>
        <v>20190303170629970</v>
      </c>
      <c r="B4541" t="str">
        <f>"1551603989959529"</f>
        <v>1551603989959529</v>
      </c>
      <c r="C4541" t="s">
        <v>40</v>
      </c>
      <c r="D4541">
        <v>5.8755249999999997</v>
      </c>
      <c r="E4541">
        <v>0.44460870000000002</v>
      </c>
      <c r="F4541" t="s">
        <v>102</v>
      </c>
      <c r="G4541">
        <v>-279.68</v>
      </c>
      <c r="H4541">
        <v>0.64639530000000001</v>
      </c>
      <c r="I4541">
        <v>27.864409999999999</v>
      </c>
      <c r="J4541">
        <v>-369.00740000000002</v>
      </c>
      <c r="K4541">
        <v>1.123</v>
      </c>
      <c r="L4541">
        <v>15.465669999999999</v>
      </c>
      <c r="M4541">
        <v>0.99807310000000005</v>
      </c>
      <c r="N4541">
        <v>-1.362238E-2</v>
      </c>
      <c r="O4541">
        <v>-6.0536939999999997E-2</v>
      </c>
      <c r="P4541">
        <v>0.97872219999999999</v>
      </c>
      <c r="Q4541">
        <v>0.20466909999999999</v>
      </c>
      <c r="R4541">
        <v>-1.46292E-2</v>
      </c>
      <c r="S4541">
        <v>3.0754700000000001</v>
      </c>
      <c r="T4541">
        <v>-1.6362310000000001E-2</v>
      </c>
      <c r="U4541">
        <v>0.42517090000000002</v>
      </c>
      <c r="V4541">
        <v>-4.5515300000000002E-2</v>
      </c>
      <c r="W4541">
        <v>0.2177914</v>
      </c>
      <c r="X4541">
        <v>0.97493339999999995</v>
      </c>
      <c r="Y4541">
        <v>-0.19665250000000001</v>
      </c>
      <c r="Z4541">
        <v>1.366931E-3</v>
      </c>
      <c r="AA4541">
        <v>0.98047229999999996</v>
      </c>
      <c r="AB4541">
        <v>30</v>
      </c>
      <c r="AC4541">
        <v>89.327399999999997</v>
      </c>
      <c r="AD4541">
        <v>-0.47660469999999999</v>
      </c>
      <c r="AE4541">
        <v>12.398739999999901</v>
      </c>
      <c r="AF4541">
        <v>-17.7836079987195</v>
      </c>
      <c r="AG4541">
        <v>-0.47660469999999999</v>
      </c>
      <c r="AH4541">
        <v>88.410418762989806</v>
      </c>
      <c r="AI4541">
        <v>90.302803319742907</v>
      </c>
      <c r="AJ4541">
        <v>101.373182330818</v>
      </c>
      <c r="AK4541">
        <v>90.182514997860906</v>
      </c>
      <c r="AL4541">
        <v>77.420654845338504</v>
      </c>
      <c r="AM4541">
        <v>92.672944059697002</v>
      </c>
      <c r="AN4541">
        <v>0.99999993544180199</v>
      </c>
    </row>
    <row r="4542" spans="1:40" x14ac:dyDescent="0.25">
      <c r="A4542" t="str">
        <f>"20190303170629991"</f>
        <v>20190303170629991</v>
      </c>
      <c r="B4542" t="str">
        <f>"1551603989979653"</f>
        <v>1551603989979653</v>
      </c>
      <c r="C4542" t="s">
        <v>40</v>
      </c>
      <c r="D4542">
        <v>5.8945089999999896</v>
      </c>
      <c r="E4542">
        <v>0.44483030000000001</v>
      </c>
      <c r="F4542" t="s">
        <v>102</v>
      </c>
      <c r="G4542">
        <v>-279.68</v>
      </c>
      <c r="H4542">
        <v>0.58503899999999998</v>
      </c>
      <c r="I4542">
        <v>27.923719999999999</v>
      </c>
      <c r="J4542">
        <v>-368.72809999999998</v>
      </c>
      <c r="K4542">
        <v>1.123</v>
      </c>
      <c r="L4542">
        <v>15.4507799999999</v>
      </c>
      <c r="M4542">
        <v>0.99818629999999997</v>
      </c>
      <c r="N4542">
        <v>-1.3621060000000001E-2</v>
      </c>
      <c r="O4542">
        <v>-5.8641020000000002E-2</v>
      </c>
      <c r="P4542">
        <v>0.97871240000000004</v>
      </c>
      <c r="Q4542">
        <v>0.20478840000000001</v>
      </c>
      <c r="R4542">
        <v>-1.355953E-2</v>
      </c>
      <c r="S4542">
        <v>3.0754999999999999</v>
      </c>
      <c r="T4542">
        <v>-1.8521900000000001E-2</v>
      </c>
      <c r="U4542">
        <v>0.42892459999999999</v>
      </c>
      <c r="V4542">
        <v>-4.4723730000000003E-2</v>
      </c>
      <c r="W4542">
        <v>0.21791369999999999</v>
      </c>
      <c r="X4542">
        <v>0.97494270000000005</v>
      </c>
      <c r="Y4542">
        <v>-0.19596150000000001</v>
      </c>
      <c r="Z4542">
        <v>1.485547E-3</v>
      </c>
      <c r="AA4542">
        <v>0.98061050000000005</v>
      </c>
      <c r="AB4542">
        <v>30</v>
      </c>
      <c r="AC4542">
        <v>89.048099999999906</v>
      </c>
      <c r="AD4542">
        <v>-0.53796099999999902</v>
      </c>
      <c r="AE4542">
        <v>12.472939999999999</v>
      </c>
      <c r="AF4542">
        <v>-17.673194562429</v>
      </c>
      <c r="AG4542">
        <v>-0.53796099999999902</v>
      </c>
      <c r="AH4542">
        <v>88.160182434092306</v>
      </c>
      <c r="AI4542">
        <v>90.342799405267201</v>
      </c>
      <c r="AJ4542">
        <v>101.335650217207</v>
      </c>
      <c r="AK4542">
        <v>89.915788240394306</v>
      </c>
      <c r="AL4542">
        <v>77.413475062832504</v>
      </c>
      <c r="AM4542">
        <v>92.626498754635904</v>
      </c>
      <c r="AN4542">
        <v>0.99999993047804403</v>
      </c>
    </row>
    <row r="4543" spans="1:40" x14ac:dyDescent="0.25">
      <c r="A4543" t="str">
        <f>"20190303170630004"</f>
        <v>20190303170630004</v>
      </c>
      <c r="B4543" t="str">
        <f>"1551603989999173"</f>
        <v>1551603989999173</v>
      </c>
      <c r="C4543" t="s">
        <v>40</v>
      </c>
      <c r="D4543">
        <v>5.8702529999999999</v>
      </c>
      <c r="E4543">
        <v>0.44499100000000003</v>
      </c>
      <c r="F4543" t="s">
        <v>102</v>
      </c>
      <c r="G4543">
        <v>-279.68</v>
      </c>
      <c r="H4543">
        <v>0.55752250000000003</v>
      </c>
      <c r="I4543">
        <v>27.944959999999998</v>
      </c>
      <c r="J4543">
        <v>-368.55470000000003</v>
      </c>
      <c r="K4543">
        <v>1.123</v>
      </c>
      <c r="L4543">
        <v>15.44171</v>
      </c>
      <c r="M4543">
        <v>0.99825469999999905</v>
      </c>
      <c r="N4543">
        <v>-1.3620200000000001E-2</v>
      </c>
      <c r="O4543">
        <v>-5.7464010000000003E-2</v>
      </c>
      <c r="P4543">
        <v>0.97870290000000004</v>
      </c>
      <c r="Q4543">
        <v>0.20487089999999999</v>
      </c>
      <c r="R4543">
        <v>-1.2985139999999999E-2</v>
      </c>
      <c r="S4543">
        <v>3.0752869999999999</v>
      </c>
      <c r="T4543">
        <v>-1.952899E-2</v>
      </c>
      <c r="U4543">
        <v>0.43148799999999998</v>
      </c>
      <c r="V4543">
        <v>-4.4142689999999998E-2</v>
      </c>
      <c r="W4543">
        <v>0.21799750000000001</v>
      </c>
      <c r="X4543">
        <v>0.97495050000000005</v>
      </c>
      <c r="Y4543">
        <v>-0.1956157</v>
      </c>
      <c r="Z4543">
        <v>1.5417439999999901E-3</v>
      </c>
      <c r="AA4543">
        <v>0.98067950000000004</v>
      </c>
      <c r="AB4543">
        <v>30</v>
      </c>
      <c r="AC4543">
        <v>88.874700000000004</v>
      </c>
      <c r="AD4543">
        <v>-0.56547749999999997</v>
      </c>
      <c r="AE4543">
        <v>12.5032499999999</v>
      </c>
      <c r="AF4543">
        <v>-17.5894575183654</v>
      </c>
      <c r="AG4543">
        <v>-0.56547749999999997</v>
      </c>
      <c r="AH4543">
        <v>88.005767159519905</v>
      </c>
      <c r="AI4543">
        <v>90.361006904295706</v>
      </c>
      <c r="AJ4543">
        <v>101.302610580539</v>
      </c>
      <c r="AK4543">
        <v>89.748113261110007</v>
      </c>
      <c r="AL4543">
        <v>77.408556063843093</v>
      </c>
      <c r="AM4543">
        <v>92.592402057215907</v>
      </c>
      <c r="AN4543">
        <v>0.99999998226846798</v>
      </c>
    </row>
    <row r="4544" spans="1:40" x14ac:dyDescent="0.25">
      <c r="A4544" t="str">
        <f>"20190303170630017"</f>
        <v>20190303170630017</v>
      </c>
      <c r="B4544" t="str">
        <f>"1551603990009909"</f>
        <v>1551603990009909</v>
      </c>
      <c r="C4544" t="s">
        <v>40</v>
      </c>
      <c r="D4544">
        <v>5.8932739999999999</v>
      </c>
      <c r="E4544">
        <v>0.44504650000000001</v>
      </c>
      <c r="F4544" t="s">
        <v>102</v>
      </c>
      <c r="G4544">
        <v>-279.68</v>
      </c>
      <c r="H4544">
        <v>0.52112159999999996</v>
      </c>
      <c r="I4544">
        <v>27.942060000000001</v>
      </c>
      <c r="J4544">
        <v>-368.36770000000001</v>
      </c>
      <c r="K4544">
        <v>1.1229990000000001</v>
      </c>
      <c r="L4544">
        <v>15.432309999999999</v>
      </c>
      <c r="M4544">
        <v>0.99832710000000002</v>
      </c>
      <c r="N4544">
        <v>-1.3619310000000001E-2</v>
      </c>
      <c r="O4544">
        <v>-5.619474E-2</v>
      </c>
      <c r="P4544">
        <v>0.9787093</v>
      </c>
      <c r="Q4544">
        <v>0.2048652</v>
      </c>
      <c r="R4544">
        <v>-1.259619E-2</v>
      </c>
      <c r="S4544">
        <v>3.0753780000000002</v>
      </c>
      <c r="T4544">
        <v>-2.0827289999999998E-2</v>
      </c>
      <c r="U4544">
        <v>0.4325562</v>
      </c>
      <c r="V4544">
        <v>-4.3287760000000002E-2</v>
      </c>
      <c r="W4544">
        <v>0.2179952</v>
      </c>
      <c r="X4544">
        <v>0.97498940000000001</v>
      </c>
      <c r="Y4544">
        <v>-0.1946978</v>
      </c>
      <c r="Z4544">
        <v>1.6062079999999901E-3</v>
      </c>
      <c r="AA4544">
        <v>0.98086200000000001</v>
      </c>
      <c r="AB4544">
        <v>30</v>
      </c>
      <c r="AC4544">
        <v>88.687700000000007</v>
      </c>
      <c r="AD4544">
        <v>-0.60187740000000001</v>
      </c>
      <c r="AE4544">
        <v>12.509749999999899</v>
      </c>
      <c r="AF4544">
        <v>-17.473433392910199</v>
      </c>
      <c r="AG4544">
        <v>-0.60187740000000001</v>
      </c>
      <c r="AH4544">
        <v>87.840518202478606</v>
      </c>
      <c r="AI4544">
        <v>90.385036906960494</v>
      </c>
      <c r="AJ4544">
        <v>101.250544599468</v>
      </c>
      <c r="AK4544">
        <v>89.563607391736298</v>
      </c>
      <c r="AL4544">
        <v>77.408691750480799</v>
      </c>
      <c r="AM4544">
        <v>92.542159143048494</v>
      </c>
      <c r="AN4544">
        <v>1.0000000337506001</v>
      </c>
    </row>
    <row r="4545" spans="1:40" x14ac:dyDescent="0.25">
      <c r="A4545" t="str">
        <f>"20190303170630030"</f>
        <v>20190303170630030</v>
      </c>
      <c r="B4545" t="str">
        <f>"1551603990019668"</f>
        <v>1551603990019668</v>
      </c>
      <c r="C4545" t="s">
        <v>40</v>
      </c>
      <c r="D4545">
        <v>5.8520430000000001</v>
      </c>
      <c r="E4545">
        <v>0.44506489999999999</v>
      </c>
      <c r="F4545" t="s">
        <v>102</v>
      </c>
      <c r="G4545">
        <v>-279.68</v>
      </c>
      <c r="H4545">
        <v>0.50243130000000003</v>
      </c>
      <c r="I4545">
        <v>27.93628</v>
      </c>
      <c r="J4545">
        <v>-368.20359999999999</v>
      </c>
      <c r="K4545">
        <v>1.1230009999999999</v>
      </c>
      <c r="L4545">
        <v>15.42422</v>
      </c>
      <c r="M4545">
        <v>0.99838919999999998</v>
      </c>
      <c r="N4545">
        <v>-1.3618450000000001E-2</v>
      </c>
      <c r="O4545">
        <v>-5.508031E-2</v>
      </c>
      <c r="P4545">
        <v>0.97871859999999999</v>
      </c>
      <c r="Q4545">
        <v>0.2048275</v>
      </c>
      <c r="R4545">
        <v>-1.2476299999999999E-2</v>
      </c>
      <c r="S4545">
        <v>3.0753780000000002</v>
      </c>
      <c r="T4545">
        <v>-2.1519300000000002E-2</v>
      </c>
      <c r="U4545">
        <v>0.43359379999999997</v>
      </c>
      <c r="V4545">
        <v>-4.2314999999999998E-2</v>
      </c>
      <c r="W4545">
        <v>0.21796170000000001</v>
      </c>
      <c r="X4545">
        <v>0.97503949999999995</v>
      </c>
      <c r="Y4545">
        <v>-0.19392690000000001</v>
      </c>
      <c r="Z4545">
        <v>1.639953E-3</v>
      </c>
      <c r="AA4545">
        <v>0.98101459999999996</v>
      </c>
      <c r="AB4545">
        <v>30</v>
      </c>
      <c r="AC4545">
        <v>88.523599999999902</v>
      </c>
      <c r="AD4545">
        <v>-0.620569699999999</v>
      </c>
      <c r="AE4545">
        <v>12.5120599999999</v>
      </c>
      <c r="AF4545">
        <v>-17.368584251712502</v>
      </c>
      <c r="AG4545">
        <v>-0.620569699999999</v>
      </c>
      <c r="AH4545">
        <v>87.695732653590994</v>
      </c>
      <c r="AI4545">
        <v>90.397715760224997</v>
      </c>
      <c r="AJ4545">
        <v>101.202742100675</v>
      </c>
      <c r="AK4545">
        <v>89.401310680053797</v>
      </c>
      <c r="AL4545">
        <v>77.410657305581196</v>
      </c>
      <c r="AM4545">
        <v>92.484976802480006</v>
      </c>
      <c r="AN4545">
        <v>0.99999994422606797</v>
      </c>
    </row>
    <row r="4546" spans="1:40" x14ac:dyDescent="0.25">
      <c r="A4546" t="str">
        <f>"20190303170630048"</f>
        <v>20190303170630048</v>
      </c>
      <c r="B4546" t="str">
        <f>"1551603990039188"</f>
        <v>1551603990039188</v>
      </c>
      <c r="C4546" t="s">
        <v>40</v>
      </c>
      <c r="D4546">
        <v>5.908779</v>
      </c>
      <c r="E4546">
        <v>0.4451755</v>
      </c>
      <c r="F4546" t="s">
        <v>102</v>
      </c>
      <c r="G4546">
        <v>-279.68</v>
      </c>
      <c r="H4546">
        <v>0.47821770000000002</v>
      </c>
      <c r="I4546">
        <v>27.919499999999999</v>
      </c>
      <c r="J4546">
        <v>-367.95890000000003</v>
      </c>
      <c r="K4546">
        <v>1.123</v>
      </c>
      <c r="L4546">
        <v>15.41245</v>
      </c>
      <c r="M4546">
        <v>0.99847940000000002</v>
      </c>
      <c r="N4546">
        <v>-1.361713E-2</v>
      </c>
      <c r="O4546">
        <v>-5.3418739999999999E-2</v>
      </c>
      <c r="P4546">
        <v>0.97861319999999996</v>
      </c>
      <c r="Q4546">
        <v>0.20531469999999999</v>
      </c>
      <c r="R4546">
        <v>-1.2738269999999999E-2</v>
      </c>
      <c r="S4546">
        <v>3.0754999999999999</v>
      </c>
      <c r="T4546">
        <v>-2.2401330000000001E-2</v>
      </c>
      <c r="U4546">
        <v>0.43411250000000001</v>
      </c>
      <c r="V4546">
        <v>-4.0421329999999998E-2</v>
      </c>
      <c r="W4546">
        <v>0.21845400000000001</v>
      </c>
      <c r="X4546">
        <v>0.97500969999999998</v>
      </c>
      <c r="Y4546">
        <v>-0.1924505</v>
      </c>
      <c r="Z4546">
        <v>1.6782590000000001E-3</v>
      </c>
      <c r="AA4546">
        <v>0.98130519999999999</v>
      </c>
      <c r="AB4546">
        <v>30</v>
      </c>
      <c r="AC4546">
        <v>88.278899999999993</v>
      </c>
      <c r="AD4546">
        <v>-0.64478230000000003</v>
      </c>
      <c r="AE4546">
        <v>12.50705</v>
      </c>
      <c r="AF4546">
        <v>-17.204474009638499</v>
      </c>
      <c r="AG4546">
        <v>-0.64478230000000003</v>
      </c>
      <c r="AH4546">
        <v>87.480084223542306</v>
      </c>
      <c r="AI4546">
        <v>90.414360646006799</v>
      </c>
      <c r="AJ4546">
        <v>101.126211214905</v>
      </c>
      <c r="AK4546">
        <v>89.158144921935104</v>
      </c>
      <c r="AL4546">
        <v>77.381754479982405</v>
      </c>
      <c r="AM4546">
        <v>92.373972431074904</v>
      </c>
      <c r="AN4546">
        <v>0.99999997456452905</v>
      </c>
    </row>
    <row r="4547" spans="1:40" x14ac:dyDescent="0.25">
      <c r="A4547" t="str">
        <f>"20190303170630069"</f>
        <v>20190303170630069</v>
      </c>
      <c r="B4547" t="str">
        <f>"1551603990059685"</f>
        <v>1551603990059685</v>
      </c>
      <c r="C4547" t="s">
        <v>40</v>
      </c>
      <c r="D4547">
        <v>5.8626870000000002</v>
      </c>
      <c r="E4547">
        <v>0.44523550000000001</v>
      </c>
      <c r="F4547" t="s">
        <v>102</v>
      </c>
      <c r="G4547">
        <v>-279.68</v>
      </c>
      <c r="H4547">
        <v>0.50081850000000006</v>
      </c>
      <c r="I4547">
        <v>27.837019999999999</v>
      </c>
      <c r="J4547">
        <v>-367.68389999999999</v>
      </c>
      <c r="K4547">
        <v>1.122994</v>
      </c>
      <c r="L4547">
        <v>15.399749999999999</v>
      </c>
      <c r="M4547">
        <v>0.99857770000000001</v>
      </c>
      <c r="N4547">
        <v>-1.3615759999999999E-2</v>
      </c>
      <c r="O4547">
        <v>-5.1551189999999997E-2</v>
      </c>
      <c r="P4547">
        <v>0.97850280000000001</v>
      </c>
      <c r="Q4547">
        <v>0.2058518</v>
      </c>
      <c r="R4547">
        <v>-1.255968E-2</v>
      </c>
      <c r="S4547">
        <v>3.0757750000000001</v>
      </c>
      <c r="T4547">
        <v>-2.1677970000000001E-2</v>
      </c>
      <c r="U4547">
        <v>0.43289179999999999</v>
      </c>
      <c r="V4547">
        <v>-3.8765979999999998E-2</v>
      </c>
      <c r="W4547">
        <v>0.21899650000000001</v>
      </c>
      <c r="X4547">
        <v>0.97495529999999997</v>
      </c>
      <c r="Y4547">
        <v>-0.19022140000000001</v>
      </c>
      <c r="Z4547">
        <v>1.632152E-3</v>
      </c>
      <c r="AA4547">
        <v>0.9817399</v>
      </c>
      <c r="AB4547">
        <v>30</v>
      </c>
      <c r="AC4547">
        <v>88.003899999999902</v>
      </c>
      <c r="AD4547">
        <v>-0.62217549999999999</v>
      </c>
      <c r="AE4547">
        <v>12.43727</v>
      </c>
      <c r="AF4547">
        <v>-16.957024389265701</v>
      </c>
      <c r="AG4547">
        <v>-0.62217549999999999</v>
      </c>
      <c r="AH4547">
        <v>87.241373649916397</v>
      </c>
      <c r="AI4547">
        <v>90.401100717727104</v>
      </c>
      <c r="AJ4547">
        <v>100.999379316196</v>
      </c>
      <c r="AK4547">
        <v>88.876234477025903</v>
      </c>
      <c r="AL4547">
        <v>77.3499012182005</v>
      </c>
      <c r="AM4547">
        <v>92.2769839983075</v>
      </c>
      <c r="AN4547">
        <v>1.0000000526078401</v>
      </c>
    </row>
    <row r="4548" spans="1:40" x14ac:dyDescent="0.25">
      <c r="A4548" t="str">
        <f>"20190303170630082"</f>
        <v>20190303170630082</v>
      </c>
      <c r="B4548" t="str">
        <f>"1551603990069446"</f>
        <v>1551603990069446</v>
      </c>
      <c r="C4548" t="s">
        <v>40</v>
      </c>
      <c r="D4548">
        <v>5.905888</v>
      </c>
      <c r="E4548">
        <v>0.44527480000000003</v>
      </c>
      <c r="F4548" t="s">
        <v>102</v>
      </c>
      <c r="G4548">
        <v>-279.68</v>
      </c>
      <c r="H4548">
        <v>0.52259359999999999</v>
      </c>
      <c r="I4548">
        <v>27.805969999999999</v>
      </c>
      <c r="J4548">
        <v>-367.51280000000003</v>
      </c>
      <c r="K4548">
        <v>1.122994</v>
      </c>
      <c r="L4548">
        <v>15.392029999999901</v>
      </c>
      <c r="M4548">
        <v>0.998637</v>
      </c>
      <c r="N4548">
        <v>-1.361478E-2</v>
      </c>
      <c r="O4548">
        <v>-5.0389200000000002E-2</v>
      </c>
      <c r="P4548">
        <v>0.97843519999999995</v>
      </c>
      <c r="Q4548">
        <v>0.2061617</v>
      </c>
      <c r="R4548">
        <v>-1.273792E-2</v>
      </c>
      <c r="S4548">
        <v>3.0759280000000002</v>
      </c>
      <c r="T4548">
        <v>-2.0985480000000001E-2</v>
      </c>
      <c r="U4548">
        <v>0.43362430000000002</v>
      </c>
      <c r="V4548">
        <v>-3.7446649999999998E-2</v>
      </c>
      <c r="W4548">
        <v>0.21931010000000001</v>
      </c>
      <c r="X4548">
        <v>0.97493629999999998</v>
      </c>
      <c r="Y4548">
        <v>-0.1893021</v>
      </c>
      <c r="Z4548">
        <v>1.5976370000000001E-3</v>
      </c>
      <c r="AA4548">
        <v>0.98191759999999995</v>
      </c>
      <c r="AB4548">
        <v>30</v>
      </c>
      <c r="AC4548">
        <v>87.832800000000006</v>
      </c>
      <c r="AD4548">
        <v>-0.60040039999999995</v>
      </c>
      <c r="AE4548">
        <v>12.41394</v>
      </c>
      <c r="AF4548">
        <v>-16.8236305269068</v>
      </c>
      <c r="AG4548">
        <v>-0.60040039999999995</v>
      </c>
      <c r="AH4548">
        <v>87.091625351218497</v>
      </c>
      <c r="AI4548">
        <v>90.387815524821406</v>
      </c>
      <c r="AJ4548">
        <v>100.933253600916</v>
      </c>
      <c r="AK4548">
        <v>88.703699083314405</v>
      </c>
      <c r="AL4548">
        <v>77.331484655560402</v>
      </c>
      <c r="AM4548">
        <v>92.199611245337493</v>
      </c>
      <c r="AN4548">
        <v>0.999999980307961</v>
      </c>
    </row>
    <row r="4549" spans="1:40" x14ac:dyDescent="0.25">
      <c r="A4549" t="str">
        <f>"20190303170630094"</f>
        <v>20190303170630094</v>
      </c>
      <c r="B4549" t="str">
        <f>"1551603990089473"</f>
        <v>1551603990089473</v>
      </c>
      <c r="C4549" t="s">
        <v>40</v>
      </c>
      <c r="D4549">
        <v>5.9235730000000002</v>
      </c>
      <c r="E4549">
        <v>0.44534020000000002</v>
      </c>
      <c r="F4549" t="s">
        <v>102</v>
      </c>
      <c r="G4549">
        <v>-279.68</v>
      </c>
      <c r="H4549">
        <v>0.54175319999999905</v>
      </c>
      <c r="I4549">
        <v>27.75882</v>
      </c>
      <c r="J4549">
        <v>-367.3492</v>
      </c>
      <c r="K4549">
        <v>1.122992</v>
      </c>
      <c r="L4549">
        <v>15.384980000000001</v>
      </c>
      <c r="M4549">
        <v>0.99869249999999998</v>
      </c>
      <c r="N4549">
        <v>-1.361393E-2</v>
      </c>
      <c r="O4549">
        <v>-4.9277870000000001E-2</v>
      </c>
      <c r="P4549">
        <v>0.97842410000000002</v>
      </c>
      <c r="Q4549">
        <v>0.20625360000000001</v>
      </c>
      <c r="R4549">
        <v>-1.208683E-2</v>
      </c>
      <c r="S4549">
        <v>3.07605</v>
      </c>
      <c r="T4549">
        <v>-2.0356180000000001E-2</v>
      </c>
      <c r="U4549">
        <v>0.43310549999999998</v>
      </c>
      <c r="V4549">
        <v>-3.7007470000000001E-2</v>
      </c>
      <c r="W4549">
        <v>0.21940319999999999</v>
      </c>
      <c r="X4549">
        <v>0.97493209999999997</v>
      </c>
      <c r="Y4549">
        <v>-0.18804199999999999</v>
      </c>
      <c r="Z4549">
        <v>1.5629629999999999E-3</v>
      </c>
      <c r="AA4549">
        <v>0.98215969999999997</v>
      </c>
      <c r="AB4549">
        <v>30</v>
      </c>
      <c r="AC4549">
        <v>87.669199999999904</v>
      </c>
      <c r="AD4549">
        <v>-0.58123880000000006</v>
      </c>
      <c r="AE4549">
        <v>12.37384</v>
      </c>
      <c r="AF4549">
        <v>-16.678636604561401</v>
      </c>
      <c r="AG4549">
        <v>-0.58123880000000006</v>
      </c>
      <c r="AH4549">
        <v>86.949111511219201</v>
      </c>
      <c r="AI4549">
        <v>90.376148521962506</v>
      </c>
      <c r="AJ4549">
        <v>100.858615323842</v>
      </c>
      <c r="AK4549">
        <v>88.536222813716606</v>
      </c>
      <c r="AL4549">
        <v>77.326016975039394</v>
      </c>
      <c r="AM4549">
        <v>92.173848122641502</v>
      </c>
      <c r="AN4549">
        <v>0.99999995830822397</v>
      </c>
    </row>
    <row r="4550" spans="1:40" x14ac:dyDescent="0.25">
      <c r="A4550" t="str">
        <f>"20190303170630107"</f>
        <v>20190303170630107</v>
      </c>
      <c r="B4550" t="str">
        <f>"1551603990099232"</f>
        <v>1551603990099232</v>
      </c>
      <c r="C4550" t="s">
        <v>40</v>
      </c>
      <c r="D4550">
        <v>5.888287</v>
      </c>
      <c r="E4550">
        <v>0.4453665</v>
      </c>
      <c r="F4550" t="s">
        <v>102</v>
      </c>
      <c r="G4550">
        <v>-279.68</v>
      </c>
      <c r="H4550">
        <v>0.51693630000000002</v>
      </c>
      <c r="I4550">
        <v>27.78031</v>
      </c>
      <c r="J4550">
        <v>-367.18439999999998</v>
      </c>
      <c r="K4550">
        <v>1.1229910000000001</v>
      </c>
      <c r="L4550">
        <v>15.37796</v>
      </c>
      <c r="M4550">
        <v>0.9987471</v>
      </c>
      <c r="N4550">
        <v>-1.361309E-2</v>
      </c>
      <c r="O4550">
        <v>-4.8158550000000001E-2</v>
      </c>
      <c r="P4550">
        <v>0.97844500000000001</v>
      </c>
      <c r="Q4550">
        <v>0.20618520000000001</v>
      </c>
      <c r="R4550">
        <v>-1.1545E-2</v>
      </c>
      <c r="S4550">
        <v>3.0759889999999999</v>
      </c>
      <c r="T4550">
        <v>-2.1264430000000001E-2</v>
      </c>
      <c r="U4550">
        <v>0.43490600000000001</v>
      </c>
      <c r="V4550">
        <v>-3.6452949999999998E-2</v>
      </c>
      <c r="W4550">
        <v>0.21933659999999999</v>
      </c>
      <c r="X4550">
        <v>0.97496799999999995</v>
      </c>
      <c r="Y4550">
        <v>-0.18750700000000001</v>
      </c>
      <c r="Z4550">
        <v>1.607044E-3</v>
      </c>
      <c r="AA4550">
        <v>0.98226199999999997</v>
      </c>
      <c r="AB4550">
        <v>30</v>
      </c>
      <c r="AC4550">
        <v>87.504399999999904</v>
      </c>
      <c r="AD4550">
        <v>-0.60605469999999995</v>
      </c>
      <c r="AE4550">
        <v>12.402349999999901</v>
      </c>
      <c r="AF4550">
        <v>-16.601651096365199</v>
      </c>
      <c r="AG4550">
        <v>-0.60605469999999995</v>
      </c>
      <c r="AH4550">
        <v>86.801433933846099</v>
      </c>
      <c r="AI4550">
        <v>90.392915576755598</v>
      </c>
      <c r="AJ4550">
        <v>100.827633919344</v>
      </c>
      <c r="AK4550">
        <v>88.376869453475706</v>
      </c>
      <c r="AL4550">
        <v>77.329928440004196</v>
      </c>
      <c r="AM4550">
        <v>92.141226957306301</v>
      </c>
      <c r="AN4550">
        <v>0.99999998134363099</v>
      </c>
    </row>
    <row r="4551" spans="1:40" x14ac:dyDescent="0.25">
      <c r="A4551" t="str">
        <f>"20190303170630126"</f>
        <v>20190303170630126</v>
      </c>
      <c r="B4551" t="str">
        <f>"1551603990119728"</f>
        <v>1551603990119728</v>
      </c>
      <c r="C4551" t="s">
        <v>40</v>
      </c>
      <c r="D4551">
        <v>5.9295400000000003</v>
      </c>
      <c r="E4551">
        <v>0.44536569999999998</v>
      </c>
      <c r="F4551" t="s">
        <v>102</v>
      </c>
      <c r="G4551">
        <v>-279.68</v>
      </c>
      <c r="H4551">
        <v>0.4908807</v>
      </c>
      <c r="I4551">
        <v>27.800470000000001</v>
      </c>
      <c r="J4551">
        <v>-366.93099999999998</v>
      </c>
      <c r="K4551">
        <v>1.1229899999999999</v>
      </c>
      <c r="L4551">
        <v>15.367579999999901</v>
      </c>
      <c r="M4551">
        <v>0.99882859999999996</v>
      </c>
      <c r="N4551">
        <v>-1.361181E-2</v>
      </c>
      <c r="O4551">
        <v>-4.6436070000000003E-2</v>
      </c>
      <c r="P4551">
        <v>0.97842569999999995</v>
      </c>
      <c r="Q4551">
        <v>0.20630789999999999</v>
      </c>
      <c r="R4551">
        <v>-1.0961169999999999E-2</v>
      </c>
      <c r="S4551">
        <v>3.075958</v>
      </c>
      <c r="T4551">
        <v>-2.2220130000000001E-2</v>
      </c>
      <c r="U4551">
        <v>0.43667600000000001</v>
      </c>
      <c r="V4551">
        <v>-3.5348230000000001E-2</v>
      </c>
      <c r="W4551">
        <v>0.2194632</v>
      </c>
      <c r="X4551">
        <v>0.97498019999999996</v>
      </c>
      <c r="Y4551">
        <v>-0.1863678</v>
      </c>
      <c r="Z4551">
        <v>1.649951E-3</v>
      </c>
      <c r="AA4551">
        <v>0.98247870000000004</v>
      </c>
      <c r="AB4551">
        <v>30</v>
      </c>
      <c r="AC4551">
        <v>87.250999999999905</v>
      </c>
      <c r="AD4551">
        <v>-0.63210929999999999</v>
      </c>
      <c r="AE4551">
        <v>12.43289</v>
      </c>
      <c r="AF4551">
        <v>-16.470597045292799</v>
      </c>
      <c r="AG4551">
        <v>-0.63210929999999999</v>
      </c>
      <c r="AH4551">
        <v>86.575020213958794</v>
      </c>
      <c r="AI4551">
        <v>90.410955011384502</v>
      </c>
      <c r="AJ4551">
        <v>100.771599363566</v>
      </c>
      <c r="AK4551">
        <v>88.130098458148396</v>
      </c>
      <c r="AL4551">
        <v>77.3224937822866</v>
      </c>
      <c r="AM4551">
        <v>92.076368017511996</v>
      </c>
      <c r="AN4551">
        <v>0.99999999195520595</v>
      </c>
    </row>
    <row r="4552" spans="1:40" x14ac:dyDescent="0.25">
      <c r="A4552" t="str">
        <f>"20190303170630138"</f>
        <v>20190303170630138</v>
      </c>
      <c r="B4552" t="str">
        <f>"1551603990129489"</f>
        <v>1551603990129489</v>
      </c>
      <c r="C4552" t="s">
        <v>40</v>
      </c>
      <c r="D4552">
        <v>5.9474460000000002</v>
      </c>
      <c r="E4552">
        <v>0.44476009999999999</v>
      </c>
      <c r="F4552" t="s">
        <v>102</v>
      </c>
      <c r="G4552">
        <v>-279.68</v>
      </c>
      <c r="H4552">
        <v>0.51735410000000004</v>
      </c>
      <c r="I4552">
        <v>27.847480000000001</v>
      </c>
      <c r="J4552">
        <v>-366.76479999999998</v>
      </c>
      <c r="K4552">
        <v>1.122994</v>
      </c>
      <c r="L4552">
        <v>15.360989999999999</v>
      </c>
      <c r="M4552">
        <v>0.9988804</v>
      </c>
      <c r="N4552">
        <v>-1.3611E-2</v>
      </c>
      <c r="O4552">
        <v>-4.530638E-2</v>
      </c>
      <c r="P4552">
        <v>0.978406</v>
      </c>
      <c r="Q4552">
        <v>0.2064317</v>
      </c>
      <c r="R4552">
        <v>-1.037456E-2</v>
      </c>
      <c r="S4552">
        <v>3.0755620000000001</v>
      </c>
      <c r="T4552">
        <v>-2.1348599999999999E-2</v>
      </c>
      <c r="U4552">
        <v>0.43991089999999999</v>
      </c>
      <c r="V4552">
        <v>-3.482652E-2</v>
      </c>
      <c r="W4552">
        <v>0.21958829999999999</v>
      </c>
      <c r="X4552">
        <v>0.97497080000000003</v>
      </c>
      <c r="Y4552">
        <v>-0.1862877</v>
      </c>
      <c r="Z4552">
        <v>1.617395E-3</v>
      </c>
      <c r="AA4552">
        <v>0.98249390000000003</v>
      </c>
      <c r="AB4552">
        <v>30</v>
      </c>
      <c r="AC4552">
        <v>87.084799999999902</v>
      </c>
      <c r="AD4552">
        <v>-0.60563990000000001</v>
      </c>
      <c r="AE4552">
        <v>12.4864899999999</v>
      </c>
      <c r="AF4552">
        <v>-16.418750209902299</v>
      </c>
      <c r="AG4552">
        <v>-0.60563990000000001</v>
      </c>
      <c r="AH4552">
        <v>86.425493448836804</v>
      </c>
      <c r="AI4552">
        <v>90.394447742317894</v>
      </c>
      <c r="AJ4552">
        <v>100.756627524603</v>
      </c>
      <c r="AK4552">
        <v>87.973337301813103</v>
      </c>
      <c r="AL4552">
        <v>77.315146767538593</v>
      </c>
      <c r="AM4552">
        <v>92.045768521077093</v>
      </c>
      <c r="AN4552">
        <v>0.99999998442242</v>
      </c>
    </row>
    <row r="4553" spans="1:40" x14ac:dyDescent="0.25">
      <c r="A4553" t="str">
        <f>"20190303170630151"</f>
        <v>20190303170630151</v>
      </c>
      <c r="B4553" t="str">
        <f>"1551603990139249"</f>
        <v>1551603990139249</v>
      </c>
      <c r="C4553" t="s">
        <v>40</v>
      </c>
      <c r="D4553">
        <v>5.8656329999999999</v>
      </c>
      <c r="E4553">
        <v>0.44476009999999999</v>
      </c>
      <c r="F4553" t="s">
        <v>102</v>
      </c>
      <c r="G4553">
        <v>-279.68</v>
      </c>
      <c r="H4553">
        <v>0.53465659999999904</v>
      </c>
      <c r="I4553">
        <v>28.02291</v>
      </c>
      <c r="J4553">
        <v>-366.60019999999997</v>
      </c>
      <c r="K4553">
        <v>1.122992</v>
      </c>
      <c r="L4553">
        <v>15.354679999999901</v>
      </c>
      <c r="M4553">
        <v>0.9989306</v>
      </c>
      <c r="N4553">
        <v>-1.3610199999999999E-2</v>
      </c>
      <c r="O4553">
        <v>-4.4187900000000002E-2</v>
      </c>
      <c r="P4553">
        <v>0.97840689999999997</v>
      </c>
      <c r="Q4553">
        <v>0.20645669999999999</v>
      </c>
      <c r="R4553">
        <v>-9.7949500000000002E-3</v>
      </c>
      <c r="S4553">
        <v>3.0753170000000001</v>
      </c>
      <c r="T4553">
        <v>-2.077675E-2</v>
      </c>
      <c r="U4553">
        <v>0.44714359999999997</v>
      </c>
      <c r="V4553">
        <v>-3.4310260000000002E-2</v>
      </c>
      <c r="W4553">
        <v>0.2196148</v>
      </c>
      <c r="X4553">
        <v>0.97498320000000005</v>
      </c>
      <c r="Y4553">
        <v>-0.1874623</v>
      </c>
      <c r="Z4553">
        <v>1.6115739999999999E-3</v>
      </c>
      <c r="AA4553">
        <v>0.98227050000000005</v>
      </c>
      <c r="AB4553">
        <v>30</v>
      </c>
      <c r="AC4553">
        <v>86.920199999999895</v>
      </c>
      <c r="AD4553">
        <v>-0.58833539999999995</v>
      </c>
      <c r="AE4553">
        <v>12.6682299999999</v>
      </c>
      <c r="AF4553">
        <v>-16.496290395893698</v>
      </c>
      <c r="AG4553">
        <v>-0.58833539999999995</v>
      </c>
      <c r="AH4553">
        <v>86.271579283354995</v>
      </c>
      <c r="AI4553">
        <v>90.383774046990695</v>
      </c>
      <c r="AJ4553">
        <v>100.82505788614201</v>
      </c>
      <c r="AK4553">
        <v>87.836547788564403</v>
      </c>
      <c r="AL4553">
        <v>77.313591249827198</v>
      </c>
      <c r="AM4553">
        <v>92.015442124491798</v>
      </c>
      <c r="AN4553">
        <v>1.00000004730127</v>
      </c>
    </row>
    <row r="4554" spans="1:40" x14ac:dyDescent="0.25">
      <c r="A4554" t="str">
        <f>"20190303170630171"</f>
        <v>20190303170630171</v>
      </c>
      <c r="B4554" t="str">
        <f>"1551603990159744"</f>
        <v>1551603990159744</v>
      </c>
      <c r="C4554" t="s">
        <v>40</v>
      </c>
      <c r="D4554">
        <v>5.8686030000000002</v>
      </c>
      <c r="E4554">
        <v>0.40144099999999999</v>
      </c>
      <c r="F4554" t="s">
        <v>102</v>
      </c>
      <c r="G4554">
        <v>-279.68</v>
      </c>
      <c r="H4554">
        <v>0.54693619999999898</v>
      </c>
      <c r="I4554">
        <v>28.057749999999999</v>
      </c>
      <c r="J4554">
        <v>-366.34390000000002</v>
      </c>
      <c r="K4554">
        <v>1.1229929999999999</v>
      </c>
      <c r="L4554">
        <v>15.345179999999999</v>
      </c>
      <c r="M4554">
        <v>0.99900599999999995</v>
      </c>
      <c r="N4554">
        <v>-1.360894E-2</v>
      </c>
      <c r="O4554">
        <v>-4.2445749999999997E-2</v>
      </c>
      <c r="P4554">
        <v>0.97829829999999995</v>
      </c>
      <c r="Q4554">
        <v>0.20700009999999999</v>
      </c>
      <c r="R4554">
        <v>-9.1468690000000002E-3</v>
      </c>
      <c r="S4554">
        <v>3.0750120000000001</v>
      </c>
      <c r="T4554">
        <v>-2.0379540000000002E-2</v>
      </c>
      <c r="U4554">
        <v>0.44940190000000002</v>
      </c>
      <c r="V4554">
        <v>-3.3248850000000003E-2</v>
      </c>
      <c r="W4554">
        <v>0.22015999999999999</v>
      </c>
      <c r="X4554">
        <v>0.97489700000000001</v>
      </c>
      <c r="Y4554">
        <v>-0.18646989999999999</v>
      </c>
      <c r="Z4554">
        <v>1.5959399999999999E-3</v>
      </c>
      <c r="AA4554">
        <v>0.98245939999999998</v>
      </c>
      <c r="AB4554">
        <v>30</v>
      </c>
      <c r="AC4554">
        <v>86.663899999999998</v>
      </c>
      <c r="AD4554">
        <v>-0.57605680000000004</v>
      </c>
      <c r="AE4554">
        <v>12.712569999999999</v>
      </c>
      <c r="AF4554">
        <v>-16.379257749373402</v>
      </c>
      <c r="AG4554">
        <v>-0.57605680000000004</v>
      </c>
      <c r="AH4554">
        <v>86.042415557543407</v>
      </c>
      <c r="AI4554">
        <v>90.376824684122795</v>
      </c>
      <c r="AJ4554">
        <v>100.77801722189599</v>
      </c>
      <c r="AK4554">
        <v>87.589435440778004</v>
      </c>
      <c r="AL4554">
        <v>77.281569732502305</v>
      </c>
      <c r="AM4554">
        <v>91.953314746134495</v>
      </c>
      <c r="AN4554">
        <v>1.00000003611766</v>
      </c>
    </row>
    <row r="4555" spans="1:40" x14ac:dyDescent="0.25">
      <c r="A4555" t="str">
        <f>"20190303170630185"</f>
        <v>20190303170630185</v>
      </c>
      <c r="B4555" t="str">
        <f>"1551603990179773"</f>
        <v>1551603990179773</v>
      </c>
      <c r="C4555" t="s">
        <v>40</v>
      </c>
      <c r="D4555">
        <v>5.8751550000000003</v>
      </c>
      <c r="E4555">
        <v>0.39899770000000001</v>
      </c>
      <c r="F4555" t="s">
        <v>104</v>
      </c>
      <c r="G4555">
        <v>-281.69850000000002</v>
      </c>
      <c r="H4555">
        <v>3.5534530000000002</v>
      </c>
      <c r="I4555">
        <v>37.29786</v>
      </c>
      <c r="J4555">
        <v>-366.15010000000001</v>
      </c>
      <c r="K4555">
        <v>1.1229910000000001</v>
      </c>
      <c r="L4555">
        <v>15.338290000000001</v>
      </c>
      <c r="M4555">
        <v>0.99906130000000004</v>
      </c>
      <c r="N4555">
        <v>-1.360798E-2</v>
      </c>
      <c r="O4555">
        <v>-4.1128079999999997E-2</v>
      </c>
      <c r="P4555">
        <v>0.97823669999999996</v>
      </c>
      <c r="Q4555">
        <v>0.20732349999999999</v>
      </c>
      <c r="R4555">
        <v>-8.3814340000000001E-3</v>
      </c>
      <c r="S4555">
        <v>3.0554199999999998</v>
      </c>
      <c r="T4555">
        <v>8.7731719999999999E-2</v>
      </c>
      <c r="U4555">
        <v>0.7924194</v>
      </c>
      <c r="V4555">
        <v>-3.2721559999999997E-2</v>
      </c>
      <c r="W4555">
        <v>0.22048419999999999</v>
      </c>
      <c r="X4555">
        <v>0.97484150000000003</v>
      </c>
      <c r="Y4555">
        <v>-0.29055399999999998</v>
      </c>
      <c r="Z4555">
        <v>-3.8059109999999999E-3</v>
      </c>
      <c r="AA4555">
        <v>0.95685100000000001</v>
      </c>
      <c r="AB4555">
        <v>30</v>
      </c>
      <c r="AC4555">
        <v>84.4515999999999</v>
      </c>
      <c r="AD4555">
        <v>2.4304619999999901</v>
      </c>
      <c r="AE4555">
        <v>21.959569999999999</v>
      </c>
      <c r="AF4555">
        <v>-25.394938363726901</v>
      </c>
      <c r="AG4555">
        <v>2.4304619999999901</v>
      </c>
      <c r="AH4555">
        <v>83.412181398197404</v>
      </c>
      <c r="AI4555">
        <v>88.403308716511305</v>
      </c>
      <c r="AJ4555">
        <v>106.93293345877299</v>
      </c>
      <c r="AK4555">
        <v>87.226154596180194</v>
      </c>
      <c r="AL4555">
        <v>77.262525593976605</v>
      </c>
      <c r="AM4555">
        <v>91.922470125688506</v>
      </c>
      <c r="AN4555">
        <v>0.99999996653036105</v>
      </c>
    </row>
    <row r="4556" spans="1:40" x14ac:dyDescent="0.25">
      <c r="A4556" t="str">
        <f>"20190303170630203"</f>
        <v>20190303170630203</v>
      </c>
      <c r="B4556" t="str">
        <f>"1551603990189533"</f>
        <v>1551603990189533</v>
      </c>
      <c r="C4556" t="s">
        <v>40</v>
      </c>
      <c r="D4556">
        <v>5.8655559999999998</v>
      </c>
      <c r="E4556">
        <v>0.3986209</v>
      </c>
      <c r="F4556" t="s">
        <v>104</v>
      </c>
      <c r="G4556">
        <v>-280.86259999999999</v>
      </c>
      <c r="H4556">
        <v>3.76302</v>
      </c>
      <c r="I4556">
        <v>38.091230000000003</v>
      </c>
      <c r="J4556">
        <v>-365.9203</v>
      </c>
      <c r="K4556">
        <v>1.122989</v>
      </c>
      <c r="L4556">
        <v>15.330439999999999</v>
      </c>
      <c r="M4556">
        <v>0.99912449999999997</v>
      </c>
      <c r="N4556">
        <v>-1.360684E-2</v>
      </c>
      <c r="O4556">
        <v>-3.9566169999999998E-2</v>
      </c>
      <c r="P4556">
        <v>0.97836780000000001</v>
      </c>
      <c r="Q4556">
        <v>0.20671790000000001</v>
      </c>
      <c r="R4556">
        <v>-8.039249E-3</v>
      </c>
      <c r="S4556">
        <v>3.0537109999999998</v>
      </c>
      <c r="T4556">
        <v>9.452605E-2</v>
      </c>
      <c r="U4556">
        <v>0.81466669999999997</v>
      </c>
      <c r="V4556">
        <v>-3.1536849999999998E-2</v>
      </c>
      <c r="W4556">
        <v>0.21988369999999999</v>
      </c>
      <c r="X4556">
        <v>0.9750162</v>
      </c>
      <c r="Y4556">
        <v>-0.29568660000000002</v>
      </c>
      <c r="Z4556">
        <v>-4.1832709999999997E-3</v>
      </c>
      <c r="AA4556">
        <v>0.95527580000000001</v>
      </c>
      <c r="AB4556">
        <v>30</v>
      </c>
      <c r="AC4556">
        <v>85.057699999999997</v>
      </c>
      <c r="AD4556">
        <v>2.640031</v>
      </c>
      <c r="AE4556">
        <v>22.76079</v>
      </c>
      <c r="AF4556">
        <v>-26.085231857078799</v>
      </c>
      <c r="AG4556">
        <v>2.640031</v>
      </c>
      <c r="AH4556">
        <v>84.014914253909893</v>
      </c>
      <c r="AI4556">
        <v>88.281061062729805</v>
      </c>
      <c r="AJ4556">
        <v>107.248698495437</v>
      </c>
      <c r="AK4556">
        <v>88.010879451408499</v>
      </c>
      <c r="AL4556">
        <v>77.297797800119696</v>
      </c>
      <c r="AM4556">
        <v>91.852583234788398</v>
      </c>
      <c r="AN4556">
        <v>1.00000000234802</v>
      </c>
    </row>
    <row r="4557" spans="1:40" x14ac:dyDescent="0.25">
      <c r="A4557" t="str">
        <f>"20190303170630215"</f>
        <v>20190303170630215</v>
      </c>
      <c r="B4557" t="str">
        <f>"1551603990210029"</f>
        <v>1551603990210029</v>
      </c>
      <c r="C4557" t="s">
        <v>40</v>
      </c>
      <c r="D4557">
        <v>5.855912</v>
      </c>
      <c r="E4557">
        <v>0.39802110000000002</v>
      </c>
      <c r="F4557" t="s">
        <v>104</v>
      </c>
      <c r="G4557">
        <v>-280.86259999999999</v>
      </c>
      <c r="H4557">
        <v>3.7368190000000001</v>
      </c>
      <c r="I4557">
        <v>38.1524</v>
      </c>
      <c r="J4557">
        <v>-365.74979999999999</v>
      </c>
      <c r="K4557">
        <v>1.1229880000000001</v>
      </c>
      <c r="L4557">
        <v>15.324949999999999</v>
      </c>
      <c r="M4557">
        <v>0.99916970000000005</v>
      </c>
      <c r="N4557">
        <v>-1.360598E-2</v>
      </c>
      <c r="O4557">
        <v>-3.8406089999999997E-2</v>
      </c>
      <c r="P4557">
        <v>0.97845950000000004</v>
      </c>
      <c r="Q4557">
        <v>0.20630200000000001</v>
      </c>
      <c r="R4557">
        <v>-7.5197179999999999E-3</v>
      </c>
      <c r="S4557">
        <v>3.053223</v>
      </c>
      <c r="T4557">
        <v>9.3825820000000004E-2</v>
      </c>
      <c r="U4557">
        <v>0.81921390000000005</v>
      </c>
      <c r="V4557">
        <v>-3.0921440000000001E-2</v>
      </c>
      <c r="W4557">
        <v>0.2194711</v>
      </c>
      <c r="X4557">
        <v>0.97512889999999997</v>
      </c>
      <c r="Y4557">
        <v>-0.29594609999999999</v>
      </c>
      <c r="Z4557">
        <v>-4.0920330000000001E-3</v>
      </c>
      <c r="AA4557">
        <v>0.95519589999999999</v>
      </c>
      <c r="AB4557">
        <v>30</v>
      </c>
      <c r="AC4557">
        <v>84.887200000000007</v>
      </c>
      <c r="AD4557">
        <v>2.6138309999999998</v>
      </c>
      <c r="AE4557">
        <v>22.827449999999999</v>
      </c>
      <c r="AF4557">
        <v>-26.048060405747901</v>
      </c>
      <c r="AG4557">
        <v>2.6138309999999998</v>
      </c>
      <c r="AH4557">
        <v>83.873605042743193</v>
      </c>
      <c r="AI4557">
        <v>88.295282874166702</v>
      </c>
      <c r="AJ4557">
        <v>107.25287457390201</v>
      </c>
      <c r="AK4557">
        <v>87.864186027437398</v>
      </c>
      <c r="AL4557">
        <v>77.322030394501297</v>
      </c>
      <c r="AM4557">
        <v>91.816246594927705</v>
      </c>
      <c r="AN4557">
        <v>1.0000000354010401</v>
      </c>
    </row>
    <row r="4558" spans="1:40" x14ac:dyDescent="0.25">
      <c r="A4558" t="str">
        <f>"20190303170630227"</f>
        <v>20190303170630227</v>
      </c>
      <c r="B4558" t="str">
        <f>"1551603990219789"</f>
        <v>1551603990219789</v>
      </c>
      <c r="C4558" t="s">
        <v>40</v>
      </c>
      <c r="D4558">
        <v>6.0107220000000003</v>
      </c>
      <c r="E4558">
        <v>0.39822370000000001</v>
      </c>
      <c r="F4558" t="s">
        <v>104</v>
      </c>
      <c r="G4558">
        <v>-280.86259999999999</v>
      </c>
      <c r="H4558">
        <v>3.700164</v>
      </c>
      <c r="I4558">
        <v>38.282910000000001</v>
      </c>
      <c r="J4558">
        <v>-365.5924</v>
      </c>
      <c r="K4558">
        <v>1.122984</v>
      </c>
      <c r="L4558">
        <v>15.319979999999999</v>
      </c>
      <c r="M4558">
        <v>0.99921020000000005</v>
      </c>
      <c r="N4558">
        <v>-1.360518E-2</v>
      </c>
      <c r="O4558">
        <v>-3.7336359999999999E-2</v>
      </c>
      <c r="P4558">
        <v>0.9784988</v>
      </c>
      <c r="Q4558">
        <v>0.2061394</v>
      </c>
      <c r="R4558">
        <v>-6.8530010000000001E-3</v>
      </c>
      <c r="S4558">
        <v>3.0528559999999998</v>
      </c>
      <c r="T4558">
        <v>9.2684859999999994E-2</v>
      </c>
      <c r="U4558">
        <v>0.82565309999999903</v>
      </c>
      <c r="V4558">
        <v>-3.0540359999999999E-2</v>
      </c>
      <c r="W4558">
        <v>0.21931010000000001</v>
      </c>
      <c r="X4558">
        <v>0.97517710000000002</v>
      </c>
      <c r="Y4558">
        <v>-0.2968343</v>
      </c>
      <c r="Z4558">
        <v>-3.9830669999999999E-3</v>
      </c>
      <c r="AA4558">
        <v>0.95492069999999996</v>
      </c>
      <c r="AB4558">
        <v>30</v>
      </c>
      <c r="AC4558">
        <v>84.729799999999997</v>
      </c>
      <c r="AD4558">
        <v>2.5771799999999998</v>
      </c>
      <c r="AE4558">
        <v>22.96293</v>
      </c>
      <c r="AF4558">
        <v>-26.088226825659</v>
      </c>
      <c r="AG4558">
        <v>2.5771799999999998</v>
      </c>
      <c r="AH4558">
        <v>83.741107128592304</v>
      </c>
      <c r="AI4558">
        <v>88.316977878516994</v>
      </c>
      <c r="AJ4558">
        <v>107.303602670267</v>
      </c>
      <c r="AK4558">
        <v>87.748563855950394</v>
      </c>
      <c r="AL4558">
        <v>77.331484973026093</v>
      </c>
      <c r="AM4558">
        <v>91.793789034962799</v>
      </c>
      <c r="AN4558">
        <v>1.0000000049576701</v>
      </c>
    </row>
    <row r="4559" spans="1:40" x14ac:dyDescent="0.25">
      <c r="A4559" t="str">
        <f>"20190303170630239"</f>
        <v>20190303170630239</v>
      </c>
      <c r="B4559" t="str">
        <f>"1551603990229549"</f>
        <v>1551603990229549</v>
      </c>
      <c r="C4559" t="s">
        <v>40</v>
      </c>
      <c r="D4559">
        <v>5.849672</v>
      </c>
      <c r="E4559">
        <v>0.39797670000000002</v>
      </c>
      <c r="F4559" t="s">
        <v>104</v>
      </c>
      <c r="G4559">
        <v>-280.86250000000001</v>
      </c>
      <c r="H4559">
        <v>3.691729</v>
      </c>
      <c r="I4559">
        <v>38.252070000000003</v>
      </c>
      <c r="J4559">
        <v>-365.42869999999999</v>
      </c>
      <c r="K4559">
        <v>1.1229819999999999</v>
      </c>
      <c r="L4559">
        <v>15.31494</v>
      </c>
      <c r="M4559">
        <v>0.99925120000000001</v>
      </c>
      <c r="N4559">
        <v>-1.3604339999999999E-2</v>
      </c>
      <c r="O4559">
        <v>-3.6222650000000002E-2</v>
      </c>
      <c r="P4559">
        <v>0.97850749999999997</v>
      </c>
      <c r="Q4559">
        <v>0.2061056</v>
      </c>
      <c r="R4559">
        <v>-6.5957419999999999E-3</v>
      </c>
      <c r="S4559">
        <v>3.052216</v>
      </c>
      <c r="T4559">
        <v>9.2533710000000005E-2</v>
      </c>
      <c r="U4559">
        <v>0.82608029999999999</v>
      </c>
      <c r="V4559">
        <v>-2.9706819999999998E-2</v>
      </c>
      <c r="W4559">
        <v>0.21927940000000001</v>
      </c>
      <c r="X4559">
        <v>0.97520980000000002</v>
      </c>
      <c r="Y4559">
        <v>-0.2959465</v>
      </c>
      <c r="Z4559">
        <v>-3.9199489999999998E-3</v>
      </c>
      <c r="AA4559">
        <v>0.95519639999999995</v>
      </c>
      <c r="AB4559">
        <v>30</v>
      </c>
      <c r="AC4559">
        <v>84.566199999999895</v>
      </c>
      <c r="AD4559">
        <v>2.5687470000000001</v>
      </c>
      <c r="AE4559">
        <v>22.93713</v>
      </c>
      <c r="AF4559">
        <v>-25.963255707095598</v>
      </c>
      <c r="AG4559">
        <v>2.5687470000000001</v>
      </c>
      <c r="AH4559">
        <v>83.607915531362096</v>
      </c>
      <c r="AI4559">
        <v>88.319335490101096</v>
      </c>
      <c r="AJ4559">
        <v>107.251442480354</v>
      </c>
      <c r="AK4559">
        <v>87.584089009142701</v>
      </c>
      <c r="AL4559">
        <v>77.333288446168197</v>
      </c>
      <c r="AM4559">
        <v>91.744803253126605</v>
      </c>
      <c r="AN4559">
        <v>1.0000000522174499</v>
      </c>
    </row>
    <row r="4560" spans="1:40" x14ac:dyDescent="0.25">
      <c r="A4560" t="str">
        <f>"20190303170630251"</f>
        <v>20190303170630251</v>
      </c>
      <c r="B4560" t="str">
        <f>"1551603990239309"</f>
        <v>1551603990239309</v>
      </c>
      <c r="C4560" t="s">
        <v>40</v>
      </c>
      <c r="D4560">
        <v>5.9043910000000004</v>
      </c>
      <c r="E4560">
        <v>0.39776020000000001</v>
      </c>
      <c r="F4560" t="s">
        <v>104</v>
      </c>
      <c r="G4560">
        <v>-280.86259999999999</v>
      </c>
      <c r="H4560">
        <v>3.6739470000000001</v>
      </c>
      <c r="I4560">
        <v>38.27805</v>
      </c>
      <c r="J4560">
        <v>-365.27569999999997</v>
      </c>
      <c r="K4560">
        <v>1.1229800000000001</v>
      </c>
      <c r="L4560">
        <v>15.31049</v>
      </c>
      <c r="M4560">
        <v>0.99928839999999997</v>
      </c>
      <c r="N4560">
        <v>-1.3603560000000001E-2</v>
      </c>
      <c r="O4560">
        <v>-3.518189E-2</v>
      </c>
      <c r="P4560">
        <v>0.97852209999999995</v>
      </c>
      <c r="Q4560">
        <v>0.20605390000000001</v>
      </c>
      <c r="R4560">
        <v>-6.0643930000000004E-3</v>
      </c>
      <c r="S4560">
        <v>3.0520939999999999</v>
      </c>
      <c r="T4560">
        <v>9.2067479999999993E-2</v>
      </c>
      <c r="U4560">
        <v>0.82876589999999895</v>
      </c>
      <c r="V4560">
        <v>-2.9218879999999999E-2</v>
      </c>
      <c r="W4560">
        <v>0.21922920000000001</v>
      </c>
      <c r="X4560">
        <v>0.97523579999999999</v>
      </c>
      <c r="Y4560">
        <v>-0.29574640000000002</v>
      </c>
      <c r="Z4560">
        <v>-3.8453879999999999E-3</v>
      </c>
      <c r="AA4560">
        <v>0.95525870000000002</v>
      </c>
      <c r="AB4560">
        <v>30</v>
      </c>
      <c r="AC4560">
        <v>84.413099999999901</v>
      </c>
      <c r="AD4560">
        <v>2.550967</v>
      </c>
      <c r="AE4560">
        <v>22.967559999999999</v>
      </c>
      <c r="AF4560">
        <v>-25.901401756181802</v>
      </c>
      <c r="AG4560">
        <v>2.550967</v>
      </c>
      <c r="AH4560">
        <v>83.481730736823195</v>
      </c>
      <c r="AI4560">
        <v>88.328312073890004</v>
      </c>
      <c r="AJ4560">
        <v>107.237251384027</v>
      </c>
      <c r="AK4560">
        <v>87.444779217433407</v>
      </c>
      <c r="AL4560">
        <v>77.336236079107593</v>
      </c>
      <c r="AM4560">
        <v>91.716116092755399</v>
      </c>
      <c r="AN4560">
        <v>1.0000000253413599</v>
      </c>
    </row>
    <row r="4561" spans="1:40" x14ac:dyDescent="0.25">
      <c r="A4561" t="str">
        <f>"20190303170630266"</f>
        <v>20190303170630266</v>
      </c>
      <c r="B4561" t="str">
        <f>"1551603990259805"</f>
        <v>1551603990259805</v>
      </c>
      <c r="C4561" t="s">
        <v>40</v>
      </c>
      <c r="D4561">
        <v>5.8685099999999997</v>
      </c>
      <c r="E4561">
        <v>0.39743849999999997</v>
      </c>
      <c r="F4561" t="s">
        <v>104</v>
      </c>
      <c r="G4561">
        <v>-280.86259999999999</v>
      </c>
      <c r="H4561">
        <v>3.675433</v>
      </c>
      <c r="I4561">
        <v>38.333240000000004</v>
      </c>
      <c r="J4561">
        <v>-365.08249999999998</v>
      </c>
      <c r="K4561">
        <v>1.122978</v>
      </c>
      <c r="L4561">
        <v>15.305020000000001</v>
      </c>
      <c r="M4561">
        <v>0.99933380000000005</v>
      </c>
      <c r="N4561">
        <v>-1.3602589999999999E-2</v>
      </c>
      <c r="O4561">
        <v>-3.3867559999999998E-2</v>
      </c>
      <c r="P4561">
        <v>0.97852220000000001</v>
      </c>
      <c r="Q4561">
        <v>0.20606169999999999</v>
      </c>
      <c r="R4561">
        <v>-5.7761519999999997E-3</v>
      </c>
      <c r="S4561">
        <v>3.0515439999999998</v>
      </c>
      <c r="T4561">
        <v>9.2271569999999997E-2</v>
      </c>
      <c r="U4561">
        <v>0.8322754</v>
      </c>
      <c r="V4561">
        <v>-2.8219439999999998E-2</v>
      </c>
      <c r="W4561">
        <v>0.21924080000000001</v>
      </c>
      <c r="X4561">
        <v>0.97526259999999998</v>
      </c>
      <c r="Y4561">
        <v>-0.29555710000000002</v>
      </c>
      <c r="Z4561">
        <v>-3.799167E-3</v>
      </c>
      <c r="AA4561">
        <v>0.95531750000000004</v>
      </c>
      <c r="AB4561">
        <v>30</v>
      </c>
      <c r="AC4561">
        <v>84.219899999999996</v>
      </c>
      <c r="AD4561">
        <v>2.5524550000000001</v>
      </c>
      <c r="AE4561">
        <v>23.028220000000001</v>
      </c>
      <c r="AF4561">
        <v>-25.845505142591598</v>
      </c>
      <c r="AG4561">
        <v>2.5524550000000001</v>
      </c>
      <c r="AH4561">
        <v>83.320387468355094</v>
      </c>
      <c r="AI4561">
        <v>88.324067177174399</v>
      </c>
      <c r="AJ4561">
        <v>107.233589573684</v>
      </c>
      <c r="AK4561">
        <v>87.274235204208907</v>
      </c>
      <c r="AL4561">
        <v>77.335554576194795</v>
      </c>
      <c r="AM4561">
        <v>91.657403660416094</v>
      </c>
      <c r="AN4561">
        <v>1.0000000020686499</v>
      </c>
    </row>
    <row r="4562" spans="1:40" x14ac:dyDescent="0.25">
      <c r="A4562" t="str">
        <f>"20190303170630282"</f>
        <v>20190303170630282</v>
      </c>
      <c r="B4562" t="str">
        <f>"1551603990269565"</f>
        <v>1551603990269565</v>
      </c>
      <c r="C4562" t="s">
        <v>40</v>
      </c>
      <c r="D4562">
        <v>5.8463760000000002</v>
      </c>
      <c r="E4562">
        <v>0.39743260000000002</v>
      </c>
      <c r="F4562" t="s">
        <v>104</v>
      </c>
      <c r="G4562">
        <v>-280.86259999999999</v>
      </c>
      <c r="H4562">
        <v>3.6680280000000001</v>
      </c>
      <c r="I4562">
        <v>38.380920000000003</v>
      </c>
      <c r="J4562">
        <v>-364.87290000000002</v>
      </c>
      <c r="K4562">
        <v>1.1229819999999999</v>
      </c>
      <c r="L4562">
        <v>15.29941</v>
      </c>
      <c r="M4562">
        <v>0.99938119999999997</v>
      </c>
      <c r="N4562">
        <v>-1.360155E-2</v>
      </c>
      <c r="O4562">
        <v>-3.2441409999999997E-2</v>
      </c>
      <c r="P4562">
        <v>0.97859390000000002</v>
      </c>
      <c r="Q4562">
        <v>0.20571790000000001</v>
      </c>
      <c r="R4562">
        <v>-5.886957E-3</v>
      </c>
      <c r="S4562">
        <v>3.051361</v>
      </c>
      <c r="T4562">
        <v>9.2209459999999993E-2</v>
      </c>
      <c r="U4562">
        <v>0.83605959999999901</v>
      </c>
      <c r="V4562">
        <v>-2.6713359999999998E-2</v>
      </c>
      <c r="W4562">
        <v>0.2189035</v>
      </c>
      <c r="X4562">
        <v>0.97538080000000005</v>
      </c>
      <c r="Y4562">
        <v>-0.29531230000000003</v>
      </c>
      <c r="Z4562">
        <v>-3.7313899999999998E-3</v>
      </c>
      <c r="AA4562">
        <v>0.95539350000000001</v>
      </c>
      <c r="AB4562">
        <v>30</v>
      </c>
      <c r="AC4562">
        <v>84.010300000000001</v>
      </c>
      <c r="AD4562">
        <v>2.5450459999999899</v>
      </c>
      <c r="AE4562">
        <v>23.081510000000002</v>
      </c>
      <c r="AF4562">
        <v>-25.773029822753202</v>
      </c>
      <c r="AG4562">
        <v>2.5450459999999899</v>
      </c>
      <c r="AH4562">
        <v>83.146254206010994</v>
      </c>
      <c r="AI4562">
        <v>88.325326287062097</v>
      </c>
      <c r="AJ4562">
        <v>107.22198456908001</v>
      </c>
      <c r="AK4562">
        <v>87.086313011157202</v>
      </c>
      <c r="AL4562">
        <v>77.355361882044505</v>
      </c>
      <c r="AM4562">
        <v>91.568802947850401</v>
      </c>
      <c r="AN4562">
        <v>1.0000000254616801</v>
      </c>
    </row>
    <row r="4563" spans="1:40" x14ac:dyDescent="0.25">
      <c r="A4563" t="str">
        <f>"20190303170630304"</f>
        <v>20190303170630304</v>
      </c>
      <c r="B4563" t="str">
        <f>"1551603990299822"</f>
        <v>1551603990299822</v>
      </c>
      <c r="C4563" t="s">
        <v>40</v>
      </c>
      <c r="D4563">
        <v>5.8470559999999896</v>
      </c>
      <c r="E4563">
        <v>0.39693099999999998</v>
      </c>
      <c r="F4563" t="s">
        <v>104</v>
      </c>
      <c r="G4563">
        <v>-280.86259999999999</v>
      </c>
      <c r="H4563">
        <v>3.6256940000000002</v>
      </c>
      <c r="I4563">
        <v>38.322369999999999</v>
      </c>
      <c r="J4563">
        <v>-364.58319999999998</v>
      </c>
      <c r="K4563">
        <v>1.1229739999999999</v>
      </c>
      <c r="L4563">
        <v>15.29214</v>
      </c>
      <c r="M4563">
        <v>0.99944330000000003</v>
      </c>
      <c r="N4563">
        <v>-1.360009E-2</v>
      </c>
      <c r="O4563">
        <v>-3.0470870000000001E-2</v>
      </c>
      <c r="P4563">
        <v>0.97877530000000001</v>
      </c>
      <c r="Q4563">
        <v>0.2048759</v>
      </c>
      <c r="R4563">
        <v>-5.014358E-3</v>
      </c>
      <c r="S4563">
        <v>3.0515439999999998</v>
      </c>
      <c r="T4563">
        <v>9.0907219999999997E-2</v>
      </c>
      <c r="U4563">
        <v>0.83627320000000005</v>
      </c>
      <c r="V4563">
        <v>-2.5656439999999999E-2</v>
      </c>
      <c r="W4563">
        <v>0.21806690000000001</v>
      </c>
      <c r="X4563">
        <v>0.97559649999999998</v>
      </c>
      <c r="Y4563">
        <v>-0.29348109999999999</v>
      </c>
      <c r="Z4563">
        <v>-3.5576840000000002E-3</v>
      </c>
      <c r="AA4563">
        <v>0.95595819999999998</v>
      </c>
      <c r="AB4563">
        <v>30</v>
      </c>
      <c r="AC4563">
        <v>83.720599999999905</v>
      </c>
      <c r="AD4563">
        <v>2.5027200000000001</v>
      </c>
      <c r="AE4563">
        <v>23.03023</v>
      </c>
      <c r="AF4563">
        <v>-25.549583291810499</v>
      </c>
      <c r="AG4563">
        <v>2.5027200000000001</v>
      </c>
      <c r="AH4563">
        <v>82.911021767842797</v>
      </c>
      <c r="AI4563">
        <v>88.347646459118195</v>
      </c>
      <c r="AJ4563">
        <v>107.12703005338</v>
      </c>
      <c r="AK4563">
        <v>86.7944833752195</v>
      </c>
      <c r="AL4563">
        <v>77.404481663442198</v>
      </c>
      <c r="AM4563">
        <v>91.506429129911297</v>
      </c>
      <c r="AN4563">
        <v>0.999999978300666</v>
      </c>
    </row>
    <row r="4564" spans="1:40" x14ac:dyDescent="0.25">
      <c r="A4564" t="str">
        <f>"20190303170630318"</f>
        <v>20190303170630318</v>
      </c>
      <c r="B4564" t="str">
        <f>"1551603990309581"</f>
        <v>1551603990309581</v>
      </c>
      <c r="C4564" t="s">
        <v>40</v>
      </c>
      <c r="D4564">
        <v>5.8688710000000004</v>
      </c>
      <c r="E4564">
        <v>0.39681290000000002</v>
      </c>
      <c r="F4564" t="s">
        <v>104</v>
      </c>
      <c r="G4564">
        <v>-281.69850000000002</v>
      </c>
      <c r="H4564">
        <v>3.5128149999999998</v>
      </c>
      <c r="I4564">
        <v>38.204709999999999</v>
      </c>
      <c r="J4564">
        <v>-364.38749999999999</v>
      </c>
      <c r="K4564">
        <v>1.122968</v>
      </c>
      <c r="L4564">
        <v>15.287570000000001</v>
      </c>
      <c r="M4564">
        <v>0.9994828</v>
      </c>
      <c r="N4564">
        <v>-1.359907E-2</v>
      </c>
      <c r="O4564">
        <v>-2.9142970000000001E-2</v>
      </c>
      <c r="P4564">
        <v>0.97879620000000001</v>
      </c>
      <c r="Q4564">
        <v>0.20479230000000001</v>
      </c>
      <c r="R4564">
        <v>-4.2479520000000002E-3</v>
      </c>
      <c r="S4564">
        <v>3.0509949999999999</v>
      </c>
      <c r="T4564">
        <v>8.7970499999999993E-2</v>
      </c>
      <c r="U4564">
        <v>0.84341429999999995</v>
      </c>
      <c r="V4564">
        <v>-2.5121460000000002E-2</v>
      </c>
      <c r="W4564">
        <v>0.21798500000000001</v>
      </c>
      <c r="X4564">
        <v>0.97562870000000002</v>
      </c>
      <c r="Y4564">
        <v>-0.29434260000000001</v>
      </c>
      <c r="Z4564">
        <v>-3.339954E-3</v>
      </c>
      <c r="AA4564">
        <v>0.95569409999999999</v>
      </c>
      <c r="AB4564">
        <v>29</v>
      </c>
      <c r="AC4564">
        <v>82.688999999999893</v>
      </c>
      <c r="AD4564">
        <v>2.3898470000000001</v>
      </c>
      <c r="AE4564">
        <v>22.91714</v>
      </c>
      <c r="AF4564">
        <v>-25.297805972017901</v>
      </c>
      <c r="AG4564">
        <v>2.3898470000000001</v>
      </c>
      <c r="AH4564">
        <v>81.922387538164003</v>
      </c>
      <c r="AI4564">
        <v>88.403387567450295</v>
      </c>
      <c r="AJ4564">
        <v>107.160798308233</v>
      </c>
      <c r="AK4564">
        <v>85.772769196490302</v>
      </c>
      <c r="AL4564">
        <v>77.409289549340201</v>
      </c>
      <c r="AM4564">
        <v>91.474982908297903</v>
      </c>
      <c r="AN4564">
        <v>0.99999995412060905</v>
      </c>
    </row>
    <row r="4565" spans="1:40" x14ac:dyDescent="0.25">
      <c r="A4565" t="str">
        <f>"20190303170630338"</f>
        <v>20190303170630338</v>
      </c>
      <c r="B4565" t="str">
        <f>"1551603990329101"</f>
        <v>1551603990329101</v>
      </c>
      <c r="C4565" t="s">
        <v>40</v>
      </c>
      <c r="D4565">
        <v>5.8606290000000003</v>
      </c>
      <c r="E4565">
        <v>0.39680559999999998</v>
      </c>
      <c r="F4565" t="s">
        <v>104</v>
      </c>
      <c r="G4565">
        <v>-281.69850000000002</v>
      </c>
      <c r="H4565">
        <v>3.4857629999999999</v>
      </c>
      <c r="I4565">
        <v>38.230620000000002</v>
      </c>
      <c r="J4565">
        <v>-364.13139999999999</v>
      </c>
      <c r="K4565">
        <v>1.122962</v>
      </c>
      <c r="L4565">
        <v>15.281980000000001</v>
      </c>
      <c r="M4565">
        <v>0.99953170000000002</v>
      </c>
      <c r="N4565">
        <v>-1.3597649999999999E-2</v>
      </c>
      <c r="O4565">
        <v>-2.740969E-2</v>
      </c>
      <c r="P4565">
        <v>0.97885599999999995</v>
      </c>
      <c r="Q4565">
        <v>0.2045178</v>
      </c>
      <c r="R4565">
        <v>-3.678055E-3</v>
      </c>
      <c r="S4565">
        <v>3.0504150000000001</v>
      </c>
      <c r="T4565">
        <v>8.7164160000000004E-2</v>
      </c>
      <c r="U4565">
        <v>0.84637450000000003</v>
      </c>
      <c r="V4565">
        <v>-2.399153E-2</v>
      </c>
      <c r="W4565">
        <v>0.21771499999999999</v>
      </c>
      <c r="X4565">
        <v>0.97571750000000002</v>
      </c>
      <c r="Y4565">
        <v>-0.29359669999999999</v>
      </c>
      <c r="Z4565">
        <v>-3.2173190000000002E-3</v>
      </c>
      <c r="AA4565">
        <v>0.955924</v>
      </c>
      <c r="AB4565">
        <v>29</v>
      </c>
      <c r="AC4565">
        <v>82.432899999999904</v>
      </c>
      <c r="AD4565">
        <v>2.3628009999999899</v>
      </c>
      <c r="AE4565">
        <v>22.948640000000001</v>
      </c>
      <c r="AF4565">
        <v>-25.180485685621498</v>
      </c>
      <c r="AG4565">
        <v>2.3628009999999899</v>
      </c>
      <c r="AH4565">
        <v>81.710545961786806</v>
      </c>
      <c r="AI4565">
        <v>88.417073794351595</v>
      </c>
      <c r="AJ4565">
        <v>107.127566063304</v>
      </c>
      <c r="AK4565">
        <v>85.535098113597002</v>
      </c>
      <c r="AL4565">
        <v>77.425141040013202</v>
      </c>
      <c r="AM4565">
        <v>91.408539339892997</v>
      </c>
      <c r="AN4565">
        <v>1.00000002727149</v>
      </c>
    </row>
    <row r="4566" spans="1:40" x14ac:dyDescent="0.25">
      <c r="A4566" t="str">
        <f>"20190303170630352"</f>
        <v>20190303170630352</v>
      </c>
      <c r="B4566" t="str">
        <f>"1551603990339837"</f>
        <v>1551603990339837</v>
      </c>
      <c r="C4566" t="s">
        <v>40</v>
      </c>
      <c r="D4566">
        <v>5.9090550000000004</v>
      </c>
      <c r="E4566">
        <v>0.39680700000000002</v>
      </c>
      <c r="F4566" t="s">
        <v>104</v>
      </c>
      <c r="G4566">
        <v>-281.69850000000002</v>
      </c>
      <c r="H4566">
        <v>3.4180790000000001</v>
      </c>
      <c r="I4566">
        <v>38.189770000000003</v>
      </c>
      <c r="J4566">
        <v>-363.95119999999997</v>
      </c>
      <c r="K4566">
        <v>1.1229549999999999</v>
      </c>
      <c r="L4566">
        <v>15.278320000000001</v>
      </c>
      <c r="M4566">
        <v>0.99956429999999996</v>
      </c>
      <c r="N4566">
        <v>-1.35966E-2</v>
      </c>
      <c r="O4566">
        <v>-2.619722E-2</v>
      </c>
      <c r="P4566">
        <v>0.97875820000000002</v>
      </c>
      <c r="Q4566">
        <v>0.20499210000000001</v>
      </c>
      <c r="R4566">
        <v>-3.304048E-3</v>
      </c>
      <c r="S4566">
        <v>3.050262</v>
      </c>
      <c r="T4566">
        <v>8.4926249999999995E-2</v>
      </c>
      <c r="U4566">
        <v>0.84765630000000003</v>
      </c>
      <c r="V4566">
        <v>-2.317433E-2</v>
      </c>
      <c r="W4566">
        <v>0.21819069999999999</v>
      </c>
      <c r="X4566">
        <v>0.97563100000000003</v>
      </c>
      <c r="Y4566">
        <v>-0.29282839999999999</v>
      </c>
      <c r="Z4566">
        <v>-3.0374199999999999E-3</v>
      </c>
      <c r="AA4566">
        <v>0.95616020000000002</v>
      </c>
      <c r="AB4566">
        <v>29</v>
      </c>
      <c r="AC4566">
        <v>82.252699999999905</v>
      </c>
      <c r="AD4566">
        <v>2.2951239999999999</v>
      </c>
      <c r="AE4566">
        <v>22.911449999999999</v>
      </c>
      <c r="AF4566">
        <v>-25.040483919867199</v>
      </c>
      <c r="AG4566">
        <v>2.2951239999999999</v>
      </c>
      <c r="AH4566">
        <v>81.565259652402204</v>
      </c>
      <c r="AI4566">
        <v>88.459148290625095</v>
      </c>
      <c r="AJ4566">
        <v>107.066453605189</v>
      </c>
      <c r="AK4566">
        <v>85.353295257302705</v>
      </c>
      <c r="AL4566">
        <v>77.397214212431393</v>
      </c>
      <c r="AM4566">
        <v>91.360700579880103</v>
      </c>
      <c r="AN4566">
        <v>1.0000000396492099</v>
      </c>
    </row>
    <row r="4567" spans="1:40" x14ac:dyDescent="0.25">
      <c r="A4567" t="str">
        <f>"20190303170630372"</f>
        <v>20190303170630372</v>
      </c>
      <c r="B4567" t="str">
        <f>"1551603990359357"</f>
        <v>1551603990359357</v>
      </c>
      <c r="C4567" t="s">
        <v>40</v>
      </c>
      <c r="D4567">
        <v>5.9160120000000003</v>
      </c>
      <c r="E4567">
        <v>0.39673269999999999</v>
      </c>
      <c r="F4567" t="s">
        <v>104</v>
      </c>
      <c r="G4567">
        <v>-281.69850000000002</v>
      </c>
      <c r="H4567">
        <v>3.4494220000000002</v>
      </c>
      <c r="I4567">
        <v>38.172510000000003</v>
      </c>
      <c r="J4567">
        <v>-363.69970000000001</v>
      </c>
      <c r="K4567">
        <v>1.122946</v>
      </c>
      <c r="L4567">
        <v>15.273529999999999</v>
      </c>
      <c r="M4567">
        <v>0.99960700000000002</v>
      </c>
      <c r="N4567">
        <v>-1.359495E-2</v>
      </c>
      <c r="O4567">
        <v>-2.4521009999999999E-2</v>
      </c>
      <c r="P4567">
        <v>0.97867360000000003</v>
      </c>
      <c r="Q4567">
        <v>0.20538290000000001</v>
      </c>
      <c r="R4567">
        <v>-4.0434190000000004E-3</v>
      </c>
      <c r="S4567">
        <v>3.0498959999999999</v>
      </c>
      <c r="T4567">
        <v>8.6264610000000005E-2</v>
      </c>
      <c r="U4567">
        <v>0.84890750000000004</v>
      </c>
      <c r="V4567">
        <v>-2.0785330000000001E-2</v>
      </c>
      <c r="W4567">
        <v>0.21858939999999999</v>
      </c>
      <c r="X4567">
        <v>0.97559549999999995</v>
      </c>
      <c r="Y4567">
        <v>-0.29161720000000002</v>
      </c>
      <c r="Z4567">
        <v>-3.0347439999999998E-3</v>
      </c>
      <c r="AA4567">
        <v>0.95653030000000006</v>
      </c>
      <c r="AB4567">
        <v>29</v>
      </c>
      <c r="AC4567">
        <v>82.001199999999898</v>
      </c>
      <c r="AD4567">
        <v>2.326476</v>
      </c>
      <c r="AE4567">
        <v>22.898979999999899</v>
      </c>
      <c r="AF4567">
        <v>-24.884449986718401</v>
      </c>
      <c r="AG4567">
        <v>2.326476</v>
      </c>
      <c r="AH4567">
        <v>81.354233857994899</v>
      </c>
      <c r="AI4567">
        <v>88.433568956315497</v>
      </c>
      <c r="AJ4567">
        <v>107.007705778268</v>
      </c>
      <c r="AK4567">
        <v>85.106754775055293</v>
      </c>
      <c r="AL4567">
        <v>77.373804408350097</v>
      </c>
      <c r="AM4567">
        <v>91.220517666453304</v>
      </c>
      <c r="AN4567">
        <v>0.999999967677908</v>
      </c>
    </row>
    <row r="4568" spans="1:40" x14ac:dyDescent="0.25">
      <c r="A4568" t="str">
        <f>"20190303170630393"</f>
        <v>20190303170630393</v>
      </c>
      <c r="B4568" t="str">
        <f>"1551603990389144"</f>
        <v>1551603990389144</v>
      </c>
      <c r="C4568" t="s">
        <v>40</v>
      </c>
      <c r="D4568">
        <v>5.9569190000000001</v>
      </c>
      <c r="E4568">
        <v>0.4415907</v>
      </c>
      <c r="F4568" t="s">
        <v>104</v>
      </c>
      <c r="G4568">
        <v>-281.69850000000002</v>
      </c>
      <c r="H4568">
        <v>3.468029</v>
      </c>
      <c r="I4568">
        <v>38.055790000000002</v>
      </c>
      <c r="J4568">
        <v>-363.41590000000002</v>
      </c>
      <c r="K4568">
        <v>1.1229279999999999</v>
      </c>
      <c r="L4568">
        <v>15.26862</v>
      </c>
      <c r="M4568">
        <v>0.99965099999999996</v>
      </c>
      <c r="N4568">
        <v>-1.35929E-2</v>
      </c>
      <c r="O4568">
        <v>-2.265669E-2</v>
      </c>
      <c r="P4568">
        <v>0.97876730000000001</v>
      </c>
      <c r="Q4568">
        <v>0.2049087</v>
      </c>
      <c r="R4568">
        <v>-5.2040960000000001E-3</v>
      </c>
      <c r="S4568">
        <v>3.0505680000000002</v>
      </c>
      <c r="T4568">
        <v>8.7240699999999893E-2</v>
      </c>
      <c r="U4568">
        <v>0.84753419999999902</v>
      </c>
      <c r="V4568">
        <v>-1.778797E-2</v>
      </c>
      <c r="W4568">
        <v>0.21812780000000001</v>
      </c>
      <c r="X4568">
        <v>0.97575809999999996</v>
      </c>
      <c r="Y4568">
        <v>-0.28937829999999998</v>
      </c>
      <c r="Z4568">
        <v>-2.9947540000000001E-3</v>
      </c>
      <c r="AA4568">
        <v>0.95721009999999995</v>
      </c>
      <c r="AB4568">
        <v>29</v>
      </c>
      <c r="AC4568">
        <v>81.717399999999998</v>
      </c>
      <c r="AD4568">
        <v>2.3451010000000001</v>
      </c>
      <c r="AE4568">
        <v>22.78717</v>
      </c>
      <c r="AF4568">
        <v>-24.614127606551602</v>
      </c>
      <c r="AG4568">
        <v>2.3451010000000001</v>
      </c>
      <c r="AH4568">
        <v>81.118104628045003</v>
      </c>
      <c r="AI4568">
        <v>88.415363119990403</v>
      </c>
      <c r="AJ4568">
        <v>106.879669562396</v>
      </c>
      <c r="AK4568">
        <v>84.802722096512099</v>
      </c>
      <c r="AL4568">
        <v>77.400906678041594</v>
      </c>
      <c r="AM4568">
        <v>91.044380496581894</v>
      </c>
      <c r="AN4568">
        <v>1.00000000936258</v>
      </c>
    </row>
    <row r="4569" spans="1:40" x14ac:dyDescent="0.25">
      <c r="A4569" t="str">
        <f>"20190303170630406"</f>
        <v>20190303170630406</v>
      </c>
      <c r="B4569" t="str">
        <f>"1551603990389144"</f>
        <v>1551603990389144</v>
      </c>
      <c r="C4569" t="s">
        <v>40</v>
      </c>
      <c r="D4569">
        <v>5.9569190000000001</v>
      </c>
      <c r="E4569">
        <v>0.4415907</v>
      </c>
      <c r="F4569" t="s">
        <v>41</v>
      </c>
      <c r="G4569">
        <v>-323.8091</v>
      </c>
      <c r="H4569" s="1">
        <v>-3.4451939999999999E-6</v>
      </c>
      <c r="I4569">
        <v>21.639130000000002</v>
      </c>
      <c r="J4569">
        <v>-363.2473</v>
      </c>
      <c r="K4569">
        <v>1.12290499999999</v>
      </c>
      <c r="L4569">
        <v>15.2659</v>
      </c>
      <c r="M4569">
        <v>0.99967510000000004</v>
      </c>
      <c r="N4569">
        <v>-1.359169E-2</v>
      </c>
      <c r="O4569">
        <v>-2.1564139999999999E-2</v>
      </c>
      <c r="P4569">
        <v>0.97888269999999999</v>
      </c>
      <c r="Q4569">
        <v>0.20434559999999999</v>
      </c>
      <c r="R4569">
        <v>-5.6187659999999999E-3</v>
      </c>
      <c r="S4569">
        <v>3.0860289999999999</v>
      </c>
      <c r="T4569">
        <v>-8.7494970000000005E-2</v>
      </c>
      <c r="U4569">
        <v>0.49636839999999999</v>
      </c>
      <c r="V4569">
        <v>-1.6295090000000002E-2</v>
      </c>
      <c r="W4569">
        <v>0.21757170000000001</v>
      </c>
      <c r="X4569">
        <v>0.97590829999999995</v>
      </c>
      <c r="Y4569">
        <v>-0.17995079999999999</v>
      </c>
      <c r="Z4569">
        <v>4.0818249999999999E-3</v>
      </c>
      <c r="AA4569">
        <v>0.98366710000000002</v>
      </c>
      <c r="AB4569">
        <v>29</v>
      </c>
      <c r="AC4569">
        <v>39.438200000000002</v>
      </c>
      <c r="AD4569">
        <v>-1.1229084451939999</v>
      </c>
      <c r="AE4569">
        <v>6.3732299999999897</v>
      </c>
      <c r="AF4569">
        <v>-7.2165756392929703</v>
      </c>
      <c r="AG4569">
        <v>-1.1229084451939999</v>
      </c>
      <c r="AH4569">
        <v>39.260563605517802</v>
      </c>
      <c r="AI4569">
        <v>91.611314848354397</v>
      </c>
      <c r="AJ4569">
        <v>100.415407553387</v>
      </c>
      <c r="AK4569">
        <v>39.9340924769404</v>
      </c>
      <c r="AL4569">
        <v>77.433552731069796</v>
      </c>
      <c r="AM4569">
        <v>90.956599233231799</v>
      </c>
      <c r="AN4569">
        <v>0.99999999230394399</v>
      </c>
    </row>
    <row r="4570" spans="1:40" x14ac:dyDescent="0.25">
      <c r="A4570" t="str">
        <f>"20190303170630418"</f>
        <v>20190303170630418</v>
      </c>
      <c r="B4570" t="str">
        <f>"1551603990409639"</f>
        <v>1551603990409639</v>
      </c>
      <c r="C4570" t="s">
        <v>40</v>
      </c>
      <c r="D4570">
        <v>5.8289720000000003</v>
      </c>
      <c r="E4570">
        <v>0.4719547</v>
      </c>
      <c r="F4570" t="s">
        <v>41</v>
      </c>
      <c r="G4570">
        <v>-324.59960000000001</v>
      </c>
      <c r="H4570" s="1">
        <v>-3.0232690000000001E-6</v>
      </c>
      <c r="I4570">
        <v>21.457899999999999</v>
      </c>
      <c r="J4570">
        <v>-363.08030000000002</v>
      </c>
      <c r="K4570">
        <v>1.122884</v>
      </c>
      <c r="L4570">
        <v>15.263400000000001</v>
      </c>
      <c r="M4570">
        <v>0.99969759999999996</v>
      </c>
      <c r="N4570">
        <v>-1.3590380000000001E-2</v>
      </c>
      <c r="O4570">
        <v>-2.0497959999999999E-2</v>
      </c>
      <c r="P4570">
        <v>0.97891719999999904</v>
      </c>
      <c r="Q4570">
        <v>0.20417979999999999</v>
      </c>
      <c r="R4570">
        <v>-5.6546030000000002E-3</v>
      </c>
      <c r="S4570">
        <v>3.0863040000000002</v>
      </c>
      <c r="T4570">
        <v>-8.9672450000000001E-2</v>
      </c>
      <c r="U4570">
        <v>0.49447629999999998</v>
      </c>
      <c r="V4570">
        <v>-1.520532E-2</v>
      </c>
      <c r="W4570">
        <v>0.21740970000000001</v>
      </c>
      <c r="X4570">
        <v>0.975962</v>
      </c>
      <c r="Y4570">
        <v>-0.17829639999999999</v>
      </c>
      <c r="Z4570">
        <v>4.1081009999999899E-3</v>
      </c>
      <c r="AA4570">
        <v>0.98396830000000002</v>
      </c>
      <c r="AB4570">
        <v>29</v>
      </c>
      <c r="AC4570">
        <v>38.480699999999999</v>
      </c>
      <c r="AD4570">
        <v>-1.122887023269</v>
      </c>
      <c r="AE4570">
        <v>6.1944999999999899</v>
      </c>
      <c r="AF4570">
        <v>-6.9762566457468802</v>
      </c>
      <c r="AG4570">
        <v>-1.122887023269</v>
      </c>
      <c r="AH4570">
        <v>38.313826897192598</v>
      </c>
      <c r="AI4570">
        <v>91.651582814742497</v>
      </c>
      <c r="AJ4570">
        <v>100.319475464268</v>
      </c>
      <c r="AK4570">
        <v>38.959958464587601</v>
      </c>
      <c r="AL4570">
        <v>77.4430624125538</v>
      </c>
      <c r="AM4570">
        <v>90.892586169608194</v>
      </c>
      <c r="AN4570">
        <v>1.00000000242719</v>
      </c>
    </row>
    <row r="4571" spans="1:40" x14ac:dyDescent="0.25">
      <c r="A4571" t="str">
        <f>"20190303170630431"</f>
        <v>20190303170630431</v>
      </c>
      <c r="B4571" t="str">
        <f>"1551603990419400"</f>
        <v>1551603990419400</v>
      </c>
      <c r="C4571" t="s">
        <v>40</v>
      </c>
      <c r="D4571">
        <v>5.8995920000000002</v>
      </c>
      <c r="E4571">
        <v>0.4825316</v>
      </c>
      <c r="F4571" t="s">
        <v>41</v>
      </c>
      <c r="G4571">
        <v>-340.62650000000002</v>
      </c>
      <c r="H4571" s="1">
        <v>-4.4476460000000004E-6</v>
      </c>
      <c r="I4571">
        <v>17.112389999999898</v>
      </c>
      <c r="J4571">
        <v>-362.92290000000003</v>
      </c>
      <c r="K4571">
        <v>1.122862</v>
      </c>
      <c r="L4571">
        <v>15.261229999999999</v>
      </c>
      <c r="M4571">
        <v>0.99971750000000004</v>
      </c>
      <c r="N4571">
        <v>-1.358909E-2</v>
      </c>
      <c r="O4571">
        <v>-1.9509519999999999E-2</v>
      </c>
      <c r="P4571">
        <v>0.97897049999999997</v>
      </c>
      <c r="Q4571">
        <v>0.20391899999999999</v>
      </c>
      <c r="R4571">
        <v>-5.8458390000000002E-3</v>
      </c>
      <c r="S4571">
        <v>3.0984500000000001</v>
      </c>
      <c r="T4571">
        <v>-0.15494939999999999</v>
      </c>
      <c r="U4571">
        <v>0.25515749999999998</v>
      </c>
      <c r="V4571">
        <v>-1.403571E-2</v>
      </c>
      <c r="W4571">
        <v>0.21715370000000001</v>
      </c>
      <c r="X4571">
        <v>0.97603649999999997</v>
      </c>
      <c r="Y4571">
        <v>-0.101329</v>
      </c>
      <c r="Z4571">
        <v>3.9270570000000003E-3</v>
      </c>
      <c r="AA4571">
        <v>0.99484519999999999</v>
      </c>
      <c r="AB4571">
        <v>29</v>
      </c>
      <c r="AC4571">
        <v>22.296399999999998</v>
      </c>
      <c r="AD4571">
        <v>-1.122866447646</v>
      </c>
      <c r="AE4571">
        <v>1.8511599999999899</v>
      </c>
      <c r="AF4571">
        <v>-2.28009652292066</v>
      </c>
      <c r="AG4571">
        <v>-1.122866447646</v>
      </c>
      <c r="AH4571">
        <v>22.200118100494201</v>
      </c>
      <c r="AI4571">
        <v>92.880386487620797</v>
      </c>
      <c r="AJ4571">
        <v>95.864087546972002</v>
      </c>
      <c r="AK4571">
        <v>22.345131749197101</v>
      </c>
      <c r="AL4571">
        <v>77.458088977517207</v>
      </c>
      <c r="AM4571">
        <v>90.823874433826305</v>
      </c>
      <c r="AN4571">
        <v>0.99999998995557104</v>
      </c>
    </row>
    <row r="4572" spans="1:40" x14ac:dyDescent="0.25">
      <c r="A4572" t="str">
        <f>"20190303170630449"</f>
        <v>20190303170630449</v>
      </c>
      <c r="B4572" t="str">
        <f>"1551603990439895"</f>
        <v>1551603990439895</v>
      </c>
      <c r="C4572" t="s">
        <v>40</v>
      </c>
      <c r="D4572">
        <v>5.8784419999999997</v>
      </c>
      <c r="E4572">
        <v>0.49497439999999998</v>
      </c>
      <c r="F4572" t="s">
        <v>41</v>
      </c>
      <c r="G4572">
        <v>-339.1327</v>
      </c>
      <c r="H4572" s="1">
        <v>-1.094821E-6</v>
      </c>
      <c r="I4572">
        <v>16.55847</v>
      </c>
      <c r="J4572">
        <v>-362.68049999999999</v>
      </c>
      <c r="K4572">
        <v>1.1228340000000001</v>
      </c>
      <c r="L4572">
        <v>15.258089999999999</v>
      </c>
      <c r="M4572">
        <v>0.99974549999999995</v>
      </c>
      <c r="N4572">
        <v>-1.358707E-2</v>
      </c>
      <c r="O4572">
        <v>-1.801701E-2</v>
      </c>
      <c r="P4572">
        <v>0.97877080000000005</v>
      </c>
      <c r="Q4572">
        <v>0.20486009999999999</v>
      </c>
      <c r="R4572">
        <v>-6.3583869999999897E-3</v>
      </c>
      <c r="S4572">
        <v>3.0958860000000001</v>
      </c>
      <c r="T4572">
        <v>-0.14612069999999999</v>
      </c>
      <c r="U4572">
        <v>0.16882320000000001</v>
      </c>
      <c r="V4572">
        <v>-1.204392E-2</v>
      </c>
      <c r="W4572">
        <v>0.21809799999999999</v>
      </c>
      <c r="X4572">
        <v>0.97585250000000001</v>
      </c>
      <c r="Y4572">
        <v>-7.232007E-2</v>
      </c>
      <c r="Z4572">
        <v>2.8013550000000002E-3</v>
      </c>
      <c r="AA4572">
        <v>0.99737750000000003</v>
      </c>
      <c r="AB4572">
        <v>29</v>
      </c>
      <c r="AC4572">
        <v>23.547799999999899</v>
      </c>
      <c r="AD4572">
        <v>-1.122835094821</v>
      </c>
      <c r="AE4572">
        <v>1.3003800000000001</v>
      </c>
      <c r="AF4572">
        <v>-1.72056879147341</v>
      </c>
      <c r="AG4572">
        <v>-1.122835094821</v>
      </c>
      <c r="AH4572">
        <v>23.467350648429299</v>
      </c>
      <c r="AI4572">
        <v>92.732002502505296</v>
      </c>
      <c r="AJ4572">
        <v>94.193283638730605</v>
      </c>
      <c r="AK4572">
        <v>23.5571148928023</v>
      </c>
      <c r="AL4572">
        <v>77.402655425156894</v>
      </c>
      <c r="AM4572">
        <v>90.707105582260695</v>
      </c>
      <c r="AN4572">
        <v>0.99999994768460598</v>
      </c>
    </row>
    <row r="4573" spans="1:40" x14ac:dyDescent="0.25">
      <c r="A4573" t="str">
        <f>"20190303170630461"</f>
        <v>20190303170630461</v>
      </c>
      <c r="B4573" t="str">
        <f>"1551603990449655"</f>
        <v>1551603990449655</v>
      </c>
      <c r="C4573" t="s">
        <v>40</v>
      </c>
      <c r="D4573">
        <v>5.844875</v>
      </c>
      <c r="E4573">
        <v>0.4990385</v>
      </c>
      <c r="F4573" t="s">
        <v>41</v>
      </c>
      <c r="G4573">
        <v>-336.7962</v>
      </c>
      <c r="H4573" s="1">
        <v>-2.086428E-6</v>
      </c>
      <c r="I4573">
        <v>15.82001</v>
      </c>
      <c r="J4573">
        <v>-362.52539999999999</v>
      </c>
      <c r="K4573">
        <v>1.122814</v>
      </c>
      <c r="L4573">
        <v>15.256259999999999</v>
      </c>
      <c r="M4573">
        <v>0.99976180000000003</v>
      </c>
      <c r="N4573">
        <v>-1.358579E-2</v>
      </c>
      <c r="O4573">
        <v>-1.7081550000000001E-2</v>
      </c>
      <c r="P4573">
        <v>0.978626</v>
      </c>
      <c r="Q4573">
        <v>0.20554230000000001</v>
      </c>
      <c r="R4573">
        <v>-6.6237149999999996E-3</v>
      </c>
      <c r="S4573">
        <v>3.0936279999999998</v>
      </c>
      <c r="T4573">
        <v>-0.13419819999999999</v>
      </c>
      <c r="U4573">
        <v>6.7169190000000004E-2</v>
      </c>
      <c r="V4573">
        <v>-1.0849589999999999E-2</v>
      </c>
      <c r="W4573">
        <v>0.21878210000000001</v>
      </c>
      <c r="X4573">
        <v>0.97571339999999995</v>
      </c>
      <c r="Y4573">
        <v>-3.8727539999999998E-2</v>
      </c>
      <c r="Z4573">
        <v>1.6113410000000001E-3</v>
      </c>
      <c r="AA4573">
        <v>0.99924849999999998</v>
      </c>
      <c r="AB4573">
        <v>29</v>
      </c>
      <c r="AC4573">
        <v>25.729199999999899</v>
      </c>
      <c r="AD4573">
        <v>-1.1228160864279999</v>
      </c>
      <c r="AE4573">
        <v>0.56374999999999797</v>
      </c>
      <c r="AF4573">
        <v>-1.00129692937528</v>
      </c>
      <c r="AG4573">
        <v>-1.1228160864279999</v>
      </c>
      <c r="AH4573">
        <v>25.666957365048301</v>
      </c>
      <c r="AI4573">
        <v>92.502939013709906</v>
      </c>
      <c r="AJ4573">
        <v>92.234040076855194</v>
      </c>
      <c r="AK4573">
        <v>25.711009546183199</v>
      </c>
      <c r="AL4573">
        <v>77.362489798292501</v>
      </c>
      <c r="AM4573">
        <v>90.6370826692593</v>
      </c>
      <c r="AN4573">
        <v>0.99999997991156797</v>
      </c>
    </row>
    <row r="4574" spans="1:40" x14ac:dyDescent="0.25">
      <c r="A4574" t="str">
        <f>"20190303170630474"</f>
        <v>20190303170630474</v>
      </c>
      <c r="B4574" t="str">
        <f>"1551603990459414"</f>
        <v>1551603990459414</v>
      </c>
      <c r="C4574" t="s">
        <v>40</v>
      </c>
      <c r="D4574">
        <v>5.8410409999999997</v>
      </c>
      <c r="E4574">
        <v>0.5022626</v>
      </c>
      <c r="F4574" t="s">
        <v>41</v>
      </c>
      <c r="G4574">
        <v>-335.63780000000003</v>
      </c>
      <c r="H4574" s="1">
        <v>-2.5751250000000002E-6</v>
      </c>
      <c r="I4574">
        <v>15.549079999999901</v>
      </c>
      <c r="J4574">
        <v>-362.36799999999999</v>
      </c>
      <c r="K4574">
        <v>1.1227940000000001</v>
      </c>
      <c r="L4574">
        <v>15.254580000000001</v>
      </c>
      <c r="M4574">
        <v>0.99977720000000003</v>
      </c>
      <c r="N4574">
        <v>-1.358431E-2</v>
      </c>
      <c r="O4574">
        <v>-1.615803E-2</v>
      </c>
      <c r="P4574">
        <v>0.97849980000000003</v>
      </c>
      <c r="Q4574">
        <v>0.20613509999999999</v>
      </c>
      <c r="R4574">
        <v>-6.8388819999999897E-3</v>
      </c>
      <c r="S4574">
        <v>3.0928339999999999</v>
      </c>
      <c r="T4574">
        <v>-0.12915579999999999</v>
      </c>
      <c r="U4574">
        <v>3.3691409999999998E-2</v>
      </c>
      <c r="V4574">
        <v>-9.7167529999999998E-3</v>
      </c>
      <c r="W4574">
        <v>0.21937670000000001</v>
      </c>
      <c r="X4574">
        <v>0.97559180000000001</v>
      </c>
      <c r="Y4574">
        <v>-2.701226E-2</v>
      </c>
      <c r="Z4574">
        <v>1.202336E-3</v>
      </c>
      <c r="AA4574">
        <v>0.99963440000000003</v>
      </c>
      <c r="AB4574">
        <v>29</v>
      </c>
      <c r="AC4574">
        <v>26.7302</v>
      </c>
      <c r="AD4574">
        <v>-1.122796575125</v>
      </c>
      <c r="AE4574">
        <v>0.29449999999999898</v>
      </c>
      <c r="AF4574">
        <v>-0.725129496496</v>
      </c>
      <c r="AG4574">
        <v>-1.122796575125</v>
      </c>
      <c r="AH4574">
        <v>26.6748912225619</v>
      </c>
      <c r="AI4574">
        <v>92.409375838664999</v>
      </c>
      <c r="AJ4574">
        <v>91.557143382528807</v>
      </c>
      <c r="AK4574">
        <v>26.708356495136702</v>
      </c>
      <c r="AL4574">
        <v>77.327573198241396</v>
      </c>
      <c r="AM4574">
        <v>90.570638795482907</v>
      </c>
      <c r="AN4574">
        <v>0.99999995600949498</v>
      </c>
    </row>
    <row r="4575" spans="1:40" x14ac:dyDescent="0.25">
      <c r="A4575" t="str">
        <f>"20190303170630486"</f>
        <v>20190303170630486</v>
      </c>
      <c r="B4575" t="str">
        <f>"1551603990479912"</f>
        <v>1551603990479912</v>
      </c>
      <c r="C4575" t="s">
        <v>40</v>
      </c>
      <c r="D4575">
        <v>5.8833659999999997</v>
      </c>
      <c r="E4575">
        <v>0.50663440000000004</v>
      </c>
      <c r="F4575" t="s">
        <v>41</v>
      </c>
      <c r="G4575">
        <v>-335.28089999999997</v>
      </c>
      <c r="H4575" s="1">
        <v>-2.7689779999999999E-6</v>
      </c>
      <c r="I4575">
        <v>15.31944</v>
      </c>
      <c r="J4575">
        <v>-362.19529999999997</v>
      </c>
      <c r="K4575">
        <v>1.122768</v>
      </c>
      <c r="L4575">
        <v>15.252840000000001</v>
      </c>
      <c r="M4575">
        <v>0.99979280000000004</v>
      </c>
      <c r="N4575">
        <v>-1.358272E-2</v>
      </c>
      <c r="O4575">
        <v>-1.5159570000000001E-2</v>
      </c>
      <c r="P4575">
        <v>0.97839730000000003</v>
      </c>
      <c r="Q4575">
        <v>0.20660800000000001</v>
      </c>
      <c r="R4575">
        <v>-7.2101279999999997E-3</v>
      </c>
      <c r="S4575">
        <v>3.0930179999999998</v>
      </c>
      <c r="T4575">
        <v>-0.12820970000000001</v>
      </c>
      <c r="U4575">
        <v>7.4157709999999998E-3</v>
      </c>
      <c r="V4575">
        <v>-8.3532609999999903E-3</v>
      </c>
      <c r="W4575">
        <v>0.21985160000000001</v>
      </c>
      <c r="X4575">
        <v>0.97549750000000002</v>
      </c>
      <c r="Y4575">
        <v>-1.7532349999999999E-2</v>
      </c>
      <c r="Z4575">
        <v>9.0459079999999999E-4</v>
      </c>
      <c r="AA4575">
        <v>0.99984589999999995</v>
      </c>
      <c r="AB4575">
        <v>29</v>
      </c>
      <c r="AC4575">
        <v>26.914400000000001</v>
      </c>
      <c r="AD4575">
        <v>-1.122770768978</v>
      </c>
      <c r="AE4575">
        <v>6.6600000000001103E-2</v>
      </c>
      <c r="AF4575">
        <v>-0.47381617375267499</v>
      </c>
      <c r="AG4575">
        <v>-1.122770768978</v>
      </c>
      <c r="AH4575">
        <v>26.863547771006299</v>
      </c>
      <c r="AI4575">
        <v>92.392931168119205</v>
      </c>
      <c r="AJ4575">
        <v>91.010471610451901</v>
      </c>
      <c r="AK4575">
        <v>26.891175407767498</v>
      </c>
      <c r="AL4575">
        <v>77.299682295051497</v>
      </c>
      <c r="AM4575">
        <v>90.4906162269357</v>
      </c>
      <c r="AN4575">
        <v>0.99999993774907003</v>
      </c>
    </row>
    <row r="4576" spans="1:40" x14ac:dyDescent="0.25">
      <c r="A4576" t="str">
        <f>"20190303170630506"</f>
        <v>20190303170630506</v>
      </c>
      <c r="B4576" t="str">
        <f>"1551603990499432"</f>
        <v>1551603990499432</v>
      </c>
      <c r="C4576" t="s">
        <v>40</v>
      </c>
      <c r="D4576">
        <v>5.8664680000000002</v>
      </c>
      <c r="E4576">
        <v>0.50986089999999995</v>
      </c>
      <c r="F4576" t="s">
        <v>41</v>
      </c>
      <c r="G4576">
        <v>-334.32709999999997</v>
      </c>
      <c r="H4576" s="1">
        <v>-3.2360189999999999E-6</v>
      </c>
      <c r="I4576">
        <v>14.99314</v>
      </c>
      <c r="J4576">
        <v>-361.94650000000001</v>
      </c>
      <c r="K4576">
        <v>1.1227320000000001</v>
      </c>
      <c r="L4576">
        <v>15.250579999999999</v>
      </c>
      <c r="M4576">
        <v>0.99981310000000001</v>
      </c>
      <c r="N4576">
        <v>-1.3580480000000001E-2</v>
      </c>
      <c r="O4576">
        <v>-1.376314E-2</v>
      </c>
      <c r="P4576">
        <v>0.97841840000000002</v>
      </c>
      <c r="Q4576">
        <v>0.20644889999999999</v>
      </c>
      <c r="R4576">
        <v>-8.7596400000000008E-3</v>
      </c>
      <c r="S4576">
        <v>3.0923769999999999</v>
      </c>
      <c r="T4576">
        <v>-0.1245873</v>
      </c>
      <c r="U4576">
        <v>-2.8808589999999999E-2</v>
      </c>
      <c r="V4576">
        <v>-5.4131800000000001E-3</v>
      </c>
      <c r="W4576">
        <v>0.21970139999999999</v>
      </c>
      <c r="X4576">
        <v>0.97555210000000003</v>
      </c>
      <c r="Y4576">
        <v>-4.4393779999999999E-3</v>
      </c>
      <c r="Z4576">
        <v>4.8691879999999998E-4</v>
      </c>
      <c r="AA4576">
        <v>0.99999000000000005</v>
      </c>
      <c r="AB4576">
        <v>29</v>
      </c>
      <c r="AC4576">
        <v>27.619399999999999</v>
      </c>
      <c r="AD4576">
        <v>-1.1227352360189999</v>
      </c>
      <c r="AE4576">
        <v>-0.25744</v>
      </c>
      <c r="AF4576">
        <v>-0.122546615239489</v>
      </c>
      <c r="AG4576">
        <v>-1.1227352360189999</v>
      </c>
      <c r="AH4576">
        <v>27.574765272261899</v>
      </c>
      <c r="AI4576">
        <v>92.331546378052906</v>
      </c>
      <c r="AJ4576">
        <v>90.254629823773598</v>
      </c>
      <c r="AK4576">
        <v>27.597884554861199</v>
      </c>
      <c r="AL4576">
        <v>77.308504011856996</v>
      </c>
      <c r="AM4576">
        <v>90.317921702641996</v>
      </c>
      <c r="AN4576">
        <v>0.99999995374703998</v>
      </c>
    </row>
    <row r="4577" spans="1:40" x14ac:dyDescent="0.25">
      <c r="A4577" t="str">
        <f>"20190303170630517"</f>
        <v>20190303170630517</v>
      </c>
      <c r="B4577" t="str">
        <f>"1551603990509191"</f>
        <v>1551603990509191</v>
      </c>
      <c r="C4577" t="s">
        <v>40</v>
      </c>
      <c r="D4577">
        <v>5.8663660000000002</v>
      </c>
      <c r="E4577">
        <v>0.51119429999999999</v>
      </c>
      <c r="F4577" t="s">
        <v>41</v>
      </c>
      <c r="G4577">
        <v>-334.29520000000002</v>
      </c>
      <c r="H4577" s="1">
        <v>-3.2996230000000001E-6</v>
      </c>
      <c r="I4577">
        <v>14.711779999999999</v>
      </c>
      <c r="J4577">
        <v>-361.79309999999998</v>
      </c>
      <c r="K4577">
        <v>1.1227069999999999</v>
      </c>
      <c r="L4577">
        <v>15.24939</v>
      </c>
      <c r="M4577">
        <v>0.9998243</v>
      </c>
      <c r="N4577">
        <v>-1.3579020000000001E-2</v>
      </c>
      <c r="O4577">
        <v>-1.2926170000000001E-2</v>
      </c>
      <c r="P4577">
        <v>0.97848740000000001</v>
      </c>
      <c r="Q4577">
        <v>0.20609649999999999</v>
      </c>
      <c r="R4577">
        <v>-9.3143559999999993E-3</v>
      </c>
      <c r="S4577">
        <v>3.092133</v>
      </c>
      <c r="T4577">
        <v>-0.12555069999999999</v>
      </c>
      <c r="U4577">
        <v>-6.0241699999999898E-2</v>
      </c>
      <c r="V4577">
        <v>-4.0258669999999998E-3</v>
      </c>
      <c r="W4577">
        <v>0.2193534</v>
      </c>
      <c r="X4577">
        <v>0.97563719999999998</v>
      </c>
      <c r="Y4577">
        <v>6.5495299999999996E-3</v>
      </c>
      <c r="Z4577">
        <v>1.716768E-4</v>
      </c>
      <c r="AA4577">
        <v>0.99997849999999999</v>
      </c>
      <c r="AB4577">
        <v>29</v>
      </c>
      <c r="AC4577">
        <v>27.497899999999898</v>
      </c>
      <c r="AD4577">
        <v>-1.1227102996229901</v>
      </c>
      <c r="AE4577">
        <v>-0.53761000000000003</v>
      </c>
      <c r="AF4577">
        <v>0.18178686725621299</v>
      </c>
      <c r="AG4577">
        <v>-1.1227102996229901</v>
      </c>
      <c r="AH4577">
        <v>27.456799028784001</v>
      </c>
      <c r="AI4577">
        <v>92.341472466133496</v>
      </c>
      <c r="AJ4577">
        <v>89.620659783876107</v>
      </c>
      <c r="AK4577">
        <v>27.480344571875801</v>
      </c>
      <c r="AL4577">
        <v>77.328942521195003</v>
      </c>
      <c r="AM4577">
        <v>90.2364238251714</v>
      </c>
      <c r="AN4577">
        <v>1.0000000338602499</v>
      </c>
    </row>
    <row r="4578" spans="1:40" x14ac:dyDescent="0.25">
      <c r="A4578" t="str">
        <f>"20190303170630529"</f>
        <v>20190303170630529</v>
      </c>
      <c r="B4578" t="str">
        <f>"1551603990519927"</f>
        <v>1551603990519927</v>
      </c>
      <c r="C4578" t="s">
        <v>40</v>
      </c>
      <c r="D4578">
        <v>5.8584540000000001</v>
      </c>
      <c r="E4578">
        <v>0.51232730000000004</v>
      </c>
      <c r="F4578" t="s">
        <v>41</v>
      </c>
      <c r="G4578">
        <v>-334.22329999999999</v>
      </c>
      <c r="H4578" s="1">
        <v>-3.3513110000000001E-6</v>
      </c>
      <c r="I4578">
        <v>14.594290000000001</v>
      </c>
      <c r="J4578">
        <v>-361.63459999999998</v>
      </c>
      <c r="K4578">
        <v>1.122682</v>
      </c>
      <c r="L4578">
        <v>15.248200000000001</v>
      </c>
      <c r="M4578">
        <v>0.99983489999999997</v>
      </c>
      <c r="N4578">
        <v>-1.3577489999999999E-2</v>
      </c>
      <c r="O4578">
        <v>-1.207477E-2</v>
      </c>
      <c r="P4578">
        <v>0.97857539999999998</v>
      </c>
      <c r="Q4578">
        <v>0.20564350000000001</v>
      </c>
      <c r="R4578">
        <v>-1.0047179999999999E-2</v>
      </c>
      <c r="S4578">
        <v>3.0917659999999998</v>
      </c>
      <c r="T4578">
        <v>-0.1259043</v>
      </c>
      <c r="U4578">
        <v>-7.3455809999999996E-2</v>
      </c>
      <c r="V4578">
        <v>-2.4457620000000002E-3</v>
      </c>
      <c r="W4578">
        <v>0.2189054</v>
      </c>
      <c r="X4578">
        <v>0.97574309999999997</v>
      </c>
      <c r="Y4578">
        <v>1.166916E-2</v>
      </c>
      <c r="Z4578" s="1">
        <v>1.077753E-5</v>
      </c>
      <c r="AA4578">
        <v>0.99993189999999998</v>
      </c>
      <c r="AB4578">
        <v>29</v>
      </c>
      <c r="AC4578">
        <v>27.411299999999901</v>
      </c>
      <c r="AD4578">
        <v>-1.122685351311</v>
      </c>
      <c r="AE4578">
        <v>-0.65391000000000099</v>
      </c>
      <c r="AF4578">
        <v>0.32230630573381802</v>
      </c>
      <c r="AG4578">
        <v>-1.122685351311</v>
      </c>
      <c r="AH4578">
        <v>27.3713091588832</v>
      </c>
      <c r="AI4578">
        <v>92.348614145909195</v>
      </c>
      <c r="AJ4578">
        <v>89.325354243487894</v>
      </c>
      <c r="AK4578">
        <v>27.396219973272299</v>
      </c>
      <c r="AL4578">
        <v>77.355250970817295</v>
      </c>
      <c r="AM4578">
        <v>90.143615206521403</v>
      </c>
      <c r="AN4578">
        <v>1.00000007654926</v>
      </c>
    </row>
    <row r="4579" spans="1:40" x14ac:dyDescent="0.25">
      <c r="A4579" t="str">
        <f>"20190303170630542"</f>
        <v>20190303170630542</v>
      </c>
      <c r="B4579" t="str">
        <f>"1551603990529688"</f>
        <v>1551603990529688</v>
      </c>
      <c r="C4579" t="s">
        <v>40</v>
      </c>
      <c r="D4579">
        <v>5.8528250000000002</v>
      </c>
      <c r="E4579">
        <v>0.51316459999999997</v>
      </c>
      <c r="F4579" t="s">
        <v>41</v>
      </c>
      <c r="G4579">
        <v>-334.58449999999999</v>
      </c>
      <c r="H4579" s="1">
        <v>-3.2130040000000001E-6</v>
      </c>
      <c r="I4579">
        <v>14.50051</v>
      </c>
      <c r="J4579">
        <v>-361.47120000000001</v>
      </c>
      <c r="K4579">
        <v>1.1226560000000001</v>
      </c>
      <c r="L4579">
        <v>15.24713</v>
      </c>
      <c r="M4579">
        <v>0.99984510000000004</v>
      </c>
      <c r="N4579">
        <v>-1.35758999999999E-2</v>
      </c>
      <c r="O4579">
        <v>-1.12092999999999E-2</v>
      </c>
      <c r="P4579">
        <v>0.97867269999999895</v>
      </c>
      <c r="Q4579">
        <v>0.20514969999999999</v>
      </c>
      <c r="R4579">
        <v>-1.066425E-2</v>
      </c>
      <c r="S4579">
        <v>3.0917659999999998</v>
      </c>
      <c r="T4579">
        <v>-0.12832009999999999</v>
      </c>
      <c r="U4579">
        <v>-8.5449220000000006E-2</v>
      </c>
      <c r="V4579">
        <v>-9.6816899999999995E-4</v>
      </c>
      <c r="W4579">
        <v>0.21841630000000001</v>
      </c>
      <c r="X4579">
        <v>0.97585520000000003</v>
      </c>
      <c r="Y4579">
        <v>1.6404970000000001E-2</v>
      </c>
      <c r="Z4579">
        <v>-1.388731E-4</v>
      </c>
      <c r="AA4579">
        <v>0.99986540000000002</v>
      </c>
      <c r="AB4579">
        <v>29</v>
      </c>
      <c r="AC4579">
        <v>26.886700000000001</v>
      </c>
      <c r="AD4579">
        <v>-1.1226592130039901</v>
      </c>
      <c r="AE4579">
        <v>-0.74661999999999795</v>
      </c>
      <c r="AF4579">
        <v>0.44439005249490898</v>
      </c>
      <c r="AG4579">
        <v>-1.1226592130039901</v>
      </c>
      <c r="AH4579">
        <v>26.846609475819299</v>
      </c>
      <c r="AI4579">
        <v>92.394245893869197</v>
      </c>
      <c r="AJ4579">
        <v>89.051673568858504</v>
      </c>
      <c r="AK4579">
        <v>26.8737471628809</v>
      </c>
      <c r="AL4579">
        <v>77.383968238321003</v>
      </c>
      <c r="AM4579">
        <v>90.056844477905003</v>
      </c>
      <c r="AN4579">
        <v>0.99999999441197096</v>
      </c>
    </row>
    <row r="4580" spans="1:40" x14ac:dyDescent="0.25">
      <c r="A4580" t="str">
        <f>"20190303170630557"</f>
        <v>20190303170630557</v>
      </c>
      <c r="B4580" t="str">
        <f>"1551603990549207"</f>
        <v>1551603990549207</v>
      </c>
      <c r="C4580" t="s">
        <v>40</v>
      </c>
      <c r="D4580">
        <v>5.8506729999999996</v>
      </c>
      <c r="E4580">
        <v>0.51484479999999999</v>
      </c>
      <c r="F4580" t="s">
        <v>41</v>
      </c>
      <c r="G4580">
        <v>-334.73610000000002</v>
      </c>
      <c r="H4580" s="1">
        <v>-3.160213E-6</v>
      </c>
      <c r="I4580">
        <v>14.4313</v>
      </c>
      <c r="J4580">
        <v>-361.28519999999997</v>
      </c>
      <c r="K4580">
        <v>1.1226320000000001</v>
      </c>
      <c r="L4580">
        <v>15.246090000000001</v>
      </c>
      <c r="M4580">
        <v>0.9998553</v>
      </c>
      <c r="N4580">
        <v>-1.357419E-2</v>
      </c>
      <c r="O4580">
        <v>-1.024918E-2</v>
      </c>
      <c r="P4580">
        <v>0.97868929999999998</v>
      </c>
      <c r="Q4580">
        <v>0.20505229999999999</v>
      </c>
      <c r="R4580">
        <v>-1.099002E-2</v>
      </c>
      <c r="S4580">
        <v>3.0915530000000002</v>
      </c>
      <c r="T4580">
        <v>-0.12982060000000001</v>
      </c>
      <c r="U4580">
        <v>-9.4329830000000003E-2</v>
      </c>
      <c r="V4580">
        <v>3.1089079999999997E-4</v>
      </c>
      <c r="W4580">
        <v>0.2183214</v>
      </c>
      <c r="X4580">
        <v>0.97587690000000005</v>
      </c>
      <c r="Y4580">
        <v>2.0231519999999999E-2</v>
      </c>
      <c r="Z4580">
        <v>-2.7091920000000001E-4</v>
      </c>
      <c r="AA4580">
        <v>0.99979530000000005</v>
      </c>
      <c r="AB4580">
        <v>29</v>
      </c>
      <c r="AC4580">
        <v>26.5490999999999</v>
      </c>
      <c r="AD4580">
        <v>-1.122635160213</v>
      </c>
      <c r="AE4580">
        <v>-0.81478999999999802</v>
      </c>
      <c r="AF4580">
        <v>0.54164803053785804</v>
      </c>
      <c r="AG4580">
        <v>-1.122635160213</v>
      </c>
      <c r="AH4580">
        <v>26.5087029031213</v>
      </c>
      <c r="AI4580">
        <v>92.424503575673398</v>
      </c>
      <c r="AJ4580">
        <v>88.829447506400697</v>
      </c>
      <c r="AK4580">
        <v>26.537992047212001</v>
      </c>
      <c r="AL4580">
        <v>77.389540496552698</v>
      </c>
      <c r="AM4580">
        <v>89.981746949715799</v>
      </c>
      <c r="AN4580">
        <v>1.0000000271523199</v>
      </c>
    </row>
    <row r="4581" spans="1:40" x14ac:dyDescent="0.25">
      <c r="A4581" t="str">
        <f>"20190303170630573"</f>
        <v>20190303170630573</v>
      </c>
      <c r="B4581" t="str">
        <f>"1551603990559942"</f>
        <v>1551603990559942</v>
      </c>
      <c r="C4581" t="s">
        <v>40</v>
      </c>
      <c r="D4581">
        <v>6.1521809999999997</v>
      </c>
      <c r="E4581">
        <v>0.51542759999999999</v>
      </c>
      <c r="F4581" t="s">
        <v>41</v>
      </c>
      <c r="G4581">
        <v>-335.55410000000001</v>
      </c>
      <c r="H4581" s="1">
        <v>-2.9018770000000001E-6</v>
      </c>
      <c r="I4581">
        <v>14.3438</v>
      </c>
      <c r="J4581">
        <v>-361.07639999999998</v>
      </c>
      <c r="K4581">
        <v>1.1226069999999999</v>
      </c>
      <c r="L4581">
        <v>15.245089999999999</v>
      </c>
      <c r="M4581">
        <v>0.99986569999999997</v>
      </c>
      <c r="N4581">
        <v>-1.357243E-2</v>
      </c>
      <c r="O4581">
        <v>-9.1888319999999992E-3</v>
      </c>
      <c r="P4581">
        <v>0.97863630000000001</v>
      </c>
      <c r="Q4581">
        <v>0.20522699999999999</v>
      </c>
      <c r="R4581">
        <v>-1.237682E-2</v>
      </c>
      <c r="S4581">
        <v>3.0923769999999999</v>
      </c>
      <c r="T4581">
        <v>-0.13491900000000001</v>
      </c>
      <c r="U4581">
        <v>-0.108429</v>
      </c>
      <c r="V4581">
        <v>2.7491899999999999E-3</v>
      </c>
      <c r="W4581">
        <v>0.21850049999999999</v>
      </c>
      <c r="X4581">
        <v>0.9758329</v>
      </c>
      <c r="Y4581">
        <v>2.5828210000000001E-2</v>
      </c>
      <c r="Z4581">
        <v>-4.6252000000000001E-4</v>
      </c>
      <c r="AA4581">
        <v>0.99966630000000001</v>
      </c>
      <c r="AB4581">
        <v>29</v>
      </c>
      <c r="AC4581">
        <v>25.522299999999898</v>
      </c>
      <c r="AD4581">
        <v>-1.1226099018769999</v>
      </c>
      <c r="AE4581">
        <v>-0.90128999999999904</v>
      </c>
      <c r="AF4581">
        <v>0.66542441265260199</v>
      </c>
      <c r="AG4581">
        <v>-1.1226099018769999</v>
      </c>
      <c r="AH4581">
        <v>25.4802690751896</v>
      </c>
      <c r="AI4581">
        <v>92.521847778305698</v>
      </c>
      <c r="AJ4581">
        <v>88.504044582560098</v>
      </c>
      <c r="AK4581">
        <v>25.5136660396896</v>
      </c>
      <c r="AL4581">
        <v>77.379023796077306</v>
      </c>
      <c r="AM4581">
        <v>89.838582438302694</v>
      </c>
      <c r="AN4581">
        <v>0.99999993763415596</v>
      </c>
    </row>
    <row r="4582" spans="1:40" x14ac:dyDescent="0.25">
      <c r="A4582" t="str">
        <f>"20190303170630589"</f>
        <v>20190303170630589</v>
      </c>
      <c r="B4582" t="str">
        <f>"1551603990579463"</f>
        <v>1551603990579463</v>
      </c>
      <c r="C4582" t="s">
        <v>40</v>
      </c>
      <c r="D4582">
        <v>5.8659169999999996</v>
      </c>
      <c r="E4582">
        <v>0.51633189999999995</v>
      </c>
      <c r="F4582" t="s">
        <v>41</v>
      </c>
      <c r="G4582">
        <v>-335.6003</v>
      </c>
      <c r="H4582" s="1">
        <v>-2.9017819999999998E-6</v>
      </c>
      <c r="I4582">
        <v>14.28518</v>
      </c>
      <c r="J4582">
        <v>-360.86009999999999</v>
      </c>
      <c r="K4582">
        <v>1.122584</v>
      </c>
      <c r="L4582">
        <v>15.244289999999999</v>
      </c>
      <c r="M4582">
        <v>0.99987510000000002</v>
      </c>
      <c r="N4582">
        <v>-1.357064E-2</v>
      </c>
      <c r="O4582">
        <v>-8.107955E-3</v>
      </c>
      <c r="P4582">
        <v>0.97861860000000001</v>
      </c>
      <c r="Q4582">
        <v>0.20530680000000001</v>
      </c>
      <c r="R4582">
        <v>-1.2452589999999999E-2</v>
      </c>
      <c r="S4582">
        <v>3.0926209999999998</v>
      </c>
      <c r="T4582">
        <v>-0.13627619999999999</v>
      </c>
      <c r="U4582">
        <v>-0.1165161</v>
      </c>
      <c r="V4582">
        <v>3.8957110000000001E-3</v>
      </c>
      <c r="W4582">
        <v>0.2185811</v>
      </c>
      <c r="X4582">
        <v>0.97581099999999998</v>
      </c>
      <c r="Y4582">
        <v>2.9510970000000001E-2</v>
      </c>
      <c r="Z4582">
        <v>-6.0310690000000004E-4</v>
      </c>
      <c r="AA4582">
        <v>0.99956429999999996</v>
      </c>
      <c r="AB4582">
        <v>29</v>
      </c>
      <c r="AC4582">
        <v>25.259799999999899</v>
      </c>
      <c r="AD4582">
        <v>-1.122586901782</v>
      </c>
      <c r="AE4582">
        <v>-0.95911000000000002</v>
      </c>
      <c r="AF4582">
        <v>0.75276967288423702</v>
      </c>
      <c r="AG4582">
        <v>-1.122586901782</v>
      </c>
      <c r="AH4582">
        <v>25.217013299680499</v>
      </c>
      <c r="AI4582">
        <v>92.547822379193803</v>
      </c>
      <c r="AJ4582">
        <v>88.290133727503701</v>
      </c>
      <c r="AK4582">
        <v>25.253210158091399</v>
      </c>
      <c r="AL4582">
        <v>77.374292044770399</v>
      </c>
      <c r="AM4582">
        <v>89.771260405280302</v>
      </c>
      <c r="AN4582">
        <v>0.99999999078120205</v>
      </c>
    </row>
    <row r="4583" spans="1:40" x14ac:dyDescent="0.25">
      <c r="A4583" t="str">
        <f>"20190303170630605"</f>
        <v>20190303170630605</v>
      </c>
      <c r="B4583" t="str">
        <f>"1551603990599960"</f>
        <v>1551603990599960</v>
      </c>
      <c r="C4583" t="s">
        <v>40</v>
      </c>
      <c r="D4583">
        <v>5.8594179999999998</v>
      </c>
      <c r="E4583">
        <v>0.51700779999999902</v>
      </c>
      <c r="F4583" t="s">
        <v>41</v>
      </c>
      <c r="G4583">
        <v>-334.85860000000002</v>
      </c>
      <c r="H4583" s="1">
        <v>-3.1760289999999999E-6</v>
      </c>
      <c r="I4583">
        <v>14.203049999999999</v>
      </c>
      <c r="J4583">
        <v>-360.6431</v>
      </c>
      <c r="K4583">
        <v>1.1225579999999999</v>
      </c>
      <c r="L4583">
        <v>15.243679999999999</v>
      </c>
      <c r="M4583">
        <v>0.99988319999999997</v>
      </c>
      <c r="N4583">
        <v>-1.356869E-2</v>
      </c>
      <c r="O4583">
        <v>-7.0388400000000002E-3</v>
      </c>
      <c r="P4583">
        <v>0.97869070000000002</v>
      </c>
      <c r="Q4583">
        <v>0.20486579999999999</v>
      </c>
      <c r="R4583">
        <v>-1.3957270000000001E-2</v>
      </c>
      <c r="S4583">
        <v>3.09198</v>
      </c>
      <c r="T4583">
        <v>-0.13349279999999999</v>
      </c>
      <c r="U4583">
        <v>-0.1238098</v>
      </c>
      <c r="V4583">
        <v>6.4587819999999997E-3</v>
      </c>
      <c r="W4583">
        <v>0.21814639999999999</v>
      </c>
      <c r="X4583">
        <v>0.9758947</v>
      </c>
      <c r="Y4583">
        <v>3.2938139999999998E-2</v>
      </c>
      <c r="Z4583">
        <v>-7.2594759999999999E-4</v>
      </c>
      <c r="AA4583">
        <v>0.99945709999999999</v>
      </c>
      <c r="AB4583">
        <v>29</v>
      </c>
      <c r="AC4583">
        <v>25.784499999999898</v>
      </c>
      <c r="AD4583">
        <v>-1.122561176029</v>
      </c>
      <c r="AE4583">
        <v>-1.0406299999999999</v>
      </c>
      <c r="AF4583">
        <v>0.85747192661485405</v>
      </c>
      <c r="AG4583">
        <v>-1.122561176029</v>
      </c>
      <c r="AH4583">
        <v>25.7424734932696</v>
      </c>
      <c r="AI4583">
        <v>92.495553153222801</v>
      </c>
      <c r="AJ4583">
        <v>88.092204919242107</v>
      </c>
      <c r="AK4583">
        <v>25.781201353904201</v>
      </c>
      <c r="AL4583">
        <v>77.399814771785699</v>
      </c>
      <c r="AM4583">
        <v>89.620803815838698</v>
      </c>
      <c r="AN4583">
        <v>1.0000000165929801</v>
      </c>
    </row>
    <row r="4584" spans="1:40" x14ac:dyDescent="0.25">
      <c r="A4584" t="str">
        <f>"20190303170630617"</f>
        <v>20190303170630617</v>
      </c>
      <c r="B4584" t="str">
        <f>"1551603990609719"</f>
        <v>1551603990609719</v>
      </c>
      <c r="C4584" t="s">
        <v>40</v>
      </c>
      <c r="D4584">
        <v>5.8564049999999996</v>
      </c>
      <c r="E4584">
        <v>0.51723620000000003</v>
      </c>
      <c r="F4584" t="s">
        <v>41</v>
      </c>
      <c r="G4584">
        <v>-334.64530000000002</v>
      </c>
      <c r="H4584" s="1">
        <v>-3.2714129999999999E-6</v>
      </c>
      <c r="I4584">
        <v>14.1174</v>
      </c>
      <c r="J4584">
        <v>-360.483</v>
      </c>
      <c r="K4584">
        <v>1.1225419999999999</v>
      </c>
      <c r="L4584">
        <v>15.243410000000001</v>
      </c>
      <c r="M4584">
        <v>0.99988849999999996</v>
      </c>
      <c r="N4584">
        <v>-1.356712E-2</v>
      </c>
      <c r="O4584">
        <v>-6.2576180000000004E-3</v>
      </c>
      <c r="P4584">
        <v>0.97875840000000003</v>
      </c>
      <c r="Q4584">
        <v>0.2044821</v>
      </c>
      <c r="R4584">
        <v>-1.4804619999999999E-2</v>
      </c>
      <c r="S4584">
        <v>3.0913089999999999</v>
      </c>
      <c r="T4584">
        <v>-0.1334794</v>
      </c>
      <c r="U4584">
        <v>-0.13391110000000001</v>
      </c>
      <c r="V4584">
        <v>8.0784559999999995E-3</v>
      </c>
      <c r="W4584">
        <v>0.21776670000000001</v>
      </c>
      <c r="X4584">
        <v>0.97596740000000004</v>
      </c>
      <c r="Y4584">
        <v>3.6982349999999997E-2</v>
      </c>
      <c r="Z4584">
        <v>-8.6374170000000003E-4</v>
      </c>
      <c r="AA4584">
        <v>0.99931559999999997</v>
      </c>
      <c r="AB4584">
        <v>29</v>
      </c>
      <c r="AC4584">
        <v>25.837699999999899</v>
      </c>
      <c r="AD4584">
        <v>-1.122545271413</v>
      </c>
      <c r="AE4584">
        <v>-1.12601</v>
      </c>
      <c r="AF4584">
        <v>0.96247734322781897</v>
      </c>
      <c r="AG4584">
        <v>-1.122545271413</v>
      </c>
      <c r="AH4584">
        <v>25.795642376222801</v>
      </c>
      <c r="AI4584">
        <v>92.490029650405901</v>
      </c>
      <c r="AJ4584">
        <v>87.863192565293701</v>
      </c>
      <c r="AK4584">
        <v>25.837988236791599</v>
      </c>
      <c r="AL4584">
        <v>77.422105442599303</v>
      </c>
      <c r="AM4584">
        <v>89.525751717503894</v>
      </c>
      <c r="AN4584">
        <v>0.99999998147149605</v>
      </c>
    </row>
    <row r="4585" spans="1:40" x14ac:dyDescent="0.25">
      <c r="A4585" t="str">
        <f>"20190303170630630"</f>
        <v>20190303170630630</v>
      </c>
      <c r="B4585" t="str">
        <f>"1551603990619480"</f>
        <v>1551603990619480</v>
      </c>
      <c r="C4585" t="s">
        <v>40</v>
      </c>
      <c r="D4585">
        <v>5.8249659999999999</v>
      </c>
      <c r="E4585">
        <v>0.51748070000000002</v>
      </c>
      <c r="F4585" t="s">
        <v>41</v>
      </c>
      <c r="G4585">
        <v>-334.54050000000001</v>
      </c>
      <c r="H4585" s="1">
        <v>-3.3173150000000002E-6</v>
      </c>
      <c r="I4585">
        <v>14.07892</v>
      </c>
      <c r="J4585">
        <v>-360.33539999999999</v>
      </c>
      <c r="K4585">
        <v>1.1225320000000001</v>
      </c>
      <c r="L4585">
        <v>15.243230000000001</v>
      </c>
      <c r="M4585">
        <v>0.99989269999999997</v>
      </c>
      <c r="N4585">
        <v>-1.356578E-2</v>
      </c>
      <c r="O4585">
        <v>-5.5406129999999998E-3</v>
      </c>
      <c r="P4585">
        <v>0.97888319999999995</v>
      </c>
      <c r="Q4585">
        <v>0.2038413</v>
      </c>
      <c r="R4585">
        <v>-1.5384709999999999E-2</v>
      </c>
      <c r="S4585">
        <v>3.0909119999999999</v>
      </c>
      <c r="T4585">
        <v>-0.133745</v>
      </c>
      <c r="U4585">
        <v>-0.13873289999999999</v>
      </c>
      <c r="V4585">
        <v>9.3666429999999992E-3</v>
      </c>
      <c r="W4585">
        <v>0.21712899999999999</v>
      </c>
      <c r="X4585">
        <v>0.97609800000000002</v>
      </c>
      <c r="Y4585">
        <v>3.9257010000000002E-2</v>
      </c>
      <c r="Z4585">
        <v>-9.5069830000000003E-4</v>
      </c>
      <c r="AA4585">
        <v>0.99922869999999997</v>
      </c>
      <c r="AB4585">
        <v>29</v>
      </c>
      <c r="AC4585">
        <v>25.794899999999899</v>
      </c>
      <c r="AD4585">
        <v>-1.1225353173149999</v>
      </c>
      <c r="AE4585">
        <v>-1.16430999999999</v>
      </c>
      <c r="AF4585">
        <v>1.01943275602283</v>
      </c>
      <c r="AG4585">
        <v>-1.1225353173149999</v>
      </c>
      <c r="AH4585">
        <v>25.752285259146301</v>
      </c>
      <c r="AI4585">
        <v>92.493977026292995</v>
      </c>
      <c r="AJ4585">
        <v>87.733066706593505</v>
      </c>
      <c r="AK4585">
        <v>25.796889827091899</v>
      </c>
      <c r="AL4585">
        <v>77.459539172428407</v>
      </c>
      <c r="AM4585">
        <v>89.4502061880535</v>
      </c>
      <c r="AN4585">
        <v>1.00000002112304</v>
      </c>
    </row>
    <row r="4586" spans="1:40" x14ac:dyDescent="0.25">
      <c r="A4586" t="str">
        <f>"20190303170630641"</f>
        <v>20190303170630641</v>
      </c>
      <c r="B4586" t="str">
        <f>"1551603990629239"</f>
        <v>1551603990629239</v>
      </c>
      <c r="C4586" t="s">
        <v>40</v>
      </c>
      <c r="D4586">
        <v>5.831696</v>
      </c>
      <c r="E4586">
        <v>0.51772799999999997</v>
      </c>
      <c r="F4586" t="s">
        <v>41</v>
      </c>
      <c r="G4586">
        <v>-334.73140000000001</v>
      </c>
      <c r="H4586" s="1">
        <v>-3.2571009999999999E-6</v>
      </c>
      <c r="I4586">
        <v>14.060980000000001</v>
      </c>
      <c r="J4586">
        <v>-360.16789999999997</v>
      </c>
      <c r="K4586">
        <v>1.1225130000000001</v>
      </c>
      <c r="L4586">
        <v>15.2431</v>
      </c>
      <c r="M4586">
        <v>0.99989680000000003</v>
      </c>
      <c r="N4586">
        <v>-1.3564359999999999E-2</v>
      </c>
      <c r="O4586">
        <v>-4.7290739999999998E-3</v>
      </c>
      <c r="P4586">
        <v>0.97897009999999995</v>
      </c>
      <c r="Q4586">
        <v>0.20338139999999999</v>
      </c>
      <c r="R4586">
        <v>-1.592594E-2</v>
      </c>
      <c r="S4586">
        <v>3.090668</v>
      </c>
      <c r="T4586">
        <v>-0.1355016</v>
      </c>
      <c r="U4586">
        <v>-0.1427002</v>
      </c>
      <c r="V4586">
        <v>1.070867E-2</v>
      </c>
      <c r="W4586">
        <v>0.21667239999999999</v>
      </c>
      <c r="X4586">
        <v>0.97618559999999999</v>
      </c>
      <c r="Y4586">
        <v>4.1347420000000003E-2</v>
      </c>
      <c r="Z4586">
        <v>-1.043207E-3</v>
      </c>
      <c r="AA4586">
        <v>0.99914429999999999</v>
      </c>
      <c r="AB4586">
        <v>29</v>
      </c>
      <c r="AC4586">
        <v>25.436499999999899</v>
      </c>
      <c r="AD4586">
        <v>-1.1225162571009999</v>
      </c>
      <c r="AE4586">
        <v>-1.1821200000000001</v>
      </c>
      <c r="AF4586">
        <v>1.05974524499661</v>
      </c>
      <c r="AG4586">
        <v>-1.1225162571009999</v>
      </c>
      <c r="AH4586">
        <v>25.392461899069001</v>
      </c>
      <c r="AI4586">
        <v>92.529009118829407</v>
      </c>
      <c r="AJ4586">
        <v>87.610168170149805</v>
      </c>
      <c r="AK4586">
        <v>25.4393440172387</v>
      </c>
      <c r="AL4586">
        <v>77.486337704100904</v>
      </c>
      <c r="AM4586">
        <v>89.371495558645904</v>
      </c>
      <c r="AN4586">
        <v>0.99999996509114397</v>
      </c>
    </row>
    <row r="4587" spans="1:40" x14ac:dyDescent="0.25">
      <c r="A4587" t="str">
        <f>"20190303170630654"</f>
        <v>20190303170630654</v>
      </c>
      <c r="B4587" t="str">
        <f>"1551603990649735"</f>
        <v>1551603990649735</v>
      </c>
      <c r="C4587" t="s">
        <v>40</v>
      </c>
      <c r="D4587">
        <v>5.8465619999999996</v>
      </c>
      <c r="E4587">
        <v>0.51823960000000002</v>
      </c>
      <c r="F4587" t="s">
        <v>41</v>
      </c>
      <c r="G4587">
        <v>-334.7835</v>
      </c>
      <c r="H4587" s="1">
        <v>-3.2451320000000001E-6</v>
      </c>
      <c r="I4587">
        <v>14.03931</v>
      </c>
      <c r="J4587">
        <v>-360.01409999999998</v>
      </c>
      <c r="K4587">
        <v>1.1225069999999999</v>
      </c>
      <c r="L4587">
        <v>15.24319</v>
      </c>
      <c r="M4587">
        <v>0.99990020000000002</v>
      </c>
      <c r="N4587">
        <v>-1.356311E-2</v>
      </c>
      <c r="O4587">
        <v>-3.9861519999999998E-3</v>
      </c>
      <c r="P4587">
        <v>0.97904139999999995</v>
      </c>
      <c r="Q4587">
        <v>0.2029706</v>
      </c>
      <c r="R4587">
        <v>-1.6766380000000001E-2</v>
      </c>
      <c r="S4587">
        <v>3.0904240000000001</v>
      </c>
      <c r="T4587">
        <v>-0.1366607</v>
      </c>
      <c r="U4587">
        <v>-0.14654539999999999</v>
      </c>
      <c r="V4587">
        <v>1.228067E-2</v>
      </c>
      <c r="W4587">
        <v>0.2162655</v>
      </c>
      <c r="X4587">
        <v>0.97625729999999999</v>
      </c>
      <c r="Y4587">
        <v>4.3330189999999998E-2</v>
      </c>
      <c r="Z4587">
        <v>-1.1291910000000001E-3</v>
      </c>
      <c r="AA4587">
        <v>0.99906019999999895</v>
      </c>
      <c r="AB4587">
        <v>29</v>
      </c>
      <c r="AC4587">
        <v>25.2305999999999</v>
      </c>
      <c r="AD4587">
        <v>-1.1225102451319999</v>
      </c>
      <c r="AE4587">
        <v>-1.2038799999999901</v>
      </c>
      <c r="AF4587">
        <v>1.1011136353138999</v>
      </c>
      <c r="AG4587">
        <v>-1.1225102451319999</v>
      </c>
      <c r="AH4587">
        <v>25.185460870057</v>
      </c>
      <c r="AI4587">
        <v>92.549538630778102</v>
      </c>
      <c r="AJ4587">
        <v>87.496610722006906</v>
      </c>
      <c r="AK4587">
        <v>25.234498602616899</v>
      </c>
      <c r="AL4587">
        <v>77.510217351491093</v>
      </c>
      <c r="AM4587">
        <v>89.279295069022297</v>
      </c>
      <c r="AN4587">
        <v>0.99999994857459296</v>
      </c>
    </row>
    <row r="4588" spans="1:40" x14ac:dyDescent="0.25">
      <c r="A4588" t="str">
        <f>"20190303170630672"</f>
        <v>20190303170630672</v>
      </c>
      <c r="B4588" t="str">
        <f>"1551603990659496"</f>
        <v>1551603990659496</v>
      </c>
      <c r="C4588" t="s">
        <v>40</v>
      </c>
      <c r="D4588">
        <v>5.8569329999999997</v>
      </c>
      <c r="E4588">
        <v>0.51842529999999998</v>
      </c>
      <c r="F4588" t="s">
        <v>41</v>
      </c>
      <c r="G4588">
        <v>-334.70830000000001</v>
      </c>
      <c r="H4588" s="1">
        <v>-3.2849219999999999E-6</v>
      </c>
      <c r="I4588">
        <v>13.985989999999999</v>
      </c>
      <c r="J4588">
        <v>-359.78570000000002</v>
      </c>
      <c r="K4588">
        <v>1.1225039999999999</v>
      </c>
      <c r="L4588">
        <v>15.243499999999999</v>
      </c>
      <c r="M4588">
        <v>0.99990400000000002</v>
      </c>
      <c r="N4588">
        <v>-1.35613E-2</v>
      </c>
      <c r="O4588">
        <v>-2.8839600000000001E-3</v>
      </c>
      <c r="P4588">
        <v>0.97897239999999996</v>
      </c>
      <c r="Q4588">
        <v>0.2031675</v>
      </c>
      <c r="R4588">
        <v>-1.834593E-2</v>
      </c>
      <c r="S4588">
        <v>3.0899960000000002</v>
      </c>
      <c r="T4588">
        <v>-0.13706550000000001</v>
      </c>
      <c r="U4588">
        <v>-0.15350339999999901</v>
      </c>
      <c r="V4588">
        <v>1.4942850000000001E-2</v>
      </c>
      <c r="W4588">
        <v>0.2164662</v>
      </c>
      <c r="X4588">
        <v>0.97617569999999998</v>
      </c>
      <c r="Y4588">
        <v>4.667702E-2</v>
      </c>
      <c r="Z4588">
        <v>-1.2623059999999999E-3</v>
      </c>
      <c r="AA4588">
        <v>0.99890919999999905</v>
      </c>
      <c r="AB4588">
        <v>29</v>
      </c>
      <c r="AC4588">
        <v>25.077400000000001</v>
      </c>
      <c r="AD4588">
        <v>-1.1225072849219999</v>
      </c>
      <c r="AE4588">
        <v>-1.2575099999999999</v>
      </c>
      <c r="AF4588">
        <v>1.1828119579279299</v>
      </c>
      <c r="AG4588">
        <v>-1.1225072849219999</v>
      </c>
      <c r="AH4588">
        <v>25.030896258991199</v>
      </c>
      <c r="AI4588">
        <v>92.564843272224607</v>
      </c>
      <c r="AJ4588">
        <v>87.294553198376306</v>
      </c>
      <c r="AK4588">
        <v>25.083955713979801</v>
      </c>
      <c r="AL4588">
        <v>77.498439118024606</v>
      </c>
      <c r="AM4588">
        <v>89.123010974271295</v>
      </c>
      <c r="AN4588">
        <v>0.99999995088952498</v>
      </c>
    </row>
    <row r="4589" spans="1:40" x14ac:dyDescent="0.25">
      <c r="A4589" t="str">
        <f>"20190303170630684"</f>
        <v>20190303170630684</v>
      </c>
      <c r="B4589" t="str">
        <f>"1551603990669255"</f>
        <v>1551603990669255</v>
      </c>
      <c r="C4589" t="s">
        <v>40</v>
      </c>
      <c r="D4589">
        <v>5.7689139999999997</v>
      </c>
      <c r="E4589">
        <v>0.51857839999999999</v>
      </c>
      <c r="F4589" t="s">
        <v>41</v>
      </c>
      <c r="G4589">
        <v>-334.17559999999997</v>
      </c>
      <c r="H4589" s="1">
        <v>-3.4923079999999998E-6</v>
      </c>
      <c r="I4589">
        <v>13.914820000000001</v>
      </c>
      <c r="J4589">
        <v>-359.62599999999998</v>
      </c>
      <c r="K4589">
        <v>1.122503</v>
      </c>
      <c r="L4589">
        <v>15.2438</v>
      </c>
      <c r="M4589">
        <v>0.99990590000000001</v>
      </c>
      <c r="N4589">
        <v>-1.3560050000000001E-2</v>
      </c>
      <c r="O4589">
        <v>-2.1133509999999999E-3</v>
      </c>
      <c r="P4589">
        <v>0.97890630000000001</v>
      </c>
      <c r="Q4589">
        <v>0.20347000000000001</v>
      </c>
      <c r="R4589">
        <v>-1.8518409999999999E-2</v>
      </c>
      <c r="S4589">
        <v>3.0895389999999998</v>
      </c>
      <c r="T4589">
        <v>-0.13541600000000001</v>
      </c>
      <c r="U4589">
        <v>-0.16027829999999901</v>
      </c>
      <c r="V4589">
        <v>1.5871099999999999E-2</v>
      </c>
      <c r="W4589">
        <v>0.21676880000000001</v>
      </c>
      <c r="X4589">
        <v>0.97609389999999996</v>
      </c>
      <c r="Y4589">
        <v>4.9635949999999998E-2</v>
      </c>
      <c r="Z4589">
        <v>-1.359627E-3</v>
      </c>
      <c r="AA4589">
        <v>0.99876640000000005</v>
      </c>
      <c r="AB4589">
        <v>29</v>
      </c>
      <c r="AC4589">
        <v>25.450399999999998</v>
      </c>
      <c r="AD4589">
        <v>-1.1225064923079999</v>
      </c>
      <c r="AE4589">
        <v>-1.3289799999999901</v>
      </c>
      <c r="AF4589">
        <v>1.27271736647336</v>
      </c>
      <c r="AG4589">
        <v>-1.1225064923079999</v>
      </c>
      <c r="AH4589">
        <v>25.403868038609101</v>
      </c>
      <c r="AI4589">
        <v>92.526885721919498</v>
      </c>
      <c r="AJ4589">
        <v>87.131916458651503</v>
      </c>
      <c r="AK4589">
        <v>25.460485887807799</v>
      </c>
      <c r="AL4589">
        <v>77.480679772859204</v>
      </c>
      <c r="AM4589">
        <v>89.068463678751797</v>
      </c>
      <c r="AN4589">
        <v>0.99999995304292799</v>
      </c>
    </row>
    <row r="4590" spans="1:40" x14ac:dyDescent="0.25">
      <c r="A4590" t="str">
        <f>"20190303170630696"</f>
        <v>20190303170630696</v>
      </c>
      <c r="B4590" t="str">
        <f>"1551603990689751"</f>
        <v>1551603990689751</v>
      </c>
      <c r="C4590" t="s">
        <v>40</v>
      </c>
      <c r="D4590">
        <v>5.8105359999999999</v>
      </c>
      <c r="E4590">
        <v>0.51885550000000003</v>
      </c>
      <c r="F4590" t="s">
        <v>41</v>
      </c>
      <c r="G4590">
        <v>-333.69229999999999</v>
      </c>
      <c r="H4590" s="1">
        <v>-3.7050570000000002E-6</v>
      </c>
      <c r="I4590">
        <v>13.8842</v>
      </c>
      <c r="J4590">
        <v>-359.45890000000003</v>
      </c>
      <c r="K4590">
        <v>1.122501</v>
      </c>
      <c r="L4590">
        <v>15.24432</v>
      </c>
      <c r="M4590">
        <v>0.99990730000000005</v>
      </c>
      <c r="N4590">
        <v>-1.3558779999999999E-2</v>
      </c>
      <c r="O4590">
        <v>-1.305891E-3</v>
      </c>
      <c r="P4590">
        <v>0.97891269999999997</v>
      </c>
      <c r="Q4590">
        <v>0.2034272</v>
      </c>
      <c r="R4590">
        <v>-1.8642789999999999E-2</v>
      </c>
      <c r="S4590">
        <v>3.0894170000000001</v>
      </c>
      <c r="T4590">
        <v>-0.13372100000000001</v>
      </c>
      <c r="U4590">
        <v>-0.16195680000000001</v>
      </c>
      <c r="V4590">
        <v>1.6787750000000001E-2</v>
      </c>
      <c r="W4590">
        <v>0.21672730000000001</v>
      </c>
      <c r="X4590">
        <v>0.97608779999999995</v>
      </c>
      <c r="Y4590">
        <v>5.0984960000000003E-2</v>
      </c>
      <c r="Z4590">
        <v>-1.4094769999999999E-3</v>
      </c>
      <c r="AA4590">
        <v>0.99869839999999999</v>
      </c>
      <c r="AB4590">
        <v>29</v>
      </c>
      <c r="AC4590">
        <v>25.7666</v>
      </c>
      <c r="AD4590">
        <v>-1.1225047050570001</v>
      </c>
      <c r="AE4590">
        <v>-1.36012</v>
      </c>
      <c r="AF4590">
        <v>1.3239616780698</v>
      </c>
      <c r="AG4590">
        <v>-1.1225047050570001</v>
      </c>
      <c r="AH4590">
        <v>25.719677872245502</v>
      </c>
      <c r="AI4590">
        <v>92.495719902494301</v>
      </c>
      <c r="AJ4590">
        <v>87.053208841255099</v>
      </c>
      <c r="AK4590">
        <v>25.778183046715</v>
      </c>
      <c r="AL4590">
        <v>77.483115693596801</v>
      </c>
      <c r="AM4590">
        <v>89.014666101485702</v>
      </c>
      <c r="AN4590">
        <v>0.99999997221209502</v>
      </c>
    </row>
    <row r="4591" spans="1:40" x14ac:dyDescent="0.25">
      <c r="A4591" t="str">
        <f>"20190303170630718"</f>
        <v>20190303170630718</v>
      </c>
      <c r="B4591" t="str">
        <f>"1551603990709271"</f>
        <v>1551603990709271</v>
      </c>
      <c r="C4591" t="s">
        <v>40</v>
      </c>
      <c r="D4591">
        <v>5.7537370000000001</v>
      </c>
      <c r="E4591">
        <v>0.5190591</v>
      </c>
      <c r="F4591" t="s">
        <v>41</v>
      </c>
      <c r="G4591">
        <v>-333.40449999999998</v>
      </c>
      <c r="H4591" s="1">
        <v>-3.8338420000000004E-6</v>
      </c>
      <c r="I4591">
        <v>13.85431</v>
      </c>
      <c r="J4591">
        <v>-359.18329999999997</v>
      </c>
      <c r="K4591">
        <v>1.122503</v>
      </c>
      <c r="L4591">
        <v>15.245419999999999</v>
      </c>
      <c r="M4591">
        <v>0.99990809999999997</v>
      </c>
      <c r="N4591">
        <v>-1.355672E-2</v>
      </c>
      <c r="O4591" s="1">
        <v>2.7613399999999999E-5</v>
      </c>
      <c r="P4591">
        <v>0.97904469999999999</v>
      </c>
      <c r="Q4591">
        <v>0.2027448</v>
      </c>
      <c r="R4591">
        <v>-1.9142590000000001E-2</v>
      </c>
      <c r="S4591">
        <v>3.0891109999999999</v>
      </c>
      <c r="T4591">
        <v>-0.13308809999999999</v>
      </c>
      <c r="U4591">
        <v>-0.16479489999999999</v>
      </c>
      <c r="V4591">
        <v>1.8596339999999999E-2</v>
      </c>
      <c r="W4591">
        <v>0.21604899999999999</v>
      </c>
      <c r="X4591">
        <v>0.9762054</v>
      </c>
      <c r="Y4591">
        <v>5.323406E-2</v>
      </c>
      <c r="Z4591">
        <v>-1.507542E-3</v>
      </c>
      <c r="AA4591">
        <v>0.99858089999999999</v>
      </c>
      <c r="AB4591">
        <v>29</v>
      </c>
      <c r="AC4591">
        <v>25.778799999999901</v>
      </c>
      <c r="AD4591">
        <v>-1.1225068338419999</v>
      </c>
      <c r="AE4591">
        <v>-1.3911100000000001</v>
      </c>
      <c r="AF4591">
        <v>1.38919555200592</v>
      </c>
      <c r="AG4591">
        <v>-1.1225068338419999</v>
      </c>
      <c r="AH4591">
        <v>25.730117323128699</v>
      </c>
      <c r="AI4591">
        <v>92.494383890644798</v>
      </c>
      <c r="AJ4591">
        <v>86.909542410668493</v>
      </c>
      <c r="AK4591">
        <v>25.792030229039799</v>
      </c>
      <c r="AL4591">
        <v>77.5229227582997</v>
      </c>
      <c r="AM4591">
        <v>88.908669282371207</v>
      </c>
      <c r="AN4591">
        <v>0.99999998862577699</v>
      </c>
    </row>
    <row r="4592" spans="1:40" x14ac:dyDescent="0.25">
      <c r="A4592" t="str">
        <f>"20190303170630729"</f>
        <v>20190303170630729</v>
      </c>
      <c r="B4592" t="str">
        <f>"1551603990720007"</f>
        <v>1551603990720007</v>
      </c>
      <c r="C4592" t="s">
        <v>40</v>
      </c>
      <c r="D4592">
        <v>5.8646029999999998</v>
      </c>
      <c r="E4592">
        <v>0.51927209999999902</v>
      </c>
      <c r="F4592" t="s">
        <v>41</v>
      </c>
      <c r="G4592">
        <v>-333.2192</v>
      </c>
      <c r="H4592" s="1">
        <v>-3.9179890000000003E-6</v>
      </c>
      <c r="I4592">
        <v>13.827909999999999</v>
      </c>
      <c r="J4592">
        <v>-359.03129999999999</v>
      </c>
      <c r="K4592">
        <v>1.1224959999999999</v>
      </c>
      <c r="L4592">
        <v>15.246219999999999</v>
      </c>
      <c r="M4592">
        <v>0.99990780000000001</v>
      </c>
      <c r="N4592">
        <v>-1.3555589999999999E-2</v>
      </c>
      <c r="O4592">
        <v>7.6481990000000001E-4</v>
      </c>
      <c r="P4592">
        <v>0.97903810000000002</v>
      </c>
      <c r="Q4592">
        <v>0.2027514</v>
      </c>
      <c r="R4592">
        <v>-1.9403529999999999E-2</v>
      </c>
      <c r="S4592">
        <v>3.088562</v>
      </c>
      <c r="T4592">
        <v>-0.1335276</v>
      </c>
      <c r="U4592">
        <v>-0.1686096</v>
      </c>
      <c r="V4592">
        <v>1.9579949999999999E-2</v>
      </c>
      <c r="W4592">
        <v>0.216057</v>
      </c>
      <c r="X4592">
        <v>0.97618439999999995</v>
      </c>
      <c r="Y4592">
        <v>5.5206270000000002E-2</v>
      </c>
      <c r="Z4592">
        <v>-1.589292E-3</v>
      </c>
      <c r="AA4592">
        <v>0.99847370000000002</v>
      </c>
      <c r="AB4592">
        <v>29</v>
      </c>
      <c r="AC4592">
        <v>25.812099999999901</v>
      </c>
      <c r="AD4592">
        <v>-1.1224999179889901</v>
      </c>
      <c r="AE4592">
        <v>-1.41831</v>
      </c>
      <c r="AF4592">
        <v>1.43534672246478</v>
      </c>
      <c r="AG4592">
        <v>-1.1224999179889901</v>
      </c>
      <c r="AH4592">
        <v>25.762433629387999</v>
      </c>
      <c r="AI4592">
        <v>92.491009027941104</v>
      </c>
      <c r="AJ4592">
        <v>86.811078688381201</v>
      </c>
      <c r="AK4592">
        <v>25.826792537754201</v>
      </c>
      <c r="AL4592">
        <v>77.522453350238095</v>
      </c>
      <c r="AM4592">
        <v>88.850936266506196</v>
      </c>
      <c r="AN4592">
        <v>0.99999999224718095</v>
      </c>
    </row>
    <row r="4593" spans="1:40" x14ac:dyDescent="0.25">
      <c r="A4593" t="str">
        <f>"20190303170630741"</f>
        <v>20190303170630741</v>
      </c>
      <c r="B4593" t="str">
        <f>"1551603990729767"</f>
        <v>1551603990729767</v>
      </c>
      <c r="C4593" t="s">
        <v>40</v>
      </c>
      <c r="D4593">
        <v>5.7634999999999996</v>
      </c>
      <c r="E4593">
        <v>0.51941400000000004</v>
      </c>
      <c r="F4593" t="s">
        <v>41</v>
      </c>
      <c r="G4593">
        <v>-333.13260000000002</v>
      </c>
      <c r="H4593" s="1">
        <v>-3.9587629999999997E-6</v>
      </c>
      <c r="I4593">
        <v>13.8074799999999</v>
      </c>
      <c r="J4593">
        <v>-358.88069999999999</v>
      </c>
      <c r="K4593">
        <v>1.1224989999999999</v>
      </c>
      <c r="L4593">
        <v>15.247070000000001</v>
      </c>
      <c r="M4593">
        <v>0.99990710000000005</v>
      </c>
      <c r="N4593">
        <v>-1.3554490000000001E-2</v>
      </c>
      <c r="O4593">
        <v>1.4955319999999999E-3</v>
      </c>
      <c r="P4593">
        <v>0.97920819999999997</v>
      </c>
      <c r="Q4593">
        <v>0.20187140000000001</v>
      </c>
      <c r="R4593">
        <v>-1.9993690000000001E-2</v>
      </c>
      <c r="S4593">
        <v>3.0885929999999999</v>
      </c>
      <c r="T4593">
        <v>-0.1338657</v>
      </c>
      <c r="U4593">
        <v>-0.17156979999999999</v>
      </c>
      <c r="V4593">
        <v>2.088868E-2</v>
      </c>
      <c r="W4593">
        <v>0.21518109999999999</v>
      </c>
      <c r="X4593">
        <v>0.97635070000000002</v>
      </c>
      <c r="Y4593">
        <v>5.6886699999999998E-2</v>
      </c>
      <c r="Z4593">
        <v>-1.661842E-3</v>
      </c>
      <c r="AA4593">
        <v>0.99837920000000002</v>
      </c>
      <c r="AB4593">
        <v>29</v>
      </c>
      <c r="AC4593">
        <v>25.748099999999901</v>
      </c>
      <c r="AD4593">
        <v>-1.122502958763</v>
      </c>
      <c r="AE4593">
        <v>-1.4395899999999999</v>
      </c>
      <c r="AF4593">
        <v>1.4753038465307899</v>
      </c>
      <c r="AG4593">
        <v>-1.122502958763</v>
      </c>
      <c r="AH4593">
        <v>25.697230776032701</v>
      </c>
      <c r="AI4593">
        <v>92.497089820035796</v>
      </c>
      <c r="AJ4593">
        <v>86.714198570239901</v>
      </c>
      <c r="AK4593">
        <v>25.764009856555798</v>
      </c>
      <c r="AL4593">
        <v>77.573847314583702</v>
      </c>
      <c r="AM4593">
        <v>88.774363920134704</v>
      </c>
      <c r="AN4593">
        <v>0.99999996606992003</v>
      </c>
    </row>
    <row r="4594" spans="1:40" x14ac:dyDescent="0.25">
      <c r="A4594" t="str">
        <f>"20190303170630754"</f>
        <v>20190303170630754</v>
      </c>
      <c r="B4594" t="str">
        <f>"1551603990739527"</f>
        <v>1551603990739527</v>
      </c>
      <c r="C4594" t="s">
        <v>40</v>
      </c>
      <c r="D4594">
        <v>5.817005</v>
      </c>
      <c r="E4594">
        <v>0.51956519999999995</v>
      </c>
      <c r="F4594" t="s">
        <v>41</v>
      </c>
      <c r="G4594">
        <v>-333.67579999999998</v>
      </c>
      <c r="H4594" s="1">
        <v>-3.7233489999999999E-6</v>
      </c>
      <c r="I4594">
        <v>13.821179999999901</v>
      </c>
      <c r="J4594">
        <v>-358.7303</v>
      </c>
      <c r="K4594">
        <v>1.1224970000000001</v>
      </c>
      <c r="L4594">
        <v>15.2480799999999</v>
      </c>
      <c r="M4594">
        <v>0.99990579999999996</v>
      </c>
      <c r="N4594">
        <v>-1.35533999999999E-2</v>
      </c>
      <c r="O4594">
        <v>2.2263059999999999E-3</v>
      </c>
      <c r="P4594">
        <v>0.97933440000000005</v>
      </c>
      <c r="Q4594">
        <v>0.20119319999999999</v>
      </c>
      <c r="R4594">
        <v>-2.063659E-2</v>
      </c>
      <c r="S4594">
        <v>3.0885009999999999</v>
      </c>
      <c r="T4594">
        <v>-0.13754620000000001</v>
      </c>
      <c r="U4594">
        <v>-0.17471310000000001</v>
      </c>
      <c r="V4594">
        <v>2.2249669999999999E-2</v>
      </c>
      <c r="W4594">
        <v>0.2145068</v>
      </c>
      <c r="X4594">
        <v>0.97646900000000003</v>
      </c>
      <c r="Y4594">
        <v>5.8624750000000003E-2</v>
      </c>
      <c r="Z4594">
        <v>-1.7704929999999999E-3</v>
      </c>
      <c r="AA4594">
        <v>0.99827849999999996</v>
      </c>
      <c r="AB4594">
        <v>29</v>
      </c>
      <c r="AC4594">
        <v>25.054500000000001</v>
      </c>
      <c r="AD4594">
        <v>-1.1225007233490001</v>
      </c>
      <c r="AE4594">
        <v>-1.4268999999999901</v>
      </c>
      <c r="AF4594">
        <v>1.4797199959982299</v>
      </c>
      <c r="AG4594">
        <v>-1.1225007233490001</v>
      </c>
      <c r="AH4594">
        <v>25.001239362237001</v>
      </c>
      <c r="AI4594">
        <v>92.566243404558506</v>
      </c>
      <c r="AJ4594">
        <v>86.612851022435194</v>
      </c>
      <c r="AK4594">
        <v>25.0701326041237</v>
      </c>
      <c r="AL4594">
        <v>77.613405553516998</v>
      </c>
      <c r="AM4594">
        <v>88.694693195554706</v>
      </c>
      <c r="AN4594">
        <v>0.99999996151117299</v>
      </c>
    </row>
    <row r="4595" spans="1:40" x14ac:dyDescent="0.25">
      <c r="A4595" t="str">
        <f>"20190303170630768"</f>
        <v>20190303170630768</v>
      </c>
      <c r="B4595" t="str">
        <f>"1551603990760023"</f>
        <v>1551603990760023</v>
      </c>
      <c r="C4595" t="s">
        <v>40</v>
      </c>
      <c r="D4595">
        <v>5.7185790000000001</v>
      </c>
      <c r="E4595">
        <v>0.51985709999999996</v>
      </c>
      <c r="F4595" t="s">
        <v>41</v>
      </c>
      <c r="G4595">
        <v>-334.02370000000002</v>
      </c>
      <c r="H4595" s="1">
        <v>-3.5731869999999998E-6</v>
      </c>
      <c r="I4595">
        <v>13.826140000000001</v>
      </c>
      <c r="J4595">
        <v>-358.5401</v>
      </c>
      <c r="K4595">
        <v>1.1224940000000001</v>
      </c>
      <c r="L4595">
        <v>15.24945</v>
      </c>
      <c r="M4595">
        <v>0.99990310000000004</v>
      </c>
      <c r="N4595">
        <v>-1.3552079999999999E-2</v>
      </c>
      <c r="O4595">
        <v>3.1522159999999998E-3</v>
      </c>
      <c r="P4595">
        <v>0.97942079999999998</v>
      </c>
      <c r="Q4595">
        <v>0.2007343</v>
      </c>
      <c r="R4595">
        <v>-2.0993149999999999E-2</v>
      </c>
      <c r="S4595">
        <v>3.0883790000000002</v>
      </c>
      <c r="T4595">
        <v>-0.14031459999999901</v>
      </c>
      <c r="U4595">
        <v>-0.17773439999999999</v>
      </c>
      <c r="V4595">
        <v>2.351491E-2</v>
      </c>
      <c r="W4595">
        <v>0.2140513</v>
      </c>
      <c r="X4595">
        <v>0.97653939999999995</v>
      </c>
      <c r="Y4595">
        <v>6.0518910000000002E-2</v>
      </c>
      <c r="Z4595">
        <v>-1.8840040000000001E-3</v>
      </c>
      <c r="AA4595">
        <v>0.99816519999999997</v>
      </c>
      <c r="AB4595">
        <v>29</v>
      </c>
      <c r="AC4595">
        <v>24.516399999999901</v>
      </c>
      <c r="AD4595">
        <v>-1.1224975731869999</v>
      </c>
      <c r="AE4595">
        <v>-1.4233100000000001</v>
      </c>
      <c r="AF4595">
        <v>1.4974624063833599</v>
      </c>
      <c r="AG4595">
        <v>-1.1224975731869999</v>
      </c>
      <c r="AH4595">
        <v>24.4606860203303</v>
      </c>
      <c r="AI4595">
        <v>92.622549336360393</v>
      </c>
      <c r="AJ4595">
        <v>86.496773161003205</v>
      </c>
      <c r="AK4595">
        <v>24.5321738752505</v>
      </c>
      <c r="AL4595">
        <v>77.640125567045203</v>
      </c>
      <c r="AM4595">
        <v>88.620593513481296</v>
      </c>
      <c r="AN4595">
        <v>1.00000005488817</v>
      </c>
    </row>
    <row r="4596" spans="1:40" x14ac:dyDescent="0.25">
      <c r="A4596" t="str">
        <f>"20190303170630785"</f>
        <v>20190303170630785</v>
      </c>
      <c r="B4596" t="str">
        <f>"1551603990779543"</f>
        <v>1551603990779543</v>
      </c>
      <c r="C4596" t="s">
        <v>40</v>
      </c>
      <c r="D4596">
        <v>5.6790129999999897</v>
      </c>
      <c r="E4596">
        <v>0.52008580000000004</v>
      </c>
      <c r="F4596" t="s">
        <v>41</v>
      </c>
      <c r="G4596">
        <v>-334.24400000000003</v>
      </c>
      <c r="H4596" s="1">
        <v>-3.4852640000000002E-6</v>
      </c>
      <c r="I4596">
        <v>13.826890000000001</v>
      </c>
      <c r="J4596">
        <v>-358.32139999999998</v>
      </c>
      <c r="K4596">
        <v>1.122492</v>
      </c>
      <c r="L4596">
        <v>15.25128</v>
      </c>
      <c r="M4596">
        <v>0.99989950000000005</v>
      </c>
      <c r="N4596">
        <v>-1.3550670000000001E-2</v>
      </c>
      <c r="O4596">
        <v>4.217536E-3</v>
      </c>
      <c r="P4596">
        <v>0.9795353</v>
      </c>
      <c r="Q4596">
        <v>0.19999700000000001</v>
      </c>
      <c r="R4596">
        <v>-2.2636570000000002E-2</v>
      </c>
      <c r="S4596">
        <v>3.0883790000000002</v>
      </c>
      <c r="T4596">
        <v>-0.14268520000000001</v>
      </c>
      <c r="U4596">
        <v>-0.1808167</v>
      </c>
      <c r="V4596">
        <v>2.620484E-2</v>
      </c>
      <c r="W4596">
        <v>0.21332039999999999</v>
      </c>
      <c r="X4596">
        <v>0.97663080000000002</v>
      </c>
      <c r="Y4596">
        <v>6.2569189999999997E-2</v>
      </c>
      <c r="Z4596">
        <v>-2.0054729999999998E-3</v>
      </c>
      <c r="AA4596">
        <v>0.9980386</v>
      </c>
      <c r="AB4596">
        <v>29</v>
      </c>
      <c r="AC4596">
        <v>24.077399999999901</v>
      </c>
      <c r="AD4596">
        <v>-1.1224954852639999</v>
      </c>
      <c r="AE4596">
        <v>-1.42439</v>
      </c>
      <c r="AF4596">
        <v>1.5226360991307599</v>
      </c>
      <c r="AG4596">
        <v>-1.1224954852639999</v>
      </c>
      <c r="AH4596">
        <v>24.019155441115</v>
      </c>
      <c r="AI4596">
        <v>92.670324338448296</v>
      </c>
      <c r="AJ4596">
        <v>86.372726712336501</v>
      </c>
      <c r="AK4596">
        <v>24.093531183893699</v>
      </c>
      <c r="AL4596">
        <v>77.682992541041301</v>
      </c>
      <c r="AM4596">
        <v>88.463015324615</v>
      </c>
      <c r="AN4596">
        <v>1.0000000031021099</v>
      </c>
    </row>
    <row r="4597" spans="1:40" x14ac:dyDescent="0.25">
      <c r="A4597" t="str">
        <f>"20190303170630807"</f>
        <v>20190303170630807</v>
      </c>
      <c r="B4597" t="str">
        <f>"1551603990800039"</f>
        <v>1551603990800039</v>
      </c>
      <c r="C4597" t="s">
        <v>40</v>
      </c>
      <c r="D4597">
        <v>5.6674249999999997</v>
      </c>
      <c r="E4597">
        <v>0.52024219999999999</v>
      </c>
      <c r="F4597" t="s">
        <v>41</v>
      </c>
      <c r="G4597">
        <v>-334.4778</v>
      </c>
      <c r="H4597" s="1">
        <v>-3.4123849999999999E-6</v>
      </c>
      <c r="I4597">
        <v>13.80181</v>
      </c>
      <c r="J4597">
        <v>-358.03219999999999</v>
      </c>
      <c r="K4597">
        <v>1.1224909999999999</v>
      </c>
      <c r="L4597">
        <v>15.254029999999901</v>
      </c>
      <c r="M4597">
        <v>0.99989240000000001</v>
      </c>
      <c r="N4597">
        <v>-1.354881E-2</v>
      </c>
      <c r="O4597">
        <v>5.6271749999999999E-3</v>
      </c>
      <c r="P4597">
        <v>0.97945369999999998</v>
      </c>
      <c r="Q4597">
        <v>0.2002929</v>
      </c>
      <c r="R4597">
        <v>-2.3519370000000001E-2</v>
      </c>
      <c r="S4597">
        <v>3.0880429999999999</v>
      </c>
      <c r="T4597">
        <v>-0.1453769</v>
      </c>
      <c r="U4597">
        <v>-0.18771360000000001</v>
      </c>
      <c r="V4597">
        <v>2.846806E-2</v>
      </c>
      <c r="W4597">
        <v>0.213619</v>
      </c>
      <c r="X4597">
        <v>0.97650219999999999</v>
      </c>
      <c r="Y4597">
        <v>6.6194299999999998E-2</v>
      </c>
      <c r="Z4597">
        <v>-2.1934010000000002E-3</v>
      </c>
      <c r="AA4597">
        <v>0.99780429999999998</v>
      </c>
      <c r="AB4597">
        <v>29</v>
      </c>
      <c r="AC4597">
        <v>23.554399999999902</v>
      </c>
      <c r="AD4597">
        <v>-1.12249441238499</v>
      </c>
      <c r="AE4597">
        <v>-1.4522199999999901</v>
      </c>
      <c r="AF4597">
        <v>1.5811765852153099</v>
      </c>
      <c r="AG4597">
        <v>-1.12249441238499</v>
      </c>
      <c r="AH4597">
        <v>23.492703584917699</v>
      </c>
      <c r="AI4597">
        <v>92.729378032444998</v>
      </c>
      <c r="AJ4597">
        <v>86.149514324509198</v>
      </c>
      <c r="AK4597">
        <v>23.5725949956358</v>
      </c>
      <c r="AL4597">
        <v>77.665480660668607</v>
      </c>
      <c r="AM4597">
        <v>88.330123749518293</v>
      </c>
      <c r="AN4597">
        <v>1.0000000271030001</v>
      </c>
    </row>
    <row r="4598" spans="1:40" x14ac:dyDescent="0.25">
      <c r="A4598" t="str">
        <f>"20190303170630839"</f>
        <v>20190303170630839</v>
      </c>
      <c r="B4598" t="str">
        <f>"1551603990829319"</f>
        <v>1551603990829319</v>
      </c>
      <c r="C4598" t="s">
        <v>40</v>
      </c>
      <c r="D4598">
        <v>5.658353</v>
      </c>
      <c r="E4598">
        <v>0.52035329999999902</v>
      </c>
      <c r="F4598" t="s">
        <v>41</v>
      </c>
      <c r="G4598">
        <v>-334.1071</v>
      </c>
      <c r="H4598" s="1">
        <v>-3.5470219999999999E-6</v>
      </c>
      <c r="I4598">
        <v>13.771879999999999</v>
      </c>
      <c r="J4598">
        <v>-357.61869999999999</v>
      </c>
      <c r="K4598">
        <v>1.122476</v>
      </c>
      <c r="L4598">
        <v>15.258699999999999</v>
      </c>
      <c r="M4598">
        <v>0.99987919999999997</v>
      </c>
      <c r="N4598">
        <v>-1.354617E-2</v>
      </c>
      <c r="O4598">
        <v>7.6439169999999897E-3</v>
      </c>
      <c r="P4598">
        <v>0.97948959999999996</v>
      </c>
      <c r="Q4598">
        <v>0.19983909999999999</v>
      </c>
      <c r="R4598">
        <v>-2.5787330000000001E-2</v>
      </c>
      <c r="S4598">
        <v>3.0879210000000001</v>
      </c>
      <c r="T4598">
        <v>-0.1448759</v>
      </c>
      <c r="U4598">
        <v>-0.19128419999999999</v>
      </c>
      <c r="V4598">
        <v>3.271334E-2</v>
      </c>
      <c r="W4598">
        <v>0.21317269999999999</v>
      </c>
      <c r="X4598">
        <v>0.97646670000000002</v>
      </c>
      <c r="Y4598">
        <v>6.9353339999999999E-2</v>
      </c>
      <c r="Z4598">
        <v>-2.3497169999999999E-3</v>
      </c>
      <c r="AA4598">
        <v>0.99758939999999996</v>
      </c>
      <c r="AB4598">
        <v>29</v>
      </c>
      <c r="AC4598">
        <v>23.511599999999898</v>
      </c>
      <c r="AD4598">
        <v>-1.1224795470219999</v>
      </c>
      <c r="AE4598">
        <v>-1.48681999999999</v>
      </c>
      <c r="AF4598">
        <v>1.66273902646573</v>
      </c>
      <c r="AG4598">
        <v>-1.1224795470219999</v>
      </c>
      <c r="AH4598">
        <v>23.446319575235002</v>
      </c>
      <c r="AI4598">
        <v>92.734054953202801</v>
      </c>
      <c r="AJ4598">
        <v>85.943555174442693</v>
      </c>
      <c r="AK4598">
        <v>23.531990205413202</v>
      </c>
      <c r="AL4598">
        <v>77.691654192278193</v>
      </c>
      <c r="AM4598">
        <v>88.081208958249704</v>
      </c>
      <c r="AN4598">
        <v>0.99999998942406698</v>
      </c>
    </row>
    <row r="4599" spans="1:40" x14ac:dyDescent="0.25">
      <c r="A4599" t="str">
        <f>"20190303170630861"</f>
        <v>20190303170630861</v>
      </c>
      <c r="B4599" t="str">
        <f>"1551603990849816"</f>
        <v>1551603990849816</v>
      </c>
      <c r="C4599" t="s">
        <v>40</v>
      </c>
      <c r="D4599">
        <v>5.6917920000000004</v>
      </c>
      <c r="E4599">
        <v>0.52044760000000001</v>
      </c>
      <c r="F4599" t="s">
        <v>41</v>
      </c>
      <c r="G4599">
        <v>-333.95940000000002</v>
      </c>
      <c r="H4599" s="1">
        <v>-3.6156280000000001E-6</v>
      </c>
      <c r="I4599">
        <v>13.742319999999999</v>
      </c>
      <c r="J4599">
        <v>-357.33600000000001</v>
      </c>
      <c r="K4599">
        <v>1.1224689999999999</v>
      </c>
      <c r="L4599">
        <v>15.262359999999999</v>
      </c>
      <c r="M4599">
        <v>0.99986770000000003</v>
      </c>
      <c r="N4599">
        <v>-1.354438E-2</v>
      </c>
      <c r="O4599">
        <v>9.0228010000000004E-3</v>
      </c>
      <c r="P4599">
        <v>0.97969329999999999</v>
      </c>
      <c r="Q4599">
        <v>0.1986397</v>
      </c>
      <c r="R4599">
        <v>-2.7272009999999999E-2</v>
      </c>
      <c r="S4599">
        <v>3.0875240000000002</v>
      </c>
      <c r="T4599">
        <v>-0.1464828</v>
      </c>
      <c r="U4599">
        <v>-0.197876</v>
      </c>
      <c r="V4599">
        <v>3.5554170000000003E-2</v>
      </c>
      <c r="W4599">
        <v>0.2119808</v>
      </c>
      <c r="X4599">
        <v>0.97662689999999996</v>
      </c>
      <c r="Y4599">
        <v>7.2850029999999996E-2</v>
      </c>
      <c r="Z4599">
        <v>-2.5250170000000001E-3</v>
      </c>
      <c r="AA4599">
        <v>0.99733970000000005</v>
      </c>
      <c r="AB4599">
        <v>29</v>
      </c>
      <c r="AC4599">
        <v>23.3766</v>
      </c>
      <c r="AD4599">
        <v>-1.122472615628</v>
      </c>
      <c r="AE4599">
        <v>-1.5200399999999901</v>
      </c>
      <c r="AF4599">
        <v>1.72695489602874</v>
      </c>
      <c r="AG4599">
        <v>-1.122472615628</v>
      </c>
      <c r="AH4599">
        <v>23.308417752051099</v>
      </c>
      <c r="AI4599">
        <v>92.749560315882206</v>
      </c>
      <c r="AJ4599">
        <v>85.762614022519003</v>
      </c>
      <c r="AK4599">
        <v>23.399244776058101</v>
      </c>
      <c r="AL4599">
        <v>77.761542882355499</v>
      </c>
      <c r="AM4599">
        <v>87.9150639249102</v>
      </c>
      <c r="AN4599">
        <v>1.0000000301883101</v>
      </c>
    </row>
    <row r="4600" spans="1:40" x14ac:dyDescent="0.25">
      <c r="A4600" t="str">
        <f>"20190303170630874"</f>
        <v>20190303170630874</v>
      </c>
      <c r="B4600" t="str">
        <f>"1551603990859576"</f>
        <v>1551603990859576</v>
      </c>
      <c r="C4600" t="s">
        <v>40</v>
      </c>
      <c r="D4600">
        <v>5.6678220000000001</v>
      </c>
      <c r="E4600">
        <v>0.52048499999999998</v>
      </c>
      <c r="F4600" t="s">
        <v>41</v>
      </c>
      <c r="G4600">
        <v>-334.33479999999997</v>
      </c>
      <c r="H4600" s="1">
        <v>-3.474449E-6</v>
      </c>
      <c r="I4600">
        <v>13.751340000000001</v>
      </c>
      <c r="J4600">
        <v>-357.18520000000001</v>
      </c>
      <c r="K4600">
        <v>1.122463</v>
      </c>
      <c r="L4600">
        <v>15.264530000000001</v>
      </c>
      <c r="M4600">
        <v>0.99986079999999999</v>
      </c>
      <c r="N4600">
        <v>-1.354344E-2</v>
      </c>
      <c r="O4600">
        <v>9.7585229999999999E-3</v>
      </c>
      <c r="P4600">
        <v>0.97980940000000005</v>
      </c>
      <c r="Q4600">
        <v>0.19796169999999999</v>
      </c>
      <c r="R4600">
        <v>-2.801671E-2</v>
      </c>
      <c r="S4600">
        <v>3.087097</v>
      </c>
      <c r="T4600">
        <v>-0.15065220000000001</v>
      </c>
      <c r="U4600">
        <v>-0.20278930000000001</v>
      </c>
      <c r="V4600">
        <v>3.7022859999999998E-2</v>
      </c>
      <c r="W4600">
        <v>0.21130740000000001</v>
      </c>
      <c r="X4600">
        <v>0.97671819999999998</v>
      </c>
      <c r="Y4600">
        <v>7.516341E-2</v>
      </c>
      <c r="Z4600">
        <v>-2.6843879999999998E-3</v>
      </c>
      <c r="AA4600">
        <v>0.99716760000000004</v>
      </c>
      <c r="AB4600">
        <v>29</v>
      </c>
      <c r="AC4600">
        <v>22.8504</v>
      </c>
      <c r="AD4600">
        <v>-1.1224664744490001</v>
      </c>
      <c r="AE4600">
        <v>-1.51318999999999</v>
      </c>
      <c r="AF4600">
        <v>1.7319635141414</v>
      </c>
      <c r="AG4600">
        <v>-1.1224664744490001</v>
      </c>
      <c r="AH4600">
        <v>22.779815987054</v>
      </c>
      <c r="AI4600">
        <v>92.812840187419297</v>
      </c>
      <c r="AJ4600">
        <v>85.652131374981295</v>
      </c>
      <c r="AK4600">
        <v>22.8731205786316</v>
      </c>
      <c r="AL4600">
        <v>77.8010194728637</v>
      </c>
      <c r="AM4600">
        <v>87.829221829217502</v>
      </c>
      <c r="AN4600">
        <v>0.99999997583428901</v>
      </c>
    </row>
    <row r="4601" spans="1:40" x14ac:dyDescent="0.25">
      <c r="A4601" t="str">
        <f>"20190303170630885"</f>
        <v>20190303170630885</v>
      </c>
      <c r="B4601" t="str">
        <f>"1551603990880072"</f>
        <v>1551603990880072</v>
      </c>
      <c r="C4601" t="s">
        <v>40</v>
      </c>
      <c r="D4601">
        <v>5.6577409999999997</v>
      </c>
      <c r="E4601">
        <v>0.52054860000000003</v>
      </c>
      <c r="F4601" t="s">
        <v>41</v>
      </c>
      <c r="G4601">
        <v>-334.48970000000003</v>
      </c>
      <c r="H4601" s="1">
        <v>-3.4219050000000001E-6</v>
      </c>
      <c r="I4601">
        <v>13.75081</v>
      </c>
      <c r="J4601">
        <v>-357.03019999999998</v>
      </c>
      <c r="K4601">
        <v>1.1224620000000001</v>
      </c>
      <c r="L4601">
        <v>15.266780000000001</v>
      </c>
      <c r="M4601">
        <v>0.99985310000000005</v>
      </c>
      <c r="N4601">
        <v>-1.3542490000000001E-2</v>
      </c>
      <c r="O4601">
        <v>1.051445E-2</v>
      </c>
      <c r="P4601">
        <v>0.97995560000000004</v>
      </c>
      <c r="Q4601">
        <v>0.19715440000000001</v>
      </c>
      <c r="R4601">
        <v>-2.8591539999999999E-2</v>
      </c>
      <c r="S4601">
        <v>3.0868530000000001</v>
      </c>
      <c r="T4601">
        <v>-0.1526681</v>
      </c>
      <c r="U4601">
        <v>-0.20587159999999999</v>
      </c>
      <c r="V4601">
        <v>3.8342279999999999E-2</v>
      </c>
      <c r="W4601">
        <v>0.21050379999999999</v>
      </c>
      <c r="X4601">
        <v>0.97684090000000001</v>
      </c>
      <c r="Y4601">
        <v>7.6907530000000002E-2</v>
      </c>
      <c r="Z4601">
        <v>-2.7973239999999999E-3</v>
      </c>
      <c r="AA4601">
        <v>0.99703430000000004</v>
      </c>
      <c r="AB4601">
        <v>29</v>
      </c>
      <c r="AC4601">
        <v>22.540499999999899</v>
      </c>
      <c r="AD4601">
        <v>-1.1224654219050001</v>
      </c>
      <c r="AE4601">
        <v>-1.51596999999999</v>
      </c>
      <c r="AF4601">
        <v>1.74859220434018</v>
      </c>
      <c r="AG4601">
        <v>-1.1224654219050001</v>
      </c>
      <c r="AH4601">
        <v>22.467847553388001</v>
      </c>
      <c r="AI4601">
        <v>92.851439081164202</v>
      </c>
      <c r="AJ4601">
        <v>85.5498447618901</v>
      </c>
      <c r="AK4601">
        <v>22.563724803381501</v>
      </c>
      <c r="AL4601">
        <v>77.848122928764298</v>
      </c>
      <c r="AM4601">
        <v>87.752219773970893</v>
      </c>
      <c r="AN4601">
        <v>1.00000006208142</v>
      </c>
    </row>
    <row r="4602" spans="1:40" x14ac:dyDescent="0.25">
      <c r="A4602" t="str">
        <f>"20190303170630897"</f>
        <v>20190303170630897</v>
      </c>
      <c r="B4602" t="str">
        <f>"1551603990889831"</f>
        <v>1551603990889831</v>
      </c>
      <c r="C4602" t="s">
        <v>40</v>
      </c>
      <c r="D4602">
        <v>5.7035910000000003</v>
      </c>
      <c r="E4602">
        <v>0.52048899999999998</v>
      </c>
      <c r="F4602" t="s">
        <v>41</v>
      </c>
      <c r="G4602">
        <v>-334.73200000000003</v>
      </c>
      <c r="H4602" s="1">
        <v>-3.3359830000000001E-6</v>
      </c>
      <c r="I4602">
        <v>13.76376</v>
      </c>
      <c r="J4602">
        <v>-356.86619999999999</v>
      </c>
      <c r="K4602">
        <v>1.12246</v>
      </c>
      <c r="L4602">
        <v>15.269349999999999</v>
      </c>
      <c r="M4602">
        <v>0.99984439999999997</v>
      </c>
      <c r="N4602">
        <v>-1.3541610000000001E-2</v>
      </c>
      <c r="O4602">
        <v>1.1314299999999999E-2</v>
      </c>
      <c r="P4602">
        <v>0.97998399999999997</v>
      </c>
      <c r="Q4602">
        <v>0.1969949</v>
      </c>
      <c r="R4602">
        <v>-2.8711199999999999E-2</v>
      </c>
      <c r="S4602">
        <v>3.0865480000000001</v>
      </c>
      <c r="T4602">
        <v>-0.15537300000000001</v>
      </c>
      <c r="U4602">
        <v>-0.20803830000000001</v>
      </c>
      <c r="V4602">
        <v>3.9246969999999999E-2</v>
      </c>
      <c r="W4602">
        <v>0.2103458</v>
      </c>
      <c r="X4602">
        <v>0.97683889999999995</v>
      </c>
      <c r="Y4602">
        <v>7.8401280000000004E-2</v>
      </c>
      <c r="Z4602">
        <v>-2.9173469999999998E-3</v>
      </c>
      <c r="AA4602">
        <v>0.99691759999999996</v>
      </c>
      <c r="AB4602">
        <v>29</v>
      </c>
      <c r="AC4602">
        <v>22.1342</v>
      </c>
      <c r="AD4602">
        <v>-1.1224633359829901</v>
      </c>
      <c r="AE4602">
        <v>-1.50558999999999</v>
      </c>
      <c r="AF4602">
        <v>1.7514660653501699</v>
      </c>
      <c r="AG4602">
        <v>-1.1224633359829901</v>
      </c>
      <c r="AH4602">
        <v>22.059278598823401</v>
      </c>
      <c r="AI4602">
        <v>92.903800782008005</v>
      </c>
      <c r="AJ4602">
        <v>85.460344151356395</v>
      </c>
      <c r="AK4602">
        <v>22.157150755889301</v>
      </c>
      <c r="AL4602">
        <v>77.8573817155238</v>
      </c>
      <c r="AM4602">
        <v>87.699234805016403</v>
      </c>
      <c r="AN4602">
        <v>0.99999995839251399</v>
      </c>
    </row>
    <row r="4603" spans="1:40" x14ac:dyDescent="0.25">
      <c r="A4603" t="str">
        <f>"20190303170630910"</f>
        <v>20190303170630910</v>
      </c>
      <c r="B4603" t="str">
        <f>"1551603990899591"</f>
        <v>1551603990899591</v>
      </c>
      <c r="C4603" t="s">
        <v>40</v>
      </c>
      <c r="D4603">
        <v>5.7523530000000003</v>
      </c>
      <c r="E4603">
        <v>0.52048899999999998</v>
      </c>
      <c r="F4603" t="s">
        <v>41</v>
      </c>
      <c r="G4603">
        <v>-334.62650000000002</v>
      </c>
      <c r="H4603" s="1">
        <v>-3.3698310000000001E-6</v>
      </c>
      <c r="I4603">
        <v>13.77155</v>
      </c>
      <c r="J4603">
        <v>-356.71530000000001</v>
      </c>
      <c r="K4603">
        <v>1.122463</v>
      </c>
      <c r="L4603">
        <v>15.27182</v>
      </c>
      <c r="M4603">
        <v>0.99983569999999999</v>
      </c>
      <c r="N4603">
        <v>-1.3540699999999999E-2</v>
      </c>
      <c r="O4603">
        <v>1.2050679999999999E-2</v>
      </c>
      <c r="P4603">
        <v>0.98001559999999999</v>
      </c>
      <c r="Q4603">
        <v>0.19676930000000001</v>
      </c>
      <c r="R4603">
        <v>-2.917819E-2</v>
      </c>
      <c r="S4603">
        <v>3.086487</v>
      </c>
      <c r="T4603">
        <v>-0.15577769999999999</v>
      </c>
      <c r="U4603">
        <v>-0.20785519999999999</v>
      </c>
      <c r="V4603">
        <v>4.0436680000000003E-2</v>
      </c>
      <c r="W4603">
        <v>0.21012249999999999</v>
      </c>
      <c r="X4603">
        <v>0.97683850000000005</v>
      </c>
      <c r="Y4603">
        <v>7.9075699999999999E-2</v>
      </c>
      <c r="Z4603">
        <v>-2.9726969999999998E-3</v>
      </c>
      <c r="AA4603">
        <v>0.99686419999999998</v>
      </c>
      <c r="AB4603">
        <v>29</v>
      </c>
      <c r="AC4603">
        <v>22.0887999999999</v>
      </c>
      <c r="AD4603">
        <v>-1.122466369831</v>
      </c>
      <c r="AE4603">
        <v>-1.50027</v>
      </c>
      <c r="AF4603">
        <v>1.76184184087729</v>
      </c>
      <c r="AG4603">
        <v>-1.122466369831</v>
      </c>
      <c r="AH4603">
        <v>22.012533470482001</v>
      </c>
      <c r="AI4603">
        <v>92.909817204563794</v>
      </c>
      <c r="AJ4603">
        <v>85.423908403424903</v>
      </c>
      <c r="AK4603">
        <v>22.111437022788799</v>
      </c>
      <c r="AL4603">
        <v>77.870469126237793</v>
      </c>
      <c r="AM4603">
        <v>87.629568155487107</v>
      </c>
      <c r="AN4603">
        <v>1.00000002258896</v>
      </c>
    </row>
    <row r="4604" spans="1:40" x14ac:dyDescent="0.25">
      <c r="A4604" t="str">
        <f>"20190303170630923"</f>
        <v>20190303170630923</v>
      </c>
      <c r="B4604" t="str">
        <f>"1551603990909352"</f>
        <v>1551603990909352</v>
      </c>
      <c r="C4604" t="s">
        <v>40</v>
      </c>
      <c r="D4604">
        <v>5.7169189999999999</v>
      </c>
      <c r="E4604">
        <v>0.49824269999999998</v>
      </c>
      <c r="F4604" t="s">
        <v>41</v>
      </c>
      <c r="G4604">
        <v>-334.58319999999998</v>
      </c>
      <c r="H4604" s="1">
        <v>-3.384088E-6</v>
      </c>
      <c r="I4604">
        <v>13.77337</v>
      </c>
      <c r="J4604">
        <v>-356.54640000000001</v>
      </c>
      <c r="K4604">
        <v>1.1224639999999999</v>
      </c>
      <c r="L4604">
        <v>15.27469</v>
      </c>
      <c r="M4604">
        <v>0.99982550000000003</v>
      </c>
      <c r="N4604">
        <v>-1.353962E-2</v>
      </c>
      <c r="O4604">
        <v>1.28749E-2</v>
      </c>
      <c r="P4604">
        <v>0.97998960000000002</v>
      </c>
      <c r="Q4604">
        <v>0.19690579999999999</v>
      </c>
      <c r="R4604">
        <v>-2.9135149999999999E-2</v>
      </c>
      <c r="S4604">
        <v>3.0864259999999999</v>
      </c>
      <c r="T4604">
        <v>-0.15653249999999999</v>
      </c>
      <c r="U4604">
        <v>-0.2089539</v>
      </c>
      <c r="V4604">
        <v>4.1200970000000003E-2</v>
      </c>
      <c r="W4604">
        <v>0.21025859999999999</v>
      </c>
      <c r="X4604">
        <v>0.97677729999999996</v>
      </c>
      <c r="Y4604">
        <v>8.0248280000000005E-2</v>
      </c>
      <c r="Z4604">
        <v>-3.0535079999999999E-3</v>
      </c>
      <c r="AA4604">
        <v>0.99677020000000005</v>
      </c>
      <c r="AB4604">
        <v>29</v>
      </c>
      <c r="AC4604">
        <v>21.963200000000001</v>
      </c>
      <c r="AD4604">
        <v>-1.122467384088</v>
      </c>
      <c r="AE4604">
        <v>-1.50131999999999</v>
      </c>
      <c r="AF4604">
        <v>1.7793695336122</v>
      </c>
      <c r="AG4604">
        <v>-1.122467384088</v>
      </c>
      <c r="AH4604">
        <v>21.885152194393399</v>
      </c>
      <c r="AI4604">
        <v>92.926430289467802</v>
      </c>
      <c r="AJ4604">
        <v>85.351798179721698</v>
      </c>
      <c r="AK4604">
        <v>21.986040469744701</v>
      </c>
      <c r="AL4604">
        <v>77.862493279542704</v>
      </c>
      <c r="AM4604">
        <v>87.584666258289005</v>
      </c>
      <c r="AN4604">
        <v>1.0000000462990899</v>
      </c>
    </row>
    <row r="4605" spans="1:40" x14ac:dyDescent="0.25">
      <c r="A4605" t="str">
        <f>"20190303170630939"</f>
        <v>20190303170630939</v>
      </c>
      <c r="B4605" t="str">
        <f>"1551603990929848"</f>
        <v>1551603990929848</v>
      </c>
      <c r="C4605" t="s">
        <v>40</v>
      </c>
      <c r="D4605">
        <v>5.8054500000000004</v>
      </c>
      <c r="E4605">
        <v>0.49375530000000001</v>
      </c>
      <c r="F4605" t="s">
        <v>41</v>
      </c>
      <c r="G4605">
        <v>-335.44970000000001</v>
      </c>
      <c r="H4605" s="1">
        <v>-2.7445869999999998E-6</v>
      </c>
      <c r="I4605">
        <v>15.068569999999999</v>
      </c>
      <c r="J4605">
        <v>-356.33069999999998</v>
      </c>
      <c r="K4605">
        <v>1.12246</v>
      </c>
      <c r="L4605">
        <v>15.27863</v>
      </c>
      <c r="M4605">
        <v>0.99981149999999996</v>
      </c>
      <c r="N4605">
        <v>-1.3538369999999999E-2</v>
      </c>
      <c r="O4605">
        <v>1.3925069999999999E-2</v>
      </c>
      <c r="P4605">
        <v>0.97987650000000004</v>
      </c>
      <c r="Q4605">
        <v>0.19723250000000001</v>
      </c>
      <c r="R4605">
        <v>-3.06816E-2</v>
      </c>
      <c r="S4605">
        <v>3.0934750000000002</v>
      </c>
      <c r="T4605">
        <v>-0.1645904</v>
      </c>
      <c r="U4605">
        <v>-3.02124E-2</v>
      </c>
      <c r="V4605">
        <v>4.3774929999999997E-2</v>
      </c>
      <c r="W4605">
        <v>0.2105882</v>
      </c>
      <c r="X4605">
        <v>0.97659430000000003</v>
      </c>
      <c r="Y4605">
        <v>2.363786E-2</v>
      </c>
      <c r="Z4605">
        <v>-1.3404529999999999E-3</v>
      </c>
      <c r="AA4605">
        <v>0.99971969999999999</v>
      </c>
      <c r="AB4605">
        <v>29</v>
      </c>
      <c r="AC4605">
        <v>20.880999999999901</v>
      </c>
      <c r="AD4605">
        <v>-1.1224627445869999</v>
      </c>
      <c r="AE4605">
        <v>-0.210059999999998</v>
      </c>
      <c r="AF4605">
        <v>0.49939272216605002</v>
      </c>
      <c r="AG4605">
        <v>-1.1224627445869999</v>
      </c>
      <c r="AH4605">
        <v>20.815905624471998</v>
      </c>
      <c r="AI4605">
        <v>93.085703165613296</v>
      </c>
      <c r="AJ4605">
        <v>88.625685177831897</v>
      </c>
      <c r="AK4605">
        <v>20.8521280130077</v>
      </c>
      <c r="AL4605">
        <v>77.8431758928471</v>
      </c>
      <c r="AM4605">
        <v>87.433487998810705</v>
      </c>
      <c r="AN4605">
        <v>1.0000000306341099</v>
      </c>
    </row>
    <row r="4606" spans="1:40" x14ac:dyDescent="0.25">
      <c r="A4606" t="str">
        <f>"20190303170630952"</f>
        <v>20190303170630952</v>
      </c>
      <c r="B4606" t="str">
        <f>"1551603990939608"</f>
        <v>1551603990939608</v>
      </c>
      <c r="C4606" t="s">
        <v>40</v>
      </c>
      <c r="D4606">
        <v>5.6821039999999998</v>
      </c>
      <c r="E4606">
        <v>0.49241230000000002</v>
      </c>
      <c r="F4606" t="s">
        <v>41</v>
      </c>
      <c r="G4606">
        <v>-337.54849999999999</v>
      </c>
      <c r="H4606" s="1">
        <v>-1.9683709999999999E-6</v>
      </c>
      <c r="I4606">
        <v>15.3014799999999</v>
      </c>
      <c r="J4606">
        <v>-356.17669999999998</v>
      </c>
      <c r="K4606">
        <v>1.1224590000000001</v>
      </c>
      <c r="L4606">
        <v>15.281560000000001</v>
      </c>
      <c r="M4606">
        <v>0.99980069999999999</v>
      </c>
      <c r="N4606">
        <v>-1.3537479999999999E-2</v>
      </c>
      <c r="O4606">
        <v>1.467418E-2</v>
      </c>
      <c r="P4606">
        <v>0.97985390000000006</v>
      </c>
      <c r="Q4606">
        <v>0.19724710000000001</v>
      </c>
      <c r="R4606">
        <v>-3.1304749999999999E-2</v>
      </c>
      <c r="S4606">
        <v>3.09903</v>
      </c>
      <c r="T4606">
        <v>-0.1852038</v>
      </c>
      <c r="U4606">
        <v>3.7841799999999998E-3</v>
      </c>
      <c r="V4606">
        <v>4.5132449999999998E-2</v>
      </c>
      <c r="W4606">
        <v>0.2106045</v>
      </c>
      <c r="X4606">
        <v>0.97652890000000003</v>
      </c>
      <c r="Y4606">
        <v>1.3409549999999999E-2</v>
      </c>
      <c r="Z4606">
        <v>-1.1688219999999999E-3</v>
      </c>
      <c r="AA4606">
        <v>0.99990939999999995</v>
      </c>
      <c r="AB4606">
        <v>29</v>
      </c>
      <c r="AC4606">
        <v>18.6282</v>
      </c>
      <c r="AD4606">
        <v>-1.1224609683710001</v>
      </c>
      <c r="AE4606">
        <v>1.99199999999972E-2</v>
      </c>
      <c r="AF4606">
        <v>0.25254381999637499</v>
      </c>
      <c r="AG4606">
        <v>-1.1224609683710001</v>
      </c>
      <c r="AH4606">
        <v>18.559102180589498</v>
      </c>
      <c r="AI4606">
        <v>93.460733182786498</v>
      </c>
      <c r="AJ4606">
        <v>89.220393212383698</v>
      </c>
      <c r="AK4606">
        <v>18.5947296499868</v>
      </c>
      <c r="AL4606">
        <v>77.842219464483193</v>
      </c>
      <c r="AM4606">
        <v>87.353831439943605</v>
      </c>
      <c r="AN4606">
        <v>0.99999994299922901</v>
      </c>
    </row>
    <row r="4607" spans="1:40" x14ac:dyDescent="0.25">
      <c r="A4607" t="str">
        <f>"20190303170630966"</f>
        <v>20190303170630966</v>
      </c>
      <c r="B4607" t="str">
        <f>"1551603990959128"</f>
        <v>1551603990959128</v>
      </c>
      <c r="C4607" t="s">
        <v>40</v>
      </c>
      <c r="D4607">
        <v>5.6827709999999998</v>
      </c>
      <c r="E4607">
        <v>0.49137439999999999</v>
      </c>
      <c r="F4607" t="s">
        <v>41</v>
      </c>
      <c r="G4607">
        <v>-337.6662</v>
      </c>
      <c r="H4607" s="1">
        <v>-1.912764E-6</v>
      </c>
      <c r="I4607">
        <v>15.360010000000001</v>
      </c>
      <c r="J4607">
        <v>-355.99329999999998</v>
      </c>
      <c r="K4607">
        <v>1.1224559999999999</v>
      </c>
      <c r="L4607">
        <v>15.285159999999999</v>
      </c>
      <c r="M4607">
        <v>0.99978719999999999</v>
      </c>
      <c r="N4607">
        <v>-1.353644E-2</v>
      </c>
      <c r="O4607">
        <v>1.5564359999999999E-2</v>
      </c>
      <c r="P4607">
        <v>0.9798502</v>
      </c>
      <c r="Q4607">
        <v>0.19719719999999999</v>
      </c>
      <c r="R4607">
        <v>-3.1722559999999997E-2</v>
      </c>
      <c r="S4607">
        <v>3.0999150000000002</v>
      </c>
      <c r="T4607">
        <v>-0.18797520000000001</v>
      </c>
      <c r="U4607">
        <v>1.3153079999999999E-2</v>
      </c>
      <c r="V4607">
        <v>4.6423840000000001E-2</v>
      </c>
      <c r="W4607">
        <v>0.21055599999999999</v>
      </c>
      <c r="X4607">
        <v>0.97647890000000004</v>
      </c>
      <c r="Y4607">
        <v>1.128056E-2</v>
      </c>
      <c r="Z4607">
        <v>-1.150489E-3</v>
      </c>
      <c r="AA4607">
        <v>0.99993569999999998</v>
      </c>
      <c r="AB4607">
        <v>29</v>
      </c>
      <c r="AC4607">
        <v>18.327099999999898</v>
      </c>
      <c r="AD4607">
        <v>-1.122457912764</v>
      </c>
      <c r="AE4607">
        <v>7.4849999999999597E-2</v>
      </c>
      <c r="AF4607">
        <v>0.20964840988722699</v>
      </c>
      <c r="AG4607">
        <v>-1.122457912764</v>
      </c>
      <c r="AH4607">
        <v>18.257560847521901</v>
      </c>
      <c r="AI4607">
        <v>93.517832146464798</v>
      </c>
      <c r="AJ4607">
        <v>89.342111399056293</v>
      </c>
      <c r="AK4607">
        <v>18.293233511947999</v>
      </c>
      <c r="AL4607">
        <v>77.845063026634406</v>
      </c>
      <c r="AM4607">
        <v>87.278088846577205</v>
      </c>
      <c r="AN4607">
        <v>1.0000000221007701</v>
      </c>
    </row>
    <row r="4608" spans="1:40" x14ac:dyDescent="0.25">
      <c r="A4608" t="str">
        <f>"20190303170630980"</f>
        <v>20190303170630980</v>
      </c>
      <c r="B4608" t="str">
        <f>"1551603990969865"</f>
        <v>1551603990969865</v>
      </c>
      <c r="C4608" t="s">
        <v>40</v>
      </c>
      <c r="D4608">
        <v>5.747357</v>
      </c>
      <c r="E4608">
        <v>0.49077179999999998</v>
      </c>
      <c r="F4608" t="s">
        <v>41</v>
      </c>
      <c r="G4608">
        <v>-337.58699999999999</v>
      </c>
      <c r="H4608" s="1">
        <v>-1.9275179999999998E-6</v>
      </c>
      <c r="I4608">
        <v>15.40574</v>
      </c>
      <c r="J4608">
        <v>-355.80930000000001</v>
      </c>
      <c r="K4608">
        <v>1.122444</v>
      </c>
      <c r="L4608">
        <v>15.288970000000001</v>
      </c>
      <c r="M4608">
        <v>0.99977309999999997</v>
      </c>
      <c r="N4608">
        <v>-1.3535449999999999E-2</v>
      </c>
      <c r="O4608">
        <v>1.6452430000000001E-2</v>
      </c>
      <c r="P4608">
        <v>0.97986410000000002</v>
      </c>
      <c r="Q4608">
        <v>0.19685820000000001</v>
      </c>
      <c r="R4608">
        <v>-3.3369540000000003E-2</v>
      </c>
      <c r="S4608">
        <v>3.1004330000000002</v>
      </c>
      <c r="T4608">
        <v>-0.18907189999999999</v>
      </c>
      <c r="U4608">
        <v>2.0324709999999999E-2</v>
      </c>
      <c r="V4608">
        <v>4.8943800000000003E-2</v>
      </c>
      <c r="W4608">
        <v>0.2102214</v>
      </c>
      <c r="X4608">
        <v>0.97642790000000002</v>
      </c>
      <c r="Y4608">
        <v>9.8582930000000006E-3</v>
      </c>
      <c r="Z4608">
        <v>-1.146878E-3</v>
      </c>
      <c r="AA4608">
        <v>0.99995080000000003</v>
      </c>
      <c r="AB4608">
        <v>29</v>
      </c>
      <c r="AC4608">
        <v>18.222300000000001</v>
      </c>
      <c r="AD4608">
        <v>-1.1224459275180001</v>
      </c>
      <c r="AE4608">
        <v>0.116769999999998</v>
      </c>
      <c r="AF4608">
        <v>0.18238239477718701</v>
      </c>
      <c r="AG4608">
        <v>-1.1224459275180001</v>
      </c>
      <c r="AH4608">
        <v>18.1528809718898</v>
      </c>
      <c r="AI4608">
        <v>93.538083450267393</v>
      </c>
      <c r="AJ4608">
        <v>89.424367409917295</v>
      </c>
      <c r="AK4608">
        <v>18.188464360075201</v>
      </c>
      <c r="AL4608">
        <v>77.864672693422904</v>
      </c>
      <c r="AM4608">
        <v>87.130430131610197</v>
      </c>
      <c r="AN4608">
        <v>0.99999998823740499</v>
      </c>
    </row>
    <row r="4609" spans="1:40" x14ac:dyDescent="0.25">
      <c r="A4609" t="str">
        <f>"20190303170630998"</f>
        <v>20190303170630998</v>
      </c>
      <c r="B4609" t="str">
        <f>"1551603990989383"</f>
        <v>1551603990989383</v>
      </c>
      <c r="C4609" t="s">
        <v>40</v>
      </c>
      <c r="D4609">
        <v>5.7803319999999996</v>
      </c>
      <c r="E4609">
        <v>0.4907166</v>
      </c>
      <c r="F4609" t="s">
        <v>41</v>
      </c>
      <c r="G4609">
        <v>-337.55160000000001</v>
      </c>
      <c r="H4609" s="1">
        <v>-1.9387679999999999E-6</v>
      </c>
      <c r="I4609">
        <v>15.40875</v>
      </c>
      <c r="J4609">
        <v>-355.58980000000003</v>
      </c>
      <c r="K4609">
        <v>1.1224320000000001</v>
      </c>
      <c r="L4609">
        <v>15.293699999999999</v>
      </c>
      <c r="M4609">
        <v>0.99975519999999996</v>
      </c>
      <c r="N4609">
        <v>-1.3533989999999999E-2</v>
      </c>
      <c r="O4609">
        <v>1.7502630000000002E-2</v>
      </c>
      <c r="P4609">
        <v>0.98019310000000004</v>
      </c>
      <c r="Q4609">
        <v>0.1950086</v>
      </c>
      <c r="R4609">
        <v>-3.4545319999999997E-2</v>
      </c>
      <c r="S4609">
        <v>3.1006469999999999</v>
      </c>
      <c r="T4609">
        <v>-0.19062170000000001</v>
      </c>
      <c r="U4609">
        <v>2.035522E-2</v>
      </c>
      <c r="V4609">
        <v>5.1162859999999998E-2</v>
      </c>
      <c r="W4609">
        <v>0.2083786</v>
      </c>
      <c r="X4609">
        <v>0.9767091</v>
      </c>
      <c r="Y4609">
        <v>1.089497E-2</v>
      </c>
      <c r="Z4609">
        <v>-1.2466139999999901E-3</v>
      </c>
      <c r="AA4609">
        <v>0.99993989999999999</v>
      </c>
      <c r="AB4609">
        <v>29</v>
      </c>
      <c r="AC4609">
        <v>18.0382</v>
      </c>
      <c r="AD4609">
        <v>-1.12243393876799</v>
      </c>
      <c r="AE4609">
        <v>0.11505</v>
      </c>
      <c r="AF4609">
        <v>0.19993836106464299</v>
      </c>
      <c r="AG4609">
        <v>-1.12243393876799</v>
      </c>
      <c r="AH4609">
        <v>17.967881434008099</v>
      </c>
      <c r="AI4609">
        <v>93.574339172859595</v>
      </c>
      <c r="AJ4609">
        <v>89.362465101477198</v>
      </c>
      <c r="AK4609">
        <v>18.0040161220128</v>
      </c>
      <c r="AL4609">
        <v>77.972648697411003</v>
      </c>
      <c r="AM4609">
        <v>87.0014212894894</v>
      </c>
      <c r="AN4609">
        <v>0.99999997260207396</v>
      </c>
    </row>
    <row r="4610" spans="1:40" x14ac:dyDescent="0.25">
      <c r="A4610" t="str">
        <f>"20190303170631019"</f>
        <v>20190303170631019</v>
      </c>
      <c r="B4610" t="str">
        <f>"1551603991009879"</f>
        <v>1551603991009879</v>
      </c>
      <c r="C4610" t="s">
        <v>40</v>
      </c>
      <c r="D4610">
        <v>5.7461679999999999</v>
      </c>
      <c r="E4610">
        <v>0.49058619999999997</v>
      </c>
      <c r="F4610" t="s">
        <v>41</v>
      </c>
      <c r="G4610">
        <v>-337.5446</v>
      </c>
      <c r="H4610" s="1">
        <v>-1.9449830000000002E-6</v>
      </c>
      <c r="I4610">
        <v>15.394360000000001</v>
      </c>
      <c r="J4610">
        <v>-355.31169999999997</v>
      </c>
      <c r="K4610">
        <v>1.122409</v>
      </c>
      <c r="L4610">
        <v>15.30002</v>
      </c>
      <c r="M4610">
        <v>0.9997317</v>
      </c>
      <c r="N4610">
        <v>-1.3532000000000001E-2</v>
      </c>
      <c r="O4610">
        <v>1.8810839999999999E-2</v>
      </c>
      <c r="P4610">
        <v>0.98044779999999998</v>
      </c>
      <c r="Q4610">
        <v>0.19358729999999999</v>
      </c>
      <c r="R4610">
        <v>-3.5305209999999997E-2</v>
      </c>
      <c r="S4610">
        <v>3.0996090000000001</v>
      </c>
      <c r="T4610">
        <v>-0.19279940000000001</v>
      </c>
      <c r="U4610">
        <v>1.7303470000000001E-2</v>
      </c>
      <c r="V4610">
        <v>5.3221699999999997E-2</v>
      </c>
      <c r="W4610">
        <v>0.20696020000000001</v>
      </c>
      <c r="X4610">
        <v>0.97690069999999996</v>
      </c>
      <c r="Y4610">
        <v>1.3177609999999999E-2</v>
      </c>
      <c r="Z4610">
        <v>-1.413173E-3</v>
      </c>
      <c r="AA4610">
        <v>0.99991220000000003</v>
      </c>
      <c r="AB4610">
        <v>29</v>
      </c>
      <c r="AC4610">
        <v>17.7670999999999</v>
      </c>
      <c r="AD4610">
        <v>-1.122410944983</v>
      </c>
      <c r="AE4610">
        <v>9.4339999999998897E-2</v>
      </c>
      <c r="AF4610">
        <v>0.23896763353209799</v>
      </c>
      <c r="AG4610">
        <v>-1.122410944983</v>
      </c>
      <c r="AH4610">
        <v>17.695113089534601</v>
      </c>
      <c r="AI4610">
        <v>93.629110989414102</v>
      </c>
      <c r="AJ4610">
        <v>89.226283296297794</v>
      </c>
      <c r="AK4610">
        <v>17.732285219641401</v>
      </c>
      <c r="AL4610">
        <v>78.055728896607505</v>
      </c>
      <c r="AM4610">
        <v>86.881599932068696</v>
      </c>
      <c r="AN4610">
        <v>1.0000000256977</v>
      </c>
    </row>
    <row r="4611" spans="1:40" x14ac:dyDescent="0.25">
      <c r="A4611" t="str">
        <f>"20190303170631034"</f>
        <v>20190303170631034</v>
      </c>
      <c r="B4611" t="str">
        <f>"1551603991029400"</f>
        <v>1551603991029400</v>
      </c>
      <c r="C4611" t="s">
        <v>40</v>
      </c>
      <c r="D4611">
        <v>5.7214340000000004</v>
      </c>
      <c r="E4611">
        <v>0.49031819999999998</v>
      </c>
      <c r="F4611" t="s">
        <v>41</v>
      </c>
      <c r="G4611">
        <v>-337.31779999999998</v>
      </c>
      <c r="H4611" s="1">
        <v>-2.0225800000000002E-6</v>
      </c>
      <c r="I4611">
        <v>15.392799999999999</v>
      </c>
      <c r="J4611">
        <v>-355.13639999999998</v>
      </c>
      <c r="K4611">
        <v>1.1223860000000001</v>
      </c>
      <c r="L4611">
        <v>15.3042</v>
      </c>
      <c r="M4611">
        <v>0.99971620000000005</v>
      </c>
      <c r="N4611">
        <v>-1.3530800000000001E-2</v>
      </c>
      <c r="O4611">
        <v>1.961363E-2</v>
      </c>
      <c r="P4611">
        <v>0.98049189999999997</v>
      </c>
      <c r="Q4611">
        <v>0.19335350000000001</v>
      </c>
      <c r="R4611">
        <v>-3.5357239999999998E-2</v>
      </c>
      <c r="S4611">
        <v>3.0985719999999999</v>
      </c>
      <c r="T4611">
        <v>-0.19328010000000001</v>
      </c>
      <c r="U4611">
        <v>1.5991209999999999E-2</v>
      </c>
      <c r="V4611">
        <v>5.4070590000000002E-2</v>
      </c>
      <c r="W4611">
        <v>0.20672550000000001</v>
      </c>
      <c r="X4611">
        <v>0.97690370000000004</v>
      </c>
      <c r="Y4611">
        <v>1.439796E-2</v>
      </c>
      <c r="Z4611">
        <v>-1.503101E-3</v>
      </c>
      <c r="AA4611">
        <v>0.99989519999999998</v>
      </c>
      <c r="AB4611">
        <v>29</v>
      </c>
      <c r="AC4611">
        <v>17.8186</v>
      </c>
      <c r="AD4611">
        <v>-1.12238802257999</v>
      </c>
      <c r="AE4611">
        <v>8.8599999999999499E-2</v>
      </c>
      <c r="AF4611">
        <v>0.25990522552079498</v>
      </c>
      <c r="AG4611">
        <v>-1.12238802257999</v>
      </c>
      <c r="AH4611">
        <v>17.746498559853698</v>
      </c>
      <c r="AI4611">
        <v>93.618499124293606</v>
      </c>
      <c r="AJ4611">
        <v>89.160938260710395</v>
      </c>
      <c r="AK4611">
        <v>17.783855508139201</v>
      </c>
      <c r="AL4611">
        <v>78.069472537414498</v>
      </c>
      <c r="AM4611">
        <v>86.831971454481803</v>
      </c>
      <c r="AN4611">
        <v>0.999999950063442</v>
      </c>
    </row>
    <row r="4612" spans="1:40" x14ac:dyDescent="0.25">
      <c r="A4612" t="str">
        <f>"20190303170631046"</f>
        <v>20190303170631046</v>
      </c>
      <c r="B4612" t="str">
        <f>"1551603991039160"</f>
        <v>1551603991039160</v>
      </c>
      <c r="C4612" t="s">
        <v>40</v>
      </c>
      <c r="D4612">
        <v>6.4260260000000002</v>
      </c>
      <c r="E4612">
        <v>0.48988910000000002</v>
      </c>
      <c r="F4612" t="s">
        <v>41</v>
      </c>
      <c r="G4612">
        <v>-336.99149999999997</v>
      </c>
      <c r="H4612" s="1">
        <v>-2.1287E-6</v>
      </c>
      <c r="I4612">
        <v>15.41136</v>
      </c>
      <c r="J4612">
        <v>-354.9599</v>
      </c>
      <c r="K4612">
        <v>1.122358</v>
      </c>
      <c r="L4612">
        <v>15.3085</v>
      </c>
      <c r="M4612">
        <v>0.99970020000000004</v>
      </c>
      <c r="N4612">
        <v>-1.3529579999999999E-2</v>
      </c>
      <c r="O4612">
        <v>2.0405039999999999E-2</v>
      </c>
      <c r="P4612">
        <v>0.9805779</v>
      </c>
      <c r="Q4612">
        <v>0.19296920000000001</v>
      </c>
      <c r="R4612">
        <v>-3.5070070000000002E-2</v>
      </c>
      <c r="S4612">
        <v>3.0981450000000001</v>
      </c>
      <c r="T4612">
        <v>-0.19164110000000001</v>
      </c>
      <c r="U4612">
        <v>1.8310549999999998E-2</v>
      </c>
      <c r="V4612">
        <v>5.4572429999999998E-2</v>
      </c>
      <c r="W4612">
        <v>0.2063392</v>
      </c>
      <c r="X4612">
        <v>0.97695750000000003</v>
      </c>
      <c r="Y4612">
        <v>1.444028E-2</v>
      </c>
      <c r="Z4612">
        <v>-1.5289819999999999E-3</v>
      </c>
      <c r="AA4612">
        <v>0.99989459999999997</v>
      </c>
      <c r="AB4612">
        <v>29</v>
      </c>
      <c r="AC4612">
        <v>17.968399999999999</v>
      </c>
      <c r="AD4612">
        <v>-1.1223601287</v>
      </c>
      <c r="AE4612">
        <v>0.10285999999999899</v>
      </c>
      <c r="AF4612">
        <v>0.26281554538533503</v>
      </c>
      <c r="AG4612">
        <v>-1.1223601287</v>
      </c>
      <c r="AH4612">
        <v>17.896932417227799</v>
      </c>
      <c r="AI4612">
        <v>93.588072372610895</v>
      </c>
      <c r="AJ4612">
        <v>89.158674855208702</v>
      </c>
      <c r="AK4612">
        <v>17.9340166782629</v>
      </c>
      <c r="AL4612">
        <v>78.092094050401997</v>
      </c>
      <c r="AM4612">
        <v>86.802804782466694</v>
      </c>
      <c r="AN4612">
        <v>0.99999998618949704</v>
      </c>
    </row>
    <row r="4613" spans="1:40" x14ac:dyDescent="0.25">
      <c r="A4613" t="str">
        <f>"20190303170631062"</f>
        <v>20190303170631062</v>
      </c>
      <c r="B4613" t="str">
        <f>"1551603991049896"</f>
        <v>1551603991049896</v>
      </c>
      <c r="C4613" t="s">
        <v>40</v>
      </c>
      <c r="D4613">
        <v>5.7737470000000002</v>
      </c>
      <c r="E4613">
        <v>0.48979289999999998</v>
      </c>
      <c r="F4613" t="s">
        <v>41</v>
      </c>
      <c r="G4613">
        <v>-337.03969999999998</v>
      </c>
      <c r="H4613" s="1">
        <v>-2.104219E-6</v>
      </c>
      <c r="I4613">
        <v>15.4416799999999</v>
      </c>
      <c r="J4613">
        <v>-354.76150000000001</v>
      </c>
      <c r="K4613">
        <v>1.1223240000000001</v>
      </c>
      <c r="L4613">
        <v>15.313479999999901</v>
      </c>
      <c r="M4613">
        <v>0.99968219999999997</v>
      </c>
      <c r="N4613">
        <v>-1.352805E-2</v>
      </c>
      <c r="O4613">
        <v>2.1268220000000001E-2</v>
      </c>
      <c r="P4613">
        <v>0.98070840000000004</v>
      </c>
      <c r="Q4613">
        <v>0.19228770000000001</v>
      </c>
      <c r="R4613">
        <v>-3.5164800000000003E-2</v>
      </c>
      <c r="S4613">
        <v>3.0983890000000001</v>
      </c>
      <c r="T4613">
        <v>-0.19405439999999999</v>
      </c>
      <c r="U4613">
        <v>2.3040769999999999E-2</v>
      </c>
      <c r="V4613">
        <v>5.5532339999999999E-2</v>
      </c>
      <c r="W4613">
        <v>0.20565520000000001</v>
      </c>
      <c r="X4613">
        <v>0.97704760000000002</v>
      </c>
      <c r="Y4613">
        <v>1.377665E-2</v>
      </c>
      <c r="Z4613">
        <v>-1.5673869999999999E-3</v>
      </c>
      <c r="AA4613">
        <v>0.99990389999999996</v>
      </c>
      <c r="AB4613">
        <v>29</v>
      </c>
      <c r="AC4613">
        <v>17.721800000000002</v>
      </c>
      <c r="AD4613">
        <v>-1.12232610421899</v>
      </c>
      <c r="AE4613">
        <v>0.12819999999999901</v>
      </c>
      <c r="AF4613">
        <v>0.24778093896405301</v>
      </c>
      <c r="AG4613">
        <v>-1.12232610421899</v>
      </c>
      <c r="AH4613">
        <v>17.649733079952899</v>
      </c>
      <c r="AI4613">
        <v>93.638115960845198</v>
      </c>
      <c r="AJ4613">
        <v>89.195689282056193</v>
      </c>
      <c r="AK4613">
        <v>17.687116471361598</v>
      </c>
      <c r="AL4613">
        <v>78.132142971484896</v>
      </c>
      <c r="AM4613">
        <v>86.7469863573738</v>
      </c>
      <c r="AN4613">
        <v>0.999999957369337</v>
      </c>
    </row>
    <row r="4614" spans="1:40" x14ac:dyDescent="0.25">
      <c r="A4614" t="str">
        <f>"20190303170631075"</f>
        <v>20190303170631075</v>
      </c>
      <c r="B4614" t="str">
        <f>"1551603991069416"</f>
        <v>1551603991069416</v>
      </c>
      <c r="C4614" t="s">
        <v>40</v>
      </c>
      <c r="D4614">
        <v>5.7716029999999998</v>
      </c>
      <c r="E4614">
        <v>0.48943520000000001</v>
      </c>
      <c r="F4614" t="s">
        <v>41</v>
      </c>
      <c r="G4614">
        <v>-336.88929999999999</v>
      </c>
      <c r="H4614" s="1">
        <v>-2.1532750000000001E-6</v>
      </c>
      <c r="I4614">
        <v>15.44966</v>
      </c>
      <c r="J4614">
        <v>-354.60449999999997</v>
      </c>
      <c r="K4614">
        <v>1.122298</v>
      </c>
      <c r="L4614">
        <v>15.317539999999999</v>
      </c>
      <c r="M4614">
        <v>0.99966840000000001</v>
      </c>
      <c r="N4614">
        <v>-1.3526730000000001E-2</v>
      </c>
      <c r="O4614">
        <v>2.1914969999999999E-2</v>
      </c>
      <c r="P4614">
        <v>0.98078109999999996</v>
      </c>
      <c r="Q4614">
        <v>0.1919322</v>
      </c>
      <c r="R4614">
        <v>-3.5082219999999997E-2</v>
      </c>
      <c r="S4614">
        <v>3.0979610000000002</v>
      </c>
      <c r="T4614">
        <v>-0.19454350000000001</v>
      </c>
      <c r="U4614">
        <v>2.362061E-2</v>
      </c>
      <c r="V4614">
        <v>5.610101E-2</v>
      </c>
      <c r="W4614">
        <v>0.2052968</v>
      </c>
      <c r="X4614">
        <v>0.97709049999999997</v>
      </c>
      <c r="Y4614">
        <v>1.423318E-2</v>
      </c>
      <c r="Z4614">
        <v>-1.6213130000000001E-3</v>
      </c>
      <c r="AA4614">
        <v>0.99989740000000005</v>
      </c>
      <c r="AB4614">
        <v>29</v>
      </c>
      <c r="AC4614">
        <v>17.7151999999999</v>
      </c>
      <c r="AD4614">
        <v>-1.1223001532750001</v>
      </c>
      <c r="AE4614">
        <v>0.13211999999999999</v>
      </c>
      <c r="AF4614">
        <v>0.25515130703962502</v>
      </c>
      <c r="AG4614">
        <v>-1.1223001532750001</v>
      </c>
      <c r="AH4614">
        <v>17.643033568132999</v>
      </c>
      <c r="AI4614">
        <v>93.639387927707403</v>
      </c>
      <c r="AJ4614">
        <v>89.171453484558398</v>
      </c>
      <c r="AK4614">
        <v>17.6805343049861</v>
      </c>
      <c r="AL4614">
        <v>78.153125681357395</v>
      </c>
      <c r="AM4614">
        <v>86.713891004548501</v>
      </c>
      <c r="AN4614">
        <v>0.99999997230175397</v>
      </c>
    </row>
    <row r="4615" spans="1:40" x14ac:dyDescent="0.25">
      <c r="A4615" t="str">
        <f>"20190303170631087"</f>
        <v>20190303170631087</v>
      </c>
      <c r="B4615" t="str">
        <f>"1551603991079176"</f>
        <v>1551603991079176</v>
      </c>
      <c r="C4615" t="s">
        <v>40</v>
      </c>
      <c r="D4615">
        <v>5.7799589999999998</v>
      </c>
      <c r="E4615">
        <v>0.48930449999999998</v>
      </c>
      <c r="F4615" t="s">
        <v>41</v>
      </c>
      <c r="G4615">
        <v>-336.74209999999999</v>
      </c>
      <c r="H4615" s="1">
        <v>-2.1981939999999998E-6</v>
      </c>
      <c r="I4615">
        <v>15.4691299999999</v>
      </c>
      <c r="J4615">
        <v>-354.44510000000002</v>
      </c>
      <c r="K4615">
        <v>1.1222669999999999</v>
      </c>
      <c r="L4615">
        <v>15.32175</v>
      </c>
      <c r="M4615">
        <v>0.99965440000000005</v>
      </c>
      <c r="N4615">
        <v>-1.352537E-2</v>
      </c>
      <c r="O4615">
        <v>2.2551060000000001E-2</v>
      </c>
      <c r="P4615">
        <v>0.98096689999999998</v>
      </c>
      <c r="Q4615">
        <v>0.19099369999999999</v>
      </c>
      <c r="R4615">
        <v>-3.5011250000000001E-2</v>
      </c>
      <c r="S4615">
        <v>3.0978699999999999</v>
      </c>
      <c r="T4615">
        <v>-0.19463920000000001</v>
      </c>
      <c r="U4615">
        <v>2.630615E-2</v>
      </c>
      <c r="V4615">
        <v>5.667701E-2</v>
      </c>
      <c r="W4615">
        <v>0.20435490000000001</v>
      </c>
      <c r="X4615">
        <v>0.97725470000000003</v>
      </c>
      <c r="Y4615">
        <v>1.400214E-2</v>
      </c>
      <c r="Z4615">
        <v>-1.644775E-3</v>
      </c>
      <c r="AA4615">
        <v>0.99990060000000003</v>
      </c>
      <c r="AB4615">
        <v>29</v>
      </c>
      <c r="AC4615">
        <v>17.702999999999999</v>
      </c>
      <c r="AD4615">
        <v>-1.1222691981939901</v>
      </c>
      <c r="AE4615">
        <v>0.14737999999999801</v>
      </c>
      <c r="AF4615">
        <v>0.25090705726156498</v>
      </c>
      <c r="AG4615">
        <v>-1.1222691981939901</v>
      </c>
      <c r="AH4615">
        <v>17.630969974315999</v>
      </c>
      <c r="AI4615">
        <v>93.641783243491801</v>
      </c>
      <c r="AJ4615">
        <v>89.184676447879198</v>
      </c>
      <c r="AK4615">
        <v>17.668433567801902</v>
      </c>
      <c r="AL4615">
        <v>78.208261622641501</v>
      </c>
      <c r="AM4615">
        <v>86.6807835088091</v>
      </c>
      <c r="AN4615">
        <v>0.999999978644319</v>
      </c>
    </row>
    <row r="4616" spans="1:40" x14ac:dyDescent="0.25">
      <c r="A4616" t="str">
        <f>"20190303170631108"</f>
        <v>20190303170631108</v>
      </c>
      <c r="B4616" t="str">
        <f>"1551603991099671"</f>
        <v>1551603991099671</v>
      </c>
      <c r="C4616" t="s">
        <v>40</v>
      </c>
      <c r="D4616">
        <v>5.8044349999999998</v>
      </c>
      <c r="E4616">
        <v>0.48909249999999999</v>
      </c>
      <c r="F4616" t="s">
        <v>41</v>
      </c>
      <c r="G4616">
        <v>-336.67509999999999</v>
      </c>
      <c r="H4616" s="1">
        <v>-2.218682E-6</v>
      </c>
      <c r="I4616">
        <v>15.47784</v>
      </c>
      <c r="J4616">
        <v>-354.17930000000001</v>
      </c>
      <c r="K4616">
        <v>1.1221840000000001</v>
      </c>
      <c r="L4616">
        <v>15.328860000000001</v>
      </c>
      <c r="M4616">
        <v>0.99963179999999996</v>
      </c>
      <c r="N4616">
        <v>-1.3522920000000001E-2</v>
      </c>
      <c r="O4616">
        <v>2.3526350000000001E-2</v>
      </c>
      <c r="P4616">
        <v>0.98122189999999998</v>
      </c>
      <c r="Q4616">
        <v>0.18958510000000001</v>
      </c>
      <c r="R4616">
        <v>-3.551203E-2</v>
      </c>
      <c r="S4616">
        <v>3.0972900000000001</v>
      </c>
      <c r="T4616">
        <v>-0.19560930000000001</v>
      </c>
      <c r="U4616">
        <v>2.7221680000000002E-2</v>
      </c>
      <c r="V4616">
        <v>5.8178309999999997E-2</v>
      </c>
      <c r="W4616">
        <v>0.20293990000000001</v>
      </c>
      <c r="X4616">
        <v>0.97746129999999998</v>
      </c>
      <c r="Y4616">
        <v>1.4677050000000001E-2</v>
      </c>
      <c r="Z4616">
        <v>-1.728582E-3</v>
      </c>
      <c r="AA4616">
        <v>0.99989079999999997</v>
      </c>
      <c r="AB4616">
        <v>29</v>
      </c>
      <c r="AC4616">
        <v>17.504200000000001</v>
      </c>
      <c r="AD4616">
        <v>-1.122186218682</v>
      </c>
      <c r="AE4616">
        <v>0.148979999999998</v>
      </c>
      <c r="AF4616">
        <v>0.26183275446072002</v>
      </c>
      <c r="AG4616">
        <v>-1.122186218682</v>
      </c>
      <c r="AH4616">
        <v>17.4312218166239</v>
      </c>
      <c r="AI4616">
        <v>93.683086969077493</v>
      </c>
      <c r="AJ4616">
        <v>89.139430167462905</v>
      </c>
      <c r="AK4616">
        <v>17.469268797550001</v>
      </c>
      <c r="AL4616">
        <v>78.2910702078768</v>
      </c>
      <c r="AM4616">
        <v>86.593784641978303</v>
      </c>
      <c r="AN4616">
        <v>0.99999995588207702</v>
      </c>
    </row>
    <row r="4617" spans="1:40" x14ac:dyDescent="0.25">
      <c r="A4617" t="str">
        <f>"20190303170631120"</f>
        <v>20190303170631120</v>
      </c>
      <c r="B4617" t="str">
        <f>"1551603991109432"</f>
        <v>1551603991109432</v>
      </c>
      <c r="C4617" t="s">
        <v>40</v>
      </c>
      <c r="D4617">
        <v>5.8116539999999999</v>
      </c>
      <c r="E4617">
        <v>0.48901210000000001</v>
      </c>
      <c r="F4617" t="s">
        <v>41</v>
      </c>
      <c r="G4617">
        <v>-336.62740000000002</v>
      </c>
      <c r="H4617" s="1">
        <v>-2.2352109999999999E-6</v>
      </c>
      <c r="I4617">
        <v>15.47667</v>
      </c>
      <c r="J4617">
        <v>-354.02460000000002</v>
      </c>
      <c r="K4617">
        <v>1.122134</v>
      </c>
      <c r="L4617">
        <v>15.333069999999999</v>
      </c>
      <c r="M4617">
        <v>0.99961940000000005</v>
      </c>
      <c r="N4617">
        <v>-1.3521389999999999E-2</v>
      </c>
      <c r="O4617">
        <v>2.4049999999999998E-2</v>
      </c>
      <c r="P4617">
        <v>0.98133749999999997</v>
      </c>
      <c r="Q4617">
        <v>0.1889363</v>
      </c>
      <c r="R4617">
        <v>-3.5779730000000003E-2</v>
      </c>
      <c r="S4617">
        <v>3.0966490000000002</v>
      </c>
      <c r="T4617">
        <v>-0.19798470000000001</v>
      </c>
      <c r="U4617">
        <v>2.6092529999999999E-2</v>
      </c>
      <c r="V4617">
        <v>5.8986759999999999E-2</v>
      </c>
      <c r="W4617">
        <v>0.2022852</v>
      </c>
      <c r="X4617">
        <v>0.97754859999999999</v>
      </c>
      <c r="Y4617">
        <v>1.555902E-2</v>
      </c>
      <c r="Z4617">
        <v>-1.8131200000000001E-3</v>
      </c>
      <c r="AA4617">
        <v>0.99987729999999997</v>
      </c>
      <c r="AB4617">
        <v>29</v>
      </c>
      <c r="AC4617">
        <v>17.397199999999899</v>
      </c>
      <c r="AD4617">
        <v>-1.122136235211</v>
      </c>
      <c r="AE4617">
        <v>0.14359999999999901</v>
      </c>
      <c r="AF4617">
        <v>0.27374362082417703</v>
      </c>
      <c r="AG4617">
        <v>-1.122136235211</v>
      </c>
      <c r="AH4617">
        <v>17.3235533908456</v>
      </c>
      <c r="AI4617">
        <v>93.705705231875001</v>
      </c>
      <c r="AJ4617">
        <v>89.094697921611498</v>
      </c>
      <c r="AK4617">
        <v>17.3620168006425</v>
      </c>
      <c r="AL4617">
        <v>78.329376817639101</v>
      </c>
      <c r="AM4617">
        <v>86.546873063065206</v>
      </c>
      <c r="AN4617">
        <v>1.0000000026781399</v>
      </c>
    </row>
    <row r="4618" spans="1:40" x14ac:dyDescent="0.25">
      <c r="A4618" t="str">
        <f>"20190303170631132"</f>
        <v>20190303170631132</v>
      </c>
      <c r="B4618" t="str">
        <f>"1551603991119192"</f>
        <v>1551603991119192</v>
      </c>
      <c r="C4618" t="s">
        <v>40</v>
      </c>
      <c r="D4618">
        <v>5.7860649999999998</v>
      </c>
      <c r="E4618">
        <v>0.48890299999999998</v>
      </c>
      <c r="F4618" t="s">
        <v>41</v>
      </c>
      <c r="G4618">
        <v>-336.58710000000002</v>
      </c>
      <c r="H4618" s="1">
        <v>-2.2495229999999998E-6</v>
      </c>
      <c r="I4618">
        <v>15.4744299999999</v>
      </c>
      <c r="J4618">
        <v>-353.87520000000001</v>
      </c>
      <c r="K4618">
        <v>1.1220829999999999</v>
      </c>
      <c r="L4618">
        <v>15.33722</v>
      </c>
      <c r="M4618">
        <v>0.99960819999999995</v>
      </c>
      <c r="N4618">
        <v>-1.3519959999999999E-2</v>
      </c>
      <c r="O4618">
        <v>2.45089E-2</v>
      </c>
      <c r="P4618">
        <v>0.98141979999999995</v>
      </c>
      <c r="Q4618">
        <v>0.18852250000000001</v>
      </c>
      <c r="R4618">
        <v>-3.570222E-2</v>
      </c>
      <c r="S4618">
        <v>3.0963440000000002</v>
      </c>
      <c r="T4618">
        <v>-0.19925490000000001</v>
      </c>
      <c r="U4618">
        <v>2.5115970000000001E-2</v>
      </c>
      <c r="V4618">
        <v>5.9386469999999997E-2</v>
      </c>
      <c r="W4618">
        <v>0.20186490000000001</v>
      </c>
      <c r="X4618">
        <v>0.97761120000000001</v>
      </c>
      <c r="Y4618">
        <v>1.632904E-2</v>
      </c>
      <c r="Z4618">
        <v>-1.8796220000000001E-3</v>
      </c>
      <c r="AA4618">
        <v>0.99986489999999995</v>
      </c>
      <c r="AB4618">
        <v>29</v>
      </c>
      <c r="AC4618">
        <v>17.288099999999901</v>
      </c>
      <c r="AD4618">
        <v>-1.122085249523</v>
      </c>
      <c r="AE4618">
        <v>0.137209999999997</v>
      </c>
      <c r="AF4618">
        <v>0.28538012625785902</v>
      </c>
      <c r="AG4618">
        <v>-1.122085249523</v>
      </c>
      <c r="AH4618">
        <v>17.2137578134462</v>
      </c>
      <c r="AI4618">
        <v>93.729059351615703</v>
      </c>
      <c r="AJ4618">
        <v>89.050202798054599</v>
      </c>
      <c r="AK4618">
        <v>17.252651250855301</v>
      </c>
      <c r="AL4618">
        <v>78.353964574403804</v>
      </c>
      <c r="AM4618">
        <v>86.523753015989797</v>
      </c>
      <c r="AN4618">
        <v>0.99999992451825204</v>
      </c>
    </row>
    <row r="4619" spans="1:40" x14ac:dyDescent="0.25">
      <c r="A4619" t="str">
        <f>"20190303170631144"</f>
        <v>20190303170631144</v>
      </c>
      <c r="B4619" t="str">
        <f>"1551603991139688"</f>
        <v>1551603991139688</v>
      </c>
      <c r="C4619" t="s">
        <v>40</v>
      </c>
      <c r="D4619">
        <v>5.8170199999999896</v>
      </c>
      <c r="E4619">
        <v>0.48854740000000002</v>
      </c>
      <c r="F4619" t="s">
        <v>41</v>
      </c>
      <c r="G4619">
        <v>-336.6345</v>
      </c>
      <c r="H4619" s="1">
        <v>-2.231717E-6</v>
      </c>
      <c r="I4619">
        <v>15.48072</v>
      </c>
      <c r="J4619">
        <v>-353.71969999999999</v>
      </c>
      <c r="K4619">
        <v>1.122036</v>
      </c>
      <c r="L4619">
        <v>15.341519999999999</v>
      </c>
      <c r="M4619">
        <v>0.99959699999999996</v>
      </c>
      <c r="N4619">
        <v>-1.3518509999999999E-2</v>
      </c>
      <c r="O4619">
        <v>2.4963610000000001E-2</v>
      </c>
      <c r="P4619">
        <v>0.98143599999999998</v>
      </c>
      <c r="Q4619">
        <v>0.188414</v>
      </c>
      <c r="R4619">
        <v>-3.5824399999999999E-2</v>
      </c>
      <c r="S4619">
        <v>3.0964360000000002</v>
      </c>
      <c r="T4619">
        <v>-0.20152680000000001</v>
      </c>
      <c r="U4619">
        <v>2.5787350000000001E-2</v>
      </c>
      <c r="V4619">
        <v>5.9981619999999999E-2</v>
      </c>
      <c r="W4619">
        <v>0.20174819999999999</v>
      </c>
      <c r="X4619">
        <v>0.977599</v>
      </c>
      <c r="Y4619">
        <v>1.656436E-2</v>
      </c>
      <c r="Z4619">
        <v>-1.9361389999999999E-3</v>
      </c>
      <c r="AA4619">
        <v>0.99986090000000005</v>
      </c>
      <c r="AB4619">
        <v>29</v>
      </c>
      <c r="AC4619">
        <v>17.085199999999901</v>
      </c>
      <c r="AD4619">
        <v>-1.1220382317169999</v>
      </c>
      <c r="AE4619">
        <v>0.13919999999999999</v>
      </c>
      <c r="AF4619">
        <v>0.28615651618142002</v>
      </c>
      <c r="AG4619">
        <v>-1.1220382317169999</v>
      </c>
      <c r="AH4619">
        <v>17.009991356523901</v>
      </c>
      <c r="AI4619">
        <v>93.773429261713801</v>
      </c>
      <c r="AJ4619">
        <v>89.036212665640804</v>
      </c>
      <c r="AK4619">
        <v>17.049359556716698</v>
      </c>
      <c r="AL4619">
        <v>78.360791964335306</v>
      </c>
      <c r="AM4619">
        <v>86.488958319216593</v>
      </c>
      <c r="AN4619">
        <v>0.99999996787103096</v>
      </c>
    </row>
    <row r="4620" spans="1:40" x14ac:dyDescent="0.25">
      <c r="A4620" t="str">
        <f>"20190303170631157"</f>
        <v>20190303170631157</v>
      </c>
      <c r="B4620" t="str">
        <f>"1551603991149447"</f>
        <v>1551603991149447</v>
      </c>
      <c r="C4620" t="s">
        <v>40</v>
      </c>
      <c r="D4620">
        <v>5.9018759999999997</v>
      </c>
      <c r="E4620">
        <v>0.48855349999999997</v>
      </c>
      <c r="F4620" t="s">
        <v>41</v>
      </c>
      <c r="G4620">
        <v>-336.52420000000001</v>
      </c>
      <c r="H4620" s="1">
        <v>-2.2647429999999998E-6</v>
      </c>
      <c r="I4620">
        <v>15.49769</v>
      </c>
      <c r="J4620">
        <v>-353.55</v>
      </c>
      <c r="K4620">
        <v>1.1219730000000001</v>
      </c>
      <c r="L4620">
        <v>15.34625</v>
      </c>
      <c r="M4620">
        <v>0.99958650000000004</v>
      </c>
      <c r="N4620">
        <v>-1.351691E-2</v>
      </c>
      <c r="O4620">
        <v>2.538524E-2</v>
      </c>
      <c r="P4620">
        <v>0.98132299999999995</v>
      </c>
      <c r="Q4620">
        <v>0.1890522</v>
      </c>
      <c r="R4620">
        <v>-3.556368E-2</v>
      </c>
      <c r="S4620">
        <v>3.096527</v>
      </c>
      <c r="T4620">
        <v>-0.20205319999999999</v>
      </c>
      <c r="U4620">
        <v>2.8137209999999999E-2</v>
      </c>
      <c r="V4620">
        <v>6.016299E-2</v>
      </c>
      <c r="W4620">
        <v>0.202373</v>
      </c>
      <c r="X4620">
        <v>0.97745870000000001</v>
      </c>
      <c r="Y4620">
        <v>1.6227519999999999E-2</v>
      </c>
      <c r="Z4620">
        <v>-1.950247E-3</v>
      </c>
      <c r="AA4620">
        <v>0.99986640000000004</v>
      </c>
      <c r="AB4620">
        <v>28</v>
      </c>
      <c r="AC4620">
        <v>17.0258</v>
      </c>
      <c r="AD4620">
        <v>-1.1219752647429999</v>
      </c>
      <c r="AE4620">
        <v>0.15143999999999899</v>
      </c>
      <c r="AF4620">
        <v>0.27963799255775001</v>
      </c>
      <c r="AG4620">
        <v>-1.1219752647429999</v>
      </c>
      <c r="AH4620">
        <v>16.950553071196001</v>
      </c>
      <c r="AI4620">
        <v>93.786431215075893</v>
      </c>
      <c r="AJ4620">
        <v>89.0548613127105</v>
      </c>
      <c r="AK4620">
        <v>16.989946301298598</v>
      </c>
      <c r="AL4620">
        <v>78.324239540912302</v>
      </c>
      <c r="AM4620">
        <v>86.477864244554098</v>
      </c>
      <c r="AN4620">
        <v>0.99999996335021402</v>
      </c>
    </row>
    <row r="4621" spans="1:40" x14ac:dyDescent="0.25">
      <c r="A4621" t="str">
        <f>"20190303170631175"</f>
        <v>20190303170631175</v>
      </c>
      <c r="B4621" t="str">
        <f>"1551603991169943"</f>
        <v>1551603991169943</v>
      </c>
      <c r="C4621" t="s">
        <v>40</v>
      </c>
      <c r="D4621">
        <v>5.8758029999999897</v>
      </c>
      <c r="E4621">
        <v>0.4883962</v>
      </c>
      <c r="F4621" t="s">
        <v>41</v>
      </c>
      <c r="G4621">
        <v>-336.22579999999999</v>
      </c>
      <c r="H4621" s="1">
        <v>-2.3636039999999998E-6</v>
      </c>
      <c r="I4621">
        <v>15.50784</v>
      </c>
      <c r="J4621">
        <v>-353.3279</v>
      </c>
      <c r="K4621">
        <v>1.1218919999999999</v>
      </c>
      <c r="L4621">
        <v>15.3524799999999</v>
      </c>
      <c r="M4621">
        <v>0.99957430000000003</v>
      </c>
      <c r="N4621">
        <v>-1.351488E-2</v>
      </c>
      <c r="O4621">
        <v>2.5857330000000001E-2</v>
      </c>
      <c r="P4621">
        <v>0.98090569999999999</v>
      </c>
      <c r="Q4621">
        <v>0.19118209999999999</v>
      </c>
      <c r="R4621">
        <v>-3.56876E-2</v>
      </c>
      <c r="S4621">
        <v>3.0968019999999998</v>
      </c>
      <c r="T4621">
        <v>-0.20055880000000001</v>
      </c>
      <c r="U4621">
        <v>2.8900149999999999E-2</v>
      </c>
      <c r="V4621">
        <v>6.0780689999999998E-2</v>
      </c>
      <c r="W4621">
        <v>0.20448230000000001</v>
      </c>
      <c r="X4621">
        <v>0.9769814</v>
      </c>
      <c r="Y4621">
        <v>1.645427E-2</v>
      </c>
      <c r="Z4621">
        <v>-1.966991E-3</v>
      </c>
      <c r="AA4621">
        <v>0.99986269999999999</v>
      </c>
      <c r="AB4621">
        <v>28</v>
      </c>
      <c r="AC4621">
        <v>17.1021</v>
      </c>
      <c r="AD4621">
        <v>-1.121894363604</v>
      </c>
      <c r="AE4621">
        <v>0.155360000000001</v>
      </c>
      <c r="AF4621">
        <v>0.28571754552349299</v>
      </c>
      <c r="AG4621">
        <v>-1.121894363604</v>
      </c>
      <c r="AH4621">
        <v>17.027130931887701</v>
      </c>
      <c r="AI4621">
        <v>93.769162615626996</v>
      </c>
      <c r="AJ4621">
        <v>89.038659341471501</v>
      </c>
      <c r="AK4621">
        <v>17.0664427825646</v>
      </c>
      <c r="AL4621">
        <v>78.200804687697598</v>
      </c>
      <c r="AM4621">
        <v>86.440060651079506</v>
      </c>
      <c r="AN4621">
        <v>0.99999997961806197</v>
      </c>
    </row>
    <row r="4622" spans="1:40" x14ac:dyDescent="0.25">
      <c r="A4622" t="str">
        <f>"20190303170631199"</f>
        <v>20190303170631199</v>
      </c>
      <c r="B4622" t="str">
        <f>"1551603991189463"</f>
        <v>1551603991189463</v>
      </c>
      <c r="C4622" t="s">
        <v>40</v>
      </c>
      <c r="D4622">
        <v>5.8563999999999998</v>
      </c>
      <c r="E4622">
        <v>0.48831239999999998</v>
      </c>
      <c r="F4622" t="s">
        <v>41</v>
      </c>
      <c r="G4622">
        <v>-335.5967</v>
      </c>
      <c r="H4622" s="1">
        <v>-2.5971149999999999E-6</v>
      </c>
      <c r="I4622">
        <v>15.524459999999999</v>
      </c>
      <c r="J4622">
        <v>-353.03280000000001</v>
      </c>
      <c r="K4622">
        <v>1.1217710000000001</v>
      </c>
      <c r="L4622">
        <v>15.360779999999901</v>
      </c>
      <c r="M4622">
        <v>0.9995617</v>
      </c>
      <c r="N4622">
        <v>-1.351224E-2</v>
      </c>
      <c r="O4622">
        <v>2.6338589999999999E-2</v>
      </c>
      <c r="P4622">
        <v>0.98067269999999895</v>
      </c>
      <c r="Q4622">
        <v>0.1923311</v>
      </c>
      <c r="R4622">
        <v>-3.5913870000000001E-2</v>
      </c>
      <c r="S4622">
        <v>3.0976560000000002</v>
      </c>
      <c r="T4622">
        <v>-0.195996</v>
      </c>
      <c r="U4622">
        <v>3.0059809999999999E-2</v>
      </c>
      <c r="V4622">
        <v>6.1533780000000003E-2</v>
      </c>
      <c r="W4622">
        <v>0.2056076</v>
      </c>
      <c r="X4622">
        <v>0.97669799999999996</v>
      </c>
      <c r="Y4622">
        <v>1.656676E-2</v>
      </c>
      <c r="Z4622">
        <v>-1.9445829999999999E-3</v>
      </c>
      <c r="AA4622">
        <v>0.99986090000000005</v>
      </c>
      <c r="AB4622">
        <v>28</v>
      </c>
      <c r="AC4622">
        <v>17.4361</v>
      </c>
      <c r="AD4622">
        <v>-1.12177359711499</v>
      </c>
      <c r="AE4622">
        <v>0.16368000000000199</v>
      </c>
      <c r="AF4622">
        <v>0.294442402474897</v>
      </c>
      <c r="AG4622">
        <v>-1.12177359711499</v>
      </c>
      <c r="AH4622">
        <v>17.362501683341801</v>
      </c>
      <c r="AI4622">
        <v>93.696154132384805</v>
      </c>
      <c r="AJ4622">
        <v>89.028441275015894</v>
      </c>
      <c r="AK4622">
        <v>17.401193552041399</v>
      </c>
      <c r="AL4622">
        <v>78.134929564319805</v>
      </c>
      <c r="AM4622">
        <v>86.395024570198402</v>
      </c>
      <c r="AN4622">
        <v>0.999999937231422</v>
      </c>
    </row>
    <row r="4623" spans="1:40" x14ac:dyDescent="0.25">
      <c r="A4623" t="str">
        <f>"20190303170631219"</f>
        <v>20190303170631219</v>
      </c>
      <c r="B4623" t="str">
        <f>"1551603991209960"</f>
        <v>1551603991209960</v>
      </c>
      <c r="C4623" t="s">
        <v>40</v>
      </c>
      <c r="D4623">
        <v>5.974151</v>
      </c>
      <c r="E4623">
        <v>0.48806280000000002</v>
      </c>
      <c r="F4623" t="s">
        <v>41</v>
      </c>
      <c r="G4623">
        <v>-334.87470000000002</v>
      </c>
      <c r="H4623" s="1">
        <v>-2.9048699999999999E-6</v>
      </c>
      <c r="I4623">
        <v>15.53565</v>
      </c>
      <c r="J4623">
        <v>-352.7704</v>
      </c>
      <c r="K4623">
        <v>1.121651</v>
      </c>
      <c r="L4623">
        <v>15.3681</v>
      </c>
      <c r="M4623">
        <v>0.99955450000000001</v>
      </c>
      <c r="N4623">
        <v>-1.351013E-2</v>
      </c>
      <c r="O4623">
        <v>2.662016E-2</v>
      </c>
      <c r="P4623">
        <v>0.9807939</v>
      </c>
      <c r="Q4623">
        <v>0.19147600000000001</v>
      </c>
      <c r="R4623">
        <v>-3.7158700000000003E-2</v>
      </c>
      <c r="S4623">
        <v>3.0977480000000002</v>
      </c>
      <c r="T4623">
        <v>-0.19137319999999999</v>
      </c>
      <c r="U4623">
        <v>2.9846190000000002E-2</v>
      </c>
      <c r="V4623">
        <v>6.31134E-2</v>
      </c>
      <c r="W4623">
        <v>0.20473530000000001</v>
      </c>
      <c r="X4623">
        <v>0.97678050000000005</v>
      </c>
      <c r="Y4623">
        <v>1.6920129999999999E-2</v>
      </c>
      <c r="Z4623">
        <v>-1.919891E-3</v>
      </c>
      <c r="AA4623">
        <v>0.99985500000000005</v>
      </c>
      <c r="AB4623">
        <v>28</v>
      </c>
      <c r="AC4623">
        <v>17.895699999999898</v>
      </c>
      <c r="AD4623">
        <v>-1.1216539048700001</v>
      </c>
      <c r="AE4623">
        <v>0.16755</v>
      </c>
      <c r="AF4623">
        <v>0.30773038656403601</v>
      </c>
      <c r="AG4623">
        <v>-1.1216539048700001</v>
      </c>
      <c r="AH4623">
        <v>17.823803947929399</v>
      </c>
      <c r="AI4623">
        <v>93.600346039824899</v>
      </c>
      <c r="AJ4623">
        <v>89.010878887971501</v>
      </c>
      <c r="AK4623">
        <v>17.861713037873798</v>
      </c>
      <c r="AL4623">
        <v>78.185995731848905</v>
      </c>
      <c r="AM4623">
        <v>86.303046944566006</v>
      </c>
      <c r="AN4623">
        <v>0.99999999475294998</v>
      </c>
    </row>
    <row r="4624" spans="1:40" x14ac:dyDescent="0.25">
      <c r="A4624" t="str">
        <f>"20190303170631231"</f>
        <v>20190303170631231</v>
      </c>
      <c r="B4624" t="str">
        <f>"1551603991219721"</f>
        <v>1551603991219721</v>
      </c>
      <c r="C4624" t="s">
        <v>40</v>
      </c>
      <c r="D4624">
        <v>5.8316150000000002</v>
      </c>
      <c r="E4624">
        <v>0.4879385</v>
      </c>
      <c r="F4624" t="s">
        <v>41</v>
      </c>
      <c r="G4624">
        <v>-335.00220000000002</v>
      </c>
      <c r="H4624" s="1">
        <v>-2.8516840000000001E-6</v>
      </c>
      <c r="I4624">
        <v>15.52712</v>
      </c>
      <c r="J4624">
        <v>-352.6198</v>
      </c>
      <c r="K4624">
        <v>1.1215869999999999</v>
      </c>
      <c r="L4624">
        <v>15.3722799999999</v>
      </c>
      <c r="M4624">
        <v>0.99955179999999999</v>
      </c>
      <c r="N4624">
        <v>-1.3508910000000001E-2</v>
      </c>
      <c r="O4624">
        <v>2.671983E-2</v>
      </c>
      <c r="P4624">
        <v>0.98086930000000006</v>
      </c>
      <c r="Q4624">
        <v>0.19089880000000001</v>
      </c>
      <c r="R4624">
        <v>-3.8125850000000003E-2</v>
      </c>
      <c r="S4624">
        <v>3.0979920000000001</v>
      </c>
      <c r="T4624">
        <v>-0.19556670000000001</v>
      </c>
      <c r="U4624">
        <v>2.7740480000000001E-2</v>
      </c>
      <c r="V4624">
        <v>6.4210660000000003E-2</v>
      </c>
      <c r="W4624">
        <v>0.20414860000000001</v>
      </c>
      <c r="X4624">
        <v>0.97683180000000003</v>
      </c>
      <c r="Y4624">
        <v>1.7694799999999899E-2</v>
      </c>
      <c r="Z4624">
        <v>-2.0017160000000002E-3</v>
      </c>
      <c r="AA4624">
        <v>0.99984150000000005</v>
      </c>
      <c r="AB4624">
        <v>28</v>
      </c>
      <c r="AC4624">
        <v>17.6175999999999</v>
      </c>
      <c r="AD4624">
        <v>-1.1215898516839999</v>
      </c>
      <c r="AE4624">
        <v>0.154840000000003</v>
      </c>
      <c r="AF4624">
        <v>0.31472200880227802</v>
      </c>
      <c r="AG4624">
        <v>-1.1215898516839999</v>
      </c>
      <c r="AH4624">
        <v>17.544344950906801</v>
      </c>
      <c r="AI4624">
        <v>93.657288966018399</v>
      </c>
      <c r="AJ4624">
        <v>88.972300817341605</v>
      </c>
      <c r="AK4624">
        <v>17.582976241087099</v>
      </c>
      <c r="AL4624">
        <v>78.2203367016442</v>
      </c>
      <c r="AM4624">
        <v>86.239153307847801</v>
      </c>
      <c r="AN4624">
        <v>1.00000001261541</v>
      </c>
    </row>
    <row r="4625" spans="1:40" x14ac:dyDescent="0.25">
      <c r="A4625" t="str">
        <f>"20190303170631244"</f>
        <v>20190303170631244</v>
      </c>
      <c r="B4625" t="str">
        <f>"1551603991239240"</f>
        <v>1551603991239240</v>
      </c>
      <c r="C4625" t="s">
        <v>40</v>
      </c>
      <c r="D4625">
        <v>5.84666</v>
      </c>
      <c r="E4625">
        <v>0.4877669</v>
      </c>
      <c r="F4625" t="s">
        <v>41</v>
      </c>
      <c r="G4625">
        <v>-335.06670000000003</v>
      </c>
      <c r="H4625" s="1">
        <v>-2.8254289999999998E-6</v>
      </c>
      <c r="I4625">
        <v>15.519170000000001</v>
      </c>
      <c r="J4625">
        <v>-352.46699999999998</v>
      </c>
      <c r="K4625">
        <v>1.121526</v>
      </c>
      <c r="L4625">
        <v>15.3765</v>
      </c>
      <c r="M4625">
        <v>0.99954960000000004</v>
      </c>
      <c r="N4625">
        <v>-1.350765E-2</v>
      </c>
      <c r="O4625">
        <v>2.679923E-2</v>
      </c>
      <c r="P4625">
        <v>0.98100860000000001</v>
      </c>
      <c r="Q4625">
        <v>0.18994920000000001</v>
      </c>
      <c r="R4625">
        <v>-3.9263840000000001E-2</v>
      </c>
      <c r="S4625">
        <v>3.0980530000000002</v>
      </c>
      <c r="T4625">
        <v>-0.19795570000000001</v>
      </c>
      <c r="U4625">
        <v>2.5939940000000002E-2</v>
      </c>
      <c r="V4625">
        <v>6.5459879999999998E-2</v>
      </c>
      <c r="W4625">
        <v>0.2031906</v>
      </c>
      <c r="X4625">
        <v>0.97694859999999994</v>
      </c>
      <c r="Y4625">
        <v>1.8351739999999998E-2</v>
      </c>
      <c r="Z4625">
        <v>-2.0584599999999998E-3</v>
      </c>
      <c r="AA4625">
        <v>0.99982950000000004</v>
      </c>
      <c r="AB4625">
        <v>28</v>
      </c>
      <c r="AC4625">
        <v>17.400299999999898</v>
      </c>
      <c r="AD4625">
        <v>-1.1215288254289999</v>
      </c>
      <c r="AE4625">
        <v>0.14266999999999999</v>
      </c>
      <c r="AF4625">
        <v>0.32239914418301402</v>
      </c>
      <c r="AG4625">
        <v>-1.1215288254289999</v>
      </c>
      <c r="AH4625">
        <v>17.325899367283402</v>
      </c>
      <c r="AI4625">
        <v>93.703026598494105</v>
      </c>
      <c r="AJ4625">
        <v>88.933967102614702</v>
      </c>
      <c r="AK4625">
        <v>17.365153526521699</v>
      </c>
      <c r="AL4625">
        <v>78.276400937915</v>
      </c>
      <c r="AM4625">
        <v>86.166659053368406</v>
      </c>
      <c r="AN4625">
        <v>0.99999999142996698</v>
      </c>
    </row>
    <row r="4626" spans="1:40" x14ac:dyDescent="0.25">
      <c r="A4626" t="str">
        <f>"20190303170631256"</f>
        <v>20190303170631256</v>
      </c>
      <c r="B4626" t="str">
        <f>"1551603991249976"</f>
        <v>1551603991249976</v>
      </c>
      <c r="C4626" t="s">
        <v>40</v>
      </c>
      <c r="D4626">
        <v>6.0430869999999999</v>
      </c>
      <c r="E4626">
        <v>0.48766330000000002</v>
      </c>
      <c r="F4626" t="s">
        <v>41</v>
      </c>
      <c r="G4626">
        <v>-335.21589999999998</v>
      </c>
      <c r="H4626" s="1">
        <v>-2.7633159999999999E-6</v>
      </c>
      <c r="I4626">
        <v>15.508629999999901</v>
      </c>
      <c r="J4626">
        <v>-352.2978</v>
      </c>
      <c r="K4626">
        <v>1.121467</v>
      </c>
      <c r="L4626">
        <v>15.381130000000001</v>
      </c>
      <c r="M4626">
        <v>0.99954880000000002</v>
      </c>
      <c r="N4626">
        <v>-1.3506260000000001E-2</v>
      </c>
      <c r="O4626">
        <v>2.6831259999999999E-2</v>
      </c>
      <c r="P4626">
        <v>0.98116820000000005</v>
      </c>
      <c r="Q4626">
        <v>0.18890609999999999</v>
      </c>
      <c r="R4626">
        <v>-4.0293500000000003E-2</v>
      </c>
      <c r="S4626">
        <v>3.0979920000000001</v>
      </c>
      <c r="T4626">
        <v>-0.20140549999999999</v>
      </c>
      <c r="U4626">
        <v>2.3742679999999999E-2</v>
      </c>
      <c r="V4626">
        <v>6.6552299999999995E-2</v>
      </c>
      <c r="W4626">
        <v>0.2021396</v>
      </c>
      <c r="X4626">
        <v>0.97709279999999998</v>
      </c>
      <c r="Y4626">
        <v>1.9087799999999999E-2</v>
      </c>
      <c r="Z4626">
        <v>-2.1290129999999999E-3</v>
      </c>
      <c r="AA4626">
        <v>0.99981549999999997</v>
      </c>
      <c r="AB4626">
        <v>28</v>
      </c>
      <c r="AC4626">
        <v>17.081900000000001</v>
      </c>
      <c r="AD4626">
        <v>-1.121469763316</v>
      </c>
      <c r="AE4626">
        <v>0.127499999999999</v>
      </c>
      <c r="AF4626">
        <v>0.32949645524425297</v>
      </c>
      <c r="AG4626">
        <v>-1.121469763316</v>
      </c>
      <c r="AH4626">
        <v>17.005874754698901</v>
      </c>
      <c r="AI4626">
        <v>93.772259626910596</v>
      </c>
      <c r="AJ4626">
        <v>88.890007444948296</v>
      </c>
      <c r="AK4626">
        <v>17.045997727224901</v>
      </c>
      <c r="AL4626">
        <v>78.337894824793807</v>
      </c>
      <c r="AM4626">
        <v>86.103455646878601</v>
      </c>
      <c r="AN4626">
        <v>0.99999998316764405</v>
      </c>
    </row>
    <row r="4627" spans="1:40" x14ac:dyDescent="0.25">
      <c r="A4627" t="str">
        <f>"20190303170631271"</f>
        <v>20190303170631271</v>
      </c>
      <c r="B4627" t="str">
        <f>"1551603991259737"</f>
        <v>1551603991259737</v>
      </c>
      <c r="C4627" t="s">
        <v>40</v>
      </c>
      <c r="D4627">
        <v>5.88591</v>
      </c>
      <c r="E4627">
        <v>0.48759859999999999</v>
      </c>
      <c r="F4627" t="s">
        <v>41</v>
      </c>
      <c r="G4627">
        <v>-335.39710000000002</v>
      </c>
      <c r="H4627" s="1">
        <v>-2.687627E-6</v>
      </c>
      <c r="I4627">
        <v>15.49709</v>
      </c>
      <c r="J4627">
        <v>-352.11779999999999</v>
      </c>
      <c r="K4627">
        <v>1.121416</v>
      </c>
      <c r="L4627">
        <v>15.3860799999999</v>
      </c>
      <c r="M4627">
        <v>0.99954860000000001</v>
      </c>
      <c r="N4627">
        <v>-1.3504779999999999E-2</v>
      </c>
      <c r="O4627">
        <v>2.6842629999999999E-2</v>
      </c>
      <c r="P4627">
        <v>0.98126420000000003</v>
      </c>
      <c r="Q4627">
        <v>0.188332</v>
      </c>
      <c r="R4627">
        <v>-4.0643840000000001E-2</v>
      </c>
      <c r="S4627">
        <v>3.0979920000000001</v>
      </c>
      <c r="T4627">
        <v>-0.20557120000000001</v>
      </c>
      <c r="U4627">
        <v>2.1270750000000001E-2</v>
      </c>
      <c r="V4627">
        <v>6.6940639999999996E-2</v>
      </c>
      <c r="W4627">
        <v>0.20155719999999999</v>
      </c>
      <c r="X4627">
        <v>0.97718660000000002</v>
      </c>
      <c r="Y4627">
        <v>1.9891010000000001E-2</v>
      </c>
      <c r="Z4627">
        <v>-2.2104690000000001E-3</v>
      </c>
      <c r="AA4627">
        <v>0.99979969999999996</v>
      </c>
      <c r="AB4627">
        <v>28</v>
      </c>
      <c r="AC4627">
        <v>16.720699999999901</v>
      </c>
      <c r="AD4627">
        <v>-1.121418687627</v>
      </c>
      <c r="AE4627">
        <v>0.111010000000002</v>
      </c>
      <c r="AF4627">
        <v>0.33638541519482601</v>
      </c>
      <c r="AG4627">
        <v>-1.121418687627</v>
      </c>
      <c r="AH4627">
        <v>16.642796788242102</v>
      </c>
      <c r="AI4627">
        <v>93.854070920493598</v>
      </c>
      <c r="AJ4627">
        <v>88.842091213018406</v>
      </c>
      <c r="AK4627">
        <v>16.683926994423</v>
      </c>
      <c r="AL4627">
        <v>78.371965395479094</v>
      </c>
      <c r="AM4627">
        <v>86.081164566164503</v>
      </c>
      <c r="AN4627">
        <v>1.0000000026875</v>
      </c>
    </row>
    <row r="4628" spans="1:40" x14ac:dyDescent="0.25">
      <c r="A4628" t="str">
        <f>"20190303170631288"</f>
        <v>20190303170631288</v>
      </c>
      <c r="B4628" t="str">
        <f>"1551603991279257"</f>
        <v>1551603991279257</v>
      </c>
      <c r="C4628" t="s">
        <v>40</v>
      </c>
      <c r="D4628">
        <v>5.8669529999999996</v>
      </c>
      <c r="E4628">
        <v>0.48760500000000001</v>
      </c>
      <c r="F4628" t="s">
        <v>41</v>
      </c>
      <c r="G4628">
        <v>-335.39550000000003</v>
      </c>
      <c r="H4628" s="1">
        <v>-2.6882669999999999E-6</v>
      </c>
      <c r="I4628">
        <v>15.49719</v>
      </c>
      <c r="J4628">
        <v>-351.90309999999999</v>
      </c>
      <c r="K4628">
        <v>1.1213740000000001</v>
      </c>
      <c r="L4628">
        <v>15.39188</v>
      </c>
      <c r="M4628">
        <v>0.99954900000000002</v>
      </c>
      <c r="N4628">
        <v>-1.3502989999999999E-2</v>
      </c>
      <c r="O4628">
        <v>2.6825379999999999E-2</v>
      </c>
      <c r="P4628">
        <v>0.98118539999999999</v>
      </c>
      <c r="Q4628">
        <v>0.18851490000000001</v>
      </c>
      <c r="R4628">
        <v>-4.1683289999999998E-2</v>
      </c>
      <c r="S4628">
        <v>3.0980219999999998</v>
      </c>
      <c r="T4628">
        <v>-0.2077571</v>
      </c>
      <c r="U4628">
        <v>2.0599369999999999E-2</v>
      </c>
      <c r="V4628">
        <v>6.7983459999999996E-2</v>
      </c>
      <c r="W4628">
        <v>0.20172950000000001</v>
      </c>
      <c r="X4628">
        <v>0.97707900000000003</v>
      </c>
      <c r="Y4628">
        <v>2.0087939999999999E-2</v>
      </c>
      <c r="Z4628">
        <v>-2.243363E-3</v>
      </c>
      <c r="AA4628">
        <v>0.99979569999999995</v>
      </c>
      <c r="AB4628">
        <v>28</v>
      </c>
      <c r="AC4628">
        <v>16.507599999999901</v>
      </c>
      <c r="AD4628">
        <v>-1.12137668826699</v>
      </c>
      <c r="AE4628">
        <v>0.105310000000001</v>
      </c>
      <c r="AF4628">
        <v>0.33604026063570702</v>
      </c>
      <c r="AG4628">
        <v>-1.12137668826699</v>
      </c>
      <c r="AH4628">
        <v>16.428674772297502</v>
      </c>
      <c r="AI4628">
        <v>93.903983401093001</v>
      </c>
      <c r="AJ4628">
        <v>88.828207115846496</v>
      </c>
      <c r="AK4628">
        <v>16.470329793531199</v>
      </c>
      <c r="AL4628">
        <v>78.3618857603728</v>
      </c>
      <c r="AM4628">
        <v>86.019873668071497</v>
      </c>
      <c r="AN4628">
        <v>0.99999995712240897</v>
      </c>
    </row>
    <row r="4629" spans="1:40" x14ac:dyDescent="0.25">
      <c r="A4629" t="str">
        <f>"20190303170631310"</f>
        <v>20190303170631310</v>
      </c>
      <c r="B4629" t="str">
        <f>"1551603991299752"</f>
        <v>1551603991299752</v>
      </c>
      <c r="C4629" t="s">
        <v>40</v>
      </c>
      <c r="D4629">
        <v>5.9272019999999896</v>
      </c>
      <c r="E4629">
        <v>0.48758319999999999</v>
      </c>
      <c r="F4629" t="s">
        <v>41</v>
      </c>
      <c r="G4629">
        <v>-335.03469999999999</v>
      </c>
      <c r="H4629" s="1">
        <v>-2.8447360000000002E-6</v>
      </c>
      <c r="I4629">
        <v>15.487679999999999</v>
      </c>
      <c r="J4629">
        <v>-351.62619999999998</v>
      </c>
      <c r="K4629">
        <v>1.1213409999999999</v>
      </c>
      <c r="L4629">
        <v>15.399319999999999</v>
      </c>
      <c r="M4629">
        <v>0.99955059999999996</v>
      </c>
      <c r="N4629">
        <v>-1.3500649999999999E-2</v>
      </c>
      <c r="O4629">
        <v>2.6769729999999999E-2</v>
      </c>
      <c r="P4629">
        <v>0.98100410000000005</v>
      </c>
      <c r="Q4629">
        <v>0.18934619999999999</v>
      </c>
      <c r="R4629">
        <v>-4.218177E-2</v>
      </c>
      <c r="S4629">
        <v>3.0978089999999998</v>
      </c>
      <c r="T4629">
        <v>-0.2059357</v>
      </c>
      <c r="U4629">
        <v>1.7608639999999998E-2</v>
      </c>
      <c r="V4629">
        <v>6.8441760000000004E-2</v>
      </c>
      <c r="W4629">
        <v>0.20254910000000001</v>
      </c>
      <c r="X4629">
        <v>0.97687749999999995</v>
      </c>
      <c r="Y4629">
        <v>2.0996359999999999E-2</v>
      </c>
      <c r="Z4629">
        <v>-2.2553299999999998E-3</v>
      </c>
      <c r="AA4629">
        <v>0.99977700000000003</v>
      </c>
      <c r="AB4629">
        <v>28</v>
      </c>
      <c r="AC4629">
        <v>16.5914999999999</v>
      </c>
      <c r="AD4629">
        <v>-1.121343844736</v>
      </c>
      <c r="AE4629">
        <v>8.8359999999997996E-2</v>
      </c>
      <c r="AF4629">
        <v>0.35424399861591699</v>
      </c>
      <c r="AG4629">
        <v>-1.121343844736</v>
      </c>
      <c r="AH4629">
        <v>16.512495052316499</v>
      </c>
      <c r="AI4629">
        <v>93.884032520114104</v>
      </c>
      <c r="AJ4629">
        <v>88.771017154848707</v>
      </c>
      <c r="AK4629">
        <v>16.5543164667545</v>
      </c>
      <c r="AL4629">
        <v>78.3139371827519</v>
      </c>
      <c r="AM4629">
        <v>85.992305563874297</v>
      </c>
      <c r="AN4629">
        <v>1.0000000312144699</v>
      </c>
    </row>
    <row r="4630" spans="1:40" x14ac:dyDescent="0.25">
      <c r="A4630" t="str">
        <f>"20190303170631324"</f>
        <v>20190303170631324</v>
      </c>
      <c r="B4630" t="str">
        <f>"1551603991319272"</f>
        <v>1551603991319272</v>
      </c>
      <c r="C4630" t="s">
        <v>40</v>
      </c>
      <c r="D4630">
        <v>5.8487780000000003</v>
      </c>
      <c r="E4630">
        <v>0.48753819999999998</v>
      </c>
      <c r="F4630" t="s">
        <v>41</v>
      </c>
      <c r="G4630">
        <v>-334.40859999999998</v>
      </c>
      <c r="H4630" s="1">
        <v>-3.112883E-6</v>
      </c>
      <c r="I4630">
        <v>15.490329999999901</v>
      </c>
      <c r="J4630">
        <v>-351.44400000000002</v>
      </c>
      <c r="K4630">
        <v>1.121326</v>
      </c>
      <c r="L4630">
        <v>15.404210000000001</v>
      </c>
      <c r="M4630">
        <v>0.99955179999999999</v>
      </c>
      <c r="N4630">
        <v>-1.349914E-2</v>
      </c>
      <c r="O4630">
        <v>2.6723830000000001E-2</v>
      </c>
      <c r="P4630">
        <v>0.98095200000000005</v>
      </c>
      <c r="Q4630">
        <v>0.1896042</v>
      </c>
      <c r="R4630">
        <v>-4.2233979999999997E-2</v>
      </c>
      <c r="S4630">
        <v>3.0977169999999998</v>
      </c>
      <c r="T4630">
        <v>-0.2017465</v>
      </c>
      <c r="U4630">
        <v>1.638794E-2</v>
      </c>
      <c r="V4630">
        <v>6.8456909999999996E-2</v>
      </c>
      <c r="W4630">
        <v>0.20280219999999999</v>
      </c>
      <c r="X4630">
        <v>0.97682389999999997</v>
      </c>
      <c r="Y4630">
        <v>2.1347350000000001E-2</v>
      </c>
      <c r="Z4630">
        <v>-2.2166030000000001E-3</v>
      </c>
      <c r="AA4630">
        <v>0.99976969999999998</v>
      </c>
      <c r="AB4630">
        <v>28</v>
      </c>
      <c r="AC4630">
        <v>17.035399999999999</v>
      </c>
      <c r="AD4630">
        <v>-1.1213291128829901</v>
      </c>
      <c r="AE4630">
        <v>8.6119999999997504E-2</v>
      </c>
      <c r="AF4630">
        <v>0.367610621757537</v>
      </c>
      <c r="AG4630">
        <v>-1.1213291128829901</v>
      </c>
      <c r="AH4630">
        <v>16.9581432831679</v>
      </c>
      <c r="AI4630">
        <v>93.782195298817996</v>
      </c>
      <c r="AJ4630">
        <v>88.758163644041105</v>
      </c>
      <c r="AK4630">
        <v>16.999151160016201</v>
      </c>
      <c r="AL4630">
        <v>78.299127979764705</v>
      </c>
      <c r="AM4630">
        <v>85.991202087601707</v>
      </c>
      <c r="AN4630">
        <v>1.0000000062313901</v>
      </c>
    </row>
    <row r="4631" spans="1:40" x14ac:dyDescent="0.25">
      <c r="A4631" t="str">
        <f>"20190303170631345"</f>
        <v>20190303170631345</v>
      </c>
      <c r="B4631" t="str">
        <f>"1551603991339768"</f>
        <v>1551603991339768</v>
      </c>
      <c r="C4631" t="s">
        <v>40</v>
      </c>
      <c r="D4631">
        <v>5.8852760000000002</v>
      </c>
      <c r="E4631">
        <v>0.48747859999999998</v>
      </c>
      <c r="F4631" t="s">
        <v>41</v>
      </c>
      <c r="G4631">
        <v>-334.07510000000002</v>
      </c>
      <c r="H4631" s="1">
        <v>-3.254479E-6</v>
      </c>
      <c r="I4631">
        <v>15.49858</v>
      </c>
      <c r="J4631">
        <v>-351.18189999999998</v>
      </c>
      <c r="K4631">
        <v>1.121305</v>
      </c>
      <c r="L4631">
        <v>15.411160000000001</v>
      </c>
      <c r="M4631">
        <v>0.99955380000000005</v>
      </c>
      <c r="N4631">
        <v>-1.349707E-2</v>
      </c>
      <c r="O4631">
        <v>2.6653590000000001E-2</v>
      </c>
      <c r="P4631">
        <v>0.98096779999999995</v>
      </c>
      <c r="Q4631">
        <v>0.18945119999999999</v>
      </c>
      <c r="R4631">
        <v>-4.255453E-2</v>
      </c>
      <c r="S4631">
        <v>3.097626</v>
      </c>
      <c r="T4631">
        <v>-0.1999813</v>
      </c>
      <c r="U4631">
        <v>1.6845699999999901E-2</v>
      </c>
      <c r="V4631">
        <v>6.8717410000000007E-2</v>
      </c>
      <c r="W4631">
        <v>0.2026443</v>
      </c>
      <c r="X4631">
        <v>0.9768384</v>
      </c>
      <c r="Y4631">
        <v>2.1131469999999999E-2</v>
      </c>
      <c r="Z4631">
        <v>-2.183454E-3</v>
      </c>
      <c r="AA4631">
        <v>0.9997743</v>
      </c>
      <c r="AB4631">
        <v>28</v>
      </c>
      <c r="AC4631">
        <v>17.1067999999999</v>
      </c>
      <c r="AD4631">
        <v>-1.1213082544790001</v>
      </c>
      <c r="AE4631">
        <v>8.7419999999997999E-2</v>
      </c>
      <c r="AF4631">
        <v>0.367033237363176</v>
      </c>
      <c r="AG4631">
        <v>-1.1213082544790001</v>
      </c>
      <c r="AH4631">
        <v>17.029885032787199</v>
      </c>
      <c r="AI4631">
        <v>93.766248313399203</v>
      </c>
      <c r="AJ4631">
        <v>88.765335160181294</v>
      </c>
      <c r="AK4631">
        <v>17.070706775902401</v>
      </c>
      <c r="AL4631">
        <v>78.308367066932405</v>
      </c>
      <c r="AM4631">
        <v>85.976056909474906</v>
      </c>
      <c r="AN4631">
        <v>1.0000000272370699</v>
      </c>
    </row>
    <row r="4632" spans="1:40" x14ac:dyDescent="0.25">
      <c r="A4632" t="str">
        <f>"20190303170631359"</f>
        <v>20190303170631359</v>
      </c>
      <c r="B4632" t="str">
        <f>"1551603991349528"</f>
        <v>1551603991349528</v>
      </c>
      <c r="C4632" t="s">
        <v>40</v>
      </c>
      <c r="D4632">
        <v>5.8693019999999896</v>
      </c>
      <c r="E4632">
        <v>0.48748229999999998</v>
      </c>
      <c r="F4632" t="s">
        <v>41</v>
      </c>
      <c r="G4632">
        <v>-333.79259999999999</v>
      </c>
      <c r="H4632" s="1">
        <v>-3.3742919999999998E-6</v>
      </c>
      <c r="I4632">
        <v>15.50634</v>
      </c>
      <c r="J4632">
        <v>-350.99610000000001</v>
      </c>
      <c r="K4632">
        <v>1.121297</v>
      </c>
      <c r="L4632">
        <v>15.41611</v>
      </c>
      <c r="M4632">
        <v>0.99955499999999997</v>
      </c>
      <c r="N4632">
        <v>-1.3495800000000001E-2</v>
      </c>
      <c r="O4632">
        <v>2.660674E-2</v>
      </c>
      <c r="P4632">
        <v>0.98104250000000004</v>
      </c>
      <c r="Q4632">
        <v>0.18902849999999999</v>
      </c>
      <c r="R4632">
        <v>-4.2709690000000002E-2</v>
      </c>
      <c r="S4632">
        <v>3.0974729999999999</v>
      </c>
      <c r="T4632">
        <v>-0.19973340000000001</v>
      </c>
      <c r="U4632">
        <v>1.696777E-2</v>
      </c>
      <c r="V4632">
        <v>6.8832309999999994E-2</v>
      </c>
      <c r="W4632">
        <v>0.20221990000000001</v>
      </c>
      <c r="X4632">
        <v>0.97691819999999896</v>
      </c>
      <c r="Y4632">
        <v>2.1045439999999999E-2</v>
      </c>
      <c r="Z4632">
        <v>-2.1748840000000002E-3</v>
      </c>
      <c r="AA4632">
        <v>0.99977609999999995</v>
      </c>
      <c r="AB4632">
        <v>28</v>
      </c>
      <c r="AC4632">
        <v>17.203499999999998</v>
      </c>
      <c r="AD4632">
        <v>-1.121300374292</v>
      </c>
      <c r="AE4632">
        <v>9.0230000000000005E-2</v>
      </c>
      <c r="AF4632">
        <v>0.36601774016579203</v>
      </c>
      <c r="AG4632">
        <v>-1.121300374292</v>
      </c>
      <c r="AH4632">
        <v>17.127051383814301</v>
      </c>
      <c r="AI4632">
        <v>93.744930654406204</v>
      </c>
      <c r="AJ4632">
        <v>88.775733221250107</v>
      </c>
      <c r="AK4632">
        <v>17.167619888013501</v>
      </c>
      <c r="AL4632">
        <v>78.333196825169907</v>
      </c>
      <c r="AM4632">
        <v>85.969678931876302</v>
      </c>
      <c r="AN4632">
        <v>0.99999997217359204</v>
      </c>
    </row>
    <row r="4633" spans="1:40" x14ac:dyDescent="0.25">
      <c r="A4633" t="str">
        <f>"20190303170631380"</f>
        <v>20190303170631380</v>
      </c>
      <c r="B4633" t="str">
        <f>"1551603991370024"</f>
        <v>1551603991370024</v>
      </c>
      <c r="C4633" t="s">
        <v>40</v>
      </c>
      <c r="D4633">
        <v>5.8974089999999997</v>
      </c>
      <c r="E4633">
        <v>0.48751250000000002</v>
      </c>
      <c r="F4633" t="s">
        <v>41</v>
      </c>
      <c r="G4633">
        <v>-333.69110000000001</v>
      </c>
      <c r="H4633" s="1">
        <v>-3.4175369999999999E-6</v>
      </c>
      <c r="I4633">
        <v>15.508100000000001</v>
      </c>
      <c r="J4633">
        <v>-350.74419999999998</v>
      </c>
      <c r="K4633">
        <v>1.121294</v>
      </c>
      <c r="L4633">
        <v>15.42273</v>
      </c>
      <c r="M4633">
        <v>0.99955640000000001</v>
      </c>
      <c r="N4633">
        <v>-1.3493929999999999E-2</v>
      </c>
      <c r="O4633">
        <v>2.6549090000000001E-2</v>
      </c>
      <c r="P4633">
        <v>0.98130269999999997</v>
      </c>
      <c r="Q4633">
        <v>0.18781010000000001</v>
      </c>
      <c r="R4633">
        <v>-4.2098839999999998E-2</v>
      </c>
      <c r="S4633">
        <v>3.0973510000000002</v>
      </c>
      <c r="T4633">
        <v>-0.20069619999999999</v>
      </c>
      <c r="U4633">
        <v>1.6479489999999999E-2</v>
      </c>
      <c r="V4633">
        <v>6.8174650000000003E-2</v>
      </c>
      <c r="W4633">
        <v>0.20100270000000001</v>
      </c>
      <c r="X4633">
        <v>0.97721550000000001</v>
      </c>
      <c r="Y4633">
        <v>2.1144090000000001E-2</v>
      </c>
      <c r="Z4633">
        <v>-2.1874260000000001E-3</v>
      </c>
      <c r="AA4633">
        <v>0.99977400000000005</v>
      </c>
      <c r="AB4633">
        <v>28</v>
      </c>
      <c r="AC4633">
        <v>17.053099999999901</v>
      </c>
      <c r="AD4633">
        <v>-1.1212974175370001</v>
      </c>
      <c r="AE4633">
        <v>8.5370000000001001E-2</v>
      </c>
      <c r="AF4633">
        <v>0.36586385235454699</v>
      </c>
      <c r="AG4633">
        <v>-1.1212974175370001</v>
      </c>
      <c r="AH4633">
        <v>16.975960929405002</v>
      </c>
      <c r="AI4633">
        <v>93.778140823066394</v>
      </c>
      <c r="AJ4633">
        <v>88.765359437595606</v>
      </c>
      <c r="AK4633">
        <v>17.016886135063601</v>
      </c>
      <c r="AL4633">
        <v>78.404399692939293</v>
      </c>
      <c r="AM4633">
        <v>86.009272189374101</v>
      </c>
      <c r="AN4633">
        <v>1.00000000087508</v>
      </c>
    </row>
    <row r="4634" spans="1:40" x14ac:dyDescent="0.25">
      <c r="A4634" t="str">
        <f>"20190303170631400"</f>
        <v>20190303170631400</v>
      </c>
      <c r="B4634" t="str">
        <f>"1551603991389543"</f>
        <v>1551603991389543</v>
      </c>
      <c r="C4634" t="s">
        <v>40</v>
      </c>
      <c r="D4634">
        <v>5.9047289999999997</v>
      </c>
      <c r="E4634">
        <v>0.48751149999999999</v>
      </c>
      <c r="F4634" t="s">
        <v>41</v>
      </c>
      <c r="G4634">
        <v>-333.7534</v>
      </c>
      <c r="H4634" s="1">
        <v>-3.3891220000000001E-6</v>
      </c>
      <c r="I4634">
        <v>15.517580000000001</v>
      </c>
      <c r="J4634">
        <v>-350.49209999999999</v>
      </c>
      <c r="K4634">
        <v>1.1212930000000001</v>
      </c>
      <c r="L4634">
        <v>15.429410000000001</v>
      </c>
      <c r="M4634">
        <v>0.99955799999999995</v>
      </c>
      <c r="N4634">
        <v>-1.3491970000000001E-2</v>
      </c>
      <c r="O4634">
        <v>2.649783E-2</v>
      </c>
      <c r="P4634">
        <v>0.98140269999999996</v>
      </c>
      <c r="Q4634">
        <v>0.18753429999999999</v>
      </c>
      <c r="R4634">
        <v>-4.099121E-2</v>
      </c>
      <c r="S4634">
        <v>3.0970149999999999</v>
      </c>
      <c r="T4634">
        <v>-0.2043846</v>
      </c>
      <c r="U4634">
        <v>1.7303470000000001E-2</v>
      </c>
      <c r="V4634">
        <v>6.7020060000000006E-2</v>
      </c>
      <c r="W4634">
        <v>0.20072709999999999</v>
      </c>
      <c r="X4634">
        <v>0.977352</v>
      </c>
      <c r="Y4634">
        <v>2.0823689999999999E-2</v>
      </c>
      <c r="Z4634">
        <v>-2.216385E-3</v>
      </c>
      <c r="AA4634">
        <v>0.99978069999999997</v>
      </c>
      <c r="AB4634">
        <v>28</v>
      </c>
      <c r="AC4634">
        <v>16.738699999999898</v>
      </c>
      <c r="AD4634">
        <v>-1.121296389122</v>
      </c>
      <c r="AE4634">
        <v>8.8169999999998E-2</v>
      </c>
      <c r="AF4634">
        <v>0.35385264215965301</v>
      </c>
      <c r="AG4634">
        <v>-1.121296389122</v>
      </c>
      <c r="AH4634">
        <v>16.660397768081399</v>
      </c>
      <c r="AI4634">
        <v>93.849511244217794</v>
      </c>
      <c r="AJ4634">
        <v>88.783269433917596</v>
      </c>
      <c r="AK4634">
        <v>16.701837356270499</v>
      </c>
      <c r="AL4634">
        <v>78.420518862175598</v>
      </c>
      <c r="AM4634">
        <v>86.077191583648499</v>
      </c>
      <c r="AN4634">
        <v>0.999999994510406</v>
      </c>
    </row>
    <row r="4635" spans="1:40" x14ac:dyDescent="0.25">
      <c r="A4635" t="str">
        <f>"20190303170631419"</f>
        <v>20190303170631419</v>
      </c>
      <c r="B4635" t="str">
        <f>"1551603991409064"</f>
        <v>1551603991409064</v>
      </c>
      <c r="C4635" t="s">
        <v>40</v>
      </c>
      <c r="D4635">
        <v>5.8786069999999997</v>
      </c>
      <c r="E4635">
        <v>0.48750969999999999</v>
      </c>
      <c r="F4635" t="s">
        <v>41</v>
      </c>
      <c r="G4635">
        <v>-333.72699999999998</v>
      </c>
      <c r="H4635" s="1">
        <v>-3.396201E-6</v>
      </c>
      <c r="I4635">
        <v>15.54149</v>
      </c>
      <c r="J4635">
        <v>-350.23989999999998</v>
      </c>
      <c r="K4635">
        <v>1.1213040000000001</v>
      </c>
      <c r="L4635">
        <v>15.436</v>
      </c>
      <c r="M4635">
        <v>0.99955899999999998</v>
      </c>
      <c r="N4635">
        <v>-1.349008E-2</v>
      </c>
      <c r="O4635">
        <v>2.6451990000000002E-2</v>
      </c>
      <c r="P4635">
        <v>0.98134569999999999</v>
      </c>
      <c r="Q4635">
        <v>0.1881235</v>
      </c>
      <c r="R4635">
        <v>-3.962769E-2</v>
      </c>
      <c r="S4635">
        <v>3.0972900000000001</v>
      </c>
      <c r="T4635">
        <v>-0.20715520000000001</v>
      </c>
      <c r="U4635">
        <v>2.0721440000000001E-2</v>
      </c>
      <c r="V4635">
        <v>6.560937E-2</v>
      </c>
      <c r="W4635">
        <v>0.20131479999999999</v>
      </c>
      <c r="X4635">
        <v>0.9773269</v>
      </c>
      <c r="Y4635">
        <v>1.967563E-2</v>
      </c>
      <c r="Z4635">
        <v>-2.200558E-3</v>
      </c>
      <c r="AA4635">
        <v>0.99980400000000003</v>
      </c>
      <c r="AB4635">
        <v>28</v>
      </c>
      <c r="AC4635">
        <v>16.512899999999998</v>
      </c>
      <c r="AD4635">
        <v>-1.1213073962010001</v>
      </c>
      <c r="AE4635">
        <v>0.105489999999999</v>
      </c>
      <c r="AF4635">
        <v>0.32986478952123499</v>
      </c>
      <c r="AG4635">
        <v>-1.1213073962010001</v>
      </c>
      <c r="AH4635">
        <v>16.434135485243502</v>
      </c>
      <c r="AI4635">
        <v>93.9024799364459</v>
      </c>
      <c r="AJ4635">
        <v>88.850117626198895</v>
      </c>
      <c r="AK4635">
        <v>16.475647186180002</v>
      </c>
      <c r="AL4635">
        <v>78.386145142968303</v>
      </c>
      <c r="AM4635">
        <v>86.159413806569503</v>
      </c>
      <c r="AN4635">
        <v>1.00000005379722</v>
      </c>
    </row>
    <row r="4636" spans="1:40" x14ac:dyDescent="0.25">
      <c r="A4636" t="str">
        <f>"20190303170631444"</f>
        <v>20190303170631444</v>
      </c>
      <c r="B4636" t="str">
        <f>"1551603991439320"</f>
        <v>1551603991439320</v>
      </c>
      <c r="C4636" t="s">
        <v>40</v>
      </c>
      <c r="D4636">
        <v>5.8980350000000001</v>
      </c>
      <c r="E4636">
        <v>0.48749670000000001</v>
      </c>
      <c r="F4636" t="s">
        <v>41</v>
      </c>
      <c r="G4636">
        <v>-333.34679999999997</v>
      </c>
      <c r="H4636" s="1">
        <v>-3.5539540000000002E-6</v>
      </c>
      <c r="I4636">
        <v>15.571580000000001</v>
      </c>
      <c r="J4636">
        <v>-349.95229999999998</v>
      </c>
      <c r="K4636">
        <v>1.1213070000000001</v>
      </c>
      <c r="L4636">
        <v>15.44354</v>
      </c>
      <c r="M4636">
        <v>0.99956049999999996</v>
      </c>
      <c r="N4636">
        <v>-1.348802E-2</v>
      </c>
      <c r="O4636">
        <v>2.6403699999999999E-2</v>
      </c>
      <c r="P4636">
        <v>0.98118459999999996</v>
      </c>
      <c r="Q4636">
        <v>0.1891417</v>
      </c>
      <c r="R4636">
        <v>-3.876259E-2</v>
      </c>
      <c r="S4636">
        <v>3.0974430000000002</v>
      </c>
      <c r="T4636">
        <v>-0.20559740000000001</v>
      </c>
      <c r="U4636">
        <v>2.4871830000000001E-2</v>
      </c>
      <c r="V4636">
        <v>6.4690659999999997E-2</v>
      </c>
      <c r="W4636">
        <v>0.20233010000000001</v>
      </c>
      <c r="X4636">
        <v>0.9771784</v>
      </c>
      <c r="Y4636">
        <v>1.8293190000000001E-2</v>
      </c>
      <c r="Z4636">
        <v>-2.1245410000000002E-3</v>
      </c>
      <c r="AA4636">
        <v>0.99983040000000001</v>
      </c>
      <c r="AB4636">
        <v>28</v>
      </c>
      <c r="AC4636">
        <v>16.605499999999999</v>
      </c>
      <c r="AD4636">
        <v>-1.121310553954</v>
      </c>
      <c r="AE4636">
        <v>0.12803999999999999</v>
      </c>
      <c r="AF4636">
        <v>0.30908184134991601</v>
      </c>
      <c r="AG4636">
        <v>-1.121310553954</v>
      </c>
      <c r="AH4636">
        <v>16.527731632225098</v>
      </c>
      <c r="AI4636">
        <v>93.880561683929201</v>
      </c>
      <c r="AJ4636">
        <v>88.928647835440302</v>
      </c>
      <c r="AK4636">
        <v>16.568608325683702</v>
      </c>
      <c r="AL4636">
        <v>78.326749746092901</v>
      </c>
      <c r="AM4636">
        <v>86.212461065385199</v>
      </c>
      <c r="AN4636">
        <v>0.99999998814190205</v>
      </c>
    </row>
    <row r="4637" spans="1:40" x14ac:dyDescent="0.25">
      <c r="A4637" t="str">
        <f>"20190303170631455"</f>
        <v>20190303170631455</v>
      </c>
      <c r="B4637" t="str">
        <f>"1551603991439320"</f>
        <v>1551603991439320</v>
      </c>
      <c r="C4637" t="s">
        <v>40</v>
      </c>
      <c r="D4637">
        <v>5.8980350000000001</v>
      </c>
      <c r="E4637">
        <v>0.48749670000000001</v>
      </c>
      <c r="F4637" t="s">
        <v>41</v>
      </c>
      <c r="G4637">
        <v>-332.88139999999999</v>
      </c>
      <c r="H4637" s="1">
        <v>-3.7494020000000001E-6</v>
      </c>
      <c r="I4637">
        <v>15.595319999999999</v>
      </c>
      <c r="J4637">
        <v>-349.78930000000003</v>
      </c>
      <c r="K4637">
        <v>1.1213089999999999</v>
      </c>
      <c r="L4637">
        <v>15.44781</v>
      </c>
      <c r="M4637">
        <v>0.99956109999999998</v>
      </c>
      <c r="N4637">
        <v>-1.348687E-2</v>
      </c>
      <c r="O4637">
        <v>2.6378309999999999E-2</v>
      </c>
      <c r="P4637">
        <v>0.98114170000000001</v>
      </c>
      <c r="Q4637">
        <v>0.18934049999999999</v>
      </c>
      <c r="R4637">
        <v>-3.8877250000000002E-2</v>
      </c>
      <c r="S4637">
        <v>3.097839</v>
      </c>
      <c r="T4637">
        <v>-0.20348289999999999</v>
      </c>
      <c r="U4637">
        <v>2.7557370000000001E-2</v>
      </c>
      <c r="V4637">
        <v>6.4777660000000001E-2</v>
      </c>
      <c r="W4637">
        <v>0.2025276</v>
      </c>
      <c r="X4637">
        <v>0.97713170000000005</v>
      </c>
      <c r="Y4637">
        <v>1.7406330000000001E-2</v>
      </c>
      <c r="Z4637">
        <v>-2.0636460000000001E-3</v>
      </c>
      <c r="AA4637">
        <v>0.99984629999999997</v>
      </c>
      <c r="AB4637">
        <v>28</v>
      </c>
      <c r="AC4637">
        <v>16.907900000000001</v>
      </c>
      <c r="AD4637">
        <v>-1.1213127494020001</v>
      </c>
      <c r="AE4637">
        <v>0.14751</v>
      </c>
      <c r="AF4637">
        <v>0.29727633224454703</v>
      </c>
      <c r="AG4637">
        <v>-1.1213127494020001</v>
      </c>
      <c r="AH4637">
        <v>16.831882720660499</v>
      </c>
      <c r="AI4637">
        <v>93.810727871911794</v>
      </c>
      <c r="AJ4637">
        <v>88.988175665955893</v>
      </c>
      <c r="AK4637">
        <v>16.871810555531798</v>
      </c>
      <c r="AL4637">
        <v>78.315194347428104</v>
      </c>
      <c r="AM4637">
        <v>86.207201473608606</v>
      </c>
      <c r="AN4637">
        <v>0.99999996657086199</v>
      </c>
    </row>
    <row r="4638" spans="1:40" x14ac:dyDescent="0.25">
      <c r="A4638" t="str">
        <f>"20190303170631466"</f>
        <v>20190303170631466</v>
      </c>
      <c r="B4638" t="str">
        <f>"1551603991459816"</f>
        <v>1551603991459816</v>
      </c>
      <c r="C4638" t="s">
        <v>40</v>
      </c>
      <c r="D4638">
        <v>5.8942699999999997</v>
      </c>
      <c r="E4638">
        <v>0.48755979999999999</v>
      </c>
      <c r="F4638" t="s">
        <v>41</v>
      </c>
      <c r="G4638">
        <v>-332.65969999999999</v>
      </c>
      <c r="H4638" s="1">
        <v>-3.8436050000000003E-6</v>
      </c>
      <c r="I4638">
        <v>15.60045</v>
      </c>
      <c r="J4638">
        <v>-349.64949999999999</v>
      </c>
      <c r="K4638">
        <v>1.1213120000000001</v>
      </c>
      <c r="L4638">
        <v>15.451479999999901</v>
      </c>
      <c r="M4638">
        <v>0.9995617</v>
      </c>
      <c r="N4638">
        <v>-1.348588E-2</v>
      </c>
      <c r="O4638">
        <v>2.6357080000000001E-2</v>
      </c>
      <c r="P4638">
        <v>0.9811841</v>
      </c>
      <c r="Q4638">
        <v>0.18903059999999999</v>
      </c>
      <c r="R4638">
        <v>-3.9310940000000003E-2</v>
      </c>
      <c r="S4638">
        <v>3.0978699999999999</v>
      </c>
      <c r="T4638">
        <v>-0.20278789999999999</v>
      </c>
      <c r="U4638">
        <v>2.7618409999999999E-2</v>
      </c>
      <c r="V4638">
        <v>6.5190319999999996E-2</v>
      </c>
      <c r="W4638">
        <v>0.20221749999999999</v>
      </c>
      <c r="X4638">
        <v>0.9771685</v>
      </c>
      <c r="Y4638">
        <v>1.736621E-2</v>
      </c>
      <c r="Z4638">
        <v>-2.0531080000000001E-3</v>
      </c>
      <c r="AA4638">
        <v>0.99984709999999999</v>
      </c>
      <c r="AB4638">
        <v>28</v>
      </c>
      <c r="AC4638">
        <v>16.989799999999999</v>
      </c>
      <c r="AD4638">
        <v>-1.1213158436049999</v>
      </c>
      <c r="AE4638">
        <v>0.14897000000000199</v>
      </c>
      <c r="AF4638">
        <v>0.29762763067962</v>
      </c>
      <c r="AG4638">
        <v>-1.1213158436049999</v>
      </c>
      <c r="AH4638">
        <v>16.914152358638098</v>
      </c>
      <c r="AI4638">
        <v>93.792261662142593</v>
      </c>
      <c r="AJ4638">
        <v>88.991906479410403</v>
      </c>
      <c r="AK4638">
        <v>16.953892810764302</v>
      </c>
      <c r="AL4638">
        <v>78.333337402527405</v>
      </c>
      <c r="AM4638">
        <v>86.183254320969397</v>
      </c>
      <c r="AN4638">
        <v>0.999999986260101</v>
      </c>
    </row>
    <row r="4639" spans="1:40" x14ac:dyDescent="0.25">
      <c r="A4639" t="str">
        <f>"20190303170631477"</f>
        <v>20190303170631477</v>
      </c>
      <c r="B4639" t="str">
        <f>"1551603991469575"</f>
        <v>1551603991469575</v>
      </c>
      <c r="C4639" t="s">
        <v>40</v>
      </c>
      <c r="D4639">
        <v>5.9011670000000001</v>
      </c>
      <c r="E4639">
        <v>0.48761739999999998</v>
      </c>
      <c r="F4639" t="s">
        <v>41</v>
      </c>
      <c r="G4639">
        <v>-332.61849999999998</v>
      </c>
      <c r="H4639" s="1">
        <v>-3.862373E-6</v>
      </c>
      <c r="I4639">
        <v>15.594340000000001</v>
      </c>
      <c r="J4639">
        <v>-349.5104</v>
      </c>
      <c r="K4639">
        <v>1.1213089999999999</v>
      </c>
      <c r="L4639">
        <v>15.455109999999999</v>
      </c>
      <c r="M4639">
        <v>0.99956230000000001</v>
      </c>
      <c r="N4639">
        <v>-1.3484899999999999E-2</v>
      </c>
      <c r="O4639">
        <v>2.6336499999999999E-2</v>
      </c>
      <c r="P4639">
        <v>0.98119279999999998</v>
      </c>
      <c r="Q4639">
        <v>0.18887770000000001</v>
      </c>
      <c r="R4639">
        <v>-3.982554E-2</v>
      </c>
      <c r="S4639">
        <v>3.0978699999999999</v>
      </c>
      <c r="T4639">
        <v>-0.20396220000000001</v>
      </c>
      <c r="U4639">
        <v>2.600098E-2</v>
      </c>
      <c r="V4639">
        <v>6.5683720000000001E-2</v>
      </c>
      <c r="W4639">
        <v>0.20206389999999999</v>
      </c>
      <c r="X4639">
        <v>0.97716720000000001</v>
      </c>
      <c r="Y4639">
        <v>1.7865349999999999E-2</v>
      </c>
      <c r="Z4639">
        <v>-2.085085E-3</v>
      </c>
      <c r="AA4639">
        <v>0.99983820000000001</v>
      </c>
      <c r="AB4639">
        <v>28</v>
      </c>
      <c r="AC4639">
        <v>16.8919</v>
      </c>
      <c r="AD4639">
        <v>-1.121312862373</v>
      </c>
      <c r="AE4639">
        <v>0.139229999999997</v>
      </c>
      <c r="AF4639">
        <v>0.30439101003060198</v>
      </c>
      <c r="AG4639">
        <v>-1.121312862373</v>
      </c>
      <c r="AH4639">
        <v>16.8156134278397</v>
      </c>
      <c r="AI4639">
        <v>93.814374371876298</v>
      </c>
      <c r="AJ4639">
        <v>88.962962858946398</v>
      </c>
      <c r="AK4639">
        <v>16.855706789596599</v>
      </c>
      <c r="AL4639">
        <v>78.342323155559498</v>
      </c>
      <c r="AM4639">
        <v>86.154448118860103</v>
      </c>
      <c r="AN4639">
        <v>0.999999953756043</v>
      </c>
    </row>
    <row r="4640" spans="1:40" x14ac:dyDescent="0.25">
      <c r="A4640" t="str">
        <f>"20190303170631489"</f>
        <v>20190303170631489</v>
      </c>
      <c r="B4640" t="str">
        <f>"1551603991479336"</f>
        <v>1551603991479336</v>
      </c>
      <c r="C4640" t="s">
        <v>40</v>
      </c>
      <c r="D4640">
        <v>5.92265</v>
      </c>
      <c r="E4640">
        <v>0.48766979999999999</v>
      </c>
      <c r="F4640" t="s">
        <v>41</v>
      </c>
      <c r="G4640">
        <v>-332.5136</v>
      </c>
      <c r="H4640" s="1">
        <v>-3.9088099999999996E-6</v>
      </c>
      <c r="I4640">
        <v>15.58614</v>
      </c>
      <c r="J4640">
        <v>-349.37279999999998</v>
      </c>
      <c r="K4640">
        <v>1.12131</v>
      </c>
      <c r="L4640">
        <v>15.45871</v>
      </c>
      <c r="M4640">
        <v>0.99956270000000003</v>
      </c>
      <c r="N4640">
        <v>-1.348394E-2</v>
      </c>
      <c r="O4640">
        <v>2.631675E-2</v>
      </c>
      <c r="P4640">
        <v>0.98130200000000001</v>
      </c>
      <c r="Q4640">
        <v>0.18818209999999999</v>
      </c>
      <c r="R4640">
        <v>-4.0422600000000003E-2</v>
      </c>
      <c r="S4640">
        <v>3.0978089999999998</v>
      </c>
      <c r="T4640">
        <v>-0.2043681</v>
      </c>
      <c r="U4640">
        <v>2.3895260000000001E-2</v>
      </c>
      <c r="V4640">
        <v>6.6262920000000003E-2</v>
      </c>
      <c r="W4640">
        <v>0.20136850000000001</v>
      </c>
      <c r="X4640">
        <v>0.97727169999999997</v>
      </c>
      <c r="Y4640">
        <v>1.8522960000000002E-2</v>
      </c>
      <c r="Z4640">
        <v>-2.114838E-3</v>
      </c>
      <c r="AA4640">
        <v>0.9998262</v>
      </c>
      <c r="AB4640">
        <v>28</v>
      </c>
      <c r="AC4640">
        <v>16.859199999999898</v>
      </c>
      <c r="AD4640">
        <v>-1.1213139088099999</v>
      </c>
      <c r="AE4640">
        <v>0.12742999999999799</v>
      </c>
      <c r="AF4640">
        <v>0.31494073158671998</v>
      </c>
      <c r="AG4640">
        <v>-1.1213139088099999</v>
      </c>
      <c r="AH4640">
        <v>16.782478152770899</v>
      </c>
      <c r="AI4640">
        <v>93.821840069152401</v>
      </c>
      <c r="AJ4640">
        <v>88.924911043688894</v>
      </c>
      <c r="AK4640">
        <v>16.822844750360598</v>
      </c>
      <c r="AL4640">
        <v>78.383003534905797</v>
      </c>
      <c r="AM4640">
        <v>86.121054632333497</v>
      </c>
      <c r="AN4640">
        <v>1.00000001149003</v>
      </c>
    </row>
    <row r="4641" spans="1:40" x14ac:dyDescent="0.25">
      <c r="A4641" t="str">
        <f>"20190303170631500"</f>
        <v>20190303170631500</v>
      </c>
      <c r="B4641" t="str">
        <f>"1551603991489096"</f>
        <v>1551603991489096</v>
      </c>
      <c r="C4641" t="s">
        <v>40</v>
      </c>
      <c r="D4641">
        <v>5.8782839999999998</v>
      </c>
      <c r="E4641">
        <v>0.48769309999999899</v>
      </c>
      <c r="F4641" t="s">
        <v>41</v>
      </c>
      <c r="G4641">
        <v>-332.5421</v>
      </c>
      <c r="H4641" s="1">
        <v>-3.89852899999999E-6</v>
      </c>
      <c r="I4641">
        <v>15.57536</v>
      </c>
      <c r="J4641">
        <v>-349.21690000000001</v>
      </c>
      <c r="K4641">
        <v>1.1213120000000001</v>
      </c>
      <c r="L4641">
        <v>15.4628</v>
      </c>
      <c r="M4641">
        <v>0.99956330000000004</v>
      </c>
      <c r="N4641">
        <v>-1.3482879999999999E-2</v>
      </c>
      <c r="O4641">
        <v>2.6294680000000001E-2</v>
      </c>
      <c r="P4641">
        <v>0.98139180000000004</v>
      </c>
      <c r="Q4641">
        <v>0.18758330000000001</v>
      </c>
      <c r="R4641">
        <v>-4.1020889999999997E-2</v>
      </c>
      <c r="S4641">
        <v>3.097626</v>
      </c>
      <c r="T4641">
        <v>-0.206372</v>
      </c>
      <c r="U4641">
        <v>2.1484380000000001E-2</v>
      </c>
      <c r="V4641">
        <v>6.6840789999999997E-2</v>
      </c>
      <c r="W4641">
        <v>0.20077010000000001</v>
      </c>
      <c r="X4641">
        <v>0.97735539999999999</v>
      </c>
      <c r="Y4641">
        <v>1.927479E-2</v>
      </c>
      <c r="Z4641">
        <v>-2.1668740000000001E-3</v>
      </c>
      <c r="AA4641">
        <v>0.99981189999999998</v>
      </c>
      <c r="AB4641">
        <v>28</v>
      </c>
      <c r="AC4641">
        <v>16.674800000000001</v>
      </c>
      <c r="AD4641">
        <v>-1.1213158985289999</v>
      </c>
      <c r="AE4641">
        <v>0.11255999999999999</v>
      </c>
      <c r="AF4641">
        <v>0.32450993651481502</v>
      </c>
      <c r="AG4641">
        <v>-1.1213158985289999</v>
      </c>
      <c r="AH4641">
        <v>16.5969447108338</v>
      </c>
      <c r="AI4641">
        <v>93.864383618108704</v>
      </c>
      <c r="AJ4641">
        <v>88.879873296541106</v>
      </c>
      <c r="AK4641">
        <v>16.637945479465401</v>
      </c>
      <c r="AL4641">
        <v>78.418003437078696</v>
      </c>
      <c r="AM4641">
        <v>86.087665527507795</v>
      </c>
      <c r="AN4641">
        <v>0.999999951085495</v>
      </c>
    </row>
    <row r="4642" spans="1:40" x14ac:dyDescent="0.25">
      <c r="A4642" t="str">
        <f>"20190303170631513"</f>
        <v>20190303170631513</v>
      </c>
      <c r="B4642" t="str">
        <f>"1551603991499832"</f>
        <v>1551603991499832</v>
      </c>
      <c r="C4642" t="s">
        <v>40</v>
      </c>
      <c r="D4642">
        <v>5.912871</v>
      </c>
      <c r="E4642">
        <v>0.4877282</v>
      </c>
      <c r="F4642" t="s">
        <v>41</v>
      </c>
      <c r="G4642">
        <v>-332.55990000000003</v>
      </c>
      <c r="H4642" s="1">
        <v>-3.8928829999999998E-6</v>
      </c>
      <c r="I4642">
        <v>15.56414</v>
      </c>
      <c r="J4642">
        <v>-349.06909999999999</v>
      </c>
      <c r="K4642">
        <v>1.121313</v>
      </c>
      <c r="L4642">
        <v>15.46664</v>
      </c>
      <c r="M4642">
        <v>0.99956400000000001</v>
      </c>
      <c r="N4642">
        <v>-1.348188E-2</v>
      </c>
      <c r="O4642">
        <v>2.6273910000000001E-2</v>
      </c>
      <c r="P4642">
        <v>0.98145349999999998</v>
      </c>
      <c r="Q4642">
        <v>0.1872086</v>
      </c>
      <c r="R4642">
        <v>-4.1261489999999998E-2</v>
      </c>
      <c r="S4642">
        <v>3.097534</v>
      </c>
      <c r="T4642">
        <v>-0.2085185</v>
      </c>
      <c r="U4642">
        <v>1.8859859999999999E-2</v>
      </c>
      <c r="V4642">
        <v>6.7061419999999997E-2</v>
      </c>
      <c r="W4642">
        <v>0.2003955</v>
      </c>
      <c r="X4642">
        <v>0.97741719999999999</v>
      </c>
      <c r="Y4642">
        <v>2.009673E-2</v>
      </c>
      <c r="Z4642">
        <v>-2.223863E-3</v>
      </c>
      <c r="AA4642">
        <v>0.99979560000000001</v>
      </c>
      <c r="AB4642">
        <v>28</v>
      </c>
      <c r="AC4642">
        <v>16.5091999999999</v>
      </c>
      <c r="AD4642">
        <v>-1.121316892883</v>
      </c>
      <c r="AE4642">
        <v>9.75000000000001E-2</v>
      </c>
      <c r="AF4642">
        <v>0.33478986006043698</v>
      </c>
      <c r="AG4642">
        <v>-1.121316892883</v>
      </c>
      <c r="AH4642">
        <v>16.430267733938098</v>
      </c>
      <c r="AI4642">
        <v>93.903404760580202</v>
      </c>
      <c r="AJ4642">
        <v>88.832679284705193</v>
      </c>
      <c r="AK4642">
        <v>16.471889194429099</v>
      </c>
      <c r="AL4642">
        <v>78.439912101006897</v>
      </c>
      <c r="AM4642">
        <v>86.075039290461206</v>
      </c>
      <c r="AN4642">
        <v>0.99999998666425305</v>
      </c>
    </row>
    <row r="4643" spans="1:40" x14ac:dyDescent="0.25">
      <c r="A4643" t="str">
        <f>"20190303170631526"</f>
        <v>20190303170631526</v>
      </c>
      <c r="B4643" t="str">
        <f>"1551603991519351"</f>
        <v>1551603991519351</v>
      </c>
      <c r="C4643" t="s">
        <v>40</v>
      </c>
      <c r="D4643">
        <v>5.911454</v>
      </c>
      <c r="E4643">
        <v>0.48777579999999998</v>
      </c>
      <c r="F4643" t="s">
        <v>41</v>
      </c>
      <c r="G4643">
        <v>-332.50599999999997</v>
      </c>
      <c r="H4643" s="1">
        <v>-3.917117E-6</v>
      </c>
      <c r="I4643">
        <v>15.557790000000001</v>
      </c>
      <c r="J4643">
        <v>-348.91449999999998</v>
      </c>
      <c r="K4643">
        <v>1.121313</v>
      </c>
      <c r="L4643">
        <v>15.47067</v>
      </c>
      <c r="M4643">
        <v>0.99956449999999997</v>
      </c>
      <c r="N4643">
        <v>-1.3480829999999999E-2</v>
      </c>
      <c r="O4643">
        <v>2.6252600000000001E-2</v>
      </c>
      <c r="P4643">
        <v>0.98146920000000004</v>
      </c>
      <c r="Q4643">
        <v>0.1871294</v>
      </c>
      <c r="R4643">
        <v>-4.1244309999999999E-2</v>
      </c>
      <c r="S4643">
        <v>3.0974119999999998</v>
      </c>
      <c r="T4643">
        <v>-0.20969299999999999</v>
      </c>
      <c r="U4643">
        <v>1.7059330000000001E-2</v>
      </c>
      <c r="V4643">
        <v>6.7023399999999997E-2</v>
      </c>
      <c r="W4643">
        <v>0.20031560000000001</v>
      </c>
      <c r="X4643">
        <v>0.97743619999999998</v>
      </c>
      <c r="Y4643">
        <v>2.0653729999999999E-2</v>
      </c>
      <c r="Z4643">
        <v>-2.2591529999999999E-3</v>
      </c>
      <c r="AA4643">
        <v>0.99978409999999995</v>
      </c>
      <c r="AB4643">
        <v>28</v>
      </c>
      <c r="AC4643">
        <v>16.4085</v>
      </c>
      <c r="AD4643">
        <v>-1.1213169171170001</v>
      </c>
      <c r="AE4643">
        <v>8.7119999999996894E-2</v>
      </c>
      <c r="AF4643">
        <v>0.34211729008974401</v>
      </c>
      <c r="AG4643">
        <v>-1.1213169171170001</v>
      </c>
      <c r="AH4643">
        <v>16.328876896103701</v>
      </c>
      <c r="AI4643">
        <v>93.927520097994204</v>
      </c>
      <c r="AJ4643">
        <v>88.799733167716496</v>
      </c>
      <c r="AK4643">
        <v>16.3709076277676</v>
      </c>
      <c r="AL4643">
        <v>78.444584941629103</v>
      </c>
      <c r="AM4643">
        <v>86.077333584733395</v>
      </c>
      <c r="AN4643">
        <v>1.0000000004106799</v>
      </c>
    </row>
    <row r="4644" spans="1:40" x14ac:dyDescent="0.25">
      <c r="A4644" t="str">
        <f>"20190303170631543"</f>
        <v>20190303170631543</v>
      </c>
      <c r="B4644" t="str">
        <f>"1551603991529111"</f>
        <v>1551603991529111</v>
      </c>
      <c r="C4644" t="s">
        <v>40</v>
      </c>
      <c r="D4644">
        <v>5.9048389999999999</v>
      </c>
      <c r="E4644">
        <v>0.48780380000000001</v>
      </c>
      <c r="F4644" t="s">
        <v>41</v>
      </c>
      <c r="G4644">
        <v>-332.37270000000001</v>
      </c>
      <c r="H4644" s="1">
        <v>-3.9745200000000004E-6</v>
      </c>
      <c r="I4644">
        <v>15.55649</v>
      </c>
      <c r="J4644">
        <v>-348.69229999999999</v>
      </c>
      <c r="K4644">
        <v>1.121308</v>
      </c>
      <c r="L4644">
        <v>15.4765</v>
      </c>
      <c r="M4644">
        <v>0.99956540000000005</v>
      </c>
      <c r="N4644">
        <v>-1.3479379999999999E-2</v>
      </c>
      <c r="O4644">
        <v>2.6221700000000001E-2</v>
      </c>
      <c r="P4644">
        <v>0.98131950000000001</v>
      </c>
      <c r="Q4644">
        <v>0.1878727</v>
      </c>
      <c r="R4644">
        <v>-4.1425719999999999E-2</v>
      </c>
      <c r="S4644">
        <v>3.0973510000000002</v>
      </c>
      <c r="T4644">
        <v>-0.20995929999999999</v>
      </c>
      <c r="U4644">
        <v>1.6082760000000001E-2</v>
      </c>
      <c r="V4644">
        <v>6.7169930000000003E-2</v>
      </c>
      <c r="W4644">
        <v>0.20105600000000001</v>
      </c>
      <c r="X4644">
        <v>0.97727410000000003</v>
      </c>
      <c r="Y4644">
        <v>2.0936929999999999E-2</v>
      </c>
      <c r="Z4644">
        <v>-2.2721880000000001E-3</v>
      </c>
      <c r="AA4644">
        <v>0.99977819999999995</v>
      </c>
      <c r="AB4644">
        <v>28</v>
      </c>
      <c r="AC4644">
        <v>16.319599999999902</v>
      </c>
      <c r="AD4644">
        <v>-1.12131197452</v>
      </c>
      <c r="AE4644">
        <v>7.9990000000000394E-2</v>
      </c>
      <c r="AF4644">
        <v>0.34636882265831898</v>
      </c>
      <c r="AG4644">
        <v>-1.12131197452</v>
      </c>
      <c r="AH4644">
        <v>16.2394207397349</v>
      </c>
      <c r="AI4644">
        <v>93.949038160738098</v>
      </c>
      <c r="AJ4644">
        <v>88.778129869608193</v>
      </c>
      <c r="AK4644">
        <v>16.281771951100499</v>
      </c>
      <c r="AL4644">
        <v>78.401282063592703</v>
      </c>
      <c r="AM4644">
        <v>86.068134486856394</v>
      </c>
      <c r="AN4644">
        <v>0.99999999058150701</v>
      </c>
    </row>
    <row r="4645" spans="1:40" x14ac:dyDescent="0.25">
      <c r="A4645" t="str">
        <f>"20190303170631555"</f>
        <v>20190303170631555</v>
      </c>
      <c r="B4645" t="str">
        <f>"1551603991549609"</f>
        <v>1551603991549609</v>
      </c>
      <c r="C4645" t="s">
        <v>40</v>
      </c>
      <c r="D4645">
        <v>5.9233739999999999</v>
      </c>
      <c r="E4645">
        <v>0.48784820000000001</v>
      </c>
      <c r="F4645" t="s">
        <v>41</v>
      </c>
      <c r="G4645">
        <v>-331.95600000000002</v>
      </c>
      <c r="H4645" s="1">
        <v>-4.1535070000000001E-6</v>
      </c>
      <c r="I4645">
        <v>15.555400000000001</v>
      </c>
      <c r="J4645">
        <v>-348.53480000000002</v>
      </c>
      <c r="K4645">
        <v>1.121305</v>
      </c>
      <c r="L4645">
        <v>15.480589999999999</v>
      </c>
      <c r="M4645">
        <v>0.99956590000000001</v>
      </c>
      <c r="N4645">
        <v>-1.347843E-2</v>
      </c>
      <c r="O4645">
        <v>2.6200629999999999E-2</v>
      </c>
      <c r="P4645">
        <v>0.98122100000000001</v>
      </c>
      <c r="Q4645">
        <v>0.18830810000000001</v>
      </c>
      <c r="R4645">
        <v>-4.1781180000000001E-2</v>
      </c>
      <c r="S4645">
        <v>3.0974729999999999</v>
      </c>
      <c r="T4645">
        <v>-0.2075256</v>
      </c>
      <c r="U4645">
        <v>1.461792E-2</v>
      </c>
      <c r="V4645">
        <v>6.7501549999999994E-2</v>
      </c>
      <c r="W4645">
        <v>0.201489</v>
      </c>
      <c r="X4645">
        <v>0.97716210000000003</v>
      </c>
      <c r="Y4645">
        <v>2.1389990000000001E-2</v>
      </c>
      <c r="Z4645">
        <v>-2.2604629999999999E-3</v>
      </c>
      <c r="AA4645">
        <v>0.99976869999999995</v>
      </c>
      <c r="AB4645">
        <v>28</v>
      </c>
      <c r="AC4645">
        <v>16.578800000000001</v>
      </c>
      <c r="AD4645">
        <v>-1.1213091535069999</v>
      </c>
      <c r="AE4645">
        <v>7.4810000000001098E-2</v>
      </c>
      <c r="AF4645">
        <v>0.35799251762212603</v>
      </c>
      <c r="AG4645">
        <v>-1.1213091535069999</v>
      </c>
      <c r="AH4645">
        <v>16.499591781840898</v>
      </c>
      <c r="AI4645">
        <v>93.886920391501306</v>
      </c>
      <c r="AJ4645">
        <v>88.757045455171095</v>
      </c>
      <c r="AK4645">
        <v>16.541524168824498</v>
      </c>
      <c r="AL4645">
        <v>78.375955055223201</v>
      </c>
      <c r="AM4645">
        <v>86.048332637976898</v>
      </c>
      <c r="AN4645">
        <v>1.0000000230249</v>
      </c>
    </row>
    <row r="4646" spans="1:40" x14ac:dyDescent="0.25">
      <c r="A4646" t="str">
        <f>"20190303170631569"</f>
        <v>20190303170631569</v>
      </c>
      <c r="B4646" t="str">
        <f>"1551603991559368"</f>
        <v>1551603991559368</v>
      </c>
      <c r="C4646" t="s">
        <v>40</v>
      </c>
      <c r="D4646">
        <v>5.9809400000000004</v>
      </c>
      <c r="E4646">
        <v>0.487815</v>
      </c>
      <c r="F4646" t="s">
        <v>41</v>
      </c>
      <c r="G4646">
        <v>-331.6343</v>
      </c>
      <c r="H4646" s="1">
        <v>-4.2915079999999997E-6</v>
      </c>
      <c r="I4646">
        <v>15.55527</v>
      </c>
      <c r="J4646">
        <v>-348.37049999999999</v>
      </c>
      <c r="K4646">
        <v>1.1213059999999999</v>
      </c>
      <c r="L4646">
        <v>15.484859999999999</v>
      </c>
      <c r="M4646">
        <v>0.99956650000000002</v>
      </c>
      <c r="N4646">
        <v>-1.347744E-2</v>
      </c>
      <c r="O4646">
        <v>2.6179859999999999E-2</v>
      </c>
      <c r="P4646">
        <v>0.98123720000000003</v>
      </c>
      <c r="Q4646">
        <v>0.18825720000000001</v>
      </c>
      <c r="R4646">
        <v>-4.1626200000000002E-2</v>
      </c>
      <c r="S4646">
        <v>3.0974119999999998</v>
      </c>
      <c r="T4646">
        <v>-0.20550640000000001</v>
      </c>
      <c r="U4646">
        <v>1.370239E-2</v>
      </c>
      <c r="V4646">
        <v>6.7326040000000004E-2</v>
      </c>
      <c r="W4646">
        <v>0.20143759999999999</v>
      </c>
      <c r="X4646">
        <v>0.97718479999999996</v>
      </c>
      <c r="Y4646">
        <v>2.166585E-2</v>
      </c>
      <c r="Z4646">
        <v>-2.246456E-3</v>
      </c>
      <c r="AA4646">
        <v>0.99976279999999995</v>
      </c>
      <c r="AB4646">
        <v>28</v>
      </c>
      <c r="AC4646">
        <v>16.736199999999901</v>
      </c>
      <c r="AD4646">
        <v>-1.121310291508</v>
      </c>
      <c r="AE4646">
        <v>7.0410000000000694E-2</v>
      </c>
      <c r="AF4646">
        <v>0.36616163588546102</v>
      </c>
      <c r="AG4646">
        <v>-1.121310291508</v>
      </c>
      <c r="AH4646">
        <v>16.657533765559599</v>
      </c>
      <c r="AI4646">
        <v>93.850157137153403</v>
      </c>
      <c r="AJ4646">
        <v>88.740741663787702</v>
      </c>
      <c r="AK4646">
        <v>16.699246757389901</v>
      </c>
      <c r="AL4646">
        <v>78.378961645468493</v>
      </c>
      <c r="AM4646">
        <v>86.058666167566599</v>
      </c>
      <c r="AN4646">
        <v>1.0000000178534401</v>
      </c>
    </row>
    <row r="4647" spans="1:40" x14ac:dyDescent="0.25">
      <c r="A4647" t="str">
        <f>"20190303170631589"</f>
        <v>20190303170631589</v>
      </c>
      <c r="B4647" t="str">
        <f>"1551603991579863"</f>
        <v>1551603991579863</v>
      </c>
      <c r="C4647" t="s">
        <v>40</v>
      </c>
      <c r="D4647">
        <v>5.9149019999999997</v>
      </c>
      <c r="E4647">
        <v>0.48780230000000002</v>
      </c>
      <c r="F4647" t="s">
        <v>41</v>
      </c>
      <c r="G4647">
        <v>-331.53199999999998</v>
      </c>
      <c r="H4647" s="1">
        <v>-4.333213E-6</v>
      </c>
      <c r="I4647">
        <v>15.56756</v>
      </c>
      <c r="J4647">
        <v>-348.1121</v>
      </c>
      <c r="K4647">
        <v>1.121308</v>
      </c>
      <c r="L4647">
        <v>15.49161</v>
      </c>
      <c r="M4647">
        <v>0.99956730000000005</v>
      </c>
      <c r="N4647">
        <v>-1.3475869999999999E-2</v>
      </c>
      <c r="O4647">
        <v>2.6152350000000001E-2</v>
      </c>
      <c r="P4647">
        <v>0.98143230000000004</v>
      </c>
      <c r="Q4647">
        <v>0.18731629999999999</v>
      </c>
      <c r="R4647">
        <v>-4.127347E-2</v>
      </c>
      <c r="S4647">
        <v>3.097626</v>
      </c>
      <c r="T4647">
        <v>-0.2062765</v>
      </c>
      <c r="U4647">
        <v>1.522827E-2</v>
      </c>
      <c r="V4647">
        <v>6.6949149999999999E-2</v>
      </c>
      <c r="W4647">
        <v>0.2004987</v>
      </c>
      <c r="X4647">
        <v>0.97740380000000004</v>
      </c>
      <c r="Y4647">
        <v>2.1146870000000002E-2</v>
      </c>
      <c r="Z4647">
        <v>-2.2332580000000001E-3</v>
      </c>
      <c r="AA4647">
        <v>0.99977389999999999</v>
      </c>
      <c r="AB4647">
        <v>28</v>
      </c>
      <c r="AC4647">
        <v>16.580100000000002</v>
      </c>
      <c r="AD4647">
        <v>-1.1213123332129999</v>
      </c>
      <c r="AE4647">
        <v>7.5949999999998796E-2</v>
      </c>
      <c r="AF4647">
        <v>0.35609518460758199</v>
      </c>
      <c r="AG4647">
        <v>-1.1213123332129999</v>
      </c>
      <c r="AH4647">
        <v>16.500943776480099</v>
      </c>
      <c r="AI4647">
        <v>93.886623667746605</v>
      </c>
      <c r="AJ4647">
        <v>88.763732238852697</v>
      </c>
      <c r="AK4647">
        <v>16.542832001917802</v>
      </c>
      <c r="AL4647">
        <v>78.433877460592001</v>
      </c>
      <c r="AM4647">
        <v>86.081536172524196</v>
      </c>
      <c r="AN4647">
        <v>1.0000000528209201</v>
      </c>
    </row>
    <row r="4648" spans="1:40" x14ac:dyDescent="0.25">
      <c r="A4648" t="str">
        <f>"20190303170631610"</f>
        <v>20190303170631610</v>
      </c>
      <c r="B4648" t="str">
        <f>"1551603991599384"</f>
        <v>1551603991599384</v>
      </c>
      <c r="C4648" t="s">
        <v>40</v>
      </c>
      <c r="D4648">
        <v>5.9339959999999996</v>
      </c>
      <c r="E4648">
        <v>0.48785719999999999</v>
      </c>
      <c r="F4648" t="s">
        <v>41</v>
      </c>
      <c r="G4648">
        <v>-331.60120000000001</v>
      </c>
      <c r="H4648" s="1">
        <v>-4.3008249999999996E-6</v>
      </c>
      <c r="I4648">
        <v>15.582940000000001</v>
      </c>
      <c r="J4648">
        <v>-347.85669999999999</v>
      </c>
      <c r="K4648">
        <v>1.1213139999999999</v>
      </c>
      <c r="L4648">
        <v>15.49826</v>
      </c>
      <c r="M4648">
        <v>0.99956769999999995</v>
      </c>
      <c r="N4648">
        <v>-1.34743E-2</v>
      </c>
      <c r="O4648">
        <v>2.6133159999999999E-2</v>
      </c>
      <c r="P4648">
        <v>0.98189559999999998</v>
      </c>
      <c r="Q4648">
        <v>0.18513370000000001</v>
      </c>
      <c r="R4648">
        <v>-4.0085320000000001E-2</v>
      </c>
      <c r="S4648">
        <v>3.097626</v>
      </c>
      <c r="T4648">
        <v>-0.2103699</v>
      </c>
      <c r="U4648">
        <v>1.715088E-2</v>
      </c>
      <c r="V4648">
        <v>6.575114E-2</v>
      </c>
      <c r="W4648">
        <v>0.19832320000000001</v>
      </c>
      <c r="X4648">
        <v>0.97792880000000004</v>
      </c>
      <c r="Y4648">
        <v>2.0505039999999999E-2</v>
      </c>
      <c r="Z4648">
        <v>-2.2545180000000001E-3</v>
      </c>
      <c r="AA4648">
        <v>0.99978719999999999</v>
      </c>
      <c r="AB4648">
        <v>28</v>
      </c>
      <c r="AC4648">
        <v>16.255499999999898</v>
      </c>
      <c r="AD4648">
        <v>-1.1213183008249901</v>
      </c>
      <c r="AE4648">
        <v>8.4679999999998701E-2</v>
      </c>
      <c r="AF4648">
        <v>0.33858399840984599</v>
      </c>
      <c r="AG4648">
        <v>-1.1213183008249901</v>
      </c>
      <c r="AH4648">
        <v>16.175195130663301</v>
      </c>
      <c r="AI4648">
        <v>93.964723799168297</v>
      </c>
      <c r="AJ4648">
        <v>88.800842812189401</v>
      </c>
      <c r="AK4648">
        <v>16.217550103846701</v>
      </c>
      <c r="AL4648">
        <v>78.561078806938994</v>
      </c>
      <c r="AM4648">
        <v>86.153501709923205</v>
      </c>
      <c r="AN4648">
        <v>1.0000000209694799</v>
      </c>
    </row>
    <row r="4649" spans="1:40" x14ac:dyDescent="0.25">
      <c r="A4649" t="str">
        <f>"20190303170631622"</f>
        <v>20190303170631622</v>
      </c>
      <c r="B4649" t="str">
        <f>"1551603991609145"</f>
        <v>1551603991609145</v>
      </c>
      <c r="C4649" t="s">
        <v>40</v>
      </c>
      <c r="D4649">
        <v>5.9137810000000002</v>
      </c>
      <c r="E4649">
        <v>0.48789169999999998</v>
      </c>
      <c r="F4649" t="s">
        <v>41</v>
      </c>
      <c r="G4649">
        <v>-331.96289999999999</v>
      </c>
      <c r="H4649" s="1">
        <v>-4.1427780000000002E-6</v>
      </c>
      <c r="I4649">
        <v>15.59919</v>
      </c>
      <c r="J4649">
        <v>-347.69470000000001</v>
      </c>
      <c r="K4649">
        <v>1.1213200000000001</v>
      </c>
      <c r="L4649">
        <v>15.502470000000001</v>
      </c>
      <c r="M4649">
        <v>0.99956789999999995</v>
      </c>
      <c r="N4649">
        <v>-1.347333E-2</v>
      </c>
      <c r="O4649">
        <v>2.6123770000000001E-2</v>
      </c>
      <c r="P4649">
        <v>0.98199179999999997</v>
      </c>
      <c r="Q4649">
        <v>0.1848091</v>
      </c>
      <c r="R4649">
        <v>-3.9214510000000001E-2</v>
      </c>
      <c r="S4649">
        <v>3.097321</v>
      </c>
      <c r="T4649">
        <v>-0.2185174</v>
      </c>
      <c r="U4649">
        <v>1.9683840000000001E-2</v>
      </c>
      <c r="V4649">
        <v>6.4871479999999995E-2</v>
      </c>
      <c r="W4649">
        <v>0.1979997</v>
      </c>
      <c r="X4649">
        <v>0.97805310000000001</v>
      </c>
      <c r="Y4649">
        <v>1.9672060000000002E-2</v>
      </c>
      <c r="Z4649">
        <v>-2.3146690000000001E-3</v>
      </c>
      <c r="AA4649">
        <v>0.99980380000000002</v>
      </c>
      <c r="AB4649">
        <v>28</v>
      </c>
      <c r="AC4649">
        <v>15.7318</v>
      </c>
      <c r="AD4649">
        <v>-1.1213241427779901</v>
      </c>
      <c r="AE4649">
        <v>9.6719999999999404E-2</v>
      </c>
      <c r="AF4649">
        <v>0.31273546452901302</v>
      </c>
      <c r="AG4649">
        <v>-1.1213241427779901</v>
      </c>
      <c r="AH4649">
        <v>15.6494530664412</v>
      </c>
      <c r="AI4649">
        <v>94.097572510581998</v>
      </c>
      <c r="AJ4649">
        <v>88.855165259521499</v>
      </c>
      <c r="AK4649">
        <v>15.6926910561158</v>
      </c>
      <c r="AL4649">
        <v>78.579989076214005</v>
      </c>
      <c r="AM4649">
        <v>86.205292088043606</v>
      </c>
      <c r="AN4649">
        <v>1.00000002826854</v>
      </c>
    </row>
    <row r="4650" spans="1:40" x14ac:dyDescent="0.25">
      <c r="A4650" t="str">
        <f>"20190303170631635"</f>
        <v>20190303170631635</v>
      </c>
      <c r="B4650" t="str">
        <f>"1551603991629640"</f>
        <v>1551603991629640</v>
      </c>
      <c r="C4650" t="s">
        <v>40</v>
      </c>
      <c r="D4650">
        <v>5.8715950000000001</v>
      </c>
      <c r="E4650">
        <v>0.48794910000000002</v>
      </c>
      <c r="F4650" t="s">
        <v>41</v>
      </c>
      <c r="G4650">
        <v>-331.87540000000001</v>
      </c>
      <c r="H4650" s="1">
        <v>-4.17769E-6</v>
      </c>
      <c r="I4650">
        <v>15.614000000000001</v>
      </c>
      <c r="J4650">
        <v>-347.5401</v>
      </c>
      <c r="K4650">
        <v>1.1213249999999999</v>
      </c>
      <c r="L4650">
        <v>15.50653</v>
      </c>
      <c r="M4650">
        <v>0.99956809999999996</v>
      </c>
      <c r="N4650">
        <v>-1.3472410000000001E-2</v>
      </c>
      <c r="O4650">
        <v>2.6120709999999998E-2</v>
      </c>
      <c r="P4650">
        <v>0.98201899999999998</v>
      </c>
      <c r="Q4650">
        <v>0.18476300000000001</v>
      </c>
      <c r="R4650">
        <v>-3.8748350000000001E-2</v>
      </c>
      <c r="S4650">
        <v>3.0971679999999999</v>
      </c>
      <c r="T4650">
        <v>-0.2195365</v>
      </c>
      <c r="U4650">
        <v>2.185059E-2</v>
      </c>
      <c r="V4650">
        <v>6.4400780000000005E-2</v>
      </c>
      <c r="W4650">
        <v>0.1979544</v>
      </c>
      <c r="X4650">
        <v>0.9780934</v>
      </c>
      <c r="Y4650">
        <v>1.8970359999999999E-2</v>
      </c>
      <c r="Z4650">
        <v>-2.2968429999999998E-3</v>
      </c>
      <c r="AA4650">
        <v>0.99981739999999997</v>
      </c>
      <c r="AB4650">
        <v>28</v>
      </c>
      <c r="AC4650">
        <v>15.6646999999999</v>
      </c>
      <c r="AD4650">
        <v>-1.1213291776899901</v>
      </c>
      <c r="AE4650">
        <v>0.107470000000001</v>
      </c>
      <c r="AF4650">
        <v>0.30023846744858101</v>
      </c>
      <c r="AG4650">
        <v>-1.1213291776899901</v>
      </c>
      <c r="AH4650">
        <v>15.582319191839201</v>
      </c>
      <c r="AI4650">
        <v>94.115241724658702</v>
      </c>
      <c r="AJ4650">
        <v>88.896167605856107</v>
      </c>
      <c r="AK4650">
        <v>15.6254981891278</v>
      </c>
      <c r="AL4650">
        <v>78.582637260924599</v>
      </c>
      <c r="AM4650">
        <v>86.232901249845995</v>
      </c>
      <c r="AN4650">
        <v>1.00000005203376</v>
      </c>
    </row>
    <row r="4651" spans="1:40" x14ac:dyDescent="0.25">
      <c r="A4651" t="str">
        <f>"20190303170631648"</f>
        <v>20190303170631648</v>
      </c>
      <c r="B4651" t="str">
        <f>"1551603991639400"</f>
        <v>1551603991639400</v>
      </c>
      <c r="C4651" t="s">
        <v>40</v>
      </c>
      <c r="D4651">
        <v>5.9209500000000004</v>
      </c>
      <c r="E4651">
        <v>0.48798550000000002</v>
      </c>
      <c r="F4651" t="s">
        <v>41</v>
      </c>
      <c r="G4651">
        <v>-331.7509</v>
      </c>
      <c r="H4651" s="1">
        <v>-4.2293539999999997E-6</v>
      </c>
      <c r="I4651">
        <v>15.623760000000001</v>
      </c>
      <c r="J4651">
        <v>-347.38499999999999</v>
      </c>
      <c r="K4651">
        <v>1.1213360000000001</v>
      </c>
      <c r="L4651">
        <v>15.51056</v>
      </c>
      <c r="M4651">
        <v>0.99956809999999996</v>
      </c>
      <c r="N4651">
        <v>-1.3471500000000001E-2</v>
      </c>
      <c r="O4651">
        <v>2.6121950000000001E-2</v>
      </c>
      <c r="P4651">
        <v>0.98191700000000004</v>
      </c>
      <c r="Q4651">
        <v>0.18539369999999999</v>
      </c>
      <c r="R4651">
        <v>-3.8323210000000003E-2</v>
      </c>
      <c r="S4651">
        <v>3.097229</v>
      </c>
      <c r="T4651">
        <v>-0.21996019999999999</v>
      </c>
      <c r="U4651">
        <v>2.3010249999999999E-2</v>
      </c>
      <c r="V4651">
        <v>6.3971299999999995E-2</v>
      </c>
      <c r="W4651">
        <v>0.19858390000000001</v>
      </c>
      <c r="X4651">
        <v>0.97799389999999997</v>
      </c>
      <c r="Y4651">
        <v>1.8598110000000001E-2</v>
      </c>
      <c r="Z4651">
        <v>-2.2860150000000002E-3</v>
      </c>
      <c r="AA4651">
        <v>0.99982439999999995</v>
      </c>
      <c r="AB4651">
        <v>28</v>
      </c>
      <c r="AC4651">
        <v>15.634099999999901</v>
      </c>
      <c r="AD4651">
        <v>-1.121340229354</v>
      </c>
      <c r="AE4651">
        <v>0.1132</v>
      </c>
      <c r="AF4651">
        <v>0.293757722394835</v>
      </c>
      <c r="AG4651">
        <v>-1.121340229354</v>
      </c>
      <c r="AH4651">
        <v>15.551722344642</v>
      </c>
      <c r="AI4651">
        <v>94.123380441329502</v>
      </c>
      <c r="AJ4651">
        <v>88.917864144763101</v>
      </c>
      <c r="AK4651">
        <v>15.5948634298051</v>
      </c>
      <c r="AL4651">
        <v>78.545838205949906</v>
      </c>
      <c r="AM4651">
        <v>86.257572269130904</v>
      </c>
      <c r="AN4651">
        <v>0.99999998050005401</v>
      </c>
    </row>
    <row r="4652" spans="1:40" x14ac:dyDescent="0.25">
      <c r="A4652" t="str">
        <f>"20190303170631658"</f>
        <v>20190303170631658</v>
      </c>
      <c r="B4652" t="str">
        <f>"1551603991649161"</f>
        <v>1551603991649161</v>
      </c>
      <c r="C4652" t="s">
        <v>40</v>
      </c>
      <c r="D4652">
        <v>5.9206159999999999</v>
      </c>
      <c r="E4652">
        <v>0.48803429999999998</v>
      </c>
      <c r="F4652" t="s">
        <v>41</v>
      </c>
      <c r="G4652">
        <v>-331.45150000000001</v>
      </c>
      <c r="H4652" s="1">
        <v>-4.3553980000000002E-6</v>
      </c>
      <c r="I4652">
        <v>15.637169999999999</v>
      </c>
      <c r="J4652">
        <v>-347.2373</v>
      </c>
      <c r="K4652">
        <v>1.1213470000000001</v>
      </c>
      <c r="L4652">
        <v>15.5144</v>
      </c>
      <c r="M4652">
        <v>0.99956780000000001</v>
      </c>
      <c r="N4652">
        <v>-1.3470650000000001E-2</v>
      </c>
      <c r="O4652">
        <v>2.612975E-2</v>
      </c>
      <c r="P4652">
        <v>0.98177250000000005</v>
      </c>
      <c r="Q4652">
        <v>0.18618029999999999</v>
      </c>
      <c r="R4652">
        <v>-3.8206709999999998E-2</v>
      </c>
      <c r="S4652">
        <v>3.0973820000000001</v>
      </c>
      <c r="T4652">
        <v>-0.2179818</v>
      </c>
      <c r="U4652">
        <v>2.4627690000000001E-2</v>
      </c>
      <c r="V4652">
        <v>6.3855439999999999E-2</v>
      </c>
      <c r="W4652">
        <v>0.19936860000000001</v>
      </c>
      <c r="X4652">
        <v>0.97784190000000004</v>
      </c>
      <c r="Y4652">
        <v>1.8087590000000001E-2</v>
      </c>
      <c r="Z4652">
        <v>-2.242408E-3</v>
      </c>
      <c r="AA4652">
        <v>0.99983390000000005</v>
      </c>
      <c r="AB4652">
        <v>28</v>
      </c>
      <c r="AC4652">
        <v>15.785799999999901</v>
      </c>
      <c r="AD4652">
        <v>-1.1213513553979999</v>
      </c>
      <c r="AE4652">
        <v>0.12277</v>
      </c>
      <c r="AF4652">
        <v>0.28833350800636098</v>
      </c>
      <c r="AG4652">
        <v>-1.1213513553979999</v>
      </c>
      <c r="AH4652">
        <v>15.7043773153729</v>
      </c>
      <c r="AI4652">
        <v>94.083515682325697</v>
      </c>
      <c r="AJ4652">
        <v>88.948163505186102</v>
      </c>
      <c r="AK4652">
        <v>15.747000728319399</v>
      </c>
      <c r="AL4652">
        <v>78.499961883786099</v>
      </c>
      <c r="AM4652">
        <v>86.263752018478201</v>
      </c>
      <c r="AN4652">
        <v>1.00000006863957</v>
      </c>
    </row>
    <row r="4653" spans="1:40" x14ac:dyDescent="0.25">
      <c r="A4653" t="str">
        <f>"20190303170631671"</f>
        <v>20190303170631671</v>
      </c>
      <c r="B4653" t="str">
        <f>"1551603991659896"</f>
        <v>1551603991659896</v>
      </c>
      <c r="C4653" t="s">
        <v>40</v>
      </c>
      <c r="D4653">
        <v>5.9510079999999999</v>
      </c>
      <c r="E4653">
        <v>0.48807679999999998</v>
      </c>
      <c r="F4653" t="s">
        <v>41</v>
      </c>
      <c r="G4653">
        <v>-331.1139</v>
      </c>
      <c r="H4653" s="1">
        <v>-4.4987790000000001E-6</v>
      </c>
      <c r="I4653">
        <v>15.64554</v>
      </c>
      <c r="J4653">
        <v>-347.09719999999999</v>
      </c>
      <c r="K4653">
        <v>1.1213580000000001</v>
      </c>
      <c r="L4653">
        <v>15.5181</v>
      </c>
      <c r="M4653">
        <v>0.9995676</v>
      </c>
      <c r="N4653">
        <v>-1.346985E-2</v>
      </c>
      <c r="O4653">
        <v>2.6145149999999999E-2</v>
      </c>
      <c r="P4653">
        <v>0.98154940000000002</v>
      </c>
      <c r="Q4653">
        <v>0.18732799999999999</v>
      </c>
      <c r="R4653">
        <v>-3.833379E-2</v>
      </c>
      <c r="S4653">
        <v>3.097534</v>
      </c>
      <c r="T4653">
        <v>-0.2154257</v>
      </c>
      <c r="U4653">
        <v>2.5207520000000001E-2</v>
      </c>
      <c r="V4653">
        <v>6.3988050000000005E-2</v>
      </c>
      <c r="W4653">
        <v>0.20051359999999999</v>
      </c>
      <c r="X4653">
        <v>0.977599</v>
      </c>
      <c r="Y4653">
        <v>1.7919040000000001E-2</v>
      </c>
      <c r="Z4653">
        <v>-2.2072390000000002E-3</v>
      </c>
      <c r="AA4653">
        <v>0.99983699999999998</v>
      </c>
      <c r="AB4653">
        <v>28</v>
      </c>
      <c r="AC4653">
        <v>15.9832999999999</v>
      </c>
      <c r="AD4653">
        <v>-1.1213624987790001</v>
      </c>
      <c r="AE4653">
        <v>0.127439999999998</v>
      </c>
      <c r="AF4653">
        <v>0.289104243256261</v>
      </c>
      <c r="AG4653">
        <v>-1.1213624987790001</v>
      </c>
      <c r="AH4653">
        <v>15.9028952365374</v>
      </c>
      <c r="AI4653">
        <v>94.032763073091303</v>
      </c>
      <c r="AJ4653">
        <v>88.958514892699199</v>
      </c>
      <c r="AK4653">
        <v>15.9450027287994</v>
      </c>
      <c r="AL4653">
        <v>78.433005315662697</v>
      </c>
      <c r="AM4653">
        <v>86.255087310013195</v>
      </c>
      <c r="AN4653">
        <v>0.99999998956438096</v>
      </c>
    </row>
    <row r="4654" spans="1:40" x14ac:dyDescent="0.25">
      <c r="A4654" t="str">
        <f>"20190303170631689"</f>
        <v>20190303170631689</v>
      </c>
      <c r="B4654" t="str">
        <f>"1551603991679416"</f>
        <v>1551603991679416</v>
      </c>
      <c r="C4654" t="s">
        <v>40</v>
      </c>
      <c r="D4654">
        <v>5.8858730000000001</v>
      </c>
      <c r="E4654">
        <v>0.48814990000000003</v>
      </c>
      <c r="F4654" t="s">
        <v>41</v>
      </c>
      <c r="G4654">
        <v>-330.68880000000001</v>
      </c>
      <c r="H4654" s="1">
        <v>-4.67981999999999E-6</v>
      </c>
      <c r="I4654">
        <v>15.652990000000001</v>
      </c>
      <c r="J4654">
        <v>-346.87599999999998</v>
      </c>
      <c r="K4654">
        <v>1.121372</v>
      </c>
      <c r="L4654">
        <v>15.523899999999999</v>
      </c>
      <c r="M4654">
        <v>0.99956650000000002</v>
      </c>
      <c r="N4654">
        <v>-1.3468600000000001E-2</v>
      </c>
      <c r="O4654">
        <v>2.6181200000000002E-2</v>
      </c>
      <c r="P4654">
        <v>0.9811609</v>
      </c>
      <c r="Q4654">
        <v>0.18925339999999999</v>
      </c>
      <c r="R4654">
        <v>-3.8815229999999999E-2</v>
      </c>
      <c r="S4654">
        <v>3.0978089999999998</v>
      </c>
      <c r="T4654">
        <v>-0.21170559999999999</v>
      </c>
      <c r="U4654">
        <v>2.548218E-2</v>
      </c>
      <c r="V4654">
        <v>6.4487660000000002E-2</v>
      </c>
      <c r="W4654">
        <v>0.2024347</v>
      </c>
      <c r="X4654">
        <v>0.97717019999999999</v>
      </c>
      <c r="Y4654">
        <v>1.787066E-2</v>
      </c>
      <c r="Z4654">
        <v>-2.1650189999999998E-3</v>
      </c>
      <c r="AA4654">
        <v>0.99983789999999995</v>
      </c>
      <c r="AB4654">
        <v>28</v>
      </c>
      <c r="AC4654">
        <v>16.187199999999901</v>
      </c>
      <c r="AD4654">
        <v>-1.12137667982</v>
      </c>
      <c r="AE4654">
        <v>0.12908999999999901</v>
      </c>
      <c r="AF4654">
        <v>0.29338511947170298</v>
      </c>
      <c r="AG4654">
        <v>-1.12137667982</v>
      </c>
      <c r="AH4654">
        <v>16.1077326157512</v>
      </c>
      <c r="AI4654">
        <v>93.981693289670702</v>
      </c>
      <c r="AJ4654">
        <v>88.956534043119305</v>
      </c>
      <c r="AK4654">
        <v>16.149384214480399</v>
      </c>
      <c r="AL4654">
        <v>78.320630498558103</v>
      </c>
      <c r="AM4654">
        <v>86.224280379129297</v>
      </c>
      <c r="AN4654">
        <v>1.0000000329122001</v>
      </c>
    </row>
    <row r="4655" spans="1:40" x14ac:dyDescent="0.25">
      <c r="A4655" t="str">
        <f>"20190303170631699"</f>
        <v>20190303170631699</v>
      </c>
      <c r="B4655" t="str">
        <f>"1551603991689177"</f>
        <v>1551603991689177</v>
      </c>
      <c r="C4655" t="s">
        <v>40</v>
      </c>
      <c r="D4655">
        <v>5.9441040000000003</v>
      </c>
      <c r="E4655">
        <v>0.4882011</v>
      </c>
      <c r="F4655" t="s">
        <v>41</v>
      </c>
      <c r="G4655">
        <v>-329.99009999999998</v>
      </c>
      <c r="H4655" s="1">
        <v>-4.9784800000000001E-6</v>
      </c>
      <c r="I4655">
        <v>15.65887</v>
      </c>
      <c r="J4655">
        <v>-346.73090000000002</v>
      </c>
      <c r="K4655">
        <v>1.1213850000000001</v>
      </c>
      <c r="L4655">
        <v>15.527710000000001</v>
      </c>
      <c r="M4655">
        <v>0.9995657</v>
      </c>
      <c r="N4655">
        <v>-1.34678E-2</v>
      </c>
      <c r="O4655">
        <v>2.6213259999999999E-2</v>
      </c>
      <c r="P4655">
        <v>0.98108550000000005</v>
      </c>
      <c r="Q4655">
        <v>0.1896118</v>
      </c>
      <c r="R4655">
        <v>-3.8969879999999998E-2</v>
      </c>
      <c r="S4655">
        <v>3.0982970000000001</v>
      </c>
      <c r="T4655">
        <v>-0.20575499999999999</v>
      </c>
      <c r="U4655">
        <v>2.478027E-2</v>
      </c>
      <c r="V4655">
        <v>6.4666699999999994E-2</v>
      </c>
      <c r="W4655">
        <v>0.2027929</v>
      </c>
      <c r="X4655">
        <v>0.97708410000000001</v>
      </c>
      <c r="Y4655">
        <v>1.8135040000000002E-2</v>
      </c>
      <c r="Z4655">
        <v>-2.109667E-3</v>
      </c>
      <c r="AA4655">
        <v>0.99983330000000004</v>
      </c>
      <c r="AB4655">
        <v>28</v>
      </c>
      <c r="AC4655">
        <v>16.7408</v>
      </c>
      <c r="AD4655">
        <v>-1.1213899784799899</v>
      </c>
      <c r="AE4655">
        <v>0.131159999999999</v>
      </c>
      <c r="AF4655">
        <v>0.30638113833263902</v>
      </c>
      <c r="AG4655">
        <v>-1.1213899784799899</v>
      </c>
      <c r="AH4655">
        <v>16.663718465160802</v>
      </c>
      <c r="AI4655">
        <v>93.849283540642602</v>
      </c>
      <c r="AJ4655">
        <v>88.946671566267298</v>
      </c>
      <c r="AK4655">
        <v>16.704217969480101</v>
      </c>
      <c r="AL4655">
        <v>78.299672543484107</v>
      </c>
      <c r="AM4655">
        <v>86.213495462019694</v>
      </c>
      <c r="AN4655">
        <v>1.0000000404260501</v>
      </c>
    </row>
    <row r="4656" spans="1:40" x14ac:dyDescent="0.25">
      <c r="A4656" t="str">
        <f>"20190303170631721"</f>
        <v>20190303170631721</v>
      </c>
      <c r="B4656" t="str">
        <f>"1551603991709672"</f>
        <v>1551603991709672</v>
      </c>
      <c r="C4656" t="s">
        <v>40</v>
      </c>
      <c r="D4656">
        <v>5.9481840000000004</v>
      </c>
      <c r="E4656">
        <v>0.4883229</v>
      </c>
      <c r="F4656" t="s">
        <v>41</v>
      </c>
      <c r="G4656">
        <v>-329.75779999999997</v>
      </c>
      <c r="H4656" s="1">
        <v>-1.130125E-6</v>
      </c>
      <c r="I4656">
        <v>15.65911</v>
      </c>
      <c r="J4656">
        <v>-346.47129999999999</v>
      </c>
      <c r="K4656">
        <v>1.121407</v>
      </c>
      <c r="L4656">
        <v>15.534610000000001</v>
      </c>
      <c r="M4656">
        <v>0.9995638</v>
      </c>
      <c r="N4656">
        <v>-1.346636E-2</v>
      </c>
      <c r="O4656">
        <v>2.6287959999999999E-2</v>
      </c>
      <c r="P4656">
        <v>0.98117719999999997</v>
      </c>
      <c r="Q4656">
        <v>0.18917239999999999</v>
      </c>
      <c r="R4656">
        <v>-3.8796329999999997E-2</v>
      </c>
      <c r="S4656">
        <v>3.0983890000000001</v>
      </c>
      <c r="T4656">
        <v>-0.2047062</v>
      </c>
      <c r="U4656">
        <v>2.3986819999999999E-2</v>
      </c>
      <c r="V4656">
        <v>6.4559729999999996E-2</v>
      </c>
      <c r="W4656">
        <v>0.2023557</v>
      </c>
      <c r="X4656">
        <v>0.97718179999999999</v>
      </c>
      <c r="Y4656">
        <v>1.8465970000000002E-2</v>
      </c>
      <c r="Z4656">
        <v>-2.1147929999999998E-3</v>
      </c>
      <c r="AA4656">
        <v>0.99982729999999997</v>
      </c>
      <c r="AB4656">
        <v>28</v>
      </c>
      <c r="AC4656">
        <v>16.7135</v>
      </c>
      <c r="AD4656">
        <v>-1.1214081301250001</v>
      </c>
      <c r="AE4656">
        <v>0.124499999999999</v>
      </c>
      <c r="AF4656">
        <v>0.31353523900261099</v>
      </c>
      <c r="AG4656">
        <v>-1.1214081301250001</v>
      </c>
      <c r="AH4656">
        <v>16.63610674129</v>
      </c>
      <c r="AI4656">
        <v>93.855682397405005</v>
      </c>
      <c r="AJ4656">
        <v>88.920293088577296</v>
      </c>
      <c r="AK4656">
        <v>16.676807489684599</v>
      </c>
      <c r="AL4656">
        <v>78.325252478258193</v>
      </c>
      <c r="AM4656">
        <v>86.220117684433603</v>
      </c>
      <c r="AN4656">
        <v>1.0000000291557001</v>
      </c>
    </row>
    <row r="4657" spans="1:40" x14ac:dyDescent="0.25">
      <c r="A4657" t="str">
        <f>"20190303170631734"</f>
        <v>20190303170631734</v>
      </c>
      <c r="B4657" t="str">
        <f>"1551603991719432"</f>
        <v>1551603991719432</v>
      </c>
      <c r="C4657" t="s">
        <v>40</v>
      </c>
      <c r="D4657">
        <v>5.9650949999999998</v>
      </c>
      <c r="E4657">
        <v>0.48838179999999998</v>
      </c>
      <c r="F4657" t="s">
        <v>41</v>
      </c>
      <c r="G4657">
        <v>-329.62889999999999</v>
      </c>
      <c r="H4657" s="1">
        <v>-1.17869E-6</v>
      </c>
      <c r="I4657">
        <v>15.6626799999999</v>
      </c>
      <c r="J4657">
        <v>-346.31389999999999</v>
      </c>
      <c r="K4657">
        <v>1.121416</v>
      </c>
      <c r="L4657">
        <v>15.538790000000001</v>
      </c>
      <c r="M4657">
        <v>0.99956230000000001</v>
      </c>
      <c r="N4657">
        <v>-1.346549E-2</v>
      </c>
      <c r="O4657">
        <v>2.6342649999999999E-2</v>
      </c>
      <c r="P4657">
        <v>0.98122509999999996</v>
      </c>
      <c r="Q4657">
        <v>0.18890309999999999</v>
      </c>
      <c r="R4657">
        <v>-3.8901869999999998E-2</v>
      </c>
      <c r="S4657">
        <v>3.0982669999999999</v>
      </c>
      <c r="T4657">
        <v>-0.20629020000000001</v>
      </c>
      <c r="U4657">
        <v>2.3559569999999998E-2</v>
      </c>
      <c r="V4657">
        <v>6.471528E-2</v>
      </c>
      <c r="W4657">
        <v>0.20208770000000001</v>
      </c>
      <c r="X4657">
        <v>0.97722690000000001</v>
      </c>
      <c r="Y4657">
        <v>1.8656249999999999E-2</v>
      </c>
      <c r="Z4657">
        <v>-2.1435199999999999E-3</v>
      </c>
      <c r="AA4657">
        <v>0.99982360000000003</v>
      </c>
      <c r="AB4657">
        <v>28</v>
      </c>
      <c r="AC4657">
        <v>16.684999999999999</v>
      </c>
      <c r="AD4657">
        <v>-1.12141717869</v>
      </c>
      <c r="AE4657">
        <v>0.123889999999999</v>
      </c>
      <c r="AF4657">
        <v>0.31430023880806801</v>
      </c>
      <c r="AG4657">
        <v>-1.12141717869</v>
      </c>
      <c r="AH4657">
        <v>16.607455427716701</v>
      </c>
      <c r="AI4657">
        <v>93.862339493542805</v>
      </c>
      <c r="AJ4657">
        <v>88.915792502398602</v>
      </c>
      <c r="AK4657">
        <v>16.6482412558316</v>
      </c>
      <c r="AL4657">
        <v>78.340930865365294</v>
      </c>
      <c r="AM4657">
        <v>86.211211300253197</v>
      </c>
      <c r="AN4657">
        <v>0.99999996002018798</v>
      </c>
    </row>
    <row r="4658" spans="1:40" x14ac:dyDescent="0.25">
      <c r="A4658" t="str">
        <f>"20190303170631746"</f>
        <v>20190303170631746</v>
      </c>
      <c r="B4658" t="str">
        <f>"1551603991739928"</f>
        <v>1551603991739928</v>
      </c>
      <c r="C4658" t="s">
        <v>40</v>
      </c>
      <c r="D4658">
        <v>5.9447710000000002</v>
      </c>
      <c r="E4658">
        <v>0.4884753</v>
      </c>
      <c r="F4658" t="s">
        <v>41</v>
      </c>
      <c r="G4658">
        <v>-329.52710000000002</v>
      </c>
      <c r="H4658" s="1">
        <v>-1.2180419999999999E-6</v>
      </c>
      <c r="I4658">
        <v>15.66165</v>
      </c>
      <c r="J4658">
        <v>-346.15300000000002</v>
      </c>
      <c r="K4658">
        <v>1.121424</v>
      </c>
      <c r="L4658">
        <v>15.543089999999999</v>
      </c>
      <c r="M4658">
        <v>0.99956069999999997</v>
      </c>
      <c r="N4658">
        <v>-1.346461E-2</v>
      </c>
      <c r="O4658">
        <v>2.640205E-2</v>
      </c>
      <c r="P4658">
        <v>0.9813035</v>
      </c>
      <c r="Q4658">
        <v>0.188444</v>
      </c>
      <c r="R4658">
        <v>-3.9141910000000002E-2</v>
      </c>
      <c r="S4658">
        <v>3.0981139999999998</v>
      </c>
      <c r="T4658">
        <v>-0.20696519999999999</v>
      </c>
      <c r="U4658">
        <v>2.267456E-2</v>
      </c>
      <c r="V4658">
        <v>6.5011609999999997E-2</v>
      </c>
      <c r="W4658">
        <v>0.20163</v>
      </c>
      <c r="X4658">
        <v>0.9773018</v>
      </c>
      <c r="Y4658">
        <v>1.899926E-2</v>
      </c>
      <c r="Z4658">
        <v>-2.1683230000000002E-3</v>
      </c>
      <c r="AA4658">
        <v>0.99981710000000001</v>
      </c>
      <c r="AB4658">
        <v>28</v>
      </c>
      <c r="AC4658">
        <v>16.625900000000001</v>
      </c>
      <c r="AD4658">
        <v>-1.1214252180419999</v>
      </c>
      <c r="AE4658">
        <v>0.11856</v>
      </c>
      <c r="AF4658">
        <v>0.319027620909416</v>
      </c>
      <c r="AG4658">
        <v>-1.1214252180419999</v>
      </c>
      <c r="AH4658">
        <v>16.547951527831898</v>
      </c>
      <c r="AI4658">
        <v>93.876187214069802</v>
      </c>
      <c r="AJ4658">
        <v>88.895532654433097</v>
      </c>
      <c r="AK4658">
        <v>16.588974438163302</v>
      </c>
      <c r="AL4658">
        <v>78.367706649856302</v>
      </c>
      <c r="AM4658">
        <v>86.194204227462293</v>
      </c>
      <c r="AN4658">
        <v>0.99999998730901596</v>
      </c>
    </row>
    <row r="4659" spans="1:40" x14ac:dyDescent="0.25">
      <c r="A4659" t="str">
        <f>"20190303170631758"</f>
        <v>20190303170631758</v>
      </c>
      <c r="B4659" t="str">
        <f>"1551603991749688"</f>
        <v>1551603991749688</v>
      </c>
      <c r="C4659" t="s">
        <v>40</v>
      </c>
      <c r="D4659">
        <v>5.9656890000000002</v>
      </c>
      <c r="E4659">
        <v>0.48853839999999998</v>
      </c>
      <c r="F4659" t="s">
        <v>41</v>
      </c>
      <c r="G4659">
        <v>-329.54039999999998</v>
      </c>
      <c r="H4659" s="1">
        <v>-1.2149169999999901E-6</v>
      </c>
      <c r="I4659">
        <v>15.654199999999999</v>
      </c>
      <c r="J4659">
        <v>-346.00819999999999</v>
      </c>
      <c r="K4659">
        <v>1.121424</v>
      </c>
      <c r="L4659">
        <v>15.54697</v>
      </c>
      <c r="M4659">
        <v>0.99955930000000004</v>
      </c>
      <c r="N4659">
        <v>-1.3463839999999999E-2</v>
      </c>
      <c r="O4659">
        <v>2.6459719999999999E-2</v>
      </c>
      <c r="P4659">
        <v>0.98125660000000003</v>
      </c>
      <c r="Q4659">
        <v>0.18857879999999999</v>
      </c>
      <c r="R4659">
        <v>-3.9671860000000003E-2</v>
      </c>
      <c r="S4659">
        <v>3.0981139999999998</v>
      </c>
      <c r="T4659">
        <v>-0.20913709999999999</v>
      </c>
      <c r="U4659">
        <v>2.0721440000000001E-2</v>
      </c>
      <c r="V4659">
        <v>6.5593529999999997E-2</v>
      </c>
      <c r="W4659">
        <v>0.2017641</v>
      </c>
      <c r="X4659">
        <v>0.97723530000000003</v>
      </c>
      <c r="Y4659">
        <v>1.9683289999999999E-2</v>
      </c>
      <c r="Z4659">
        <v>-2.2242210000000002E-3</v>
      </c>
      <c r="AA4659">
        <v>0.99980380000000002</v>
      </c>
      <c r="AB4659">
        <v>28</v>
      </c>
      <c r="AC4659">
        <v>16.4678</v>
      </c>
      <c r="AD4659">
        <v>-1.1214252149170001</v>
      </c>
      <c r="AE4659">
        <v>0.10722999999999699</v>
      </c>
      <c r="AF4659">
        <v>0.32706374245893499</v>
      </c>
      <c r="AG4659">
        <v>-1.1214252149170001</v>
      </c>
      <c r="AH4659">
        <v>16.388873140334798</v>
      </c>
      <c r="AI4659">
        <v>93.913643168518604</v>
      </c>
      <c r="AJ4659">
        <v>88.856731344809106</v>
      </c>
      <c r="AK4659">
        <v>16.4304512419553</v>
      </c>
      <c r="AL4659">
        <v>78.3598627726453</v>
      </c>
      <c r="AM4659">
        <v>86.1599794318021</v>
      </c>
      <c r="AN4659">
        <v>1.0000000473963699</v>
      </c>
    </row>
    <row r="4660" spans="1:40" x14ac:dyDescent="0.25">
      <c r="A4660" t="str">
        <f>"20190303170631771"</f>
        <v>20190303170631771</v>
      </c>
      <c r="B4660" t="str">
        <f>"1551603991759449"</f>
        <v>1551603991759449</v>
      </c>
      <c r="C4660" t="s">
        <v>40</v>
      </c>
      <c r="D4660">
        <v>5.9544439999999996</v>
      </c>
      <c r="E4660">
        <v>0.48857879999999998</v>
      </c>
      <c r="F4660" t="s">
        <v>41</v>
      </c>
      <c r="G4660">
        <v>-329.37290000000002</v>
      </c>
      <c r="H4660" s="1">
        <v>-1.2813360000000001E-6</v>
      </c>
      <c r="I4660">
        <v>15.646430000000001</v>
      </c>
      <c r="J4660">
        <v>-345.85320000000002</v>
      </c>
      <c r="K4660">
        <v>1.121429</v>
      </c>
      <c r="L4660">
        <v>15.551119999999999</v>
      </c>
      <c r="M4660">
        <v>0.99955760000000005</v>
      </c>
      <c r="N4660">
        <v>-1.3462999999999999E-2</v>
      </c>
      <c r="O4660">
        <v>2.652465E-2</v>
      </c>
      <c r="P4660">
        <v>0.98117719999999997</v>
      </c>
      <c r="Q4660">
        <v>0.188888</v>
      </c>
      <c r="R4660">
        <v>-4.0160090000000002E-2</v>
      </c>
      <c r="S4660">
        <v>3.098236</v>
      </c>
      <c r="T4660">
        <v>-0.20885919999999999</v>
      </c>
      <c r="U4660">
        <v>1.852417E-2</v>
      </c>
      <c r="V4660">
        <v>6.6140950000000004E-2</v>
      </c>
      <c r="W4660">
        <v>0.20207230000000001</v>
      </c>
      <c r="X4660">
        <v>0.97713459999999996</v>
      </c>
      <c r="Y4660">
        <v>2.0455600000000001E-2</v>
      </c>
      <c r="Z4660">
        <v>-2.2556070000000002E-3</v>
      </c>
      <c r="AA4660">
        <v>0.99978820000000002</v>
      </c>
      <c r="AB4660">
        <v>28</v>
      </c>
      <c r="AC4660">
        <v>16.4803</v>
      </c>
      <c r="AD4660">
        <v>-1.121430281336</v>
      </c>
      <c r="AE4660">
        <v>9.5309999999997799E-2</v>
      </c>
      <c r="AF4660">
        <v>0.34032154868235298</v>
      </c>
      <c r="AG4660">
        <v>-1.121430281336</v>
      </c>
      <c r="AH4660">
        <v>16.401088477748399</v>
      </c>
      <c r="AI4660">
        <v>93.910692058423095</v>
      </c>
      <c r="AJ4660">
        <v>88.811286783067601</v>
      </c>
      <c r="AK4660">
        <v>16.442905092693501</v>
      </c>
      <c r="AL4660">
        <v>78.341831489555204</v>
      </c>
      <c r="AM4660">
        <v>86.127631264783901</v>
      </c>
      <c r="AN4660">
        <v>0.99999993310567303</v>
      </c>
    </row>
    <row r="4661" spans="1:40" x14ac:dyDescent="0.25">
      <c r="A4661" t="str">
        <f>"20190303170631784"</f>
        <v>20190303170631784</v>
      </c>
      <c r="B4661" t="str">
        <f>"1551603991779944"</f>
        <v>1551603991779944</v>
      </c>
      <c r="C4661" t="s">
        <v>40</v>
      </c>
      <c r="D4661">
        <v>5.9283229999999998</v>
      </c>
      <c r="E4661">
        <v>0.48866300000000001</v>
      </c>
      <c r="F4661" t="s">
        <v>41</v>
      </c>
      <c r="G4661">
        <v>-329.12509999999997</v>
      </c>
      <c r="H4661" s="1">
        <v>-1.377059E-6</v>
      </c>
      <c r="I4661">
        <v>15.644209999999999</v>
      </c>
      <c r="J4661">
        <v>-345.6841</v>
      </c>
      <c r="K4661">
        <v>1.1214329999999999</v>
      </c>
      <c r="L4661">
        <v>15.55566</v>
      </c>
      <c r="M4661">
        <v>0.99955559999999999</v>
      </c>
      <c r="N4661">
        <v>-1.346208E-2</v>
      </c>
      <c r="O4661">
        <v>2.6597550000000001E-2</v>
      </c>
      <c r="P4661">
        <v>0.98110039999999998</v>
      </c>
      <c r="Q4661">
        <v>0.18910160000000001</v>
      </c>
      <c r="R4661">
        <v>-4.1022759999999998E-2</v>
      </c>
      <c r="S4661">
        <v>3.098236</v>
      </c>
      <c r="T4661">
        <v>-0.20770179999999999</v>
      </c>
      <c r="U4661">
        <v>1.724243E-2</v>
      </c>
      <c r="V4661">
        <v>6.707072E-2</v>
      </c>
      <c r="W4661">
        <v>0.2022843</v>
      </c>
      <c r="X4661">
        <v>0.97702739999999999</v>
      </c>
      <c r="Y4661">
        <v>2.094178E-2</v>
      </c>
      <c r="Z4661">
        <v>-2.265394E-3</v>
      </c>
      <c r="AA4661">
        <v>0.99977819999999995</v>
      </c>
      <c r="AB4661">
        <v>28</v>
      </c>
      <c r="AC4661">
        <v>16.559000000000001</v>
      </c>
      <c r="AD4661">
        <v>-1.1214343770589901</v>
      </c>
      <c r="AE4661">
        <v>8.8549999999999601E-2</v>
      </c>
      <c r="AF4661">
        <v>0.350343268912362</v>
      </c>
      <c r="AG4661">
        <v>-1.1214343770589901</v>
      </c>
      <c r="AH4661">
        <v>16.479913529707801</v>
      </c>
      <c r="AI4661">
        <v>93.892017175779998</v>
      </c>
      <c r="AJ4661">
        <v>88.782143635934304</v>
      </c>
      <c r="AK4661">
        <v>16.521740386980099</v>
      </c>
      <c r="AL4661">
        <v>78.329429203159407</v>
      </c>
      <c r="AM4661">
        <v>86.072935442907493</v>
      </c>
      <c r="AN4661">
        <v>0.99999997992928402</v>
      </c>
    </row>
    <row r="4662" spans="1:40" x14ac:dyDescent="0.25">
      <c r="A4662" t="str">
        <f>"20190303170631802"</f>
        <v>20190303170631802</v>
      </c>
      <c r="B4662" t="str">
        <f>"1551603991789703"</f>
        <v>1551603991789703</v>
      </c>
      <c r="C4662" t="s">
        <v>40</v>
      </c>
      <c r="D4662">
        <v>5.9163420000000002</v>
      </c>
      <c r="E4662">
        <v>0.48870560000000002</v>
      </c>
      <c r="F4662" t="s">
        <v>41</v>
      </c>
      <c r="G4662">
        <v>-328.92720000000003</v>
      </c>
      <c r="H4662" s="1">
        <v>-1.4554779999999999E-6</v>
      </c>
      <c r="I4662">
        <v>15.63522</v>
      </c>
      <c r="J4662">
        <v>-345.4828</v>
      </c>
      <c r="K4662">
        <v>1.1214379999999999</v>
      </c>
      <c r="L4662">
        <v>15.5611</v>
      </c>
      <c r="M4662">
        <v>0.99955329999999998</v>
      </c>
      <c r="N4662">
        <v>-1.3461000000000001E-2</v>
      </c>
      <c r="O4662">
        <v>2.668676E-2</v>
      </c>
      <c r="P4662">
        <v>0.98085469999999997</v>
      </c>
      <c r="Q4662">
        <v>0.1900297</v>
      </c>
      <c r="R4662">
        <v>-4.2580720000000002E-2</v>
      </c>
      <c r="S4662">
        <v>3.098328</v>
      </c>
      <c r="T4662">
        <v>-0.2073509</v>
      </c>
      <c r="U4662">
        <v>1.4709470000000001E-2</v>
      </c>
      <c r="V4662">
        <v>6.8707740000000003E-2</v>
      </c>
      <c r="W4662">
        <v>0.2032079</v>
      </c>
      <c r="X4662">
        <v>0.97672190000000003</v>
      </c>
      <c r="Y4662">
        <v>2.1846270000000001E-2</v>
      </c>
      <c r="Z4662">
        <v>-2.302251E-3</v>
      </c>
      <c r="AA4662">
        <v>0.9997587</v>
      </c>
      <c r="AB4662">
        <v>28</v>
      </c>
      <c r="AC4662">
        <v>16.555599999999899</v>
      </c>
      <c r="AD4662">
        <v>-1.1214394554779901</v>
      </c>
      <c r="AE4662">
        <v>7.4120000000000602E-2</v>
      </c>
      <c r="AF4662">
        <v>0.36608202120570699</v>
      </c>
      <c r="AG4662">
        <v>-1.1214394554779901</v>
      </c>
      <c r="AH4662">
        <v>16.476083334232499</v>
      </c>
      <c r="AI4662">
        <v>93.892855776152402</v>
      </c>
      <c r="AJ4662">
        <v>88.727154767156094</v>
      </c>
      <c r="AK4662">
        <v>16.518261547000801</v>
      </c>
      <c r="AL4662">
        <v>78.275387954300498</v>
      </c>
      <c r="AM4662">
        <v>85.9761429856691</v>
      </c>
      <c r="AN4662">
        <v>0.99999993704896095</v>
      </c>
    </row>
    <row r="4663" spans="1:40" x14ac:dyDescent="0.25">
      <c r="A4663" t="str">
        <f>"20190303170631818"</f>
        <v>20190303170631818</v>
      </c>
      <c r="B4663" t="str">
        <f>"1551603991809224"</f>
        <v>1551603991809224</v>
      </c>
      <c r="C4663" t="s">
        <v>40</v>
      </c>
      <c r="D4663">
        <v>5.9872310000000004</v>
      </c>
      <c r="E4663">
        <v>0.51182729999999999</v>
      </c>
      <c r="F4663" t="s">
        <v>41</v>
      </c>
      <c r="G4663">
        <v>-328.5197</v>
      </c>
      <c r="H4663" s="1">
        <v>-1.616349E-6</v>
      </c>
      <c r="I4663">
        <v>15.61857</v>
      </c>
      <c r="J4663">
        <v>-345.2878</v>
      </c>
      <c r="K4663">
        <v>1.1214390000000001</v>
      </c>
      <c r="L4663">
        <v>15.566409999999999</v>
      </c>
      <c r="M4663">
        <v>0.99955110000000003</v>
      </c>
      <c r="N4663">
        <v>-1.3459860000000001E-2</v>
      </c>
      <c r="O4663">
        <v>2.6772730000000002E-2</v>
      </c>
      <c r="P4663">
        <v>0.98078989999999999</v>
      </c>
      <c r="Q4663">
        <v>0.1902489</v>
      </c>
      <c r="R4663">
        <v>-4.3091709999999998E-2</v>
      </c>
      <c r="S4663">
        <v>3.0987239999999998</v>
      </c>
      <c r="T4663">
        <v>-0.20485929999999999</v>
      </c>
      <c r="U4663">
        <v>1.049805E-2</v>
      </c>
      <c r="V4663">
        <v>6.9300470000000003E-2</v>
      </c>
      <c r="W4663">
        <v>0.20342550000000001</v>
      </c>
      <c r="X4663">
        <v>0.97663480000000003</v>
      </c>
      <c r="Y4663">
        <v>2.3290109999999999E-2</v>
      </c>
      <c r="Z4663">
        <v>-2.333735E-3</v>
      </c>
      <c r="AA4663">
        <v>0.999726</v>
      </c>
      <c r="AB4663">
        <v>28</v>
      </c>
      <c r="AC4663">
        <v>16.7681</v>
      </c>
      <c r="AD4663">
        <v>-1.1214406163489901</v>
      </c>
      <c r="AE4663">
        <v>5.2160000000000602E-2</v>
      </c>
      <c r="AF4663">
        <v>0.39506007770426099</v>
      </c>
      <c r="AG4663">
        <v>-1.1214406163489901</v>
      </c>
      <c r="AH4663">
        <v>16.6888388761096</v>
      </c>
      <c r="AI4663">
        <v>93.843254164365007</v>
      </c>
      <c r="AJ4663">
        <v>88.643941099761093</v>
      </c>
      <c r="AK4663">
        <v>16.731139965756601</v>
      </c>
      <c r="AL4663">
        <v>78.262655305919196</v>
      </c>
      <c r="AM4663">
        <v>85.941184618591507</v>
      </c>
      <c r="AN4663">
        <v>1.0000000108817499</v>
      </c>
    </row>
    <row r="4664" spans="1:40" x14ac:dyDescent="0.25">
      <c r="A4664" t="str">
        <f>"20190303170631834"</f>
        <v>20190303170631834</v>
      </c>
      <c r="B4664" t="str">
        <f>"1551603991819962"</f>
        <v>1551603991819962</v>
      </c>
      <c r="C4664" t="s">
        <v>40</v>
      </c>
      <c r="D4664">
        <v>5.9344250000000001</v>
      </c>
      <c r="E4664">
        <v>0.5177349</v>
      </c>
      <c r="F4664" t="s">
        <v>41</v>
      </c>
      <c r="G4664">
        <v>-328.18880000000001</v>
      </c>
      <c r="H4664" s="1">
        <v>-2.0159360000000002E-6</v>
      </c>
      <c r="I4664">
        <v>14.59449</v>
      </c>
      <c r="J4664">
        <v>-345.07870000000003</v>
      </c>
      <c r="K4664">
        <v>1.1214379999999999</v>
      </c>
      <c r="L4664">
        <v>15.572050000000001</v>
      </c>
      <c r="M4664">
        <v>0.99954849999999995</v>
      </c>
      <c r="N4664">
        <v>-1.3458700000000001E-2</v>
      </c>
      <c r="O4664">
        <v>2.686376E-2</v>
      </c>
      <c r="P4664">
        <v>0.98073759999999999</v>
      </c>
      <c r="Q4664">
        <v>0.1901159</v>
      </c>
      <c r="R4664">
        <v>-4.4832950000000003E-2</v>
      </c>
      <c r="S4664">
        <v>3.0903930000000002</v>
      </c>
      <c r="T4664">
        <v>-0.20268320000000001</v>
      </c>
      <c r="U4664">
        <v>-0.17565919999999999</v>
      </c>
      <c r="V4664">
        <v>7.1128469999999999E-2</v>
      </c>
      <c r="W4664">
        <v>0.20329050000000001</v>
      </c>
      <c r="X4664">
        <v>0.97653140000000005</v>
      </c>
      <c r="Y4664">
        <v>8.3299639999999994E-2</v>
      </c>
      <c r="Z4664">
        <v>-4.6860249999999999E-3</v>
      </c>
      <c r="AA4664">
        <v>0.99651350000000005</v>
      </c>
      <c r="AB4664">
        <v>28</v>
      </c>
      <c r="AC4664">
        <v>16.889900000000001</v>
      </c>
      <c r="AD4664">
        <v>-1.1214400159359901</v>
      </c>
      <c r="AE4664">
        <v>-0.97756000000000198</v>
      </c>
      <c r="AF4664">
        <v>1.4247144710059401</v>
      </c>
      <c r="AG4664">
        <v>-1.1214400159359901</v>
      </c>
      <c r="AH4664">
        <v>16.783794556858901</v>
      </c>
      <c r="AI4664">
        <v>93.808982643524203</v>
      </c>
      <c r="AJ4664">
        <v>85.148004092162907</v>
      </c>
      <c r="AK4664">
        <v>16.8814453990197</v>
      </c>
      <c r="AL4664">
        <v>78.270554359677604</v>
      </c>
      <c r="AM4664">
        <v>85.834054174668097</v>
      </c>
      <c r="AN4664">
        <v>0.99999993091037298</v>
      </c>
    </row>
    <row r="4665" spans="1:40" x14ac:dyDescent="0.25">
      <c r="A4665" t="str">
        <f>"20190303170631846"</f>
        <v>20190303170631846</v>
      </c>
      <c r="B4665" t="str">
        <f>"1551603991839480"</f>
        <v>1551603991839480</v>
      </c>
      <c r="C4665" t="s">
        <v>40</v>
      </c>
      <c r="D4665">
        <v>5.8926170000000004</v>
      </c>
      <c r="E4665">
        <v>0.5247001</v>
      </c>
      <c r="F4665" t="s">
        <v>41</v>
      </c>
      <c r="G4665">
        <v>-327.17129999999997</v>
      </c>
      <c r="H4665" s="1">
        <v>-2.4999669999999999E-6</v>
      </c>
      <c r="I4665">
        <v>14.243880000000001</v>
      </c>
      <c r="J4665">
        <v>-344.92720000000003</v>
      </c>
      <c r="K4665">
        <v>1.1214360000000001</v>
      </c>
      <c r="L4665">
        <v>15.5762</v>
      </c>
      <c r="M4665">
        <v>0.99954679999999996</v>
      </c>
      <c r="N4665">
        <v>-1.34579E-2</v>
      </c>
      <c r="O4665">
        <v>2.6928440000000001E-2</v>
      </c>
      <c r="P4665">
        <v>0.98072429999999999</v>
      </c>
      <c r="Q4665">
        <v>0.19001999999999999</v>
      </c>
      <c r="R4665">
        <v>-4.5522899999999998E-2</v>
      </c>
      <c r="S4665">
        <v>3.0859679999999998</v>
      </c>
      <c r="T4665">
        <v>-0.19325600000000001</v>
      </c>
      <c r="U4665">
        <v>-0.2288818</v>
      </c>
      <c r="V4665">
        <v>7.1881150000000005E-2</v>
      </c>
      <c r="W4665">
        <v>0.20319300000000001</v>
      </c>
      <c r="X4665">
        <v>0.97649660000000005</v>
      </c>
      <c r="Y4665">
        <v>0.10052510000000001</v>
      </c>
      <c r="Z4665">
        <v>-5.1395499999999997E-3</v>
      </c>
      <c r="AA4665">
        <v>0.99492130000000001</v>
      </c>
      <c r="AB4665">
        <v>28</v>
      </c>
      <c r="AC4665">
        <v>17.7559</v>
      </c>
      <c r="AD4665">
        <v>-1.121438499967</v>
      </c>
      <c r="AE4665">
        <v>-1.3323199999999999</v>
      </c>
      <c r="AF4665">
        <v>1.8028673448633801</v>
      </c>
      <c r="AG4665">
        <v>-1.121438499967</v>
      </c>
      <c r="AH4665">
        <v>17.643592863394701</v>
      </c>
      <c r="AI4665">
        <v>93.618076352668098</v>
      </c>
      <c r="AJ4665">
        <v>84.165620916476101</v>
      </c>
      <c r="AK4665">
        <v>17.770884167694501</v>
      </c>
      <c r="AL4665">
        <v>78.276260034170406</v>
      </c>
      <c r="AM4665">
        <v>85.789978400608405</v>
      </c>
      <c r="AN4665">
        <v>0.99999995239294004</v>
      </c>
    </row>
    <row r="4666" spans="1:40" x14ac:dyDescent="0.25">
      <c r="A4666" t="str">
        <f>"20190303170631858"</f>
        <v>20190303170631858</v>
      </c>
      <c r="B4666" t="str">
        <f>"1551603991849240"</f>
        <v>1551603991849240</v>
      </c>
      <c r="C4666" t="s">
        <v>40</v>
      </c>
      <c r="D4666">
        <v>5.8619190000000003</v>
      </c>
      <c r="E4666">
        <v>0.52679519999999902</v>
      </c>
      <c r="F4666" t="s">
        <v>41</v>
      </c>
      <c r="G4666">
        <v>-325.38490000000002</v>
      </c>
      <c r="H4666" s="1">
        <v>-3.3173099999999998E-6</v>
      </c>
      <c r="I4666">
        <v>13.750159999999999</v>
      </c>
      <c r="J4666">
        <v>-344.77190000000002</v>
      </c>
      <c r="K4666">
        <v>1.1214360000000001</v>
      </c>
      <c r="L4666">
        <v>15.58047</v>
      </c>
      <c r="M4666">
        <v>0.99954500000000002</v>
      </c>
      <c r="N4666">
        <v>-1.34571E-2</v>
      </c>
      <c r="O4666">
        <v>2.699329E-2</v>
      </c>
      <c r="P4666">
        <v>0.98073100000000002</v>
      </c>
      <c r="Q4666">
        <v>0.1898232</v>
      </c>
      <c r="R4666">
        <v>-4.6197439999999999E-2</v>
      </c>
      <c r="S4666">
        <v>3.079834</v>
      </c>
      <c r="T4666">
        <v>-0.1767368</v>
      </c>
      <c r="U4666">
        <v>-0.2877808</v>
      </c>
      <c r="V4666">
        <v>7.2619169999999997E-2</v>
      </c>
      <c r="W4666">
        <v>0.20299539999999999</v>
      </c>
      <c r="X4666">
        <v>0.97648310000000005</v>
      </c>
      <c r="Y4666">
        <v>0.1196127</v>
      </c>
      <c r="Z4666">
        <v>-5.4117200000000001E-3</v>
      </c>
      <c r="AA4666">
        <v>0.99280590000000002</v>
      </c>
      <c r="AB4666">
        <v>28</v>
      </c>
      <c r="AC4666">
        <v>19.387</v>
      </c>
      <c r="AD4666">
        <v>-1.1214393173099999</v>
      </c>
      <c r="AE4666">
        <v>-1.8303100000000001</v>
      </c>
      <c r="AF4666">
        <v>2.3452313632926902</v>
      </c>
      <c r="AG4666">
        <v>-1.1214393173099999</v>
      </c>
      <c r="AH4666">
        <v>19.266626555124098</v>
      </c>
      <c r="AI4666">
        <v>93.306863474622205</v>
      </c>
      <c r="AJ4666">
        <v>83.059810712378095</v>
      </c>
      <c r="AK4666">
        <v>19.4412097129884</v>
      </c>
      <c r="AL4666">
        <v>78.287822750467797</v>
      </c>
      <c r="AM4666">
        <v>85.746852383334996</v>
      </c>
      <c r="AN4666">
        <v>0.99999996042912798</v>
      </c>
    </row>
    <row r="4667" spans="1:40" x14ac:dyDescent="0.25">
      <c r="A4667" t="str">
        <f>"20190303170631870"</f>
        <v>20190303170631870</v>
      </c>
      <c r="B4667" t="str">
        <f>"1551603991859977"</f>
        <v>1551603991859977</v>
      </c>
      <c r="C4667" t="s">
        <v>40</v>
      </c>
      <c r="D4667">
        <v>5.87432</v>
      </c>
      <c r="E4667">
        <v>0.52825</v>
      </c>
      <c r="F4667" t="s">
        <v>41</v>
      </c>
      <c r="G4667">
        <v>-324.91770000000002</v>
      </c>
      <c r="H4667" s="1">
        <v>-3.5362920000000001E-6</v>
      </c>
      <c r="I4667">
        <v>13.60148</v>
      </c>
      <c r="J4667">
        <v>-344.62920000000003</v>
      </c>
      <c r="K4667">
        <v>1.121434</v>
      </c>
      <c r="L4667">
        <v>15.584379999999999</v>
      </c>
      <c r="M4667">
        <v>0.99954350000000003</v>
      </c>
      <c r="N4667">
        <v>-1.3456360000000001E-2</v>
      </c>
      <c r="O4667">
        <v>2.7051820000000001E-2</v>
      </c>
      <c r="P4667">
        <v>0.9807283</v>
      </c>
      <c r="Q4667">
        <v>0.1896883</v>
      </c>
      <c r="R4667">
        <v>-4.6802620000000003E-2</v>
      </c>
      <c r="S4667">
        <v>3.0781860000000001</v>
      </c>
      <c r="T4667">
        <v>-0.17386779999999999</v>
      </c>
      <c r="U4667">
        <v>-0.30682369999999998</v>
      </c>
      <c r="V4667">
        <v>7.3281490000000005E-2</v>
      </c>
      <c r="W4667">
        <v>0.2028596</v>
      </c>
      <c r="X4667">
        <v>0.97646189999999999</v>
      </c>
      <c r="Y4667">
        <v>0.12579860000000001</v>
      </c>
      <c r="Z4667">
        <v>-5.5511220000000003E-3</v>
      </c>
      <c r="AA4667">
        <v>0.99204029999999999</v>
      </c>
      <c r="AB4667">
        <v>28</v>
      </c>
      <c r="AC4667">
        <v>19.711500000000001</v>
      </c>
      <c r="AD4667">
        <v>-1.1214375362919999</v>
      </c>
      <c r="AE4667">
        <v>-1.9829000000000001</v>
      </c>
      <c r="AF4667">
        <v>2.50741978789027</v>
      </c>
      <c r="AG4667">
        <v>-1.1214375362919999</v>
      </c>
      <c r="AH4667">
        <v>19.587872892619799</v>
      </c>
      <c r="AI4667">
        <v>93.250235667368301</v>
      </c>
      <c r="AJ4667">
        <v>82.705308525245599</v>
      </c>
      <c r="AK4667">
        <v>19.779523265183599</v>
      </c>
      <c r="AL4667">
        <v>78.295769530764403</v>
      </c>
      <c r="AM4667">
        <v>85.708113189711696</v>
      </c>
      <c r="AN4667">
        <v>1.00000001812019</v>
      </c>
    </row>
    <row r="4668" spans="1:40" x14ac:dyDescent="0.25">
      <c r="A4668" t="str">
        <f>"20190303170631882"</f>
        <v>20190303170631882</v>
      </c>
      <c r="B4668" t="str">
        <f>"1551603991869736"</f>
        <v>1551603991869736</v>
      </c>
      <c r="C4668" t="s">
        <v>40</v>
      </c>
      <c r="D4668">
        <v>5.8506159999999996</v>
      </c>
      <c r="E4668">
        <v>0.52950319999999995</v>
      </c>
      <c r="F4668" t="s">
        <v>41</v>
      </c>
      <c r="G4668">
        <v>-324.61509999999998</v>
      </c>
      <c r="H4668" s="1">
        <v>-3.6790950000000001E-6</v>
      </c>
      <c r="I4668">
        <v>13.50154</v>
      </c>
      <c r="J4668">
        <v>-344.47370000000001</v>
      </c>
      <c r="K4668">
        <v>1.1214299999999999</v>
      </c>
      <c r="L4668">
        <v>15.588620000000001</v>
      </c>
      <c r="M4668">
        <v>0.99954169999999998</v>
      </c>
      <c r="N4668">
        <v>-1.345554E-2</v>
      </c>
      <c r="O4668">
        <v>2.7115360000000002E-2</v>
      </c>
      <c r="P4668">
        <v>0.98070250000000003</v>
      </c>
      <c r="Q4668">
        <v>0.18966050000000001</v>
      </c>
      <c r="R4668">
        <v>-4.7450939999999997E-2</v>
      </c>
      <c r="S4668">
        <v>3.077026</v>
      </c>
      <c r="T4668">
        <v>-0.17241289999999901</v>
      </c>
      <c r="U4668">
        <v>-0.32022089999999998</v>
      </c>
      <c r="V4668">
        <v>7.3991319999999999E-2</v>
      </c>
      <c r="W4668">
        <v>0.20283019999999999</v>
      </c>
      <c r="X4668">
        <v>0.97641440000000002</v>
      </c>
      <c r="Y4668">
        <v>0.13016800000000001</v>
      </c>
      <c r="Z4668">
        <v>-5.6640240000000001E-3</v>
      </c>
      <c r="AA4668">
        <v>0.99147580000000002</v>
      </c>
      <c r="AB4668">
        <v>28</v>
      </c>
      <c r="AC4668">
        <v>19.858599999999999</v>
      </c>
      <c r="AD4668">
        <v>-1.1214336790949999</v>
      </c>
      <c r="AE4668">
        <v>-2.0870799999999998</v>
      </c>
      <c r="AF4668">
        <v>2.61658129909075</v>
      </c>
      <c r="AG4668">
        <v>-1.1214336790949999</v>
      </c>
      <c r="AH4668">
        <v>19.732461133126598</v>
      </c>
      <c r="AI4668">
        <v>93.224564560756605</v>
      </c>
      <c r="AJ4668">
        <v>82.446481063405898</v>
      </c>
      <c r="AK4668">
        <v>19.936753335528699</v>
      </c>
      <c r="AL4668">
        <v>78.297488897754604</v>
      </c>
      <c r="AM4668">
        <v>85.666488073668006</v>
      </c>
      <c r="AN4668">
        <v>0.99999994299736905</v>
      </c>
    </row>
    <row r="4669" spans="1:40" x14ac:dyDescent="0.25">
      <c r="A4669" t="str">
        <f>"20190303170631895"</f>
        <v>20190303170631895</v>
      </c>
      <c r="B4669" t="str">
        <f>"1551603991889896"</f>
        <v>1551603991889896</v>
      </c>
      <c r="C4669" t="s">
        <v>40</v>
      </c>
      <c r="D4669">
        <v>5.8413890000000004</v>
      </c>
      <c r="E4669">
        <v>0.53108379999999999</v>
      </c>
      <c r="F4669" t="s">
        <v>41</v>
      </c>
      <c r="G4669">
        <v>-324.33</v>
      </c>
      <c r="H4669" s="1">
        <v>-3.8111700000000001E-6</v>
      </c>
      <c r="I4669">
        <v>13.416550000000001</v>
      </c>
      <c r="J4669">
        <v>-344.32299999999998</v>
      </c>
      <c r="K4669">
        <v>1.1214309999999901</v>
      </c>
      <c r="L4669">
        <v>15.59277</v>
      </c>
      <c r="M4669">
        <v>0.99954019999999999</v>
      </c>
      <c r="N4669">
        <v>-1.345475E-2</v>
      </c>
      <c r="O4669">
        <v>2.7175850000000001E-2</v>
      </c>
      <c r="P4669">
        <v>0.9807072</v>
      </c>
      <c r="Q4669">
        <v>0.1894892</v>
      </c>
      <c r="R4669">
        <v>-4.8034519999999997E-2</v>
      </c>
      <c r="S4669">
        <v>3.076111</v>
      </c>
      <c r="T4669">
        <v>-0.17125299999999999</v>
      </c>
      <c r="U4669">
        <v>-0.33169559999999998</v>
      </c>
      <c r="V4669">
        <v>7.4634389999999995E-2</v>
      </c>
      <c r="W4669">
        <v>0.20265830000000001</v>
      </c>
      <c r="X4669">
        <v>0.97640119999999997</v>
      </c>
      <c r="Y4669">
        <v>0.133911</v>
      </c>
      <c r="Z4669">
        <v>-5.7618110000000004E-3</v>
      </c>
      <c r="AA4669">
        <v>0.99097659999999999</v>
      </c>
      <c r="AB4669">
        <v>28</v>
      </c>
      <c r="AC4669">
        <v>19.992999999999999</v>
      </c>
      <c r="AD4669">
        <v>-1.1214348111700001</v>
      </c>
      <c r="AE4669">
        <v>-2.1762199999999998</v>
      </c>
      <c r="AF4669">
        <v>2.7103644058379999</v>
      </c>
      <c r="AG4669">
        <v>-1.1214348111700001</v>
      </c>
      <c r="AH4669">
        <v>19.864701307998601</v>
      </c>
      <c r="AI4669">
        <v>93.2015258432492</v>
      </c>
      <c r="AJ4669">
        <v>82.230469043277296</v>
      </c>
      <c r="AK4669">
        <v>20.080090868921399</v>
      </c>
      <c r="AL4669">
        <v>78.307547500592705</v>
      </c>
      <c r="AM4669">
        <v>85.628911326633997</v>
      </c>
      <c r="AN4669">
        <v>0.99999999104550097</v>
      </c>
    </row>
    <row r="4670" spans="1:40" x14ac:dyDescent="0.25">
      <c r="A4670" t="str">
        <f>"20190303170631912"</f>
        <v>20190303170631912</v>
      </c>
      <c r="B4670" t="str">
        <f>"1551603991899657"</f>
        <v>1551603991899657</v>
      </c>
      <c r="C4670" t="s">
        <v>40</v>
      </c>
      <c r="D4670">
        <v>5.8793559999999996</v>
      </c>
      <c r="E4670">
        <v>0.53151230000000005</v>
      </c>
      <c r="F4670" t="s">
        <v>41</v>
      </c>
      <c r="G4670">
        <v>-324.13060000000002</v>
      </c>
      <c r="H4670" s="1">
        <v>-3.9125729999999999E-6</v>
      </c>
      <c r="I4670">
        <v>13.323320000000001</v>
      </c>
      <c r="J4670">
        <v>-344.11880000000002</v>
      </c>
      <c r="K4670">
        <v>1.1214379999999999</v>
      </c>
      <c r="L4670">
        <v>15.598420000000001</v>
      </c>
      <c r="M4670">
        <v>0.99953800000000004</v>
      </c>
      <c r="N4670">
        <v>-1.3453680000000001E-2</v>
      </c>
      <c r="O4670">
        <v>2.72575E-2</v>
      </c>
      <c r="P4670">
        <v>0.98064370000000001</v>
      </c>
      <c r="Q4670">
        <v>0.18950330000000001</v>
      </c>
      <c r="R4670">
        <v>-4.9260030000000003E-2</v>
      </c>
      <c r="S4670">
        <v>3.0750730000000002</v>
      </c>
      <c r="T4670">
        <v>-0.17078160000000001</v>
      </c>
      <c r="U4670">
        <v>-0.34561160000000002</v>
      </c>
      <c r="V4670">
        <v>7.5938140000000001E-2</v>
      </c>
      <c r="W4670">
        <v>0.20266999999999999</v>
      </c>
      <c r="X4670">
        <v>0.97629829999999995</v>
      </c>
      <c r="Y4670">
        <v>0.13844970000000001</v>
      </c>
      <c r="Z4670">
        <v>-5.9078400000000001E-3</v>
      </c>
      <c r="AA4670">
        <v>0.99035189999999995</v>
      </c>
      <c r="AB4670">
        <v>28</v>
      </c>
      <c r="AC4670">
        <v>19.988199999999999</v>
      </c>
      <c r="AD4670">
        <v>-1.121441912573</v>
      </c>
      <c r="AE4670">
        <v>-2.2751000000000001</v>
      </c>
      <c r="AF4670">
        <v>2.8103987393249801</v>
      </c>
      <c r="AG4670">
        <v>-1.121441912573</v>
      </c>
      <c r="AH4670">
        <v>19.8570463629313</v>
      </c>
      <c r="AI4670">
        <v>93.200560139092403</v>
      </c>
      <c r="AJ4670">
        <v>81.944342743268194</v>
      </c>
      <c r="AK4670">
        <v>20.086270517367801</v>
      </c>
      <c r="AL4670">
        <v>78.306863636641197</v>
      </c>
      <c r="AM4670">
        <v>85.552391860880206</v>
      </c>
      <c r="AN4670">
        <v>1.0000000502947699</v>
      </c>
    </row>
    <row r="4671" spans="1:40" x14ac:dyDescent="0.25">
      <c r="A4671" t="str">
        <f>"20190303170631924"</f>
        <v>20190303170631924</v>
      </c>
      <c r="B4671" t="str">
        <f>"1551603991909417"</f>
        <v>1551603991909417</v>
      </c>
      <c r="C4671" t="s">
        <v>40</v>
      </c>
      <c r="D4671">
        <v>5.8576269999999999</v>
      </c>
      <c r="E4671">
        <v>0.53192479999999998</v>
      </c>
      <c r="F4671" t="s">
        <v>41</v>
      </c>
      <c r="G4671">
        <v>-323.85590000000002</v>
      </c>
      <c r="H4671" s="1">
        <v>-4.0301510000000001E-6</v>
      </c>
      <c r="I4671">
        <v>13.277900000000001</v>
      </c>
      <c r="J4671">
        <v>-343.97500000000002</v>
      </c>
      <c r="K4671">
        <v>1.1214390000000001</v>
      </c>
      <c r="L4671">
        <v>15.60239</v>
      </c>
      <c r="M4671">
        <v>0.99953650000000005</v>
      </c>
      <c r="N4671">
        <v>-1.345293E-2</v>
      </c>
      <c r="O4671">
        <v>2.7314709999999999E-2</v>
      </c>
      <c r="P4671">
        <v>0.98066900000000001</v>
      </c>
      <c r="Q4671">
        <v>0.1892403</v>
      </c>
      <c r="R4671">
        <v>-4.9765520000000001E-2</v>
      </c>
      <c r="S4671">
        <v>3.0744020000000001</v>
      </c>
      <c r="T4671">
        <v>-0.1701511</v>
      </c>
      <c r="U4671">
        <v>-0.35208129999999999</v>
      </c>
      <c r="V4671">
        <v>7.6500499999999999E-2</v>
      </c>
      <c r="W4671">
        <v>0.20240620000000001</v>
      </c>
      <c r="X4671">
        <v>0.97630910000000004</v>
      </c>
      <c r="Y4671">
        <v>0.1405855</v>
      </c>
      <c r="Z4671">
        <v>-5.9644989999999998E-3</v>
      </c>
      <c r="AA4671">
        <v>0.9900506</v>
      </c>
      <c r="AB4671">
        <v>28</v>
      </c>
      <c r="AC4671">
        <v>20.1191</v>
      </c>
      <c r="AD4671">
        <v>-1.1214430301510001</v>
      </c>
      <c r="AE4671">
        <v>-2.3244899999999902</v>
      </c>
      <c r="AF4671">
        <v>2.8644370851060699</v>
      </c>
      <c r="AG4671">
        <v>-1.1214430301510001</v>
      </c>
      <c r="AH4671">
        <v>19.986812917402599</v>
      </c>
      <c r="AI4671">
        <v>93.179035590925906</v>
      </c>
      <c r="AJ4671">
        <v>81.844114859438704</v>
      </c>
      <c r="AK4671">
        <v>20.222149363498801</v>
      </c>
      <c r="AL4671">
        <v>78.322297882697995</v>
      </c>
      <c r="AM4671">
        <v>85.519638070069206</v>
      </c>
      <c r="AN4671">
        <v>1.0000000275207399</v>
      </c>
    </row>
    <row r="4672" spans="1:40" x14ac:dyDescent="0.25">
      <c r="A4672" t="str">
        <f>"20190303170631946"</f>
        <v>20190303170631946</v>
      </c>
      <c r="B4672" t="str">
        <f>"1551603991939674"</f>
        <v>1551603991939674</v>
      </c>
      <c r="C4672" t="s">
        <v>40</v>
      </c>
      <c r="D4672">
        <v>5.8621040000000004</v>
      </c>
      <c r="E4672">
        <v>0.53278729999999996</v>
      </c>
      <c r="F4672" t="s">
        <v>41</v>
      </c>
      <c r="G4672">
        <v>-323.55759999999998</v>
      </c>
      <c r="H4672" s="1">
        <v>-4.1584830000000002E-6</v>
      </c>
      <c r="I4672">
        <v>13.23113</v>
      </c>
      <c r="J4672">
        <v>-343.69490000000002</v>
      </c>
      <c r="K4672">
        <v>1.1214390000000001</v>
      </c>
      <c r="L4672">
        <v>15.61017</v>
      </c>
      <c r="M4672">
        <v>0.99953329999999996</v>
      </c>
      <c r="N4672">
        <v>-1.345143E-2</v>
      </c>
      <c r="O4672">
        <v>2.7425919999999999E-2</v>
      </c>
      <c r="P4672">
        <v>0.98058900000000004</v>
      </c>
      <c r="Q4672">
        <v>0.1894846</v>
      </c>
      <c r="R4672">
        <v>-5.0407069999999998E-2</v>
      </c>
      <c r="S4672">
        <v>3.0736080000000001</v>
      </c>
      <c r="T4672">
        <v>-0.1688201</v>
      </c>
      <c r="U4672">
        <v>-0.35696409999999901</v>
      </c>
      <c r="V4672">
        <v>7.7248979999999995E-2</v>
      </c>
      <c r="W4672">
        <v>0.20264760000000001</v>
      </c>
      <c r="X4672">
        <v>0.97619999999999996</v>
      </c>
      <c r="Y4672">
        <v>0.1422774</v>
      </c>
      <c r="Z4672">
        <v>-5.985705E-3</v>
      </c>
      <c r="AA4672">
        <v>0.98980869999999999</v>
      </c>
      <c r="AB4672">
        <v>28</v>
      </c>
      <c r="AC4672">
        <v>20.1373</v>
      </c>
      <c r="AD4672">
        <v>-1.12144315848299</v>
      </c>
      <c r="AE4672">
        <v>-2.3790399999999998</v>
      </c>
      <c r="AF4672">
        <v>2.9215428720602699</v>
      </c>
      <c r="AG4672">
        <v>-1.12144315848299</v>
      </c>
      <c r="AH4672">
        <v>20.003287067933002</v>
      </c>
      <c r="AI4672">
        <v>93.175193930454697</v>
      </c>
      <c r="AJ4672">
        <v>81.690523727227898</v>
      </c>
      <c r="AK4672">
        <v>20.246593319201398</v>
      </c>
      <c r="AL4672">
        <v>78.308173037582193</v>
      </c>
      <c r="AM4672">
        <v>85.475479850838596</v>
      </c>
      <c r="AN4672">
        <v>0.99999994734839803</v>
      </c>
    </row>
    <row r="4673" spans="1:40" x14ac:dyDescent="0.25">
      <c r="A4673" t="str">
        <f>"20190303170631958"</f>
        <v>20190303170631958</v>
      </c>
      <c r="B4673" t="str">
        <f>"1551603991949433"</f>
        <v>1551603991949433</v>
      </c>
      <c r="C4673" t="s">
        <v>40</v>
      </c>
      <c r="D4673">
        <v>5.8852699999999896</v>
      </c>
      <c r="E4673">
        <v>0.53297309999999998</v>
      </c>
      <c r="F4673" t="s">
        <v>41</v>
      </c>
      <c r="G4673">
        <v>-322.8929</v>
      </c>
      <c r="H4673" s="1">
        <v>-4.4904430000000004E-6</v>
      </c>
      <c r="I4673">
        <v>13.130839999999999</v>
      </c>
      <c r="J4673">
        <v>-343.54360000000003</v>
      </c>
      <c r="K4673">
        <v>1.1214390000000001</v>
      </c>
      <c r="L4673">
        <v>15.614380000000001</v>
      </c>
      <c r="M4673">
        <v>0.99953179999999997</v>
      </c>
      <c r="N4673">
        <v>-1.345069E-2</v>
      </c>
      <c r="O4673">
        <v>2.7485760000000001E-2</v>
      </c>
      <c r="P4673">
        <v>0.9805722</v>
      </c>
      <c r="Q4673">
        <v>0.18947310000000001</v>
      </c>
      <c r="R4673">
        <v>-5.0777269999999999E-2</v>
      </c>
      <c r="S4673">
        <v>3.0725709999999999</v>
      </c>
      <c r="T4673">
        <v>-0.16564379999999901</v>
      </c>
      <c r="U4673">
        <v>-0.36621090000000001</v>
      </c>
      <c r="V4673">
        <v>7.7677510000000005E-2</v>
      </c>
      <c r="W4673">
        <v>0.20263539999999999</v>
      </c>
      <c r="X4673">
        <v>0.97616860000000005</v>
      </c>
      <c r="Y4673">
        <v>0.1453169</v>
      </c>
      <c r="Z4673">
        <v>-5.9899569999999997E-3</v>
      </c>
      <c r="AA4673">
        <v>0.989367</v>
      </c>
      <c r="AB4673">
        <v>28</v>
      </c>
      <c r="AC4673">
        <v>20.650700000000001</v>
      </c>
      <c r="AD4673">
        <v>-1.121443490443</v>
      </c>
      <c r="AE4673">
        <v>-2.4835400000000001</v>
      </c>
      <c r="AF4673">
        <v>3.0414115540000299</v>
      </c>
      <c r="AG4673">
        <v>-1.121443490443</v>
      </c>
      <c r="AH4673">
        <v>20.5149909030674</v>
      </c>
      <c r="AI4673">
        <v>93.095173257119498</v>
      </c>
      <c r="AJ4673">
        <v>81.567145394710593</v>
      </c>
      <c r="AK4673">
        <v>20.769513029823301</v>
      </c>
      <c r="AL4673">
        <v>78.308887696451194</v>
      </c>
      <c r="AM4673">
        <v>85.450339936779699</v>
      </c>
      <c r="AN4673">
        <v>1.0000000182594599</v>
      </c>
    </row>
    <row r="4674" spans="1:40" x14ac:dyDescent="0.25">
      <c r="A4674" t="str">
        <f>"20190303170631968"</f>
        <v>20190303170631968</v>
      </c>
      <c r="B4674" t="str">
        <f>"1551603991959193"</f>
        <v>1551603991959193</v>
      </c>
      <c r="C4674" t="s">
        <v>40</v>
      </c>
      <c r="D4674">
        <v>5.9033889999999998</v>
      </c>
      <c r="E4674">
        <v>0.5331458</v>
      </c>
      <c r="F4674" t="s">
        <v>41</v>
      </c>
      <c r="G4674">
        <v>-322.6302</v>
      </c>
      <c r="H4674" s="1">
        <v>-4.6198250000000003E-6</v>
      </c>
      <c r="I4674">
        <v>13.10149</v>
      </c>
      <c r="J4674">
        <v>-343.41059999999999</v>
      </c>
      <c r="K4674">
        <v>1.121435</v>
      </c>
      <c r="L4674">
        <v>15.618069999999999</v>
      </c>
      <c r="M4674">
        <v>0.99953029999999998</v>
      </c>
      <c r="N4674">
        <v>-1.345001E-2</v>
      </c>
      <c r="O4674">
        <v>2.753862E-2</v>
      </c>
      <c r="P4674">
        <v>0.98044419999999999</v>
      </c>
      <c r="Q4674">
        <v>0.18995880000000001</v>
      </c>
      <c r="R4674">
        <v>-5.1432070000000003E-2</v>
      </c>
      <c r="S4674">
        <v>3.0721440000000002</v>
      </c>
      <c r="T4674">
        <v>-0.16473840000000001</v>
      </c>
      <c r="U4674">
        <v>-0.36914059999999999</v>
      </c>
      <c r="V4674">
        <v>7.8380240000000004E-2</v>
      </c>
      <c r="W4674">
        <v>0.20311779999999999</v>
      </c>
      <c r="X4674">
        <v>0.97601210000000005</v>
      </c>
      <c r="Y4674">
        <v>0.14631649999999999</v>
      </c>
      <c r="Z4674">
        <v>-5.9966439999999998E-3</v>
      </c>
      <c r="AA4674">
        <v>0.98921970000000004</v>
      </c>
      <c r="AB4674">
        <v>28</v>
      </c>
      <c r="AC4674">
        <v>20.780399999999901</v>
      </c>
      <c r="AD4674">
        <v>-1.1214396198250001</v>
      </c>
      <c r="AE4674">
        <v>-2.5165799999999998</v>
      </c>
      <c r="AF4674">
        <v>3.07910285192983</v>
      </c>
      <c r="AG4674">
        <v>-1.1214396198250001</v>
      </c>
      <c r="AH4674">
        <v>20.6439545360114</v>
      </c>
      <c r="AI4674">
        <v>93.075462448671999</v>
      </c>
      <c r="AJ4674">
        <v>81.516715216480605</v>
      </c>
      <c r="AK4674">
        <v>20.902424741607799</v>
      </c>
      <c r="AL4674">
        <v>78.280660543423295</v>
      </c>
      <c r="AM4674">
        <v>85.4086224363772</v>
      </c>
      <c r="AN4674">
        <v>0.99999996102285305</v>
      </c>
    </row>
    <row r="4675" spans="1:40" x14ac:dyDescent="0.25">
      <c r="A4675" t="str">
        <f>"20190303170631981"</f>
        <v>20190303170631981</v>
      </c>
      <c r="B4675" t="str">
        <f>"1551603991969929"</f>
        <v>1551603991969929</v>
      </c>
      <c r="C4675" t="s">
        <v>40</v>
      </c>
      <c r="D4675">
        <v>5.869523</v>
      </c>
      <c r="E4675">
        <v>0.53329209999999905</v>
      </c>
      <c r="F4675" t="s">
        <v>41</v>
      </c>
      <c r="G4675">
        <v>-322.21949999999998</v>
      </c>
      <c r="H4675" s="1">
        <v>-4.8231989999999996E-6</v>
      </c>
      <c r="I4675">
        <v>13.04965</v>
      </c>
      <c r="J4675">
        <v>-343.25580000000002</v>
      </c>
      <c r="K4675">
        <v>1.121434</v>
      </c>
      <c r="L4675">
        <v>15.622439999999999</v>
      </c>
      <c r="M4675">
        <v>0.99952859999999999</v>
      </c>
      <c r="N4675">
        <v>-1.344919E-2</v>
      </c>
      <c r="O4675">
        <v>2.7599950000000002E-2</v>
      </c>
      <c r="P4675">
        <v>0.98032900000000001</v>
      </c>
      <c r="Q4675">
        <v>0.19032550000000001</v>
      </c>
      <c r="R4675">
        <v>-5.2262389999999999E-2</v>
      </c>
      <c r="S4675">
        <v>3.0718380000000001</v>
      </c>
      <c r="T4675">
        <v>-0.1625626</v>
      </c>
      <c r="U4675">
        <v>-0.37231449999999999</v>
      </c>
      <c r="V4675">
        <v>7.9267420000000005E-2</v>
      </c>
      <c r="W4675">
        <v>0.20348150000000001</v>
      </c>
      <c r="X4675">
        <v>0.97586470000000003</v>
      </c>
      <c r="Y4675">
        <v>0.147401</v>
      </c>
      <c r="Z4675">
        <v>-5.9642609999999898E-3</v>
      </c>
      <c r="AA4675">
        <v>0.98905889999999996</v>
      </c>
      <c r="AB4675">
        <v>28</v>
      </c>
      <c r="AC4675">
        <v>21.036300000000001</v>
      </c>
      <c r="AD4675">
        <v>-1.121438823199</v>
      </c>
      <c r="AE4675">
        <v>-2.5727899999999901</v>
      </c>
      <c r="AF4675">
        <v>3.1436606630762798</v>
      </c>
      <c r="AG4675">
        <v>-1.121438823199</v>
      </c>
      <c r="AH4675">
        <v>20.898752081039099</v>
      </c>
      <c r="AI4675">
        <v>93.0374705323879</v>
      </c>
      <c r="AJ4675">
        <v>81.445512474190494</v>
      </c>
      <c r="AK4675">
        <v>21.163602385782202</v>
      </c>
      <c r="AL4675">
        <v>78.259377817278505</v>
      </c>
      <c r="AM4675">
        <v>85.3561806907841</v>
      </c>
      <c r="AN4675">
        <v>0.99999997871089796</v>
      </c>
    </row>
    <row r="4676" spans="1:40" x14ac:dyDescent="0.25">
      <c r="A4676" t="str">
        <f>"20190303170632002"</f>
        <v>20190303170632002</v>
      </c>
      <c r="B4676" t="str">
        <f>"1551603991989449"</f>
        <v>1551603991989449</v>
      </c>
      <c r="C4676" t="s">
        <v>40</v>
      </c>
      <c r="D4676">
        <v>5.9092079999999996</v>
      </c>
      <c r="E4676">
        <v>0.53356199999999998</v>
      </c>
      <c r="F4676" t="s">
        <v>41</v>
      </c>
      <c r="G4676">
        <v>-321.84629999999999</v>
      </c>
      <c r="H4676" s="1">
        <v>-5.0073180000000004E-6</v>
      </c>
      <c r="I4676">
        <v>13.006130000000001</v>
      </c>
      <c r="J4676">
        <v>-343.00790000000001</v>
      </c>
      <c r="K4676">
        <v>1.1214379999999999</v>
      </c>
      <c r="L4676">
        <v>15.62936</v>
      </c>
      <c r="M4676">
        <v>0.99952600000000003</v>
      </c>
      <c r="N4676">
        <v>-1.34479E-2</v>
      </c>
      <c r="O4676">
        <v>2.7698E-2</v>
      </c>
      <c r="P4676">
        <v>0.98002730000000005</v>
      </c>
      <c r="Q4676">
        <v>0.1913415</v>
      </c>
      <c r="R4676">
        <v>-5.4177429999999999E-2</v>
      </c>
      <c r="S4676">
        <v>3.0714109999999999</v>
      </c>
      <c r="T4676">
        <v>-0.16088189999999999</v>
      </c>
      <c r="U4676">
        <v>-0.37533569999999999</v>
      </c>
      <c r="V4676">
        <v>8.1269549999999996E-2</v>
      </c>
      <c r="W4676">
        <v>0.20449210000000001</v>
      </c>
      <c r="X4676">
        <v>0.97548869999999999</v>
      </c>
      <c r="Y4676">
        <v>0.14847650000000001</v>
      </c>
      <c r="Z4676">
        <v>-5.9486799999999996E-3</v>
      </c>
      <c r="AA4676">
        <v>0.98889800000000005</v>
      </c>
      <c r="AB4676">
        <v>28</v>
      </c>
      <c r="AC4676">
        <v>21.1616</v>
      </c>
      <c r="AD4676">
        <v>-1.121443007318</v>
      </c>
      <c r="AE4676">
        <v>-2.6232299999999902</v>
      </c>
      <c r="AF4676">
        <v>3.1995606859895802</v>
      </c>
      <c r="AG4676">
        <v>-1.121443007318</v>
      </c>
      <c r="AH4676">
        <v>21.022668475907601</v>
      </c>
      <c r="AI4676">
        <v>93.018820790284906</v>
      </c>
      <c r="AJ4676">
        <v>81.3462356569989</v>
      </c>
      <c r="AK4676">
        <v>21.2943047045428</v>
      </c>
      <c r="AL4676">
        <v>78.200231087842198</v>
      </c>
      <c r="AM4676">
        <v>85.237593457498406</v>
      </c>
      <c r="AN4676">
        <v>0.99999998127365097</v>
      </c>
    </row>
    <row r="4677" spans="1:40" x14ac:dyDescent="0.25">
      <c r="A4677" t="str">
        <f>"20190303170632025"</f>
        <v>20190303170632025</v>
      </c>
      <c r="B4677" t="str">
        <f>"1551603992009944"</f>
        <v>1551603992009944</v>
      </c>
      <c r="C4677" t="s">
        <v>40</v>
      </c>
      <c r="D4677">
        <v>5.8766089999999904</v>
      </c>
      <c r="E4677">
        <v>0.53382890000000005</v>
      </c>
      <c r="F4677" t="s">
        <v>41</v>
      </c>
      <c r="G4677">
        <v>-321.18169999999998</v>
      </c>
      <c r="H4677" s="1">
        <v>-5.3377609999999999E-6</v>
      </c>
      <c r="I4677">
        <v>12.91437</v>
      </c>
      <c r="J4677">
        <v>-342.73439999999999</v>
      </c>
      <c r="K4677">
        <v>1.1214459999999999</v>
      </c>
      <c r="L4677">
        <v>15.63705</v>
      </c>
      <c r="M4677">
        <v>0.99952300000000005</v>
      </c>
      <c r="N4677">
        <v>-1.3446430000000001E-2</v>
      </c>
      <c r="O4677">
        <v>2.7806709999999998E-2</v>
      </c>
      <c r="P4677">
        <v>0.97989139999999997</v>
      </c>
      <c r="Q4677">
        <v>0.19163140000000001</v>
      </c>
      <c r="R4677">
        <v>-5.5594350000000001E-2</v>
      </c>
      <c r="S4677">
        <v>3.070862</v>
      </c>
      <c r="T4677">
        <v>-0.15778239999999999</v>
      </c>
      <c r="U4677">
        <v>-0.38198850000000001</v>
      </c>
      <c r="V4677">
        <v>8.2788589999999995E-2</v>
      </c>
      <c r="W4677">
        <v>0.20477780000000001</v>
      </c>
      <c r="X4677">
        <v>0.97530099999999997</v>
      </c>
      <c r="Y4677">
        <v>0.1507212</v>
      </c>
      <c r="Z4677">
        <v>-5.923396E-3</v>
      </c>
      <c r="AA4677">
        <v>0.98855859999999995</v>
      </c>
      <c r="AB4677">
        <v>27</v>
      </c>
      <c r="AC4677">
        <v>21.552700000000002</v>
      </c>
      <c r="AD4677">
        <v>-1.121451337761</v>
      </c>
      <c r="AE4677">
        <v>-2.72268</v>
      </c>
      <c r="AF4677">
        <v>3.31216419221477</v>
      </c>
      <c r="AG4677">
        <v>-1.121451337761</v>
      </c>
      <c r="AH4677">
        <v>21.411589030177701</v>
      </c>
      <c r="AI4677">
        <v>92.963001254218796</v>
      </c>
      <c r="AJ4677">
        <v>81.206598471146407</v>
      </c>
      <c r="AK4677">
        <v>21.695258227003901</v>
      </c>
      <c r="AL4677">
        <v>78.183507647399594</v>
      </c>
      <c r="AM4677">
        <v>85.148069293505401</v>
      </c>
      <c r="AN4677">
        <v>0.99999996930401303</v>
      </c>
    </row>
    <row r="4678" spans="1:40" x14ac:dyDescent="0.25">
      <c r="A4678" t="str">
        <f>"20190303170632047"</f>
        <v>20190303170632047</v>
      </c>
      <c r="B4678" t="str">
        <f>"1551603992039230"</f>
        <v>1551603992039230</v>
      </c>
      <c r="C4678" t="s">
        <v>40</v>
      </c>
      <c r="D4678">
        <v>5.8459110000000001</v>
      </c>
      <c r="E4678">
        <v>0.53423359999999998</v>
      </c>
      <c r="F4678" t="s">
        <v>41</v>
      </c>
      <c r="G4678">
        <v>-320.67520000000002</v>
      </c>
      <c r="H4678" s="1">
        <v>-5.5892169999999996E-6</v>
      </c>
      <c r="I4678">
        <v>12.846550000000001</v>
      </c>
      <c r="J4678">
        <v>-342.46159999999998</v>
      </c>
      <c r="K4678">
        <v>1.1214409999999999</v>
      </c>
      <c r="L4678">
        <v>15.644780000000001</v>
      </c>
      <c r="M4678">
        <v>0.99951990000000002</v>
      </c>
      <c r="N4678">
        <v>-1.3444960000000001E-2</v>
      </c>
      <c r="O4678">
        <v>2.7915260000000001E-2</v>
      </c>
      <c r="P4678">
        <v>0.98007999999999995</v>
      </c>
      <c r="Q4678">
        <v>0.19053909999999999</v>
      </c>
      <c r="R4678">
        <v>-5.6017190000000001E-2</v>
      </c>
      <c r="S4678">
        <v>3.070068</v>
      </c>
      <c r="T4678">
        <v>-0.15607699999999999</v>
      </c>
      <c r="U4678">
        <v>-0.38836670000000001</v>
      </c>
      <c r="V4678">
        <v>8.3323190000000005E-2</v>
      </c>
      <c r="W4678">
        <v>0.20368639999999999</v>
      </c>
      <c r="X4678">
        <v>0.97548400000000002</v>
      </c>
      <c r="Y4678">
        <v>0.15288309999999999</v>
      </c>
      <c r="Z4678">
        <v>-5.9405450000000002E-3</v>
      </c>
      <c r="AA4678">
        <v>0.98822639999999995</v>
      </c>
      <c r="AB4678">
        <v>27</v>
      </c>
      <c r="AC4678">
        <v>21.786399999999901</v>
      </c>
      <c r="AD4678">
        <v>-1.12144658921699</v>
      </c>
      <c r="AE4678">
        <v>-2.79822999999999</v>
      </c>
      <c r="AF4678">
        <v>3.3965138191336002</v>
      </c>
      <c r="AG4678">
        <v>-1.12144658921699</v>
      </c>
      <c r="AH4678">
        <v>21.643371401909398</v>
      </c>
      <c r="AI4678">
        <v>92.930316041891501</v>
      </c>
      <c r="AJ4678">
        <v>81.081261702203705</v>
      </c>
      <c r="AK4678">
        <v>21.936943137479801</v>
      </c>
      <c r="AL4678">
        <v>78.247386672602602</v>
      </c>
      <c r="AM4678">
        <v>85.117801032157402</v>
      </c>
      <c r="AN4678">
        <v>0.999999968896367</v>
      </c>
    </row>
    <row r="4679" spans="1:40" x14ac:dyDescent="0.25">
      <c r="A4679" t="str">
        <f>"20190303170632058"</f>
        <v>20190303170632058</v>
      </c>
      <c r="B4679" t="str">
        <f>"1551603992049962"</f>
        <v>1551603992049962</v>
      </c>
      <c r="C4679" t="s">
        <v>40</v>
      </c>
      <c r="D4679">
        <v>5.8626009999999997</v>
      </c>
      <c r="E4679">
        <v>0.5343755</v>
      </c>
      <c r="F4679" t="s">
        <v>41</v>
      </c>
      <c r="G4679">
        <v>-320.73559999999998</v>
      </c>
      <c r="H4679" s="1">
        <v>-5.5580160000000004E-6</v>
      </c>
      <c r="I4679">
        <v>12.861420000000001</v>
      </c>
      <c r="J4679">
        <v>-342.30470000000003</v>
      </c>
      <c r="K4679">
        <v>1.1214390000000001</v>
      </c>
      <c r="L4679">
        <v>15.649229999999999</v>
      </c>
      <c r="M4679">
        <v>0.99951820000000002</v>
      </c>
      <c r="N4679">
        <v>-1.34441E-2</v>
      </c>
      <c r="O4679">
        <v>2.7977789999999999E-2</v>
      </c>
      <c r="P4679">
        <v>0.9801301</v>
      </c>
      <c r="Q4679">
        <v>0.190276</v>
      </c>
      <c r="R4679">
        <v>-5.603694E-2</v>
      </c>
      <c r="S4679">
        <v>3.0693359999999998</v>
      </c>
      <c r="T4679">
        <v>-0.158432399999999</v>
      </c>
      <c r="U4679">
        <v>-0.39321899999999999</v>
      </c>
      <c r="V4679">
        <v>8.3405549999999995E-2</v>
      </c>
      <c r="W4679">
        <v>0.2034231</v>
      </c>
      <c r="X4679">
        <v>0.97553190000000001</v>
      </c>
      <c r="Y4679">
        <v>0.15450120000000001</v>
      </c>
      <c r="Z4679">
        <v>-6.0758870000000003E-3</v>
      </c>
      <c r="AA4679">
        <v>0.98797389999999996</v>
      </c>
      <c r="AB4679">
        <v>27</v>
      </c>
      <c r="AC4679">
        <v>21.569099999999999</v>
      </c>
      <c r="AD4679">
        <v>-1.121444558016</v>
      </c>
      <c r="AE4679">
        <v>-2.7878099999999999</v>
      </c>
      <c r="AF4679">
        <v>3.3812384958273101</v>
      </c>
      <c r="AG4679">
        <v>-1.121444558016</v>
      </c>
      <c r="AH4679">
        <v>21.4256833279738</v>
      </c>
      <c r="AI4679">
        <v>92.959630488337595</v>
      </c>
      <c r="AJ4679">
        <v>81.031976276515195</v>
      </c>
      <c r="AK4679">
        <v>21.7198139433325</v>
      </c>
      <c r="AL4679">
        <v>78.262795213994494</v>
      </c>
      <c r="AM4679">
        <v>85.113237426364904</v>
      </c>
      <c r="AN4679">
        <v>0.99999996565101001</v>
      </c>
    </row>
    <row r="4680" spans="1:40" x14ac:dyDescent="0.25">
      <c r="A4680" t="str">
        <f>"20190303170632071"</f>
        <v>20190303170632071</v>
      </c>
      <c r="B4680" t="str">
        <f>"1551603992059722"</f>
        <v>1551603992059722</v>
      </c>
      <c r="C4680" t="s">
        <v>40</v>
      </c>
      <c r="D4680">
        <v>5.8282579999999999</v>
      </c>
      <c r="E4680">
        <v>0.53450850000000005</v>
      </c>
      <c r="F4680" t="s">
        <v>41</v>
      </c>
      <c r="G4680">
        <v>-320.71929999999998</v>
      </c>
      <c r="H4680" s="1">
        <v>-5.5638239999999998E-6</v>
      </c>
      <c r="I4680">
        <v>12.872159999999999</v>
      </c>
      <c r="J4680">
        <v>-342.16219999999998</v>
      </c>
      <c r="K4680">
        <v>1.1214360000000001</v>
      </c>
      <c r="L4680">
        <v>15.65326</v>
      </c>
      <c r="M4680">
        <v>0.99951659999999998</v>
      </c>
      <c r="N4680">
        <v>-1.344332E-2</v>
      </c>
      <c r="O4680">
        <v>2.8034770000000001E-2</v>
      </c>
      <c r="P4680">
        <v>0.98012549999999998</v>
      </c>
      <c r="Q4680">
        <v>0.19022439999999999</v>
      </c>
      <c r="R4680">
        <v>-5.6293490000000002E-2</v>
      </c>
      <c r="S4680">
        <v>3.0691830000000002</v>
      </c>
      <c r="T4680">
        <v>-0.15945599999999999</v>
      </c>
      <c r="U4680">
        <v>-0.39486690000000002</v>
      </c>
      <c r="V4680">
        <v>8.3717539999999993E-2</v>
      </c>
      <c r="W4680">
        <v>0.2033713</v>
      </c>
      <c r="X4680">
        <v>0.97551600000000005</v>
      </c>
      <c r="Y4680">
        <v>0.1550812</v>
      </c>
      <c r="Z4680">
        <v>-6.1319809999999999E-3</v>
      </c>
      <c r="AA4680">
        <v>0.9878827</v>
      </c>
      <c r="AB4680">
        <v>27</v>
      </c>
      <c r="AC4680">
        <v>21.442900000000002</v>
      </c>
      <c r="AD4680">
        <v>-1.1214415638240001</v>
      </c>
      <c r="AE4680">
        <v>-2.7810999999999999</v>
      </c>
      <c r="AF4680">
        <v>3.37213692974123</v>
      </c>
      <c r="AG4680">
        <v>-1.1214415638240001</v>
      </c>
      <c r="AH4680">
        <v>21.299202340447799</v>
      </c>
      <c r="AI4680">
        <v>92.976932555449594</v>
      </c>
      <c r="AJ4680">
        <v>81.003477935742296</v>
      </c>
      <c r="AK4680">
        <v>21.593632371449999</v>
      </c>
      <c r="AL4680">
        <v>78.265826780958903</v>
      </c>
      <c r="AM4680">
        <v>85.094967273012998</v>
      </c>
      <c r="AN4680">
        <v>0.99999998921166999</v>
      </c>
    </row>
    <row r="4681" spans="1:40" x14ac:dyDescent="0.25">
      <c r="A4681" t="str">
        <f>"20190303170632083"</f>
        <v>20190303170632083</v>
      </c>
      <c r="B4681" t="str">
        <f>"1551603992069481"</f>
        <v>1551603992069481</v>
      </c>
      <c r="C4681" t="s">
        <v>40</v>
      </c>
      <c r="D4681">
        <v>5.8365429999999998</v>
      </c>
      <c r="E4681">
        <v>0.53461890000000001</v>
      </c>
      <c r="F4681" t="s">
        <v>41</v>
      </c>
      <c r="G4681">
        <v>-320.56130000000002</v>
      </c>
      <c r="H4681" s="1">
        <v>-5.6403290000000002E-6</v>
      </c>
      <c r="I4681">
        <v>12.86196</v>
      </c>
      <c r="J4681">
        <v>-342.01780000000002</v>
      </c>
      <c r="K4681">
        <v>1.1214329999999999</v>
      </c>
      <c r="L4681">
        <v>15.657349999999999</v>
      </c>
      <c r="M4681">
        <v>0.99951500000000004</v>
      </c>
      <c r="N4681">
        <v>-1.3442519999999999E-2</v>
      </c>
      <c r="O4681">
        <v>2.8092289999999999E-2</v>
      </c>
      <c r="P4681">
        <v>0.97997000000000001</v>
      </c>
      <c r="Q4681">
        <v>0.19090109999999999</v>
      </c>
      <c r="R4681">
        <v>-5.6708429999999997E-2</v>
      </c>
      <c r="S4681">
        <v>3.0689700000000002</v>
      </c>
      <c r="T4681">
        <v>-0.15933</v>
      </c>
      <c r="U4681">
        <v>-0.39657589999999998</v>
      </c>
      <c r="V4681">
        <v>8.4184129999999996E-2</v>
      </c>
      <c r="W4681">
        <v>0.20404449999999999</v>
      </c>
      <c r="X4681">
        <v>0.97533519999999896</v>
      </c>
      <c r="Y4681">
        <v>0.1556872</v>
      </c>
      <c r="Z4681">
        <v>-6.1498200000000003E-3</v>
      </c>
      <c r="AA4681">
        <v>0.98778719999999998</v>
      </c>
      <c r="AB4681">
        <v>27</v>
      </c>
      <c r="AC4681">
        <v>21.456499999999998</v>
      </c>
      <c r="AD4681">
        <v>-1.121438640329</v>
      </c>
      <c r="AE4681">
        <v>-2.7953899999999998</v>
      </c>
      <c r="AF4681">
        <v>3.3880026621469499</v>
      </c>
      <c r="AG4681">
        <v>-1.121438640329</v>
      </c>
      <c r="AH4681">
        <v>21.312247286315099</v>
      </c>
      <c r="AI4681">
        <v>92.974808371534706</v>
      </c>
      <c r="AJ4681">
        <v>80.967287764047597</v>
      </c>
      <c r="AK4681">
        <v>21.608981259091799</v>
      </c>
      <c r="AL4681">
        <v>78.2264285610689</v>
      </c>
      <c r="AM4681">
        <v>85.066854338779606</v>
      </c>
      <c r="AN4681">
        <v>0.99999993904157103</v>
      </c>
    </row>
    <row r="4682" spans="1:40" x14ac:dyDescent="0.25">
      <c r="A4682" t="str">
        <f>"20190303170632093"</f>
        <v>20190303170632093</v>
      </c>
      <c r="B4682" t="str">
        <f>"1551603992080217"</f>
        <v>1551603992080217</v>
      </c>
      <c r="C4682" t="s">
        <v>40</v>
      </c>
      <c r="D4682">
        <v>5.8071590000000004</v>
      </c>
      <c r="E4682">
        <v>0.53474829999999995</v>
      </c>
      <c r="F4682" t="s">
        <v>41</v>
      </c>
      <c r="G4682">
        <v>-320.13200000000001</v>
      </c>
      <c r="H4682" s="1">
        <v>-5.8506840000000001E-6</v>
      </c>
      <c r="I4682">
        <v>12.820069999999999</v>
      </c>
      <c r="J4682">
        <v>-341.88220000000001</v>
      </c>
      <c r="K4682">
        <v>1.121435</v>
      </c>
      <c r="L4682">
        <v>15.661250000000001</v>
      </c>
      <c r="M4682">
        <v>0.9995136</v>
      </c>
      <c r="N4682">
        <v>-1.344178E-2</v>
      </c>
      <c r="O4682">
        <v>2.8146290000000001E-2</v>
      </c>
      <c r="P4682">
        <v>0.97993589999999997</v>
      </c>
      <c r="Q4682">
        <v>0.1909534</v>
      </c>
      <c r="R4682">
        <v>-5.712155E-2</v>
      </c>
      <c r="S4682">
        <v>3.0689389999999999</v>
      </c>
      <c r="T4682">
        <v>-0.157254</v>
      </c>
      <c r="U4682">
        <v>-0.39785769999999998</v>
      </c>
      <c r="V4682">
        <v>8.4649119999999994E-2</v>
      </c>
      <c r="W4682">
        <v>0.20409540000000001</v>
      </c>
      <c r="X4682">
        <v>0.97528440000000005</v>
      </c>
      <c r="Y4682">
        <v>0.1561535</v>
      </c>
      <c r="Z4682">
        <v>-6.0955489999999996E-3</v>
      </c>
      <c r="AA4682">
        <v>0.98771399999999998</v>
      </c>
      <c r="AB4682">
        <v>27</v>
      </c>
      <c r="AC4682">
        <v>21.7502</v>
      </c>
      <c r="AD4682">
        <v>-1.1214408506839999</v>
      </c>
      <c r="AE4682">
        <v>-2.84118</v>
      </c>
      <c r="AF4682">
        <v>3.44329660320652</v>
      </c>
      <c r="AG4682">
        <v>-1.1214408506839999</v>
      </c>
      <c r="AH4682">
        <v>21.605133200742898</v>
      </c>
      <c r="AI4682">
        <v>92.934373855651003</v>
      </c>
      <c r="AJ4682">
        <v>80.944698098228102</v>
      </c>
      <c r="AK4682">
        <v>21.906521898765199</v>
      </c>
      <c r="AL4682">
        <v>78.223450642138801</v>
      </c>
      <c r="AM4682">
        <v>85.039484665142496</v>
      </c>
      <c r="AN4682">
        <v>1.00000003335064</v>
      </c>
    </row>
    <row r="4683" spans="1:40" x14ac:dyDescent="0.25">
      <c r="A4683" t="str">
        <f>"20190303170632112"</f>
        <v>20190303170632112</v>
      </c>
      <c r="B4683" t="str">
        <f>"1551603992099737"</f>
        <v>1551603992099737</v>
      </c>
      <c r="C4683" t="s">
        <v>40</v>
      </c>
      <c r="D4683">
        <v>5.8367719999999998</v>
      </c>
      <c r="E4683">
        <v>0.5349488</v>
      </c>
      <c r="F4683" t="s">
        <v>41</v>
      </c>
      <c r="G4683">
        <v>-319.99720000000002</v>
      </c>
      <c r="H4683" s="1">
        <v>-5.9154649999999996E-6</v>
      </c>
      <c r="I4683">
        <v>12.81414</v>
      </c>
      <c r="J4683">
        <v>-341.65769999999998</v>
      </c>
      <c r="K4683">
        <v>1.1214390000000001</v>
      </c>
      <c r="L4683">
        <v>15.66766</v>
      </c>
      <c r="M4683">
        <v>0.99951109999999999</v>
      </c>
      <c r="N4683">
        <v>-1.3440550000000001E-2</v>
      </c>
      <c r="O4683">
        <v>2.823606E-2</v>
      </c>
      <c r="P4683">
        <v>0.97987400000000002</v>
      </c>
      <c r="Q4683">
        <v>0.19096679999999999</v>
      </c>
      <c r="R4683">
        <v>-5.8130859999999999E-2</v>
      </c>
      <c r="S4683">
        <v>3.0687869999999999</v>
      </c>
      <c r="T4683">
        <v>-0.15725169999999999</v>
      </c>
      <c r="U4683">
        <v>-0.399231</v>
      </c>
      <c r="V4683">
        <v>8.574387E-2</v>
      </c>
      <c r="W4683">
        <v>0.2041066</v>
      </c>
      <c r="X4683">
        <v>0.97518640000000001</v>
      </c>
      <c r="Y4683">
        <v>0.15668219999999999</v>
      </c>
      <c r="Z4683">
        <v>-6.1159959999999899E-3</v>
      </c>
      <c r="AA4683">
        <v>0.98763009999999996</v>
      </c>
      <c r="AB4683">
        <v>27</v>
      </c>
      <c r="AC4683">
        <v>21.6604999999999</v>
      </c>
      <c r="AD4683">
        <v>-1.1214449154649999</v>
      </c>
      <c r="AE4683">
        <v>-2.8535200000000001</v>
      </c>
      <c r="AF4683">
        <v>3.4549413116835201</v>
      </c>
      <c r="AG4683">
        <v>-1.1214449154649999</v>
      </c>
      <c r="AH4683">
        <v>21.5145961109911</v>
      </c>
      <c r="AI4683">
        <v>92.946155120276799</v>
      </c>
      <c r="AJ4683">
        <v>80.8769930263947</v>
      </c>
      <c r="AK4683">
        <v>21.8190766070582</v>
      </c>
      <c r="AL4683">
        <v>78.222794912496795</v>
      </c>
      <c r="AM4683">
        <v>84.975155289175007</v>
      </c>
      <c r="AN4683">
        <v>1.0000000150755399</v>
      </c>
    </row>
    <row r="4684" spans="1:40" x14ac:dyDescent="0.25">
      <c r="A4684" t="str">
        <f>"20190303170632125"</f>
        <v>20190303170632125</v>
      </c>
      <c r="B4684" t="str">
        <f>"1551603992119257"</f>
        <v>1551603992119257</v>
      </c>
      <c r="C4684" t="s">
        <v>40</v>
      </c>
      <c r="D4684">
        <v>5.8014320000000001</v>
      </c>
      <c r="E4684">
        <v>0.53520380000000001</v>
      </c>
      <c r="F4684" t="s">
        <v>43</v>
      </c>
      <c r="G4684">
        <v>-318.74</v>
      </c>
      <c r="H4684">
        <v>-0.05</v>
      </c>
      <c r="I4684">
        <v>12.658329999999999</v>
      </c>
      <c r="J4684">
        <v>-341.5027</v>
      </c>
      <c r="K4684">
        <v>1.1214379999999999</v>
      </c>
      <c r="L4684">
        <v>15.672090000000001</v>
      </c>
      <c r="M4684">
        <v>0.99950930000000004</v>
      </c>
      <c r="N4684">
        <v>-1.3439690000000001E-2</v>
      </c>
      <c r="O4684">
        <v>2.8297869999999999E-2</v>
      </c>
      <c r="P4684">
        <v>0.97985800000000001</v>
      </c>
      <c r="Q4684">
        <v>0.19101989999999999</v>
      </c>
      <c r="R4684">
        <v>-5.8223810000000001E-2</v>
      </c>
      <c r="S4684">
        <v>3.0682369999999999</v>
      </c>
      <c r="T4684">
        <v>-0.15683279999999999</v>
      </c>
      <c r="U4684">
        <v>-0.4028931</v>
      </c>
      <c r="V4684">
        <v>8.5896959999999994E-2</v>
      </c>
      <c r="W4684">
        <v>0.20415839999999999</v>
      </c>
      <c r="X4684">
        <v>0.97516210000000003</v>
      </c>
      <c r="Y4684">
        <v>0.15792400000000001</v>
      </c>
      <c r="Z4684">
        <v>-6.1444400000000001E-3</v>
      </c>
      <c r="AA4684">
        <v>0.98743219999999998</v>
      </c>
      <c r="AB4684">
        <v>27</v>
      </c>
      <c r="AC4684">
        <v>22.762699999999899</v>
      </c>
      <c r="AD4684">
        <v>-1.171438</v>
      </c>
      <c r="AE4684">
        <v>-3.01376</v>
      </c>
      <c r="AF4684">
        <v>3.6472537649036898</v>
      </c>
      <c r="AG4684">
        <v>-1.171438</v>
      </c>
      <c r="AH4684">
        <v>22.609443709436</v>
      </c>
      <c r="AI4684">
        <v>92.928162999516005</v>
      </c>
      <c r="AJ4684">
        <v>80.836246857003005</v>
      </c>
      <c r="AK4684">
        <v>22.931673987382698</v>
      </c>
      <c r="AL4684">
        <v>78.2197633383267</v>
      </c>
      <c r="AM4684">
        <v>84.966105023558001</v>
      </c>
      <c r="AN4684">
        <v>1.0000000306521</v>
      </c>
    </row>
    <row r="4685" spans="1:40" x14ac:dyDescent="0.25">
      <c r="A4685" t="str">
        <f>"20190303170632135"</f>
        <v>20190303170632135</v>
      </c>
      <c r="B4685" t="str">
        <f>"1551603992129994"</f>
        <v>1551603992129994</v>
      </c>
      <c r="C4685" t="s">
        <v>40</v>
      </c>
      <c r="D4685">
        <v>5.8099530000000001</v>
      </c>
      <c r="E4685">
        <v>0.53534009999999999</v>
      </c>
      <c r="F4685" t="s">
        <v>43</v>
      </c>
      <c r="G4685">
        <v>-318.41669999999999</v>
      </c>
      <c r="H4685">
        <v>-0.05</v>
      </c>
      <c r="I4685">
        <v>12.62105</v>
      </c>
      <c r="J4685">
        <v>-341.36219999999997</v>
      </c>
      <c r="K4685">
        <v>1.1214299999999999</v>
      </c>
      <c r="L4685">
        <v>15.67615</v>
      </c>
      <c r="M4685">
        <v>0.9995077</v>
      </c>
      <c r="N4685">
        <v>-1.343892E-2</v>
      </c>
      <c r="O4685">
        <v>2.8354020000000001E-2</v>
      </c>
      <c r="P4685">
        <v>0.97994769999999998</v>
      </c>
      <c r="Q4685">
        <v>0.19053890000000001</v>
      </c>
      <c r="R4685">
        <v>-5.8288600000000003E-2</v>
      </c>
      <c r="S4685">
        <v>3.0679319999999999</v>
      </c>
      <c r="T4685">
        <v>-0.15567400000000001</v>
      </c>
      <c r="U4685">
        <v>-0.4054565</v>
      </c>
      <c r="V4685">
        <v>8.6019369999999998E-2</v>
      </c>
      <c r="W4685">
        <v>0.20367759999999999</v>
      </c>
      <c r="X4685">
        <v>0.97525189999999995</v>
      </c>
      <c r="Y4685">
        <v>0.15880540000000001</v>
      </c>
      <c r="Z4685">
        <v>-6.1347349999999997E-3</v>
      </c>
      <c r="AA4685">
        <v>0.98729089999999997</v>
      </c>
      <c r="AB4685">
        <v>27</v>
      </c>
      <c r="AC4685">
        <v>22.9454999999999</v>
      </c>
      <c r="AD4685">
        <v>-1.17143</v>
      </c>
      <c r="AE4685">
        <v>-3.0550999999999902</v>
      </c>
      <c r="AF4685">
        <v>3.6950643356254802</v>
      </c>
      <c r="AG4685">
        <v>-1.17143</v>
      </c>
      <c r="AH4685">
        <v>22.7912728108011</v>
      </c>
      <c r="AI4685">
        <v>92.9044519265058</v>
      </c>
      <c r="AJ4685">
        <v>80.790976546298594</v>
      </c>
      <c r="AK4685">
        <v>23.118561050066901</v>
      </c>
      <c r="AL4685">
        <v>78.247903026725197</v>
      </c>
      <c r="AM4685">
        <v>84.959430040902404</v>
      </c>
      <c r="AN4685">
        <v>1.0000000826052799</v>
      </c>
    </row>
    <row r="4686" spans="1:40" x14ac:dyDescent="0.25">
      <c r="A4686" t="str">
        <f>"20190303170632146"</f>
        <v>20190303170632146</v>
      </c>
      <c r="B4686" t="str">
        <f>"1551603992139753"</f>
        <v>1551603992139753</v>
      </c>
      <c r="C4686" t="s">
        <v>40</v>
      </c>
      <c r="D4686">
        <v>5.8114650000000001</v>
      </c>
      <c r="E4686">
        <v>0.53553439999999997</v>
      </c>
      <c r="F4686" t="s">
        <v>43</v>
      </c>
      <c r="G4686">
        <v>-318.42469999999997</v>
      </c>
      <c r="H4686">
        <v>-0.05</v>
      </c>
      <c r="I4686">
        <v>12.635070000000001</v>
      </c>
      <c r="J4686">
        <v>-341.23739999999998</v>
      </c>
      <c r="K4686">
        <v>1.1214280000000001</v>
      </c>
      <c r="L4686">
        <v>15.67975</v>
      </c>
      <c r="M4686">
        <v>0.99950620000000001</v>
      </c>
      <c r="N4686">
        <v>-1.343828E-2</v>
      </c>
      <c r="O4686">
        <v>2.8403910000000001E-2</v>
      </c>
      <c r="P4686">
        <v>0.98008779999999995</v>
      </c>
      <c r="Q4686">
        <v>0.189915</v>
      </c>
      <c r="R4686">
        <v>-5.7972179999999998E-2</v>
      </c>
      <c r="S4686">
        <v>3.0676269999999999</v>
      </c>
      <c r="T4686">
        <v>-0.15666479999999999</v>
      </c>
      <c r="U4686">
        <v>-0.40670780000000001</v>
      </c>
      <c r="V4686">
        <v>8.5755769999999995E-2</v>
      </c>
      <c r="W4686">
        <v>0.20305570000000001</v>
      </c>
      <c r="X4686">
        <v>0.97540470000000001</v>
      </c>
      <c r="Y4686">
        <v>0.15925909999999999</v>
      </c>
      <c r="Z4686">
        <v>-6.1862039999999998E-3</v>
      </c>
      <c r="AA4686">
        <v>0.98721740000000002</v>
      </c>
      <c r="AB4686">
        <v>27</v>
      </c>
      <c r="AC4686">
        <v>22.8127</v>
      </c>
      <c r="AD4686">
        <v>-1.1714279999999999</v>
      </c>
      <c r="AE4686">
        <v>-3.0446800000000001</v>
      </c>
      <c r="AF4686">
        <v>3.6819410752234401</v>
      </c>
      <c r="AG4686">
        <v>-1.1714279999999999</v>
      </c>
      <c r="AH4686">
        <v>22.6583055127766</v>
      </c>
      <c r="AI4686">
        <v>92.9212902252372</v>
      </c>
      <c r="AJ4686">
        <v>80.770196461918005</v>
      </c>
      <c r="AK4686">
        <v>22.985381057335601</v>
      </c>
      <c r="AL4686">
        <v>78.284294789276402</v>
      </c>
      <c r="AM4686">
        <v>84.975580465388902</v>
      </c>
      <c r="AN4686">
        <v>0.999999999086436</v>
      </c>
    </row>
    <row r="4687" spans="1:40" x14ac:dyDescent="0.25">
      <c r="A4687" t="str">
        <f>"20190303170632158"</f>
        <v>20190303170632158</v>
      </c>
      <c r="B4687" t="str">
        <f>"1551603992149513"</f>
        <v>1551603992149513</v>
      </c>
      <c r="C4687" t="s">
        <v>40</v>
      </c>
      <c r="D4687">
        <v>5.7931140000000001</v>
      </c>
      <c r="E4687">
        <v>0.53564319999999999</v>
      </c>
      <c r="F4687" t="s">
        <v>43</v>
      </c>
      <c r="G4687">
        <v>-318.51589999999999</v>
      </c>
      <c r="H4687">
        <v>-0.05</v>
      </c>
      <c r="I4687">
        <v>12.65924</v>
      </c>
      <c r="J4687">
        <v>-341.08940000000001</v>
      </c>
      <c r="K4687">
        <v>1.121426</v>
      </c>
      <c r="L4687">
        <v>15.68399</v>
      </c>
      <c r="M4687">
        <v>0.99950459999999997</v>
      </c>
      <c r="N4687">
        <v>-1.3437589999999999E-2</v>
      </c>
      <c r="O4687">
        <v>2.8463039999999998E-2</v>
      </c>
      <c r="P4687">
        <v>0.98025169999999995</v>
      </c>
      <c r="Q4687">
        <v>0.18923580000000001</v>
      </c>
      <c r="R4687">
        <v>-5.7415519999999998E-2</v>
      </c>
      <c r="S4687">
        <v>3.0674440000000001</v>
      </c>
      <c r="T4687">
        <v>-0.1581447</v>
      </c>
      <c r="U4687">
        <v>-0.40777590000000002</v>
      </c>
      <c r="V4687">
        <v>8.526222E-2</v>
      </c>
      <c r="W4687">
        <v>0.20237769999999999</v>
      </c>
      <c r="X4687">
        <v>0.97558889999999998</v>
      </c>
      <c r="Y4687">
        <v>0.15965739999999901</v>
      </c>
      <c r="Z4687">
        <v>-6.2533669999999897E-3</v>
      </c>
      <c r="AA4687">
        <v>0.98715269999999999</v>
      </c>
      <c r="AB4687">
        <v>27</v>
      </c>
      <c r="AC4687">
        <v>22.573499999999999</v>
      </c>
      <c r="AD4687">
        <v>-1.1714260000000001</v>
      </c>
      <c r="AE4687">
        <v>-3.02475</v>
      </c>
      <c r="AF4687">
        <v>3.6564197255970998</v>
      </c>
      <c r="AG4687">
        <v>-1.1714260000000001</v>
      </c>
      <c r="AH4687">
        <v>22.418942531538399</v>
      </c>
      <c r="AI4687">
        <v>92.952141552331696</v>
      </c>
      <c r="AJ4687">
        <v>80.736897245687103</v>
      </c>
      <c r="AK4687">
        <v>22.745343002813399</v>
      </c>
      <c r="AL4687">
        <v>78.323965476828704</v>
      </c>
      <c r="AM4687">
        <v>85.005289195801694</v>
      </c>
      <c r="AN4687">
        <v>1.0000000407099101</v>
      </c>
    </row>
    <row r="4688" spans="1:40" x14ac:dyDescent="0.25">
      <c r="A4688" t="str">
        <f>"20190303170632170"</f>
        <v>20190303170632170</v>
      </c>
      <c r="B4688" t="str">
        <f>"1551603992160250"</f>
        <v>1551603992160250</v>
      </c>
      <c r="C4688" t="s">
        <v>40</v>
      </c>
      <c r="D4688">
        <v>5.8084410000000002</v>
      </c>
      <c r="E4688">
        <v>0.53570220000000002</v>
      </c>
      <c r="F4688" t="s">
        <v>43</v>
      </c>
      <c r="G4688">
        <v>-318.56470000000002</v>
      </c>
      <c r="H4688">
        <v>-0.05</v>
      </c>
      <c r="I4688">
        <v>12.691789999999999</v>
      </c>
      <c r="J4688">
        <v>-340.94630000000001</v>
      </c>
      <c r="K4688">
        <v>1.1214189999999999</v>
      </c>
      <c r="L4688">
        <v>15.688140000000001</v>
      </c>
      <c r="M4688">
        <v>0.99950300000000003</v>
      </c>
      <c r="N4688">
        <v>-1.343684E-2</v>
      </c>
      <c r="O4688">
        <v>2.8520199999999999E-2</v>
      </c>
      <c r="P4688">
        <v>0.98030289999999998</v>
      </c>
      <c r="Q4688">
        <v>0.18917629999999999</v>
      </c>
      <c r="R4688">
        <v>-5.6729790000000002E-2</v>
      </c>
      <c r="S4688">
        <v>3.0673520000000001</v>
      </c>
      <c r="T4688">
        <v>-0.15952160000000001</v>
      </c>
      <c r="U4688">
        <v>-0.40747070000000002</v>
      </c>
      <c r="V4688">
        <v>8.4634360000000006E-2</v>
      </c>
      <c r="W4688">
        <v>0.20231789999999999</v>
      </c>
      <c r="X4688">
        <v>0.97565590000000002</v>
      </c>
      <c r="Y4688">
        <v>0.15961649999999999</v>
      </c>
      <c r="Z4688">
        <v>-6.3027059999999999E-3</v>
      </c>
      <c r="AA4688">
        <v>0.98715900000000001</v>
      </c>
      <c r="AB4688">
        <v>27</v>
      </c>
      <c r="AC4688">
        <v>22.381599999999899</v>
      </c>
      <c r="AD4688">
        <v>-1.171419</v>
      </c>
      <c r="AE4688">
        <v>-2.9963500000000001</v>
      </c>
      <c r="AF4688">
        <v>3.6237643323426898</v>
      </c>
      <c r="AG4688">
        <v>-1.171419</v>
      </c>
      <c r="AH4688">
        <v>22.227214348308699</v>
      </c>
      <c r="AI4688">
        <v>92.977572263317199</v>
      </c>
      <c r="AJ4688">
        <v>80.740376101074403</v>
      </c>
      <c r="AK4688">
        <v>22.551118555308499</v>
      </c>
      <c r="AL4688">
        <v>78.327463317931901</v>
      </c>
      <c r="AM4688">
        <v>85.042224370933596</v>
      </c>
      <c r="AN4688">
        <v>0.99999997137891405</v>
      </c>
    </row>
    <row r="4689" spans="1:40" x14ac:dyDescent="0.25">
      <c r="A4689" t="str">
        <f>"20190303170632183"</f>
        <v>20190303170632183</v>
      </c>
      <c r="B4689" t="str">
        <f>"1551603992170009"</f>
        <v>1551603992170009</v>
      </c>
      <c r="C4689" t="s">
        <v>40</v>
      </c>
      <c r="D4689">
        <v>5.7687150000000003</v>
      </c>
      <c r="E4689">
        <v>0.53576279999999998</v>
      </c>
      <c r="F4689" t="s">
        <v>43</v>
      </c>
      <c r="G4689">
        <v>-318.40199999999999</v>
      </c>
      <c r="H4689">
        <v>-0.05</v>
      </c>
      <c r="I4689">
        <v>12.70473</v>
      </c>
      <c r="J4689">
        <v>-340.79169999999999</v>
      </c>
      <c r="K4689">
        <v>1.1214189999999999</v>
      </c>
      <c r="L4689">
        <v>15.69266</v>
      </c>
      <c r="M4689">
        <v>0.99950130000000004</v>
      </c>
      <c r="N4689">
        <v>-1.343598E-2</v>
      </c>
      <c r="O4689">
        <v>2.8581720000000001E-2</v>
      </c>
      <c r="P4689">
        <v>0.98027949999999997</v>
      </c>
      <c r="Q4689">
        <v>0.1893949</v>
      </c>
      <c r="R4689">
        <v>-5.6408809999999997E-2</v>
      </c>
      <c r="S4689">
        <v>3.0675349999999999</v>
      </c>
      <c r="T4689">
        <v>-0.15939139999999999</v>
      </c>
      <c r="U4689">
        <v>-0.40594479999999999</v>
      </c>
      <c r="V4689">
        <v>8.4372929999999999E-2</v>
      </c>
      <c r="W4689">
        <v>0.20253550000000001</v>
      </c>
      <c r="X4689">
        <v>0.97563339999999998</v>
      </c>
      <c r="Y4689">
        <v>0.1591882</v>
      </c>
      <c r="Z4689">
        <v>-6.286285E-3</v>
      </c>
      <c r="AA4689">
        <v>0.98722829999999995</v>
      </c>
      <c r="AB4689">
        <v>27</v>
      </c>
      <c r="AC4689">
        <v>22.389700000000001</v>
      </c>
      <c r="AD4689">
        <v>-1.171419</v>
      </c>
      <c r="AE4689">
        <v>-2.98793</v>
      </c>
      <c r="AF4689">
        <v>3.6169752702398399</v>
      </c>
      <c r="AG4689">
        <v>-1.171419</v>
      </c>
      <c r="AH4689">
        <v>22.235342782996199</v>
      </c>
      <c r="AI4689">
        <v>92.976657741481105</v>
      </c>
      <c r="AJ4689">
        <v>80.760744663919596</v>
      </c>
      <c r="AK4689">
        <v>22.558040722909102</v>
      </c>
      <c r="AL4689">
        <v>78.314732239099499</v>
      </c>
      <c r="AM4689">
        <v>85.057349219031295</v>
      </c>
      <c r="AN4689">
        <v>0.99999997563629694</v>
      </c>
    </row>
    <row r="4690" spans="1:40" x14ac:dyDescent="0.25">
      <c r="A4690" t="str">
        <f>"20190303170632197"</f>
        <v>20190303170632197</v>
      </c>
      <c r="B4690" t="str">
        <f>"1551603992190037"</f>
        <v>1551603992190037</v>
      </c>
      <c r="C4690" t="s">
        <v>40</v>
      </c>
      <c r="D4690">
        <v>5.8017969999999996</v>
      </c>
      <c r="E4690">
        <v>0.53599240000000004</v>
      </c>
      <c r="F4690" t="s">
        <v>43</v>
      </c>
      <c r="G4690">
        <v>-318.04910000000001</v>
      </c>
      <c r="H4690">
        <v>-0.05</v>
      </c>
      <c r="I4690">
        <v>12.686859999999999</v>
      </c>
      <c r="J4690">
        <v>-340.60640000000001</v>
      </c>
      <c r="K4690">
        <v>1.121418</v>
      </c>
      <c r="L4690">
        <v>15.698029999999999</v>
      </c>
      <c r="M4690">
        <v>0.99949909999999997</v>
      </c>
      <c r="N4690">
        <v>-1.343484E-2</v>
      </c>
      <c r="O4690">
        <v>2.8655989999999999E-2</v>
      </c>
      <c r="P4690">
        <v>0.98023329999999997</v>
      </c>
      <c r="Q4690">
        <v>0.18982840000000001</v>
      </c>
      <c r="R4690">
        <v>-5.5749E-2</v>
      </c>
      <c r="S4690">
        <v>3.0675349999999999</v>
      </c>
      <c r="T4690">
        <v>-0.15800210000000001</v>
      </c>
      <c r="U4690">
        <v>-0.40542600000000001</v>
      </c>
      <c r="V4690">
        <v>8.3784810000000001E-2</v>
      </c>
      <c r="W4690">
        <v>0.2029675</v>
      </c>
      <c r="X4690">
        <v>0.97559430000000003</v>
      </c>
      <c r="Y4690">
        <v>0.1591022</v>
      </c>
      <c r="Z4690">
        <v>-6.2375979999999996E-3</v>
      </c>
      <c r="AA4690">
        <v>0.98724239999999996</v>
      </c>
      <c r="AB4690">
        <v>27</v>
      </c>
      <c r="AC4690">
        <v>22.557300000000001</v>
      </c>
      <c r="AD4690">
        <v>-1.1714180000000001</v>
      </c>
      <c r="AE4690">
        <v>-3.0111699999999901</v>
      </c>
      <c r="AF4690">
        <v>3.64673091530614</v>
      </c>
      <c r="AG4690">
        <v>-1.1714180000000001</v>
      </c>
      <c r="AH4690">
        <v>22.4023818038828</v>
      </c>
      <c r="AI4690">
        <v>92.954445899763996</v>
      </c>
      <c r="AJ4690">
        <v>80.754306951391698</v>
      </c>
      <c r="AK4690">
        <v>22.727463056538198</v>
      </c>
      <c r="AL4690">
        <v>78.289455393561198</v>
      </c>
      <c r="AM4690">
        <v>85.091437219746894</v>
      </c>
      <c r="AN4690">
        <v>0.99999996931773705</v>
      </c>
    </row>
    <row r="4691" spans="1:40" x14ac:dyDescent="0.25">
      <c r="A4691" t="str">
        <f>"20190303170632214"</f>
        <v>20190303170632214</v>
      </c>
      <c r="B4691" t="str">
        <f>"1551603992199796"</f>
        <v>1551603992199796</v>
      </c>
      <c r="C4691" t="s">
        <v>40</v>
      </c>
      <c r="D4691">
        <v>5.7922159999999998</v>
      </c>
      <c r="E4691">
        <v>0.53612709999999997</v>
      </c>
      <c r="F4691" t="s">
        <v>43</v>
      </c>
      <c r="G4691">
        <v>-317.60640000000001</v>
      </c>
      <c r="H4691">
        <v>-0.05</v>
      </c>
      <c r="I4691">
        <v>12.659739999999999</v>
      </c>
      <c r="J4691">
        <v>-340.41899999999998</v>
      </c>
      <c r="K4691">
        <v>1.1214200000000001</v>
      </c>
      <c r="L4691">
        <v>15.70346</v>
      </c>
      <c r="M4691">
        <v>0.99949699999999997</v>
      </c>
      <c r="N4691">
        <v>-1.343362E-2</v>
      </c>
      <c r="O4691">
        <v>2.873092E-2</v>
      </c>
      <c r="P4691">
        <v>0.98011729999999997</v>
      </c>
      <c r="Q4691">
        <v>0.19064390000000001</v>
      </c>
      <c r="R4691">
        <v>-5.5001179999999997E-2</v>
      </c>
      <c r="S4691">
        <v>3.0677189999999999</v>
      </c>
      <c r="T4691">
        <v>-0.156242299999999</v>
      </c>
      <c r="U4691">
        <v>-0.40524290000000002</v>
      </c>
      <c r="V4691">
        <v>8.3107100000000003E-2</v>
      </c>
      <c r="W4691">
        <v>0.20378070000000001</v>
      </c>
      <c r="X4691">
        <v>0.97548279999999998</v>
      </c>
      <c r="Y4691">
        <v>0.15911639999999999</v>
      </c>
      <c r="Z4691">
        <v>-6.1787589999999998E-3</v>
      </c>
      <c r="AA4691">
        <v>0.98724049999999997</v>
      </c>
      <c r="AB4691">
        <v>27</v>
      </c>
      <c r="AC4691">
        <v>22.8126</v>
      </c>
      <c r="AD4691">
        <v>-1.1714199999999999</v>
      </c>
      <c r="AE4691">
        <v>-3.04372</v>
      </c>
      <c r="AF4691">
        <v>3.6883939232937601</v>
      </c>
      <c r="AG4691">
        <v>-1.1714199999999999</v>
      </c>
      <c r="AH4691">
        <v>22.657027145417601</v>
      </c>
      <c r="AI4691">
        <v>92.921299004074299</v>
      </c>
      <c r="AJ4691">
        <v>80.753787069346103</v>
      </c>
      <c r="AK4691">
        <v>22.9851550705663</v>
      </c>
      <c r="AL4691">
        <v>78.241868642415199</v>
      </c>
      <c r="AM4691">
        <v>85.130395581207907</v>
      </c>
      <c r="AN4691">
        <v>1.00000002842936</v>
      </c>
    </row>
    <row r="4692" spans="1:40" x14ac:dyDescent="0.25">
      <c r="A4692" t="str">
        <f>"20190303170632228"</f>
        <v>20190303170632228</v>
      </c>
      <c r="B4692" t="str">
        <f>"1551603992219317"</f>
        <v>1551603992219317</v>
      </c>
      <c r="C4692" t="s">
        <v>40</v>
      </c>
      <c r="D4692">
        <v>5.7686229999999998</v>
      </c>
      <c r="E4692">
        <v>0.53636430000000002</v>
      </c>
      <c r="F4692" t="s">
        <v>43</v>
      </c>
      <c r="G4692">
        <v>-317.04849999999999</v>
      </c>
      <c r="H4692">
        <v>-0.05</v>
      </c>
      <c r="I4692">
        <v>12.62804</v>
      </c>
      <c r="J4692">
        <v>-340.25699999999898</v>
      </c>
      <c r="K4692">
        <v>1.1214230000000001</v>
      </c>
      <c r="L4692">
        <v>15.708220000000001</v>
      </c>
      <c r="M4692">
        <v>0.99949520000000003</v>
      </c>
      <c r="N4692">
        <v>-1.343258E-2</v>
      </c>
      <c r="O4692">
        <v>2.879553E-2</v>
      </c>
      <c r="P4692">
        <v>0.98014429999999997</v>
      </c>
      <c r="Q4692">
        <v>0.1906516</v>
      </c>
      <c r="R4692">
        <v>-5.4493930000000003E-2</v>
      </c>
      <c r="S4692">
        <v>3.0681150000000001</v>
      </c>
      <c r="T4692">
        <v>-0.15378559999999999</v>
      </c>
      <c r="U4692">
        <v>-0.40374759999999998</v>
      </c>
      <c r="V4692">
        <v>8.2664029999999999E-2</v>
      </c>
      <c r="W4692">
        <v>0.2037873</v>
      </c>
      <c r="X4692">
        <v>0.97551909999999997</v>
      </c>
      <c r="Y4692">
        <v>0.15869929999999999</v>
      </c>
      <c r="Z4692">
        <v>-6.0810589999999998E-3</v>
      </c>
      <c r="AA4692">
        <v>0.98730819999999997</v>
      </c>
      <c r="AB4692">
        <v>27</v>
      </c>
      <c r="AC4692">
        <v>23.208499999999901</v>
      </c>
      <c r="AD4692">
        <v>-1.1714229999999899</v>
      </c>
      <c r="AE4692">
        <v>-3.0801799999999999</v>
      </c>
      <c r="AF4692">
        <v>3.73790585176243</v>
      </c>
      <c r="AG4692">
        <v>-1.1714229999999899</v>
      </c>
      <c r="AH4692">
        <v>23.052458635723401</v>
      </c>
      <c r="AI4692">
        <v>92.871572811357495</v>
      </c>
      <c r="AJ4692">
        <v>80.789774300289196</v>
      </c>
      <c r="AK4692">
        <v>23.3829001869595</v>
      </c>
      <c r="AL4692">
        <v>78.241482761305306</v>
      </c>
      <c r="AM4692">
        <v>85.156412504006994</v>
      </c>
      <c r="AN4692">
        <v>1.00000005998096</v>
      </c>
    </row>
    <row r="4693" spans="1:40" x14ac:dyDescent="0.25">
      <c r="A4693" t="str">
        <f>"20190303170632248"</f>
        <v>20190303170632248</v>
      </c>
      <c r="B4693" t="str">
        <f>"1551603992239812"</f>
        <v>1551603992239812</v>
      </c>
      <c r="C4693" t="s">
        <v>40</v>
      </c>
      <c r="D4693">
        <v>5.768052</v>
      </c>
      <c r="E4693">
        <v>0.53661749999999997</v>
      </c>
      <c r="F4693" t="s">
        <v>43</v>
      </c>
      <c r="G4693">
        <v>-316.77730000000003</v>
      </c>
      <c r="H4693">
        <v>-0.05</v>
      </c>
      <c r="I4693">
        <v>12.612730000000001</v>
      </c>
      <c r="J4693">
        <v>-340.00040000000001</v>
      </c>
      <c r="K4693">
        <v>1.121432</v>
      </c>
      <c r="L4693">
        <v>15.715730000000001</v>
      </c>
      <c r="M4693">
        <v>0.99949219999999905</v>
      </c>
      <c r="N4693">
        <v>-1.343102E-2</v>
      </c>
      <c r="O4693">
        <v>2.8898050000000002E-2</v>
      </c>
      <c r="P4693">
        <v>0.98035620000000001</v>
      </c>
      <c r="Q4693">
        <v>0.18975220000000001</v>
      </c>
      <c r="R4693">
        <v>-5.3814819999999999E-2</v>
      </c>
      <c r="S4693">
        <v>3.0680239999999999</v>
      </c>
      <c r="T4693">
        <v>-0.15306629999999999</v>
      </c>
      <c r="U4693">
        <v>-0.40448000000000001</v>
      </c>
      <c r="V4693">
        <v>8.2091990000000004E-2</v>
      </c>
      <c r="W4693">
        <v>0.2028895</v>
      </c>
      <c r="X4693">
        <v>0.97575440000000002</v>
      </c>
      <c r="Y4693">
        <v>0.15903779999999901</v>
      </c>
      <c r="Z4693">
        <v>-6.0702789999999996E-3</v>
      </c>
      <c r="AA4693">
        <v>0.98725379999999996</v>
      </c>
      <c r="AB4693">
        <v>27</v>
      </c>
      <c r="AC4693">
        <v>23.223099999999899</v>
      </c>
      <c r="AD4693">
        <v>-1.171432</v>
      </c>
      <c r="AE4693">
        <v>-3.10299999999999</v>
      </c>
      <c r="AF4693">
        <v>3.7634586724137402</v>
      </c>
      <c r="AG4693">
        <v>-1.171432</v>
      </c>
      <c r="AH4693">
        <v>23.066059752933299</v>
      </c>
      <c r="AI4693">
        <v>92.869444894741406</v>
      </c>
      <c r="AJ4693">
        <v>80.7332743857514</v>
      </c>
      <c r="AK4693">
        <v>23.400405693822499</v>
      </c>
      <c r="AL4693">
        <v>78.294019155796803</v>
      </c>
      <c r="AM4693">
        <v>85.190927128339595</v>
      </c>
      <c r="AN4693">
        <v>0.99999994657588298</v>
      </c>
    </row>
    <row r="4694" spans="1:40" x14ac:dyDescent="0.25">
      <c r="A4694" t="str">
        <f>"20190303170632259"</f>
        <v>20190303170632259</v>
      </c>
      <c r="B4694" t="str">
        <f>"1551603992249574"</f>
        <v>1551603992249574</v>
      </c>
      <c r="C4694" t="s">
        <v>40</v>
      </c>
      <c r="D4694">
        <v>5.7696589999999999</v>
      </c>
      <c r="E4694">
        <v>0.53661749999999997</v>
      </c>
      <c r="F4694" t="s">
        <v>43</v>
      </c>
      <c r="G4694">
        <v>-316.72149999999999</v>
      </c>
      <c r="H4694">
        <v>-0.05</v>
      </c>
      <c r="I4694">
        <v>12.639720000000001</v>
      </c>
      <c r="J4694">
        <v>-339.86099999999999</v>
      </c>
      <c r="K4694">
        <v>1.121429</v>
      </c>
      <c r="L4694">
        <v>15.71982</v>
      </c>
      <c r="M4694">
        <v>0.99949069999999995</v>
      </c>
      <c r="N4694">
        <v>-1.343017E-2</v>
      </c>
      <c r="O4694">
        <v>2.895373E-2</v>
      </c>
      <c r="P4694">
        <v>0.98047649999999997</v>
      </c>
      <c r="Q4694">
        <v>0.18930469999999999</v>
      </c>
      <c r="R4694">
        <v>-5.3197389999999997E-2</v>
      </c>
      <c r="S4694">
        <v>3.0677490000000001</v>
      </c>
      <c r="T4694">
        <v>-0.15437419999999999</v>
      </c>
      <c r="U4694">
        <v>-0.40536499999999998</v>
      </c>
      <c r="V4694">
        <v>8.1532800000000002E-2</v>
      </c>
      <c r="W4694">
        <v>0.2024426</v>
      </c>
      <c r="X4694">
        <v>0.97589420000000004</v>
      </c>
      <c r="Y4694">
        <v>0.1593793</v>
      </c>
      <c r="Z4694">
        <v>-6.1295029999999997E-3</v>
      </c>
      <c r="AA4694">
        <v>0.98719840000000003</v>
      </c>
      <c r="AB4694">
        <v>27</v>
      </c>
      <c r="AC4694">
        <v>23.139500000000002</v>
      </c>
      <c r="AD4694">
        <v>-1.1714290000000001</v>
      </c>
      <c r="AE4694">
        <v>-3.0800999999999998</v>
      </c>
      <c r="AF4694">
        <v>3.7394268338198602</v>
      </c>
      <c r="AG4694">
        <v>-1.1714290000000001</v>
      </c>
      <c r="AH4694">
        <v>22.982732727597899</v>
      </c>
      <c r="AI4694">
        <v>92.880030828240706</v>
      </c>
      <c r="AJ4694">
        <v>80.758618927464696</v>
      </c>
      <c r="AK4694">
        <v>23.3144067601072</v>
      </c>
      <c r="AL4694">
        <v>78.320168454997898</v>
      </c>
      <c r="AM4694">
        <v>85.2242143241251</v>
      </c>
      <c r="AN4694">
        <v>1.00000004668211</v>
      </c>
    </row>
    <row r="4695" spans="1:40" x14ac:dyDescent="0.25">
      <c r="A4695" t="str">
        <f>"20190303170632280"</f>
        <v>20190303170632280</v>
      </c>
      <c r="B4695" t="str">
        <f>"1551603992270068"</f>
        <v>1551603992270068</v>
      </c>
      <c r="C4695" t="s">
        <v>40</v>
      </c>
      <c r="D4695">
        <v>5.7744720000000003</v>
      </c>
      <c r="E4695">
        <v>0.54366599999999998</v>
      </c>
      <c r="F4695" t="s">
        <v>43</v>
      </c>
      <c r="G4695">
        <v>-316.76670000000001</v>
      </c>
      <c r="H4695">
        <v>-0.05</v>
      </c>
      <c r="I4695">
        <v>12.67867</v>
      </c>
      <c r="J4695">
        <v>-339.60930000000002</v>
      </c>
      <c r="K4695">
        <v>1.121429</v>
      </c>
      <c r="L4695">
        <v>15.7272</v>
      </c>
      <c r="M4695">
        <v>0.99948760000000003</v>
      </c>
      <c r="N4695">
        <v>-1.342865E-2</v>
      </c>
      <c r="O4695">
        <v>2.9054400000000001E-2</v>
      </c>
      <c r="P4695">
        <v>0.98060460000000005</v>
      </c>
      <c r="Q4695">
        <v>0.18881609999999999</v>
      </c>
      <c r="R4695">
        <v>-5.2565689999999998E-2</v>
      </c>
      <c r="S4695">
        <v>3.0678709999999998</v>
      </c>
      <c r="T4695">
        <v>-0.15561349999999999</v>
      </c>
      <c r="U4695">
        <v>-0.40399170000000001</v>
      </c>
      <c r="V4695">
        <v>8.1003740000000005E-2</v>
      </c>
      <c r="W4695">
        <v>0.20195460000000001</v>
      </c>
      <c r="X4695">
        <v>0.97603930000000005</v>
      </c>
      <c r="Y4695">
        <v>0.1590357</v>
      </c>
      <c r="Z4695">
        <v>-6.1657099999999996E-3</v>
      </c>
      <c r="AA4695">
        <v>0.98725359999999995</v>
      </c>
      <c r="AB4695">
        <v>27</v>
      </c>
      <c r="AC4695">
        <v>22.842600000000001</v>
      </c>
      <c r="AD4695">
        <v>-1.1714290000000001</v>
      </c>
      <c r="AE4695">
        <v>-3.0485299999999902</v>
      </c>
      <c r="AF4695">
        <v>3.7014166313269001</v>
      </c>
      <c r="AG4695">
        <v>-1.1714290000000001</v>
      </c>
      <c r="AH4695">
        <v>22.685756185296601</v>
      </c>
      <c r="AI4695">
        <v>92.917458162959207</v>
      </c>
      <c r="AJ4695">
        <v>80.733253978933305</v>
      </c>
      <c r="AK4695">
        <v>23.015565704093198</v>
      </c>
      <c r="AL4695">
        <v>78.348717848071999</v>
      </c>
      <c r="AM4695">
        <v>85.255764242830494</v>
      </c>
      <c r="AN4695">
        <v>0.99999999074981805</v>
      </c>
    </row>
    <row r="4696" spans="1:40" x14ac:dyDescent="0.25">
      <c r="A4696" t="str">
        <f>"20190303170632295"</f>
        <v>20190303170632295</v>
      </c>
      <c r="B4696" t="str">
        <f>"1551603992290095"</f>
        <v>1551603992290095</v>
      </c>
      <c r="C4696" t="s">
        <v>40</v>
      </c>
      <c r="D4696">
        <v>5.7654709999999998</v>
      </c>
      <c r="E4696">
        <v>0.543655</v>
      </c>
      <c r="F4696" t="s">
        <v>43</v>
      </c>
      <c r="G4696">
        <v>-315.13650000000001</v>
      </c>
      <c r="H4696">
        <v>-0.05</v>
      </c>
      <c r="I4696">
        <v>12.055770000000001</v>
      </c>
      <c r="J4696">
        <v>-339.43790000000001</v>
      </c>
      <c r="K4696">
        <v>1.1214329999999999</v>
      </c>
      <c r="L4696">
        <v>15.7323</v>
      </c>
      <c r="M4696">
        <v>0.99948579999999998</v>
      </c>
      <c r="N4696">
        <v>-1.3427659999999999E-2</v>
      </c>
      <c r="O4696">
        <v>2.9122829999999999E-2</v>
      </c>
      <c r="P4696">
        <v>0.98053970000000001</v>
      </c>
      <c r="Q4696">
        <v>0.1891968</v>
      </c>
      <c r="R4696">
        <v>-5.2408120000000002E-2</v>
      </c>
      <c r="S4696">
        <v>3.0629270000000002</v>
      </c>
      <c r="T4696">
        <v>-0.1466122</v>
      </c>
      <c r="U4696">
        <v>-0.4595032</v>
      </c>
      <c r="V4696">
        <v>8.0911469999999999E-2</v>
      </c>
      <c r="W4696">
        <v>0.20233329999999999</v>
      </c>
      <c r="X4696">
        <v>0.97596850000000002</v>
      </c>
      <c r="Y4696">
        <v>0.17682909999999999</v>
      </c>
      <c r="Z4696">
        <v>-6.3984289999999997E-3</v>
      </c>
      <c r="AA4696">
        <v>0.98422069999999995</v>
      </c>
      <c r="AB4696">
        <v>27</v>
      </c>
      <c r="AC4696">
        <v>24.301400000000001</v>
      </c>
      <c r="AD4696">
        <v>-1.1714329999999999</v>
      </c>
      <c r="AE4696">
        <v>-3.6765300000000001</v>
      </c>
      <c r="AF4696">
        <v>4.3728259358732604</v>
      </c>
      <c r="AG4696">
        <v>-1.1714329999999999</v>
      </c>
      <c r="AH4696">
        <v>24.129196448530699</v>
      </c>
      <c r="AI4696">
        <v>92.734954537808605</v>
      </c>
      <c r="AJ4696">
        <v>79.728027899304706</v>
      </c>
      <c r="AK4696">
        <v>24.550193139580799</v>
      </c>
      <c r="AL4696">
        <v>78.326562331890003</v>
      </c>
      <c r="AM4696">
        <v>85.260801490085399</v>
      </c>
      <c r="AN4696">
        <v>0.99999997162934995</v>
      </c>
    </row>
    <row r="4697" spans="1:40" x14ac:dyDescent="0.25">
      <c r="A4697" t="str">
        <f>"20190303170632310"</f>
        <v>20190303170632310</v>
      </c>
      <c r="B4697" t="str">
        <f>"1551603992299856"</f>
        <v>1551603992299856</v>
      </c>
      <c r="C4697" t="s">
        <v>40</v>
      </c>
      <c r="D4697">
        <v>5.738556</v>
      </c>
      <c r="E4697">
        <v>0.54386919999999905</v>
      </c>
      <c r="F4697" t="s">
        <v>43</v>
      </c>
      <c r="G4697">
        <v>-314.06380000000001</v>
      </c>
      <c r="H4697">
        <v>-0.05</v>
      </c>
      <c r="I4697">
        <v>11.92587</v>
      </c>
      <c r="J4697">
        <v>-339.25349999999997</v>
      </c>
      <c r="K4697">
        <v>1.1214360000000001</v>
      </c>
      <c r="L4697">
        <v>15.737730000000001</v>
      </c>
      <c r="M4697">
        <v>0.99948360000000003</v>
      </c>
      <c r="N4697">
        <v>-1.342658E-2</v>
      </c>
      <c r="O4697">
        <v>2.9196739999999999E-2</v>
      </c>
      <c r="P4697">
        <v>0.98042499999999999</v>
      </c>
      <c r="Q4697">
        <v>0.1897961</v>
      </c>
      <c r="R4697">
        <v>-5.2389249999999998E-2</v>
      </c>
      <c r="S4697">
        <v>3.0622859999999998</v>
      </c>
      <c r="T4697">
        <v>-0.14137479999999999</v>
      </c>
      <c r="U4697">
        <v>-0.45938109999999999</v>
      </c>
      <c r="V4697">
        <v>8.0961420000000006E-2</v>
      </c>
      <c r="W4697">
        <v>0.2029301</v>
      </c>
      <c r="X4697">
        <v>0.97584040000000005</v>
      </c>
      <c r="Y4697">
        <v>0.17691109999999999</v>
      </c>
      <c r="Z4697">
        <v>-6.2047140000000001E-3</v>
      </c>
      <c r="AA4697">
        <v>0.98420730000000001</v>
      </c>
      <c r="AB4697">
        <v>27</v>
      </c>
      <c r="AC4697">
        <v>25.189699999999899</v>
      </c>
      <c r="AD4697">
        <v>-1.1714359999999999</v>
      </c>
      <c r="AE4697">
        <v>-3.8118599999999998</v>
      </c>
      <c r="AF4697">
        <v>4.5361673724802198</v>
      </c>
      <c r="AG4697">
        <v>-1.1714359999999999</v>
      </c>
      <c r="AH4697">
        <v>25.0147677022008</v>
      </c>
      <c r="AI4697">
        <v>92.638225157613405</v>
      </c>
      <c r="AJ4697">
        <v>79.721700343900494</v>
      </c>
      <c r="AK4697">
        <v>25.449708837790599</v>
      </c>
      <c r="AL4697">
        <v>78.291643350548696</v>
      </c>
      <c r="AM4697">
        <v>85.257269460852498</v>
      </c>
      <c r="AN4697">
        <v>0.99999993164329004</v>
      </c>
    </row>
    <row r="4698" spans="1:40" x14ac:dyDescent="0.25">
      <c r="A4698" t="str">
        <f>"20190303170632327"</f>
        <v>20190303170632327</v>
      </c>
      <c r="B4698" t="str">
        <f>"1551603992319376"</f>
        <v>1551603992319376</v>
      </c>
      <c r="C4698" t="s">
        <v>40</v>
      </c>
      <c r="D4698">
        <v>5.7466339999999896</v>
      </c>
      <c r="E4698">
        <v>0.54417519999999997</v>
      </c>
      <c r="F4698" t="s">
        <v>43</v>
      </c>
      <c r="G4698">
        <v>-314.029</v>
      </c>
      <c r="H4698">
        <v>-0.05</v>
      </c>
      <c r="I4698">
        <v>11.94441</v>
      </c>
      <c r="J4698">
        <v>-339.0582</v>
      </c>
      <c r="K4698">
        <v>1.121448</v>
      </c>
      <c r="L4698">
        <v>15.7435299999999</v>
      </c>
      <c r="M4698">
        <v>0.99948139999999996</v>
      </c>
      <c r="N4698">
        <v>-1.342543E-2</v>
      </c>
      <c r="O4698">
        <v>2.9274649999999999E-2</v>
      </c>
      <c r="P4698">
        <v>0.98007979999999995</v>
      </c>
      <c r="Q4698">
        <v>0.19147529999999999</v>
      </c>
      <c r="R4698">
        <v>-5.2736909999999998E-2</v>
      </c>
      <c r="S4698">
        <v>3.0628660000000001</v>
      </c>
      <c r="T4698">
        <v>-0.14224059999999999</v>
      </c>
      <c r="U4698">
        <v>-0.46060180000000001</v>
      </c>
      <c r="V4698">
        <v>8.1374879999999997E-2</v>
      </c>
      <c r="W4698">
        <v>0.20460320000000001</v>
      </c>
      <c r="X4698">
        <v>0.97545669999999995</v>
      </c>
      <c r="Y4698">
        <v>0.17734069999999999</v>
      </c>
      <c r="Z4698">
        <v>-6.2519330000000003E-3</v>
      </c>
      <c r="AA4698">
        <v>0.9841297</v>
      </c>
      <c r="AB4698">
        <v>27</v>
      </c>
      <c r="AC4698">
        <v>25.029199999999999</v>
      </c>
      <c r="AD4698">
        <v>-1.171448</v>
      </c>
      <c r="AE4698">
        <v>-3.7991199999999901</v>
      </c>
      <c r="AF4698">
        <v>4.52059886023474</v>
      </c>
      <c r="AG4698">
        <v>-1.171448</v>
      </c>
      <c r="AH4698">
        <v>24.8540250366291</v>
      </c>
      <c r="AI4698">
        <v>92.655035912749796</v>
      </c>
      <c r="AJ4698">
        <v>79.691392976094804</v>
      </c>
      <c r="AK4698">
        <v>25.288943532564701</v>
      </c>
      <c r="AL4698">
        <v>78.193728937543995</v>
      </c>
      <c r="AM4698">
        <v>85.231293838787806</v>
      </c>
      <c r="AN4698">
        <v>1.00000005706007</v>
      </c>
    </row>
    <row r="4699" spans="1:40" x14ac:dyDescent="0.25">
      <c r="A4699" t="str">
        <f>"20190303170632339"</f>
        <v>20190303170632339</v>
      </c>
      <c r="B4699" t="str">
        <f>"1551603992330111"</f>
        <v>1551603992330111</v>
      </c>
      <c r="C4699" t="s">
        <v>40</v>
      </c>
      <c r="D4699">
        <v>5.7429350000000001</v>
      </c>
      <c r="E4699">
        <v>0.54419039999999996</v>
      </c>
      <c r="F4699" t="s">
        <v>43</v>
      </c>
      <c r="G4699">
        <v>-312.40910000000002</v>
      </c>
      <c r="H4699">
        <v>-0.05</v>
      </c>
      <c r="I4699">
        <v>11.70767</v>
      </c>
      <c r="J4699">
        <v>-338.89089999999999</v>
      </c>
      <c r="K4699">
        <v>1.121451</v>
      </c>
      <c r="L4699">
        <v>15.74854</v>
      </c>
      <c r="M4699">
        <v>0.99947940000000002</v>
      </c>
      <c r="N4699">
        <v>-1.3424439999999999E-2</v>
      </c>
      <c r="O4699">
        <v>2.9341590000000001E-2</v>
      </c>
      <c r="P4699">
        <v>0.98004060000000004</v>
      </c>
      <c r="Q4699">
        <v>0.19176579999999999</v>
      </c>
      <c r="R4699">
        <v>-5.2404680000000002E-2</v>
      </c>
      <c r="S4699">
        <v>3.0623469999999999</v>
      </c>
      <c r="T4699">
        <v>-0.1346157</v>
      </c>
      <c r="U4699">
        <v>-0.46377560000000001</v>
      </c>
      <c r="V4699">
        <v>8.1107189999999996E-2</v>
      </c>
      <c r="W4699">
        <v>0.20489209999999999</v>
      </c>
      <c r="X4699">
        <v>0.97541829999999996</v>
      </c>
      <c r="Y4699">
        <v>0.17845150000000001</v>
      </c>
      <c r="Z4699">
        <v>-5.9946039999999997E-3</v>
      </c>
      <c r="AA4699">
        <v>0.98393050000000004</v>
      </c>
      <c r="AB4699">
        <v>27</v>
      </c>
      <c r="AC4699">
        <v>26.4817999999999</v>
      </c>
      <c r="AD4699">
        <v>-1.171451</v>
      </c>
      <c r="AE4699">
        <v>-4.04087</v>
      </c>
      <c r="AF4699">
        <v>4.8070254222617796</v>
      </c>
      <c r="AG4699">
        <v>-1.171451</v>
      </c>
      <c r="AH4699">
        <v>26.3015232643193</v>
      </c>
      <c r="AI4699">
        <v>92.508726087950706</v>
      </c>
      <c r="AJ4699">
        <v>79.642591548993707</v>
      </c>
      <c r="AK4699">
        <v>26.7628458292312</v>
      </c>
      <c r="AL4699">
        <v>78.176817293376502</v>
      </c>
      <c r="AM4699">
        <v>85.246722676523603</v>
      </c>
      <c r="AN4699">
        <v>1.00000000444349</v>
      </c>
    </row>
    <row r="4700" spans="1:40" x14ac:dyDescent="0.25">
      <c r="A4700" t="str">
        <f>"20190303170632353"</f>
        <v>20190303170632353</v>
      </c>
      <c r="B4700" t="str">
        <f>"1551603992339871"</f>
        <v>1551603992339871</v>
      </c>
      <c r="C4700" t="s">
        <v>40</v>
      </c>
      <c r="D4700">
        <v>5.753215</v>
      </c>
      <c r="E4700">
        <v>0.54437659999999999</v>
      </c>
      <c r="F4700" t="s">
        <v>43</v>
      </c>
      <c r="G4700">
        <v>-311.77210000000002</v>
      </c>
      <c r="H4700">
        <v>-0.05</v>
      </c>
      <c r="I4700">
        <v>11.64655</v>
      </c>
      <c r="J4700">
        <v>-338.73700000000002</v>
      </c>
      <c r="K4700">
        <v>1.1214519999999999</v>
      </c>
      <c r="L4700">
        <v>15.75311</v>
      </c>
      <c r="M4700">
        <v>0.99947759999999997</v>
      </c>
      <c r="N4700">
        <v>-1.3423600000000001E-2</v>
      </c>
      <c r="O4700">
        <v>2.9403220000000001E-2</v>
      </c>
      <c r="P4700">
        <v>0.98009219999999997</v>
      </c>
      <c r="Q4700">
        <v>0.19152630000000001</v>
      </c>
      <c r="R4700">
        <v>-5.2318679999999999E-2</v>
      </c>
      <c r="S4700">
        <v>3.0622560000000001</v>
      </c>
      <c r="T4700">
        <v>-0.13228019999999999</v>
      </c>
      <c r="U4700">
        <v>-0.46319579999999999</v>
      </c>
      <c r="V4700">
        <v>8.108303E-2</v>
      </c>
      <c r="W4700">
        <v>0.20465220000000001</v>
      </c>
      <c r="X4700">
        <v>0.97547070000000002</v>
      </c>
      <c r="Y4700">
        <v>0.1783419</v>
      </c>
      <c r="Z4700">
        <v>-5.9036640000000003E-3</v>
      </c>
      <c r="AA4700">
        <v>0.98395089999999996</v>
      </c>
      <c r="AB4700">
        <v>27</v>
      </c>
      <c r="AC4700">
        <v>26.964899999999901</v>
      </c>
      <c r="AD4700">
        <v>-1.1714519999999999</v>
      </c>
      <c r="AE4700">
        <v>-4.10656</v>
      </c>
      <c r="AF4700">
        <v>4.8886928716294697</v>
      </c>
      <c r="AG4700">
        <v>-1.1714519999999999</v>
      </c>
      <c r="AH4700">
        <v>26.783079074769098</v>
      </c>
      <c r="AI4700">
        <v>92.463780780094794</v>
      </c>
      <c r="AJ4700">
        <v>79.655726087547507</v>
      </c>
      <c r="AK4700">
        <v>27.250778750464299</v>
      </c>
      <c r="AL4700">
        <v>78.190860472813497</v>
      </c>
      <c r="AM4700">
        <v>85.248386176188305</v>
      </c>
      <c r="AN4700">
        <v>1.0000000336386501</v>
      </c>
    </row>
    <row r="4701" spans="1:40" x14ac:dyDescent="0.25">
      <c r="A4701" t="str">
        <f>"20190303170632370"</f>
        <v>20190303170632370</v>
      </c>
      <c r="B4701" t="str">
        <f>"1551603992359392"</f>
        <v>1551603992359392</v>
      </c>
      <c r="C4701" t="s">
        <v>40</v>
      </c>
      <c r="D4701">
        <v>5.7371019999999904</v>
      </c>
      <c r="E4701">
        <v>0.54469919999999905</v>
      </c>
      <c r="F4701" t="s">
        <v>43</v>
      </c>
      <c r="G4701">
        <v>-311.56659999999999</v>
      </c>
      <c r="H4701">
        <v>-0.05</v>
      </c>
      <c r="I4701">
        <v>11.63016</v>
      </c>
      <c r="J4701">
        <v>-338.53250000000003</v>
      </c>
      <c r="K4701">
        <v>1.1214409999999999</v>
      </c>
      <c r="L4701">
        <v>15.75919</v>
      </c>
      <c r="M4701">
        <v>0.99947520000000001</v>
      </c>
      <c r="N4701">
        <v>-1.342253E-2</v>
      </c>
      <c r="O4701">
        <v>2.948506E-2</v>
      </c>
      <c r="P4701">
        <v>0.98038199999999998</v>
      </c>
      <c r="Q4701">
        <v>0.19037019999999999</v>
      </c>
      <c r="R4701">
        <v>-5.1095939999999999E-2</v>
      </c>
      <c r="S4701">
        <v>3.0619200000000002</v>
      </c>
      <c r="T4701">
        <v>-0.13201489999999999</v>
      </c>
      <c r="U4701">
        <v>-0.46463009999999899</v>
      </c>
      <c r="V4701">
        <v>7.994983E-2</v>
      </c>
      <c r="W4701">
        <v>0.20349919999999999</v>
      </c>
      <c r="X4701">
        <v>0.97580529999999999</v>
      </c>
      <c r="Y4701">
        <v>0.17888899999999999</v>
      </c>
      <c r="Z4701">
        <v>-5.91166E-3</v>
      </c>
      <c r="AA4701">
        <v>0.98385149999999999</v>
      </c>
      <c r="AB4701">
        <v>27</v>
      </c>
      <c r="AC4701">
        <v>26.965900000000001</v>
      </c>
      <c r="AD4701">
        <v>-1.171441</v>
      </c>
      <c r="AE4701">
        <v>-4.1290300000000002</v>
      </c>
      <c r="AF4701">
        <v>4.9133373060232497</v>
      </c>
      <c r="AG4701">
        <v>-1.171441</v>
      </c>
      <c r="AH4701">
        <v>26.783031803287699</v>
      </c>
      <c r="AI4701">
        <v>92.463361001555299</v>
      </c>
      <c r="AJ4701">
        <v>79.604695622701001</v>
      </c>
      <c r="AK4701">
        <v>27.2551637323125</v>
      </c>
      <c r="AL4701">
        <v>78.258341567912495</v>
      </c>
      <c r="AM4701">
        <v>85.316095506232699</v>
      </c>
      <c r="AN4701">
        <v>0.99999994161287697</v>
      </c>
    </row>
    <row r="4702" spans="1:40" x14ac:dyDescent="0.25">
      <c r="A4702" t="str">
        <f>"20190303170632381"</f>
        <v>20190303170632381</v>
      </c>
      <c r="B4702" t="str">
        <f>"1551603992370127"</f>
        <v>1551603992370127</v>
      </c>
      <c r="C4702" t="s">
        <v>40</v>
      </c>
      <c r="D4702">
        <v>5.7257220000000002</v>
      </c>
      <c r="E4702">
        <v>0.54483519999999996</v>
      </c>
      <c r="F4702" t="s">
        <v>43</v>
      </c>
      <c r="G4702">
        <v>-312.02440000000001</v>
      </c>
      <c r="H4702">
        <v>-0.05</v>
      </c>
      <c r="I4702">
        <v>11.741529999999999</v>
      </c>
      <c r="J4702">
        <v>-338.38529999999997</v>
      </c>
      <c r="K4702">
        <v>1.121437</v>
      </c>
      <c r="L4702">
        <v>15.76361</v>
      </c>
      <c r="M4702">
        <v>0.99947350000000001</v>
      </c>
      <c r="N4702">
        <v>-1.342175E-2</v>
      </c>
      <c r="O4702">
        <v>2.954389E-2</v>
      </c>
      <c r="P4702">
        <v>0.9804486</v>
      </c>
      <c r="Q4702">
        <v>0.19016089999999999</v>
      </c>
      <c r="R4702">
        <v>-5.0592449999999997E-2</v>
      </c>
      <c r="S4702">
        <v>3.0621640000000001</v>
      </c>
      <c r="T4702">
        <v>-0.13532249999999901</v>
      </c>
      <c r="U4702">
        <v>-0.4641113</v>
      </c>
      <c r="V4702">
        <v>7.9506250000000001E-2</v>
      </c>
      <c r="W4702">
        <v>0.20329050000000001</v>
      </c>
      <c r="X4702">
        <v>0.97588509999999995</v>
      </c>
      <c r="Y4702">
        <v>0.17876199999999901</v>
      </c>
      <c r="Z4702">
        <v>-6.0370149999999997E-3</v>
      </c>
      <c r="AA4702">
        <v>0.98387380000000002</v>
      </c>
      <c r="AB4702">
        <v>27</v>
      </c>
      <c r="AC4702">
        <v>26.360899999999901</v>
      </c>
      <c r="AD4702">
        <v>-1.1714370000000001</v>
      </c>
      <c r="AE4702">
        <v>-4.0220799999999901</v>
      </c>
      <c r="AF4702">
        <v>4.7899536876563404</v>
      </c>
      <c r="AG4702">
        <v>-1.1714370000000001</v>
      </c>
      <c r="AH4702">
        <v>26.180028936325598</v>
      </c>
      <c r="AI4702">
        <v>92.520236008127995</v>
      </c>
      <c r="AJ4702">
        <v>79.631720674554302</v>
      </c>
      <c r="AK4702">
        <v>26.6403798036309</v>
      </c>
      <c r="AL4702">
        <v>78.270555179084297</v>
      </c>
      <c r="AM4702">
        <v>85.342347431160604</v>
      </c>
      <c r="AN4702">
        <v>0.99999999979066101</v>
      </c>
    </row>
    <row r="4703" spans="1:40" x14ac:dyDescent="0.25">
      <c r="A4703" t="str">
        <f>"20190303170632395"</f>
        <v>20190303170632395</v>
      </c>
      <c r="B4703" t="str">
        <f>"1551603992379887"</f>
        <v>1551603992379887</v>
      </c>
      <c r="C4703" t="s">
        <v>40</v>
      </c>
      <c r="D4703">
        <v>5.9424799999999998</v>
      </c>
      <c r="E4703">
        <v>0.54483519999999996</v>
      </c>
      <c r="F4703" t="s">
        <v>43</v>
      </c>
      <c r="G4703">
        <v>-312.18869999999998</v>
      </c>
      <c r="H4703">
        <v>-0.05</v>
      </c>
      <c r="I4703">
        <v>11.796659999999999</v>
      </c>
      <c r="J4703">
        <v>-338.23039999999997</v>
      </c>
      <c r="K4703">
        <v>1.121435</v>
      </c>
      <c r="L4703">
        <v>15.76825</v>
      </c>
      <c r="M4703">
        <v>0.99947149999999996</v>
      </c>
      <c r="N4703">
        <v>-1.3420899999999999E-2</v>
      </c>
      <c r="O4703">
        <v>2.9606179999999999E-2</v>
      </c>
      <c r="P4703">
        <v>0.98045590000000005</v>
      </c>
      <c r="Q4703">
        <v>0.19020300000000001</v>
      </c>
      <c r="R4703">
        <v>-5.0290059999999998E-2</v>
      </c>
      <c r="S4703">
        <v>3.0624389999999999</v>
      </c>
      <c r="T4703">
        <v>-0.13694329999999999</v>
      </c>
      <c r="U4703">
        <v>-0.46374510000000002</v>
      </c>
      <c r="V4703">
        <v>7.9264920000000003E-2</v>
      </c>
      <c r="W4703">
        <v>0.2033316</v>
      </c>
      <c r="X4703">
        <v>0.97589619999999999</v>
      </c>
      <c r="Y4703">
        <v>0.17869019999999999</v>
      </c>
      <c r="Z4703">
        <v>-6.0989130000000001E-3</v>
      </c>
      <c r="AA4703">
        <v>0.9838865</v>
      </c>
      <c r="AB4703">
        <v>27</v>
      </c>
      <c r="AC4703">
        <v>26.041699999999899</v>
      </c>
      <c r="AD4703">
        <v>-1.171435</v>
      </c>
      <c r="AE4703">
        <v>-3.9715899999999902</v>
      </c>
      <c r="AF4703">
        <v>4.7315568748784704</v>
      </c>
      <c r="AG4703">
        <v>-1.171435</v>
      </c>
      <c r="AH4703">
        <v>25.8615474223636</v>
      </c>
      <c r="AI4703">
        <v>92.551229481469505</v>
      </c>
      <c r="AJ4703">
        <v>79.631992409939798</v>
      </c>
      <c r="AK4703">
        <v>26.316905697642198</v>
      </c>
      <c r="AL4703">
        <v>78.268150451432206</v>
      </c>
      <c r="AM4703">
        <v>85.356475743890002</v>
      </c>
      <c r="AN4703">
        <v>1.0000000301378</v>
      </c>
    </row>
    <row r="4704" spans="1:40" x14ac:dyDescent="0.25">
      <c r="A4704" t="str">
        <f>"20190303170632409"</f>
        <v>20190303170632409</v>
      </c>
      <c r="B4704" t="str">
        <f>"1551603992399915"</f>
        <v>1551603992399915</v>
      </c>
      <c r="C4704" t="s">
        <v>40</v>
      </c>
      <c r="D4704">
        <v>5.870374</v>
      </c>
      <c r="E4704">
        <v>0.51474989999999998</v>
      </c>
      <c r="F4704" t="s">
        <v>43</v>
      </c>
      <c r="G4704">
        <v>-312.0283</v>
      </c>
      <c r="H4704">
        <v>-0.05</v>
      </c>
      <c r="I4704">
        <v>11.81151</v>
      </c>
      <c r="J4704">
        <v>-338.05849999999998</v>
      </c>
      <c r="K4704">
        <v>1.12144</v>
      </c>
      <c r="L4704">
        <v>15.77341</v>
      </c>
      <c r="M4704">
        <v>0.99946950000000001</v>
      </c>
      <c r="N4704">
        <v>-1.34198999999999E-2</v>
      </c>
      <c r="O4704">
        <v>2.9675090000000001E-2</v>
      </c>
      <c r="P4704">
        <v>0.98040309999999997</v>
      </c>
      <c r="Q4704">
        <v>0.19052230000000001</v>
      </c>
      <c r="R4704">
        <v>-5.0115029999999998E-2</v>
      </c>
      <c r="S4704">
        <v>3.0626829999999998</v>
      </c>
      <c r="T4704">
        <v>-0.13692570000000001</v>
      </c>
      <c r="U4704">
        <v>-0.46249390000000001</v>
      </c>
      <c r="V4704">
        <v>7.9155939999999994E-2</v>
      </c>
      <c r="W4704">
        <v>0.2036491</v>
      </c>
      <c r="X4704">
        <v>0.97583880000000001</v>
      </c>
      <c r="Y4704">
        <v>0.17835390000000001</v>
      </c>
      <c r="Z4704">
        <v>-6.0902660000000004E-3</v>
      </c>
      <c r="AA4704">
        <v>0.98394760000000003</v>
      </c>
      <c r="AB4704">
        <v>27</v>
      </c>
      <c r="AC4704">
        <v>26.030199999999901</v>
      </c>
      <c r="AD4704">
        <v>-1.17144</v>
      </c>
      <c r="AE4704">
        <v>-3.9619</v>
      </c>
      <c r="AF4704">
        <v>4.7233234913572897</v>
      </c>
      <c r="AG4704">
        <v>-1.17144</v>
      </c>
      <c r="AH4704">
        <v>25.8499857440959</v>
      </c>
      <c r="AI4704">
        <v>92.552486655752105</v>
      </c>
      <c r="AJ4704">
        <v>79.645114323273205</v>
      </c>
      <c r="AK4704">
        <v>26.304064694407401</v>
      </c>
      <c r="AL4704">
        <v>78.249569823931196</v>
      </c>
      <c r="AM4704">
        <v>85.362560611031498</v>
      </c>
      <c r="AN4704">
        <v>0.99999999117676597</v>
      </c>
    </row>
    <row r="4705" spans="1:40" x14ac:dyDescent="0.25">
      <c r="A4705" t="str">
        <f>"20190303170632428"</f>
        <v>20190303170632428</v>
      </c>
      <c r="B4705" t="str">
        <f>"1551603992419435"</f>
        <v>1551603992419435</v>
      </c>
      <c r="C4705" t="s">
        <v>40</v>
      </c>
      <c r="D4705">
        <v>5.9310450000000001</v>
      </c>
      <c r="E4705">
        <v>0.50205489999999997</v>
      </c>
      <c r="F4705" t="s">
        <v>43</v>
      </c>
      <c r="G4705">
        <v>-318.31700000000001</v>
      </c>
      <c r="H4705">
        <v>-0.05</v>
      </c>
      <c r="I4705">
        <v>14.37527</v>
      </c>
      <c r="J4705">
        <v>-337.83510000000001</v>
      </c>
      <c r="K4705">
        <v>1.1214390000000001</v>
      </c>
      <c r="L4705">
        <v>15.780150000000001</v>
      </c>
      <c r="M4705">
        <v>0.99946690000000005</v>
      </c>
      <c r="N4705">
        <v>-1.341853E-2</v>
      </c>
      <c r="O4705">
        <v>2.9764260000000001E-2</v>
      </c>
      <c r="P4705">
        <v>0.98022189999999998</v>
      </c>
      <c r="Q4705">
        <v>0.1914389</v>
      </c>
      <c r="R4705">
        <v>-5.0163159999999998E-2</v>
      </c>
      <c r="S4705">
        <v>3.0844119999999999</v>
      </c>
      <c r="T4705">
        <v>-0.1830254</v>
      </c>
      <c r="U4705">
        <v>-0.21844479999999999</v>
      </c>
      <c r="V4705">
        <v>7.9285830000000002E-2</v>
      </c>
      <c r="W4705">
        <v>0.20456170000000001</v>
      </c>
      <c r="X4705">
        <v>0.97563739999999999</v>
      </c>
      <c r="Y4705">
        <v>0.1000603</v>
      </c>
      <c r="Z4705">
        <v>-4.9994519999999997E-3</v>
      </c>
      <c r="AA4705">
        <v>0.99496879999999999</v>
      </c>
      <c r="AB4705">
        <v>27</v>
      </c>
      <c r="AC4705">
        <v>19.5181</v>
      </c>
      <c r="AD4705">
        <v>-1.1714389999999999</v>
      </c>
      <c r="AE4705">
        <v>-1.4048799999999999</v>
      </c>
      <c r="AF4705">
        <v>1.9781625946726</v>
      </c>
      <c r="AG4705">
        <v>-1.1714389999999999</v>
      </c>
      <c r="AH4705">
        <v>19.398116721623101</v>
      </c>
      <c r="AI4705">
        <v>93.438068548348099</v>
      </c>
      <c r="AJ4705">
        <v>84.177274248197804</v>
      </c>
      <c r="AK4705">
        <v>19.5338764439472</v>
      </c>
      <c r="AL4705">
        <v>78.196157815679996</v>
      </c>
      <c r="AM4705">
        <v>85.354029462827</v>
      </c>
      <c r="AN4705">
        <v>1.0000000341122099</v>
      </c>
    </row>
    <row r="4706" spans="1:40" x14ac:dyDescent="0.25">
      <c r="A4706" t="str">
        <f>"20190303170632448"</f>
        <v>20190303170632448</v>
      </c>
      <c r="B4706" t="str">
        <f>"1551603992439931"</f>
        <v>1551603992439931</v>
      </c>
      <c r="C4706" t="s">
        <v>40</v>
      </c>
      <c r="D4706">
        <v>5.9334600000000002</v>
      </c>
      <c r="E4706">
        <v>0.49786239999999998</v>
      </c>
      <c r="F4706" t="s">
        <v>43</v>
      </c>
      <c r="G4706">
        <v>-317.8331</v>
      </c>
      <c r="H4706">
        <v>-0.05</v>
      </c>
      <c r="I4706">
        <v>15.02966</v>
      </c>
      <c r="J4706">
        <v>-337.57740000000001</v>
      </c>
      <c r="K4706">
        <v>1.1214459999999999</v>
      </c>
      <c r="L4706">
        <v>15.787929999999999</v>
      </c>
      <c r="M4706">
        <v>0.99946389999999996</v>
      </c>
      <c r="N4706">
        <v>-1.341708E-2</v>
      </c>
      <c r="O4706">
        <v>2.9867379999999999E-2</v>
      </c>
      <c r="P4706">
        <v>0.98021290000000005</v>
      </c>
      <c r="Q4706">
        <v>0.19140950000000001</v>
      </c>
      <c r="R4706">
        <v>-5.0451330000000003E-2</v>
      </c>
      <c r="S4706">
        <v>3.0899350000000001</v>
      </c>
      <c r="T4706">
        <v>-0.1809654</v>
      </c>
      <c r="U4706">
        <v>-0.11593630000000001</v>
      </c>
      <c r="V4706">
        <v>7.9674750000000003E-2</v>
      </c>
      <c r="W4706">
        <v>0.20453089999999999</v>
      </c>
      <c r="X4706">
        <v>0.97561220000000004</v>
      </c>
      <c r="Y4706">
        <v>6.7154850000000002E-2</v>
      </c>
      <c r="Z4706">
        <v>-3.762109E-3</v>
      </c>
      <c r="AA4706">
        <v>0.9977355</v>
      </c>
      <c r="AB4706">
        <v>27</v>
      </c>
      <c r="AC4706">
        <v>19.744299999999999</v>
      </c>
      <c r="AD4706">
        <v>-1.171446</v>
      </c>
      <c r="AE4706">
        <v>-0.758269999999999</v>
      </c>
      <c r="AF4706">
        <v>1.3429746919004399</v>
      </c>
      <c r="AG4706">
        <v>-1.171446</v>
      </c>
      <c r="AH4706">
        <v>19.6437930778409</v>
      </c>
      <c r="AI4706">
        <v>93.404829272823605</v>
      </c>
      <c r="AJ4706">
        <v>86.088981666623894</v>
      </c>
      <c r="AK4706">
        <v>19.724463826401699</v>
      </c>
      <c r="AL4706">
        <v>78.197960950719406</v>
      </c>
      <c r="AM4706">
        <v>85.331220069548294</v>
      </c>
      <c r="AN4706">
        <v>1.0000000598156</v>
      </c>
    </row>
    <row r="4707" spans="1:40" x14ac:dyDescent="0.25">
      <c r="A4707" t="str">
        <f>"20190303170632460"</f>
        <v>20190303170632460</v>
      </c>
      <c r="B4707" t="str">
        <f>"1551603992449691"</f>
        <v>1551603992449691</v>
      </c>
      <c r="C4707" t="s">
        <v>40</v>
      </c>
      <c r="D4707">
        <v>5.8087580000000001</v>
      </c>
      <c r="E4707">
        <v>0.4954268</v>
      </c>
      <c r="F4707" t="s">
        <v>43</v>
      </c>
      <c r="G4707">
        <v>-317.71249999999998</v>
      </c>
      <c r="H4707">
        <v>-0.05</v>
      </c>
      <c r="I4707">
        <v>15.25482</v>
      </c>
      <c r="J4707">
        <v>-337.43830000000003</v>
      </c>
      <c r="K4707">
        <v>1.121443</v>
      </c>
      <c r="L4707">
        <v>15.79214</v>
      </c>
      <c r="M4707">
        <v>0.99946219999999997</v>
      </c>
      <c r="N4707">
        <v>-1.3416330000000001E-2</v>
      </c>
      <c r="O4707">
        <v>2.992299E-2</v>
      </c>
      <c r="P4707">
        <v>0.98029029999999995</v>
      </c>
      <c r="Q4707">
        <v>0.1909814</v>
      </c>
      <c r="R4707">
        <v>-5.0571600000000001E-2</v>
      </c>
      <c r="S4707">
        <v>3.0918580000000002</v>
      </c>
      <c r="T4707">
        <v>-0.18232909999999999</v>
      </c>
      <c r="U4707">
        <v>-8.2977289999999995E-2</v>
      </c>
      <c r="V4707">
        <v>7.9851720000000001E-2</v>
      </c>
      <c r="W4707">
        <v>0.2041029</v>
      </c>
      <c r="X4707">
        <v>0.97568730000000004</v>
      </c>
      <c r="Y4707">
        <v>5.6578959999999998E-2</v>
      </c>
      <c r="Z4707">
        <v>-3.4081070000000001E-3</v>
      </c>
      <c r="AA4707">
        <v>0.99839230000000001</v>
      </c>
      <c r="AB4707">
        <v>27</v>
      </c>
      <c r="AC4707">
        <v>19.7258</v>
      </c>
      <c r="AD4707">
        <v>-1.171443</v>
      </c>
      <c r="AE4707">
        <v>-0.53731999999999902</v>
      </c>
      <c r="AF4707">
        <v>1.1234282744022199</v>
      </c>
      <c r="AG4707">
        <v>-1.171443</v>
      </c>
      <c r="AH4707">
        <v>19.6317011563116</v>
      </c>
      <c r="AI4707">
        <v>93.409282123313901</v>
      </c>
      <c r="AJ4707">
        <v>86.724808830453298</v>
      </c>
      <c r="AK4707">
        <v>19.698681683825999</v>
      </c>
      <c r="AL4707">
        <v>78.223011275620294</v>
      </c>
      <c r="AM4707">
        <v>85.321254537294294</v>
      </c>
      <c r="AN4707">
        <v>0.99999999917832905</v>
      </c>
    </row>
    <row r="4708" spans="1:40" x14ac:dyDescent="0.25">
      <c r="A4708" t="str">
        <f>"20190303170632472"</f>
        <v>20190303170632472</v>
      </c>
      <c r="B4708" t="str">
        <f>"1551603992459451"</f>
        <v>1551603992459451</v>
      </c>
      <c r="C4708" t="s">
        <v>40</v>
      </c>
      <c r="D4708">
        <v>5.8209609999999996</v>
      </c>
      <c r="E4708">
        <v>0.49338530000000003</v>
      </c>
      <c r="F4708" t="s">
        <v>43</v>
      </c>
      <c r="G4708">
        <v>-318.02640000000002</v>
      </c>
      <c r="H4708">
        <v>-0.05</v>
      </c>
      <c r="I4708">
        <v>15.390560000000001</v>
      </c>
      <c r="J4708">
        <v>-337.30259999999998</v>
      </c>
      <c r="K4708">
        <v>1.12144</v>
      </c>
      <c r="L4708">
        <v>15.7963</v>
      </c>
      <c r="M4708">
        <v>0.99946069999999998</v>
      </c>
      <c r="N4708">
        <v>-1.341561E-2</v>
      </c>
      <c r="O4708">
        <v>2.9977110000000001E-2</v>
      </c>
      <c r="P4708">
        <v>0.98035459999999996</v>
      </c>
      <c r="Q4708">
        <v>0.1905982</v>
      </c>
      <c r="R4708">
        <v>-5.0768439999999998E-2</v>
      </c>
      <c r="S4708">
        <v>3.0934140000000001</v>
      </c>
      <c r="T4708">
        <v>-0.18667710000000001</v>
      </c>
      <c r="U4708">
        <v>-6.3995360000000001E-2</v>
      </c>
      <c r="V4708">
        <v>8.0103690000000005E-2</v>
      </c>
      <c r="W4708">
        <v>0.2037196</v>
      </c>
      <c r="X4708">
        <v>0.97574680000000003</v>
      </c>
      <c r="Y4708">
        <v>5.0502020000000002E-2</v>
      </c>
      <c r="Z4708">
        <v>-3.2667019999999998E-3</v>
      </c>
      <c r="AA4708">
        <v>0.99871860000000001</v>
      </c>
      <c r="AB4708">
        <v>27</v>
      </c>
      <c r="AC4708">
        <v>19.2761999999999</v>
      </c>
      <c r="AD4708">
        <v>-1.17144</v>
      </c>
      <c r="AE4708">
        <v>-0.40573999999999899</v>
      </c>
      <c r="AF4708">
        <v>0.97983722487192504</v>
      </c>
      <c r="AG4708">
        <v>-1.17144</v>
      </c>
      <c r="AH4708">
        <v>19.184551334035799</v>
      </c>
      <c r="AI4708">
        <v>93.489697938506694</v>
      </c>
      <c r="AJ4708">
        <v>87.0761996390235</v>
      </c>
      <c r="AK4708">
        <v>19.2452425952259</v>
      </c>
      <c r="AL4708">
        <v>78.245444647006707</v>
      </c>
      <c r="AM4708">
        <v>85.306841655384005</v>
      </c>
      <c r="AN4708">
        <v>1.0000000471429999</v>
      </c>
    </row>
    <row r="4709" spans="1:40" x14ac:dyDescent="0.25">
      <c r="A4709" t="str">
        <f>"20190303170632494"</f>
        <v>20190303170632494</v>
      </c>
      <c r="B4709" t="str">
        <f>"1551603992479947"</f>
        <v>1551603992479947</v>
      </c>
      <c r="C4709" t="s">
        <v>40</v>
      </c>
      <c r="D4709">
        <v>5.7862730000000004</v>
      </c>
      <c r="E4709">
        <v>0.49034719999999998</v>
      </c>
      <c r="F4709" t="s">
        <v>43</v>
      </c>
      <c r="G4709">
        <v>-318.29759999999999</v>
      </c>
      <c r="H4709">
        <v>-0.05</v>
      </c>
      <c r="I4709">
        <v>15.49869</v>
      </c>
      <c r="J4709">
        <v>-337.0521</v>
      </c>
      <c r="K4709">
        <v>1.1214379999999999</v>
      </c>
      <c r="L4709">
        <v>15.80392</v>
      </c>
      <c r="M4709">
        <v>0.9994577</v>
      </c>
      <c r="N4709">
        <v>-1.3414270000000001E-2</v>
      </c>
      <c r="O4709">
        <v>3.0077429999999999E-2</v>
      </c>
      <c r="P4709">
        <v>0.98057680000000003</v>
      </c>
      <c r="Q4709">
        <v>0.18936420000000001</v>
      </c>
      <c r="R4709">
        <v>-5.1093550000000001E-2</v>
      </c>
      <c r="S4709">
        <v>3.0946959999999999</v>
      </c>
      <c r="T4709">
        <v>-0.19075259999999999</v>
      </c>
      <c r="U4709">
        <v>-4.8461909999999997E-2</v>
      </c>
      <c r="V4709">
        <v>8.0533770000000005E-2</v>
      </c>
      <c r="W4709">
        <v>0.202487</v>
      </c>
      <c r="X4709">
        <v>0.9759679</v>
      </c>
      <c r="Y4709">
        <v>4.558682E-2</v>
      </c>
      <c r="Z4709">
        <v>-3.1584529999999999E-3</v>
      </c>
      <c r="AA4709">
        <v>0.99895540000000005</v>
      </c>
      <c r="AB4709">
        <v>27</v>
      </c>
      <c r="AC4709">
        <v>18.7545</v>
      </c>
      <c r="AD4709">
        <v>-1.171438</v>
      </c>
      <c r="AE4709">
        <v>-0.305230000000001</v>
      </c>
      <c r="AF4709">
        <v>0.86585252041954996</v>
      </c>
      <c r="AG4709">
        <v>-1.171438</v>
      </c>
      <c r="AH4709">
        <v>18.664034270137599</v>
      </c>
      <c r="AI4709">
        <v>93.587579136232804</v>
      </c>
      <c r="AJ4709">
        <v>87.343867314457398</v>
      </c>
      <c r="AK4709">
        <v>18.720794395853801</v>
      </c>
      <c r="AL4709">
        <v>78.317570258731095</v>
      </c>
      <c r="AM4709">
        <v>85.282821422892496</v>
      </c>
      <c r="AN4709">
        <v>1.00000000755491</v>
      </c>
    </row>
    <row r="4710" spans="1:40" x14ac:dyDescent="0.25">
      <c r="A4710" t="str">
        <f>"20190303170632507"</f>
        <v>20190303170632507</v>
      </c>
      <c r="B4710" t="str">
        <f>"1551603992499467"</f>
        <v>1551603992499467</v>
      </c>
      <c r="C4710" t="s">
        <v>40</v>
      </c>
      <c r="D4710">
        <v>5.8809440000000004</v>
      </c>
      <c r="E4710">
        <v>0.48889630000000001</v>
      </c>
      <c r="F4710" t="s">
        <v>43</v>
      </c>
      <c r="G4710">
        <v>-318.6037</v>
      </c>
      <c r="H4710">
        <v>-0.05</v>
      </c>
      <c r="I4710">
        <v>15.651</v>
      </c>
      <c r="J4710">
        <v>-336.87479999999999</v>
      </c>
      <c r="K4710">
        <v>1.121435</v>
      </c>
      <c r="L4710">
        <v>15.809329999999999</v>
      </c>
      <c r="M4710">
        <v>0.99945539999999999</v>
      </c>
      <c r="N4710">
        <v>-1.3413309999999999E-2</v>
      </c>
      <c r="O4710">
        <v>3.0148479999999998E-2</v>
      </c>
      <c r="P4710">
        <v>0.98054929999999996</v>
      </c>
      <c r="Q4710">
        <v>0.18945429999999999</v>
      </c>
      <c r="R4710">
        <v>-5.1283370000000002E-2</v>
      </c>
      <c r="S4710">
        <v>3.0960390000000002</v>
      </c>
      <c r="T4710">
        <v>-0.1965925</v>
      </c>
      <c r="U4710">
        <v>-2.5665279999999999E-2</v>
      </c>
      <c r="V4710">
        <v>8.0792370000000002E-2</v>
      </c>
      <c r="W4710">
        <v>0.2025757</v>
      </c>
      <c r="X4710">
        <v>0.97592809999999997</v>
      </c>
      <c r="Y4710">
        <v>3.8304589999999999E-2</v>
      </c>
      <c r="Z4710">
        <v>-2.980253E-3</v>
      </c>
      <c r="AA4710">
        <v>0.99926170000000003</v>
      </c>
      <c r="AB4710">
        <v>27</v>
      </c>
      <c r="AC4710">
        <v>18.271099999999901</v>
      </c>
      <c r="AD4710">
        <v>-1.171435</v>
      </c>
      <c r="AE4710">
        <v>-0.158329999999999</v>
      </c>
      <c r="AF4710">
        <v>0.70625057580912198</v>
      </c>
      <c r="AG4710">
        <v>-1.171435</v>
      </c>
      <c r="AH4710">
        <v>18.183280308504798</v>
      </c>
      <c r="AI4710">
        <v>93.683344997496903</v>
      </c>
      <c r="AJ4710">
        <v>87.775712278507996</v>
      </c>
      <c r="AK4710">
        <v>18.234657458058098</v>
      </c>
      <c r="AL4710">
        <v>78.312380348897193</v>
      </c>
      <c r="AM4710">
        <v>85.267550777426393</v>
      </c>
      <c r="AN4710">
        <v>0.99999998882515795</v>
      </c>
    </row>
    <row r="4711" spans="1:40" x14ac:dyDescent="0.25">
      <c r="A4711" t="str">
        <f>"20190303170632518"</f>
        <v>20190303170632518</v>
      </c>
      <c r="B4711" t="str">
        <f>"1551603992509227"</f>
        <v>1551603992509227</v>
      </c>
      <c r="C4711" t="s">
        <v>40</v>
      </c>
      <c r="D4711">
        <v>5.9266009999999998</v>
      </c>
      <c r="E4711">
        <v>0.48809130000000001</v>
      </c>
      <c r="F4711" t="s">
        <v>43</v>
      </c>
      <c r="G4711">
        <v>-318.1062</v>
      </c>
      <c r="H4711">
        <v>-0.05</v>
      </c>
      <c r="I4711">
        <v>15.72273</v>
      </c>
      <c r="J4711">
        <v>-336.72680000000003</v>
      </c>
      <c r="K4711">
        <v>1.1214360000000001</v>
      </c>
      <c r="L4711">
        <v>15.81387</v>
      </c>
      <c r="M4711">
        <v>0.99945379999999995</v>
      </c>
      <c r="N4711">
        <v>-1.3412520000000001E-2</v>
      </c>
      <c r="O4711">
        <v>3.0207609999999999E-2</v>
      </c>
      <c r="P4711">
        <v>0.98043329999999995</v>
      </c>
      <c r="Q4711">
        <v>0.18989919999999999</v>
      </c>
      <c r="R4711">
        <v>-5.1856800000000002E-2</v>
      </c>
      <c r="S4711">
        <v>3.096069</v>
      </c>
      <c r="T4711">
        <v>-0.19323989999999999</v>
      </c>
      <c r="U4711">
        <v>-1.428223E-2</v>
      </c>
      <c r="V4711">
        <v>8.1419749999999999E-2</v>
      </c>
      <c r="W4711">
        <v>0.2030179</v>
      </c>
      <c r="X4711">
        <v>0.97578410000000004</v>
      </c>
      <c r="Y4711">
        <v>3.4702579999999997E-2</v>
      </c>
      <c r="Z4711">
        <v>-2.7933910000000001E-3</v>
      </c>
      <c r="AA4711">
        <v>0.9993938</v>
      </c>
      <c r="AB4711">
        <v>27</v>
      </c>
      <c r="AC4711">
        <v>18.6206</v>
      </c>
      <c r="AD4711">
        <v>-1.1714359999999999</v>
      </c>
      <c r="AE4711">
        <v>-9.1140000000002802E-2</v>
      </c>
      <c r="AF4711">
        <v>0.65105607762803197</v>
      </c>
      <c r="AG4711">
        <v>-1.1714359999999999</v>
      </c>
      <c r="AH4711">
        <v>18.535988227327099</v>
      </c>
      <c r="AI4711">
        <v>93.613942578084604</v>
      </c>
      <c r="AJ4711">
        <v>87.988376105343406</v>
      </c>
      <c r="AK4711">
        <v>18.584375046848301</v>
      </c>
      <c r="AL4711">
        <v>78.286506967132695</v>
      </c>
      <c r="AM4711">
        <v>85.230270028103206</v>
      </c>
      <c r="AN4711">
        <v>1.00000002661164</v>
      </c>
    </row>
    <row r="4712" spans="1:40" x14ac:dyDescent="0.25">
      <c r="A4712" t="str">
        <f>"20190303170632531"</f>
        <v>20190303170632531</v>
      </c>
      <c r="B4712" t="str">
        <f>"1551603992519963"</f>
        <v>1551603992519963</v>
      </c>
      <c r="C4712" t="s">
        <v>40</v>
      </c>
      <c r="D4712">
        <v>6.5692740000000001</v>
      </c>
      <c r="E4712">
        <v>0.48747810000000003</v>
      </c>
      <c r="F4712" t="s">
        <v>43</v>
      </c>
      <c r="G4712">
        <v>-317.8673</v>
      </c>
      <c r="H4712">
        <v>-0.05</v>
      </c>
      <c r="I4712">
        <v>15.756640000000001</v>
      </c>
      <c r="J4712">
        <v>-336.5915</v>
      </c>
      <c r="K4712">
        <v>1.1214409999999999</v>
      </c>
      <c r="L4712">
        <v>15.81799</v>
      </c>
      <c r="M4712">
        <v>0.99945200000000001</v>
      </c>
      <c r="N4712">
        <v>-1.341181E-2</v>
      </c>
      <c r="O4712">
        <v>3.026185E-2</v>
      </c>
      <c r="P4712">
        <v>0.98039810000000005</v>
      </c>
      <c r="Q4712">
        <v>0.19000040000000001</v>
      </c>
      <c r="R4712">
        <v>-5.21485E-2</v>
      </c>
      <c r="S4712">
        <v>3.0966490000000002</v>
      </c>
      <c r="T4712">
        <v>-0.19234490000000001</v>
      </c>
      <c r="U4712">
        <v>-9.399414E-3</v>
      </c>
      <c r="V4712">
        <v>8.1763569999999994E-2</v>
      </c>
      <c r="W4712">
        <v>0.2031183</v>
      </c>
      <c r="X4712">
        <v>0.9757344</v>
      </c>
      <c r="Y4712">
        <v>3.3184760000000001E-2</v>
      </c>
      <c r="Z4712">
        <v>-2.7244819999999999E-3</v>
      </c>
      <c r="AA4712">
        <v>0.99944549999999999</v>
      </c>
      <c r="AB4712">
        <v>27</v>
      </c>
      <c r="AC4712">
        <v>18.7242</v>
      </c>
      <c r="AD4712">
        <v>-1.171441</v>
      </c>
      <c r="AE4712">
        <v>-6.1350000000000897E-2</v>
      </c>
      <c r="AF4712">
        <v>0.62555334411600905</v>
      </c>
      <c r="AG4712">
        <v>-1.171441</v>
      </c>
      <c r="AH4712">
        <v>18.640804551525701</v>
      </c>
      <c r="AI4712">
        <v>93.593882744816995</v>
      </c>
      <c r="AJ4712">
        <v>88.077973456644301</v>
      </c>
      <c r="AK4712">
        <v>18.688049264998099</v>
      </c>
      <c r="AL4712">
        <v>78.280631419176601</v>
      </c>
      <c r="AM4712">
        <v>85.209979049295001</v>
      </c>
      <c r="AN4712">
        <v>0.99999997225869697</v>
      </c>
    </row>
    <row r="4713" spans="1:40" x14ac:dyDescent="0.25">
      <c r="A4713" t="str">
        <f>"20190303170632548"</f>
        <v>20190303170632548</v>
      </c>
      <c r="B4713" t="str">
        <f>"1551603992539483"</f>
        <v>1551603992539483</v>
      </c>
      <c r="C4713" t="s">
        <v>40</v>
      </c>
      <c r="D4713">
        <v>6.5295589999999999</v>
      </c>
      <c r="E4713">
        <v>0.48635780000000001</v>
      </c>
      <c r="F4713" t="s">
        <v>43</v>
      </c>
      <c r="G4713">
        <v>-317.76940000000002</v>
      </c>
      <c r="H4713">
        <v>-0.05</v>
      </c>
      <c r="I4713">
        <v>15.78645</v>
      </c>
      <c r="J4713">
        <v>-336.38130000000001</v>
      </c>
      <c r="K4713">
        <v>1.1214390000000001</v>
      </c>
      <c r="L4713">
        <v>15.82446</v>
      </c>
      <c r="M4713">
        <v>0.99944960000000005</v>
      </c>
      <c r="N4713">
        <v>-1.3410709999999999E-2</v>
      </c>
      <c r="O4713">
        <v>3.0345230000000001E-2</v>
      </c>
      <c r="P4713">
        <v>0.98043840000000004</v>
      </c>
      <c r="Q4713">
        <v>0.1898184</v>
      </c>
      <c r="R4713">
        <v>-5.2054910000000003E-2</v>
      </c>
      <c r="S4713">
        <v>3.0970149999999999</v>
      </c>
      <c r="T4713">
        <v>-0.19275049999999999</v>
      </c>
      <c r="U4713">
        <v>-5.1879880000000001E-3</v>
      </c>
      <c r="V4713">
        <v>8.175288E-2</v>
      </c>
      <c r="W4713">
        <v>0.2029357</v>
      </c>
      <c r="X4713">
        <v>0.97577329999999995</v>
      </c>
      <c r="Y4713">
        <v>3.1911109999999999E-2</v>
      </c>
      <c r="Z4713">
        <v>-2.6861839999999999E-3</v>
      </c>
      <c r="AA4713">
        <v>0.99948709999999996</v>
      </c>
      <c r="AB4713">
        <v>27</v>
      </c>
      <c r="AC4713">
        <v>18.611899999999899</v>
      </c>
      <c r="AD4713">
        <v>-1.1714389999999999</v>
      </c>
      <c r="AE4713">
        <v>-3.8009999999999801E-2</v>
      </c>
      <c r="AF4713">
        <v>0.60044696971178801</v>
      </c>
      <c r="AG4713">
        <v>-1.1714389999999999</v>
      </c>
      <c r="AH4713">
        <v>18.528772599137</v>
      </c>
      <c r="AI4713">
        <v>93.615685966394594</v>
      </c>
      <c r="AJ4713">
        <v>88.143911494536297</v>
      </c>
      <c r="AK4713">
        <v>18.5754736123924</v>
      </c>
      <c r="AL4713">
        <v>78.291316278329703</v>
      </c>
      <c r="AM4713">
        <v>85.210792441871902</v>
      </c>
      <c r="AN4713">
        <v>0.99999998235783705</v>
      </c>
    </row>
    <row r="4714" spans="1:40" x14ac:dyDescent="0.25">
      <c r="A4714" t="str">
        <f>"20190303170632559"</f>
        <v>20190303170632559</v>
      </c>
      <c r="B4714" t="str">
        <f>"1551603992549244"</f>
        <v>1551603992549244</v>
      </c>
      <c r="C4714" t="s">
        <v>40</v>
      </c>
      <c r="D4714">
        <v>5.862819</v>
      </c>
      <c r="E4714">
        <v>0.48600559999999998</v>
      </c>
      <c r="F4714" t="s">
        <v>43</v>
      </c>
      <c r="G4714">
        <v>-317.68349999999998</v>
      </c>
      <c r="H4714">
        <v>-0.05</v>
      </c>
      <c r="I4714">
        <v>15.84601</v>
      </c>
      <c r="J4714">
        <v>-336.24709999999999</v>
      </c>
      <c r="K4714">
        <v>1.121435</v>
      </c>
      <c r="L4714">
        <v>15.828609999999999</v>
      </c>
      <c r="M4714">
        <v>0.99944789999999994</v>
      </c>
      <c r="N4714">
        <v>-1.341001E-2</v>
      </c>
      <c r="O4714">
        <v>3.0397799999999999E-2</v>
      </c>
      <c r="P4714">
        <v>0.98053140000000005</v>
      </c>
      <c r="Q4714">
        <v>0.18936049999999999</v>
      </c>
      <c r="R4714">
        <v>-5.196949E-2</v>
      </c>
      <c r="S4714">
        <v>3.097626</v>
      </c>
      <c r="T4714">
        <v>-0.19406989999999999</v>
      </c>
      <c r="U4714">
        <v>3.5705569999999998E-3</v>
      </c>
      <c r="V4714">
        <v>8.1722329999999996E-2</v>
      </c>
      <c r="W4714">
        <v>0.20247809999999999</v>
      </c>
      <c r="X4714">
        <v>0.97587089999999999</v>
      </c>
      <c r="Y4714">
        <v>2.914218E-2</v>
      </c>
      <c r="Z4714">
        <v>-2.6026159999999999E-3</v>
      </c>
      <c r="AA4714">
        <v>0.99957189999999996</v>
      </c>
      <c r="AB4714">
        <v>27</v>
      </c>
      <c r="AC4714">
        <v>18.563600000000001</v>
      </c>
      <c r="AD4714">
        <v>-1.171435</v>
      </c>
      <c r="AE4714">
        <v>1.73999999999985E-2</v>
      </c>
      <c r="AF4714">
        <v>0.54478202489205196</v>
      </c>
      <c r="AG4714">
        <v>-1.171435</v>
      </c>
      <c r="AH4714">
        <v>18.481951930089</v>
      </c>
      <c r="AI4714">
        <v>93.625136330823196</v>
      </c>
      <c r="AJ4714">
        <v>88.311613649220604</v>
      </c>
      <c r="AK4714">
        <v>18.527050346992301</v>
      </c>
      <c r="AL4714">
        <v>78.318090494991694</v>
      </c>
      <c r="AM4714">
        <v>85.213050368160694</v>
      </c>
      <c r="AN4714">
        <v>0.99999996683352299</v>
      </c>
    </row>
    <row r="4715" spans="1:40" x14ac:dyDescent="0.25">
      <c r="A4715" t="str">
        <f>"20190303170632570"</f>
        <v>20190303170632570</v>
      </c>
      <c r="B4715" t="str">
        <f>"1551603992559979"</f>
        <v>1551603992559979</v>
      </c>
      <c r="C4715" t="s">
        <v>40</v>
      </c>
      <c r="D4715">
        <v>6.5020759999999997</v>
      </c>
      <c r="E4715">
        <v>0.48574020000000001</v>
      </c>
      <c r="F4715" t="s">
        <v>43</v>
      </c>
      <c r="G4715">
        <v>-317.76010000000002</v>
      </c>
      <c r="H4715">
        <v>-0.05</v>
      </c>
      <c r="I4715">
        <v>15.8670299999999</v>
      </c>
      <c r="J4715">
        <v>-336.11369999999999</v>
      </c>
      <c r="K4715">
        <v>1.1214249999999999</v>
      </c>
      <c r="L4715">
        <v>15.832700000000001</v>
      </c>
      <c r="M4715">
        <v>0.99944650000000002</v>
      </c>
      <c r="N4715">
        <v>-1.3409310000000001E-2</v>
      </c>
      <c r="O4715">
        <v>3.0448739999999998E-2</v>
      </c>
      <c r="P4715">
        <v>0.98068080000000002</v>
      </c>
      <c r="Q4715">
        <v>0.18859419999999999</v>
      </c>
      <c r="R4715">
        <v>-5.1939249999999999E-2</v>
      </c>
      <c r="S4715">
        <v>3.0978089999999998</v>
      </c>
      <c r="T4715">
        <v>-0.19629350000000001</v>
      </c>
      <c r="U4715">
        <v>6.4392090000000004E-3</v>
      </c>
      <c r="V4715">
        <v>8.1747109999999998E-2</v>
      </c>
      <c r="W4715">
        <v>0.20171320000000001</v>
      </c>
      <c r="X4715">
        <v>0.97602730000000004</v>
      </c>
      <c r="Y4715">
        <v>2.82671E-2</v>
      </c>
      <c r="Z4715">
        <v>-2.6036140000000002E-3</v>
      </c>
      <c r="AA4715">
        <v>0.99959699999999996</v>
      </c>
      <c r="AB4715">
        <v>27</v>
      </c>
      <c r="AC4715">
        <v>18.353599999999901</v>
      </c>
      <c r="AD4715">
        <v>-1.1714249999999999</v>
      </c>
      <c r="AE4715">
        <v>3.4329999999997002E-2</v>
      </c>
      <c r="AF4715">
        <v>0.52245180532464097</v>
      </c>
      <c r="AG4715">
        <v>-1.1714249999999999</v>
      </c>
      <c r="AH4715">
        <v>18.271701125345398</v>
      </c>
      <c r="AI4715">
        <v>93.666799737453402</v>
      </c>
      <c r="AJ4715">
        <v>88.362159644130998</v>
      </c>
      <c r="AK4715">
        <v>18.316666029424098</v>
      </c>
      <c r="AL4715">
        <v>78.362840351996894</v>
      </c>
      <c r="AM4715">
        <v>85.212369340611502</v>
      </c>
      <c r="AN4715">
        <v>1.0000000476964399</v>
      </c>
    </row>
    <row r="4716" spans="1:40" x14ac:dyDescent="0.25">
      <c r="A4716" t="str">
        <f>"20190303170632581"</f>
        <v>20190303170632581</v>
      </c>
      <c r="B4716" t="str">
        <f>"1551603992569739"</f>
        <v>1551603992569739</v>
      </c>
      <c r="C4716" t="s">
        <v>40</v>
      </c>
      <c r="D4716">
        <v>5.8790269999999998</v>
      </c>
      <c r="E4716">
        <v>0.48556270000000001</v>
      </c>
      <c r="F4716" t="s">
        <v>43</v>
      </c>
      <c r="G4716">
        <v>-317.92970000000003</v>
      </c>
      <c r="H4716">
        <v>-0.05</v>
      </c>
      <c r="I4716">
        <v>15.88161</v>
      </c>
      <c r="J4716">
        <v>-335.98050000000001</v>
      </c>
      <c r="K4716">
        <v>1.121418</v>
      </c>
      <c r="L4716">
        <v>15.836819999999999</v>
      </c>
      <c r="M4716">
        <v>0.99944500000000003</v>
      </c>
      <c r="N4716">
        <v>-1.340861E-2</v>
      </c>
      <c r="O4716">
        <v>3.0499390000000001E-2</v>
      </c>
      <c r="P4716">
        <v>0.98077289999999995</v>
      </c>
      <c r="Q4716">
        <v>0.1881555</v>
      </c>
      <c r="R4716">
        <v>-5.1792289999999998E-2</v>
      </c>
      <c r="S4716">
        <v>3.097931</v>
      </c>
      <c r="T4716">
        <v>-0.19957030000000001</v>
      </c>
      <c r="U4716">
        <v>8.3312990000000003E-3</v>
      </c>
      <c r="V4716">
        <v>8.1653100000000006E-2</v>
      </c>
      <c r="W4716">
        <v>0.2012746</v>
      </c>
      <c r="X4716">
        <v>0.97612569999999999</v>
      </c>
      <c r="Y4716">
        <v>2.7704940000000001E-2</v>
      </c>
      <c r="Z4716">
        <v>-2.6312520000000002E-3</v>
      </c>
      <c r="AA4716">
        <v>0.99961270000000002</v>
      </c>
      <c r="AB4716">
        <v>27</v>
      </c>
      <c r="AC4716">
        <v>18.050799999999899</v>
      </c>
      <c r="AD4716">
        <v>-1.1714180000000001</v>
      </c>
      <c r="AE4716">
        <v>4.4789999999998997E-2</v>
      </c>
      <c r="AF4716">
        <v>0.50369736203071402</v>
      </c>
      <c r="AG4716">
        <v>-1.1714180000000001</v>
      </c>
      <c r="AH4716">
        <v>17.968096048857301</v>
      </c>
      <c r="AI4716">
        <v>93.728620699806697</v>
      </c>
      <c r="AJ4716">
        <v>88.394255198201705</v>
      </c>
      <c r="AK4716">
        <v>18.013284175413499</v>
      </c>
      <c r="AL4716">
        <v>78.388496376419099</v>
      </c>
      <c r="AM4716">
        <v>85.218329452386598</v>
      </c>
      <c r="AN4716">
        <v>1.0000000377726199</v>
      </c>
    </row>
    <row r="4717" spans="1:40" x14ac:dyDescent="0.25">
      <c r="A4717" t="str">
        <f>"20190303170632595"</f>
        <v>20190303170632595</v>
      </c>
      <c r="B4717" t="str">
        <f>"1551603992589259"</f>
        <v>1551603992589259</v>
      </c>
      <c r="C4717" t="s">
        <v>40</v>
      </c>
      <c r="D4717">
        <v>5.9858419999999999</v>
      </c>
      <c r="E4717">
        <v>0.4854115</v>
      </c>
      <c r="F4717" t="s">
        <v>43</v>
      </c>
      <c r="G4717">
        <v>-317.77640000000002</v>
      </c>
      <c r="H4717">
        <v>-0.05</v>
      </c>
      <c r="I4717">
        <v>15.895810000000001</v>
      </c>
      <c r="J4717">
        <v>-335.82530000000003</v>
      </c>
      <c r="K4717">
        <v>1.121416</v>
      </c>
      <c r="L4717">
        <v>15.841609999999999</v>
      </c>
      <c r="M4717">
        <v>0.99944319999999998</v>
      </c>
      <c r="N4717">
        <v>-1.3407799999999999E-2</v>
      </c>
      <c r="O4717">
        <v>3.0556099999999999E-2</v>
      </c>
      <c r="P4717">
        <v>0.98086110000000004</v>
      </c>
      <c r="Q4717">
        <v>0.18761220000000001</v>
      </c>
      <c r="R4717">
        <v>-5.2091739999999997E-2</v>
      </c>
      <c r="S4717">
        <v>3.097626</v>
      </c>
      <c r="T4717">
        <v>-0.19932910000000001</v>
      </c>
      <c r="U4717">
        <v>1.004028E-2</v>
      </c>
      <c r="V4717">
        <v>8.2011819999999999E-2</v>
      </c>
      <c r="W4717">
        <v>0.20073089999999999</v>
      </c>
      <c r="X4717">
        <v>0.97620759999999995</v>
      </c>
      <c r="Y4717">
        <v>2.7211320000000001E-2</v>
      </c>
      <c r="Z4717">
        <v>-2.611801E-3</v>
      </c>
      <c r="AA4717">
        <v>0.99962629999999997</v>
      </c>
      <c r="AB4717">
        <v>27</v>
      </c>
      <c r="AC4717">
        <v>18.0489</v>
      </c>
      <c r="AD4717">
        <v>-1.171416</v>
      </c>
      <c r="AE4717">
        <v>5.4199999999999797E-2</v>
      </c>
      <c r="AF4717">
        <v>0.49529253285768998</v>
      </c>
      <c r="AG4717">
        <v>-1.171416</v>
      </c>
      <c r="AH4717">
        <v>17.966447251494898</v>
      </c>
      <c r="AI4717">
        <v>93.729003620781398</v>
      </c>
      <c r="AJ4717">
        <v>88.420890577949905</v>
      </c>
      <c r="AK4717">
        <v>18.0114063020884</v>
      </c>
      <c r="AL4717">
        <v>78.420297331561301</v>
      </c>
      <c r="AM4717">
        <v>85.197821600867698</v>
      </c>
      <c r="AN4717">
        <v>1.0000000555661299</v>
      </c>
    </row>
    <row r="4718" spans="1:40" x14ac:dyDescent="0.25">
      <c r="A4718" t="str">
        <f>"20190303170632617"</f>
        <v>20190303170632617</v>
      </c>
      <c r="B4718" t="str">
        <f>"1551603992609755"</f>
        <v>1551603992609755</v>
      </c>
      <c r="C4718" t="s">
        <v>40</v>
      </c>
      <c r="D4718">
        <v>5.8752279999999999</v>
      </c>
      <c r="E4718">
        <v>0.4850177</v>
      </c>
      <c r="F4718" t="s">
        <v>43</v>
      </c>
      <c r="G4718">
        <v>-317.85939999999999</v>
      </c>
      <c r="H4718">
        <v>-0.05</v>
      </c>
      <c r="I4718">
        <v>15.90286</v>
      </c>
      <c r="J4718">
        <v>-335.5625</v>
      </c>
      <c r="K4718">
        <v>1.1214139999999999</v>
      </c>
      <c r="L4718">
        <v>15.84976</v>
      </c>
      <c r="M4718">
        <v>0.99944040000000001</v>
      </c>
      <c r="N4718">
        <v>-1.340642E-2</v>
      </c>
      <c r="O4718">
        <v>3.0646139999999999E-2</v>
      </c>
      <c r="P4718">
        <v>0.98093929999999996</v>
      </c>
      <c r="Q4718">
        <v>0.18711430000000001</v>
      </c>
      <c r="R4718">
        <v>-5.2407000000000002E-2</v>
      </c>
      <c r="S4718">
        <v>3.0977169999999998</v>
      </c>
      <c r="T4718">
        <v>-0.2019782</v>
      </c>
      <c r="U4718">
        <v>1.055908E-2</v>
      </c>
      <c r="V4718">
        <v>8.2420209999999994E-2</v>
      </c>
      <c r="W4718">
        <v>0.20023189999999999</v>
      </c>
      <c r="X4718">
        <v>0.97627560000000002</v>
      </c>
      <c r="Y4718">
        <v>2.7131160000000001E-2</v>
      </c>
      <c r="Z4718">
        <v>-2.6509060000000002E-3</v>
      </c>
      <c r="AA4718">
        <v>0.99962839999999997</v>
      </c>
      <c r="AB4718">
        <v>27</v>
      </c>
      <c r="AC4718">
        <v>17.703099999999999</v>
      </c>
      <c r="AD4718">
        <v>-1.171414</v>
      </c>
      <c r="AE4718">
        <v>5.3100000000000501E-2</v>
      </c>
      <c r="AF4718">
        <v>0.48737145894675998</v>
      </c>
      <c r="AG4718">
        <v>-1.171414</v>
      </c>
      <c r="AH4718">
        <v>17.619266059936098</v>
      </c>
      <c r="AI4718">
        <v>93.802252537371004</v>
      </c>
      <c r="AJ4718">
        <v>88.415529412001902</v>
      </c>
      <c r="AK4718">
        <v>17.664888286915598</v>
      </c>
      <c r="AL4718">
        <v>78.449479481520598</v>
      </c>
      <c r="AM4718">
        <v>85.174355660592099</v>
      </c>
      <c r="AN4718">
        <v>0.99999997597470602</v>
      </c>
    </row>
    <row r="4719" spans="1:40" x14ac:dyDescent="0.25">
      <c r="A4719" t="str">
        <f>"20190303170632638"</f>
        <v>20190303170632638</v>
      </c>
      <c r="B4719" t="str">
        <f>"1551603992629275"</f>
        <v>1551603992629275</v>
      </c>
      <c r="C4719" t="s">
        <v>40</v>
      </c>
      <c r="D4719">
        <v>5.9133909999999998</v>
      </c>
      <c r="E4719">
        <v>0.48474909999999999</v>
      </c>
      <c r="F4719" t="s">
        <v>43</v>
      </c>
      <c r="G4719">
        <v>-317.84010000000001</v>
      </c>
      <c r="H4719">
        <v>-0.05</v>
      </c>
      <c r="I4719">
        <v>15.92587</v>
      </c>
      <c r="J4719">
        <v>-335.30430000000001</v>
      </c>
      <c r="K4719">
        <v>1.1214109999999999</v>
      </c>
      <c r="L4719">
        <v>15.85779</v>
      </c>
      <c r="M4719">
        <v>0.99943800000000005</v>
      </c>
      <c r="N4719">
        <v>-1.340505E-2</v>
      </c>
      <c r="O4719">
        <v>3.072387E-2</v>
      </c>
      <c r="P4719">
        <v>0.98096280000000002</v>
      </c>
      <c r="Q4719">
        <v>0.18698609999999999</v>
      </c>
      <c r="R4719">
        <v>-5.242608E-2</v>
      </c>
      <c r="S4719">
        <v>3.0980219999999998</v>
      </c>
      <c r="T4719">
        <v>-0.2047728</v>
      </c>
      <c r="U4719">
        <v>1.330566E-2</v>
      </c>
      <c r="V4719">
        <v>8.251994E-2</v>
      </c>
      <c r="W4719">
        <v>0.20010059999999999</v>
      </c>
      <c r="X4719">
        <v>0.97629410000000005</v>
      </c>
      <c r="Y4719">
        <v>2.6321839999999999E-2</v>
      </c>
      <c r="Z4719">
        <v>-2.6623390000000001E-3</v>
      </c>
      <c r="AA4719">
        <v>0.99965000000000004</v>
      </c>
      <c r="AB4719">
        <v>27</v>
      </c>
      <c r="AC4719">
        <v>17.464200000000002</v>
      </c>
      <c r="AD4719">
        <v>-1.171411</v>
      </c>
      <c r="AE4719">
        <v>6.8080000000001903E-2</v>
      </c>
      <c r="AF4719">
        <v>0.46646954095975701</v>
      </c>
      <c r="AG4719">
        <v>-1.171411</v>
      </c>
      <c r="AH4719">
        <v>17.379854007713799</v>
      </c>
      <c r="AI4719">
        <v>93.854548880900595</v>
      </c>
      <c r="AJ4719">
        <v>88.462569303802894</v>
      </c>
      <c r="AK4719">
        <v>17.4255307779422</v>
      </c>
      <c r="AL4719">
        <v>78.457157860958901</v>
      </c>
      <c r="AM4719">
        <v>85.168635283460404</v>
      </c>
      <c r="AN4719">
        <v>0.99999998015638603</v>
      </c>
    </row>
    <row r="4720" spans="1:40" x14ac:dyDescent="0.25">
      <c r="A4720" t="str">
        <f>"20190303170632649"</f>
        <v>20190303170632649</v>
      </c>
      <c r="B4720" t="str">
        <f>"1551603992640012"</f>
        <v>1551603992640012</v>
      </c>
      <c r="C4720" t="s">
        <v>40</v>
      </c>
      <c r="D4720">
        <v>5.9859049999999998</v>
      </c>
      <c r="E4720">
        <v>0.4846414</v>
      </c>
      <c r="F4720" t="s">
        <v>43</v>
      </c>
      <c r="G4720">
        <v>-317.64879999999999</v>
      </c>
      <c r="H4720">
        <v>-0.05</v>
      </c>
      <c r="I4720">
        <v>15.944750000000001</v>
      </c>
      <c r="J4720">
        <v>-335.16770000000002</v>
      </c>
      <c r="K4720">
        <v>1.121405</v>
      </c>
      <c r="L4720">
        <v>15.862030000000001</v>
      </c>
      <c r="M4720">
        <v>0.99943700000000002</v>
      </c>
      <c r="N4720">
        <v>-1.3404309999999999E-2</v>
      </c>
      <c r="O4720">
        <v>3.0759129999999999E-2</v>
      </c>
      <c r="P4720">
        <v>0.98098830000000004</v>
      </c>
      <c r="Q4720">
        <v>0.18699879999999999</v>
      </c>
      <c r="R4720">
        <v>-5.1898029999999998E-2</v>
      </c>
      <c r="S4720">
        <v>3.0981749999999999</v>
      </c>
      <c r="T4720">
        <v>-0.2055583</v>
      </c>
      <c r="U4720">
        <v>1.525879E-2</v>
      </c>
      <c r="V4720">
        <v>8.2030270000000002E-2</v>
      </c>
      <c r="W4720">
        <v>0.2001124</v>
      </c>
      <c r="X4720">
        <v>0.97633300000000001</v>
      </c>
      <c r="Y4720">
        <v>2.572777E-2</v>
      </c>
      <c r="Z4720">
        <v>-2.651484E-3</v>
      </c>
      <c r="AA4720">
        <v>0.99966549999999998</v>
      </c>
      <c r="AB4720">
        <v>27</v>
      </c>
      <c r="AC4720">
        <v>17.518899999999999</v>
      </c>
      <c r="AD4720">
        <v>-1.171405</v>
      </c>
      <c r="AE4720">
        <v>8.2720000000001903E-2</v>
      </c>
      <c r="AF4720">
        <v>0.45420297952049199</v>
      </c>
      <c r="AG4720">
        <v>-1.171405</v>
      </c>
      <c r="AH4720">
        <v>17.435203342760001</v>
      </c>
      <c r="AI4720">
        <v>93.842409274387506</v>
      </c>
      <c r="AJ4720">
        <v>88.507730101605205</v>
      </c>
      <c r="AK4720">
        <v>17.480412055327001</v>
      </c>
      <c r="AL4720">
        <v>78.456468424857505</v>
      </c>
      <c r="AM4720">
        <v>85.197360363439699</v>
      </c>
      <c r="AN4720">
        <v>1.00000003235951</v>
      </c>
    </row>
    <row r="4721" spans="1:40" x14ac:dyDescent="0.25">
      <c r="A4721" t="str">
        <f>"20190303170632661"</f>
        <v>20190303170632661</v>
      </c>
      <c r="B4721" t="str">
        <f>"1551603992649772"</f>
        <v>1551603992649772</v>
      </c>
      <c r="C4721" t="s">
        <v>40</v>
      </c>
      <c r="D4721">
        <v>5.9343629999999896</v>
      </c>
      <c r="E4721">
        <v>0.48448079999999999</v>
      </c>
      <c r="F4721" t="s">
        <v>43</v>
      </c>
      <c r="G4721">
        <v>-317.55900000000003</v>
      </c>
      <c r="H4721">
        <v>-0.05</v>
      </c>
      <c r="I4721">
        <v>15.960559999999999</v>
      </c>
      <c r="J4721">
        <v>-335.03219999999999</v>
      </c>
      <c r="K4721">
        <v>1.1213979999999999</v>
      </c>
      <c r="L4721">
        <v>15.866239999999999</v>
      </c>
      <c r="M4721">
        <v>0.99943610000000005</v>
      </c>
      <c r="N4721">
        <v>-1.340359E-2</v>
      </c>
      <c r="O4721">
        <v>3.079111E-2</v>
      </c>
      <c r="P4721">
        <v>0.98106269999999995</v>
      </c>
      <c r="Q4721">
        <v>0.1866698</v>
      </c>
      <c r="R4721">
        <v>-5.1677910000000001E-2</v>
      </c>
      <c r="S4721">
        <v>3.0983580000000002</v>
      </c>
      <c r="T4721">
        <v>-0.2061154</v>
      </c>
      <c r="U4721">
        <v>1.7333979999999999E-2</v>
      </c>
      <c r="V4721">
        <v>8.1846580000000002E-2</v>
      </c>
      <c r="W4721">
        <v>0.1997825</v>
      </c>
      <c r="X4721">
        <v>0.9764159</v>
      </c>
      <c r="Y4721">
        <v>2.5091539999999999E-2</v>
      </c>
      <c r="Z4721">
        <v>-2.635423E-3</v>
      </c>
      <c r="AA4721">
        <v>0.99968170000000001</v>
      </c>
      <c r="AB4721">
        <v>27</v>
      </c>
      <c r="AC4721">
        <v>17.473199999999899</v>
      </c>
      <c r="AD4721">
        <v>-1.1713979999999999</v>
      </c>
      <c r="AE4721">
        <v>9.43200000000015E-2</v>
      </c>
      <c r="AF4721">
        <v>0.44180665498490701</v>
      </c>
      <c r="AG4721">
        <v>-1.1713979999999999</v>
      </c>
      <c r="AH4721">
        <v>17.3896654658645</v>
      </c>
      <c r="AI4721">
        <v>93.852481743550598</v>
      </c>
      <c r="AJ4721">
        <v>88.544640644618994</v>
      </c>
      <c r="AK4721">
        <v>17.434673252156902</v>
      </c>
      <c r="AL4721">
        <v>78.475759014385901</v>
      </c>
      <c r="AM4721">
        <v>85.208469707803502</v>
      </c>
      <c r="AN4721">
        <v>0.99999995986837698</v>
      </c>
    </row>
    <row r="4722" spans="1:40" x14ac:dyDescent="0.25">
      <c r="A4722" t="str">
        <f>"20190303170632673"</f>
        <v>20190303170632673</v>
      </c>
      <c r="B4722" t="str">
        <f>"1551603992659532"</f>
        <v>1551603992659532</v>
      </c>
      <c r="C4722" t="s">
        <v>40</v>
      </c>
      <c r="D4722">
        <v>5.9138289999999998</v>
      </c>
      <c r="E4722">
        <v>0.48419990000000002</v>
      </c>
      <c r="F4722" t="s">
        <v>43</v>
      </c>
      <c r="G4722">
        <v>-317.53750000000002</v>
      </c>
      <c r="H4722">
        <v>-0.05</v>
      </c>
      <c r="I4722">
        <v>15.973420000000001</v>
      </c>
      <c r="J4722">
        <v>-334.89870000000002</v>
      </c>
      <c r="K4722">
        <v>1.1213850000000001</v>
      </c>
      <c r="L4722">
        <v>15.87039</v>
      </c>
      <c r="M4722">
        <v>0.99943539999999997</v>
      </c>
      <c r="N4722">
        <v>-1.3402890000000001E-2</v>
      </c>
      <c r="O4722">
        <v>3.0815080000000002E-2</v>
      </c>
      <c r="P4722">
        <v>0.98111550000000003</v>
      </c>
      <c r="Q4722">
        <v>0.18639430000000001</v>
      </c>
      <c r="R4722">
        <v>-5.1670500000000001E-2</v>
      </c>
      <c r="S4722">
        <v>3.0984189999999998</v>
      </c>
      <c r="T4722">
        <v>-0.2074628</v>
      </c>
      <c r="U4722">
        <v>1.8981930000000001E-2</v>
      </c>
      <c r="V4722">
        <v>8.1867739999999994E-2</v>
      </c>
      <c r="W4722">
        <v>0.19950590000000001</v>
      </c>
      <c r="X4722">
        <v>0.97647070000000002</v>
      </c>
      <c r="Y4722">
        <v>2.458376E-2</v>
      </c>
      <c r="Z4722">
        <v>-2.635053E-3</v>
      </c>
      <c r="AA4722">
        <v>0.99969430000000004</v>
      </c>
      <c r="AB4722">
        <v>27</v>
      </c>
      <c r="AC4722">
        <v>17.361199999999901</v>
      </c>
      <c r="AD4722">
        <v>-1.1713849999999999</v>
      </c>
      <c r="AE4722">
        <v>0.10303000000000199</v>
      </c>
      <c r="AF4722">
        <v>0.43009577912560798</v>
      </c>
      <c r="AG4722">
        <v>-1.1713849999999999</v>
      </c>
      <c r="AH4722">
        <v>17.277477780456799</v>
      </c>
      <c r="AI4722">
        <v>93.877427893033698</v>
      </c>
      <c r="AJ4722">
        <v>88.574005713168106</v>
      </c>
      <c r="AK4722">
        <v>17.322481451906</v>
      </c>
      <c r="AL4722">
        <v>78.491932856200606</v>
      </c>
      <c r="AM4722">
        <v>85.207504430666702</v>
      </c>
      <c r="AN4722">
        <v>0.99999997947300301</v>
      </c>
    </row>
    <row r="4723" spans="1:40" x14ac:dyDescent="0.25">
      <c r="A4723" t="str">
        <f>"20190303170632684"</f>
        <v>20190303170632684</v>
      </c>
      <c r="B4723" t="str">
        <f>"1551603992670267"</f>
        <v>1551603992670267</v>
      </c>
      <c r="C4723" t="s">
        <v>40</v>
      </c>
      <c r="D4723">
        <v>5.9123020000000004</v>
      </c>
      <c r="E4723">
        <v>0.48396250000000002</v>
      </c>
      <c r="F4723" t="s">
        <v>43</v>
      </c>
      <c r="G4723">
        <v>-317.46210000000002</v>
      </c>
      <c r="H4723">
        <v>-0.05</v>
      </c>
      <c r="I4723">
        <v>15.98976</v>
      </c>
      <c r="J4723">
        <v>-334.75720000000001</v>
      </c>
      <c r="K4723">
        <v>1.1213770000000001</v>
      </c>
      <c r="L4723">
        <v>15.874790000000001</v>
      </c>
      <c r="M4723">
        <v>0.9994345</v>
      </c>
      <c r="N4723">
        <v>-1.340214E-2</v>
      </c>
      <c r="O4723">
        <v>3.0838150000000002E-2</v>
      </c>
      <c r="P4723">
        <v>0.98117699999999997</v>
      </c>
      <c r="Q4723">
        <v>0.18603839999999999</v>
      </c>
      <c r="R4723">
        <v>-5.1782519999999999E-2</v>
      </c>
      <c r="S4723">
        <v>3.0984189999999998</v>
      </c>
      <c r="T4723">
        <v>-0.20815130000000001</v>
      </c>
      <c r="U4723">
        <v>2.1209720000000001E-2</v>
      </c>
      <c r="V4723">
        <v>8.2007590000000005E-2</v>
      </c>
      <c r="W4723">
        <v>0.1991484</v>
      </c>
      <c r="X4723">
        <v>0.97653190000000001</v>
      </c>
      <c r="Y4723">
        <v>2.388916E-2</v>
      </c>
      <c r="Z4723">
        <v>-2.6178769999999998E-3</v>
      </c>
      <c r="AA4723">
        <v>0.99971120000000002</v>
      </c>
      <c r="AB4723">
        <v>27</v>
      </c>
      <c r="AC4723">
        <v>17.295099999999898</v>
      </c>
      <c r="AD4723">
        <v>-1.1713769999999999</v>
      </c>
      <c r="AE4723">
        <v>0.114970000000001</v>
      </c>
      <c r="AF4723">
        <v>0.41657069678985298</v>
      </c>
      <c r="AG4723">
        <v>-1.1713769999999999</v>
      </c>
      <c r="AH4723">
        <v>17.211469715278199</v>
      </c>
      <c r="AI4723">
        <v>93.892291895393598</v>
      </c>
      <c r="AJ4723">
        <v>88.613535953835694</v>
      </c>
      <c r="AK4723">
        <v>17.2563131920319</v>
      </c>
      <c r="AL4723">
        <v>78.512835102941196</v>
      </c>
      <c r="AM4723">
        <v>85.199655366657197</v>
      </c>
      <c r="AN4723">
        <v>0.99999994087888699</v>
      </c>
    </row>
    <row r="4724" spans="1:40" x14ac:dyDescent="0.25">
      <c r="A4724" t="str">
        <f>"20190303170632695"</f>
        <v>20190303170632695</v>
      </c>
      <c r="B4724" t="str">
        <f>"1551603992689787"</f>
        <v>1551603992689787</v>
      </c>
      <c r="C4724" t="s">
        <v>40</v>
      </c>
      <c r="D4724">
        <v>5.9032280000000004</v>
      </c>
      <c r="E4724">
        <v>0.48370299999999999</v>
      </c>
      <c r="F4724" t="s">
        <v>43</v>
      </c>
      <c r="G4724">
        <v>-317.36739999999998</v>
      </c>
      <c r="H4724">
        <v>-0.05</v>
      </c>
      <c r="I4724">
        <v>16.003270000000001</v>
      </c>
      <c r="J4724">
        <v>-334.61579999999998</v>
      </c>
      <c r="K4724">
        <v>1.1213679999999999</v>
      </c>
      <c r="L4724">
        <v>15.8791799999999</v>
      </c>
      <c r="M4724">
        <v>0.99943419999999905</v>
      </c>
      <c r="N4724">
        <v>-1.3401389999999999E-2</v>
      </c>
      <c r="O4724">
        <v>3.085251E-2</v>
      </c>
      <c r="P4724">
        <v>0.98114849999999998</v>
      </c>
      <c r="Q4724">
        <v>0.18615129999999999</v>
      </c>
      <c r="R4724">
        <v>-5.1917289999999998E-2</v>
      </c>
      <c r="S4724">
        <v>3.0982970000000001</v>
      </c>
      <c r="T4724">
        <v>-0.20870140000000001</v>
      </c>
      <c r="U4724">
        <v>2.2888180000000001E-2</v>
      </c>
      <c r="V4724">
        <v>8.2159389999999999E-2</v>
      </c>
      <c r="W4724">
        <v>0.1992583</v>
      </c>
      <c r="X4724">
        <v>0.97649680000000005</v>
      </c>
      <c r="Y4724">
        <v>2.3362480000000001E-2</v>
      </c>
      <c r="Z4724">
        <v>-2.6050880000000002E-3</v>
      </c>
      <c r="AA4724">
        <v>0.99972369999999999</v>
      </c>
      <c r="AB4724">
        <v>27</v>
      </c>
      <c r="AC4724">
        <v>17.2484</v>
      </c>
      <c r="AD4724">
        <v>-1.171368</v>
      </c>
      <c r="AE4724">
        <v>0.124090000000002</v>
      </c>
      <c r="AF4724">
        <v>0.40629950351008998</v>
      </c>
      <c r="AG4724">
        <v>-1.171368</v>
      </c>
      <c r="AH4724">
        <v>17.1648560431926</v>
      </c>
      <c r="AI4724">
        <v>93.902849045462403</v>
      </c>
      <c r="AJ4724">
        <v>88.644037534116606</v>
      </c>
      <c r="AK4724">
        <v>17.209574813501401</v>
      </c>
      <c r="AL4724">
        <v>78.506410413759198</v>
      </c>
      <c r="AM4724">
        <v>85.190639280599598</v>
      </c>
      <c r="AN4724">
        <v>1.00000001794715</v>
      </c>
    </row>
    <row r="4725" spans="1:40" x14ac:dyDescent="0.25">
      <c r="A4725" t="str">
        <f>"20190303170632717"</f>
        <v>20190303170632717</v>
      </c>
      <c r="B4725" t="str">
        <f>"1551603992709307"</f>
        <v>1551603992709307</v>
      </c>
      <c r="C4725" t="s">
        <v>40</v>
      </c>
      <c r="D4725">
        <v>5.8961769999999998</v>
      </c>
      <c r="E4725">
        <v>0.4835931</v>
      </c>
      <c r="F4725" t="s">
        <v>43</v>
      </c>
      <c r="G4725">
        <v>-317.185</v>
      </c>
      <c r="H4725">
        <v>-0.05</v>
      </c>
      <c r="I4725">
        <v>16.016860000000001</v>
      </c>
      <c r="J4725">
        <v>-334.37369999999999</v>
      </c>
      <c r="K4725">
        <v>1.1213569999999999</v>
      </c>
      <c r="L4725">
        <v>15.88669</v>
      </c>
      <c r="M4725">
        <v>0.99943360000000003</v>
      </c>
      <c r="N4725">
        <v>-1.34001E-2</v>
      </c>
      <c r="O4725">
        <v>3.086858E-2</v>
      </c>
      <c r="P4725">
        <v>0.98127240000000004</v>
      </c>
      <c r="Q4725">
        <v>0.18532100000000001</v>
      </c>
      <c r="R4725">
        <v>-5.2541409999999997E-2</v>
      </c>
      <c r="S4725">
        <v>3.0984189999999998</v>
      </c>
      <c r="T4725">
        <v>-0.20821690000000001</v>
      </c>
      <c r="U4725">
        <v>2.44751E-2</v>
      </c>
      <c r="V4725">
        <v>8.2809179999999996E-2</v>
      </c>
      <c r="W4725">
        <v>0.19842599999999999</v>
      </c>
      <c r="X4725">
        <v>0.97661140000000002</v>
      </c>
      <c r="Y4725">
        <v>2.286871E-2</v>
      </c>
      <c r="Z4725">
        <v>-2.5793389999999999E-3</v>
      </c>
      <c r="AA4725">
        <v>0.99973520000000005</v>
      </c>
      <c r="AB4725">
        <v>27</v>
      </c>
      <c r="AC4725">
        <v>17.188699999999901</v>
      </c>
      <c r="AD4725">
        <v>-1.171357</v>
      </c>
      <c r="AE4725">
        <v>0.13017000000000101</v>
      </c>
      <c r="AF4725">
        <v>0.39867909982272098</v>
      </c>
      <c r="AG4725">
        <v>-1.171357</v>
      </c>
      <c r="AH4725">
        <v>17.105094255191801</v>
      </c>
      <c r="AI4725">
        <v>93.916439049993599</v>
      </c>
      <c r="AJ4725">
        <v>88.664813275917297</v>
      </c>
      <c r="AK4725">
        <v>17.149789261827099</v>
      </c>
      <c r="AL4725">
        <v>78.555069501207598</v>
      </c>
      <c r="AM4725">
        <v>85.153349159995201</v>
      </c>
      <c r="AN4725">
        <v>1.00000003218911</v>
      </c>
    </row>
    <row r="4726" spans="1:40" x14ac:dyDescent="0.25">
      <c r="A4726" t="str">
        <f>"20190303170632728"</f>
        <v>20190303170632728</v>
      </c>
      <c r="B4726" t="str">
        <f>"1551603992720043"</f>
        <v>1551603992720043</v>
      </c>
      <c r="C4726" t="s">
        <v>40</v>
      </c>
      <c r="D4726">
        <v>6.5366960000000001</v>
      </c>
      <c r="E4726">
        <v>0.48349379999999997</v>
      </c>
      <c r="F4726" t="s">
        <v>43</v>
      </c>
      <c r="G4726">
        <v>-317.07920000000001</v>
      </c>
      <c r="H4726">
        <v>-0.05</v>
      </c>
      <c r="I4726">
        <v>16.01634</v>
      </c>
      <c r="J4726">
        <v>-334.23489999999998</v>
      </c>
      <c r="K4726">
        <v>1.1213489999999999</v>
      </c>
      <c r="L4726">
        <v>15.89096</v>
      </c>
      <c r="M4726">
        <v>0.99943349999999997</v>
      </c>
      <c r="N4726">
        <v>-1.3399360000000001E-2</v>
      </c>
      <c r="O4726">
        <v>3.0872779999999999E-2</v>
      </c>
      <c r="P4726">
        <v>0.98129409999999895</v>
      </c>
      <c r="Q4726">
        <v>0.1851758</v>
      </c>
      <c r="R4726">
        <v>-5.265073E-2</v>
      </c>
      <c r="S4726">
        <v>3.0981139999999998</v>
      </c>
      <c r="T4726">
        <v>-0.20983470000000001</v>
      </c>
      <c r="U4726">
        <v>2.3223879999999999E-2</v>
      </c>
      <c r="V4726">
        <v>8.292592E-2</v>
      </c>
      <c r="W4726">
        <v>0.19827919999999999</v>
      </c>
      <c r="X4726">
        <v>0.97663129999999998</v>
      </c>
      <c r="Y4726">
        <v>2.327297E-2</v>
      </c>
      <c r="Z4726">
        <v>-2.6182750000000002E-3</v>
      </c>
      <c r="AA4726">
        <v>0.99972570000000005</v>
      </c>
      <c r="AB4726">
        <v>27</v>
      </c>
      <c r="AC4726">
        <v>17.1556999999999</v>
      </c>
      <c r="AD4726">
        <v>-1.171349</v>
      </c>
      <c r="AE4726">
        <v>0.12537999999999899</v>
      </c>
      <c r="AF4726">
        <v>0.402495222723179</v>
      </c>
      <c r="AG4726">
        <v>-1.171349</v>
      </c>
      <c r="AH4726">
        <v>17.071810465069699</v>
      </c>
      <c r="AI4726">
        <v>93.923999475482404</v>
      </c>
      <c r="AJ4726">
        <v>88.649410612225594</v>
      </c>
      <c r="AK4726">
        <v>17.1166811455778</v>
      </c>
      <c r="AL4726">
        <v>78.563650920684694</v>
      </c>
      <c r="AM4726">
        <v>85.146647645694699</v>
      </c>
      <c r="AN4726">
        <v>1.00000002275008</v>
      </c>
    </row>
    <row r="4727" spans="1:40" x14ac:dyDescent="0.25">
      <c r="A4727" t="str">
        <f>"20190303170632740"</f>
        <v>20190303170632740</v>
      </c>
      <c r="B4727" t="str">
        <f>"1551603992729805"</f>
        <v>1551603992729805</v>
      </c>
      <c r="C4727" t="s">
        <v>40</v>
      </c>
      <c r="D4727">
        <v>5.877084</v>
      </c>
      <c r="E4727">
        <v>0.48334959999999999</v>
      </c>
      <c r="F4727" t="s">
        <v>43</v>
      </c>
      <c r="G4727">
        <v>-316.97620000000001</v>
      </c>
      <c r="H4727">
        <v>-0.05</v>
      </c>
      <c r="I4727">
        <v>16.020320000000002</v>
      </c>
      <c r="J4727">
        <v>-334.08589999999998</v>
      </c>
      <c r="K4727">
        <v>1.1213409999999999</v>
      </c>
      <c r="L4727">
        <v>15.8956</v>
      </c>
      <c r="M4727">
        <v>0.99943349999999997</v>
      </c>
      <c r="N4727">
        <v>-1.339857E-2</v>
      </c>
      <c r="O4727">
        <v>3.0873999999999999E-2</v>
      </c>
      <c r="P4727">
        <v>0.9813693</v>
      </c>
      <c r="Q4727">
        <v>0.18478800000000001</v>
      </c>
      <c r="R4727">
        <v>-5.2610579999999997E-2</v>
      </c>
      <c r="S4727">
        <v>3.0981139999999998</v>
      </c>
      <c r="T4727">
        <v>-0.2102685</v>
      </c>
      <c r="U4727">
        <v>2.3223879999999999E-2</v>
      </c>
      <c r="V4727">
        <v>8.2892370000000007E-2</v>
      </c>
      <c r="W4727">
        <v>0.19789039999999999</v>
      </c>
      <c r="X4727">
        <v>0.97671300000000005</v>
      </c>
      <c r="Y4727">
        <v>2.3273700000000001E-2</v>
      </c>
      <c r="Z4727">
        <v>-2.6243199999999999E-3</v>
      </c>
      <c r="AA4727">
        <v>0.99972570000000005</v>
      </c>
      <c r="AB4727">
        <v>27</v>
      </c>
      <c r="AC4727">
        <v>17.109699999999901</v>
      </c>
      <c r="AD4727">
        <v>-1.171341</v>
      </c>
      <c r="AE4727">
        <v>0.124720000000001</v>
      </c>
      <c r="AF4727">
        <v>0.40174891373197702</v>
      </c>
      <c r="AG4727">
        <v>-1.171341</v>
      </c>
      <c r="AH4727">
        <v>17.025600673886199</v>
      </c>
      <c r="AI4727">
        <v>93.934587684377703</v>
      </c>
      <c r="AJ4727">
        <v>88.648256425171397</v>
      </c>
      <c r="AK4727">
        <v>17.070574689640601</v>
      </c>
      <c r="AL4727">
        <v>78.5863778231476</v>
      </c>
      <c r="AM4727">
        <v>85.149005704229793</v>
      </c>
      <c r="AN4727">
        <v>1.0000000198926799</v>
      </c>
    </row>
    <row r="4728" spans="1:40" x14ac:dyDescent="0.25">
      <c r="A4728" t="str">
        <f>"20190303170632753"</f>
        <v>20190303170632753</v>
      </c>
      <c r="B4728" t="str">
        <f>"1551603992739563"</f>
        <v>1551603992739563</v>
      </c>
      <c r="C4728" t="s">
        <v>40</v>
      </c>
      <c r="D4728">
        <v>5.9344199999999896</v>
      </c>
      <c r="E4728">
        <v>0.48323450000000001</v>
      </c>
      <c r="F4728" t="s">
        <v>43</v>
      </c>
      <c r="G4728">
        <v>-316.92570000000001</v>
      </c>
      <c r="H4728">
        <v>-0.05</v>
      </c>
      <c r="I4728">
        <v>16.028310000000001</v>
      </c>
      <c r="J4728">
        <v>-333.94880000000001</v>
      </c>
      <c r="K4728">
        <v>1.1213360000000001</v>
      </c>
      <c r="L4728">
        <v>15.899839999999999</v>
      </c>
      <c r="M4728">
        <v>0.99943360000000003</v>
      </c>
      <c r="N4728">
        <v>-1.3397839999999999E-2</v>
      </c>
      <c r="O4728">
        <v>3.0872150000000001E-2</v>
      </c>
      <c r="P4728">
        <v>0.9813923</v>
      </c>
      <c r="Q4728">
        <v>0.18457219999999999</v>
      </c>
      <c r="R4728">
        <v>-5.2937699999999997E-2</v>
      </c>
      <c r="S4728">
        <v>3.0980530000000002</v>
      </c>
      <c r="T4728">
        <v>-0.21147009999999999</v>
      </c>
      <c r="U4728">
        <v>2.39563E-2</v>
      </c>
      <c r="V4728">
        <v>8.3219920000000003E-2</v>
      </c>
      <c r="W4728">
        <v>0.19767299999999999</v>
      </c>
      <c r="X4728">
        <v>0.97672919999999996</v>
      </c>
      <c r="Y4728">
        <v>2.3034700000000002E-2</v>
      </c>
      <c r="Z4728">
        <v>-2.6309710000000002E-3</v>
      </c>
      <c r="AA4728">
        <v>0.99973120000000004</v>
      </c>
      <c r="AB4728">
        <v>27</v>
      </c>
      <c r="AC4728">
        <v>17.023099999999999</v>
      </c>
      <c r="AD4728">
        <v>-1.1713359999999999</v>
      </c>
      <c r="AE4728">
        <v>0.128470000000001</v>
      </c>
      <c r="AF4728">
        <v>0.39530656630101602</v>
      </c>
      <c r="AG4728">
        <v>-1.1713359999999999</v>
      </c>
      <c r="AH4728">
        <v>16.938756729503101</v>
      </c>
      <c r="AI4728">
        <v>93.954703375643007</v>
      </c>
      <c r="AJ4728">
        <v>88.663108061120795</v>
      </c>
      <c r="AK4728">
        <v>16.983809197219099</v>
      </c>
      <c r="AL4728">
        <v>78.599085289325402</v>
      </c>
      <c r="AM4728">
        <v>85.130009353276904</v>
      </c>
      <c r="AN4728">
        <v>1.00000005007322</v>
      </c>
    </row>
    <row r="4729" spans="1:40" x14ac:dyDescent="0.25">
      <c r="A4729" t="str">
        <f>"20190303170632764"</f>
        <v>20190303170632764</v>
      </c>
      <c r="B4729" t="str">
        <f>"1551603992749323"</f>
        <v>1551603992749323</v>
      </c>
      <c r="C4729" t="s">
        <v>40</v>
      </c>
      <c r="D4729">
        <v>6.5478809999999896</v>
      </c>
      <c r="E4729">
        <v>0.48326330000000001</v>
      </c>
      <c r="F4729" t="s">
        <v>43</v>
      </c>
      <c r="G4729">
        <v>-316.84469999999999</v>
      </c>
      <c r="H4729">
        <v>-0.05</v>
      </c>
      <c r="I4729">
        <v>16.029050000000002</v>
      </c>
      <c r="J4729">
        <v>-333.81020000000001</v>
      </c>
      <c r="K4729">
        <v>1.1213299999999999</v>
      </c>
      <c r="L4729">
        <v>15.904109999999999</v>
      </c>
      <c r="M4729">
        <v>0.99943369999999998</v>
      </c>
      <c r="N4729">
        <v>-1.33971E-2</v>
      </c>
      <c r="O4729">
        <v>3.0869239999999999E-2</v>
      </c>
      <c r="P4729">
        <v>0.98139010000000004</v>
      </c>
      <c r="Q4729">
        <v>0.18455659999999999</v>
      </c>
      <c r="R4729">
        <v>-5.3034619999999998E-2</v>
      </c>
      <c r="S4729">
        <v>3.0980219999999998</v>
      </c>
      <c r="T4729">
        <v>-0.2121606</v>
      </c>
      <c r="U4729">
        <v>2.3406980000000001E-2</v>
      </c>
      <c r="V4729">
        <v>8.3315630000000002E-2</v>
      </c>
      <c r="W4729">
        <v>0.19765569999999999</v>
      </c>
      <c r="X4729">
        <v>0.9767245</v>
      </c>
      <c r="Y4729">
        <v>2.3207729999999999E-2</v>
      </c>
      <c r="Z4729">
        <v>-2.6473529999999999E-3</v>
      </c>
      <c r="AA4729">
        <v>0.99972709999999998</v>
      </c>
      <c r="AB4729">
        <v>27</v>
      </c>
      <c r="AC4729">
        <v>16.965499999999999</v>
      </c>
      <c r="AD4729">
        <v>-1.17133</v>
      </c>
      <c r="AE4729">
        <v>0.12494</v>
      </c>
      <c r="AF4729">
        <v>0.39698637512615398</v>
      </c>
      <c r="AG4729">
        <v>-1.17133</v>
      </c>
      <c r="AH4729">
        <v>16.880807723325301</v>
      </c>
      <c r="AI4729">
        <v>93.968199018883993</v>
      </c>
      <c r="AJ4729">
        <v>88.652822043849596</v>
      </c>
      <c r="AK4729">
        <v>16.9260533362865</v>
      </c>
      <c r="AL4729">
        <v>78.600095987208206</v>
      </c>
      <c r="AM4729">
        <v>85.124412084169293</v>
      </c>
      <c r="AN4729">
        <v>1.0000000094225101</v>
      </c>
    </row>
    <row r="4730" spans="1:40" x14ac:dyDescent="0.25">
      <c r="A4730" t="str">
        <f>"20190303170632783"</f>
        <v>20190303170632783</v>
      </c>
      <c r="B4730" t="str">
        <f>"1551603992769819"</f>
        <v>1551603992769819</v>
      </c>
      <c r="C4730" t="s">
        <v>40</v>
      </c>
      <c r="D4730">
        <v>6.333933</v>
      </c>
      <c r="E4730">
        <v>0.48331469999999999</v>
      </c>
      <c r="F4730" t="s">
        <v>43</v>
      </c>
      <c r="G4730">
        <v>-316.71629999999999</v>
      </c>
      <c r="H4730">
        <v>-0.05</v>
      </c>
      <c r="I4730">
        <v>16.030079999999899</v>
      </c>
      <c r="J4730">
        <v>-333.57960000000003</v>
      </c>
      <c r="K4730">
        <v>1.121327</v>
      </c>
      <c r="L4730">
        <v>15.91122</v>
      </c>
      <c r="M4730">
        <v>0.99943400000000004</v>
      </c>
      <c r="N4730">
        <v>-1.3395860000000001E-2</v>
      </c>
      <c r="O4730">
        <v>3.0861099999999999E-2</v>
      </c>
      <c r="P4730">
        <v>0.98141389999999995</v>
      </c>
      <c r="Q4730">
        <v>0.1842222</v>
      </c>
      <c r="R4730">
        <v>-5.3750840000000001E-2</v>
      </c>
      <c r="S4730">
        <v>3.0980530000000002</v>
      </c>
      <c r="T4730">
        <v>-0.21228929999999999</v>
      </c>
      <c r="U4730">
        <v>2.2827150000000001E-2</v>
      </c>
      <c r="V4730">
        <v>8.4025459999999996E-2</v>
      </c>
      <c r="W4730">
        <v>0.1973201</v>
      </c>
      <c r="X4730">
        <v>0.97673149999999997</v>
      </c>
      <c r="Y4730">
        <v>2.338612E-2</v>
      </c>
      <c r="Z4730">
        <v>-2.6559639999999998E-3</v>
      </c>
      <c r="AA4730">
        <v>0.99972300000000003</v>
      </c>
      <c r="AB4730">
        <v>27</v>
      </c>
      <c r="AC4730">
        <v>16.863299999999999</v>
      </c>
      <c r="AD4730">
        <v>-1.171327</v>
      </c>
      <c r="AE4730">
        <v>0.118859999999996</v>
      </c>
      <c r="AF4730">
        <v>0.39973475921165502</v>
      </c>
      <c r="AG4730">
        <v>-1.171327</v>
      </c>
      <c r="AH4730">
        <v>16.777989852118999</v>
      </c>
      <c r="AI4730">
        <v>93.992399114779005</v>
      </c>
      <c r="AJ4730">
        <v>88.635189148405701</v>
      </c>
      <c r="AK4730">
        <v>16.8235768579829</v>
      </c>
      <c r="AL4730">
        <v>78.619710203934403</v>
      </c>
      <c r="AM4730">
        <v>85.083111050183405</v>
      </c>
      <c r="AN4730">
        <v>0.99999996144223502</v>
      </c>
    </row>
    <row r="4731" spans="1:40" x14ac:dyDescent="0.25">
      <c r="A4731" t="str">
        <f>"20190303170632795"</f>
        <v>20190303170632795</v>
      </c>
      <c r="B4731" t="str">
        <f>"1551603992789340"</f>
        <v>1551603992789340</v>
      </c>
      <c r="C4731" t="s">
        <v>40</v>
      </c>
      <c r="D4731">
        <v>5.9676489999999998</v>
      </c>
      <c r="E4731">
        <v>0.52643240000000002</v>
      </c>
      <c r="F4731" t="s">
        <v>43</v>
      </c>
      <c r="G4731">
        <v>-316.55439999999999</v>
      </c>
      <c r="H4731">
        <v>-0.05</v>
      </c>
      <c r="I4731">
        <v>16.02544</v>
      </c>
      <c r="J4731">
        <v>-333.44069999999999</v>
      </c>
      <c r="K4731">
        <v>1.1213249999999999</v>
      </c>
      <c r="L4731">
        <v>15.91553</v>
      </c>
      <c r="M4731">
        <v>0.99943409999999999</v>
      </c>
      <c r="N4731">
        <v>-1.33951E-2</v>
      </c>
      <c r="O4731">
        <v>3.0855420000000001E-2</v>
      </c>
      <c r="P4731">
        <v>0.98143230000000004</v>
      </c>
      <c r="Q4731">
        <v>0.18392710000000001</v>
      </c>
      <c r="R4731">
        <v>-5.4418469999999997E-2</v>
      </c>
      <c r="S4731">
        <v>3.0979610000000002</v>
      </c>
      <c r="T4731">
        <v>-0.21313799999999999</v>
      </c>
      <c r="U4731">
        <v>2.0782470000000001E-2</v>
      </c>
      <c r="V4731">
        <v>8.4688349999999996E-2</v>
      </c>
      <c r="W4731">
        <v>0.1970237</v>
      </c>
      <c r="X4731">
        <v>0.97673410000000005</v>
      </c>
      <c r="Y4731">
        <v>2.403723E-2</v>
      </c>
      <c r="Z4731">
        <v>-2.6941209999999998E-3</v>
      </c>
      <c r="AA4731">
        <v>0.99970749999999997</v>
      </c>
      <c r="AB4731">
        <v>27</v>
      </c>
      <c r="AC4731">
        <v>16.886299999999999</v>
      </c>
      <c r="AD4731">
        <v>-1.1713249999999999</v>
      </c>
      <c r="AE4731">
        <v>0.10991000000000101</v>
      </c>
      <c r="AF4731">
        <v>0.40925390393663302</v>
      </c>
      <c r="AG4731">
        <v>-1.1713249999999999</v>
      </c>
      <c r="AH4731">
        <v>16.800815215838998</v>
      </c>
      <c r="AI4731">
        <v>93.986934694447797</v>
      </c>
      <c r="AJ4731">
        <v>88.604598353244398</v>
      </c>
      <c r="AK4731">
        <v>16.846568877082301</v>
      </c>
      <c r="AL4731">
        <v>78.637032930428404</v>
      </c>
      <c r="AM4731">
        <v>85.044526475092297</v>
      </c>
      <c r="AN4731">
        <v>0.99999997854511102</v>
      </c>
    </row>
    <row r="4732" spans="1:40" x14ac:dyDescent="0.25">
      <c r="A4732" t="str">
        <f>"20190303170632807"</f>
        <v>20190303170632807</v>
      </c>
      <c r="B4732" t="str">
        <f>"1551603992800075"</f>
        <v>1551603992800075</v>
      </c>
      <c r="C4732" t="s">
        <v>40</v>
      </c>
      <c r="D4732">
        <v>5.7692639999999997</v>
      </c>
      <c r="E4732">
        <v>0.5350338</v>
      </c>
      <c r="F4732" t="s">
        <v>43</v>
      </c>
      <c r="G4732">
        <v>-316.0419</v>
      </c>
      <c r="H4732">
        <v>-0.05</v>
      </c>
      <c r="I4732">
        <v>14.07307</v>
      </c>
      <c r="J4732">
        <v>-333.29270000000002</v>
      </c>
      <c r="K4732">
        <v>1.1213200000000001</v>
      </c>
      <c r="L4732">
        <v>15.920070000000001</v>
      </c>
      <c r="M4732">
        <v>0.99943439999999995</v>
      </c>
      <c r="N4732">
        <v>-1.3394299999999901E-2</v>
      </c>
      <c r="O4732">
        <v>3.0848799999999999E-2</v>
      </c>
      <c r="P4732">
        <v>0.9814737</v>
      </c>
      <c r="Q4732">
        <v>0.18359210000000001</v>
      </c>
      <c r="R4732">
        <v>-5.480521E-2</v>
      </c>
      <c r="S4732">
        <v>3.077515</v>
      </c>
      <c r="T4732">
        <v>-0.20718529999999999</v>
      </c>
      <c r="U4732">
        <v>-0.3258972</v>
      </c>
      <c r="V4732">
        <v>8.5070179999999995E-2</v>
      </c>
      <c r="W4732">
        <v>0.196688</v>
      </c>
      <c r="X4732">
        <v>0.97676859999999999</v>
      </c>
      <c r="Y4732">
        <v>0.13552829999999999</v>
      </c>
      <c r="Z4732">
        <v>-7.1133809999999898E-3</v>
      </c>
      <c r="AA4732">
        <v>0.99074790000000001</v>
      </c>
      <c r="AB4732">
        <v>27</v>
      </c>
      <c r="AC4732">
        <v>17.250800000000002</v>
      </c>
      <c r="AD4732">
        <v>-1.1713199999999999</v>
      </c>
      <c r="AE4732">
        <v>-1.84699999999999</v>
      </c>
      <c r="AF4732">
        <v>2.36754349672352</v>
      </c>
      <c r="AG4732">
        <v>-1.1713199999999999</v>
      </c>
      <c r="AH4732">
        <v>17.107627361014199</v>
      </c>
      <c r="AI4732">
        <v>93.879934123538405</v>
      </c>
      <c r="AJ4732">
        <v>82.120820209826107</v>
      </c>
      <c r="AK4732">
        <v>17.3103485428399</v>
      </c>
      <c r="AL4732">
        <v>78.656651264666195</v>
      </c>
      <c r="AM4732">
        <v>85.022470921873605</v>
      </c>
      <c r="AN4732">
        <v>1.00000000140759</v>
      </c>
    </row>
    <row r="4733" spans="1:40" x14ac:dyDescent="0.25">
      <c r="A4733" t="str">
        <f>"20190303170632822"</f>
        <v>20190303170632822</v>
      </c>
      <c r="B4733" t="str">
        <f>"1551603992809835"</f>
        <v>1551603992809835</v>
      </c>
      <c r="C4733" t="s">
        <v>40</v>
      </c>
      <c r="D4733">
        <v>5.7255640000000003</v>
      </c>
      <c r="E4733">
        <v>0.53973149999999903</v>
      </c>
      <c r="F4733" t="s">
        <v>43</v>
      </c>
      <c r="G4733">
        <v>-314.7482</v>
      </c>
      <c r="H4733">
        <v>-0.05</v>
      </c>
      <c r="I4733">
        <v>13.52399</v>
      </c>
      <c r="J4733">
        <v>-333.12119999999999</v>
      </c>
      <c r="K4733">
        <v>1.1213169999999999</v>
      </c>
      <c r="L4733">
        <v>15.92535</v>
      </c>
      <c r="M4733">
        <v>0.99943459999999995</v>
      </c>
      <c r="N4733">
        <v>-1.339339E-2</v>
      </c>
      <c r="O4733">
        <v>3.083996E-2</v>
      </c>
      <c r="P4733">
        <v>0.98157570000000005</v>
      </c>
      <c r="Q4733">
        <v>0.18303259999999999</v>
      </c>
      <c r="R4733">
        <v>-5.4852749999999999E-2</v>
      </c>
      <c r="S4733">
        <v>3.0707089999999999</v>
      </c>
      <c r="T4733">
        <v>-0.19395380000000001</v>
      </c>
      <c r="U4733">
        <v>-0.39675899999999997</v>
      </c>
      <c r="V4733">
        <v>8.5112599999999997E-2</v>
      </c>
      <c r="W4733">
        <v>0.19612879999999999</v>
      </c>
      <c r="X4733">
        <v>0.97687729999999995</v>
      </c>
      <c r="Y4733">
        <v>0.15825510000000001</v>
      </c>
      <c r="Z4733">
        <v>-7.5656009999999999E-3</v>
      </c>
      <c r="AA4733">
        <v>0.98736930000000001</v>
      </c>
      <c r="AB4733">
        <v>27</v>
      </c>
      <c r="AC4733">
        <v>18.372999999999902</v>
      </c>
      <c r="AD4733">
        <v>-1.1713169999999999</v>
      </c>
      <c r="AE4733">
        <v>-2.4013599999999999</v>
      </c>
      <c r="AF4733">
        <v>2.9550822644293202</v>
      </c>
      <c r="AG4733">
        <v>-1.1713169999999999</v>
      </c>
      <c r="AH4733">
        <v>18.217396659159199</v>
      </c>
      <c r="AI4733">
        <v>93.631522938164906</v>
      </c>
      <c r="AJ4733">
        <v>80.786185272803806</v>
      </c>
      <c r="AK4733">
        <v>18.4926481538253</v>
      </c>
      <c r="AL4733">
        <v>78.689327053638394</v>
      </c>
      <c r="AM4733">
        <v>85.020552722778604</v>
      </c>
      <c r="AN4733">
        <v>0.99999996006174396</v>
      </c>
    </row>
    <row r="4734" spans="1:40" x14ac:dyDescent="0.25">
      <c r="A4734" t="str">
        <f>"20190303170632840"</f>
        <v>20190303170632840</v>
      </c>
      <c r="B4734" t="str">
        <f>"1551603992829355"</f>
        <v>1551603992829355</v>
      </c>
      <c r="C4734" t="s">
        <v>40</v>
      </c>
      <c r="D4734">
        <v>5.7252239999999999</v>
      </c>
      <c r="E4734">
        <v>0.54494560000000003</v>
      </c>
      <c r="F4734" t="s">
        <v>43</v>
      </c>
      <c r="G4734">
        <v>-313.8186</v>
      </c>
      <c r="H4734">
        <v>-0.05</v>
      </c>
      <c r="I4734">
        <v>13.18526</v>
      </c>
      <c r="J4734">
        <v>-332.90800000000002</v>
      </c>
      <c r="K4734">
        <v>1.121305</v>
      </c>
      <c r="L4734">
        <v>15.93192</v>
      </c>
      <c r="M4734">
        <v>0.99943510000000002</v>
      </c>
      <c r="N4734">
        <v>-1.339222E-2</v>
      </c>
      <c r="O4734">
        <v>3.082182E-2</v>
      </c>
      <c r="P4734">
        <v>0.98176719999999895</v>
      </c>
      <c r="Q4734">
        <v>0.18210019999999999</v>
      </c>
      <c r="R4734">
        <v>-5.4521090000000001E-2</v>
      </c>
      <c r="S4734">
        <v>3.066681</v>
      </c>
      <c r="T4734">
        <v>-0.18609149999999999</v>
      </c>
      <c r="U4734">
        <v>-0.43533329999999998</v>
      </c>
      <c r="V4734">
        <v>8.4771920000000001E-2</v>
      </c>
      <c r="W4734">
        <v>0.19519690000000001</v>
      </c>
      <c r="X4734">
        <v>0.97709360000000001</v>
      </c>
      <c r="Y4734">
        <v>0.17058779999999901</v>
      </c>
      <c r="Z4734">
        <v>-7.7444230000000003E-3</v>
      </c>
      <c r="AA4734">
        <v>0.98531199999999997</v>
      </c>
      <c r="AB4734">
        <v>27</v>
      </c>
      <c r="AC4734">
        <v>19.089400000000001</v>
      </c>
      <c r="AD4734">
        <v>-1.17130499999999</v>
      </c>
      <c r="AE4734">
        <v>-2.7466599999999999</v>
      </c>
      <c r="AF4734">
        <v>3.32152604630038</v>
      </c>
      <c r="AG4734">
        <v>-1.17130499999999</v>
      </c>
      <c r="AH4734">
        <v>18.9258551909505</v>
      </c>
      <c r="AI4734">
        <v>93.488290568143199</v>
      </c>
      <c r="AJ4734">
        <v>80.045847282060393</v>
      </c>
      <c r="AK4734">
        <v>19.2507788254945</v>
      </c>
      <c r="AL4734">
        <v>78.743773895958896</v>
      </c>
      <c r="AM4734">
        <v>85.041476773197303</v>
      </c>
      <c r="AN4734">
        <v>1.0000000056755201</v>
      </c>
    </row>
    <row r="4735" spans="1:40" x14ac:dyDescent="0.25">
      <c r="A4735" t="str">
        <f>"20190303170632854"</f>
        <v>20190303170632854</v>
      </c>
      <c r="B4735" t="str">
        <f>"1551603992849852"</f>
        <v>1551603992849852</v>
      </c>
      <c r="C4735" t="s">
        <v>40</v>
      </c>
      <c r="D4735">
        <v>5.7054369999999999</v>
      </c>
      <c r="E4735">
        <v>0.54774149999999999</v>
      </c>
      <c r="F4735" t="s">
        <v>43</v>
      </c>
      <c r="G4735">
        <v>-312.80099999999999</v>
      </c>
      <c r="H4735">
        <v>-0.05</v>
      </c>
      <c r="I4735">
        <v>12.797029999999999</v>
      </c>
      <c r="J4735">
        <v>-332.73939999999999</v>
      </c>
      <c r="K4735">
        <v>1.1212959999999901</v>
      </c>
      <c r="L4735">
        <v>15.9371299999999</v>
      </c>
      <c r="M4735">
        <v>0.99943599999999999</v>
      </c>
      <c r="N4735">
        <v>-1.339132E-2</v>
      </c>
      <c r="O4735">
        <v>3.0797979999999999E-2</v>
      </c>
      <c r="P4735">
        <v>0.98174039999999996</v>
      </c>
      <c r="Q4735">
        <v>0.1822309</v>
      </c>
      <c r="R4735">
        <v>-5.4568749999999999E-2</v>
      </c>
      <c r="S4735">
        <v>3.0623170000000002</v>
      </c>
      <c r="T4735">
        <v>-0.17839099999999999</v>
      </c>
      <c r="U4735">
        <v>-0.47744750000000002</v>
      </c>
      <c r="V4735">
        <v>8.4798910000000005E-2</v>
      </c>
      <c r="W4735">
        <v>0.195325</v>
      </c>
      <c r="X4735">
        <v>0.97706559999999998</v>
      </c>
      <c r="Y4735">
        <v>0.18400279999999999</v>
      </c>
      <c r="Z4735">
        <v>-7.9367169999999994E-3</v>
      </c>
      <c r="AA4735">
        <v>0.98289360000000003</v>
      </c>
      <c r="AB4735">
        <v>27</v>
      </c>
      <c r="AC4735">
        <v>19.938400000000001</v>
      </c>
      <c r="AD4735">
        <v>-1.1712959999999999</v>
      </c>
      <c r="AE4735">
        <v>-3.1400999999999901</v>
      </c>
      <c r="AF4735">
        <v>3.7401325924543101</v>
      </c>
      <c r="AG4735">
        <v>-1.1712959999999999</v>
      </c>
      <c r="AH4735">
        <v>19.7656611390907</v>
      </c>
      <c r="AI4735">
        <v>93.332335681724899</v>
      </c>
      <c r="AJ4735">
        <v>79.284965030249694</v>
      </c>
      <c r="AK4735">
        <v>20.150481046221099</v>
      </c>
      <c r="AL4735">
        <v>78.736289606717506</v>
      </c>
      <c r="AM4735">
        <v>85.039764501210797</v>
      </c>
      <c r="AN4735">
        <v>0.99999994873277198</v>
      </c>
    </row>
    <row r="4736" spans="1:40" x14ac:dyDescent="0.25">
      <c r="A4736" t="str">
        <f>"20190303170632872"</f>
        <v>20190303170632872</v>
      </c>
      <c r="B4736" t="str">
        <f>"1551603992859611"</f>
        <v>1551603992859611</v>
      </c>
      <c r="C4736" t="s">
        <v>40</v>
      </c>
      <c r="D4736">
        <v>5.7231329999999998</v>
      </c>
      <c r="E4736">
        <v>0.54857800000000001</v>
      </c>
      <c r="F4736" t="s">
        <v>43</v>
      </c>
      <c r="G4736">
        <v>-311.95030000000003</v>
      </c>
      <c r="H4736">
        <v>-0.05</v>
      </c>
      <c r="I4736">
        <v>12.53642</v>
      </c>
      <c r="J4736">
        <v>-332.53160000000003</v>
      </c>
      <c r="K4736">
        <v>1.1212839999999999</v>
      </c>
      <c r="L4736">
        <v>15.94351</v>
      </c>
      <c r="M4736">
        <v>0.99943729999999997</v>
      </c>
      <c r="N4736">
        <v>-1.339022E-2</v>
      </c>
      <c r="O4736">
        <v>3.075576E-2</v>
      </c>
      <c r="P4736">
        <v>0.98162570000000005</v>
      </c>
      <c r="Q4736">
        <v>0.18269769999999999</v>
      </c>
      <c r="R4736">
        <v>-5.5070809999999998E-2</v>
      </c>
      <c r="S4736">
        <v>3.0599370000000001</v>
      </c>
      <c r="T4736">
        <v>-0.1724019</v>
      </c>
      <c r="U4736">
        <v>-0.50054929999999997</v>
      </c>
      <c r="V4736">
        <v>8.5262030000000003E-2</v>
      </c>
      <c r="W4736">
        <v>0.19578609999999999</v>
      </c>
      <c r="X4736">
        <v>0.9769331</v>
      </c>
      <c r="Y4736">
        <v>0.1913193</v>
      </c>
      <c r="Z4736">
        <v>-7.9527799999999996E-3</v>
      </c>
      <c r="AA4736">
        <v>0.98149560000000002</v>
      </c>
      <c r="AB4736">
        <v>27</v>
      </c>
      <c r="AC4736">
        <v>20.581299999999999</v>
      </c>
      <c r="AD4736">
        <v>-1.171284</v>
      </c>
      <c r="AE4736">
        <v>-3.4070900000000002</v>
      </c>
      <c r="AF4736">
        <v>4.0258372210779498</v>
      </c>
      <c r="AG4736">
        <v>-1.171284</v>
      </c>
      <c r="AH4736">
        <v>20.402448729610299</v>
      </c>
      <c r="AI4736">
        <v>93.223662831494394</v>
      </c>
      <c r="AJ4736">
        <v>78.837719768260399</v>
      </c>
      <c r="AK4736">
        <v>20.828806631769599</v>
      </c>
      <c r="AL4736">
        <v>78.709351511698998</v>
      </c>
      <c r="AM4736">
        <v>85.012137977372802</v>
      </c>
      <c r="AN4736">
        <v>1.00000004629426</v>
      </c>
    </row>
    <row r="4737" spans="1:40" x14ac:dyDescent="0.25">
      <c r="A4737" t="str">
        <f>"20190303170632884"</f>
        <v>20190303170632884</v>
      </c>
      <c r="B4737" t="str">
        <f>"1551603992880108"</f>
        <v>1551603992880108</v>
      </c>
      <c r="C4737" t="s">
        <v>40</v>
      </c>
      <c r="D4737">
        <v>5.6634820000000001</v>
      </c>
      <c r="E4737">
        <v>0.54997499999999999</v>
      </c>
      <c r="F4737" t="s">
        <v>43</v>
      </c>
      <c r="G4737">
        <v>-311.57429999999999</v>
      </c>
      <c r="H4737">
        <v>-0.05</v>
      </c>
      <c r="I4737">
        <v>12.461410000000001</v>
      </c>
      <c r="J4737">
        <v>-332.38729999999998</v>
      </c>
      <c r="K4737">
        <v>1.1212740000000001</v>
      </c>
      <c r="L4737">
        <v>15.94788</v>
      </c>
      <c r="M4737">
        <v>0.99943839999999995</v>
      </c>
      <c r="N4737">
        <v>-1.3389450000000001E-2</v>
      </c>
      <c r="O4737">
        <v>3.0719050000000001E-2</v>
      </c>
      <c r="P4737">
        <v>0.98163029999999996</v>
      </c>
      <c r="Q4737">
        <v>0.1825688</v>
      </c>
      <c r="R4737">
        <v>-5.5411460000000003E-2</v>
      </c>
      <c r="S4737">
        <v>3.059418</v>
      </c>
      <c r="T4737">
        <v>-0.17098840000000001</v>
      </c>
      <c r="U4737">
        <v>-0.50833130000000004</v>
      </c>
      <c r="V4737">
        <v>8.5572010000000004E-2</v>
      </c>
      <c r="W4737">
        <v>0.1956542</v>
      </c>
      <c r="X4737">
        <v>0.97693240000000003</v>
      </c>
      <c r="Y4737">
        <v>0.1937411</v>
      </c>
      <c r="Z4737">
        <v>-7.9768819999999994E-3</v>
      </c>
      <c r="AA4737">
        <v>0.98102029999999996</v>
      </c>
      <c r="AB4737">
        <v>26</v>
      </c>
      <c r="AC4737">
        <v>20.812999999999899</v>
      </c>
      <c r="AD4737">
        <v>-1.1712739999999999</v>
      </c>
      <c r="AE4737">
        <v>-3.48646999999999</v>
      </c>
      <c r="AF4737">
        <v>4.1115712692768396</v>
      </c>
      <c r="AG4737">
        <v>-1.1712739999999999</v>
      </c>
      <c r="AH4737">
        <v>20.632505538395701</v>
      </c>
      <c r="AI4737">
        <v>93.186579241411593</v>
      </c>
      <c r="AJ4737">
        <v>78.7299381284584</v>
      </c>
      <c r="AK4737">
        <v>21.070766143577899</v>
      </c>
      <c r="AL4737">
        <v>78.717057618308999</v>
      </c>
      <c r="AM4737">
        <v>84.994092434291304</v>
      </c>
      <c r="AN4737">
        <v>1.00000002452141</v>
      </c>
    </row>
    <row r="4738" spans="1:40" x14ac:dyDescent="0.25">
      <c r="A4738" t="str">
        <f>"20190303170632894"</f>
        <v>20190303170632894</v>
      </c>
      <c r="B4738" t="str">
        <f>"1551603992889869"</f>
        <v>1551603992889869</v>
      </c>
      <c r="C4738" t="s">
        <v>40</v>
      </c>
      <c r="D4738">
        <v>5.6859710000000003</v>
      </c>
      <c r="E4738">
        <v>0.55043430000000004</v>
      </c>
      <c r="F4738" t="s">
        <v>43</v>
      </c>
      <c r="G4738">
        <v>-311.33249999999998</v>
      </c>
      <c r="H4738">
        <v>-0.05</v>
      </c>
      <c r="I4738">
        <v>12.36565</v>
      </c>
      <c r="J4738">
        <v>-332.25790000000001</v>
      </c>
      <c r="K4738">
        <v>1.121265</v>
      </c>
      <c r="L4738">
        <v>15.95181</v>
      </c>
      <c r="M4738">
        <v>0.99943990000000005</v>
      </c>
      <c r="N4738">
        <v>-1.338876E-2</v>
      </c>
      <c r="O4738">
        <v>3.0673570000000001E-2</v>
      </c>
      <c r="P4738">
        <v>0.98164059999999997</v>
      </c>
      <c r="Q4738">
        <v>0.18228130000000001</v>
      </c>
      <c r="R4738">
        <v>-5.6173290000000001E-2</v>
      </c>
      <c r="S4738">
        <v>3.058411</v>
      </c>
      <c r="T4738">
        <v>-0.1701386</v>
      </c>
      <c r="U4738">
        <v>-0.52035520000000002</v>
      </c>
      <c r="V4738">
        <v>8.6294609999999994E-2</v>
      </c>
      <c r="W4738">
        <v>0.19536329999999999</v>
      </c>
      <c r="X4738">
        <v>0.97692699999999999</v>
      </c>
      <c r="Y4738">
        <v>0.19749459999999999</v>
      </c>
      <c r="Z4738">
        <v>-8.0692990000000003E-3</v>
      </c>
      <c r="AA4738">
        <v>0.98027070000000005</v>
      </c>
      <c r="AB4738">
        <v>26</v>
      </c>
      <c r="AC4738">
        <v>20.9254</v>
      </c>
      <c r="AD4738">
        <v>-1.171265</v>
      </c>
      <c r="AE4738">
        <v>-3.58616</v>
      </c>
      <c r="AF4738">
        <v>4.2135619307410099</v>
      </c>
      <c r="AG4738">
        <v>-1.171265</v>
      </c>
      <c r="AH4738">
        <v>20.742409619311299</v>
      </c>
      <c r="AI4738">
        <v>93.167344316312395</v>
      </c>
      <c r="AJ4738">
        <v>78.5173189807049</v>
      </c>
      <c r="AK4738">
        <v>21.1984320802203</v>
      </c>
      <c r="AL4738">
        <v>78.734052325908195</v>
      </c>
      <c r="AM4738">
        <v>84.952010542242903</v>
      </c>
      <c r="AN4738">
        <v>0.99999997101547</v>
      </c>
    </row>
    <row r="4739" spans="1:40" x14ac:dyDescent="0.25">
      <c r="A4739" t="str">
        <f>"20190303170632907"</f>
        <v>20190303170632907</v>
      </c>
      <c r="B4739" t="str">
        <f>"1551603992899627"</f>
        <v>1551603992899627</v>
      </c>
      <c r="C4739" t="s">
        <v>40</v>
      </c>
      <c r="D4739">
        <v>5.7736080000000003</v>
      </c>
      <c r="E4739">
        <v>0.55122819999999995</v>
      </c>
      <c r="F4739" t="s">
        <v>43</v>
      </c>
      <c r="G4739">
        <v>-311.27809999999999</v>
      </c>
      <c r="H4739">
        <v>-0.05</v>
      </c>
      <c r="I4739">
        <v>12.340009999999999</v>
      </c>
      <c r="J4739">
        <v>-332.10599999999999</v>
      </c>
      <c r="K4739">
        <v>1.1212530000000001</v>
      </c>
      <c r="L4739">
        <v>15.95642</v>
      </c>
      <c r="M4739">
        <v>0.99944160000000004</v>
      </c>
      <c r="N4739">
        <v>-1.3387960000000001E-2</v>
      </c>
      <c r="O4739">
        <v>3.0613439999999999E-2</v>
      </c>
      <c r="P4739">
        <v>0.98163999999999996</v>
      </c>
      <c r="Q4739">
        <v>0.18217510000000001</v>
      </c>
      <c r="R4739">
        <v>-5.6524159999999997E-2</v>
      </c>
      <c r="S4739">
        <v>3.0576780000000001</v>
      </c>
      <c r="T4739">
        <v>-0.170705</v>
      </c>
      <c r="U4739">
        <v>-0.52639769999999997</v>
      </c>
      <c r="V4739">
        <v>8.6592939999999993E-2</v>
      </c>
      <c r="W4739">
        <v>0.1952535</v>
      </c>
      <c r="X4739">
        <v>0.97692259999999997</v>
      </c>
      <c r="Y4739">
        <v>0.19935020000000001</v>
      </c>
      <c r="Z4739">
        <v>-8.1551780000000008E-3</v>
      </c>
      <c r="AA4739">
        <v>0.97989440000000005</v>
      </c>
      <c r="AB4739">
        <v>26</v>
      </c>
      <c r="AC4739">
        <v>20.8279</v>
      </c>
      <c r="AD4739">
        <v>-1.1712530000000001</v>
      </c>
      <c r="AE4739">
        <v>-3.6164099999999899</v>
      </c>
      <c r="AF4739">
        <v>4.2393714785461203</v>
      </c>
      <c r="AG4739">
        <v>-1.1712530000000001</v>
      </c>
      <c r="AH4739">
        <v>20.644042342842301</v>
      </c>
      <c r="AI4739">
        <v>93.180992090847795</v>
      </c>
      <c r="AJ4739">
        <v>78.395317733939905</v>
      </c>
      <c r="AK4739">
        <v>21.107358630965301</v>
      </c>
      <c r="AL4739">
        <v>78.740467454366595</v>
      </c>
      <c r="AM4739">
        <v>84.934627024001102</v>
      </c>
      <c r="AN4739">
        <v>1.0000000164554199</v>
      </c>
    </row>
    <row r="4740" spans="1:40" x14ac:dyDescent="0.25">
      <c r="A4740" t="str">
        <f>"20190303170632919"</f>
        <v>20190303170632919</v>
      </c>
      <c r="B4740" t="str">
        <f>"1551603992909387"</f>
        <v>1551603992909387</v>
      </c>
      <c r="C4740" t="s">
        <v>40</v>
      </c>
      <c r="D4740">
        <v>5.6680539999999997</v>
      </c>
      <c r="E4740">
        <v>0.5519191</v>
      </c>
      <c r="F4740" t="s">
        <v>43</v>
      </c>
      <c r="G4740">
        <v>-311.31139999999999</v>
      </c>
      <c r="H4740">
        <v>-0.05</v>
      </c>
      <c r="I4740">
        <v>12.32419</v>
      </c>
      <c r="J4740">
        <v>-331.96769999999998</v>
      </c>
      <c r="K4740">
        <v>1.121238</v>
      </c>
      <c r="L4740">
        <v>15.960599999999999</v>
      </c>
      <c r="M4740">
        <v>0.99944379999999999</v>
      </c>
      <c r="N4740">
        <v>-1.338724E-2</v>
      </c>
      <c r="O4740">
        <v>3.0547850000000001E-2</v>
      </c>
      <c r="P4740">
        <v>0.98168690000000003</v>
      </c>
      <c r="Q4740">
        <v>0.1818188</v>
      </c>
      <c r="R4740">
        <v>-5.6859519999999997E-2</v>
      </c>
      <c r="S4740">
        <v>3.057312</v>
      </c>
      <c r="T4740">
        <v>-0.17220269999999999</v>
      </c>
      <c r="U4740">
        <v>-0.53402709999999998</v>
      </c>
      <c r="V4740">
        <v>8.6871260000000006E-2</v>
      </c>
      <c r="W4740">
        <v>0.19489380000000001</v>
      </c>
      <c r="X4740">
        <v>0.97696970000000005</v>
      </c>
      <c r="Y4740">
        <v>0.20166799999999999</v>
      </c>
      <c r="Z4740">
        <v>-8.2956599999999998E-3</v>
      </c>
      <c r="AA4740">
        <v>0.97941880000000003</v>
      </c>
      <c r="AB4740">
        <v>26</v>
      </c>
      <c r="AC4740">
        <v>20.656299999999899</v>
      </c>
      <c r="AD4740">
        <v>-1.171238</v>
      </c>
      <c r="AE4740">
        <v>-3.6364100000000001</v>
      </c>
      <c r="AF4740">
        <v>4.2525136253867499</v>
      </c>
      <c r="AG4740">
        <v>-1.171238</v>
      </c>
      <c r="AH4740">
        <v>20.471724856202499</v>
      </c>
      <c r="AI4740">
        <v>93.2061681603995</v>
      </c>
      <c r="AJ4740">
        <v>78.265054235067794</v>
      </c>
      <c r="AK4740">
        <v>20.9415183111159</v>
      </c>
      <c r="AL4740">
        <v>78.761480269228599</v>
      </c>
      <c r="AM4740">
        <v>84.918675120353598</v>
      </c>
      <c r="AN4740">
        <v>1.00000000190525</v>
      </c>
    </row>
    <row r="4741" spans="1:40" x14ac:dyDescent="0.25">
      <c r="A4741" t="str">
        <f>"20190303170632931"</f>
        <v>20190303170632931</v>
      </c>
      <c r="B4741" t="str">
        <f>"1551603992920124"</f>
        <v>1551603992920124</v>
      </c>
      <c r="C4741" t="s">
        <v>40</v>
      </c>
      <c r="D4741">
        <v>5.6980700000000004</v>
      </c>
      <c r="E4741">
        <v>0.55265769999999903</v>
      </c>
      <c r="F4741" t="s">
        <v>43</v>
      </c>
      <c r="G4741">
        <v>-311.38639999999998</v>
      </c>
      <c r="H4741">
        <v>-0.05</v>
      </c>
      <c r="I4741">
        <v>12.318659999999999</v>
      </c>
      <c r="J4741">
        <v>-331.83600000000001</v>
      </c>
      <c r="K4741">
        <v>1.1212230000000001</v>
      </c>
      <c r="L4741">
        <v>15.96454</v>
      </c>
      <c r="M4741">
        <v>0.99944599999999995</v>
      </c>
      <c r="N4741">
        <v>-1.338656E-2</v>
      </c>
      <c r="O4741">
        <v>3.047211E-2</v>
      </c>
      <c r="P4741">
        <v>0.98173410000000005</v>
      </c>
      <c r="Q4741">
        <v>0.18147369999999999</v>
      </c>
      <c r="R4741">
        <v>-5.7144340000000002E-2</v>
      </c>
      <c r="S4741">
        <v>3.056854</v>
      </c>
      <c r="T4741">
        <v>-0.1739599</v>
      </c>
      <c r="U4741">
        <v>-0.54092410000000002</v>
      </c>
      <c r="V4741">
        <v>8.70895E-2</v>
      </c>
      <c r="W4741">
        <v>0.19454579999999999</v>
      </c>
      <c r="X4741">
        <v>0.97701959999999999</v>
      </c>
      <c r="Y4741">
        <v>0.20374990000000001</v>
      </c>
      <c r="Z4741">
        <v>-8.4399539999999995E-3</v>
      </c>
      <c r="AA4741">
        <v>0.97898660000000004</v>
      </c>
      <c r="AB4741">
        <v>26</v>
      </c>
      <c r="AC4741">
        <v>20.4496</v>
      </c>
      <c r="AD4741">
        <v>-1.1712229999999999</v>
      </c>
      <c r="AE4741">
        <v>-3.6458799999999898</v>
      </c>
      <c r="AF4741">
        <v>4.2538609576656601</v>
      </c>
      <c r="AG4741">
        <v>-1.1712229999999999</v>
      </c>
      <c r="AH4741">
        <v>20.2645688236464</v>
      </c>
      <c r="AI4741">
        <v>93.237416684193093</v>
      </c>
      <c r="AJ4741">
        <v>78.144820423700807</v>
      </c>
      <c r="AK4741">
        <v>20.739330894973001</v>
      </c>
      <c r="AL4741">
        <v>78.781807984700706</v>
      </c>
      <c r="AM4741">
        <v>84.906235579775796</v>
      </c>
      <c r="AN4741">
        <v>0.99999997404602403</v>
      </c>
    </row>
    <row r="4742" spans="1:40" x14ac:dyDescent="0.25">
      <c r="A4742" t="str">
        <f>"20190303170632943"</f>
        <v>20190303170632943</v>
      </c>
      <c r="B4742" t="str">
        <f>"1551603992939643"</f>
        <v>1551603992939643</v>
      </c>
      <c r="C4742" t="s">
        <v>40</v>
      </c>
      <c r="D4742">
        <v>5.6491239999999996</v>
      </c>
      <c r="E4742">
        <v>0.55372699999999997</v>
      </c>
      <c r="F4742" t="s">
        <v>43</v>
      </c>
      <c r="G4742">
        <v>-311.54599999999999</v>
      </c>
      <c r="H4742">
        <v>-0.05</v>
      </c>
      <c r="I4742">
        <v>12.32635</v>
      </c>
      <c r="J4742">
        <v>-331.685</v>
      </c>
      <c r="K4742">
        <v>1.1212059999999999</v>
      </c>
      <c r="L4742">
        <v>15.969060000000001</v>
      </c>
      <c r="M4742">
        <v>0.99944889999999997</v>
      </c>
      <c r="N4742">
        <v>-1.338579E-2</v>
      </c>
      <c r="O4742">
        <v>3.0376549999999999E-2</v>
      </c>
      <c r="P4742">
        <v>0.98172800000000005</v>
      </c>
      <c r="Q4742">
        <v>0.18130089999999999</v>
      </c>
      <c r="R4742">
        <v>-5.7796119999999999E-2</v>
      </c>
      <c r="S4742">
        <v>3.056549</v>
      </c>
      <c r="T4742">
        <v>-0.17643619999999999</v>
      </c>
      <c r="U4742">
        <v>-0.54806519999999903</v>
      </c>
      <c r="V4742">
        <v>8.7654609999999994E-2</v>
      </c>
      <c r="W4742">
        <v>0.19436899999999999</v>
      </c>
      <c r="X4742">
        <v>0.97700430000000005</v>
      </c>
      <c r="Y4742">
        <v>0.205874</v>
      </c>
      <c r="Z4742">
        <v>-8.6165819999999994E-3</v>
      </c>
      <c r="AA4742">
        <v>0.97854050000000004</v>
      </c>
      <c r="AB4742">
        <v>26</v>
      </c>
      <c r="AC4742">
        <v>20.138999999999999</v>
      </c>
      <c r="AD4742">
        <v>-1.171206</v>
      </c>
      <c r="AE4742">
        <v>-3.6427100000000001</v>
      </c>
      <c r="AF4742">
        <v>4.2389543162423404</v>
      </c>
      <c r="AG4742">
        <v>-1.171206</v>
      </c>
      <c r="AH4742">
        <v>19.9536937677194</v>
      </c>
      <c r="AI4742">
        <v>93.286024588084899</v>
      </c>
      <c r="AJ4742">
        <v>78.006412995146405</v>
      </c>
      <c r="AK4742">
        <v>20.432580653592201</v>
      </c>
      <c r="AL4742">
        <v>78.792135539383196</v>
      </c>
      <c r="AM4742">
        <v>84.873278661354902</v>
      </c>
      <c r="AN4742">
        <v>1.00000002051687</v>
      </c>
    </row>
    <row r="4743" spans="1:40" x14ac:dyDescent="0.25">
      <c r="A4743" t="str">
        <f>"20190303170632956"</f>
        <v>20190303170632956</v>
      </c>
      <c r="B4743" t="str">
        <f>"1551603992949404"</f>
        <v>1551603992949404</v>
      </c>
      <c r="C4743" t="s">
        <v>40</v>
      </c>
      <c r="D4743">
        <v>5.6443510000000003</v>
      </c>
      <c r="E4743">
        <v>0.55422139999999998</v>
      </c>
      <c r="F4743" t="s">
        <v>43</v>
      </c>
      <c r="G4743">
        <v>-311.60210000000001</v>
      </c>
      <c r="H4743">
        <v>-0.05</v>
      </c>
      <c r="I4743">
        <v>12.2966</v>
      </c>
      <c r="J4743">
        <v>-331.54289999999997</v>
      </c>
      <c r="K4743">
        <v>1.121184</v>
      </c>
      <c r="L4743">
        <v>15.973269999999999</v>
      </c>
      <c r="M4743">
        <v>0.99945249999999997</v>
      </c>
      <c r="N4743">
        <v>-1.3385090000000001E-2</v>
      </c>
      <c r="O4743">
        <v>3.026038E-2</v>
      </c>
      <c r="P4743">
        <v>0.98170570000000001</v>
      </c>
      <c r="Q4743">
        <v>0.1812463</v>
      </c>
      <c r="R4743">
        <v>-5.8345649999999999E-2</v>
      </c>
      <c r="S4743">
        <v>3.055847</v>
      </c>
      <c r="T4743">
        <v>-0.1782126</v>
      </c>
      <c r="U4743">
        <v>-0.55880739999999995</v>
      </c>
      <c r="V4743">
        <v>8.8098079999999995E-2</v>
      </c>
      <c r="W4743">
        <v>0.1943087</v>
      </c>
      <c r="X4743">
        <v>0.97697639999999997</v>
      </c>
      <c r="Y4743">
        <v>0.2091141</v>
      </c>
      <c r="Z4743">
        <v>-8.8035149999999996E-3</v>
      </c>
      <c r="AA4743">
        <v>0.97785160000000004</v>
      </c>
      <c r="AB4743">
        <v>26</v>
      </c>
      <c r="AC4743">
        <v>19.9407999999999</v>
      </c>
      <c r="AD4743">
        <v>-1.171184</v>
      </c>
      <c r="AE4743">
        <v>-3.6766700000000001</v>
      </c>
      <c r="AF4743">
        <v>4.2642300310915404</v>
      </c>
      <c r="AG4743">
        <v>-1.171184</v>
      </c>
      <c r="AH4743">
        <v>19.754495001638801</v>
      </c>
      <c r="AI4743">
        <v>93.316704648065496</v>
      </c>
      <c r="AJ4743">
        <v>77.8189623030962</v>
      </c>
      <c r="AK4743">
        <v>20.2434039254689</v>
      </c>
      <c r="AL4743">
        <v>78.795657555597501</v>
      </c>
      <c r="AM4743">
        <v>84.847334011511194</v>
      </c>
      <c r="AN4743">
        <v>1.00000001437616</v>
      </c>
    </row>
    <row r="4744" spans="1:40" x14ac:dyDescent="0.25">
      <c r="A4744" t="str">
        <f>"20190303170632972"</f>
        <v>20190303170632972</v>
      </c>
      <c r="B4744" t="str">
        <f>"1551603992960139"</f>
        <v>1551603992960139</v>
      </c>
      <c r="C4744" t="s">
        <v>40</v>
      </c>
      <c r="D4744">
        <v>5.6760799999999998</v>
      </c>
      <c r="E4744">
        <v>0.554666199999999</v>
      </c>
      <c r="F4744" t="s">
        <v>43</v>
      </c>
      <c r="G4744">
        <v>-311.58260000000001</v>
      </c>
      <c r="H4744">
        <v>-0.05</v>
      </c>
      <c r="I4744">
        <v>12.288500000000001</v>
      </c>
      <c r="J4744">
        <v>-331.34089999999998</v>
      </c>
      <c r="K4744">
        <v>1.121151</v>
      </c>
      <c r="L4744">
        <v>15.97922</v>
      </c>
      <c r="M4744">
        <v>0.99945819999999996</v>
      </c>
      <c r="N4744">
        <v>-1.3384119999999999E-2</v>
      </c>
      <c r="O4744">
        <v>3.0073659999999999E-2</v>
      </c>
      <c r="P4744">
        <v>0.981576</v>
      </c>
      <c r="Q4744">
        <v>0.18137829999999999</v>
      </c>
      <c r="R4744">
        <v>-6.0091119999999998E-2</v>
      </c>
      <c r="S4744">
        <v>3.0554809999999999</v>
      </c>
      <c r="T4744">
        <v>-0.17928250000000001</v>
      </c>
      <c r="U4744">
        <v>-0.56405640000000001</v>
      </c>
      <c r="V4744">
        <v>8.9669230000000003E-2</v>
      </c>
      <c r="W4744">
        <v>0.1944312</v>
      </c>
      <c r="X4744">
        <v>0.97680900000000004</v>
      </c>
      <c r="Y4744">
        <v>0.21056910000000001</v>
      </c>
      <c r="Z4744">
        <v>-8.8939009999999992E-3</v>
      </c>
      <c r="AA4744">
        <v>0.97753849999999998</v>
      </c>
      <c r="AB4744">
        <v>26</v>
      </c>
      <c r="AC4744">
        <v>19.758299999999899</v>
      </c>
      <c r="AD4744">
        <v>-1.1711510000000001</v>
      </c>
      <c r="AE4744">
        <v>-3.6907199999999998</v>
      </c>
      <c r="AF4744">
        <v>4.26881552434598</v>
      </c>
      <c r="AG4744">
        <v>-1.1711510000000001</v>
      </c>
      <c r="AH4744">
        <v>19.571912634263199</v>
      </c>
      <c r="AI4744">
        <v>93.345925831712194</v>
      </c>
      <c r="AJ4744">
        <v>77.695952213247296</v>
      </c>
      <c r="AK4744">
        <v>20.066243913820301</v>
      </c>
      <c r="AL4744">
        <v>78.788501543666598</v>
      </c>
      <c r="AM4744">
        <v>84.755055049610306</v>
      </c>
      <c r="AN4744">
        <v>0.99999994241161405</v>
      </c>
    </row>
    <row r="4745" spans="1:40" x14ac:dyDescent="0.25">
      <c r="A4745" t="str">
        <f>"20190303170632985"</f>
        <v>20190303170632985</v>
      </c>
      <c r="B4745" t="str">
        <f>"1551603992979660"</f>
        <v>1551603992979660</v>
      </c>
      <c r="C4745" t="s">
        <v>40</v>
      </c>
      <c r="D4745">
        <v>5.6759029999999999</v>
      </c>
      <c r="E4745">
        <v>0.55554359999999903</v>
      </c>
      <c r="F4745" t="s">
        <v>43</v>
      </c>
      <c r="G4745">
        <v>-311.45209999999997</v>
      </c>
      <c r="H4745">
        <v>-0.05</v>
      </c>
      <c r="I4745">
        <v>12.25203</v>
      </c>
      <c r="J4745">
        <v>-331.1995</v>
      </c>
      <c r="K4745">
        <v>1.121129</v>
      </c>
      <c r="L4745">
        <v>15.98334</v>
      </c>
      <c r="M4745">
        <v>0.99946250000000003</v>
      </c>
      <c r="N4745">
        <v>-1.3383300000000001E-2</v>
      </c>
      <c r="O4745">
        <v>2.9927039999999999E-2</v>
      </c>
      <c r="P4745">
        <v>0.98146739999999999</v>
      </c>
      <c r="Q4745">
        <v>0.18170349999999999</v>
      </c>
      <c r="R4745">
        <v>-6.0876069999999997E-2</v>
      </c>
      <c r="S4745">
        <v>3.0545040000000001</v>
      </c>
      <c r="T4745">
        <v>-0.17986450000000001</v>
      </c>
      <c r="U4745">
        <v>-0.57241819999999999</v>
      </c>
      <c r="V4745">
        <v>9.0317250000000002E-2</v>
      </c>
      <c r="W4745">
        <v>0.1947488</v>
      </c>
      <c r="X4745">
        <v>0.9766861</v>
      </c>
      <c r="Y4745">
        <v>0.21305950000000001</v>
      </c>
      <c r="Z4745">
        <v>-9.0031940000000008E-3</v>
      </c>
      <c r="AA4745">
        <v>0.97699769999999997</v>
      </c>
      <c r="AB4745">
        <v>26</v>
      </c>
      <c r="AC4745">
        <v>19.747399999999999</v>
      </c>
      <c r="AD4745">
        <v>-1.1711290000000001</v>
      </c>
      <c r="AE4745">
        <v>-3.7313100000000001</v>
      </c>
      <c r="AF4745">
        <v>4.3060496489356499</v>
      </c>
      <c r="AG4745">
        <v>-1.1711290000000001</v>
      </c>
      <c r="AH4745">
        <v>19.5604509427551</v>
      </c>
      <c r="AI4745">
        <v>93.346400846422299</v>
      </c>
      <c r="AJ4745">
        <v>77.584897136403001</v>
      </c>
      <c r="AK4745">
        <v>20.063021900941798</v>
      </c>
      <c r="AL4745">
        <v>78.769950654946996</v>
      </c>
      <c r="AM4745">
        <v>84.716703683345997</v>
      </c>
      <c r="AN4745">
        <v>1.0000000193411001</v>
      </c>
    </row>
    <row r="4746" spans="1:40" x14ac:dyDescent="0.25">
      <c r="A4746" t="str">
        <f>"20190303170632996"</f>
        <v>20190303170632996</v>
      </c>
      <c r="B4746" t="str">
        <f>"1551603992989420"</f>
        <v>1551603992989420</v>
      </c>
      <c r="C4746" t="s">
        <v>40</v>
      </c>
      <c r="D4746">
        <v>5.6156870000000003</v>
      </c>
      <c r="E4746">
        <v>0.55593959999999998</v>
      </c>
      <c r="F4746" t="s">
        <v>43</v>
      </c>
      <c r="G4746">
        <v>-311.4468</v>
      </c>
      <c r="H4746">
        <v>-0.05</v>
      </c>
      <c r="I4746">
        <v>12.21992</v>
      </c>
      <c r="J4746">
        <v>-331.06330000000003</v>
      </c>
      <c r="K4746">
        <v>1.1211040000000001</v>
      </c>
      <c r="L4746">
        <v>15.98724</v>
      </c>
      <c r="M4746">
        <v>0.99946760000000001</v>
      </c>
      <c r="N4746">
        <v>-1.338165E-2</v>
      </c>
      <c r="O4746">
        <v>2.9759399999999998E-2</v>
      </c>
      <c r="P4746">
        <v>0.9814427</v>
      </c>
      <c r="Q4746">
        <v>0.18150469999999999</v>
      </c>
      <c r="R4746">
        <v>-6.1858450000000002E-2</v>
      </c>
      <c r="S4746">
        <v>3.0540470000000002</v>
      </c>
      <c r="T4746">
        <v>-0.18107329999999999</v>
      </c>
      <c r="U4746">
        <v>-0.58187869999999997</v>
      </c>
      <c r="V4746">
        <v>9.114564E-2</v>
      </c>
      <c r="W4746">
        <v>0.19454260000000001</v>
      </c>
      <c r="X4746">
        <v>0.97665020000000002</v>
      </c>
      <c r="Y4746">
        <v>0.215832</v>
      </c>
      <c r="Z4746">
        <v>-9.1484259999999994E-3</v>
      </c>
      <c r="AA4746">
        <v>0.97638769999999997</v>
      </c>
      <c r="AB4746">
        <v>26</v>
      </c>
      <c r="AC4746">
        <v>19.616499999999998</v>
      </c>
      <c r="AD4746">
        <v>-1.1711039999999999</v>
      </c>
      <c r="AE4746">
        <v>-3.7673199999999998</v>
      </c>
      <c r="AF4746">
        <v>4.3345793371150299</v>
      </c>
      <c r="AG4746">
        <v>-1.1711039999999999</v>
      </c>
      <c r="AH4746">
        <v>19.428903807082499</v>
      </c>
      <c r="AI4746">
        <v>93.366834265283003</v>
      </c>
      <c r="AJ4746">
        <v>77.423300544408093</v>
      </c>
      <c r="AK4746">
        <v>19.940972036323199</v>
      </c>
      <c r="AL4746">
        <v>78.7819949932573</v>
      </c>
      <c r="AM4746">
        <v>84.668328413437905</v>
      </c>
      <c r="AN4746">
        <v>0.99999998203290397</v>
      </c>
    </row>
    <row r="4747" spans="1:40" x14ac:dyDescent="0.25">
      <c r="A4747" t="str">
        <f>"20190303170633006"</f>
        <v>20190303170633006</v>
      </c>
      <c r="B4747" t="str">
        <f>"1551603993000156"</f>
        <v>1551603993000156</v>
      </c>
      <c r="C4747" t="s">
        <v>40</v>
      </c>
      <c r="D4747">
        <v>5.6182080000000001</v>
      </c>
      <c r="E4747">
        <v>0.5562878</v>
      </c>
      <c r="F4747" t="s">
        <v>43</v>
      </c>
      <c r="G4747">
        <v>-311.4896</v>
      </c>
      <c r="H4747">
        <v>-0.05</v>
      </c>
      <c r="I4747">
        <v>12.21725</v>
      </c>
      <c r="J4747">
        <v>-330.93439999999998</v>
      </c>
      <c r="K4747">
        <v>1.121078</v>
      </c>
      <c r="L4747">
        <v>15.99091</v>
      </c>
      <c r="M4747">
        <v>0.99947260000000004</v>
      </c>
      <c r="N4747">
        <v>-1.337985E-2</v>
      </c>
      <c r="O4747">
        <v>2.958933E-2</v>
      </c>
      <c r="P4747">
        <v>0.98147340000000005</v>
      </c>
      <c r="Q4747">
        <v>0.18114269999999999</v>
      </c>
      <c r="R4747">
        <v>-6.2428169999999998E-2</v>
      </c>
      <c r="S4747">
        <v>3.053436</v>
      </c>
      <c r="T4747">
        <v>-0.18268860000000001</v>
      </c>
      <c r="U4747">
        <v>-0.58810419999999997</v>
      </c>
      <c r="V4747">
        <v>9.1560370000000002E-2</v>
      </c>
      <c r="W4747">
        <v>0.1941735</v>
      </c>
      <c r="X4747">
        <v>0.97668489999999997</v>
      </c>
      <c r="Y4747">
        <v>0.21761</v>
      </c>
      <c r="Z4747">
        <v>-9.2775649999999998E-3</v>
      </c>
      <c r="AA4747">
        <v>0.97599170000000002</v>
      </c>
      <c r="AB4747">
        <v>26</v>
      </c>
      <c r="AC4747">
        <v>19.444799999999901</v>
      </c>
      <c r="AD4747">
        <v>-1.1710780000000001</v>
      </c>
      <c r="AE4747">
        <v>-3.77366</v>
      </c>
      <c r="AF4747">
        <v>4.3322740466106904</v>
      </c>
      <c r="AG4747">
        <v>-1.1710780000000001</v>
      </c>
      <c r="AH4747">
        <v>19.257300582372199</v>
      </c>
      <c r="AI4747">
        <v>93.395340823109194</v>
      </c>
      <c r="AJ4747">
        <v>77.321368295826801</v>
      </c>
      <c r="AK4747">
        <v>19.773306446238401</v>
      </c>
      <c r="AL4747">
        <v>78.803554431375801</v>
      </c>
      <c r="AM4747">
        <v>84.644398226174701</v>
      </c>
      <c r="AN4747">
        <v>1.0000000216723901</v>
      </c>
    </row>
    <row r="4748" spans="1:40" x14ac:dyDescent="0.25">
      <c r="A4748" t="str">
        <f>"20190303170633019"</f>
        <v>20190303170633019</v>
      </c>
      <c r="B4748" t="str">
        <f>"1551603993009915"</f>
        <v>1551603993009915</v>
      </c>
      <c r="C4748" t="s">
        <v>40</v>
      </c>
      <c r="D4748">
        <v>5.6196479999999998</v>
      </c>
      <c r="E4748">
        <v>0.55659669999999895</v>
      </c>
      <c r="F4748" t="s">
        <v>43</v>
      </c>
      <c r="G4748">
        <v>-311.57769999999999</v>
      </c>
      <c r="H4748">
        <v>-0.05</v>
      </c>
      <c r="I4748">
        <v>12.231629999999999</v>
      </c>
      <c r="J4748">
        <v>-330.78660000000002</v>
      </c>
      <c r="K4748">
        <v>1.121046</v>
      </c>
      <c r="L4748">
        <v>15.99506</v>
      </c>
      <c r="M4748">
        <v>0.99947920000000001</v>
      </c>
      <c r="N4748">
        <v>-1.337736E-2</v>
      </c>
      <c r="O4748">
        <v>2.9371769999999998E-2</v>
      </c>
      <c r="P4748">
        <v>0.9814967</v>
      </c>
      <c r="Q4748">
        <v>0.1807523</v>
      </c>
      <c r="R4748">
        <v>-6.3190170000000004E-2</v>
      </c>
      <c r="S4748">
        <v>3.0530089999999999</v>
      </c>
      <c r="T4748">
        <v>-0.18470619999999999</v>
      </c>
      <c r="U4748">
        <v>-0.59292599999999995</v>
      </c>
      <c r="V4748">
        <v>9.212331E-2</v>
      </c>
      <c r="W4748">
        <v>0.19377359999999999</v>
      </c>
      <c r="X4748">
        <v>0.97671140000000001</v>
      </c>
      <c r="Y4748">
        <v>0.2188959</v>
      </c>
      <c r="Z4748">
        <v>-9.4050190000000006E-3</v>
      </c>
      <c r="AA4748">
        <v>0.97570290000000004</v>
      </c>
      <c r="AB4748">
        <v>26</v>
      </c>
      <c r="AC4748">
        <v>19.2089</v>
      </c>
      <c r="AD4748">
        <v>-1.17104599999999</v>
      </c>
      <c r="AE4748">
        <v>-3.7634300000000001</v>
      </c>
      <c r="AF4748">
        <v>4.3106272488966901</v>
      </c>
      <c r="AG4748">
        <v>-1.17104599999999</v>
      </c>
      <c r="AH4748">
        <v>19.0219792559318</v>
      </c>
      <c r="AI4748">
        <v>93.435939206558302</v>
      </c>
      <c r="AJ4748">
        <v>77.231683618568994</v>
      </c>
      <c r="AK4748">
        <v>19.539410196475899</v>
      </c>
      <c r="AL4748">
        <v>78.826910780606696</v>
      </c>
      <c r="AM4748">
        <v>84.611808970888504</v>
      </c>
      <c r="AN4748">
        <v>1.00000003559613</v>
      </c>
    </row>
    <row r="4749" spans="1:40" x14ac:dyDescent="0.25">
      <c r="A4749" t="str">
        <f>"20190303170633033"</f>
        <v>20190303170633033</v>
      </c>
      <c r="B4749" t="str">
        <f>"1551603993029435"</f>
        <v>1551603993029435</v>
      </c>
      <c r="C4749" t="s">
        <v>40</v>
      </c>
      <c r="D4749">
        <v>5.5784159999999998</v>
      </c>
      <c r="E4749">
        <v>0.55718239999999997</v>
      </c>
      <c r="F4749" t="s">
        <v>43</v>
      </c>
      <c r="G4749">
        <v>-311.60719999999998</v>
      </c>
      <c r="H4749">
        <v>-0.05</v>
      </c>
      <c r="I4749">
        <v>12.236829999999999</v>
      </c>
      <c r="J4749">
        <v>-330.63010000000003</v>
      </c>
      <c r="K4749">
        <v>1.1210100000000001</v>
      </c>
      <c r="L4749">
        <v>15.999420000000001</v>
      </c>
      <c r="M4749">
        <v>0.99948689999999996</v>
      </c>
      <c r="N4749">
        <v>-1.337495E-2</v>
      </c>
      <c r="O4749">
        <v>2.9109139999999999E-2</v>
      </c>
      <c r="P4749">
        <v>0.98151049999999995</v>
      </c>
      <c r="Q4749">
        <v>0.18037049999999999</v>
      </c>
      <c r="R4749">
        <v>-6.4058950000000003E-2</v>
      </c>
      <c r="S4749">
        <v>3.052368</v>
      </c>
      <c r="T4749">
        <v>-0.18637039999999999</v>
      </c>
      <c r="U4749">
        <v>-0.59811400000000003</v>
      </c>
      <c r="V4749">
        <v>9.2750540000000006E-2</v>
      </c>
      <c r="W4749">
        <v>0.193382</v>
      </c>
      <c r="X4749">
        <v>0.97672959999999998</v>
      </c>
      <c r="Y4749">
        <v>0.22026399999999999</v>
      </c>
      <c r="Z4749">
        <v>-9.5184870000000008E-3</v>
      </c>
      <c r="AA4749">
        <v>0.97539390000000004</v>
      </c>
      <c r="AB4749">
        <v>26</v>
      </c>
      <c r="AC4749">
        <v>19.0229</v>
      </c>
      <c r="AD4749">
        <v>-1.1710100000000001</v>
      </c>
      <c r="AE4749">
        <v>-3.7625899999999999</v>
      </c>
      <c r="AF4749">
        <v>4.2991073919207299</v>
      </c>
      <c r="AG4749">
        <v>-1.1710100000000001</v>
      </c>
      <c r="AH4749">
        <v>18.836610202217202</v>
      </c>
      <c r="AI4749">
        <v>93.468352197783901</v>
      </c>
      <c r="AJ4749">
        <v>77.143510438591505</v>
      </c>
      <c r="AK4749">
        <v>19.356432333920399</v>
      </c>
      <c r="AL4749">
        <v>78.849779827995206</v>
      </c>
      <c r="AM4749">
        <v>84.575441565118695</v>
      </c>
      <c r="AN4749">
        <v>0.999999986055225</v>
      </c>
    </row>
    <row r="4750" spans="1:40" x14ac:dyDescent="0.25">
      <c r="A4750" t="str">
        <f>"20190303170633051"</f>
        <v>20190303170633051</v>
      </c>
      <c r="B4750" t="str">
        <f>"1551603993040171"</f>
        <v>1551603993040171</v>
      </c>
      <c r="C4750" t="s">
        <v>40</v>
      </c>
      <c r="D4750">
        <v>5.5969790000000001</v>
      </c>
      <c r="E4750">
        <v>0.55747630000000004</v>
      </c>
      <c r="F4750" t="s">
        <v>43</v>
      </c>
      <c r="G4750">
        <v>-311.62990000000002</v>
      </c>
      <c r="H4750">
        <v>-0.05</v>
      </c>
      <c r="I4750">
        <v>12.228210000000001</v>
      </c>
      <c r="J4750">
        <v>-330.4194</v>
      </c>
      <c r="K4750">
        <v>1.1209549999999999</v>
      </c>
      <c r="L4750">
        <v>16.005129999999902</v>
      </c>
      <c r="M4750">
        <v>0.99949849999999996</v>
      </c>
      <c r="N4750">
        <v>-1.337203E-2</v>
      </c>
      <c r="O4750">
        <v>2.870963E-2</v>
      </c>
      <c r="P4750">
        <v>0.98146089999999997</v>
      </c>
      <c r="Q4750">
        <v>0.18013860000000001</v>
      </c>
      <c r="R4750">
        <v>-6.546035E-2</v>
      </c>
      <c r="S4750">
        <v>3.0515439999999998</v>
      </c>
      <c r="T4750">
        <v>-0.1880715</v>
      </c>
      <c r="U4750">
        <v>-0.60568239999999995</v>
      </c>
      <c r="V4750">
        <v>9.3781580000000003E-2</v>
      </c>
      <c r="W4750">
        <v>0.19313449999999999</v>
      </c>
      <c r="X4750">
        <v>0.9766802</v>
      </c>
      <c r="Y4750">
        <v>0.2222392</v>
      </c>
      <c r="Z4750">
        <v>-9.6501150000000008E-3</v>
      </c>
      <c r="AA4750">
        <v>0.97494440000000004</v>
      </c>
      <c r="AB4750">
        <v>26</v>
      </c>
      <c r="AC4750">
        <v>18.789499999999901</v>
      </c>
      <c r="AD4750">
        <v>-1.170955</v>
      </c>
      <c r="AE4750">
        <v>-3.7769199999999898</v>
      </c>
      <c r="AF4750">
        <v>4.2988035643224496</v>
      </c>
      <c r="AG4750">
        <v>-1.170955</v>
      </c>
      <c r="AH4750">
        <v>18.603863322496299</v>
      </c>
      <c r="AI4750">
        <v>93.509302587920601</v>
      </c>
      <c r="AJ4750">
        <v>76.988996878419997</v>
      </c>
      <c r="AK4750">
        <v>19.1299393156063</v>
      </c>
      <c r="AL4750">
        <v>78.864233912840504</v>
      </c>
      <c r="AM4750">
        <v>84.515230673509706</v>
      </c>
      <c r="AN4750">
        <v>1.0000000664547899</v>
      </c>
    </row>
    <row r="4751" spans="1:40" x14ac:dyDescent="0.25">
      <c r="A4751" t="str">
        <f>"20190303170633065"</f>
        <v>20190303170633065</v>
      </c>
      <c r="B4751" t="str">
        <f>"1551603993059692"</f>
        <v>1551603993059692</v>
      </c>
      <c r="C4751" t="s">
        <v>40</v>
      </c>
      <c r="D4751">
        <v>5.6216309999999998</v>
      </c>
      <c r="E4751">
        <v>0.55813449999999998</v>
      </c>
      <c r="F4751" t="s">
        <v>43</v>
      </c>
      <c r="G4751">
        <v>-311.54880000000003</v>
      </c>
      <c r="H4751">
        <v>-0.05</v>
      </c>
      <c r="I4751">
        <v>12.21786</v>
      </c>
      <c r="J4751">
        <v>-330.26260000000002</v>
      </c>
      <c r="K4751">
        <v>1.120914</v>
      </c>
      <c r="L4751">
        <v>16.00928</v>
      </c>
      <c r="M4751">
        <v>0.99950799999999995</v>
      </c>
      <c r="N4751">
        <v>-1.33697E-2</v>
      </c>
      <c r="O4751">
        <v>2.8378279999999999E-2</v>
      </c>
      <c r="P4751">
        <v>0.98136319999999999</v>
      </c>
      <c r="Q4751">
        <v>0.1802231</v>
      </c>
      <c r="R4751">
        <v>-6.6679210000000003E-2</v>
      </c>
      <c r="S4751">
        <v>3.0505979999999999</v>
      </c>
      <c r="T4751">
        <v>-0.18929509999999999</v>
      </c>
      <c r="U4751">
        <v>-0.61224369999999995</v>
      </c>
      <c r="V4751">
        <v>9.4691460000000005E-2</v>
      </c>
      <c r="W4751">
        <v>0.19320509999999999</v>
      </c>
      <c r="X4751">
        <v>0.97657839999999996</v>
      </c>
      <c r="Y4751">
        <v>0.22397990000000001</v>
      </c>
      <c r="Z4751">
        <v>-9.7557600000000005E-3</v>
      </c>
      <c r="AA4751">
        <v>0.97454490000000005</v>
      </c>
      <c r="AB4751">
        <v>26</v>
      </c>
      <c r="AC4751">
        <v>18.7137999999999</v>
      </c>
      <c r="AD4751">
        <v>-1.170914</v>
      </c>
      <c r="AE4751">
        <v>-3.79142</v>
      </c>
      <c r="AF4751">
        <v>4.3048169528712901</v>
      </c>
      <c r="AG4751">
        <v>-1.170914</v>
      </c>
      <c r="AH4751">
        <v>18.528978342555</v>
      </c>
      <c r="AI4751">
        <v>93.522354358729103</v>
      </c>
      <c r="AJ4751">
        <v>76.920568713279096</v>
      </c>
      <c r="AK4751">
        <v>19.058476513404599</v>
      </c>
      <c r="AL4751">
        <v>78.860110739130903</v>
      </c>
      <c r="AM4751">
        <v>84.461772325400602</v>
      </c>
      <c r="AN4751">
        <v>1.00000002730475</v>
      </c>
    </row>
    <row r="4752" spans="1:40" x14ac:dyDescent="0.25">
      <c r="A4752" t="str">
        <f>"20190303170633077"</f>
        <v>20190303170633077</v>
      </c>
      <c r="B4752" t="str">
        <f>"1551603993069452"</f>
        <v>1551603993069452</v>
      </c>
      <c r="C4752" t="s">
        <v>40</v>
      </c>
      <c r="D4752">
        <v>5.6259009999999998</v>
      </c>
      <c r="E4752">
        <v>0.55841479999999999</v>
      </c>
      <c r="F4752" t="s">
        <v>43</v>
      </c>
      <c r="G4752">
        <v>-311.53480000000002</v>
      </c>
      <c r="H4752">
        <v>-0.05</v>
      </c>
      <c r="I4752">
        <v>12.196120000000001</v>
      </c>
      <c r="J4752">
        <v>-330.10860000000002</v>
      </c>
      <c r="K4752">
        <v>1.120879</v>
      </c>
      <c r="L4752">
        <v>16.013279999999899</v>
      </c>
      <c r="M4752">
        <v>0.99951849999999998</v>
      </c>
      <c r="N4752">
        <v>-1.3364040000000001E-2</v>
      </c>
      <c r="O4752">
        <v>2.800567E-2</v>
      </c>
      <c r="P4752">
        <v>0.98125669999999998</v>
      </c>
      <c r="Q4752">
        <v>0.18041889999999999</v>
      </c>
      <c r="R4752">
        <v>-6.7711289999999993E-2</v>
      </c>
      <c r="S4752">
        <v>3.0498050000000001</v>
      </c>
      <c r="T4752">
        <v>-0.19068260000000001</v>
      </c>
      <c r="U4752">
        <v>-0.62097170000000002</v>
      </c>
      <c r="V4752">
        <v>9.5374990000000007E-2</v>
      </c>
      <c r="W4752">
        <v>0.1933839</v>
      </c>
      <c r="X4752">
        <v>0.97647649999999997</v>
      </c>
      <c r="Y4752">
        <v>0.22633200000000001</v>
      </c>
      <c r="Z4752">
        <v>-9.8891499999999993E-3</v>
      </c>
      <c r="AA4752">
        <v>0.97399999999999998</v>
      </c>
      <c r="AB4752">
        <v>26</v>
      </c>
      <c r="AC4752">
        <v>18.573799999999999</v>
      </c>
      <c r="AD4752">
        <v>-1.170879</v>
      </c>
      <c r="AE4752">
        <v>-3.8171599999999901</v>
      </c>
      <c r="AF4752">
        <v>4.3194111116628902</v>
      </c>
      <c r="AG4752">
        <v>-1.170879</v>
      </c>
      <c r="AH4752">
        <v>18.389484276526801</v>
      </c>
      <c r="AI4752">
        <v>93.546895801157802</v>
      </c>
      <c r="AJ4752">
        <v>76.781701718305996</v>
      </c>
      <c r="AK4752">
        <v>18.9262093917621</v>
      </c>
      <c r="AL4752">
        <v>78.849669461252205</v>
      </c>
      <c r="AM4752">
        <v>84.421467457798101</v>
      </c>
      <c r="AN4752">
        <v>1.00000003827447</v>
      </c>
    </row>
    <row r="4753" spans="1:40" x14ac:dyDescent="0.25">
      <c r="A4753" t="str">
        <f>"20190303170633088"</f>
        <v>20190303170633088</v>
      </c>
      <c r="B4753" t="str">
        <f>"1551603993080188"</f>
        <v>1551603993080188</v>
      </c>
      <c r="C4753" t="s">
        <v>40</v>
      </c>
      <c r="D4753">
        <v>5.595974</v>
      </c>
      <c r="E4753">
        <v>0.55870069999999905</v>
      </c>
      <c r="F4753" t="s">
        <v>43</v>
      </c>
      <c r="G4753">
        <v>-311.37569999999999</v>
      </c>
      <c r="H4753">
        <v>-0.05</v>
      </c>
      <c r="I4753">
        <v>12.16522</v>
      </c>
      <c r="J4753">
        <v>-329.97050000000002</v>
      </c>
      <c r="K4753">
        <v>1.1208389999999999</v>
      </c>
      <c r="L4753">
        <v>16.016749999999998</v>
      </c>
      <c r="M4753">
        <v>0.99952859999999999</v>
      </c>
      <c r="N4753">
        <v>-1.335829E-2</v>
      </c>
      <c r="O4753">
        <v>2.7645869999999999E-2</v>
      </c>
      <c r="P4753">
        <v>0.98115059999999998</v>
      </c>
      <c r="Q4753">
        <v>0.18074319999999999</v>
      </c>
      <c r="R4753">
        <v>-6.8379250000000003E-2</v>
      </c>
      <c r="S4753">
        <v>3.0491329999999999</v>
      </c>
      <c r="T4753">
        <v>-0.190583</v>
      </c>
      <c r="U4753">
        <v>-0.62634279999999998</v>
      </c>
      <c r="V4753">
        <v>9.5705879999999993E-2</v>
      </c>
      <c r="W4753">
        <v>0.19369210000000001</v>
      </c>
      <c r="X4753">
        <v>0.976383</v>
      </c>
      <c r="Y4753">
        <v>0.22766790000000001</v>
      </c>
      <c r="Z4753">
        <v>-9.9175940000000001E-3</v>
      </c>
      <c r="AA4753">
        <v>0.97368829999999995</v>
      </c>
      <c r="AB4753">
        <v>26</v>
      </c>
      <c r="AC4753">
        <v>18.594799999999999</v>
      </c>
      <c r="AD4753">
        <v>-1.170839</v>
      </c>
      <c r="AE4753">
        <v>-3.8515299999999901</v>
      </c>
      <c r="AF4753">
        <v>4.3476448088612898</v>
      </c>
      <c r="AG4753">
        <v>-1.170839</v>
      </c>
      <c r="AH4753">
        <v>18.4112107876471</v>
      </c>
      <c r="AI4753">
        <v>93.541609727192096</v>
      </c>
      <c r="AJ4753">
        <v>76.713502361772399</v>
      </c>
      <c r="AK4753">
        <v>18.9537743474779</v>
      </c>
      <c r="AL4753">
        <v>78.831670205001899</v>
      </c>
      <c r="AM4753">
        <v>84.401703597175995</v>
      </c>
      <c r="AN4753">
        <v>1.00000000387899</v>
      </c>
    </row>
    <row r="4754" spans="1:40" x14ac:dyDescent="0.25">
      <c r="A4754" t="str">
        <f>"20190303170633100"</f>
        <v>20190303170633100</v>
      </c>
      <c r="B4754" t="str">
        <f>"1551603993089947"</f>
        <v>1551603993089947</v>
      </c>
      <c r="C4754" t="s">
        <v>40</v>
      </c>
      <c r="D4754">
        <v>5.5839509999999999</v>
      </c>
      <c r="E4754">
        <v>0.55870069999999905</v>
      </c>
      <c r="F4754" t="s">
        <v>43</v>
      </c>
      <c r="G4754">
        <v>-311.18220000000002</v>
      </c>
      <c r="H4754">
        <v>-0.05</v>
      </c>
      <c r="I4754">
        <v>12.12964</v>
      </c>
      <c r="J4754">
        <v>-329.8356</v>
      </c>
      <c r="K4754">
        <v>1.1208009999999999</v>
      </c>
      <c r="L4754">
        <v>16.020139999999898</v>
      </c>
      <c r="M4754">
        <v>0.99953890000000001</v>
      </c>
      <c r="N4754">
        <v>-1.3352070000000001E-2</v>
      </c>
      <c r="O4754">
        <v>2.7271839999999999E-2</v>
      </c>
      <c r="P4754">
        <v>0.98094579999999998</v>
      </c>
      <c r="Q4754">
        <v>0.1814537</v>
      </c>
      <c r="R4754">
        <v>-6.9427890000000006E-2</v>
      </c>
      <c r="S4754">
        <v>3.048645</v>
      </c>
      <c r="T4754">
        <v>-0.18998409999999999</v>
      </c>
      <c r="U4754">
        <v>-0.63073729999999995</v>
      </c>
      <c r="V4754">
        <v>9.6401260000000003E-2</v>
      </c>
      <c r="W4754">
        <v>0.194384</v>
      </c>
      <c r="X4754">
        <v>0.97617699999999996</v>
      </c>
      <c r="Y4754">
        <v>0.22868189999999999</v>
      </c>
      <c r="Z4754">
        <v>-9.9099510000000002E-3</v>
      </c>
      <c r="AA4754">
        <v>0.97345079999999995</v>
      </c>
      <c r="AB4754">
        <v>26</v>
      </c>
      <c r="AC4754">
        <v>18.653399999999898</v>
      </c>
      <c r="AD4754">
        <v>-1.170801</v>
      </c>
      <c r="AE4754">
        <v>-3.8904999999999901</v>
      </c>
      <c r="AF4754">
        <v>4.3812697316622398</v>
      </c>
      <c r="AG4754">
        <v>-1.170801</v>
      </c>
      <c r="AH4754">
        <v>18.470617073486199</v>
      </c>
      <c r="AI4754">
        <v>93.529296383673397</v>
      </c>
      <c r="AJ4754">
        <v>76.655938006534299</v>
      </c>
      <c r="AK4754">
        <v>19.019200680326701</v>
      </c>
      <c r="AL4754">
        <v>78.791258464788299</v>
      </c>
      <c r="AM4754">
        <v>84.360106428189596</v>
      </c>
      <c r="AN4754">
        <v>0.99999993885729199</v>
      </c>
    </row>
    <row r="4755" spans="1:40" x14ac:dyDescent="0.25">
      <c r="A4755" t="str">
        <f>"20190303170633118"</f>
        <v>20190303170633118</v>
      </c>
      <c r="B4755" t="str">
        <f>"1551603993109467"</f>
        <v>1551603993109467</v>
      </c>
      <c r="C4755" t="s">
        <v>40</v>
      </c>
      <c r="D4755">
        <v>5.5724660000000004</v>
      </c>
      <c r="E4755">
        <v>0.56720409999999999</v>
      </c>
      <c r="F4755" t="s">
        <v>43</v>
      </c>
      <c r="G4755">
        <v>-310.82839999999999</v>
      </c>
      <c r="H4755">
        <v>-0.05</v>
      </c>
      <c r="I4755">
        <v>12.0663</v>
      </c>
      <c r="J4755">
        <v>-329.62689999999998</v>
      </c>
      <c r="K4755">
        <v>1.120744</v>
      </c>
      <c r="L4755">
        <v>16.025120000000001</v>
      </c>
      <c r="M4755">
        <v>0.99955669999999996</v>
      </c>
      <c r="N4755">
        <v>-1.3343890000000001E-2</v>
      </c>
      <c r="O4755">
        <v>2.6616440000000002E-2</v>
      </c>
      <c r="P4755">
        <v>0.98061220000000004</v>
      </c>
      <c r="Q4755">
        <v>0.18249969999999999</v>
      </c>
      <c r="R4755">
        <v>-7.1370119999999995E-2</v>
      </c>
      <c r="S4755">
        <v>3.0481259999999999</v>
      </c>
      <c r="T4755">
        <v>-0.18775749999999999</v>
      </c>
      <c r="U4755">
        <v>-0.63406370000000001</v>
      </c>
      <c r="V4755">
        <v>9.772401E-2</v>
      </c>
      <c r="W4755">
        <v>0.19540080000000001</v>
      </c>
      <c r="X4755">
        <v>0.97584249999999995</v>
      </c>
      <c r="Y4755">
        <v>0.2291067</v>
      </c>
      <c r="Z4755">
        <v>-9.7923090000000008E-3</v>
      </c>
      <c r="AA4755">
        <v>0.97335210000000005</v>
      </c>
      <c r="AB4755">
        <v>26</v>
      </c>
      <c r="AC4755">
        <v>18.798499999999901</v>
      </c>
      <c r="AD4755">
        <v>-1.170744</v>
      </c>
      <c r="AE4755">
        <v>-3.9588199999999998</v>
      </c>
      <c r="AF4755">
        <v>4.4413162312124204</v>
      </c>
      <c r="AG4755">
        <v>-1.170744</v>
      </c>
      <c r="AH4755">
        <v>18.617316702714501</v>
      </c>
      <c r="AI4755">
        <v>93.500319577600393</v>
      </c>
      <c r="AJ4755">
        <v>76.582394384949197</v>
      </c>
      <c r="AK4755">
        <v>19.1755159666784</v>
      </c>
      <c r="AL4755">
        <v>78.731862067769299</v>
      </c>
      <c r="AM4755">
        <v>84.281282332237097</v>
      </c>
      <c r="AN4755">
        <v>1.00000001978868</v>
      </c>
    </row>
    <row r="4756" spans="1:40" x14ac:dyDescent="0.25">
      <c r="A4756" t="str">
        <f>"20190303170633129"</f>
        <v>20190303170633129</v>
      </c>
      <c r="B4756" t="str">
        <f>"1551603993120204"</f>
        <v>1551603993120204</v>
      </c>
      <c r="C4756" t="s">
        <v>40</v>
      </c>
      <c r="D4756">
        <v>5.579326</v>
      </c>
      <c r="E4756">
        <v>0.56715599999999999</v>
      </c>
      <c r="F4756" t="s">
        <v>43</v>
      </c>
      <c r="G4756">
        <v>-311.78320000000002</v>
      </c>
      <c r="H4756">
        <v>-0.05</v>
      </c>
      <c r="I4756">
        <v>11.881769999999999</v>
      </c>
      <c r="J4756">
        <v>-329.50020000000001</v>
      </c>
      <c r="K4756">
        <v>1.1207039999999999</v>
      </c>
      <c r="L4756">
        <v>16.028079999999999</v>
      </c>
      <c r="M4756">
        <v>0.99956840000000002</v>
      </c>
      <c r="N4756">
        <v>-1.3339439999999999E-2</v>
      </c>
      <c r="O4756">
        <v>2.61779E-2</v>
      </c>
      <c r="P4756">
        <v>0.98052519999999999</v>
      </c>
      <c r="Q4756">
        <v>0.18238180000000001</v>
      </c>
      <c r="R4756">
        <v>-7.2850760000000001E-2</v>
      </c>
      <c r="S4756">
        <v>3.0450439999999999</v>
      </c>
      <c r="T4756">
        <v>-0.19978870000000001</v>
      </c>
      <c r="U4756">
        <v>-0.70706179999999996</v>
      </c>
      <c r="V4756">
        <v>9.879222E-2</v>
      </c>
      <c r="W4756">
        <v>0.1952661</v>
      </c>
      <c r="X4756">
        <v>0.97576189999999996</v>
      </c>
      <c r="Y4756">
        <v>0.25095200000000001</v>
      </c>
      <c r="Z4756">
        <v>-1.116433E-2</v>
      </c>
      <c r="AA4756">
        <v>0.96793510000000005</v>
      </c>
      <c r="AB4756">
        <v>26</v>
      </c>
      <c r="AC4756">
        <v>17.716999999999899</v>
      </c>
      <c r="AD4756">
        <v>-1.170704</v>
      </c>
      <c r="AE4756">
        <v>-4.1463099999999997</v>
      </c>
      <c r="AF4756">
        <v>4.5897243614840004</v>
      </c>
      <c r="AG4756">
        <v>-1.170704</v>
      </c>
      <c r="AH4756">
        <v>17.529809959008499</v>
      </c>
      <c r="AI4756">
        <v>93.696507502551398</v>
      </c>
      <c r="AJ4756">
        <v>75.327939071589199</v>
      </c>
      <c r="AK4756">
        <v>18.1584788671565</v>
      </c>
      <c r="AL4756">
        <v>78.739731388079903</v>
      </c>
      <c r="AM4756">
        <v>84.218718505596797</v>
      </c>
      <c r="AN4756">
        <v>1.00000001901667</v>
      </c>
    </row>
    <row r="4757" spans="1:40" x14ac:dyDescent="0.25">
      <c r="A4757" t="str">
        <f>"20190303170633140"</f>
        <v>20190303170633140</v>
      </c>
      <c r="B4757" t="str">
        <f>"1551603993129965"</f>
        <v>1551603993129965</v>
      </c>
      <c r="C4757" t="s">
        <v>40</v>
      </c>
      <c r="D4757">
        <v>5.549677</v>
      </c>
      <c r="E4757">
        <v>0.56721750000000004</v>
      </c>
      <c r="F4757" t="s">
        <v>43</v>
      </c>
      <c r="G4757">
        <v>-311.65730000000002</v>
      </c>
      <c r="H4757">
        <v>-0.05</v>
      </c>
      <c r="I4757">
        <v>11.85962</v>
      </c>
      <c r="J4757">
        <v>-329.36250000000001</v>
      </c>
      <c r="K4757">
        <v>1.1206560000000001</v>
      </c>
      <c r="L4757">
        <v>16.031189999999999</v>
      </c>
      <c r="M4757">
        <v>0.99958150000000001</v>
      </c>
      <c r="N4757">
        <v>-1.333487E-2</v>
      </c>
      <c r="O4757">
        <v>2.5675659999999999E-2</v>
      </c>
      <c r="P4757">
        <v>0.98046100000000003</v>
      </c>
      <c r="Q4757">
        <v>0.18218609999999999</v>
      </c>
      <c r="R4757">
        <v>-7.4194399999999994E-2</v>
      </c>
      <c r="S4757">
        <v>3.0439150000000001</v>
      </c>
      <c r="T4757">
        <v>-0.19971729999999999</v>
      </c>
      <c r="U4757">
        <v>-0.71112059999999999</v>
      </c>
      <c r="V4757">
        <v>9.9663730000000006E-2</v>
      </c>
      <c r="W4757">
        <v>0.1950528</v>
      </c>
      <c r="X4757">
        <v>0.97571589999999997</v>
      </c>
      <c r="Y4757">
        <v>0.25176789999999999</v>
      </c>
      <c r="Z4757">
        <v>-1.116874E-2</v>
      </c>
      <c r="AA4757">
        <v>0.96772320000000001</v>
      </c>
      <c r="AB4757">
        <v>26</v>
      </c>
      <c r="AC4757">
        <v>17.705199999999898</v>
      </c>
      <c r="AD4757">
        <v>-1.1706559999999999</v>
      </c>
      <c r="AE4757">
        <v>-4.1715699999999902</v>
      </c>
      <c r="AF4757">
        <v>4.6057512832142002</v>
      </c>
      <c r="AG4757">
        <v>-1.1706559999999999</v>
      </c>
      <c r="AH4757">
        <v>17.519680998687502</v>
      </c>
      <c r="AI4757">
        <v>93.697522377190296</v>
      </c>
      <c r="AJ4757">
        <v>75.270786051226494</v>
      </c>
      <c r="AK4757">
        <v>18.152757439268999</v>
      </c>
      <c r="AL4757">
        <v>78.752191799870104</v>
      </c>
      <c r="AM4757">
        <v>84.167795045565796</v>
      </c>
      <c r="AN4757">
        <v>0.99999998568908099</v>
      </c>
    </row>
    <row r="4758" spans="1:40" x14ac:dyDescent="0.25">
      <c r="A4758" t="str">
        <f>"20190303170633152"</f>
        <v>20190303170633152</v>
      </c>
      <c r="B4758" t="str">
        <f>"1551603993139724"</f>
        <v>1551603993139724</v>
      </c>
      <c r="C4758" t="s">
        <v>40</v>
      </c>
      <c r="D4758">
        <v>5.5525739999999999</v>
      </c>
      <c r="E4758">
        <v>0.56710199999999999</v>
      </c>
      <c r="F4758" t="s">
        <v>43</v>
      </c>
      <c r="G4758">
        <v>-311.5034</v>
      </c>
      <c r="H4758">
        <v>-0.05</v>
      </c>
      <c r="I4758">
        <v>11.830640000000001</v>
      </c>
      <c r="J4758">
        <v>-329.23669999999998</v>
      </c>
      <c r="K4758">
        <v>1.120611</v>
      </c>
      <c r="L4758">
        <v>16.03387</v>
      </c>
      <c r="M4758">
        <v>0.99959430000000005</v>
      </c>
      <c r="N4758">
        <v>-1.333077E-2</v>
      </c>
      <c r="O4758">
        <v>2.5170129999999999E-2</v>
      </c>
      <c r="P4758">
        <v>0.98041639999999997</v>
      </c>
      <c r="Q4758">
        <v>0.18177850000000001</v>
      </c>
      <c r="R4758">
        <v>-7.5763399999999995E-2</v>
      </c>
      <c r="S4758">
        <v>3.0427249999999999</v>
      </c>
      <c r="T4758">
        <v>-0.19944970000000001</v>
      </c>
      <c r="U4758">
        <v>-0.71566770000000002</v>
      </c>
      <c r="V4758">
        <v>0.1007567</v>
      </c>
      <c r="W4758">
        <v>0.1946281</v>
      </c>
      <c r="X4758">
        <v>0.97568849999999996</v>
      </c>
      <c r="Y4758">
        <v>0.25273279999999998</v>
      </c>
      <c r="Z4758">
        <v>-1.116928E-2</v>
      </c>
      <c r="AA4758">
        <v>0.96747169999999905</v>
      </c>
      <c r="AB4758">
        <v>26</v>
      </c>
      <c r="AC4758">
        <v>17.7332999999999</v>
      </c>
      <c r="AD4758">
        <v>-1.1706110000000001</v>
      </c>
      <c r="AE4758">
        <v>-4.2032299999999996</v>
      </c>
      <c r="AF4758">
        <v>4.6291881442114597</v>
      </c>
      <c r="AG4758">
        <v>-1.1706110000000001</v>
      </c>
      <c r="AH4758">
        <v>17.549469977973899</v>
      </c>
      <c r="AI4758">
        <v>93.690315996955206</v>
      </c>
      <c r="AJ4758">
        <v>75.223140532967193</v>
      </c>
      <c r="AK4758">
        <v>18.187457477493599</v>
      </c>
      <c r="AL4758">
        <v>78.777001281132002</v>
      </c>
      <c r="AM4758">
        <v>84.104119428078704</v>
      </c>
      <c r="AN4758">
        <v>1.00000002946837</v>
      </c>
    </row>
    <row r="4759" spans="1:40" x14ac:dyDescent="0.25">
      <c r="A4759" t="str">
        <f>"20190303170633164"</f>
        <v>20190303170633164</v>
      </c>
      <c r="B4759" t="str">
        <f>"1551603993149484"</f>
        <v>1551603993149484</v>
      </c>
      <c r="C4759" t="s">
        <v>40</v>
      </c>
      <c r="D4759">
        <v>5.5455170000000003</v>
      </c>
      <c r="E4759">
        <v>0.56702149999999996</v>
      </c>
      <c r="F4759" t="s">
        <v>43</v>
      </c>
      <c r="G4759">
        <v>-311.58</v>
      </c>
      <c r="H4759">
        <v>-0.05</v>
      </c>
      <c r="I4759">
        <v>11.85844</v>
      </c>
      <c r="J4759">
        <v>-329.09690000000001</v>
      </c>
      <c r="K4759">
        <v>1.1205609999999999</v>
      </c>
      <c r="L4759">
        <v>16.036829999999998</v>
      </c>
      <c r="M4759">
        <v>0.99960890000000002</v>
      </c>
      <c r="N4759">
        <v>-1.33262E-2</v>
      </c>
      <c r="O4759">
        <v>2.4592490000000002E-2</v>
      </c>
      <c r="P4759">
        <v>0.98038890000000001</v>
      </c>
      <c r="Q4759">
        <v>0.1814308</v>
      </c>
      <c r="R4759">
        <v>-7.6945189999999997E-2</v>
      </c>
      <c r="S4759">
        <v>3.0417179999999999</v>
      </c>
      <c r="T4759">
        <v>-0.2016606</v>
      </c>
      <c r="U4759">
        <v>-0.71929929999999997</v>
      </c>
      <c r="V4759">
        <v>0.1013946</v>
      </c>
      <c r="W4759">
        <v>0.19426280000000001</v>
      </c>
      <c r="X4759">
        <v>0.97569519999999998</v>
      </c>
      <c r="Y4759">
        <v>0.25332480000000002</v>
      </c>
      <c r="Z4759">
        <v>-1.127244E-2</v>
      </c>
      <c r="AA4759">
        <v>0.96731560000000005</v>
      </c>
      <c r="AB4759">
        <v>26</v>
      </c>
      <c r="AC4759">
        <v>17.5169</v>
      </c>
      <c r="AD4759">
        <v>-1.170561</v>
      </c>
      <c r="AE4759">
        <v>-4.1783899999999896</v>
      </c>
      <c r="AF4759">
        <v>4.5885611602980099</v>
      </c>
      <c r="AG4759">
        <v>-1.170561</v>
      </c>
      <c r="AH4759">
        <v>17.3355899706694</v>
      </c>
      <c r="AI4759">
        <v>93.734720557843403</v>
      </c>
      <c r="AJ4759">
        <v>75.174358543143498</v>
      </c>
      <c r="AK4759">
        <v>17.970748070341699</v>
      </c>
      <c r="AL4759">
        <v>78.798338488832798</v>
      </c>
      <c r="AM4759">
        <v>84.067097940528399</v>
      </c>
      <c r="AN4759">
        <v>1.0000000118380199</v>
      </c>
    </row>
    <row r="4760" spans="1:40" x14ac:dyDescent="0.25">
      <c r="A4760" t="str">
        <f>"20190303170633175"</f>
        <v>20190303170633175</v>
      </c>
      <c r="B4760" t="str">
        <f>"1551603993169979"</f>
        <v>1551603993169979</v>
      </c>
      <c r="C4760" t="s">
        <v>40</v>
      </c>
      <c r="D4760">
        <v>5.5266630000000001</v>
      </c>
      <c r="E4760">
        <v>0.56708689999999995</v>
      </c>
      <c r="F4760" t="s">
        <v>43</v>
      </c>
      <c r="G4760">
        <v>-311.55329999999998</v>
      </c>
      <c r="H4760">
        <v>-0.05</v>
      </c>
      <c r="I4760">
        <v>11.869960000000001</v>
      </c>
      <c r="J4760">
        <v>-328.95920000000001</v>
      </c>
      <c r="K4760">
        <v>1.1205099999999999</v>
      </c>
      <c r="L4760">
        <v>16.039549999999998</v>
      </c>
      <c r="M4760">
        <v>0.99962410000000002</v>
      </c>
      <c r="N4760">
        <v>-1.332187E-2</v>
      </c>
      <c r="O4760">
        <v>2.3965489999999999E-2</v>
      </c>
      <c r="P4760">
        <v>0.98027750000000002</v>
      </c>
      <c r="Q4760">
        <v>0.18143010000000001</v>
      </c>
      <c r="R4760">
        <v>-7.8354950000000007E-2</v>
      </c>
      <c r="S4760">
        <v>3.0408940000000002</v>
      </c>
      <c r="T4760">
        <v>-0.202898</v>
      </c>
      <c r="U4760">
        <v>-0.72225950000000005</v>
      </c>
      <c r="V4760">
        <v>0.10221089999999999</v>
      </c>
      <c r="W4760">
        <v>0.1942432</v>
      </c>
      <c r="X4760">
        <v>0.97561390000000003</v>
      </c>
      <c r="Y4760">
        <v>0.25366060000000001</v>
      </c>
      <c r="Z4760">
        <v>-1.131455E-2</v>
      </c>
      <c r="AA4760">
        <v>0.96722710000000001</v>
      </c>
      <c r="AB4760">
        <v>26</v>
      </c>
      <c r="AC4760">
        <v>17.405899999999999</v>
      </c>
      <c r="AD4760">
        <v>-1.1705099999999999</v>
      </c>
      <c r="AE4760">
        <v>-4.1695899999999897</v>
      </c>
      <c r="AF4760">
        <v>4.5660418414015798</v>
      </c>
      <c r="AG4760">
        <v>-1.1705099999999999</v>
      </c>
      <c r="AH4760">
        <v>17.227286191387201</v>
      </c>
      <c r="AI4760">
        <v>93.757638547726302</v>
      </c>
      <c r="AJ4760">
        <v>75.155252673481002</v>
      </c>
      <c r="AK4760">
        <v>17.8605213047517</v>
      </c>
      <c r="AL4760">
        <v>78.799482992414099</v>
      </c>
      <c r="AM4760">
        <v>84.019183825869504</v>
      </c>
      <c r="AN4760">
        <v>0.99999998534912904</v>
      </c>
    </row>
    <row r="4761" spans="1:40" x14ac:dyDescent="0.25">
      <c r="A4761" t="str">
        <f>"20190303170633187"</f>
        <v>20190303170633187</v>
      </c>
      <c r="B4761" t="str">
        <f>"1551603993179739"</f>
        <v>1551603993179739</v>
      </c>
      <c r="C4761" t="s">
        <v>40</v>
      </c>
      <c r="D4761">
        <v>5.5374939999999997</v>
      </c>
      <c r="E4761">
        <v>0.56710539999999998</v>
      </c>
      <c r="F4761" t="s">
        <v>43</v>
      </c>
      <c r="G4761">
        <v>-311.40320000000003</v>
      </c>
      <c r="H4761">
        <v>-0.05</v>
      </c>
      <c r="I4761">
        <v>11.83966</v>
      </c>
      <c r="J4761">
        <v>-328.82249999999999</v>
      </c>
      <c r="K4761">
        <v>1.1204609999999999</v>
      </c>
      <c r="L4761">
        <v>16.042179999999998</v>
      </c>
      <c r="M4761">
        <v>0.99963930000000001</v>
      </c>
      <c r="N4761">
        <v>-1.331776E-2</v>
      </c>
      <c r="O4761">
        <v>2.3321999999999999E-2</v>
      </c>
      <c r="P4761">
        <v>0.98019999999999996</v>
      </c>
      <c r="Q4761">
        <v>0.18126929999999999</v>
      </c>
      <c r="R4761">
        <v>-7.9683279999999995E-2</v>
      </c>
      <c r="S4761">
        <v>3.0396730000000001</v>
      </c>
      <c r="T4761">
        <v>-0.20266329999999999</v>
      </c>
      <c r="U4761">
        <v>-0.72717290000000001</v>
      </c>
      <c r="V4761">
        <v>0.10292999999999999</v>
      </c>
      <c r="W4761">
        <v>0.19406409999999999</v>
      </c>
      <c r="X4761">
        <v>0.97557400000000005</v>
      </c>
      <c r="Y4761">
        <v>0.25460440000000001</v>
      </c>
      <c r="Z4761">
        <v>-1.130859E-2</v>
      </c>
      <c r="AA4761">
        <v>0.96697920000000004</v>
      </c>
      <c r="AB4761">
        <v>26</v>
      </c>
      <c r="AC4761">
        <v>17.4192999999999</v>
      </c>
      <c r="AD4761">
        <v>-1.170461</v>
      </c>
      <c r="AE4761">
        <v>-4.20251999999999</v>
      </c>
      <c r="AF4761">
        <v>4.5880900935578799</v>
      </c>
      <c r="AG4761">
        <v>-1.170461</v>
      </c>
      <c r="AH4761">
        <v>17.242972321902698</v>
      </c>
      <c r="AI4761">
        <v>93.753109878735799</v>
      </c>
      <c r="AJ4761">
        <v>75.099721015709505</v>
      </c>
      <c r="AK4761">
        <v>17.881293134251401</v>
      </c>
      <c r="AL4761">
        <v>78.809944394620601</v>
      </c>
      <c r="AM4761">
        <v>83.977169757753899</v>
      </c>
      <c r="AN4761">
        <v>1.0000000446424</v>
      </c>
    </row>
    <row r="4762" spans="1:40" x14ac:dyDescent="0.25">
      <c r="A4762" t="str">
        <f>"20190303170633199"</f>
        <v>20190303170633199</v>
      </c>
      <c r="B4762" t="str">
        <f>"1551603993189500"</f>
        <v>1551603993189500</v>
      </c>
      <c r="C4762" t="s">
        <v>40</v>
      </c>
      <c r="D4762">
        <v>5.5307170000000001</v>
      </c>
      <c r="E4762">
        <v>0.56703769999999998</v>
      </c>
      <c r="F4762" t="s">
        <v>43</v>
      </c>
      <c r="G4762">
        <v>-311.26119999999997</v>
      </c>
      <c r="H4762">
        <v>-0.05</v>
      </c>
      <c r="I4762">
        <v>11.814249999999999</v>
      </c>
      <c r="J4762">
        <v>-328.678</v>
      </c>
      <c r="K4762">
        <v>1.120411</v>
      </c>
      <c r="L4762">
        <v>16.044799999999999</v>
      </c>
      <c r="M4762">
        <v>0.99965590000000004</v>
      </c>
      <c r="N4762">
        <v>-1.3313800000000001E-2</v>
      </c>
      <c r="O4762">
        <v>2.2602959999999998E-2</v>
      </c>
      <c r="P4762">
        <v>0.9800006</v>
      </c>
      <c r="Q4762">
        <v>0.18172949999999999</v>
      </c>
      <c r="R4762">
        <v>-8.1079579999999998E-2</v>
      </c>
      <c r="S4762">
        <v>3.0385439999999999</v>
      </c>
      <c r="T4762">
        <v>-0.20251910000000001</v>
      </c>
      <c r="U4762">
        <v>-0.73153690000000005</v>
      </c>
      <c r="V4762">
        <v>0.103641899999999</v>
      </c>
      <c r="W4762">
        <v>0.19450419999999999</v>
      </c>
      <c r="X4762">
        <v>0.97541089999999997</v>
      </c>
      <c r="Y4762">
        <v>0.25530310000000001</v>
      </c>
      <c r="Z4762">
        <v>-1.1293259999999999E-2</v>
      </c>
      <c r="AA4762">
        <v>0.96679510000000002</v>
      </c>
      <c r="AB4762">
        <v>26</v>
      </c>
      <c r="AC4762">
        <v>17.416799999999999</v>
      </c>
      <c r="AD4762">
        <v>-1.1704110000000001</v>
      </c>
      <c r="AE4762">
        <v>-4.2305499999999903</v>
      </c>
      <c r="AF4762">
        <v>4.6035443877892703</v>
      </c>
      <c r="AG4762">
        <v>-1.1704110000000001</v>
      </c>
      <c r="AH4762">
        <v>17.243188685184901</v>
      </c>
      <c r="AI4762">
        <v>93.752071616123402</v>
      </c>
      <c r="AJ4762">
        <v>75.0519539986133</v>
      </c>
      <c r="AK4762">
        <v>17.885470048957501</v>
      </c>
      <c r="AL4762">
        <v>78.784237923671299</v>
      </c>
      <c r="AM4762">
        <v>83.934816646687693</v>
      </c>
      <c r="AN4762">
        <v>0.99999997554602904</v>
      </c>
    </row>
    <row r="4763" spans="1:40" x14ac:dyDescent="0.25">
      <c r="A4763" t="str">
        <f>"20190303170633212"</f>
        <v>20190303170633212</v>
      </c>
      <c r="B4763" t="str">
        <f>"1551603993200236"</f>
        <v>1551603993200236</v>
      </c>
      <c r="C4763" t="s">
        <v>40</v>
      </c>
      <c r="D4763">
        <v>5.5291249999999996</v>
      </c>
      <c r="E4763">
        <v>0.56706669999999904</v>
      </c>
      <c r="F4763" t="s">
        <v>43</v>
      </c>
      <c r="G4763">
        <v>-311.00479999999999</v>
      </c>
      <c r="H4763">
        <v>-0.05</v>
      </c>
      <c r="I4763">
        <v>11.76892</v>
      </c>
      <c r="J4763">
        <v>-328.53739999999999</v>
      </c>
      <c r="K4763">
        <v>1.120371</v>
      </c>
      <c r="L4763">
        <v>16.04721</v>
      </c>
      <c r="M4763">
        <v>0.99967249999999996</v>
      </c>
      <c r="N4763">
        <v>-1.331034E-2</v>
      </c>
      <c r="O4763">
        <v>2.1860649999999999E-2</v>
      </c>
      <c r="P4763">
        <v>0.97985480000000003</v>
      </c>
      <c r="Q4763">
        <v>0.18174419999999999</v>
      </c>
      <c r="R4763">
        <v>-8.2788849999999997E-2</v>
      </c>
      <c r="S4763">
        <v>3.0377200000000002</v>
      </c>
      <c r="T4763">
        <v>-0.20117409999999999</v>
      </c>
      <c r="U4763">
        <v>-0.73495480000000002</v>
      </c>
      <c r="V4763">
        <v>0.1046436</v>
      </c>
      <c r="W4763">
        <v>0.19450039999999999</v>
      </c>
      <c r="X4763">
        <v>0.97530470000000002</v>
      </c>
      <c r="Y4763">
        <v>0.2556812</v>
      </c>
      <c r="Z4763">
        <v>-1.120521E-2</v>
      </c>
      <c r="AA4763">
        <v>0.96669620000000001</v>
      </c>
      <c r="AB4763">
        <v>26</v>
      </c>
      <c r="AC4763">
        <v>17.532599999999999</v>
      </c>
      <c r="AD4763">
        <v>-1.1703709999999901</v>
      </c>
      <c r="AE4763">
        <v>-4.2782900000000001</v>
      </c>
      <c r="AF4763">
        <v>4.6410566424749602</v>
      </c>
      <c r="AG4763">
        <v>-1.1703709999999901</v>
      </c>
      <c r="AH4763">
        <v>17.3618567766806</v>
      </c>
      <c r="AI4763">
        <v>93.726060614216294</v>
      </c>
      <c r="AJ4763">
        <v>75.033994388182606</v>
      </c>
      <c r="AK4763">
        <v>18.009532080825199</v>
      </c>
      <c r="AL4763">
        <v>78.784459860380395</v>
      </c>
      <c r="AM4763">
        <v>83.875978128120195</v>
      </c>
      <c r="AN4763">
        <v>0.99999997323160394</v>
      </c>
    </row>
    <row r="4764" spans="1:40" x14ac:dyDescent="0.25">
      <c r="A4764" t="str">
        <f>"20190303170633225"</f>
        <v>20190303170633225</v>
      </c>
      <c r="B4764" t="str">
        <f>"1551603993219757"</f>
        <v>1551603993219757</v>
      </c>
      <c r="C4764" t="s">
        <v>40</v>
      </c>
      <c r="D4764">
        <v>5.5426520000000004</v>
      </c>
      <c r="E4764">
        <v>0.56718080000000004</v>
      </c>
      <c r="F4764" t="s">
        <v>43</v>
      </c>
      <c r="G4764">
        <v>-310.834</v>
      </c>
      <c r="H4764">
        <v>-0.05</v>
      </c>
      <c r="I4764">
        <v>11.72968</v>
      </c>
      <c r="J4764">
        <v>-328.37729999999999</v>
      </c>
      <c r="K4764">
        <v>1.1203160000000001</v>
      </c>
      <c r="L4764">
        <v>16.04984</v>
      </c>
      <c r="M4764">
        <v>0.99969129999999995</v>
      </c>
      <c r="N4764">
        <v>-1.330665E-2</v>
      </c>
      <c r="O4764">
        <v>2.0983160000000001E-2</v>
      </c>
      <c r="P4764">
        <v>0.97971459999999999</v>
      </c>
      <c r="Q4764">
        <v>0.18177670000000001</v>
      </c>
      <c r="R4764">
        <v>-8.4359619999999996E-2</v>
      </c>
      <c r="S4764">
        <v>3.036346</v>
      </c>
      <c r="T4764">
        <v>-0.20073199999999999</v>
      </c>
      <c r="U4764">
        <v>-0.74050899999999997</v>
      </c>
      <c r="V4764">
        <v>0.10537820000000001</v>
      </c>
      <c r="W4764">
        <v>0.19451309999999999</v>
      </c>
      <c r="X4764">
        <v>0.97522310000000001</v>
      </c>
      <c r="Y4764">
        <v>0.25660369999999999</v>
      </c>
      <c r="Z4764">
        <v>-1.117661E-2</v>
      </c>
      <c r="AA4764">
        <v>0.96645210000000004</v>
      </c>
      <c r="AB4764">
        <v>26</v>
      </c>
      <c r="AC4764">
        <v>17.543299999999899</v>
      </c>
      <c r="AD4764">
        <v>-1.1703159999999999</v>
      </c>
      <c r="AE4764">
        <v>-4.3201599999999996</v>
      </c>
      <c r="AF4764">
        <v>4.66777008884082</v>
      </c>
      <c r="AG4764">
        <v>-1.1703159999999999</v>
      </c>
      <c r="AH4764">
        <v>17.375872492776601</v>
      </c>
      <c r="AI4764">
        <v>93.721662453135593</v>
      </c>
      <c r="AJ4764">
        <v>74.963336661057994</v>
      </c>
      <c r="AK4764">
        <v>18.029937937423998</v>
      </c>
      <c r="AL4764">
        <v>78.783718373532807</v>
      </c>
      <c r="AM4764">
        <v>83.832805465939501</v>
      </c>
      <c r="AN4764">
        <v>1.0000000029402301</v>
      </c>
    </row>
    <row r="4765" spans="1:40" x14ac:dyDescent="0.25">
      <c r="A4765" t="str">
        <f>"20190303170633242"</f>
        <v>20190303170633242</v>
      </c>
      <c r="B4765" t="str">
        <f>"1551603993229516"</f>
        <v>1551603993229516</v>
      </c>
      <c r="C4765" t="s">
        <v>40</v>
      </c>
      <c r="D4765">
        <v>5.5356129999999997</v>
      </c>
      <c r="E4765">
        <v>0.56724750000000002</v>
      </c>
      <c r="F4765" t="s">
        <v>43</v>
      </c>
      <c r="G4765">
        <v>-310.64109999999999</v>
      </c>
      <c r="H4765">
        <v>-0.05</v>
      </c>
      <c r="I4765">
        <v>11.68913</v>
      </c>
      <c r="J4765">
        <v>-328.18650000000002</v>
      </c>
      <c r="K4765">
        <v>1.1202449999999999</v>
      </c>
      <c r="L4765">
        <v>16.05264</v>
      </c>
      <c r="M4765">
        <v>0.99971429999999994</v>
      </c>
      <c r="N4765">
        <v>-1.330286E-2</v>
      </c>
      <c r="O4765">
        <v>1.9865259999999999E-2</v>
      </c>
      <c r="P4765">
        <v>0.97951580000000005</v>
      </c>
      <c r="Q4765">
        <v>0.1814337</v>
      </c>
      <c r="R4765">
        <v>-8.735619E-2</v>
      </c>
      <c r="S4765">
        <v>3.0350649999999999</v>
      </c>
      <c r="T4765">
        <v>-0.2002678</v>
      </c>
      <c r="U4765">
        <v>-0.74621579999999998</v>
      </c>
      <c r="V4765">
        <v>0.10730580000000001</v>
      </c>
      <c r="W4765">
        <v>0.19414310000000001</v>
      </c>
      <c r="X4765">
        <v>0.97508660000000003</v>
      </c>
      <c r="Y4765">
        <v>0.2573337</v>
      </c>
      <c r="Z4765">
        <v>-1.112664E-2</v>
      </c>
      <c r="AA4765">
        <v>0.96625850000000002</v>
      </c>
      <c r="AB4765">
        <v>26</v>
      </c>
      <c r="AC4765">
        <v>17.545400000000001</v>
      </c>
      <c r="AD4765">
        <v>-1.170245</v>
      </c>
      <c r="AE4765">
        <v>-4.3635099999999998</v>
      </c>
      <c r="AF4765">
        <v>4.6915681235710798</v>
      </c>
      <c r="AG4765">
        <v>-1.170245</v>
      </c>
      <c r="AH4765">
        <v>17.382423281407</v>
      </c>
      <c r="AI4765">
        <v>93.718858148195196</v>
      </c>
      <c r="AJ4765">
        <v>74.895605274973093</v>
      </c>
      <c r="AK4765">
        <v>18.0424201245878</v>
      </c>
      <c r="AL4765">
        <v>78.805329513855298</v>
      </c>
      <c r="AM4765">
        <v>83.720014985805093</v>
      </c>
      <c r="AN4765">
        <v>0.99999997774540395</v>
      </c>
    </row>
    <row r="4766" spans="1:40" x14ac:dyDescent="0.25">
      <c r="A4766" t="str">
        <f>"20190303170633257"</f>
        <v>20190303170633257</v>
      </c>
      <c r="B4766" t="str">
        <f>"1551603993250012"</f>
        <v>1551603993250012</v>
      </c>
      <c r="C4766" t="s">
        <v>40</v>
      </c>
      <c r="D4766">
        <v>5.5418500000000002</v>
      </c>
      <c r="E4766">
        <v>0.56732539999999998</v>
      </c>
      <c r="F4766" t="s">
        <v>43</v>
      </c>
      <c r="G4766">
        <v>-310.64319999999998</v>
      </c>
      <c r="H4766">
        <v>-0.05</v>
      </c>
      <c r="I4766">
        <v>11.683870000000001</v>
      </c>
      <c r="J4766">
        <v>-328.01519999999999</v>
      </c>
      <c r="K4766">
        <v>1.1201859999999999</v>
      </c>
      <c r="L4766">
        <v>16.0549</v>
      </c>
      <c r="M4766">
        <v>0.99973509999999999</v>
      </c>
      <c r="N4766">
        <v>-1.3300040000000001E-2</v>
      </c>
      <c r="O4766">
        <v>1.879666E-2</v>
      </c>
      <c r="P4766">
        <v>0.97930669999999997</v>
      </c>
      <c r="Q4766">
        <v>0.1814868</v>
      </c>
      <c r="R4766">
        <v>-8.9562909999999996E-2</v>
      </c>
      <c r="S4766">
        <v>3.0328979999999999</v>
      </c>
      <c r="T4766">
        <v>-0.20231370000000001</v>
      </c>
      <c r="U4766">
        <v>-0.75527949999999999</v>
      </c>
      <c r="V4766">
        <v>0.10849010000000001</v>
      </c>
      <c r="W4766">
        <v>0.1941735</v>
      </c>
      <c r="X4766">
        <v>0.97494950000000002</v>
      </c>
      <c r="Y4766">
        <v>0.25916529999999999</v>
      </c>
      <c r="Z4766">
        <v>-1.124502E-2</v>
      </c>
      <c r="AA4766">
        <v>0.9657675</v>
      </c>
      <c r="AB4766">
        <v>26</v>
      </c>
      <c r="AC4766">
        <v>17.372</v>
      </c>
      <c r="AD4766">
        <v>-1.1701859999999999</v>
      </c>
      <c r="AE4766">
        <v>-4.3710300000000002</v>
      </c>
      <c r="AF4766">
        <v>4.6768645439228802</v>
      </c>
      <c r="AG4766">
        <v>-1.1701859999999999</v>
      </c>
      <c r="AH4766">
        <v>17.2133083840504</v>
      </c>
      <c r="AI4766">
        <v>93.753404114381198</v>
      </c>
      <c r="AJ4766">
        <v>74.799652318437396</v>
      </c>
      <c r="AK4766">
        <v>17.875692511374702</v>
      </c>
      <c r="AL4766">
        <v>78.803554057716497</v>
      </c>
      <c r="AM4766">
        <v>83.650382191289495</v>
      </c>
      <c r="AN4766">
        <v>0.99999998872525497</v>
      </c>
    </row>
    <row r="4767" spans="1:40" x14ac:dyDescent="0.25">
      <c r="A4767" t="str">
        <f>"20190303170633272"</f>
        <v>20190303170633272</v>
      </c>
      <c r="B4767" t="str">
        <f>"1551603993259771"</f>
        <v>1551603993259771</v>
      </c>
      <c r="C4767" t="s">
        <v>40</v>
      </c>
      <c r="D4767">
        <v>5.5277779999999996</v>
      </c>
      <c r="E4767">
        <v>0.56737839999999995</v>
      </c>
      <c r="F4767" t="s">
        <v>43</v>
      </c>
      <c r="G4767">
        <v>-310.46809999999999</v>
      </c>
      <c r="H4767">
        <v>-0.05</v>
      </c>
      <c r="I4767">
        <v>11.6404</v>
      </c>
      <c r="J4767">
        <v>-327.82709999999997</v>
      </c>
      <c r="K4767">
        <v>1.1201219999999901</v>
      </c>
      <c r="L4767">
        <v>16.05716</v>
      </c>
      <c r="M4767">
        <v>0.99975720000000001</v>
      </c>
      <c r="N4767">
        <v>-1.329726E-2</v>
      </c>
      <c r="O4767">
        <v>1.7566910000000002E-2</v>
      </c>
      <c r="P4767">
        <v>0.97922489999999995</v>
      </c>
      <c r="Q4767">
        <v>0.18100569999999999</v>
      </c>
      <c r="R4767">
        <v>-9.1408470000000006E-2</v>
      </c>
      <c r="S4767">
        <v>3.0311279999999998</v>
      </c>
      <c r="T4767">
        <v>-0.20214090000000001</v>
      </c>
      <c r="U4767">
        <v>-0.76257319999999995</v>
      </c>
      <c r="V4767">
        <v>0.1091604</v>
      </c>
      <c r="W4767">
        <v>0.19367110000000001</v>
      </c>
      <c r="X4767">
        <v>0.97497460000000002</v>
      </c>
      <c r="Y4767">
        <v>0.26029600000000003</v>
      </c>
      <c r="Z4767">
        <v>-1.121977E-2</v>
      </c>
      <c r="AA4767">
        <v>0.96546370000000004</v>
      </c>
      <c r="AB4767">
        <v>26</v>
      </c>
      <c r="AC4767">
        <v>17.358999999999899</v>
      </c>
      <c r="AD4767">
        <v>-1.1701220000000001</v>
      </c>
      <c r="AE4767">
        <v>-4.41676</v>
      </c>
      <c r="AF4767">
        <v>4.7009879900138696</v>
      </c>
      <c r="AG4767">
        <v>-1.1701220000000001</v>
      </c>
      <c r="AH4767">
        <v>17.205302103687099</v>
      </c>
      <c r="AI4767">
        <v>93.753489626407202</v>
      </c>
      <c r="AJ4767">
        <v>74.718126463809199</v>
      </c>
      <c r="AK4767">
        <v>17.8743082119638</v>
      </c>
      <c r="AL4767">
        <v>78.832896361294701</v>
      </c>
      <c r="AM4767">
        <v>83.611637907222303</v>
      </c>
      <c r="AN4767">
        <v>0.99999997927426398</v>
      </c>
    </row>
    <row r="4768" spans="1:40" x14ac:dyDescent="0.25">
      <c r="A4768" t="str">
        <f>"20190303170633287"</f>
        <v>20190303170633287</v>
      </c>
      <c r="B4768" t="str">
        <f>"1551603993279291"</f>
        <v>1551603993279291</v>
      </c>
      <c r="C4768" t="s">
        <v>40</v>
      </c>
      <c r="D4768">
        <v>5.5064849999999996</v>
      </c>
      <c r="E4768">
        <v>0.56746540000000001</v>
      </c>
      <c r="F4768" t="s">
        <v>43</v>
      </c>
      <c r="G4768">
        <v>-310.40480000000002</v>
      </c>
      <c r="H4768">
        <v>-0.05</v>
      </c>
      <c r="I4768">
        <v>11.636049999999999</v>
      </c>
      <c r="J4768">
        <v>-327.66300000000001</v>
      </c>
      <c r="K4768">
        <v>1.120069</v>
      </c>
      <c r="L4768">
        <v>16.058869999999999</v>
      </c>
      <c r="M4768">
        <v>0.99977640000000001</v>
      </c>
      <c r="N4768">
        <v>-1.329516E-2</v>
      </c>
      <c r="O4768">
        <v>1.6444629999999998E-2</v>
      </c>
      <c r="P4768">
        <v>0.97916499999999995</v>
      </c>
      <c r="Q4768">
        <v>0.17999379999999901</v>
      </c>
      <c r="R4768">
        <v>-9.4012349999999995E-2</v>
      </c>
      <c r="S4768">
        <v>3.02948</v>
      </c>
      <c r="T4768">
        <v>-0.20346700000000001</v>
      </c>
      <c r="U4768">
        <v>-0.76876829999999996</v>
      </c>
      <c r="V4768">
        <v>0.11068939999999999</v>
      </c>
      <c r="W4768">
        <v>0.19263810000000001</v>
      </c>
      <c r="X4768">
        <v>0.97500690000000001</v>
      </c>
      <c r="Y4768">
        <v>0.261183</v>
      </c>
      <c r="Z4768">
        <v>-1.1261999999999999E-2</v>
      </c>
      <c r="AA4768">
        <v>0.96522359999999896</v>
      </c>
      <c r="AB4768">
        <v>26</v>
      </c>
      <c r="AC4768">
        <v>17.258199999999899</v>
      </c>
      <c r="AD4768">
        <v>-1.170069</v>
      </c>
      <c r="AE4768">
        <v>-4.4228199999999998</v>
      </c>
      <c r="AF4768">
        <v>4.6858403280186396</v>
      </c>
      <c r="AG4768">
        <v>-1.170069</v>
      </c>
      <c r="AH4768">
        <v>17.109330657451</v>
      </c>
      <c r="AI4768">
        <v>93.773693007549198</v>
      </c>
      <c r="AJ4768">
        <v>74.683622068060302</v>
      </c>
      <c r="AK4768">
        <v>17.777945792201098</v>
      </c>
      <c r="AL4768">
        <v>78.893219314321499</v>
      </c>
      <c r="AM4768">
        <v>83.523124661103097</v>
      </c>
      <c r="AN4768">
        <v>1.00000001794578</v>
      </c>
    </row>
    <row r="4769" spans="1:40" x14ac:dyDescent="0.25">
      <c r="A4769" t="str">
        <f>"20190303170633299"</f>
        <v>20190303170633299</v>
      </c>
      <c r="B4769" t="str">
        <f>"1551603993290027"</f>
        <v>1551603993290027</v>
      </c>
      <c r="C4769" t="s">
        <v>40</v>
      </c>
      <c r="D4769">
        <v>5.4992159999999997</v>
      </c>
      <c r="E4769">
        <v>0.56753359999999997</v>
      </c>
      <c r="F4769" t="s">
        <v>43</v>
      </c>
      <c r="G4769">
        <v>-310.51</v>
      </c>
      <c r="H4769">
        <v>-0.05</v>
      </c>
      <c r="I4769">
        <v>11.65366</v>
      </c>
      <c r="J4769">
        <v>-327.50319999999999</v>
      </c>
      <c r="K4769">
        <v>1.1200129999999999</v>
      </c>
      <c r="L4769">
        <v>16.06033</v>
      </c>
      <c r="M4769">
        <v>0.99979470000000004</v>
      </c>
      <c r="N4769">
        <v>-1.3293599999999999E-2</v>
      </c>
      <c r="O4769">
        <v>1.529963E-2</v>
      </c>
      <c r="P4769">
        <v>0.97904089999999999</v>
      </c>
      <c r="Q4769">
        <v>0.17983750000000001</v>
      </c>
      <c r="R4769">
        <v>-9.5591809999999999E-2</v>
      </c>
      <c r="S4769">
        <v>3.027161</v>
      </c>
      <c r="T4769">
        <v>-0.20649390000000001</v>
      </c>
      <c r="U4769">
        <v>-0.77743530000000005</v>
      </c>
      <c r="V4769">
        <v>0.1111731</v>
      </c>
      <c r="W4769">
        <v>0.1924631</v>
      </c>
      <c r="X4769">
        <v>0.97498640000000003</v>
      </c>
      <c r="Y4769">
        <v>0.26282559999999999</v>
      </c>
      <c r="Z4769">
        <v>-1.141492E-2</v>
      </c>
      <c r="AA4769">
        <v>0.96477579999999996</v>
      </c>
      <c r="AB4769">
        <v>26</v>
      </c>
      <c r="AC4769">
        <v>16.993200000000002</v>
      </c>
      <c r="AD4769">
        <v>-1.170013</v>
      </c>
      <c r="AE4769">
        <v>-4.4066700000000001</v>
      </c>
      <c r="AF4769">
        <v>4.6455318748344601</v>
      </c>
      <c r="AG4769">
        <v>-1.170013</v>
      </c>
      <c r="AH4769">
        <v>16.848943405953399</v>
      </c>
      <c r="AI4769">
        <v>93.829861442919494</v>
      </c>
      <c r="AJ4769">
        <v>74.585589095256495</v>
      </c>
      <c r="AK4769">
        <v>17.516757425884901</v>
      </c>
      <c r="AL4769">
        <v>78.903436987959793</v>
      </c>
      <c r="AM4769">
        <v>83.494927923004994</v>
      </c>
      <c r="AN4769">
        <v>0.99999999160508901</v>
      </c>
    </row>
    <row r="4770" spans="1:40" x14ac:dyDescent="0.25">
      <c r="A4770" t="str">
        <f>"20190303170633313"</f>
        <v>20190303170633313</v>
      </c>
      <c r="B4770" t="str">
        <f>"1551603993299788"</f>
        <v>1551603993299788</v>
      </c>
      <c r="C4770" t="s">
        <v>40</v>
      </c>
      <c r="D4770">
        <v>5.5177659999999999</v>
      </c>
      <c r="E4770">
        <v>0.56753359999999997</v>
      </c>
      <c r="F4770" t="s">
        <v>43</v>
      </c>
      <c r="G4770">
        <v>-310.3974</v>
      </c>
      <c r="H4770">
        <v>-0.05</v>
      </c>
      <c r="I4770">
        <v>11.63438</v>
      </c>
      <c r="J4770">
        <v>-327.3605</v>
      </c>
      <c r="K4770">
        <v>1.119961</v>
      </c>
      <c r="L4770">
        <v>16.06137</v>
      </c>
      <c r="M4770">
        <v>0.99981050000000005</v>
      </c>
      <c r="N4770">
        <v>-1.3292470000000001E-2</v>
      </c>
      <c r="O4770">
        <v>1.4231000000000001E-2</v>
      </c>
      <c r="P4770">
        <v>0.97881379999999996</v>
      </c>
      <c r="Q4770">
        <v>0.18002190000000001</v>
      </c>
      <c r="R4770">
        <v>-9.7548650000000001E-2</v>
      </c>
      <c r="S4770">
        <v>3.0258180000000001</v>
      </c>
      <c r="T4770">
        <v>-0.2069616</v>
      </c>
      <c r="U4770">
        <v>-0.78289790000000004</v>
      </c>
      <c r="V4770">
        <v>0.1121056</v>
      </c>
      <c r="W4770">
        <v>0.1926283</v>
      </c>
      <c r="X4770">
        <v>0.97484700000000002</v>
      </c>
      <c r="Y4770">
        <v>0.26352730000000002</v>
      </c>
      <c r="Z4770">
        <v>-1.140993E-2</v>
      </c>
      <c r="AA4770">
        <v>0.96458449999999996</v>
      </c>
      <c r="AB4770">
        <v>26</v>
      </c>
      <c r="AC4770">
        <v>16.963099999999901</v>
      </c>
      <c r="AD4770">
        <v>-1.169961</v>
      </c>
      <c r="AE4770">
        <v>-4.42699</v>
      </c>
      <c r="AF4770">
        <v>4.6472674658380599</v>
      </c>
      <c r="AG4770">
        <v>-1.169961</v>
      </c>
      <c r="AH4770">
        <v>16.823450011676101</v>
      </c>
      <c r="AI4770">
        <v>93.834966886044597</v>
      </c>
      <c r="AJ4770">
        <v>74.557852155206803</v>
      </c>
      <c r="AK4770">
        <v>17.4926948734585</v>
      </c>
      <c r="AL4770">
        <v>78.893791333410704</v>
      </c>
      <c r="AM4770">
        <v>83.439908302054505</v>
      </c>
      <c r="AN4770">
        <v>1.00000000046062</v>
      </c>
    </row>
    <row r="4771" spans="1:40" x14ac:dyDescent="0.25">
      <c r="A4771" t="str">
        <f>"20190303170633326"</f>
        <v>20190303170633326</v>
      </c>
      <c r="B4771" t="str">
        <f>"1551603993309548"</f>
        <v>1551603993309548</v>
      </c>
      <c r="C4771" t="s">
        <v>40</v>
      </c>
      <c r="D4771">
        <v>5.5199170000000004</v>
      </c>
      <c r="E4771">
        <v>0.56524770000000002</v>
      </c>
      <c r="F4771" t="s">
        <v>43</v>
      </c>
      <c r="G4771">
        <v>-310.22059999999999</v>
      </c>
      <c r="H4771">
        <v>-0.05</v>
      </c>
      <c r="I4771">
        <v>11.58975</v>
      </c>
      <c r="J4771">
        <v>-327.20600000000002</v>
      </c>
      <c r="K4771">
        <v>1.119909</v>
      </c>
      <c r="L4771">
        <v>16.062349999999999</v>
      </c>
      <c r="M4771">
        <v>0.99982669999999996</v>
      </c>
      <c r="N4771">
        <v>-1.329137E-2</v>
      </c>
      <c r="O4771">
        <v>1.3043900000000001E-2</v>
      </c>
      <c r="P4771">
        <v>0.97856050000000006</v>
      </c>
      <c r="Q4771">
        <v>0.1802126</v>
      </c>
      <c r="R4771">
        <v>-9.9716520000000003E-2</v>
      </c>
      <c r="S4771">
        <v>3.0242610000000001</v>
      </c>
      <c r="T4771">
        <v>-0.20643529999999999</v>
      </c>
      <c r="U4771">
        <v>-0.78900150000000002</v>
      </c>
      <c r="V4771">
        <v>0.1131351</v>
      </c>
      <c r="W4771">
        <v>0.1927981</v>
      </c>
      <c r="X4771">
        <v>0.97469450000000002</v>
      </c>
      <c r="Y4771">
        <v>0.26432870000000003</v>
      </c>
      <c r="Z4771">
        <v>-1.135593E-2</v>
      </c>
      <c r="AA4771">
        <v>0.96436580000000005</v>
      </c>
      <c r="AB4771">
        <v>26</v>
      </c>
      <c r="AC4771">
        <v>16.985399999999899</v>
      </c>
      <c r="AD4771">
        <v>-1.1699090000000001</v>
      </c>
      <c r="AE4771">
        <v>-4.4725999999999901</v>
      </c>
      <c r="AF4771">
        <v>4.6730629163000499</v>
      </c>
      <c r="AG4771">
        <v>-1.1699090000000001</v>
      </c>
      <c r="AH4771">
        <v>16.850851077313401</v>
      </c>
      <c r="AI4771">
        <v>93.827518474926094</v>
      </c>
      <c r="AJ4771">
        <v>74.500289452189506</v>
      </c>
      <c r="AK4771">
        <v>17.5259061425586</v>
      </c>
      <c r="AL4771">
        <v>78.883876804989498</v>
      </c>
      <c r="AM4771">
        <v>83.379170732032705</v>
      </c>
      <c r="AN4771">
        <v>1.0000000132729301</v>
      </c>
    </row>
    <row r="4772" spans="1:40" x14ac:dyDescent="0.25">
      <c r="A4772" t="str">
        <f>"20190303170633340"</f>
        <v>20190303170633340</v>
      </c>
      <c r="B4772" t="str">
        <f>"1551603993330045"</f>
        <v>1551603993330045</v>
      </c>
      <c r="C4772" t="s">
        <v>40</v>
      </c>
      <c r="D4772">
        <v>5.5605539999999998</v>
      </c>
      <c r="E4772">
        <v>0.56524319999999995</v>
      </c>
      <c r="F4772" t="s">
        <v>43</v>
      </c>
      <c r="G4772">
        <v>-305.7989</v>
      </c>
      <c r="H4772">
        <v>-0.05</v>
      </c>
      <c r="I4772">
        <v>10.53181</v>
      </c>
      <c r="J4772">
        <v>-327.02679999999998</v>
      </c>
      <c r="K4772">
        <v>1.11985</v>
      </c>
      <c r="L4772">
        <v>16.06317</v>
      </c>
      <c r="M4772">
        <v>0.99984450000000002</v>
      </c>
      <c r="N4772">
        <v>-1.329052E-2</v>
      </c>
      <c r="O4772">
        <v>1.160132E-2</v>
      </c>
      <c r="P4772">
        <v>0.97793730000000001</v>
      </c>
      <c r="Q4772">
        <v>0.18134140000000001</v>
      </c>
      <c r="R4772">
        <v>-0.1037029</v>
      </c>
      <c r="S4772">
        <v>3.0166629999999999</v>
      </c>
      <c r="T4772">
        <v>-0.1648625</v>
      </c>
      <c r="U4772">
        <v>-0.77935790000000005</v>
      </c>
      <c r="V4772">
        <v>0.1157376</v>
      </c>
      <c r="W4772">
        <v>0.19389239999999999</v>
      </c>
      <c r="X4772">
        <v>0.97417169999999997</v>
      </c>
      <c r="Y4772">
        <v>0.26088660000000002</v>
      </c>
      <c r="Z4772">
        <v>-9.2439389999999996E-3</v>
      </c>
      <c r="AA4772">
        <v>0.96532519999999999</v>
      </c>
      <c r="AB4772">
        <v>26</v>
      </c>
      <c r="AC4772">
        <v>21.227899999999899</v>
      </c>
      <c r="AD4772">
        <v>-1.1698500000000001</v>
      </c>
      <c r="AE4772">
        <v>-5.5313599999999896</v>
      </c>
      <c r="AF4772">
        <v>5.7608975534942797</v>
      </c>
      <c r="AG4772">
        <v>-1.1698500000000001</v>
      </c>
      <c r="AH4772">
        <v>21.102281279428801</v>
      </c>
      <c r="AI4772">
        <v>93.061265053339298</v>
      </c>
      <c r="AJ4772">
        <v>74.730401757269803</v>
      </c>
      <c r="AK4772">
        <v>21.905770126623899</v>
      </c>
      <c r="AL4772">
        <v>78.819971800962705</v>
      </c>
      <c r="AM4772">
        <v>83.224667001600906</v>
      </c>
      <c r="AN4772">
        <v>0.99999997795620399</v>
      </c>
    </row>
    <row r="4773" spans="1:40" x14ac:dyDescent="0.25">
      <c r="A4773" t="str">
        <f>"20190303170633356"</f>
        <v>20190303170633356</v>
      </c>
      <c r="B4773" t="str">
        <f>"1551603993349564"</f>
        <v>1551603993349564</v>
      </c>
      <c r="C4773" t="s">
        <v>40</v>
      </c>
      <c r="D4773">
        <v>5.5362929999999997</v>
      </c>
      <c r="E4773">
        <v>0.56480410000000003</v>
      </c>
      <c r="F4773" t="s">
        <v>43</v>
      </c>
      <c r="G4773">
        <v>-305.66879999999998</v>
      </c>
      <c r="H4773">
        <v>-0.05</v>
      </c>
      <c r="I4773">
        <v>10.457409999999999</v>
      </c>
      <c r="J4773">
        <v>-326.85700000000003</v>
      </c>
      <c r="K4773">
        <v>1.1197969999999999</v>
      </c>
      <c r="L4773">
        <v>16.063569999999999</v>
      </c>
      <c r="M4773">
        <v>0.99985999999999997</v>
      </c>
      <c r="N4773">
        <v>-1.3290079999999999E-2</v>
      </c>
      <c r="O4773">
        <v>1.016972E-2</v>
      </c>
      <c r="P4773">
        <v>0.97761039999999999</v>
      </c>
      <c r="Q4773">
        <v>0.18147179999999999</v>
      </c>
      <c r="R4773">
        <v>-0.1065178</v>
      </c>
      <c r="S4773">
        <v>3.014465</v>
      </c>
      <c r="T4773">
        <v>-0.16511300000000001</v>
      </c>
      <c r="U4773">
        <v>-0.79119869999999903</v>
      </c>
      <c r="V4773">
        <v>0.1171788</v>
      </c>
      <c r="W4773">
        <v>0.19399810000000001</v>
      </c>
      <c r="X4773">
        <v>0.97397840000000002</v>
      </c>
      <c r="Y4773">
        <v>0.26322069999999997</v>
      </c>
      <c r="Z4773">
        <v>-9.2782699999999999E-3</v>
      </c>
      <c r="AA4773">
        <v>0.96469099999999997</v>
      </c>
      <c r="AB4773">
        <v>26</v>
      </c>
      <c r="AC4773">
        <v>21.188199999999998</v>
      </c>
      <c r="AD4773">
        <v>-1.169797</v>
      </c>
      <c r="AE4773">
        <v>-5.60616</v>
      </c>
      <c r="AF4773">
        <v>5.8048309226437302</v>
      </c>
      <c r="AG4773">
        <v>-1.169797</v>
      </c>
      <c r="AH4773">
        <v>21.070063775965298</v>
      </c>
      <c r="AI4773">
        <v>93.063845784183997</v>
      </c>
      <c r="AJ4773">
        <v>74.597046782735205</v>
      </c>
      <c r="AK4773">
        <v>21.886344477434701</v>
      </c>
      <c r="AL4773">
        <v>78.8137989952493</v>
      </c>
      <c r="AM4773">
        <v>83.139749064637002</v>
      </c>
      <c r="AN4773">
        <v>1.0000000288198001</v>
      </c>
    </row>
    <row r="4774" spans="1:40" x14ac:dyDescent="0.25">
      <c r="A4774" t="str">
        <f>"20190303170633375"</f>
        <v>20190303170633375</v>
      </c>
      <c r="B4774" t="str">
        <f>"1551603993370060"</f>
        <v>1551603993370060</v>
      </c>
      <c r="C4774" t="s">
        <v>40</v>
      </c>
      <c r="D4774">
        <v>5.5318069999999997</v>
      </c>
      <c r="E4774">
        <v>0.56460459999999901</v>
      </c>
      <c r="F4774" t="s">
        <v>43</v>
      </c>
      <c r="G4774">
        <v>-305.68270000000001</v>
      </c>
      <c r="H4774">
        <v>-0.05</v>
      </c>
      <c r="I4774">
        <v>10.46721</v>
      </c>
      <c r="J4774">
        <v>-326.63029999999998</v>
      </c>
      <c r="K4774">
        <v>1.119715</v>
      </c>
      <c r="L4774">
        <v>16.06372</v>
      </c>
      <c r="M4774">
        <v>0.9998783</v>
      </c>
      <c r="N4774">
        <v>-1.328994E-2</v>
      </c>
      <c r="O4774">
        <v>8.1794759999999998E-3</v>
      </c>
      <c r="P4774">
        <v>0.97720019999999996</v>
      </c>
      <c r="Q4774">
        <v>0.18130640000000001</v>
      </c>
      <c r="R4774">
        <v>-0.1104885</v>
      </c>
      <c r="S4774">
        <v>3.012848</v>
      </c>
      <c r="T4774">
        <v>-0.16644779999999901</v>
      </c>
      <c r="U4774">
        <v>-0.79629519999999998</v>
      </c>
      <c r="V4774">
        <v>0.11923830000000001</v>
      </c>
      <c r="W4774">
        <v>0.19379930000000001</v>
      </c>
      <c r="X4774">
        <v>0.97376799999999997</v>
      </c>
      <c r="Y4774">
        <v>0.26294869999999998</v>
      </c>
      <c r="Z4774">
        <v>-9.2513419999999992E-3</v>
      </c>
      <c r="AA4774">
        <v>0.96476550000000005</v>
      </c>
      <c r="AB4774">
        <v>26</v>
      </c>
      <c r="AC4774">
        <v>20.947599999999898</v>
      </c>
      <c r="AD4774">
        <v>-1.1697150000000001</v>
      </c>
      <c r="AE4774">
        <v>-5.5965099999999897</v>
      </c>
      <c r="AF4774">
        <v>5.7509408761029102</v>
      </c>
      <c r="AG4774">
        <v>-1.1697150000000001</v>
      </c>
      <c r="AH4774">
        <v>20.840465029292101</v>
      </c>
      <c r="AI4774">
        <v>93.096962071567802</v>
      </c>
      <c r="AJ4774">
        <v>74.573119819157498</v>
      </c>
      <c r="AK4774">
        <v>21.651016991790598</v>
      </c>
      <c r="AL4774">
        <v>78.825409755902498</v>
      </c>
      <c r="AM4774">
        <v>83.018861316791302</v>
      </c>
      <c r="AN4774">
        <v>1.0000000293456801</v>
      </c>
    </row>
    <row r="4775" spans="1:40" x14ac:dyDescent="0.25">
      <c r="A4775" t="str">
        <f>"20190303170633388"</f>
        <v>20190303170633388</v>
      </c>
      <c r="B4775" t="str">
        <f>"1551603993379819"</f>
        <v>1551603993379819</v>
      </c>
      <c r="C4775" t="s">
        <v>40</v>
      </c>
      <c r="D4775">
        <v>5.5214730000000003</v>
      </c>
      <c r="E4775">
        <v>0.56460429999999995</v>
      </c>
      <c r="F4775" t="s">
        <v>43</v>
      </c>
      <c r="G4775">
        <v>-305.64749999999998</v>
      </c>
      <c r="H4775">
        <v>-0.05</v>
      </c>
      <c r="I4775">
        <v>10.43872</v>
      </c>
      <c r="J4775">
        <v>-326.48039999999997</v>
      </c>
      <c r="K4775">
        <v>1.1196630000000001</v>
      </c>
      <c r="L4775">
        <v>16.06354</v>
      </c>
      <c r="M4775">
        <v>0.99988869999999996</v>
      </c>
      <c r="N4775">
        <v>-1.3290089999999999E-2</v>
      </c>
      <c r="O4775">
        <v>6.8117230000000004E-3</v>
      </c>
      <c r="P4775">
        <v>0.97704480000000005</v>
      </c>
      <c r="Q4775">
        <v>0.18077860000000001</v>
      </c>
      <c r="R4775">
        <v>-0.1127073</v>
      </c>
      <c r="S4775">
        <v>3.0099179999999999</v>
      </c>
      <c r="T4775">
        <v>-0.16779160000000001</v>
      </c>
      <c r="U4775">
        <v>-0.80688479999999996</v>
      </c>
      <c r="V4775">
        <v>0.12014229999999999</v>
      </c>
      <c r="W4775">
        <v>0.19325329999999999</v>
      </c>
      <c r="X4775">
        <v>0.9737654</v>
      </c>
      <c r="Y4775">
        <v>0.26501989999999997</v>
      </c>
      <c r="Z4775">
        <v>-9.3307939999999999E-3</v>
      </c>
      <c r="AA4775">
        <v>0.96419779999999999</v>
      </c>
      <c r="AB4775">
        <v>26</v>
      </c>
      <c r="AC4775">
        <v>20.832899999999899</v>
      </c>
      <c r="AD4775">
        <v>-1.1696629999999999</v>
      </c>
      <c r="AE4775">
        <v>-5.6248199999999997</v>
      </c>
      <c r="AF4775">
        <v>5.7497168059476902</v>
      </c>
      <c r="AG4775">
        <v>-1.1696629999999999</v>
      </c>
      <c r="AH4775">
        <v>20.733182771074802</v>
      </c>
      <c r="AI4775">
        <v>93.111724915294403</v>
      </c>
      <c r="AJ4775">
        <v>74.500265986695794</v>
      </c>
      <c r="AK4775">
        <v>21.547441210059301</v>
      </c>
      <c r="AL4775">
        <v>78.857296091250404</v>
      </c>
      <c r="AM4775">
        <v>82.966443690387095</v>
      </c>
      <c r="AN4775">
        <v>1.00000003222366</v>
      </c>
    </row>
    <row r="4776" spans="1:40" x14ac:dyDescent="0.25">
      <c r="A4776" t="str">
        <f>"20190303170633399"</f>
        <v>20190303170633399</v>
      </c>
      <c r="B4776" t="str">
        <f>"1551603993389580"</f>
        <v>1551603993389580</v>
      </c>
      <c r="C4776" t="s">
        <v>40</v>
      </c>
      <c r="D4776">
        <v>5.5373669999999997</v>
      </c>
      <c r="E4776">
        <v>0.56457199999999996</v>
      </c>
      <c r="F4776" t="s">
        <v>43</v>
      </c>
      <c r="G4776">
        <v>-305.66239999999999</v>
      </c>
      <c r="H4776">
        <v>-0.05</v>
      </c>
      <c r="I4776">
        <v>10.43037</v>
      </c>
      <c r="J4776">
        <v>-326.34350000000001</v>
      </c>
      <c r="K4776">
        <v>1.1196159999999999</v>
      </c>
      <c r="L4776">
        <v>16.06317</v>
      </c>
      <c r="M4776">
        <v>0.99989649999999997</v>
      </c>
      <c r="N4776">
        <v>-1.329033E-2</v>
      </c>
      <c r="O4776">
        <v>5.527634E-3</v>
      </c>
      <c r="P4776">
        <v>0.97683690000000001</v>
      </c>
      <c r="Q4776">
        <v>0.18057509999999999</v>
      </c>
      <c r="R4776">
        <v>-0.1148166</v>
      </c>
      <c r="S4776">
        <v>3.0078740000000002</v>
      </c>
      <c r="T4776">
        <v>-0.16899839999999999</v>
      </c>
      <c r="U4776">
        <v>-0.81390379999999996</v>
      </c>
      <c r="V4776">
        <v>0.12101720000000001</v>
      </c>
      <c r="W4776">
        <v>0.19303200000000001</v>
      </c>
      <c r="X4776">
        <v>0.97370089999999998</v>
      </c>
      <c r="Y4776">
        <v>0.26603589999999999</v>
      </c>
      <c r="Z4776">
        <v>-9.3697450000000005E-3</v>
      </c>
      <c r="AA4776">
        <v>0.96391760000000004</v>
      </c>
      <c r="AB4776">
        <v>26</v>
      </c>
      <c r="AC4776">
        <v>20.681100000000001</v>
      </c>
      <c r="AD4776">
        <v>-1.169616</v>
      </c>
      <c r="AE4776">
        <v>-5.6327999999999996</v>
      </c>
      <c r="AF4776">
        <v>5.7299801784692699</v>
      </c>
      <c r="AG4776">
        <v>-1.169616</v>
      </c>
      <c r="AH4776">
        <v>20.5883420565244</v>
      </c>
      <c r="AI4776">
        <v>93.132646770093004</v>
      </c>
      <c r="AJ4776">
        <v>74.447483234957204</v>
      </c>
      <c r="AK4776">
        <v>21.402815307093601</v>
      </c>
      <c r="AL4776">
        <v>78.870218378116704</v>
      </c>
      <c r="AM4776">
        <v>82.915278012389606</v>
      </c>
      <c r="AN4776">
        <v>0.99999997919032402</v>
      </c>
    </row>
    <row r="4777" spans="1:40" x14ac:dyDescent="0.25">
      <c r="A4777" t="str">
        <f>"20190303170633412"</f>
        <v>20190303170633412</v>
      </c>
      <c r="B4777" t="str">
        <f>"1551603993399340"</f>
        <v>1551603993399340</v>
      </c>
      <c r="C4777" t="s">
        <v>40</v>
      </c>
      <c r="D4777">
        <v>5.5466790000000001</v>
      </c>
      <c r="E4777">
        <v>0.56459389999999998</v>
      </c>
      <c r="F4777" t="s">
        <v>43</v>
      </c>
      <c r="G4777">
        <v>-305.64150000000001</v>
      </c>
      <c r="H4777">
        <v>-0.05</v>
      </c>
      <c r="I4777">
        <v>10.41507</v>
      </c>
      <c r="J4777">
        <v>-326.20549999999997</v>
      </c>
      <c r="K4777">
        <v>1.1195759999999999</v>
      </c>
      <c r="L4777">
        <v>16.0625</v>
      </c>
      <c r="M4777">
        <v>0.99990310000000004</v>
      </c>
      <c r="N4777">
        <v>-1.3290700000000001E-2</v>
      </c>
      <c r="O4777">
        <v>4.1920150000000003E-3</v>
      </c>
      <c r="P4777">
        <v>0.97656860000000001</v>
      </c>
      <c r="Q4777">
        <v>0.18060229999999999</v>
      </c>
      <c r="R4777">
        <v>-0.11703429999999999</v>
      </c>
      <c r="S4777">
        <v>3.0061339999999999</v>
      </c>
      <c r="T4777">
        <v>-0.16983999999999999</v>
      </c>
      <c r="U4777">
        <v>-0.82015990000000005</v>
      </c>
      <c r="V4777">
        <v>0.12195060000000001</v>
      </c>
      <c r="W4777">
        <v>0.1930414</v>
      </c>
      <c r="X4777">
        <v>0.97358259999999996</v>
      </c>
      <c r="Y4777">
        <v>0.26675219999999999</v>
      </c>
      <c r="Z4777">
        <v>-9.3786049999999999E-3</v>
      </c>
      <c r="AA4777">
        <v>0.96371949999999995</v>
      </c>
      <c r="AB4777">
        <v>26</v>
      </c>
      <c r="AC4777">
        <v>20.563999999999901</v>
      </c>
      <c r="AD4777">
        <v>-1.1695759999999999</v>
      </c>
      <c r="AE4777">
        <v>-5.6474299999999999</v>
      </c>
      <c r="AF4777">
        <v>5.7163982005824003</v>
      </c>
      <c r="AG4777">
        <v>-1.1695759999999999</v>
      </c>
      <c r="AH4777">
        <v>20.478545638206899</v>
      </c>
      <c r="AI4777">
        <v>93.148627589979995</v>
      </c>
      <c r="AJ4777">
        <v>74.403411796952597</v>
      </c>
      <c r="AK4777">
        <v>21.2935658794745</v>
      </c>
      <c r="AL4777">
        <v>78.869669764539907</v>
      </c>
      <c r="AM4777">
        <v>82.860337055917498</v>
      </c>
      <c r="AN4777">
        <v>1.00000000498853</v>
      </c>
    </row>
    <row r="4778" spans="1:40" x14ac:dyDescent="0.25">
      <c r="A4778" t="str">
        <f>"20190303170633425"</f>
        <v>20190303170633425</v>
      </c>
      <c r="B4778" t="str">
        <f>"1551603993419837"</f>
        <v>1551603993419837</v>
      </c>
      <c r="C4778" t="s">
        <v>40</v>
      </c>
      <c r="D4778">
        <v>5.5580569999999998</v>
      </c>
      <c r="E4778">
        <v>0.56453359999999997</v>
      </c>
      <c r="F4778" t="s">
        <v>43</v>
      </c>
      <c r="G4778">
        <v>-305.54919999999998</v>
      </c>
      <c r="H4778">
        <v>-0.05</v>
      </c>
      <c r="I4778">
        <v>10.374689999999999</v>
      </c>
      <c r="J4778">
        <v>-326.05509999999998</v>
      </c>
      <c r="K4778">
        <v>1.1195269999999999</v>
      </c>
      <c r="L4778">
        <v>16.061610000000002</v>
      </c>
      <c r="M4778">
        <v>0.99990809999999997</v>
      </c>
      <c r="N4778">
        <v>-1.329109E-2</v>
      </c>
      <c r="O4778">
        <v>2.712805E-3</v>
      </c>
      <c r="P4778">
        <v>0.9763077</v>
      </c>
      <c r="Q4778">
        <v>0.180594</v>
      </c>
      <c r="R4778">
        <v>-0.11920260000000001</v>
      </c>
      <c r="S4778">
        <v>3.0042719999999998</v>
      </c>
      <c r="T4778">
        <v>-0.17010459999999999</v>
      </c>
      <c r="U4778">
        <v>-0.82723999999999998</v>
      </c>
      <c r="V4778">
        <v>0.1226964</v>
      </c>
      <c r="W4778">
        <v>0.1930152</v>
      </c>
      <c r="X4778">
        <v>0.97349410000000003</v>
      </c>
      <c r="Y4778">
        <v>0.26758870000000001</v>
      </c>
      <c r="Z4778">
        <v>-9.3593449999999998E-3</v>
      </c>
      <c r="AA4778">
        <v>0.96348769999999995</v>
      </c>
      <c r="AB4778">
        <v>26</v>
      </c>
      <c r="AC4778">
        <v>20.5059</v>
      </c>
      <c r="AD4778">
        <v>-1.169527</v>
      </c>
      <c r="AE4778">
        <v>-5.6869199999999998</v>
      </c>
      <c r="AF4778">
        <v>5.7252392577695197</v>
      </c>
      <c r="AG4778">
        <v>-1.169527</v>
      </c>
      <c r="AH4778">
        <v>20.4286902948798</v>
      </c>
      <c r="AI4778">
        <v>93.155254107158299</v>
      </c>
      <c r="AJ4778">
        <v>74.344214885935401</v>
      </c>
      <c r="AK4778">
        <v>21.248000967774601</v>
      </c>
      <c r="AL4778">
        <v>78.871199837729705</v>
      </c>
      <c r="AM4778">
        <v>82.816482310919397</v>
      </c>
      <c r="AN4778">
        <v>1.0000000183694</v>
      </c>
    </row>
    <row r="4779" spans="1:40" x14ac:dyDescent="0.25">
      <c r="A4779" t="str">
        <f>"20190303170633439"</f>
        <v>20190303170633439</v>
      </c>
      <c r="B4779" t="str">
        <f>"1551603993429596"</f>
        <v>1551603993429596</v>
      </c>
      <c r="C4779" t="s">
        <v>40</v>
      </c>
      <c r="D4779">
        <v>5.5446790000000004</v>
      </c>
      <c r="E4779">
        <v>0.56448609999999999</v>
      </c>
      <c r="F4779" t="s">
        <v>43</v>
      </c>
      <c r="G4779">
        <v>-305.60939999999999</v>
      </c>
      <c r="H4779">
        <v>-0.05</v>
      </c>
      <c r="I4779">
        <v>10.3893</v>
      </c>
      <c r="J4779">
        <v>-325.88600000000002</v>
      </c>
      <c r="K4779">
        <v>1.1194770000000001</v>
      </c>
      <c r="L4779">
        <v>16.060210000000001</v>
      </c>
      <c r="M4779">
        <v>0.9999112</v>
      </c>
      <c r="N4779">
        <v>-1.329174E-2</v>
      </c>
      <c r="O4779">
        <v>9.9229770000000008E-4</v>
      </c>
      <c r="P4779">
        <v>0.9759736</v>
      </c>
      <c r="Q4779">
        <v>0.18071490000000001</v>
      </c>
      <c r="R4779">
        <v>-0.1217289</v>
      </c>
      <c r="S4779">
        <v>3.002869</v>
      </c>
      <c r="T4779">
        <v>-0.17176949999999999</v>
      </c>
      <c r="U4779">
        <v>-0.83309940000000005</v>
      </c>
      <c r="V4779">
        <v>0.1235672</v>
      </c>
      <c r="W4779">
        <v>0.1931158</v>
      </c>
      <c r="X4779">
        <v>0.97336400000000001</v>
      </c>
      <c r="Y4779">
        <v>0.267785099999999</v>
      </c>
      <c r="Z4779">
        <v>-9.368276E-3</v>
      </c>
      <c r="AA4779">
        <v>0.96343310000000004</v>
      </c>
      <c r="AB4779">
        <v>26</v>
      </c>
      <c r="AC4779">
        <v>20.276599999999899</v>
      </c>
      <c r="AD4779">
        <v>-1.1694770000000001</v>
      </c>
      <c r="AE4779">
        <v>-5.6709100000000001</v>
      </c>
      <c r="AF4779">
        <v>5.6735253435657196</v>
      </c>
      <c r="AG4779">
        <v>-1.1694770000000001</v>
      </c>
      <c r="AH4779">
        <v>20.208614299975899</v>
      </c>
      <c r="AI4779">
        <v>93.189000797273593</v>
      </c>
      <c r="AJ4779">
        <v>74.318026863326907</v>
      </c>
      <c r="AK4779">
        <v>21.0224798300011</v>
      </c>
      <c r="AL4779">
        <v>78.865325386750101</v>
      </c>
      <c r="AM4779">
        <v>82.765081058374605</v>
      </c>
      <c r="AN4779">
        <v>1.00000002081073</v>
      </c>
    </row>
    <row r="4780" spans="1:40" x14ac:dyDescent="0.25">
      <c r="A4780" t="str">
        <f>"20190303170633453"</f>
        <v>20190303170633453</v>
      </c>
      <c r="B4780" t="str">
        <f>"1551603993439356"</f>
        <v>1551603993439356</v>
      </c>
      <c r="C4780" t="s">
        <v>40</v>
      </c>
      <c r="D4780">
        <v>5.5575340000000004</v>
      </c>
      <c r="E4780">
        <v>0.56445279999999998</v>
      </c>
      <c r="F4780" t="s">
        <v>43</v>
      </c>
      <c r="G4780">
        <v>-305.40679999999998</v>
      </c>
      <c r="H4780">
        <v>-0.05</v>
      </c>
      <c r="I4780">
        <v>10.322660000000001</v>
      </c>
      <c r="J4780">
        <v>-325.7217</v>
      </c>
      <c r="K4780">
        <v>1.1194329999999999</v>
      </c>
      <c r="L4780">
        <v>16.058529999999902</v>
      </c>
      <c r="M4780">
        <v>0.99991140000000001</v>
      </c>
      <c r="N4780">
        <v>-1.3292470000000001E-2</v>
      </c>
      <c r="O4780">
        <v>-7.2382809999999996E-4</v>
      </c>
      <c r="P4780">
        <v>0.97548089999999998</v>
      </c>
      <c r="Q4780">
        <v>0.18098700000000001</v>
      </c>
      <c r="R4780">
        <v>-0.12522239999999901</v>
      </c>
      <c r="S4780">
        <v>3.0007320000000002</v>
      </c>
      <c r="T4780">
        <v>-0.1713586</v>
      </c>
      <c r="U4780">
        <v>-0.84069819999999995</v>
      </c>
      <c r="V4780">
        <v>0.12540899999999999</v>
      </c>
      <c r="W4780">
        <v>0.19336229999999999</v>
      </c>
      <c r="X4780">
        <v>0.97307940000000004</v>
      </c>
      <c r="Y4780">
        <v>0.26857389999999998</v>
      </c>
      <c r="Z4780">
        <v>-9.3073029999999994E-3</v>
      </c>
      <c r="AA4780">
        <v>0.96321409999999996</v>
      </c>
      <c r="AB4780">
        <v>26</v>
      </c>
      <c r="AC4780">
        <v>20.314900000000002</v>
      </c>
      <c r="AD4780">
        <v>-1.1694329999999999</v>
      </c>
      <c r="AE4780">
        <v>-5.7358699999999896</v>
      </c>
      <c r="AF4780">
        <v>5.7036576478481198</v>
      </c>
      <c r="AG4780">
        <v>-1.1694329999999999</v>
      </c>
      <c r="AH4780">
        <v>20.256876593417001</v>
      </c>
      <c r="AI4780">
        <v>93.180622025266501</v>
      </c>
      <c r="AJ4780">
        <v>74.274559243709703</v>
      </c>
      <c r="AK4780">
        <v>21.077009594016602</v>
      </c>
      <c r="AL4780">
        <v>78.850929946704298</v>
      </c>
      <c r="AM4780">
        <v>82.656287003192304</v>
      </c>
      <c r="AN4780">
        <v>0.99999995752332405</v>
      </c>
    </row>
    <row r="4781" spans="1:40" x14ac:dyDescent="0.25">
      <c r="A4781" t="str">
        <f>"20190303170633466"</f>
        <v>20190303170633466</v>
      </c>
      <c r="B4781" t="str">
        <f>"1551603993459852"</f>
        <v>1551603993459852</v>
      </c>
      <c r="C4781" t="s">
        <v>40</v>
      </c>
      <c r="D4781">
        <v>5.5415020000000004</v>
      </c>
      <c r="E4781">
        <v>0.56434269999999997</v>
      </c>
      <c r="F4781" t="s">
        <v>43</v>
      </c>
      <c r="G4781">
        <v>-305.26</v>
      </c>
      <c r="H4781">
        <v>-0.05</v>
      </c>
      <c r="I4781">
        <v>10.25426</v>
      </c>
      <c r="J4781">
        <v>-325.5643</v>
      </c>
      <c r="K4781">
        <v>1.119391</v>
      </c>
      <c r="L4781">
        <v>16.05667</v>
      </c>
      <c r="M4781">
        <v>0.99990889999999999</v>
      </c>
      <c r="N4781">
        <v>-1.329318E-2</v>
      </c>
      <c r="O4781">
        <v>-2.3977970000000001E-3</v>
      </c>
      <c r="P4781">
        <v>0.97509230000000002</v>
      </c>
      <c r="Q4781">
        <v>0.18107519999999999</v>
      </c>
      <c r="R4781">
        <v>-0.1280897</v>
      </c>
      <c r="S4781">
        <v>2.9980159999999998</v>
      </c>
      <c r="T4781">
        <v>-0.17134369999999999</v>
      </c>
      <c r="U4781">
        <v>-0.85043329999999995</v>
      </c>
      <c r="V4781">
        <v>0.1266641</v>
      </c>
      <c r="W4781">
        <v>0.19343070000000001</v>
      </c>
      <c r="X4781">
        <v>0.97290330000000003</v>
      </c>
      <c r="Y4781">
        <v>0.27008349999999998</v>
      </c>
      <c r="Z4781">
        <v>-9.2914320000000005E-3</v>
      </c>
      <c r="AA4781">
        <v>0.96279199999999998</v>
      </c>
      <c r="AB4781">
        <v>26</v>
      </c>
      <c r="AC4781">
        <v>20.304300000000001</v>
      </c>
      <c r="AD4781">
        <v>-1.1693910000000001</v>
      </c>
      <c r="AE4781">
        <v>-5.8024100000000001</v>
      </c>
      <c r="AF4781">
        <v>5.7361133425684496</v>
      </c>
      <c r="AG4781">
        <v>-1.1693910000000001</v>
      </c>
      <c r="AH4781">
        <v>20.2560396538472</v>
      </c>
      <c r="AI4781">
        <v>93.179299754538903</v>
      </c>
      <c r="AJ4781">
        <v>74.188917837642904</v>
      </c>
      <c r="AK4781">
        <v>21.085009225701199</v>
      </c>
      <c r="AL4781">
        <v>78.846936327654305</v>
      </c>
      <c r="AM4781">
        <v>82.582277492882</v>
      </c>
      <c r="AN4781">
        <v>1.0000000305410901</v>
      </c>
    </row>
    <row r="4782" spans="1:40" x14ac:dyDescent="0.25">
      <c r="A4782" t="str">
        <f>"20190303170633487"</f>
        <v>20190303170633487</v>
      </c>
      <c r="B4782" t="str">
        <f>"1551603993479372"</f>
        <v>1551603993479372</v>
      </c>
      <c r="C4782" t="s">
        <v>40</v>
      </c>
      <c r="D4782">
        <v>5.539542</v>
      </c>
      <c r="E4782">
        <v>0.5642395</v>
      </c>
      <c r="F4782" t="s">
        <v>43</v>
      </c>
      <c r="G4782">
        <v>-305.07459999999998</v>
      </c>
      <c r="H4782">
        <v>-0.05</v>
      </c>
      <c r="I4782">
        <v>10.18909</v>
      </c>
      <c r="J4782">
        <v>-325.32729999999998</v>
      </c>
      <c r="K4782">
        <v>1.119327</v>
      </c>
      <c r="L4782">
        <v>16.053249999999998</v>
      </c>
      <c r="M4782">
        <v>0.99989919999999999</v>
      </c>
      <c r="N4782">
        <v>-1.329441E-2</v>
      </c>
      <c r="O4782">
        <v>-4.9924289999999996E-3</v>
      </c>
      <c r="P4782">
        <v>0.97443500000000005</v>
      </c>
      <c r="Q4782">
        <v>0.18067510000000001</v>
      </c>
      <c r="R4782">
        <v>-0.1335412</v>
      </c>
      <c r="S4782">
        <v>2.9957280000000002</v>
      </c>
      <c r="T4782">
        <v>-0.17097309999999999</v>
      </c>
      <c r="U4782">
        <v>-0.85787959999999996</v>
      </c>
      <c r="V4782">
        <v>0.12961349999999999</v>
      </c>
      <c r="W4782">
        <v>0.1929951</v>
      </c>
      <c r="X4782">
        <v>0.9726013</v>
      </c>
      <c r="Y4782">
        <v>0.26999600000000001</v>
      </c>
      <c r="Z4782">
        <v>-9.1649009999999996E-3</v>
      </c>
      <c r="AA4782">
        <v>0.96281779999999995</v>
      </c>
      <c r="AB4782">
        <v>26</v>
      </c>
      <c r="AC4782">
        <v>20.252700000000001</v>
      </c>
      <c r="AD4782">
        <v>-1.169327</v>
      </c>
      <c r="AE4782">
        <v>-5.8641599999999903</v>
      </c>
      <c r="AF4782">
        <v>5.7452971036430904</v>
      </c>
      <c r="AG4782">
        <v>-1.169327</v>
      </c>
      <c r="AH4782">
        <v>20.219537693881001</v>
      </c>
      <c r="AI4782">
        <v>93.184048054056007</v>
      </c>
      <c r="AJ4782">
        <v>74.137722606485994</v>
      </c>
      <c r="AK4782">
        <v>21.052445677315799</v>
      </c>
      <c r="AL4782">
        <v>78.872373664201206</v>
      </c>
      <c r="AM4782">
        <v>82.409215774574307</v>
      </c>
      <c r="AN4782">
        <v>1.0000000283839701</v>
      </c>
    </row>
    <row r="4783" spans="1:40" x14ac:dyDescent="0.25">
      <c r="A4783" t="str">
        <f>"20190303170633497"</f>
        <v>20190303170633497</v>
      </c>
      <c r="B4783" t="str">
        <f>"1551603993490108"</f>
        <v>1551603993490108</v>
      </c>
      <c r="C4783" t="s">
        <v>40</v>
      </c>
      <c r="D4783">
        <v>5.5510529999999996</v>
      </c>
      <c r="E4783">
        <v>0.5641545</v>
      </c>
      <c r="F4783" t="s">
        <v>43</v>
      </c>
      <c r="G4783">
        <v>-305.09109999999998</v>
      </c>
      <c r="H4783">
        <v>-0.05</v>
      </c>
      <c r="I4783">
        <v>10.143969999999999</v>
      </c>
      <c r="J4783">
        <v>-325.20080000000002</v>
      </c>
      <c r="K4783">
        <v>1.1192949999999999</v>
      </c>
      <c r="L4783">
        <v>16.051120000000001</v>
      </c>
      <c r="M4783">
        <v>0.99989110000000003</v>
      </c>
      <c r="N4783">
        <v>-1.329516E-2</v>
      </c>
      <c r="O4783">
        <v>-6.410219E-3</v>
      </c>
      <c r="P4783">
        <v>0.9740839</v>
      </c>
      <c r="Q4783">
        <v>0.1806403</v>
      </c>
      <c r="R4783">
        <v>-0.13612469999999999</v>
      </c>
      <c r="S4783">
        <v>2.9910890000000001</v>
      </c>
      <c r="T4783">
        <v>-0.172836299999999</v>
      </c>
      <c r="U4783">
        <v>-0.87344359999999999</v>
      </c>
      <c r="V4783">
        <v>0.13083059999999999</v>
      </c>
      <c r="W4783">
        <v>0.19294359999999999</v>
      </c>
      <c r="X4783">
        <v>0.97244850000000005</v>
      </c>
      <c r="Y4783">
        <v>0.2736307</v>
      </c>
      <c r="Z4783">
        <v>-9.3169359999999996E-3</v>
      </c>
      <c r="AA4783">
        <v>0.96178969999999997</v>
      </c>
      <c r="AB4783">
        <v>26</v>
      </c>
      <c r="AC4783">
        <v>20.1097</v>
      </c>
      <c r="AD4783">
        <v>-1.169295</v>
      </c>
      <c r="AE4783">
        <v>-5.9071499999999997</v>
      </c>
      <c r="AF4783">
        <v>5.7601817726281102</v>
      </c>
      <c r="AG4783">
        <v>-1.169295</v>
      </c>
      <c r="AH4783">
        <v>20.084645204733</v>
      </c>
      <c r="AI4783">
        <v>93.203064588696705</v>
      </c>
      <c r="AJ4783">
        <v>73.997357637079404</v>
      </c>
      <c r="AK4783">
        <v>20.927014069158201</v>
      </c>
      <c r="AL4783">
        <v>78.875380395207998</v>
      </c>
      <c r="AM4783">
        <v>82.337589816373395</v>
      </c>
      <c r="AN4783">
        <v>0.99999998191478401</v>
      </c>
    </row>
    <row r="4784" spans="1:40" x14ac:dyDescent="0.25">
      <c r="A4784" t="str">
        <f>"20190303170633508"</f>
        <v>20190303170633508</v>
      </c>
      <c r="B4784" t="str">
        <f>"1551603993499868"</f>
        <v>1551603993499868</v>
      </c>
      <c r="C4784" t="s">
        <v>40</v>
      </c>
      <c r="D4784">
        <v>5.5315479999999999</v>
      </c>
      <c r="E4784">
        <v>0.56411279999999997</v>
      </c>
      <c r="F4784" t="s">
        <v>43</v>
      </c>
      <c r="G4784">
        <v>-305.0068</v>
      </c>
      <c r="H4784">
        <v>-0.05</v>
      </c>
      <c r="I4784">
        <v>10.10205</v>
      </c>
      <c r="J4784">
        <v>-325.08089999999999</v>
      </c>
      <c r="K4784">
        <v>1.119264</v>
      </c>
      <c r="L4784">
        <v>16.048919999999999</v>
      </c>
      <c r="M4784">
        <v>0.99988140000000003</v>
      </c>
      <c r="N4784">
        <v>-1.329588E-2</v>
      </c>
      <c r="O4784">
        <v>-7.7716790000000001E-3</v>
      </c>
      <c r="P4784">
        <v>0.97363169999999999</v>
      </c>
      <c r="Q4784">
        <v>0.1808544</v>
      </c>
      <c r="R4784">
        <v>-0.13904269999999999</v>
      </c>
      <c r="S4784">
        <v>2.9889220000000001</v>
      </c>
      <c r="T4784">
        <v>-0.17306769999999999</v>
      </c>
      <c r="U4784">
        <v>-0.88052369999999902</v>
      </c>
      <c r="V4784">
        <v>0.13243849999999999</v>
      </c>
      <c r="W4784">
        <v>0.1931378</v>
      </c>
      <c r="X4784">
        <v>0.97219230000000001</v>
      </c>
      <c r="Y4784">
        <v>0.27460420000000002</v>
      </c>
      <c r="Z4784">
        <v>-9.3050570000000003E-3</v>
      </c>
      <c r="AA4784">
        <v>0.96151229999999999</v>
      </c>
      <c r="AB4784">
        <v>26</v>
      </c>
      <c r="AC4784">
        <v>20.074099999999898</v>
      </c>
      <c r="AD4784">
        <v>-1.1692639999999901</v>
      </c>
      <c r="AE4784">
        <v>-5.9468699999999997</v>
      </c>
      <c r="AF4784">
        <v>5.77266202599181</v>
      </c>
      <c r="AG4784">
        <v>-1.1692639999999901</v>
      </c>
      <c r="AH4784">
        <v>20.0571560781664</v>
      </c>
      <c r="AI4784">
        <v>93.206498174398106</v>
      </c>
      <c r="AJ4784">
        <v>73.943620897531503</v>
      </c>
      <c r="AK4784">
        <v>20.904074127115798</v>
      </c>
      <c r="AL4784">
        <v>78.864040652182496</v>
      </c>
      <c r="AM4784">
        <v>82.2425395907254</v>
      </c>
      <c r="AN4784">
        <v>1.0000000171251899</v>
      </c>
    </row>
    <row r="4785" spans="1:40" x14ac:dyDescent="0.25">
      <c r="A4785" t="str">
        <f>"20190303170633519"</f>
        <v>20190303170633519</v>
      </c>
      <c r="B4785" t="str">
        <f>"1551603993509628"</f>
        <v>1551603993509628</v>
      </c>
      <c r="C4785" t="s">
        <v>40</v>
      </c>
      <c r="D4785">
        <v>5.5440759999999996</v>
      </c>
      <c r="E4785">
        <v>0.56405159999999999</v>
      </c>
      <c r="F4785" t="s">
        <v>43</v>
      </c>
      <c r="G4785">
        <v>-304.887</v>
      </c>
      <c r="H4785">
        <v>-0.05</v>
      </c>
      <c r="I4785">
        <v>10.039440000000001</v>
      </c>
      <c r="J4785">
        <v>-324.95</v>
      </c>
      <c r="K4785">
        <v>1.119235</v>
      </c>
      <c r="L4785">
        <v>16.04636</v>
      </c>
      <c r="M4785">
        <v>0.9998686</v>
      </c>
      <c r="N4785">
        <v>-1.329669E-2</v>
      </c>
      <c r="O4785">
        <v>-9.2756220000000007E-3</v>
      </c>
      <c r="P4785">
        <v>0.97325910000000004</v>
      </c>
      <c r="Q4785">
        <v>0.1807395</v>
      </c>
      <c r="R4785">
        <v>-0.14177600000000001</v>
      </c>
      <c r="S4785">
        <v>2.98645</v>
      </c>
      <c r="T4785">
        <v>-0.17292109999999999</v>
      </c>
      <c r="U4785">
        <v>-0.88873289999999905</v>
      </c>
      <c r="V4785">
        <v>0.1337217</v>
      </c>
      <c r="W4785">
        <v>0.19300629999999999</v>
      </c>
      <c r="X4785">
        <v>0.97204270000000004</v>
      </c>
      <c r="Y4785">
        <v>0.27580310000000002</v>
      </c>
      <c r="Z4785">
        <v>-9.279242E-3</v>
      </c>
      <c r="AA4785">
        <v>0.96116939999999995</v>
      </c>
      <c r="AB4785">
        <v>26</v>
      </c>
      <c r="AC4785">
        <v>20.062999999999899</v>
      </c>
      <c r="AD4785">
        <v>-1.169235</v>
      </c>
      <c r="AE4785">
        <v>-6.00692</v>
      </c>
      <c r="AF4785">
        <v>5.8024623786843401</v>
      </c>
      <c r="AG4785">
        <v>-1.169235</v>
      </c>
      <c r="AH4785">
        <v>20.0553483372796</v>
      </c>
      <c r="AI4785">
        <v>93.205418735855204</v>
      </c>
      <c r="AJ4785">
        <v>73.863657036015397</v>
      </c>
      <c r="AK4785">
        <v>20.910587678754801</v>
      </c>
      <c r="AL4785">
        <v>78.871718971928999</v>
      </c>
      <c r="AM4785">
        <v>82.167115334193397</v>
      </c>
      <c r="AN4785">
        <v>0.99999996775693401</v>
      </c>
    </row>
    <row r="4786" spans="1:40" x14ac:dyDescent="0.25">
      <c r="A4786" t="str">
        <f>"20190303170633532"</f>
        <v>20190303170633532</v>
      </c>
      <c r="B4786" t="str">
        <f>"1551603993519388"</f>
        <v>1551603993519388</v>
      </c>
      <c r="C4786" t="s">
        <v>40</v>
      </c>
      <c r="D4786">
        <v>5.5672739999999896</v>
      </c>
      <c r="E4786">
        <v>0.56397200000000003</v>
      </c>
      <c r="F4786" t="s">
        <v>43</v>
      </c>
      <c r="G4786">
        <v>-304.8646</v>
      </c>
      <c r="H4786">
        <v>-0.05</v>
      </c>
      <c r="I4786">
        <v>10.01553</v>
      </c>
      <c r="J4786">
        <v>-324.82170000000002</v>
      </c>
      <c r="K4786">
        <v>1.119208</v>
      </c>
      <c r="L4786">
        <v>16.04355</v>
      </c>
      <c r="M4786">
        <v>0.99985360000000001</v>
      </c>
      <c r="N4786">
        <v>-1.329763E-2</v>
      </c>
      <c r="O4786">
        <v>-1.0778970000000001E-2</v>
      </c>
      <c r="P4786">
        <v>0.97287760000000001</v>
      </c>
      <c r="Q4786">
        <v>0.18070049999999999</v>
      </c>
      <c r="R4786">
        <v>-0.1444184</v>
      </c>
      <c r="S4786">
        <v>2.9841609999999998</v>
      </c>
      <c r="T4786">
        <v>-0.17371829999999999</v>
      </c>
      <c r="U4786">
        <v>-0.89602660000000001</v>
      </c>
      <c r="V4786">
        <v>0.13491600000000001</v>
      </c>
      <c r="W4786">
        <v>0.1929506</v>
      </c>
      <c r="X4786">
        <v>0.97188869999999905</v>
      </c>
      <c r="Y4786">
        <v>0.27671089999999998</v>
      </c>
      <c r="Z4786">
        <v>-9.2825010000000003E-3</v>
      </c>
      <c r="AA4786">
        <v>0.9609084</v>
      </c>
      <c r="AB4786">
        <v>26</v>
      </c>
      <c r="AC4786">
        <v>19.957100000000001</v>
      </c>
      <c r="AD4786">
        <v>-1.169208</v>
      </c>
      <c r="AE4786">
        <v>-6.0280199999999997</v>
      </c>
      <c r="AF4786">
        <v>5.79430855029148</v>
      </c>
      <c r="AG4786">
        <v>-1.169208</v>
      </c>
      <c r="AH4786">
        <v>19.9581463307589</v>
      </c>
      <c r="AI4786">
        <v>93.220063351330097</v>
      </c>
      <c r="AJ4786">
        <v>73.810772554875101</v>
      </c>
      <c r="AK4786">
        <v>20.815106626756201</v>
      </c>
      <c r="AL4786">
        <v>78.874971319782702</v>
      </c>
      <c r="AM4786">
        <v>82.096801602559495</v>
      </c>
      <c r="AN4786">
        <v>0.99999995314202295</v>
      </c>
    </row>
    <row r="4787" spans="1:40" x14ac:dyDescent="0.25">
      <c r="A4787" t="str">
        <f>"20190303170633542"</f>
        <v>20190303170633542</v>
      </c>
      <c r="B4787" t="str">
        <f>"1551603993530125"</f>
        <v>1551603993530125</v>
      </c>
      <c r="C4787" t="s">
        <v>40</v>
      </c>
      <c r="D4787">
        <v>5.5610369999999998</v>
      </c>
      <c r="E4787">
        <v>0.56395169999999994</v>
      </c>
      <c r="F4787" t="s">
        <v>43</v>
      </c>
      <c r="G4787">
        <v>-304.81099999999998</v>
      </c>
      <c r="H4787">
        <v>-0.05</v>
      </c>
      <c r="I4787">
        <v>9.9838710000000006</v>
      </c>
      <c r="J4787">
        <v>-324.68810000000002</v>
      </c>
      <c r="K4787">
        <v>1.119178</v>
      </c>
      <c r="L4787">
        <v>16.04053</v>
      </c>
      <c r="M4787">
        <v>0.99983529999999998</v>
      </c>
      <c r="N4787">
        <v>-1.3298580000000001E-2</v>
      </c>
      <c r="O4787">
        <v>-1.2354830000000001E-2</v>
      </c>
      <c r="P4787">
        <v>0.97250559999999997</v>
      </c>
      <c r="Q4787">
        <v>0.18054700000000001</v>
      </c>
      <c r="R4787">
        <v>-0.14709120000000001</v>
      </c>
      <c r="S4787">
        <v>2.981995</v>
      </c>
      <c r="T4787">
        <v>-0.17423569999999999</v>
      </c>
      <c r="U4787">
        <v>-0.90301509999999996</v>
      </c>
      <c r="V4787">
        <v>0.13607079999999999</v>
      </c>
      <c r="W4787">
        <v>0.19278029999999999</v>
      </c>
      <c r="X4787">
        <v>0.97176149999999994</v>
      </c>
      <c r="Y4787">
        <v>0.27744980000000002</v>
      </c>
      <c r="Z4787">
        <v>-9.2642279999999994E-3</v>
      </c>
      <c r="AA4787">
        <v>0.96069539999999998</v>
      </c>
      <c r="AB4787">
        <v>26</v>
      </c>
      <c r="AC4787">
        <v>19.877099999999999</v>
      </c>
      <c r="AD4787">
        <v>-1.1691780000000001</v>
      </c>
      <c r="AE4787">
        <v>-6.0566589999999998</v>
      </c>
      <c r="AF4787">
        <v>5.7922590717420803</v>
      </c>
      <c r="AG4787">
        <v>-1.1691780000000001</v>
      </c>
      <c r="AH4787">
        <v>19.887456640744599</v>
      </c>
      <c r="AI4787">
        <v>93.230599087330305</v>
      </c>
      <c r="AJ4787">
        <v>73.761700209179807</v>
      </c>
      <c r="AK4787">
        <v>20.7467629761213</v>
      </c>
      <c r="AL4787">
        <v>78.884915565963396</v>
      </c>
      <c r="AM4787">
        <v>82.028990767424105</v>
      </c>
      <c r="AN4787">
        <v>0.99999995978148903</v>
      </c>
    </row>
    <row r="4788" spans="1:40" x14ac:dyDescent="0.25">
      <c r="A4788" t="str">
        <f>"20190303170633554"</f>
        <v>20190303170633554</v>
      </c>
      <c r="B4788" t="str">
        <f>"1551603993539884"</f>
        <v>1551603993539884</v>
      </c>
      <c r="C4788" t="s">
        <v>40</v>
      </c>
      <c r="D4788">
        <v>5.5825570000000004</v>
      </c>
      <c r="E4788">
        <v>0.56388169999999904</v>
      </c>
      <c r="F4788" t="s">
        <v>43</v>
      </c>
      <c r="G4788">
        <v>-304.78519999999997</v>
      </c>
      <c r="H4788">
        <v>-0.05</v>
      </c>
      <c r="I4788">
        <v>9.9572299999999991</v>
      </c>
      <c r="J4788">
        <v>-324.56830000000002</v>
      </c>
      <c r="K4788">
        <v>1.1191519999999999</v>
      </c>
      <c r="L4788">
        <v>16.03745</v>
      </c>
      <c r="M4788">
        <v>0.99981620000000004</v>
      </c>
      <c r="N4788">
        <v>-1.3299679999999999E-2</v>
      </c>
      <c r="O4788">
        <v>-1.3810050000000001E-2</v>
      </c>
      <c r="P4788">
        <v>0.9721339</v>
      </c>
      <c r="Q4788">
        <v>0.18022350000000001</v>
      </c>
      <c r="R4788">
        <v>-0.14991670000000001</v>
      </c>
      <c r="S4788">
        <v>2.979584</v>
      </c>
      <c r="T4788">
        <v>-0.17503299999999999</v>
      </c>
      <c r="U4788">
        <v>-0.9107056</v>
      </c>
      <c r="V4788">
        <v>0.13749520000000001</v>
      </c>
      <c r="W4788">
        <v>0.1924392</v>
      </c>
      <c r="X4788">
        <v>0.97162870000000001</v>
      </c>
      <c r="Y4788">
        <v>0.27853129999999998</v>
      </c>
      <c r="Z4788">
        <v>-9.2748880000000002E-3</v>
      </c>
      <c r="AA4788">
        <v>0.96038239999999997</v>
      </c>
      <c r="AB4788">
        <v>26</v>
      </c>
      <c r="AC4788">
        <v>19.783100000000001</v>
      </c>
      <c r="AD4788">
        <v>-1.169152</v>
      </c>
      <c r="AE4788">
        <v>-6.08021999999999</v>
      </c>
      <c r="AF4788">
        <v>5.7879398676277196</v>
      </c>
      <c r="AG4788">
        <v>-1.169152</v>
      </c>
      <c r="AH4788">
        <v>19.801996641122098</v>
      </c>
      <c r="AI4788">
        <v>93.243535555898902</v>
      </c>
      <c r="AJ4788">
        <v>73.706848408723403</v>
      </c>
      <c r="AK4788">
        <v>20.663645256473799</v>
      </c>
      <c r="AL4788">
        <v>78.904833134948404</v>
      </c>
      <c r="AM4788">
        <v>81.945552448563802</v>
      </c>
      <c r="AN4788">
        <v>1.0000000531916799</v>
      </c>
    </row>
    <row r="4789" spans="1:40" x14ac:dyDescent="0.25">
      <c r="A4789" t="str">
        <f>"20190303170633565"</f>
        <v>20190303170633565</v>
      </c>
      <c r="B4789" t="str">
        <f>"1551603993559404"</f>
        <v>1551603993559404</v>
      </c>
      <c r="C4789" t="s">
        <v>40</v>
      </c>
      <c r="D4789">
        <v>5.539936</v>
      </c>
      <c r="E4789">
        <v>0.56376519999999997</v>
      </c>
      <c r="F4789" t="s">
        <v>43</v>
      </c>
      <c r="G4789">
        <v>-304.78579999999999</v>
      </c>
      <c r="H4789">
        <v>-0.05</v>
      </c>
      <c r="I4789">
        <v>9.9300540000000002</v>
      </c>
      <c r="J4789">
        <v>-324.4289</v>
      </c>
      <c r="K4789">
        <v>1.1191169999999999</v>
      </c>
      <c r="L4789">
        <v>16.03378</v>
      </c>
      <c r="M4789">
        <v>0.99979110000000004</v>
      </c>
      <c r="N4789">
        <v>-1.3300970000000001E-2</v>
      </c>
      <c r="O4789">
        <v>-1.551467E-2</v>
      </c>
      <c r="P4789">
        <v>0.97172619999999998</v>
      </c>
      <c r="Q4789">
        <v>0.17999289999999901</v>
      </c>
      <c r="R4789">
        <v>-0.152809</v>
      </c>
      <c r="S4789">
        <v>2.9768680000000001</v>
      </c>
      <c r="T4789">
        <v>-0.17593339999999999</v>
      </c>
      <c r="U4789">
        <v>-0.91903690000000005</v>
      </c>
      <c r="V4789">
        <v>0.13874800000000001</v>
      </c>
      <c r="W4789">
        <v>0.19218930000000001</v>
      </c>
      <c r="X4789">
        <v>0.97150000000000003</v>
      </c>
      <c r="Y4789">
        <v>0.27958889999999997</v>
      </c>
      <c r="Z4789">
        <v>-9.2778419999999997E-3</v>
      </c>
      <c r="AA4789">
        <v>0.96007500000000001</v>
      </c>
      <c r="AB4789">
        <v>26</v>
      </c>
      <c r="AC4789">
        <v>19.6431</v>
      </c>
      <c r="AD4789">
        <v>-1.169117</v>
      </c>
      <c r="AE4789">
        <v>-6.103726</v>
      </c>
      <c r="AF4789">
        <v>5.7795374003534699</v>
      </c>
      <c r="AG4789">
        <v>-1.169117</v>
      </c>
      <c r="AH4789">
        <v>19.6718915395547</v>
      </c>
      <c r="AI4789">
        <v>93.263519949637299</v>
      </c>
      <c r="AJ4789">
        <v>73.627384398770602</v>
      </c>
      <c r="AK4789">
        <v>20.536630781746499</v>
      </c>
      <c r="AL4789">
        <v>78.919423022348695</v>
      </c>
      <c r="AM4789">
        <v>81.872077433305705</v>
      </c>
      <c r="AN4789">
        <v>0.99999999226924496</v>
      </c>
    </row>
    <row r="4790" spans="1:40" x14ac:dyDescent="0.25">
      <c r="A4790" t="str">
        <f>"20190303170633575"</f>
        <v>20190303170633575</v>
      </c>
      <c r="B4790" t="str">
        <f>"1551603993569164"</f>
        <v>1551603993569164</v>
      </c>
      <c r="C4790" t="s">
        <v>40</v>
      </c>
      <c r="D4790">
        <v>5.5452050000000002</v>
      </c>
      <c r="E4790">
        <v>0.56376519999999997</v>
      </c>
      <c r="F4790" t="s">
        <v>43</v>
      </c>
      <c r="G4790">
        <v>-304.7749</v>
      </c>
      <c r="H4790">
        <v>-0.05</v>
      </c>
      <c r="I4790">
        <v>9.9070280000000004</v>
      </c>
      <c r="J4790">
        <v>-324.30149999999998</v>
      </c>
      <c r="K4790">
        <v>1.119081</v>
      </c>
      <c r="L4790">
        <v>16.030089999999898</v>
      </c>
      <c r="M4790">
        <v>0.99976520000000002</v>
      </c>
      <c r="N4790">
        <v>-1.330252E-2</v>
      </c>
      <c r="O4790">
        <v>-1.711478E-2</v>
      </c>
      <c r="P4790">
        <v>0.97133049999999999</v>
      </c>
      <c r="Q4790">
        <v>0.17967820000000001</v>
      </c>
      <c r="R4790">
        <v>-0.15567029999999901</v>
      </c>
      <c r="S4790">
        <v>2.9742130000000002</v>
      </c>
      <c r="T4790">
        <v>-0.17692099999999999</v>
      </c>
      <c r="U4790">
        <v>-0.92715449999999999</v>
      </c>
      <c r="V4790">
        <v>0.1400719</v>
      </c>
      <c r="W4790">
        <v>0.19185469999999999</v>
      </c>
      <c r="X4790">
        <v>0.97137620000000002</v>
      </c>
      <c r="Y4790">
        <v>0.28067760000000003</v>
      </c>
      <c r="Z4790">
        <v>-9.2893650000000008E-3</v>
      </c>
      <c r="AA4790">
        <v>0.95975710000000003</v>
      </c>
      <c r="AB4790">
        <v>26</v>
      </c>
      <c r="AC4790">
        <v>19.526599999999899</v>
      </c>
      <c r="AD4790">
        <v>-1.169081</v>
      </c>
      <c r="AE4790">
        <v>-6.1230619999999902</v>
      </c>
      <c r="AF4790">
        <v>5.7691136694219702</v>
      </c>
      <c r="AG4790">
        <v>-1.169081</v>
      </c>
      <c r="AH4790">
        <v>19.564691316165099</v>
      </c>
      <c r="AI4790">
        <v>93.280306860404195</v>
      </c>
      <c r="AJ4790">
        <v>73.570596099330402</v>
      </c>
      <c r="AK4790">
        <v>20.431019779054001</v>
      </c>
      <c r="AL4790">
        <v>78.938958281656298</v>
      </c>
      <c r="AM4790">
        <v>81.794542283466697</v>
      </c>
      <c r="AN4790">
        <v>1.00000004250406</v>
      </c>
    </row>
    <row r="4791" spans="1:40" x14ac:dyDescent="0.25">
      <c r="A4791" t="str">
        <f>"20190303170633587"</f>
        <v>20190303170633587</v>
      </c>
      <c r="B4791" t="str">
        <f>"1551603993579901"</f>
        <v>1551603993579901</v>
      </c>
      <c r="C4791" t="s">
        <v>40</v>
      </c>
      <c r="D4791">
        <v>5.5411650000000003</v>
      </c>
      <c r="E4791">
        <v>0.56122130000000003</v>
      </c>
      <c r="F4791" t="s">
        <v>43</v>
      </c>
      <c r="G4791">
        <v>-304.76909999999998</v>
      </c>
      <c r="H4791">
        <v>-0.05</v>
      </c>
      <c r="I4791">
        <v>9.8771509999999996</v>
      </c>
      <c r="J4791">
        <v>-324.17540000000002</v>
      </c>
      <c r="K4791">
        <v>1.1190439999999999</v>
      </c>
      <c r="L4791">
        <v>16.02628</v>
      </c>
      <c r="M4791">
        <v>0.99973630000000002</v>
      </c>
      <c r="N4791">
        <v>-1.3304089999999999E-2</v>
      </c>
      <c r="O4791">
        <v>-1.8716690000000001E-2</v>
      </c>
      <c r="P4791">
        <v>0.97092210000000001</v>
      </c>
      <c r="Q4791">
        <v>0.1792869</v>
      </c>
      <c r="R4791">
        <v>-0.15863940000000001</v>
      </c>
      <c r="S4791">
        <v>2.9714360000000002</v>
      </c>
      <c r="T4791">
        <v>-0.17785049999999999</v>
      </c>
      <c r="U4791">
        <v>-0.93603519999999896</v>
      </c>
      <c r="V4791">
        <v>0.14150279999999901</v>
      </c>
      <c r="W4791">
        <v>0.1914429</v>
      </c>
      <c r="X4791">
        <v>0.97124999999999995</v>
      </c>
      <c r="Y4791">
        <v>0.28199970000000002</v>
      </c>
      <c r="Z4791">
        <v>-9.3062519999999992E-3</v>
      </c>
      <c r="AA4791">
        <v>0.95936940000000004</v>
      </c>
      <c r="AB4791">
        <v>26</v>
      </c>
      <c r="AC4791">
        <v>19.406300000000002</v>
      </c>
      <c r="AD4791">
        <v>-1.169044</v>
      </c>
      <c r="AE4791">
        <v>-6.1491290000000003</v>
      </c>
      <c r="AF4791">
        <v>5.7657833700691397</v>
      </c>
      <c r="AG4791">
        <v>-1.169044</v>
      </c>
      <c r="AH4791">
        <v>19.453846490935099</v>
      </c>
      <c r="AI4791">
        <v>93.297502125424401</v>
      </c>
      <c r="AJ4791">
        <v>73.491088181922507</v>
      </c>
      <c r="AK4791">
        <v>20.3239529874818</v>
      </c>
      <c r="AL4791">
        <v>78.962997761721496</v>
      </c>
      <c r="AM4791">
        <v>81.710816421042495</v>
      </c>
      <c r="AN4791">
        <v>0.99999999443412402</v>
      </c>
    </row>
    <row r="4792" spans="1:40" x14ac:dyDescent="0.25">
      <c r="A4792" t="str">
        <f>"20190303170633598"</f>
        <v>20190303170633598</v>
      </c>
      <c r="B4792" t="str">
        <f>"1551603993589660"</f>
        <v>1551603993589660</v>
      </c>
      <c r="C4792" t="s">
        <v>40</v>
      </c>
      <c r="D4792">
        <v>5.5245430000000004</v>
      </c>
      <c r="E4792">
        <v>0.56107099999999999</v>
      </c>
      <c r="F4792" t="s">
        <v>43</v>
      </c>
      <c r="G4792">
        <v>-306.16649999999998</v>
      </c>
      <c r="H4792">
        <v>-0.05</v>
      </c>
      <c r="I4792">
        <v>10.42924</v>
      </c>
      <c r="J4792">
        <v>-324.03870000000001</v>
      </c>
      <c r="K4792">
        <v>1.1190009999999999</v>
      </c>
      <c r="L4792">
        <v>16.021850000000001</v>
      </c>
      <c r="M4792">
        <v>0.99970170000000003</v>
      </c>
      <c r="N4792">
        <v>-1.330596E-2</v>
      </c>
      <c r="O4792">
        <v>-2.0486319999999999E-2</v>
      </c>
      <c r="P4792">
        <v>0.97039739999999997</v>
      </c>
      <c r="Q4792">
        <v>0.1794655</v>
      </c>
      <c r="R4792">
        <v>-0.16162179999999901</v>
      </c>
      <c r="S4792">
        <v>2.9744570000000001</v>
      </c>
      <c r="T4792">
        <v>-0.19308610000000001</v>
      </c>
      <c r="U4792">
        <v>-0.92443850000000005</v>
      </c>
      <c r="V4792">
        <v>0.1427919</v>
      </c>
      <c r="W4792">
        <v>0.1915983</v>
      </c>
      <c r="X4792">
        <v>0.97103070000000002</v>
      </c>
      <c r="Y4792">
        <v>0.27653919999999999</v>
      </c>
      <c r="Z4792">
        <v>-9.6142050000000007E-3</v>
      </c>
      <c r="AA4792">
        <v>0.96095450000000004</v>
      </c>
      <c r="AB4792">
        <v>26</v>
      </c>
      <c r="AC4792">
        <v>17.872199999999999</v>
      </c>
      <c r="AD4792">
        <v>-1.169001</v>
      </c>
      <c r="AE4792">
        <v>-5.5926099999999996</v>
      </c>
      <c r="AF4792">
        <v>5.2049855632494602</v>
      </c>
      <c r="AG4792">
        <v>-1.169001</v>
      </c>
      <c r="AH4792">
        <v>17.913227262037399</v>
      </c>
      <c r="AI4792">
        <v>93.585878540776903</v>
      </c>
      <c r="AJ4792">
        <v>73.797900076020497</v>
      </c>
      <c r="AK4792">
        <v>18.690696856806401</v>
      </c>
      <c r="AL4792">
        <v>78.953926440969198</v>
      </c>
      <c r="AM4792">
        <v>81.634502710579895</v>
      </c>
      <c r="AN4792">
        <v>1.0000000278054899</v>
      </c>
    </row>
    <row r="4793" spans="1:40" x14ac:dyDescent="0.25">
      <c r="A4793" t="str">
        <f>"20190303170633610"</f>
        <v>20190303170633610</v>
      </c>
      <c r="B4793" t="str">
        <f>"1551603993599421"</f>
        <v>1551603993599421</v>
      </c>
      <c r="C4793" t="s">
        <v>40</v>
      </c>
      <c r="D4793">
        <v>5.5391260000000004</v>
      </c>
      <c r="E4793">
        <v>0.5611429</v>
      </c>
      <c r="F4793" t="s">
        <v>43</v>
      </c>
      <c r="G4793">
        <v>-306.05840000000001</v>
      </c>
      <c r="H4793">
        <v>-0.05</v>
      </c>
      <c r="I4793">
        <v>10.38045</v>
      </c>
      <c r="J4793">
        <v>-323.91500000000002</v>
      </c>
      <c r="K4793">
        <v>1.1189610000000001</v>
      </c>
      <c r="L4793">
        <v>16.017579999999999</v>
      </c>
      <c r="M4793">
        <v>0.99966679999999997</v>
      </c>
      <c r="N4793">
        <v>-1.330782E-2</v>
      </c>
      <c r="O4793">
        <v>-2.212049E-2</v>
      </c>
      <c r="P4793">
        <v>0.96987319999999999</v>
      </c>
      <c r="Q4793">
        <v>0.17949129999999899</v>
      </c>
      <c r="R4793">
        <v>-0.16470940000000001</v>
      </c>
      <c r="S4793">
        <v>2.9719540000000002</v>
      </c>
      <c r="T4793">
        <v>-0.1932238</v>
      </c>
      <c r="U4793">
        <v>-0.93246459999999998</v>
      </c>
      <c r="V4793">
        <v>0.14431749999999999</v>
      </c>
      <c r="W4793">
        <v>0.19160060000000001</v>
      </c>
      <c r="X4793">
        <v>0.97080460000000002</v>
      </c>
      <c r="Y4793">
        <v>0.27756059999999999</v>
      </c>
      <c r="Z4793">
        <v>-9.5807040000000007E-3</v>
      </c>
      <c r="AA4793">
        <v>0.96066039999999997</v>
      </c>
      <c r="AB4793">
        <v>26</v>
      </c>
      <c r="AC4793">
        <v>17.8566</v>
      </c>
      <c r="AD4793">
        <v>-1.1689609999999999</v>
      </c>
      <c r="AE4793">
        <v>-5.6371299999999902</v>
      </c>
      <c r="AF4793">
        <v>5.2203742709157002</v>
      </c>
      <c r="AG4793">
        <v>-1.1689609999999999</v>
      </c>
      <c r="AH4793">
        <v>17.907150647931299</v>
      </c>
      <c r="AI4793">
        <v>93.586050315095093</v>
      </c>
      <c r="AJ4793">
        <v>73.747299179586406</v>
      </c>
      <c r="AK4793">
        <v>18.689163214966701</v>
      </c>
      <c r="AL4793">
        <v>78.953791314650204</v>
      </c>
      <c r="AM4793">
        <v>81.544469491659896</v>
      </c>
      <c r="AN4793">
        <v>0.99999995105388295</v>
      </c>
    </row>
    <row r="4794" spans="1:40" x14ac:dyDescent="0.25">
      <c r="A4794" t="str">
        <f>"20190303170633621"</f>
        <v>20190303170633621</v>
      </c>
      <c r="B4794" t="str">
        <f>"1551603993610157"</f>
        <v>1551603993610157</v>
      </c>
      <c r="C4794" t="s">
        <v>40</v>
      </c>
      <c r="D4794">
        <v>5.5218259999999999</v>
      </c>
      <c r="E4794">
        <v>0.56130919999999995</v>
      </c>
      <c r="F4794" t="s">
        <v>43</v>
      </c>
      <c r="G4794">
        <v>-305.93959999999998</v>
      </c>
      <c r="H4794">
        <v>-0.05</v>
      </c>
      <c r="I4794">
        <v>10.31259</v>
      </c>
      <c r="J4794">
        <v>-323.76839999999999</v>
      </c>
      <c r="K4794">
        <v>1.1189129999999901</v>
      </c>
      <c r="L4794">
        <v>16.012329999999999</v>
      </c>
      <c r="M4794">
        <v>0.99962139999999999</v>
      </c>
      <c r="N4794">
        <v>-1.331004E-2</v>
      </c>
      <c r="O4794">
        <v>-2.408364E-2</v>
      </c>
      <c r="P4794">
        <v>0.96917489999999995</v>
      </c>
      <c r="Q4794">
        <v>0.180085299999999</v>
      </c>
      <c r="R4794">
        <v>-0.1681356</v>
      </c>
      <c r="S4794">
        <v>2.9689030000000001</v>
      </c>
      <c r="T4794">
        <v>-0.19307089999999999</v>
      </c>
      <c r="U4794">
        <v>-0.94226069999999995</v>
      </c>
      <c r="V4794">
        <v>0.14587410000000001</v>
      </c>
      <c r="W4794">
        <v>0.19216639999999999</v>
      </c>
      <c r="X4794">
        <v>0.97046010000000005</v>
      </c>
      <c r="Y4794">
        <v>0.27883829999999998</v>
      </c>
      <c r="Z4794">
        <v>-9.5302330000000008E-3</v>
      </c>
      <c r="AA4794">
        <v>0.9602908</v>
      </c>
      <c r="AB4794">
        <v>26</v>
      </c>
      <c r="AC4794">
        <v>17.828800000000001</v>
      </c>
      <c r="AD4794">
        <v>-1.1689130000000001</v>
      </c>
      <c r="AE4794">
        <v>-5.6997399999999896</v>
      </c>
      <c r="AF4794">
        <v>5.2481983881305903</v>
      </c>
      <c r="AG4794">
        <v>-1.1689130000000001</v>
      </c>
      <c r="AH4794">
        <v>17.891136001206899</v>
      </c>
      <c r="AI4794">
        <v>93.587353879406393</v>
      </c>
      <c r="AJ4794">
        <v>73.651439727015301</v>
      </c>
      <c r="AK4794">
        <v>18.681613724098501</v>
      </c>
      <c r="AL4794">
        <v>78.920760014297699</v>
      </c>
      <c r="AM4794">
        <v>81.451619398275</v>
      </c>
      <c r="AN4794">
        <v>0.99999999201588996</v>
      </c>
    </row>
    <row r="4795" spans="1:40" x14ac:dyDescent="0.25">
      <c r="A4795" t="str">
        <f>"20190303170633636"</f>
        <v>20190303170633636</v>
      </c>
      <c r="B4795" t="str">
        <f>"1551603993629676"</f>
        <v>1551603993629676</v>
      </c>
      <c r="C4795" t="s">
        <v>40</v>
      </c>
      <c r="D4795">
        <v>5.504988</v>
      </c>
      <c r="E4795">
        <v>0.56116560000000004</v>
      </c>
      <c r="F4795" t="s">
        <v>43</v>
      </c>
      <c r="G4795">
        <v>-305.75420000000003</v>
      </c>
      <c r="H4795">
        <v>-0.05</v>
      </c>
      <c r="I4795">
        <v>10.21655</v>
      </c>
      <c r="J4795">
        <v>-323.61430000000001</v>
      </c>
      <c r="K4795">
        <v>1.118862</v>
      </c>
      <c r="L4795">
        <v>16.006260000000001</v>
      </c>
      <c r="M4795">
        <v>0.99956750000000005</v>
      </c>
      <c r="N4795">
        <v>-1.3312879999999999E-2</v>
      </c>
      <c r="O4795">
        <v>-2.6222570000000001E-2</v>
      </c>
      <c r="P4795">
        <v>0.96846469999999996</v>
      </c>
      <c r="Q4795">
        <v>0.18065819999999999</v>
      </c>
      <c r="R4795">
        <v>-0.1715776</v>
      </c>
      <c r="S4795">
        <v>2.9656069999999999</v>
      </c>
      <c r="T4795">
        <v>-0.19243289999999999</v>
      </c>
      <c r="U4795">
        <v>-0.95413210000000004</v>
      </c>
      <c r="V4795">
        <v>0.14728079999999999</v>
      </c>
      <c r="W4795">
        <v>0.19270970000000001</v>
      </c>
      <c r="X4795">
        <v>0.97013990000000005</v>
      </c>
      <c r="Y4795">
        <v>0.2805803</v>
      </c>
      <c r="Z4795">
        <v>-9.4707860000000001E-3</v>
      </c>
      <c r="AA4795">
        <v>0.95978390000000002</v>
      </c>
      <c r="AB4795">
        <v>26</v>
      </c>
      <c r="AC4795">
        <v>17.8600999999999</v>
      </c>
      <c r="AD4795">
        <v>-1.1688620000000001</v>
      </c>
      <c r="AE4795">
        <v>-5.7897100000000004</v>
      </c>
      <c r="AF4795">
        <v>5.2988023612152402</v>
      </c>
      <c r="AG4795">
        <v>-1.1688620000000001</v>
      </c>
      <c r="AH4795">
        <v>17.9362742738234</v>
      </c>
      <c r="AI4795">
        <v>93.576180297107697</v>
      </c>
      <c r="AJ4795">
        <v>73.541605188741698</v>
      </c>
      <c r="AK4795">
        <v>18.7390896167365</v>
      </c>
      <c r="AL4795">
        <v>78.889038895626399</v>
      </c>
      <c r="AM4795">
        <v>81.367615147307106</v>
      </c>
      <c r="AN4795">
        <v>1.00000004404736</v>
      </c>
    </row>
    <row r="4796" spans="1:40" x14ac:dyDescent="0.25">
      <c r="A4796" t="str">
        <f>"20190303170633649"</f>
        <v>20190303170633649</v>
      </c>
      <c r="B4796" t="str">
        <f>"1551603993639436"</f>
        <v>1551603993639436</v>
      </c>
      <c r="C4796" t="s">
        <v>40</v>
      </c>
      <c r="D4796">
        <v>5.4735310000000004</v>
      </c>
      <c r="E4796">
        <v>0.56121269999999901</v>
      </c>
      <c r="F4796" t="s">
        <v>43</v>
      </c>
      <c r="G4796">
        <v>-305.35239999999999</v>
      </c>
      <c r="H4796">
        <v>-0.05</v>
      </c>
      <c r="I4796">
        <v>10.064830000000001</v>
      </c>
      <c r="J4796">
        <v>-323.45949999999999</v>
      </c>
      <c r="K4796">
        <v>1.1188009999999999</v>
      </c>
      <c r="L4796">
        <v>15.99991</v>
      </c>
      <c r="M4796">
        <v>0.9995077</v>
      </c>
      <c r="N4796">
        <v>-1.3316E-2</v>
      </c>
      <c r="O4796">
        <v>-2.8414149999999999E-2</v>
      </c>
      <c r="P4796">
        <v>0.96777760000000002</v>
      </c>
      <c r="Q4796">
        <v>0.18102370000000001</v>
      </c>
      <c r="R4796">
        <v>-0.1750351</v>
      </c>
      <c r="S4796">
        <v>2.9623110000000001</v>
      </c>
      <c r="T4796">
        <v>-0.18960460000000001</v>
      </c>
      <c r="U4796">
        <v>-0.96377559999999995</v>
      </c>
      <c r="V4796">
        <v>0.14865339999999999</v>
      </c>
      <c r="W4796">
        <v>0.1930451</v>
      </c>
      <c r="X4796">
        <v>0.96986380000000005</v>
      </c>
      <c r="Y4796">
        <v>0.28163120000000003</v>
      </c>
      <c r="Z4796">
        <v>-9.302467E-3</v>
      </c>
      <c r="AA4796">
        <v>0.95947760000000004</v>
      </c>
      <c r="AB4796">
        <v>26</v>
      </c>
      <c r="AC4796">
        <v>18.107099999999999</v>
      </c>
      <c r="AD4796">
        <v>-1.168801</v>
      </c>
      <c r="AE4796">
        <v>-5.9350799999999904</v>
      </c>
      <c r="AF4796">
        <v>5.3978310516261896</v>
      </c>
      <c r="AG4796">
        <v>-1.168801</v>
      </c>
      <c r="AH4796">
        <v>18.1999674664001</v>
      </c>
      <c r="AI4796">
        <v>93.523203848405402</v>
      </c>
      <c r="AJ4796">
        <v>73.480451540044598</v>
      </c>
      <c r="AK4796">
        <v>19.019502927719302</v>
      </c>
      <c r="AL4796">
        <v>78.869453844462299</v>
      </c>
      <c r="AM4796">
        <v>81.285951339057902</v>
      </c>
      <c r="AN4796">
        <v>1.0000000172579999</v>
      </c>
    </row>
    <row r="4797" spans="1:40" x14ac:dyDescent="0.25">
      <c r="A4797" t="str">
        <f>"20190303170633666"</f>
        <v>20190303170633666</v>
      </c>
      <c r="B4797" t="str">
        <f>"1551603993659932"</f>
        <v>1551603993659932</v>
      </c>
      <c r="C4797" t="s">
        <v>40</v>
      </c>
      <c r="D4797">
        <v>5.4870359999999998</v>
      </c>
      <c r="E4797">
        <v>0.56115689999999996</v>
      </c>
      <c r="F4797" t="s">
        <v>43</v>
      </c>
      <c r="G4797">
        <v>-305.18329999999997</v>
      </c>
      <c r="H4797">
        <v>-0.05</v>
      </c>
      <c r="I4797">
        <v>9.9791559999999997</v>
      </c>
      <c r="J4797">
        <v>-323.26150000000001</v>
      </c>
      <c r="K4797">
        <v>1.1187279999999999</v>
      </c>
      <c r="L4797">
        <v>15.991149999999999</v>
      </c>
      <c r="M4797">
        <v>0.99942140000000002</v>
      </c>
      <c r="N4797">
        <v>-1.332059E-2</v>
      </c>
      <c r="O4797">
        <v>-3.1298489999999998E-2</v>
      </c>
      <c r="P4797">
        <v>0.96651810000000005</v>
      </c>
      <c r="Q4797">
        <v>0.18226510000000001</v>
      </c>
      <c r="R4797">
        <v>-0.18061669999999999</v>
      </c>
      <c r="S4797">
        <v>2.959015</v>
      </c>
      <c r="T4797">
        <v>-0.18923499999999999</v>
      </c>
      <c r="U4797">
        <v>-0.97479249999999995</v>
      </c>
      <c r="V4797">
        <v>0.15150999999999901</v>
      </c>
      <c r="W4797">
        <v>0.19423570000000001</v>
      </c>
      <c r="X4797">
        <v>0.96918380000000004</v>
      </c>
      <c r="Y4797">
        <v>0.2824064</v>
      </c>
      <c r="Z4797">
        <v>-9.1818890000000004E-3</v>
      </c>
      <c r="AA4797">
        <v>0.95925090000000002</v>
      </c>
      <c r="AB4797">
        <v>26</v>
      </c>
      <c r="AC4797">
        <v>18.078199999999999</v>
      </c>
      <c r="AD4797">
        <v>-1.168728</v>
      </c>
      <c r="AE4797">
        <v>-6.0119939999999996</v>
      </c>
      <c r="AF4797">
        <v>5.4227703994479697</v>
      </c>
      <c r="AG4797">
        <v>-1.168728</v>
      </c>
      <c r="AH4797">
        <v>18.1890747951823</v>
      </c>
      <c r="AI4797">
        <v>93.523601355832398</v>
      </c>
      <c r="AJ4797">
        <v>73.398924714296896</v>
      </c>
      <c r="AK4797">
        <v>19.0161722186104</v>
      </c>
      <c r="AL4797">
        <v>78.799921364528402</v>
      </c>
      <c r="AM4797">
        <v>81.115010948073902</v>
      </c>
      <c r="AN4797">
        <v>1.0000000127184601</v>
      </c>
    </row>
    <row r="4798" spans="1:40" x14ac:dyDescent="0.25">
      <c r="A4798" t="str">
        <f>"20190303170633677"</f>
        <v>20190303170633677</v>
      </c>
      <c r="B4798" t="str">
        <f>"1551603993669692"</f>
        <v>1551603993669692</v>
      </c>
      <c r="C4798" t="s">
        <v>40</v>
      </c>
      <c r="D4798">
        <v>5.4749540000000003</v>
      </c>
      <c r="E4798">
        <v>0.56115689999999996</v>
      </c>
      <c r="F4798" t="s">
        <v>43</v>
      </c>
      <c r="G4798">
        <v>-304.67450000000002</v>
      </c>
      <c r="H4798">
        <v>-0.05</v>
      </c>
      <c r="I4798">
        <v>9.7481690000000008</v>
      </c>
      <c r="J4798">
        <v>-323.12450000000001</v>
      </c>
      <c r="K4798">
        <v>1.118676</v>
      </c>
      <c r="L4798">
        <v>15.98471</v>
      </c>
      <c r="M4798">
        <v>0.99935469999999904</v>
      </c>
      <c r="N4798">
        <v>-1.3324239999999999E-2</v>
      </c>
      <c r="O4798">
        <v>-3.3355709999999997E-2</v>
      </c>
      <c r="P4798">
        <v>0.96564099999999997</v>
      </c>
      <c r="Q4798">
        <v>0.18275920000000001</v>
      </c>
      <c r="R4798">
        <v>-0.18476129999999999</v>
      </c>
      <c r="S4798">
        <v>2.9535520000000002</v>
      </c>
      <c r="T4798">
        <v>-0.18571570000000001</v>
      </c>
      <c r="U4798">
        <v>-0.99203490000000005</v>
      </c>
      <c r="V4798">
        <v>0.15371089999999901</v>
      </c>
      <c r="W4798">
        <v>0.19469220000000001</v>
      </c>
      <c r="X4798">
        <v>0.96874550000000004</v>
      </c>
      <c r="Y4798">
        <v>0.28601159999999998</v>
      </c>
      <c r="Z4798">
        <v>-9.0988930000000003E-3</v>
      </c>
      <c r="AA4798">
        <v>0.95818289999999995</v>
      </c>
      <c r="AB4798">
        <v>26</v>
      </c>
      <c r="AC4798">
        <v>18.4499999999999</v>
      </c>
      <c r="AD4798">
        <v>-1.168676</v>
      </c>
      <c r="AE4798">
        <v>-6.2365409999999901</v>
      </c>
      <c r="AF4798">
        <v>5.5974467740627603</v>
      </c>
      <c r="AG4798">
        <v>-1.168676</v>
      </c>
      <c r="AH4798">
        <v>18.580866767809901</v>
      </c>
      <c r="AI4798">
        <v>93.446385877551606</v>
      </c>
      <c r="AJ4798">
        <v>73.235183437966299</v>
      </c>
      <c r="AK4798">
        <v>19.4408287844048</v>
      </c>
      <c r="AL4798">
        <v>78.773256304689994</v>
      </c>
      <c r="AM4798">
        <v>80.984036759484695</v>
      </c>
      <c r="AN4798">
        <v>0.999999968644949</v>
      </c>
    </row>
    <row r="4799" spans="1:40" x14ac:dyDescent="0.25">
      <c r="A4799" t="str">
        <f>"20190303170633689"</f>
        <v>20190303170633689</v>
      </c>
      <c r="B4799" t="str">
        <f>"1551603993679452"</f>
        <v>1551603993679452</v>
      </c>
      <c r="C4799" t="s">
        <v>40</v>
      </c>
      <c r="D4799">
        <v>5.5064789999999997</v>
      </c>
      <c r="E4799">
        <v>0.58660159999999995</v>
      </c>
      <c r="F4799" t="s">
        <v>43</v>
      </c>
      <c r="G4799">
        <v>-304.38299999999998</v>
      </c>
      <c r="H4799">
        <v>-0.05</v>
      </c>
      <c r="I4799">
        <v>9.5967099999999999</v>
      </c>
      <c r="J4799">
        <v>-322.9973</v>
      </c>
      <c r="K4799">
        <v>1.1186240000000001</v>
      </c>
      <c r="L4799">
        <v>15.97842</v>
      </c>
      <c r="M4799">
        <v>0.99928790000000001</v>
      </c>
      <c r="N4799">
        <v>-1.3327540000000001E-2</v>
      </c>
      <c r="O4799">
        <v>-3.5299299999999999E-2</v>
      </c>
      <c r="P4799">
        <v>0.96478470000000005</v>
      </c>
      <c r="Q4799">
        <v>0.1834209</v>
      </c>
      <c r="R4799">
        <v>-0.18854029999999999</v>
      </c>
      <c r="S4799">
        <v>2.949249</v>
      </c>
      <c r="T4799">
        <v>-0.1839085</v>
      </c>
      <c r="U4799">
        <v>-1.0052490000000001</v>
      </c>
      <c r="V4799">
        <v>0.15565670000000001</v>
      </c>
      <c r="W4799">
        <v>0.19531979999999999</v>
      </c>
      <c r="X4799">
        <v>0.96830839999999996</v>
      </c>
      <c r="Y4799">
        <v>0.28842719999999999</v>
      </c>
      <c r="Z4799">
        <v>-9.0376099999999997E-3</v>
      </c>
      <c r="AA4799">
        <v>0.95745919999999896</v>
      </c>
      <c r="AB4799">
        <v>26</v>
      </c>
      <c r="AC4799">
        <v>18.6143</v>
      </c>
      <c r="AD4799">
        <v>-1.1686239999999899</v>
      </c>
      <c r="AE4799">
        <v>-6.38171</v>
      </c>
      <c r="AF4799">
        <v>5.7004968811447103</v>
      </c>
      <c r="AG4799">
        <v>-1.1686239999999899</v>
      </c>
      <c r="AH4799">
        <v>18.7618160221975</v>
      </c>
      <c r="AI4799">
        <v>93.410633693723298</v>
      </c>
      <c r="AJ4799">
        <v>73.099381193373503</v>
      </c>
      <c r="AK4799">
        <v>19.643499871359602</v>
      </c>
      <c r="AL4799">
        <v>78.736593924205096</v>
      </c>
      <c r="AM4799">
        <v>80.867763900483098</v>
      </c>
      <c r="AN4799">
        <v>0.99999999501874404</v>
      </c>
    </row>
    <row r="4800" spans="1:40" x14ac:dyDescent="0.25">
      <c r="A4800" t="str">
        <f>"20190303170633700"</f>
        <v>20190303170633700</v>
      </c>
      <c r="B4800" t="str">
        <f>"1551603993690189"</f>
        <v>1551603993690189</v>
      </c>
      <c r="C4800" t="s">
        <v>40</v>
      </c>
      <c r="D4800">
        <v>5.444623</v>
      </c>
      <c r="E4800">
        <v>0.59584689999999996</v>
      </c>
      <c r="F4800" t="s">
        <v>43</v>
      </c>
      <c r="G4800">
        <v>-302.43639999999999</v>
      </c>
      <c r="H4800">
        <v>-0.05</v>
      </c>
      <c r="I4800">
        <v>7.3559270000000003</v>
      </c>
      <c r="J4800">
        <v>-322.86130000000003</v>
      </c>
      <c r="K4800">
        <v>1.1185700000000001</v>
      </c>
      <c r="L4800">
        <v>15.971439999999999</v>
      </c>
      <c r="M4800">
        <v>0.99921110000000002</v>
      </c>
      <c r="N4800">
        <v>-1.3330939999999999E-2</v>
      </c>
      <c r="O4800">
        <v>-3.7408660000000003E-2</v>
      </c>
      <c r="P4800">
        <v>0.96388600000000002</v>
      </c>
      <c r="Q4800">
        <v>0.1838687</v>
      </c>
      <c r="R4800">
        <v>-0.19265579999999999</v>
      </c>
      <c r="S4800">
        <v>2.9029240000000001</v>
      </c>
      <c r="T4800">
        <v>-0.16499359999999999</v>
      </c>
      <c r="U4800">
        <v>-1.2173769999999999</v>
      </c>
      <c r="V4800">
        <v>0.15778149999999999</v>
      </c>
      <c r="W4800">
        <v>0.19573090000000001</v>
      </c>
      <c r="X4800">
        <v>0.9678814</v>
      </c>
      <c r="Y4800">
        <v>0.351381099999999</v>
      </c>
      <c r="Z4800">
        <v>-1.045861E-2</v>
      </c>
      <c r="AA4800">
        <v>0.93617410000000001</v>
      </c>
      <c r="AB4800">
        <v>26</v>
      </c>
      <c r="AC4800">
        <v>20.424900000000001</v>
      </c>
      <c r="AD4800">
        <v>-1.1685700000000001</v>
      </c>
      <c r="AE4800">
        <v>-8.615513</v>
      </c>
      <c r="AF4800">
        <v>7.8236045209226797</v>
      </c>
      <c r="AG4800">
        <v>-1.1685700000000001</v>
      </c>
      <c r="AH4800">
        <v>20.6754696928889</v>
      </c>
      <c r="AI4800">
        <v>93.025933248415697</v>
      </c>
      <c r="AJ4800">
        <v>69.273341007309696</v>
      </c>
      <c r="AK4800">
        <v>22.137059212241098</v>
      </c>
      <c r="AL4800">
        <v>78.712576059431001</v>
      </c>
      <c r="AM4800">
        <v>80.741234496161098</v>
      </c>
      <c r="AN4800">
        <v>0.99999999571150999</v>
      </c>
    </row>
    <row r="4801" spans="1:40" x14ac:dyDescent="0.25">
      <c r="A4801" t="str">
        <f>"20190303170633714"</f>
        <v>20190303170633714</v>
      </c>
      <c r="B4801" t="str">
        <f>"1551603993709461"</f>
        <v>1551603993709461</v>
      </c>
      <c r="C4801" t="s">
        <v>40</v>
      </c>
      <c r="D4801">
        <v>5.365551</v>
      </c>
      <c r="E4801">
        <v>0.60763679999999998</v>
      </c>
      <c r="F4801" t="s">
        <v>43</v>
      </c>
      <c r="G4801">
        <v>-299.57260000000002</v>
      </c>
      <c r="H4801">
        <v>-0.05</v>
      </c>
      <c r="I4801">
        <v>5.4405519999999896</v>
      </c>
      <c r="J4801">
        <v>-322.72359999999998</v>
      </c>
      <c r="K4801">
        <v>1.118517</v>
      </c>
      <c r="L4801">
        <v>15.96387</v>
      </c>
      <c r="M4801">
        <v>0.99912659999999998</v>
      </c>
      <c r="N4801">
        <v>-1.3334449999999999E-2</v>
      </c>
      <c r="O4801">
        <v>-3.960371E-2</v>
      </c>
      <c r="P4801">
        <v>0.96291550000000004</v>
      </c>
      <c r="Q4801">
        <v>0.18386930000000001</v>
      </c>
      <c r="R4801">
        <v>-0.19744819999999999</v>
      </c>
      <c r="S4801">
        <v>2.8797299999999999</v>
      </c>
      <c r="T4801">
        <v>-0.14449809999999999</v>
      </c>
      <c r="U4801">
        <v>-1.3021849999999999</v>
      </c>
      <c r="V4801">
        <v>0.160501</v>
      </c>
      <c r="W4801">
        <v>0.19569120000000001</v>
      </c>
      <c r="X4801">
        <v>0.96744220000000003</v>
      </c>
      <c r="Y4801">
        <v>0.37512180000000001</v>
      </c>
      <c r="Z4801">
        <v>-1.020338E-2</v>
      </c>
      <c r="AA4801">
        <v>0.92691939999999995</v>
      </c>
      <c r="AB4801">
        <v>26</v>
      </c>
      <c r="AC4801">
        <v>23.1509999999999</v>
      </c>
      <c r="AD4801">
        <v>-1.168517</v>
      </c>
      <c r="AE4801">
        <v>-10.523318</v>
      </c>
      <c r="AF4801">
        <v>9.5778913904672098</v>
      </c>
      <c r="AG4801">
        <v>-1.168517</v>
      </c>
      <c r="AH4801">
        <v>23.5000165900444</v>
      </c>
      <c r="AI4801">
        <v>92.636407449196</v>
      </c>
      <c r="AJ4801">
        <v>67.8256865879559</v>
      </c>
      <c r="AK4801">
        <v>25.403783481978301</v>
      </c>
      <c r="AL4801">
        <v>78.714895761200694</v>
      </c>
      <c r="AM4801">
        <v>80.580287837196195</v>
      </c>
      <c r="AN4801">
        <v>1.0000000135496401</v>
      </c>
    </row>
    <row r="4802" spans="1:40" x14ac:dyDescent="0.25">
      <c r="A4802" t="str">
        <f>"20190303170633728"</f>
        <v>20190303170633728</v>
      </c>
      <c r="B4802" t="str">
        <f>"1551603993720197"</f>
        <v>1551603993720197</v>
      </c>
      <c r="C4802" t="s">
        <v>40</v>
      </c>
      <c r="D4802">
        <v>5.3984030000000001</v>
      </c>
      <c r="E4802">
        <v>0.61041840000000003</v>
      </c>
      <c r="F4802" t="s">
        <v>43</v>
      </c>
      <c r="G4802">
        <v>-295.39479999999998</v>
      </c>
      <c r="H4802">
        <v>-0.05</v>
      </c>
      <c r="I4802">
        <v>2.4534150000000001</v>
      </c>
      <c r="J4802">
        <v>-322.55509999999998</v>
      </c>
      <c r="K4802">
        <v>1.1184540000000001</v>
      </c>
      <c r="L4802">
        <v>15.95435</v>
      </c>
      <c r="M4802">
        <v>0.99901459999999997</v>
      </c>
      <c r="N4802">
        <v>-1.333872E-2</v>
      </c>
      <c r="O4802">
        <v>-4.2331899999999999E-2</v>
      </c>
      <c r="P4802">
        <v>0.9618797</v>
      </c>
      <c r="Q4802">
        <v>0.18364820000000001</v>
      </c>
      <c r="R4802">
        <v>-0.20263439999999999</v>
      </c>
      <c r="S4802">
        <v>2.8499150000000002</v>
      </c>
      <c r="T4802">
        <v>-0.1218559</v>
      </c>
      <c r="U4802">
        <v>-1.4089050000000001</v>
      </c>
      <c r="V4802">
        <v>0.163105</v>
      </c>
      <c r="W4802">
        <v>0.1954264</v>
      </c>
      <c r="X4802">
        <v>0.96706009999999998</v>
      </c>
      <c r="Y4802">
        <v>0.40442909999999999</v>
      </c>
      <c r="Z4802">
        <v>-9.8463800000000001E-3</v>
      </c>
      <c r="AA4802">
        <v>0.91451629999999995</v>
      </c>
      <c r="AB4802">
        <v>26</v>
      </c>
      <c r="AC4802">
        <v>27.160299999999999</v>
      </c>
      <c r="AD4802">
        <v>-1.1684540000000001</v>
      </c>
      <c r="AE4802">
        <v>-13.500935</v>
      </c>
      <c r="AF4802">
        <v>12.320696472353299</v>
      </c>
      <c r="AG4802">
        <v>-1.1684540000000001</v>
      </c>
      <c r="AH4802">
        <v>27.666461238228401</v>
      </c>
      <c r="AI4802">
        <v>92.209424476032396</v>
      </c>
      <c r="AJ4802">
        <v>65.995170664942407</v>
      </c>
      <c r="AK4802">
        <v>30.308380421269199</v>
      </c>
      <c r="AL4802">
        <v>78.730365983995497</v>
      </c>
      <c r="AM4802">
        <v>80.426553924593705</v>
      </c>
      <c r="AN4802">
        <v>0.99999997792698403</v>
      </c>
    </row>
    <row r="4803" spans="1:40" x14ac:dyDescent="0.25">
      <c r="A4803" t="str">
        <f>"20190303170633741"</f>
        <v>20190303170633741</v>
      </c>
      <c r="B4803" t="str">
        <f>"1551603993729958"</f>
        <v>1551603993729958</v>
      </c>
      <c r="C4803" t="s">
        <v>40</v>
      </c>
      <c r="D4803">
        <v>5.3939519999999996</v>
      </c>
      <c r="E4803">
        <v>0.61248840000000004</v>
      </c>
      <c r="F4803" t="s">
        <v>43</v>
      </c>
      <c r="G4803">
        <v>-294.67750000000001</v>
      </c>
      <c r="H4803">
        <v>-0.05</v>
      </c>
      <c r="I4803">
        <v>1.7481990000000001</v>
      </c>
      <c r="J4803">
        <v>-322.39030000000002</v>
      </c>
      <c r="K4803">
        <v>1.1184019999999999</v>
      </c>
      <c r="L4803">
        <v>15.94449</v>
      </c>
      <c r="M4803">
        <v>0.99889519999999998</v>
      </c>
      <c r="N4803">
        <v>-1.334306E-2</v>
      </c>
      <c r="O4803">
        <v>-4.5057399999999997E-2</v>
      </c>
      <c r="P4803">
        <v>0.96060860000000003</v>
      </c>
      <c r="Q4803">
        <v>0.18289349999999999</v>
      </c>
      <c r="R4803">
        <v>-0.20923919999999999</v>
      </c>
      <c r="S4803">
        <v>2.8370060000000001</v>
      </c>
      <c r="T4803">
        <v>-0.11890920000000001</v>
      </c>
      <c r="U4803">
        <v>-1.4457089999999999</v>
      </c>
      <c r="V4803">
        <v>0.16713739999999999</v>
      </c>
      <c r="W4803">
        <v>0.1946165</v>
      </c>
      <c r="X4803">
        <v>0.96653480000000003</v>
      </c>
      <c r="Y4803">
        <v>0.41304289999999999</v>
      </c>
      <c r="Z4803">
        <v>-9.8645580000000007E-3</v>
      </c>
      <c r="AA4803">
        <v>0.91065810000000003</v>
      </c>
      <c r="AB4803">
        <v>26</v>
      </c>
      <c r="AC4803">
        <v>27.712800000000001</v>
      </c>
      <c r="AD4803">
        <v>-1.1684019999999999</v>
      </c>
      <c r="AE4803">
        <v>-14.196291</v>
      </c>
      <c r="AF4803">
        <v>12.9149076968533</v>
      </c>
      <c r="AG4803">
        <v>-1.1684019999999999</v>
      </c>
      <c r="AH4803">
        <v>28.284528467065599</v>
      </c>
      <c r="AI4803">
        <v>92.1519897908492</v>
      </c>
      <c r="AJ4803">
        <v>65.458239131141298</v>
      </c>
      <c r="AK4803">
        <v>31.115503445325899</v>
      </c>
      <c r="AL4803">
        <v>78.777678602940696</v>
      </c>
      <c r="AM4803">
        <v>80.189187240081907</v>
      </c>
      <c r="AN4803">
        <v>1.0000000060810199</v>
      </c>
    </row>
    <row r="4804" spans="1:40" x14ac:dyDescent="0.25">
      <c r="A4804" t="str">
        <f>"20190303170633754"</f>
        <v>20190303170633754</v>
      </c>
      <c r="B4804" t="str">
        <f>"1551603993739718"</f>
        <v>1551603993739718</v>
      </c>
      <c r="C4804" t="s">
        <v>40</v>
      </c>
      <c r="D4804">
        <v>5.3283509999999996</v>
      </c>
      <c r="E4804">
        <v>0.61429269999999903</v>
      </c>
      <c r="F4804" t="s">
        <v>43</v>
      </c>
      <c r="G4804">
        <v>-294.37209999999999</v>
      </c>
      <c r="H4804">
        <v>-0.05</v>
      </c>
      <c r="I4804">
        <v>1.245239</v>
      </c>
      <c r="J4804">
        <v>-322.25670000000002</v>
      </c>
      <c r="K4804">
        <v>1.1183540000000001</v>
      </c>
      <c r="L4804">
        <v>15.935969999999999</v>
      </c>
      <c r="M4804">
        <v>0.99879030000000002</v>
      </c>
      <c r="N4804">
        <v>-1.334683E-2</v>
      </c>
      <c r="O4804">
        <v>-4.7326010000000002E-2</v>
      </c>
      <c r="P4804">
        <v>0.95984449999999999</v>
      </c>
      <c r="Q4804">
        <v>0.1823138</v>
      </c>
      <c r="R4804">
        <v>-0.2132146</v>
      </c>
      <c r="S4804">
        <v>2.822845</v>
      </c>
      <c r="T4804">
        <v>-0.117717</v>
      </c>
      <c r="U4804">
        <v>-1.4809570000000001</v>
      </c>
      <c r="V4804">
        <v>0.16896040000000001</v>
      </c>
      <c r="W4804">
        <v>0.1940056</v>
      </c>
      <c r="X4804">
        <v>0.96634059999999999</v>
      </c>
      <c r="Y4804">
        <v>0.42176229999999998</v>
      </c>
      <c r="Z4804">
        <v>-9.9922889999999997E-3</v>
      </c>
      <c r="AA4804">
        <v>0.9066514</v>
      </c>
      <c r="AB4804">
        <v>26</v>
      </c>
      <c r="AC4804">
        <v>27.884599999999999</v>
      </c>
      <c r="AD4804">
        <v>-1.1683539999999999</v>
      </c>
      <c r="AE4804">
        <v>-14.690731</v>
      </c>
      <c r="AF4804">
        <v>13.336156540062399</v>
      </c>
      <c r="AG4804">
        <v>-1.1683539999999999</v>
      </c>
      <c r="AH4804">
        <v>28.509488564216401</v>
      </c>
      <c r="AI4804">
        <v>92.125880824767904</v>
      </c>
      <c r="AJ4804">
        <v>64.930766970391502</v>
      </c>
      <c r="AK4804">
        <v>31.496175331674099</v>
      </c>
      <c r="AL4804">
        <v>78.813360315406698</v>
      </c>
      <c r="AM4804">
        <v>80.082338429783206</v>
      </c>
      <c r="AN4804">
        <v>0.99999997240393901</v>
      </c>
    </row>
    <row r="4805" spans="1:40" x14ac:dyDescent="0.25">
      <c r="A4805" t="str">
        <f>"20190303170633767"</f>
        <v>20190303170633767</v>
      </c>
      <c r="B4805" t="str">
        <f>"1551603993760213"</f>
        <v>1551603993760213</v>
      </c>
      <c r="C4805" t="s">
        <v>40</v>
      </c>
      <c r="D4805">
        <v>5.3065930000000003</v>
      </c>
      <c r="E4805">
        <v>0.61681009999999903</v>
      </c>
      <c r="F4805" t="s">
        <v>43</v>
      </c>
      <c r="G4805">
        <v>-293.53730000000002</v>
      </c>
      <c r="H4805">
        <v>-0.05</v>
      </c>
      <c r="I4805">
        <v>0.54843140000000001</v>
      </c>
      <c r="J4805">
        <v>-322.11849999999998</v>
      </c>
      <c r="K4805">
        <v>1.118303</v>
      </c>
      <c r="L4805">
        <v>15.927</v>
      </c>
      <c r="M4805">
        <v>0.99867550000000005</v>
      </c>
      <c r="N4805">
        <v>-1.3350610000000001E-2</v>
      </c>
      <c r="O4805">
        <v>-4.9690850000000002E-2</v>
      </c>
      <c r="P4805">
        <v>0.95897960000000004</v>
      </c>
      <c r="Q4805">
        <v>0.18199009999999999</v>
      </c>
      <c r="R4805">
        <v>-0.21734290000000001</v>
      </c>
      <c r="S4805">
        <v>2.8125309999999999</v>
      </c>
      <c r="T4805">
        <v>-0.1144189</v>
      </c>
      <c r="U4805">
        <v>-1.5069269999999999</v>
      </c>
      <c r="V4805">
        <v>0.1708519</v>
      </c>
      <c r="W4805">
        <v>0.19364960000000001</v>
      </c>
      <c r="X4805">
        <v>0.96607940000000003</v>
      </c>
      <c r="Y4805">
        <v>0.42751610000000001</v>
      </c>
      <c r="Z4805">
        <v>-9.9172719999999995E-3</v>
      </c>
      <c r="AA4805">
        <v>0.90395329999999996</v>
      </c>
      <c r="AB4805">
        <v>26</v>
      </c>
      <c r="AC4805">
        <v>28.5811999999999</v>
      </c>
      <c r="AD4805">
        <v>-1.1683030000000001</v>
      </c>
      <c r="AE4805">
        <v>-15.378568599999999</v>
      </c>
      <c r="AF4805">
        <v>13.921178193417999</v>
      </c>
      <c r="AG4805">
        <v>-1.1683030000000001</v>
      </c>
      <c r="AH4805">
        <v>29.272198350009401</v>
      </c>
      <c r="AI4805">
        <v>92.064233868201001</v>
      </c>
      <c r="AJ4805">
        <v>64.565323911797407</v>
      </c>
      <c r="AK4805">
        <v>32.434946129676199</v>
      </c>
      <c r="AL4805">
        <v>78.834151922776897</v>
      </c>
      <c r="AM4805">
        <v>79.970895815179901</v>
      </c>
      <c r="AN4805">
        <v>0.99999997320906397</v>
      </c>
    </row>
    <row r="4806" spans="1:40" x14ac:dyDescent="0.25">
      <c r="A4806" t="str">
        <f>"20190303170633777"</f>
        <v>20190303170633777</v>
      </c>
      <c r="B4806" t="str">
        <f>"1551603993769972"</f>
        <v>1551603993769972</v>
      </c>
      <c r="C4806" t="s">
        <v>40</v>
      </c>
      <c r="D4806">
        <v>5.2888270000000004</v>
      </c>
      <c r="E4806">
        <v>0.61758080000000004</v>
      </c>
      <c r="F4806" t="s">
        <v>43</v>
      </c>
      <c r="G4806">
        <v>-292.28230000000002</v>
      </c>
      <c r="H4806">
        <v>-0.05</v>
      </c>
      <c r="I4806">
        <v>-0.4695435</v>
      </c>
      <c r="J4806">
        <v>-321.98349999999999</v>
      </c>
      <c r="K4806">
        <v>1.1182529999999999</v>
      </c>
      <c r="L4806">
        <v>15.917759999999999</v>
      </c>
      <c r="M4806">
        <v>0.99855519999999998</v>
      </c>
      <c r="N4806">
        <v>-1.3354359999999999E-2</v>
      </c>
      <c r="O4806">
        <v>-5.2048749999999998E-2</v>
      </c>
      <c r="P4806">
        <v>0.95811250000000003</v>
      </c>
      <c r="Q4806">
        <v>0.1815794</v>
      </c>
      <c r="R4806">
        <v>-0.2214711</v>
      </c>
      <c r="S4806">
        <v>2.800354</v>
      </c>
      <c r="T4806">
        <v>-0.1096541</v>
      </c>
      <c r="U4806">
        <v>-1.53894</v>
      </c>
      <c r="V4806">
        <v>0.1727505</v>
      </c>
      <c r="W4806">
        <v>0.19320560000000001</v>
      </c>
      <c r="X4806">
        <v>0.96583070000000004</v>
      </c>
      <c r="Y4806">
        <v>0.43499579999999999</v>
      </c>
      <c r="Z4806">
        <v>-9.8059510000000003E-3</v>
      </c>
      <c r="AA4806">
        <v>0.90037909999999899</v>
      </c>
      <c r="AB4806">
        <v>26</v>
      </c>
      <c r="AC4806">
        <v>29.701199999999901</v>
      </c>
      <c r="AD4806">
        <v>-1.168253</v>
      </c>
      <c r="AE4806">
        <v>-16.387303500000002</v>
      </c>
      <c r="AF4806">
        <v>14.8014834305406</v>
      </c>
      <c r="AG4806">
        <v>-1.168253</v>
      </c>
      <c r="AH4806">
        <v>30.4778001859871</v>
      </c>
      <c r="AI4806">
        <v>91.974787254659304</v>
      </c>
      <c r="AJ4806">
        <v>64.096563907303207</v>
      </c>
      <c r="AK4806">
        <v>33.901991549074701</v>
      </c>
      <c r="AL4806">
        <v>78.860081685374794</v>
      </c>
      <c r="AM4806">
        <v>79.859189982625693</v>
      </c>
      <c r="AN4806">
        <v>1.0000000400920399</v>
      </c>
    </row>
    <row r="4807" spans="1:40" x14ac:dyDescent="0.25">
      <c r="A4807" t="str">
        <f>"20190303170633788"</f>
        <v>20190303170633788</v>
      </c>
      <c r="B4807" t="str">
        <f>"1551603993779733"</f>
        <v>1551603993779733</v>
      </c>
      <c r="C4807" t="s">
        <v>40</v>
      </c>
      <c r="D4807">
        <v>5.3023550000000004</v>
      </c>
      <c r="E4807">
        <v>0.6182607</v>
      </c>
      <c r="F4807" t="s">
        <v>43</v>
      </c>
      <c r="G4807">
        <v>-291.74779999999998</v>
      </c>
      <c r="H4807">
        <v>-0.05</v>
      </c>
      <c r="I4807">
        <v>-0.94525150000000002</v>
      </c>
      <c r="J4807">
        <v>-321.86430000000001</v>
      </c>
      <c r="K4807">
        <v>1.1182110000000001</v>
      </c>
      <c r="L4807">
        <v>15.90936</v>
      </c>
      <c r="M4807">
        <v>0.99844319999999998</v>
      </c>
      <c r="N4807">
        <v>-1.335766E-2</v>
      </c>
      <c r="O4807">
        <v>-5.4155450000000001E-2</v>
      </c>
      <c r="P4807">
        <v>0.95719989999999999</v>
      </c>
      <c r="Q4807">
        <v>0.18116979999999999</v>
      </c>
      <c r="R4807">
        <v>-0.22571189999999999</v>
      </c>
      <c r="S4807">
        <v>2.791687</v>
      </c>
      <c r="T4807">
        <v>-0.1078658</v>
      </c>
      <c r="U4807">
        <v>-1.5569759999999999</v>
      </c>
      <c r="V4807">
        <v>0.17500650000000001</v>
      </c>
      <c r="W4807">
        <v>0.19276160000000001</v>
      </c>
      <c r="X4807">
        <v>0.96551319999999996</v>
      </c>
      <c r="Y4807">
        <v>0.43872679999999997</v>
      </c>
      <c r="Z4807">
        <v>-9.7645330000000006E-3</v>
      </c>
      <c r="AA4807">
        <v>0.89856740000000002</v>
      </c>
      <c r="AB4807">
        <v>26</v>
      </c>
      <c r="AC4807">
        <v>30.116499999999998</v>
      </c>
      <c r="AD4807">
        <v>-1.1682110000000001</v>
      </c>
      <c r="AE4807">
        <v>-16.854611500000001</v>
      </c>
      <c r="AF4807">
        <v>15.181360649718901</v>
      </c>
      <c r="AG4807">
        <v>-1.1682110000000001</v>
      </c>
      <c r="AH4807">
        <v>30.949685617894801</v>
      </c>
      <c r="AI4807">
        <v>91.940905267106601</v>
      </c>
      <c r="AJ4807">
        <v>63.871243696170303</v>
      </c>
      <c r="AK4807">
        <v>34.492339264884301</v>
      </c>
      <c r="AL4807">
        <v>78.886008204811802</v>
      </c>
      <c r="AM4807">
        <v>79.726253816895294</v>
      </c>
      <c r="AN4807">
        <v>1.0000000244255201</v>
      </c>
    </row>
    <row r="4808" spans="1:40" x14ac:dyDescent="0.25">
      <c r="A4808" t="str">
        <f>"20190303170633799"</f>
        <v>20190303170633799</v>
      </c>
      <c r="B4808" t="str">
        <f>"1551603993789493"</f>
        <v>1551603993789493</v>
      </c>
      <c r="C4808" t="s">
        <v>40</v>
      </c>
      <c r="D4808">
        <v>5.2882480000000003</v>
      </c>
      <c r="E4808">
        <v>0.61881140000000001</v>
      </c>
      <c r="F4808" t="s">
        <v>41</v>
      </c>
      <c r="G4808">
        <v>-292.99829999999997</v>
      </c>
      <c r="H4808" s="1">
        <v>-5.4994119999999997E-6</v>
      </c>
      <c r="I4808">
        <v>-0.41655730000000002</v>
      </c>
      <c r="J4808">
        <v>-321.73540000000003</v>
      </c>
      <c r="K4808">
        <v>1.1181680000000001</v>
      </c>
      <c r="L4808">
        <v>15.899929999999999</v>
      </c>
      <c r="M4808">
        <v>0.99831550000000002</v>
      </c>
      <c r="N4808">
        <v>-1.336126E-2</v>
      </c>
      <c r="O4808">
        <v>-5.6460820000000002E-2</v>
      </c>
      <c r="P4808">
        <v>0.95613559999999997</v>
      </c>
      <c r="Q4808">
        <v>0.18111769999999999</v>
      </c>
      <c r="R4808">
        <v>-0.2302207</v>
      </c>
      <c r="S4808">
        <v>2.7833860000000001</v>
      </c>
      <c r="T4808">
        <v>-0.1078235</v>
      </c>
      <c r="U4808">
        <v>-1.574219</v>
      </c>
      <c r="V4808">
        <v>0.17735129999999999</v>
      </c>
      <c r="W4808">
        <v>0.1926718</v>
      </c>
      <c r="X4808">
        <v>0.96510309999999999</v>
      </c>
      <c r="Y4808">
        <v>0.44201449999999998</v>
      </c>
      <c r="Z4808">
        <v>-9.8033749999999996E-3</v>
      </c>
      <c r="AA4808">
        <v>0.89695440000000004</v>
      </c>
      <c r="AB4808">
        <v>25</v>
      </c>
      <c r="AC4808">
        <v>28.737100000000002</v>
      </c>
      <c r="AD4808">
        <v>-1.1181734994120001</v>
      </c>
      <c r="AE4808">
        <v>-16.316487299999999</v>
      </c>
      <c r="AF4808">
        <v>14.651015629936699</v>
      </c>
      <c r="AG4808">
        <v>-1.1181734994120001</v>
      </c>
      <c r="AH4808">
        <v>29.57870989868</v>
      </c>
      <c r="AI4808">
        <v>91.940178722074805</v>
      </c>
      <c r="AJ4808">
        <v>63.649727038182903</v>
      </c>
      <c r="AK4808">
        <v>33.0273015887418</v>
      </c>
      <c r="AL4808">
        <v>78.891250818478497</v>
      </c>
      <c r="AM4808">
        <v>79.587265630228003</v>
      </c>
      <c r="AN4808">
        <v>0.99999994987826801</v>
      </c>
    </row>
    <row r="4809" spans="1:40" x14ac:dyDescent="0.25">
      <c r="A4809" t="str">
        <f>"20190303170633809"</f>
        <v>20190303170633809</v>
      </c>
      <c r="B4809" t="str">
        <f>"1551603993800228"</f>
        <v>1551603993800228</v>
      </c>
      <c r="C4809" t="s">
        <v>40</v>
      </c>
      <c r="D4809">
        <v>5.2792510000000004</v>
      </c>
      <c r="E4809">
        <v>0.61921110000000001</v>
      </c>
      <c r="F4809" t="s">
        <v>41</v>
      </c>
      <c r="G4809">
        <v>-292.50560000000002</v>
      </c>
      <c r="H4809" s="1">
        <v>-5.3737440000000003E-6</v>
      </c>
      <c r="I4809">
        <v>-0.86729619999999996</v>
      </c>
      <c r="J4809">
        <v>-321.61520000000002</v>
      </c>
      <c r="K4809">
        <v>1.118133</v>
      </c>
      <c r="L4809">
        <v>15.89081</v>
      </c>
      <c r="M4809">
        <v>0.99818960000000001</v>
      </c>
      <c r="N4809">
        <v>-1.336473E-2</v>
      </c>
      <c r="O4809">
        <v>-5.8644259999999997E-2</v>
      </c>
      <c r="P4809">
        <v>0.95508269999999995</v>
      </c>
      <c r="Q4809">
        <v>0.181256</v>
      </c>
      <c r="R4809">
        <v>-0.2344436</v>
      </c>
      <c r="S4809">
        <v>2.7745060000000001</v>
      </c>
      <c r="T4809">
        <v>-0.1061375</v>
      </c>
      <c r="U4809">
        <v>-1.591553</v>
      </c>
      <c r="V4809">
        <v>0.17953079999999999</v>
      </c>
      <c r="W4809">
        <v>0.19277469999999999</v>
      </c>
      <c r="X4809">
        <v>0.96467950000000002</v>
      </c>
      <c r="Y4809">
        <v>0.44551239999999998</v>
      </c>
      <c r="Z4809">
        <v>-9.7609870000000005E-3</v>
      </c>
      <c r="AA4809">
        <v>0.89522250000000003</v>
      </c>
      <c r="AB4809">
        <v>25</v>
      </c>
      <c r="AC4809">
        <v>29.1096</v>
      </c>
      <c r="AD4809">
        <v>-1.118138373744</v>
      </c>
      <c r="AE4809">
        <v>-16.7581062</v>
      </c>
      <c r="AF4809">
        <v>15.0053677919704</v>
      </c>
      <c r="AG4809">
        <v>-1.118138373744</v>
      </c>
      <c r="AH4809">
        <v>30.009091229312698</v>
      </c>
      <c r="AI4809">
        <v>91.9087316436366</v>
      </c>
      <c r="AJ4809">
        <v>63.4336930228447</v>
      </c>
      <c r="AK4809">
        <v>33.570178021636302</v>
      </c>
      <c r="AL4809">
        <v>78.885242619263195</v>
      </c>
      <c r="AM4809">
        <v>79.457627703734602</v>
      </c>
      <c r="AN4809">
        <v>0.99999996541448899</v>
      </c>
    </row>
    <row r="4810" spans="1:40" x14ac:dyDescent="0.25">
      <c r="A4810" t="str">
        <f>"20190303170633828"</f>
        <v>20190303170633828</v>
      </c>
      <c r="B4810" t="str">
        <f>"1551603993819748"</f>
        <v>1551603993819748</v>
      </c>
      <c r="C4810" t="s">
        <v>40</v>
      </c>
      <c r="D4810">
        <v>5.2919549999999997</v>
      </c>
      <c r="E4810">
        <v>0.61981430000000004</v>
      </c>
      <c r="F4810" t="s">
        <v>41</v>
      </c>
      <c r="G4810">
        <v>-291.89260000000002</v>
      </c>
      <c r="H4810" s="1">
        <v>-5.2427699999999996E-6</v>
      </c>
      <c r="I4810">
        <v>-1.374412</v>
      </c>
      <c r="J4810">
        <v>-321.40440000000001</v>
      </c>
      <c r="K4810">
        <v>1.1180669999999999</v>
      </c>
      <c r="L4810">
        <v>15.87421</v>
      </c>
      <c r="M4810">
        <v>0.9979538</v>
      </c>
      <c r="N4810">
        <v>-1.3370780000000001E-2</v>
      </c>
      <c r="O4810">
        <v>-6.2526429999999994E-2</v>
      </c>
      <c r="P4810">
        <v>0.95365919999999904</v>
      </c>
      <c r="Q4810">
        <v>0.18133850000000001</v>
      </c>
      <c r="R4810">
        <v>-0.24010590000000001</v>
      </c>
      <c r="S4810">
        <v>2.7663880000000001</v>
      </c>
      <c r="T4810">
        <v>-0.10406899999999999</v>
      </c>
      <c r="U4810">
        <v>-1.6069340000000001</v>
      </c>
      <c r="V4810">
        <v>0.18153910000000001</v>
      </c>
      <c r="W4810">
        <v>0.19281309999999999</v>
      </c>
      <c r="X4810">
        <v>0.96429589999999998</v>
      </c>
      <c r="Y4810">
        <v>0.44690360000000001</v>
      </c>
      <c r="Z4810">
        <v>-9.6084680000000002E-3</v>
      </c>
      <c r="AA4810">
        <v>0.89453050000000001</v>
      </c>
      <c r="AB4810">
        <v>25</v>
      </c>
      <c r="AC4810">
        <v>29.511799999999901</v>
      </c>
      <c r="AD4810">
        <v>-1.1180722427699901</v>
      </c>
      <c r="AE4810">
        <v>-17.248622000000001</v>
      </c>
      <c r="AF4810">
        <v>15.3530078646662</v>
      </c>
      <c r="AG4810">
        <v>-1.1180722427699901</v>
      </c>
      <c r="AH4810">
        <v>30.5000046735369</v>
      </c>
      <c r="AI4810">
        <v>91.875402881527094</v>
      </c>
      <c r="AJ4810">
        <v>63.280357219103998</v>
      </c>
      <c r="AK4810">
        <v>34.164531624454199</v>
      </c>
      <c r="AL4810">
        <v>78.883000329575097</v>
      </c>
      <c r="AM4810">
        <v>79.338241349304298</v>
      </c>
      <c r="AN4810">
        <v>0.99999995955861398</v>
      </c>
    </row>
    <row r="4811" spans="1:40" x14ac:dyDescent="0.25">
      <c r="A4811" t="str">
        <f>"20190303170633846"</f>
        <v>20190303170633846</v>
      </c>
      <c r="B4811" t="str">
        <f>"1551603993829510"</f>
        <v>1551603993829510</v>
      </c>
      <c r="C4811" t="s">
        <v>40</v>
      </c>
      <c r="D4811">
        <v>5.2939530000000001</v>
      </c>
      <c r="E4811">
        <v>0.62007299999999999</v>
      </c>
      <c r="F4811" t="s">
        <v>41</v>
      </c>
      <c r="G4811">
        <v>-290.8929</v>
      </c>
      <c r="H4811" s="1">
        <v>-5.1243439999999997E-6</v>
      </c>
      <c r="I4811">
        <v>-2.157381</v>
      </c>
      <c r="J4811">
        <v>-321.21620000000001</v>
      </c>
      <c r="K4811">
        <v>1.117985</v>
      </c>
      <c r="L4811">
        <v>15.858610000000001</v>
      </c>
      <c r="M4811">
        <v>0.99772570000000005</v>
      </c>
      <c r="N4811">
        <v>-1.3315240000000001E-2</v>
      </c>
      <c r="O4811">
        <v>-6.6079789999999999E-2</v>
      </c>
      <c r="P4811">
        <v>0.95201259999999999</v>
      </c>
      <c r="Q4811">
        <v>0.18092849999999999</v>
      </c>
      <c r="R4811">
        <v>-0.24685560000000001</v>
      </c>
      <c r="S4811">
        <v>2.7550050000000001</v>
      </c>
      <c r="T4811">
        <v>-0.10095510000000001</v>
      </c>
      <c r="U4811">
        <v>-1.6281429999999999</v>
      </c>
      <c r="V4811">
        <v>0.18496099999999999</v>
      </c>
      <c r="W4811">
        <v>0.19228999999999999</v>
      </c>
      <c r="X4811">
        <v>0.96374990000000005</v>
      </c>
      <c r="Y4811">
        <v>0.4504534</v>
      </c>
      <c r="Z4811">
        <v>-9.4488450000000009E-3</v>
      </c>
      <c r="AA4811">
        <v>0.89275000000000004</v>
      </c>
      <c r="AB4811">
        <v>25</v>
      </c>
      <c r="AC4811">
        <v>30.3233</v>
      </c>
      <c r="AD4811">
        <v>-1.117990124344</v>
      </c>
      <c r="AE4811">
        <v>-18.015991</v>
      </c>
      <c r="AF4811">
        <v>15.956641358866801</v>
      </c>
      <c r="AG4811">
        <v>-1.117990124344</v>
      </c>
      <c r="AH4811">
        <v>31.416047006713701</v>
      </c>
      <c r="AI4811">
        <v>91.817302199714206</v>
      </c>
      <c r="AJ4811">
        <v>63.073359957388099</v>
      </c>
      <c r="AK4811">
        <v>35.2538269539873</v>
      </c>
      <c r="AL4811">
        <v>78.913543119117307</v>
      </c>
      <c r="AM4811">
        <v>79.136003266570398</v>
      </c>
      <c r="AN4811">
        <v>0.99999994268550296</v>
      </c>
    </row>
    <row r="4812" spans="1:40" x14ac:dyDescent="0.25">
      <c r="A4812" t="str">
        <f>"20190303170633858"</f>
        <v>20190303170633858</v>
      </c>
      <c r="B4812" t="str">
        <f>"1551603993850004"</f>
        <v>1551603993850004</v>
      </c>
      <c r="C4812" t="s">
        <v>40</v>
      </c>
      <c r="D4812">
        <v>5.2684089999999903</v>
      </c>
      <c r="E4812">
        <v>0.62031769999999997</v>
      </c>
      <c r="F4812" t="s">
        <v>41</v>
      </c>
      <c r="G4812">
        <v>-290.98829999999998</v>
      </c>
      <c r="H4812" s="1">
        <v>-5.0360079999999999E-6</v>
      </c>
      <c r="I4812">
        <v>-2.321367</v>
      </c>
      <c r="J4812">
        <v>-321.05959999999999</v>
      </c>
      <c r="K4812">
        <v>1.117828</v>
      </c>
      <c r="L4812">
        <v>15.845090000000001</v>
      </c>
      <c r="M4812">
        <v>0.99751809999999996</v>
      </c>
      <c r="N4812">
        <v>-1.285468E-2</v>
      </c>
      <c r="O4812">
        <v>-6.9226739999999995E-2</v>
      </c>
      <c r="P4812">
        <v>0.95084709999999995</v>
      </c>
      <c r="Q4812">
        <v>0.18096139999999999</v>
      </c>
      <c r="R4812">
        <v>-0.25128260000000002</v>
      </c>
      <c r="S4812">
        <v>2.7427980000000001</v>
      </c>
      <c r="T4812">
        <v>-0.10144309999999999</v>
      </c>
      <c r="U4812">
        <v>-1.649597</v>
      </c>
      <c r="V4812">
        <v>0.18642020000000001</v>
      </c>
      <c r="W4812">
        <v>0.19185050000000001</v>
      </c>
      <c r="X4812">
        <v>0.96355630000000003</v>
      </c>
      <c r="Y4812">
        <v>0.45451599999999998</v>
      </c>
      <c r="Z4812">
        <v>-9.3797340000000007E-3</v>
      </c>
      <c r="AA4812">
        <v>0.89068919999999996</v>
      </c>
      <c r="AB4812">
        <v>25</v>
      </c>
      <c r="AC4812">
        <v>30.071300000000001</v>
      </c>
      <c r="AD4812">
        <v>-1.117833036008</v>
      </c>
      <c r="AE4812">
        <v>-18.166457000000001</v>
      </c>
      <c r="AF4812">
        <v>16.024734743184201</v>
      </c>
      <c r="AG4812">
        <v>-1.117833036008</v>
      </c>
      <c r="AH4812">
        <v>31.225243129304499</v>
      </c>
      <c r="AI4812">
        <v>91.824237122461199</v>
      </c>
      <c r="AJ4812">
        <v>62.833192566216503</v>
      </c>
      <c r="AK4812">
        <v>35.114918236698003</v>
      </c>
      <c r="AL4812">
        <v>78.939202154776197</v>
      </c>
      <c r="AM4812">
        <v>79.050211322255507</v>
      </c>
      <c r="AN4812">
        <v>0.99999992429398699</v>
      </c>
    </row>
    <row r="4813" spans="1:40" x14ac:dyDescent="0.25">
      <c r="A4813" t="str">
        <f>"20190303170633874"</f>
        <v>20190303170633874</v>
      </c>
      <c r="B4813" t="str">
        <f>"1551603993859765"</f>
        <v>1551603993859765</v>
      </c>
      <c r="C4813" t="s">
        <v>40</v>
      </c>
      <c r="D4813">
        <v>5.3049520000000001</v>
      </c>
      <c r="E4813">
        <v>0.62039730000000004</v>
      </c>
      <c r="F4813" t="s">
        <v>41</v>
      </c>
      <c r="G4813">
        <v>-290.4153</v>
      </c>
      <c r="H4813" s="1">
        <v>-5.001304E-6</v>
      </c>
      <c r="I4813">
        <v>-2.8087529999999998</v>
      </c>
      <c r="J4813">
        <v>-320.8784</v>
      </c>
      <c r="K4813">
        <v>1.1176539999999999</v>
      </c>
      <c r="L4813">
        <v>15.8288299999999</v>
      </c>
      <c r="M4813">
        <v>0.99726269999999995</v>
      </c>
      <c r="N4813">
        <v>-1.259042E-2</v>
      </c>
      <c r="O4813">
        <v>-7.2859759999999996E-2</v>
      </c>
      <c r="P4813">
        <v>0.94945679999999999</v>
      </c>
      <c r="Q4813">
        <v>0.18087639999999999</v>
      </c>
      <c r="R4813">
        <v>-0.25654579999999999</v>
      </c>
      <c r="S4813">
        <v>2.7342529999999998</v>
      </c>
      <c r="T4813">
        <v>-9.9739190000000005E-2</v>
      </c>
      <c r="U4813">
        <v>-1.664398</v>
      </c>
      <c r="V4813">
        <v>0.18827369999999999</v>
      </c>
      <c r="W4813">
        <v>0.19146679999999999</v>
      </c>
      <c r="X4813">
        <v>0.96327229999999997</v>
      </c>
      <c r="Y4813">
        <v>0.45603650000000001</v>
      </c>
      <c r="Z4813">
        <v>-9.1758989999999995E-3</v>
      </c>
      <c r="AA4813">
        <v>0.88991379999999998</v>
      </c>
      <c r="AB4813">
        <v>25</v>
      </c>
      <c r="AC4813">
        <v>30.463100000000001</v>
      </c>
      <c r="AD4813">
        <v>-1.117659001304</v>
      </c>
      <c r="AE4813">
        <v>-18.637582999999999</v>
      </c>
      <c r="AF4813">
        <v>16.3523135368794</v>
      </c>
      <c r="AG4813">
        <v>-1.117659001304</v>
      </c>
      <c r="AH4813">
        <v>31.709101944298801</v>
      </c>
      <c r="AI4813">
        <v>91.794315131902195</v>
      </c>
      <c r="AJ4813">
        <v>62.719942462210398</v>
      </c>
      <c r="AK4813">
        <v>35.694740029387297</v>
      </c>
      <c r="AL4813">
        <v>78.961602900603694</v>
      </c>
      <c r="AM4813">
        <v>78.940832513211106</v>
      </c>
      <c r="AN4813">
        <v>1.0000000227806001</v>
      </c>
    </row>
    <row r="4814" spans="1:40" x14ac:dyDescent="0.25">
      <c r="A4814" t="str">
        <f>"20190303170633889"</f>
        <v>20190303170633889</v>
      </c>
      <c r="B4814" t="str">
        <f>"1551603993879285"</f>
        <v>1551603993879285</v>
      </c>
      <c r="C4814" t="s">
        <v>40</v>
      </c>
      <c r="D4814">
        <v>5.292376</v>
      </c>
      <c r="E4814">
        <v>0.62036880000000005</v>
      </c>
      <c r="F4814" t="s">
        <v>41</v>
      </c>
      <c r="G4814">
        <v>-290.262</v>
      </c>
      <c r="H4814" s="1">
        <v>-4.9495870000000003E-6</v>
      </c>
      <c r="I4814">
        <v>-3.049623</v>
      </c>
      <c r="J4814">
        <v>-320.71249999999998</v>
      </c>
      <c r="K4814">
        <v>1.1174949999999999</v>
      </c>
      <c r="L4814">
        <v>15.813420000000001</v>
      </c>
      <c r="M4814">
        <v>0.99701439999999997</v>
      </c>
      <c r="N4814">
        <v>-1.262255E-2</v>
      </c>
      <c r="O4814">
        <v>-7.6178449999999995E-2</v>
      </c>
      <c r="P4814">
        <v>0.94762190000000002</v>
      </c>
      <c r="Q4814">
        <v>0.180448</v>
      </c>
      <c r="R4814">
        <v>-0.26353660000000001</v>
      </c>
      <c r="S4814">
        <v>2.724701</v>
      </c>
      <c r="T4814">
        <v>-9.9465849999999995E-2</v>
      </c>
      <c r="U4814">
        <v>-1.6800839999999999</v>
      </c>
      <c r="V4814">
        <v>0.19218940000000001</v>
      </c>
      <c r="W4814">
        <v>0.1910048</v>
      </c>
      <c r="X4814">
        <v>0.96259050000000002</v>
      </c>
      <c r="Y4814">
        <v>0.4581789</v>
      </c>
      <c r="Z4814">
        <v>-9.163292E-3</v>
      </c>
      <c r="AA4814">
        <v>0.88881270000000001</v>
      </c>
      <c r="AB4814">
        <v>26</v>
      </c>
      <c r="AC4814">
        <v>30.450499999999899</v>
      </c>
      <c r="AD4814">
        <v>-1.1174999495869999</v>
      </c>
      <c r="AE4814">
        <v>-18.863042999999902</v>
      </c>
      <c r="AF4814">
        <v>16.472332826659699</v>
      </c>
      <c r="AG4814">
        <v>-1.1174999495869999</v>
      </c>
      <c r="AH4814">
        <v>31.768154213815301</v>
      </c>
      <c r="AI4814">
        <v>91.788669850023695</v>
      </c>
      <c r="AJ4814">
        <v>62.592486296985498</v>
      </c>
      <c r="AK4814">
        <v>35.8022649708413</v>
      </c>
      <c r="AL4814">
        <v>78.988571410384907</v>
      </c>
      <c r="AM4814">
        <v>78.708881300319604</v>
      </c>
      <c r="AN4814">
        <v>1.00000003489282</v>
      </c>
    </row>
    <row r="4815" spans="1:40" x14ac:dyDescent="0.25">
      <c r="A4815" t="str">
        <f>"20190303170633900"</f>
        <v>20190303170633900</v>
      </c>
      <c r="B4815" t="str">
        <f>"1551603993890021"</f>
        <v>1551603993890021</v>
      </c>
      <c r="C4815" t="s">
        <v>40</v>
      </c>
      <c r="D4815">
        <v>5.3008110000000004</v>
      </c>
      <c r="E4815">
        <v>0.62029019999999901</v>
      </c>
      <c r="F4815" t="s">
        <v>41</v>
      </c>
      <c r="G4815">
        <v>-290.7593</v>
      </c>
      <c r="H4815" s="1">
        <v>-4.8552730000000002E-6</v>
      </c>
      <c r="I4815">
        <v>-2.9506779999999999</v>
      </c>
      <c r="J4815">
        <v>-320.5761</v>
      </c>
      <c r="K4815">
        <v>1.1173679999999999</v>
      </c>
      <c r="L4815">
        <v>15.80035</v>
      </c>
      <c r="M4815">
        <v>0.99679910000000005</v>
      </c>
      <c r="N4815">
        <v>-1.287743E-2</v>
      </c>
      <c r="O4815">
        <v>-7.8904340000000003E-2</v>
      </c>
      <c r="P4815">
        <v>0.94637720000000003</v>
      </c>
      <c r="Q4815">
        <v>0.18030840000000001</v>
      </c>
      <c r="R4815">
        <v>-0.26806560000000001</v>
      </c>
      <c r="S4815">
        <v>2.7125240000000002</v>
      </c>
      <c r="T4815">
        <v>-0.1011992</v>
      </c>
      <c r="U4815">
        <v>-1.699249</v>
      </c>
      <c r="V4815">
        <v>0.1941794</v>
      </c>
      <c r="W4815">
        <v>0.1910731</v>
      </c>
      <c r="X4815">
        <v>0.96217750000000002</v>
      </c>
      <c r="Y4815">
        <v>0.46203480000000002</v>
      </c>
      <c r="Z4815">
        <v>-9.3831609999999992E-3</v>
      </c>
      <c r="AA4815">
        <v>0.88681219999999905</v>
      </c>
      <c r="AB4815">
        <v>26</v>
      </c>
      <c r="AC4815">
        <v>29.816800000000001</v>
      </c>
      <c r="AD4815">
        <v>-1.117372855273</v>
      </c>
      <c r="AE4815">
        <v>-18.751028000000002</v>
      </c>
      <c r="AF4815">
        <v>16.323259446067201</v>
      </c>
      <c r="AG4815">
        <v>-1.117372855273</v>
      </c>
      <c r="AH4815">
        <v>31.172111485449001</v>
      </c>
      <c r="AI4815">
        <v>91.818814136900698</v>
      </c>
      <c r="AJ4815">
        <v>62.361221411709998</v>
      </c>
      <c r="AK4815">
        <v>35.2050828077791</v>
      </c>
      <c r="AL4815">
        <v>78.984584909742694</v>
      </c>
      <c r="AM4815">
        <v>78.5902506695776</v>
      </c>
      <c r="AN4815">
        <v>1.0000000552171</v>
      </c>
    </row>
    <row r="4816" spans="1:40" x14ac:dyDescent="0.25">
      <c r="A4816" t="str">
        <f>"20190303170633912"</f>
        <v>20190303170633912</v>
      </c>
      <c r="B4816" t="str">
        <f>"1551603993899313"</f>
        <v>1551603993899313</v>
      </c>
      <c r="C4816" t="s">
        <v>40</v>
      </c>
      <c r="D4816">
        <v>5.2854179999999999</v>
      </c>
      <c r="E4816">
        <v>0.62019859999999905</v>
      </c>
      <c r="F4816" t="s">
        <v>41</v>
      </c>
      <c r="G4816">
        <v>-290.92200000000003</v>
      </c>
      <c r="H4816" s="1">
        <v>-4.8070220000000001E-6</v>
      </c>
      <c r="I4816">
        <v>-2.9635639999999999</v>
      </c>
      <c r="J4816">
        <v>-320.44889999999998</v>
      </c>
      <c r="K4816">
        <v>1.1171359999999999</v>
      </c>
      <c r="L4816">
        <v>15.78769</v>
      </c>
      <c r="M4816">
        <v>0.99658440000000004</v>
      </c>
      <c r="N4816">
        <v>-1.3173199999999999E-2</v>
      </c>
      <c r="O4816">
        <v>-8.1524050000000001E-2</v>
      </c>
      <c r="P4816">
        <v>0.9452429</v>
      </c>
      <c r="Q4816">
        <v>0.1800351</v>
      </c>
      <c r="R4816">
        <v>-0.27222010000000002</v>
      </c>
      <c r="S4816">
        <v>2.7046510000000001</v>
      </c>
      <c r="T4816">
        <v>-0.1019119</v>
      </c>
      <c r="U4816">
        <v>-1.711395</v>
      </c>
      <c r="V4816">
        <v>0.19590270000000001</v>
      </c>
      <c r="W4816">
        <v>0.19103899999999999</v>
      </c>
      <c r="X4816">
        <v>0.96183479999999999</v>
      </c>
      <c r="Y4816">
        <v>0.46370549999999999</v>
      </c>
      <c r="Z4816">
        <v>-9.5094649999999999E-3</v>
      </c>
      <c r="AA4816">
        <v>0.88593829999999996</v>
      </c>
      <c r="AB4816">
        <v>26</v>
      </c>
      <c r="AC4816">
        <v>29.526899999999898</v>
      </c>
      <c r="AD4816">
        <v>-1.1171408070219999</v>
      </c>
      <c r="AE4816">
        <v>-18.751253999999999</v>
      </c>
      <c r="AF4816">
        <v>16.264874774877502</v>
      </c>
      <c r="AG4816">
        <v>-1.1171408070219999</v>
      </c>
      <c r="AH4816">
        <v>30.9258630525473</v>
      </c>
      <c r="AI4816">
        <v>91.831187374360397</v>
      </c>
      <c r="AJ4816">
        <v>62.258719748856898</v>
      </c>
      <c r="AK4816">
        <v>34.960022319358799</v>
      </c>
      <c r="AL4816">
        <v>78.986574466387097</v>
      </c>
      <c r="AM4816">
        <v>78.487690870114093</v>
      </c>
      <c r="AN4816">
        <v>0.99999997493966397</v>
      </c>
    </row>
    <row r="4817" spans="1:40" x14ac:dyDescent="0.25">
      <c r="A4817" t="str">
        <f>"20190303170633923"</f>
        <v>20190303170633923</v>
      </c>
      <c r="B4817" t="str">
        <f>"1551603993910050"</f>
        <v>1551603993910050</v>
      </c>
      <c r="C4817" t="s">
        <v>40</v>
      </c>
      <c r="D4817">
        <v>5.2824280000000003</v>
      </c>
      <c r="E4817">
        <v>0.6201276</v>
      </c>
      <c r="F4817" t="s">
        <v>41</v>
      </c>
      <c r="G4817">
        <v>-291.08069999999998</v>
      </c>
      <c r="H4817" s="1">
        <v>-4.7628700000000002E-6</v>
      </c>
      <c r="I4817">
        <v>-2.9685600000000001</v>
      </c>
      <c r="J4817">
        <v>-320.31079999999997</v>
      </c>
      <c r="K4817">
        <v>1.1168290000000001</v>
      </c>
      <c r="L4817">
        <v>15.7738</v>
      </c>
      <c r="M4817">
        <v>0.99634069999999997</v>
      </c>
      <c r="N4817">
        <v>-1.3515030000000001E-2</v>
      </c>
      <c r="O4817">
        <v>-8.4395709999999999E-2</v>
      </c>
      <c r="P4817">
        <v>0.94406920000000005</v>
      </c>
      <c r="Q4817">
        <v>0.17986769999999999</v>
      </c>
      <c r="R4817">
        <v>-0.27637109999999998</v>
      </c>
      <c r="S4817">
        <v>2.6972049999999999</v>
      </c>
      <c r="T4817">
        <v>-0.102599499999999</v>
      </c>
      <c r="U4817">
        <v>-1.7225950000000001</v>
      </c>
      <c r="V4817">
        <v>0.1973934</v>
      </c>
      <c r="W4817">
        <v>0.1911494</v>
      </c>
      <c r="X4817">
        <v>0.96150800000000003</v>
      </c>
      <c r="Y4817">
        <v>0.46486640000000001</v>
      </c>
      <c r="Z4817">
        <v>-9.6323959999999997E-3</v>
      </c>
      <c r="AA4817">
        <v>0.88532849999999996</v>
      </c>
      <c r="AB4817">
        <v>25</v>
      </c>
      <c r="AC4817">
        <v>29.2301</v>
      </c>
      <c r="AD4817">
        <v>-1.11683376287</v>
      </c>
      <c r="AE4817">
        <v>-18.742360000000001</v>
      </c>
      <c r="AF4817">
        <v>16.191609864053198</v>
      </c>
      <c r="AG4817">
        <v>-1.11683376287</v>
      </c>
      <c r="AH4817">
        <v>30.675980912524501</v>
      </c>
      <c r="AI4817">
        <v>91.844145270590403</v>
      </c>
      <c r="AJ4817">
        <v>62.173699485453803</v>
      </c>
      <c r="AK4817">
        <v>34.704918276652897</v>
      </c>
      <c r="AL4817">
        <v>78.9801298751254</v>
      </c>
      <c r="AM4817">
        <v>78.398618958567496</v>
      </c>
      <c r="AN4817">
        <v>0.99999994077395804</v>
      </c>
    </row>
    <row r="4818" spans="1:40" x14ac:dyDescent="0.25">
      <c r="A4818" t="str">
        <f>"20190303170633934"</f>
        <v>20190303170633934</v>
      </c>
      <c r="B4818" t="str">
        <f>"1551603993919809"</f>
        <v>1551603993919809</v>
      </c>
      <c r="C4818" t="s">
        <v>40</v>
      </c>
      <c r="D4818">
        <v>5.2939179999999997</v>
      </c>
      <c r="E4818">
        <v>0.62003710000000001</v>
      </c>
      <c r="F4818" t="s">
        <v>41</v>
      </c>
      <c r="G4818">
        <v>-291.09160000000003</v>
      </c>
      <c r="H4818" s="1">
        <v>-4.7225540000000003E-6</v>
      </c>
      <c r="I4818">
        <v>-3.0660530000000001</v>
      </c>
      <c r="J4818">
        <v>-320.18290000000002</v>
      </c>
      <c r="K4818">
        <v>1.1163650000000001</v>
      </c>
      <c r="L4818">
        <v>15.76038</v>
      </c>
      <c r="M4818">
        <v>0.99610149999999997</v>
      </c>
      <c r="N4818">
        <v>-1.387039E-2</v>
      </c>
      <c r="O4818">
        <v>-8.7118370000000001E-2</v>
      </c>
      <c r="P4818">
        <v>0.94283819999999996</v>
      </c>
      <c r="Q4818">
        <v>0.1799116</v>
      </c>
      <c r="R4818">
        <v>-0.28051409999999999</v>
      </c>
      <c r="S4818">
        <v>2.6896059999999999</v>
      </c>
      <c r="T4818">
        <v>-0.10280359999999999</v>
      </c>
      <c r="U4818">
        <v>-1.73419199999999</v>
      </c>
      <c r="V4818">
        <v>0.19904830000000001</v>
      </c>
      <c r="W4818">
        <v>0.1914612</v>
      </c>
      <c r="X4818">
        <v>0.96110479999999998</v>
      </c>
      <c r="Y4818">
        <v>0.46627570000000002</v>
      </c>
      <c r="Z4818">
        <v>-9.7466329999999993E-3</v>
      </c>
      <c r="AA4818">
        <v>0.88458579999999998</v>
      </c>
      <c r="AB4818">
        <v>25</v>
      </c>
      <c r="AC4818">
        <v>29.091299999999901</v>
      </c>
      <c r="AD4818">
        <v>-1.1163697225539999</v>
      </c>
      <c r="AE4818">
        <v>-18.826433000000002</v>
      </c>
      <c r="AF4818">
        <v>16.203392306374401</v>
      </c>
      <c r="AG4818">
        <v>-1.1163697225539999</v>
      </c>
      <c r="AH4818">
        <v>30.5892089720586</v>
      </c>
      <c r="AI4818">
        <v>91.847168570485593</v>
      </c>
      <c r="AJ4818">
        <v>62.089409506477701</v>
      </c>
      <c r="AK4818">
        <v>34.633739462090702</v>
      </c>
      <c r="AL4818">
        <v>78.961929848733206</v>
      </c>
      <c r="AM4818">
        <v>78.299253209402494</v>
      </c>
      <c r="AN4818">
        <v>1.0000000267106799</v>
      </c>
    </row>
    <row r="4819" spans="1:40" x14ac:dyDescent="0.25">
      <c r="A4819" t="str">
        <f>"20190303170633946"</f>
        <v>20190303170633946</v>
      </c>
      <c r="B4819" t="str">
        <f>"1551603993939329"</f>
        <v>1551603993939329</v>
      </c>
      <c r="C4819" t="s">
        <v>40</v>
      </c>
      <c r="D4819">
        <v>5.3058889999999996</v>
      </c>
      <c r="E4819">
        <v>0.619811</v>
      </c>
      <c r="F4819" t="s">
        <v>41</v>
      </c>
      <c r="G4819">
        <v>-290.84589999999997</v>
      </c>
      <c r="H4819" s="1">
        <v>-4.6848319999999996E-6</v>
      </c>
      <c r="I4819">
        <v>-3.334524</v>
      </c>
      <c r="J4819">
        <v>-320.04840000000002</v>
      </c>
      <c r="K4819">
        <v>1.1158330000000001</v>
      </c>
      <c r="L4819">
        <v>15.746</v>
      </c>
      <c r="M4819">
        <v>0.99584649999999997</v>
      </c>
      <c r="N4819">
        <v>-1.4314E-2</v>
      </c>
      <c r="O4819">
        <v>-8.9916869999999996E-2</v>
      </c>
      <c r="P4819">
        <v>0.94167089999999998</v>
      </c>
      <c r="Q4819">
        <v>0.17944450000000001</v>
      </c>
      <c r="R4819">
        <v>-0.2847035</v>
      </c>
      <c r="S4819">
        <v>2.682007</v>
      </c>
      <c r="T4819">
        <v>-0.1020591</v>
      </c>
      <c r="U4819">
        <v>-1.7456670000000001</v>
      </c>
      <c r="V4819">
        <v>0.2006751</v>
      </c>
      <c r="W4819">
        <v>0.19134039999999999</v>
      </c>
      <c r="X4819">
        <v>0.96079049999999999</v>
      </c>
      <c r="Y4819">
        <v>0.4675919</v>
      </c>
      <c r="Z4819">
        <v>-9.8422040000000002E-3</v>
      </c>
      <c r="AA4819">
        <v>0.883889699999999</v>
      </c>
      <c r="AB4819">
        <v>25</v>
      </c>
      <c r="AC4819">
        <v>29.202500000000001</v>
      </c>
      <c r="AD4819">
        <v>-1.115837684832</v>
      </c>
      <c r="AE4819">
        <v>-19.080524</v>
      </c>
      <c r="AF4819">
        <v>16.360411862317601</v>
      </c>
      <c r="AG4819">
        <v>-1.115837684832</v>
      </c>
      <c r="AH4819">
        <v>30.768538401199802</v>
      </c>
      <c r="AI4819">
        <v>91.834004891896797</v>
      </c>
      <c r="AJ4819">
        <v>61.999288953580702</v>
      </c>
      <c r="AK4819">
        <v>34.865615230333397</v>
      </c>
      <c r="AL4819">
        <v>78.968981416254906</v>
      </c>
      <c r="AM4819">
        <v>78.202542363270794</v>
      </c>
      <c r="AN4819">
        <v>1.0000000146612</v>
      </c>
    </row>
    <row r="4820" spans="1:40" x14ac:dyDescent="0.25">
      <c r="A4820" t="str">
        <f>"20190303170633958"</f>
        <v>20190303170633958</v>
      </c>
      <c r="B4820" t="str">
        <f>"1551603993949389"</f>
        <v>1551603993949389</v>
      </c>
      <c r="C4820" t="s">
        <v>40</v>
      </c>
      <c r="D4820">
        <v>5.2845599999999999</v>
      </c>
      <c r="E4820">
        <v>0.61966499999999902</v>
      </c>
      <c r="F4820" t="s">
        <v>41</v>
      </c>
      <c r="G4820">
        <v>-291.12979999999999</v>
      </c>
      <c r="H4820" s="1">
        <v>-4.6451429999999999E-6</v>
      </c>
      <c r="I4820">
        <v>-3.241139</v>
      </c>
      <c r="J4820">
        <v>-319.91300000000001</v>
      </c>
      <c r="K4820">
        <v>1.1152059999999999</v>
      </c>
      <c r="L4820">
        <v>15.731019999999999</v>
      </c>
      <c r="M4820">
        <v>0.99559310000000001</v>
      </c>
      <c r="N4820">
        <v>-1.492953E-2</v>
      </c>
      <c r="O4820">
        <v>-9.2581860000000002E-2</v>
      </c>
      <c r="P4820">
        <v>0.94053909999999996</v>
      </c>
      <c r="Q4820">
        <v>0.17890829999999999</v>
      </c>
      <c r="R4820">
        <v>-0.28875220000000001</v>
      </c>
      <c r="S4820">
        <v>2.6745610000000002</v>
      </c>
      <c r="T4820">
        <v>-0.1031992</v>
      </c>
      <c r="U4820">
        <v>-1.7560420000000001</v>
      </c>
      <c r="V4820">
        <v>0.20230010000000001</v>
      </c>
      <c r="W4820">
        <v>0.1913058</v>
      </c>
      <c r="X4820">
        <v>0.96045659999999999</v>
      </c>
      <c r="Y4820">
        <v>0.4687366</v>
      </c>
      <c r="Z4820">
        <v>-1.009005E-2</v>
      </c>
      <c r="AA4820">
        <v>0.88328030000000002</v>
      </c>
      <c r="AB4820">
        <v>26</v>
      </c>
      <c r="AC4820">
        <v>28.783200000000001</v>
      </c>
      <c r="AD4820">
        <v>-1.1152106451429999</v>
      </c>
      <c r="AE4820">
        <v>-18.972159000000001</v>
      </c>
      <c r="AF4820">
        <v>16.208594934544799</v>
      </c>
      <c r="AG4820">
        <v>-1.1152106451429999</v>
      </c>
      <c r="AH4820">
        <v>30.3844265905784</v>
      </c>
      <c r="AI4820">
        <v>91.854803517830007</v>
      </c>
      <c r="AJ4820">
        <v>61.9222759832778</v>
      </c>
      <c r="AK4820">
        <v>34.455415013803503</v>
      </c>
      <c r="AL4820">
        <v>78.971001667339095</v>
      </c>
      <c r="AM4820">
        <v>78.105703439308201</v>
      </c>
      <c r="AN4820">
        <v>1.0000000600286001</v>
      </c>
    </row>
    <row r="4821" spans="1:40" x14ac:dyDescent="0.25">
      <c r="A4821" t="str">
        <f>"20190303170633969"</f>
        <v>20190303170633969</v>
      </c>
      <c r="B4821" t="str">
        <f>"1551603993959291"</f>
        <v>1551603993959291</v>
      </c>
      <c r="C4821" t="s">
        <v>40</v>
      </c>
      <c r="D4821">
        <v>5.2962400000000001</v>
      </c>
      <c r="E4821">
        <v>0.61955289999999996</v>
      </c>
      <c r="F4821" t="s">
        <v>41</v>
      </c>
      <c r="G4821">
        <v>-291.54880000000003</v>
      </c>
      <c r="H4821" s="1">
        <v>-4.6062909999999998E-6</v>
      </c>
      <c r="I4821">
        <v>-3.05199</v>
      </c>
      <c r="J4821">
        <v>-319.79180000000002</v>
      </c>
      <c r="K4821">
        <v>1.1146020000000001</v>
      </c>
      <c r="L4821">
        <v>15.717219999999999</v>
      </c>
      <c r="M4821">
        <v>0.99536159999999996</v>
      </c>
      <c r="N4821">
        <v>-1.5589840000000001E-2</v>
      </c>
      <c r="O4821">
        <v>-9.4932290000000003E-2</v>
      </c>
      <c r="P4821">
        <v>0.93942380000000003</v>
      </c>
      <c r="Q4821">
        <v>0.17873810000000001</v>
      </c>
      <c r="R4821">
        <v>-0.29246440000000001</v>
      </c>
      <c r="S4821">
        <v>2.6673279999999999</v>
      </c>
      <c r="T4821">
        <v>-0.1048728</v>
      </c>
      <c r="U4821">
        <v>-1.766327</v>
      </c>
      <c r="V4821">
        <v>0.2038864</v>
      </c>
      <c r="W4821">
        <v>0.19169050000000001</v>
      </c>
      <c r="X4821">
        <v>0.96004429999999996</v>
      </c>
      <c r="Y4821">
        <v>0.47010239999999998</v>
      </c>
      <c r="Z4821">
        <v>-1.039328E-2</v>
      </c>
      <c r="AA4821">
        <v>0.88255069999999902</v>
      </c>
      <c r="AB4821">
        <v>26</v>
      </c>
      <c r="AC4821">
        <v>28.242999999999899</v>
      </c>
      <c r="AD4821">
        <v>-1.1146066062910001</v>
      </c>
      <c r="AE4821">
        <v>-18.769210000000001</v>
      </c>
      <c r="AF4821">
        <v>15.9856537797115</v>
      </c>
      <c r="AG4821">
        <v>-1.1146066062910001</v>
      </c>
      <c r="AH4821">
        <v>29.8651718763203</v>
      </c>
      <c r="AI4821">
        <v>91.884590451291999</v>
      </c>
      <c r="AJ4821">
        <v>61.841605529118702</v>
      </c>
      <c r="AK4821">
        <v>33.892653567605898</v>
      </c>
      <c r="AL4821">
        <v>78.948543523881597</v>
      </c>
      <c r="AM4821">
        <v>78.010125187066095</v>
      </c>
      <c r="AN4821">
        <v>0.99999998492884901</v>
      </c>
    </row>
    <row r="4822" spans="1:40" x14ac:dyDescent="0.25">
      <c r="A4822" t="str">
        <f>"20190303170633980"</f>
        <v>20190303170633980</v>
      </c>
      <c r="B4822" t="str">
        <f>"1551603993969545"</f>
        <v>1551603993969545</v>
      </c>
      <c r="C4822" t="s">
        <v>40</v>
      </c>
      <c r="D4822">
        <v>5.297415</v>
      </c>
      <c r="E4822">
        <v>0.61940699999999904</v>
      </c>
      <c r="F4822" t="s">
        <v>41</v>
      </c>
      <c r="G4822">
        <v>-291.69009999999997</v>
      </c>
      <c r="H4822" s="1">
        <v>-4.5732139999999996E-6</v>
      </c>
      <c r="I4822">
        <v>-3.0402070000000001</v>
      </c>
      <c r="J4822">
        <v>-319.66579999999999</v>
      </c>
      <c r="K4822">
        <v>1.1139349999999999</v>
      </c>
      <c r="L4822">
        <v>15.702579999999999</v>
      </c>
      <c r="M4822">
        <v>0.99511620000000001</v>
      </c>
      <c r="N4822">
        <v>-1.6365040000000001E-2</v>
      </c>
      <c r="O4822">
        <v>-9.7343319999999997E-2</v>
      </c>
      <c r="P4822">
        <v>0.93825769999999997</v>
      </c>
      <c r="Q4822">
        <v>0.17810190000000001</v>
      </c>
      <c r="R4822">
        <v>-0.29656739999999998</v>
      </c>
      <c r="S4822">
        <v>2.6606450000000001</v>
      </c>
      <c r="T4822">
        <v>-0.1055301</v>
      </c>
      <c r="U4822">
        <v>-1.7759400000000001</v>
      </c>
      <c r="V4822">
        <v>0.20580409999999999</v>
      </c>
      <c r="W4822">
        <v>0.1917172</v>
      </c>
      <c r="X4822">
        <v>0.95962970000000003</v>
      </c>
      <c r="Y4822">
        <v>0.47117969999999998</v>
      </c>
      <c r="Z4822">
        <v>-1.068065E-2</v>
      </c>
      <c r="AA4822">
        <v>0.8819726</v>
      </c>
      <c r="AB4822">
        <v>25</v>
      </c>
      <c r="AC4822">
        <v>27.9757</v>
      </c>
      <c r="AD4822">
        <v>-1.1139395732140001</v>
      </c>
      <c r="AE4822">
        <v>-18.742787</v>
      </c>
      <c r="AF4822">
        <v>15.9127251610616</v>
      </c>
      <c r="AG4822">
        <v>-1.1139395732140001</v>
      </c>
      <c r="AH4822">
        <v>29.635103811320299</v>
      </c>
      <c r="AI4822">
        <v>91.8967368774411</v>
      </c>
      <c r="AJ4822">
        <v>61.766190792341298</v>
      </c>
      <c r="AK4822">
        <v>33.655535374318298</v>
      </c>
      <c r="AL4822">
        <v>78.946984837164294</v>
      </c>
      <c r="AM4822">
        <v>77.895586547332002</v>
      </c>
      <c r="AN4822">
        <v>0.99999998673737001</v>
      </c>
    </row>
    <row r="4823" spans="1:40" x14ac:dyDescent="0.25">
      <c r="A4823" t="str">
        <f>"20190303170633991"</f>
        <v>20190303170633991</v>
      </c>
      <c r="B4823" t="str">
        <f>"1551603993979326"</f>
        <v>1551603993979326</v>
      </c>
      <c r="C4823" t="s">
        <v>40</v>
      </c>
      <c r="D4823">
        <v>5.2896390000000002</v>
      </c>
      <c r="E4823">
        <v>0.61925750000000002</v>
      </c>
      <c r="F4823" t="s">
        <v>41</v>
      </c>
      <c r="G4823">
        <v>-292.2441</v>
      </c>
      <c r="H4823" s="1">
        <v>-4.5347370000000004E-6</v>
      </c>
      <c r="I4823">
        <v>-2.7565339999999998</v>
      </c>
      <c r="J4823">
        <v>-319.5444</v>
      </c>
      <c r="K4823">
        <v>1.113246</v>
      </c>
      <c r="L4823">
        <v>15.68796</v>
      </c>
      <c r="M4823">
        <v>0.99486030000000003</v>
      </c>
      <c r="N4823">
        <v>-1.7150990000000001E-2</v>
      </c>
      <c r="O4823">
        <v>-9.9794049999999995E-2</v>
      </c>
      <c r="P4823">
        <v>0.93711469999999997</v>
      </c>
      <c r="Q4823">
        <v>0.17767140000000001</v>
      </c>
      <c r="R4823">
        <v>-0.30041459999999998</v>
      </c>
      <c r="S4823">
        <v>2.6533199999999999</v>
      </c>
      <c r="T4823">
        <v>-0.1077847</v>
      </c>
      <c r="U4823">
        <v>-1.7861020000000001</v>
      </c>
      <c r="V4823">
        <v>0.2074191</v>
      </c>
      <c r="W4823">
        <v>0.19197449999999999</v>
      </c>
      <c r="X4823">
        <v>0.95923049999999999</v>
      </c>
      <c r="Y4823">
        <v>0.47243560000000001</v>
      </c>
      <c r="Z4823">
        <v>-1.1055570000000001E-2</v>
      </c>
      <c r="AA4823">
        <v>0.88129590000000002</v>
      </c>
      <c r="AB4823">
        <v>25</v>
      </c>
      <c r="AC4823">
        <v>27.3003</v>
      </c>
      <c r="AD4823">
        <v>-1.1132505347370001</v>
      </c>
      <c r="AE4823">
        <v>-18.444493999999999</v>
      </c>
      <c r="AF4823">
        <v>15.609764041885599</v>
      </c>
      <c r="AG4823">
        <v>-1.1132505347370001</v>
      </c>
      <c r="AH4823">
        <v>28.971824078552501</v>
      </c>
      <c r="AI4823">
        <v>91.937445353198996</v>
      </c>
      <c r="AJ4823">
        <v>61.684603273865498</v>
      </c>
      <c r="AK4823">
        <v>32.9282652235892</v>
      </c>
      <c r="AL4823">
        <v>78.931964008940994</v>
      </c>
      <c r="AM4823">
        <v>77.798509226526306</v>
      </c>
      <c r="AN4823">
        <v>1.0000000219126499</v>
      </c>
    </row>
    <row r="4824" spans="1:40" x14ac:dyDescent="0.25">
      <c r="A4824" t="str">
        <f>"20190303170634002"</f>
        <v>20190303170634002</v>
      </c>
      <c r="B4824" t="str">
        <f>"1551603993990060"</f>
        <v>1551603993990060</v>
      </c>
      <c r="C4824" t="s">
        <v>40</v>
      </c>
      <c r="D4824">
        <v>5.2656269999999896</v>
      </c>
      <c r="E4824">
        <v>0.61907179999999995</v>
      </c>
      <c r="F4824" t="s">
        <v>41</v>
      </c>
      <c r="G4824">
        <v>-292.6669</v>
      </c>
      <c r="H4824" s="1">
        <v>-4.5504230000000001E-6</v>
      </c>
      <c r="I4824">
        <v>-2.5484939999999998</v>
      </c>
      <c r="J4824">
        <v>-319.41070000000002</v>
      </c>
      <c r="K4824">
        <v>1.112466</v>
      </c>
      <c r="L4824">
        <v>15.671659999999999</v>
      </c>
      <c r="M4824">
        <v>0.99456500000000003</v>
      </c>
      <c r="N4824">
        <v>-1.8032079999999999E-2</v>
      </c>
      <c r="O4824">
        <v>-0.1025447</v>
      </c>
      <c r="P4824">
        <v>0.93584310000000004</v>
      </c>
      <c r="Q4824">
        <v>0.1773382</v>
      </c>
      <c r="R4824">
        <v>-0.30454750000000003</v>
      </c>
      <c r="S4824">
        <v>2.6464539999999999</v>
      </c>
      <c r="T4824">
        <v>-0.1096145</v>
      </c>
      <c r="U4824">
        <v>-1.7956240000000001</v>
      </c>
      <c r="V4824">
        <v>0.20904539999999999</v>
      </c>
      <c r="W4824">
        <v>0.1924177</v>
      </c>
      <c r="X4824">
        <v>0.95878859999999999</v>
      </c>
      <c r="Y4824">
        <v>0.4732093</v>
      </c>
      <c r="Z4824">
        <v>-1.142629E-2</v>
      </c>
      <c r="AA4824">
        <v>0.88087590000000004</v>
      </c>
      <c r="AB4824">
        <v>25</v>
      </c>
      <c r="AC4824">
        <v>26.7438</v>
      </c>
      <c r="AD4824">
        <v>-1.1124705504229999</v>
      </c>
      <c r="AE4824">
        <v>-18.220154000000001</v>
      </c>
      <c r="AF4824">
        <v>15.363036414699399</v>
      </c>
      <c r="AG4824">
        <v>-1.1124705504229999</v>
      </c>
      <c r="AH4824">
        <v>28.4378473474681</v>
      </c>
      <c r="AI4824">
        <v>91.9712280959277</v>
      </c>
      <c r="AJ4824">
        <v>61.6206611372913</v>
      </c>
      <c r="AK4824">
        <v>32.341484820008503</v>
      </c>
      <c r="AL4824">
        <v>78.906088587604003</v>
      </c>
      <c r="AM4824">
        <v>77.700246561102105</v>
      </c>
      <c r="AN4824">
        <v>1.0000000650122001</v>
      </c>
    </row>
    <row r="4825" spans="1:40" x14ac:dyDescent="0.25">
      <c r="A4825" t="str">
        <f>"20190303170634014"</f>
        <v>20190303170634014</v>
      </c>
      <c r="B4825" t="str">
        <f>"1551603993999820"</f>
        <v>1551603993999820</v>
      </c>
      <c r="C4825" t="s">
        <v>40</v>
      </c>
      <c r="D4825">
        <v>5.2919359999999998</v>
      </c>
      <c r="E4825">
        <v>0.61888989999999999</v>
      </c>
      <c r="F4825" t="s">
        <v>41</v>
      </c>
      <c r="G4825">
        <v>-293.03089999999997</v>
      </c>
      <c r="H4825" s="1">
        <v>-4.5684530000000002E-6</v>
      </c>
      <c r="I4825">
        <v>-2.3737379999999999</v>
      </c>
      <c r="J4825">
        <v>-319.2921</v>
      </c>
      <c r="K4825">
        <v>1.1117060000000001</v>
      </c>
      <c r="L4825">
        <v>15.656560000000001</v>
      </c>
      <c r="M4825">
        <v>0.99427149999999997</v>
      </c>
      <c r="N4825">
        <v>-1.878401E-2</v>
      </c>
      <c r="O4825">
        <v>-0.1052207</v>
      </c>
      <c r="P4825">
        <v>0.93469049999999998</v>
      </c>
      <c r="Q4825">
        <v>0.17643829999999999</v>
      </c>
      <c r="R4825">
        <v>-0.30858269999999999</v>
      </c>
      <c r="S4825">
        <v>2.639221</v>
      </c>
      <c r="T4825">
        <v>-0.11129940000000001</v>
      </c>
      <c r="U4825">
        <v>-1.8053889999999999</v>
      </c>
      <c r="V4825">
        <v>0.2106189</v>
      </c>
      <c r="W4825">
        <v>0.1921833</v>
      </c>
      <c r="X4825">
        <v>0.95849110000000004</v>
      </c>
      <c r="Y4825">
        <v>0.47416269999999999</v>
      </c>
      <c r="Z4825">
        <v>-1.175446E-2</v>
      </c>
      <c r="AA4825">
        <v>0.8803588</v>
      </c>
      <c r="AB4825">
        <v>25</v>
      </c>
      <c r="AC4825">
        <v>26.261199999999999</v>
      </c>
      <c r="AD4825">
        <v>-1.11171056845299</v>
      </c>
      <c r="AE4825">
        <v>-18.030297999999998</v>
      </c>
      <c r="AF4825">
        <v>15.1480156532982</v>
      </c>
      <c r="AG4825">
        <v>-1.11171056845299</v>
      </c>
      <c r="AH4825">
        <v>27.978788409339298</v>
      </c>
      <c r="AI4825">
        <v>92.001190643226906</v>
      </c>
      <c r="AJ4825">
        <v>61.568411153002302</v>
      </c>
      <c r="AK4825">
        <v>31.835685629104201</v>
      </c>
      <c r="AL4825">
        <v>78.919773024730304</v>
      </c>
      <c r="AM4825">
        <v>77.606787680376002</v>
      </c>
      <c r="AN4825">
        <v>0.999999965307654</v>
      </c>
    </row>
    <row r="4826" spans="1:40" x14ac:dyDescent="0.25">
      <c r="A4826" t="str">
        <f>"20190303170634027"</f>
        <v>20190303170634027</v>
      </c>
      <c r="B4826" t="str">
        <f>"1551603994019340"</f>
        <v>1551603994019340</v>
      </c>
      <c r="C4826" t="s">
        <v>40</v>
      </c>
      <c r="D4826">
        <v>5.2440449999999998</v>
      </c>
      <c r="E4826">
        <v>0.61859299999999995</v>
      </c>
      <c r="F4826" t="s">
        <v>41</v>
      </c>
      <c r="G4826">
        <v>-293.66039999999998</v>
      </c>
      <c r="H4826" s="1">
        <v>-4.6217479999999998E-6</v>
      </c>
      <c r="I4826">
        <v>-2.024794</v>
      </c>
      <c r="J4826">
        <v>-319.1379</v>
      </c>
      <c r="K4826">
        <v>1.110698</v>
      </c>
      <c r="L4826">
        <v>15.636629999999901</v>
      </c>
      <c r="M4826">
        <v>0.99387150000000002</v>
      </c>
      <c r="N4826">
        <v>-1.9753819999999998E-2</v>
      </c>
      <c r="O4826">
        <v>-0.1087625</v>
      </c>
      <c r="P4826">
        <v>0.93325760000000002</v>
      </c>
      <c r="Q4826">
        <v>0.17554649999999999</v>
      </c>
      <c r="R4826">
        <v>-0.31339060000000002</v>
      </c>
      <c r="S4826">
        <v>2.6317750000000002</v>
      </c>
      <c r="T4826">
        <v>-0.1141466</v>
      </c>
      <c r="U4826">
        <v>-1.8154600000000001</v>
      </c>
      <c r="V4826">
        <v>0.21216679999999999</v>
      </c>
      <c r="W4826">
        <v>0.1921543</v>
      </c>
      <c r="X4826">
        <v>0.95815550000000005</v>
      </c>
      <c r="Y4826">
        <v>0.47444199999999997</v>
      </c>
      <c r="Z4826">
        <v>-1.2177840000000001E-2</v>
      </c>
      <c r="AA4826">
        <v>0.8802025</v>
      </c>
      <c r="AB4826">
        <v>25</v>
      </c>
      <c r="AC4826">
        <v>25.477499999999999</v>
      </c>
      <c r="AD4826">
        <v>-1.1107026217479901</v>
      </c>
      <c r="AE4826">
        <v>-17.661423999999901</v>
      </c>
      <c r="AF4826">
        <v>14.7661188486189</v>
      </c>
      <c r="AG4826">
        <v>-1.1107026217479901</v>
      </c>
      <c r="AH4826">
        <v>27.212645227190301</v>
      </c>
      <c r="AI4826">
        <v>92.054580391066295</v>
      </c>
      <c r="AJ4826">
        <v>61.514867923293899</v>
      </c>
      <c r="AK4826">
        <v>30.980638896356201</v>
      </c>
      <c r="AL4826">
        <v>78.921466482303202</v>
      </c>
      <c r="AM4826">
        <v>77.514316101126695</v>
      </c>
      <c r="AN4826">
        <v>0.99999999410549001</v>
      </c>
    </row>
    <row r="4827" spans="1:40" x14ac:dyDescent="0.25">
      <c r="A4827" t="str">
        <f>"20190303170634039"</f>
        <v>20190303170634039</v>
      </c>
      <c r="B4827" t="str">
        <f>"1551603994030076"</f>
        <v>1551603994030076</v>
      </c>
      <c r="C4827" t="s">
        <v>40</v>
      </c>
      <c r="D4827">
        <v>5.30389</v>
      </c>
      <c r="E4827">
        <v>0.61841059999999903</v>
      </c>
      <c r="F4827" t="s">
        <v>41</v>
      </c>
      <c r="G4827">
        <v>-294.06290000000001</v>
      </c>
      <c r="H4827" s="1">
        <v>-4.6430299999999998E-6</v>
      </c>
      <c r="I4827">
        <v>-1.828714</v>
      </c>
      <c r="J4827">
        <v>-318.99310000000003</v>
      </c>
      <c r="K4827">
        <v>1.1097090000000001</v>
      </c>
      <c r="L4827">
        <v>15.61722</v>
      </c>
      <c r="M4827">
        <v>0.99346820000000002</v>
      </c>
      <c r="N4827">
        <v>-2.065229E-2</v>
      </c>
      <c r="O4827">
        <v>-0.1122242</v>
      </c>
      <c r="P4827">
        <v>0.9319035</v>
      </c>
      <c r="Q4827">
        <v>0.17451620000000001</v>
      </c>
      <c r="R4827">
        <v>-0.31796180000000002</v>
      </c>
      <c r="S4827">
        <v>2.622925</v>
      </c>
      <c r="T4827">
        <v>-0.1161833</v>
      </c>
      <c r="U4827">
        <v>-1.826935</v>
      </c>
      <c r="V4827">
        <v>0.21354770000000001</v>
      </c>
      <c r="W4827">
        <v>0.1919207</v>
      </c>
      <c r="X4827">
        <v>0.95789550000000001</v>
      </c>
      <c r="Y4827">
        <v>0.47533399999999998</v>
      </c>
      <c r="Z4827">
        <v>-1.2563650000000001E-2</v>
      </c>
      <c r="AA4827">
        <v>0.87971569999999899</v>
      </c>
      <c r="AB4827">
        <v>25</v>
      </c>
      <c r="AC4827">
        <v>24.930199999999999</v>
      </c>
      <c r="AD4827">
        <v>-1.1097136430299901</v>
      </c>
      <c r="AE4827">
        <v>-17.445934000000001</v>
      </c>
      <c r="AF4827">
        <v>14.5180007810081</v>
      </c>
      <c r="AG4827">
        <v>-1.1097136430299901</v>
      </c>
      <c r="AH4827">
        <v>26.695413740914301</v>
      </c>
      <c r="AI4827">
        <v>92.091421509992202</v>
      </c>
      <c r="AJ4827">
        <v>61.460938353215298</v>
      </c>
      <c r="AK4827">
        <v>30.408040480199901</v>
      </c>
      <c r="AL4827">
        <v>78.935104480449894</v>
      </c>
      <c r="AM4827">
        <v>77.432322639155004</v>
      </c>
      <c r="AN4827">
        <v>0.99999998209201402</v>
      </c>
    </row>
    <row r="4828" spans="1:40" x14ac:dyDescent="0.25">
      <c r="A4828" t="str">
        <f>"20190303170634058"</f>
        <v>20190303170634058</v>
      </c>
      <c r="B4828" t="str">
        <f>"1551603994049596"</f>
        <v>1551603994049596</v>
      </c>
      <c r="C4828" t="s">
        <v>40</v>
      </c>
      <c r="D4828">
        <v>5.2296050000000003</v>
      </c>
      <c r="E4828">
        <v>0.61813499999999999</v>
      </c>
      <c r="F4828" t="s">
        <v>41</v>
      </c>
      <c r="G4828">
        <v>-294.57060000000001</v>
      </c>
      <c r="H4828" s="1">
        <v>-4.678825E-6</v>
      </c>
      <c r="I4828">
        <v>-1.562495</v>
      </c>
      <c r="J4828">
        <v>-318.78120000000001</v>
      </c>
      <c r="K4828">
        <v>1.1082379999999901</v>
      </c>
      <c r="L4828">
        <v>15.58771</v>
      </c>
      <c r="M4828">
        <v>0.99284450000000002</v>
      </c>
      <c r="N4828">
        <v>-2.1950580000000001E-2</v>
      </c>
      <c r="O4828">
        <v>-0.1173801</v>
      </c>
      <c r="P4828">
        <v>0.92957540000000005</v>
      </c>
      <c r="Q4828">
        <v>0.17254349999999999</v>
      </c>
      <c r="R4828">
        <v>-0.32575809999999999</v>
      </c>
      <c r="S4828">
        <v>2.6140750000000001</v>
      </c>
      <c r="T4828">
        <v>-0.1187786</v>
      </c>
      <c r="U4828">
        <v>-1.8388370000000001</v>
      </c>
      <c r="V4828">
        <v>0.2166198</v>
      </c>
      <c r="W4828">
        <v>0.1910792</v>
      </c>
      <c r="X4828">
        <v>0.95737380000000005</v>
      </c>
      <c r="Y4828">
        <v>0.47481319999999999</v>
      </c>
      <c r="Z4828">
        <v>-1.3043900000000001E-2</v>
      </c>
      <c r="AA4828">
        <v>0.87998989999999999</v>
      </c>
      <c r="AB4828">
        <v>25</v>
      </c>
      <c r="AC4828">
        <v>24.210599999999999</v>
      </c>
      <c r="AD4828">
        <v>-1.1082426788249999</v>
      </c>
      <c r="AE4828">
        <v>-17.150205</v>
      </c>
      <c r="AF4828">
        <v>14.1692924810944</v>
      </c>
      <c r="AG4828">
        <v>-1.1082426788249999</v>
      </c>
      <c r="AH4828">
        <v>26.020425864367301</v>
      </c>
      <c r="AI4828">
        <v>92.142148245019001</v>
      </c>
      <c r="AJ4828">
        <v>61.429719847242403</v>
      </c>
      <c r="AK4828">
        <v>29.6489394989602</v>
      </c>
      <c r="AL4828">
        <v>78.984228180994407</v>
      </c>
      <c r="AM4828">
        <v>77.250670313553599</v>
      </c>
      <c r="AN4828">
        <v>0.99999999567555997</v>
      </c>
    </row>
    <row r="4829" spans="1:40" x14ac:dyDescent="0.25">
      <c r="A4829" t="str">
        <f>"20190303170634073"</f>
        <v>20190303170634073</v>
      </c>
      <c r="B4829" t="str">
        <f>"1551603994059358"</f>
        <v>1551603994059358</v>
      </c>
      <c r="C4829" t="s">
        <v>40</v>
      </c>
      <c r="D4829">
        <v>5.2169379999999999</v>
      </c>
      <c r="E4829">
        <v>0.61797599999999997</v>
      </c>
      <c r="F4829" t="s">
        <v>41</v>
      </c>
      <c r="G4829">
        <v>-295.5027</v>
      </c>
      <c r="H4829" s="1">
        <v>-4.7509370000000001E-6</v>
      </c>
      <c r="I4829">
        <v>-1.060165</v>
      </c>
      <c r="J4829">
        <v>-318.62049999999999</v>
      </c>
      <c r="K4829">
        <v>1.1071310000000001</v>
      </c>
      <c r="L4829">
        <v>15.56448</v>
      </c>
      <c r="M4829">
        <v>0.99231510000000001</v>
      </c>
      <c r="N4829">
        <v>-2.278912E-2</v>
      </c>
      <c r="O4829">
        <v>-0.1216193</v>
      </c>
      <c r="P4829">
        <v>0.92774279999999998</v>
      </c>
      <c r="Q4829">
        <v>0.1715004</v>
      </c>
      <c r="R4829">
        <v>-0.33148280000000002</v>
      </c>
      <c r="S4829">
        <v>2.5989070000000001</v>
      </c>
      <c r="T4829">
        <v>-0.12372909999999999</v>
      </c>
      <c r="U4829">
        <v>-1.858643</v>
      </c>
      <c r="V4829">
        <v>0.21844420000000001</v>
      </c>
      <c r="W4829">
        <v>0.1907759</v>
      </c>
      <c r="X4829">
        <v>0.95701970000000003</v>
      </c>
      <c r="Y4829">
        <v>0.47786689999999998</v>
      </c>
      <c r="Z4829">
        <v>-1.359864E-2</v>
      </c>
      <c r="AA4829">
        <v>0.87832699999999997</v>
      </c>
      <c r="AB4829">
        <v>25</v>
      </c>
      <c r="AC4829">
        <v>23.1177999999999</v>
      </c>
      <c r="AD4829">
        <v>-1.1071357509369999</v>
      </c>
      <c r="AE4829">
        <v>-16.624645000000001</v>
      </c>
      <c r="AF4829">
        <v>13.6682086738919</v>
      </c>
      <c r="AG4829">
        <v>-1.1071357509369999</v>
      </c>
      <c r="AH4829">
        <v>24.9308166461003</v>
      </c>
      <c r="AI4829">
        <v>92.229976274326702</v>
      </c>
      <c r="AJ4829">
        <v>61.266441151836901</v>
      </c>
      <c r="AK4829">
        <v>28.453317848109201</v>
      </c>
      <c r="AL4829">
        <v>79.001931814379702</v>
      </c>
      <c r="AM4829">
        <v>77.142248344943894</v>
      </c>
      <c r="AN4829">
        <v>1.00000000936127</v>
      </c>
    </row>
    <row r="4830" spans="1:40" x14ac:dyDescent="0.25">
      <c r="A4830" t="str">
        <f>"20190303170634086"</f>
        <v>20190303170634086</v>
      </c>
      <c r="B4830" t="str">
        <f>"1551603994079852"</f>
        <v>1551603994079852</v>
      </c>
      <c r="C4830" t="s">
        <v>40</v>
      </c>
      <c r="D4830">
        <v>5.226966</v>
      </c>
      <c r="E4830">
        <v>0.6177009</v>
      </c>
      <c r="F4830" t="s">
        <v>41</v>
      </c>
      <c r="G4830">
        <v>-296.0446</v>
      </c>
      <c r="H4830" s="1">
        <v>-4.7884279999999997E-6</v>
      </c>
      <c r="I4830">
        <v>-0.77752589999999999</v>
      </c>
      <c r="J4830">
        <v>-318.4631</v>
      </c>
      <c r="K4830">
        <v>1.1060410000000001</v>
      </c>
      <c r="L4830">
        <v>15.541169999999999</v>
      </c>
      <c r="M4830">
        <v>0.9917589</v>
      </c>
      <c r="N4830">
        <v>-2.3488760000000001E-2</v>
      </c>
      <c r="O4830">
        <v>-0.12594710000000001</v>
      </c>
      <c r="P4830">
        <v>0.92604370000000003</v>
      </c>
      <c r="Q4830">
        <v>0.1703527</v>
      </c>
      <c r="R4830">
        <v>-0.3367832</v>
      </c>
      <c r="S4830">
        <v>2.587799</v>
      </c>
      <c r="T4830">
        <v>-0.1269072</v>
      </c>
      <c r="U4830">
        <v>-1.87323</v>
      </c>
      <c r="V4830">
        <v>0.2197422</v>
      </c>
      <c r="W4830">
        <v>0.1902479</v>
      </c>
      <c r="X4830">
        <v>0.9568276</v>
      </c>
      <c r="Y4830">
        <v>0.4790394</v>
      </c>
      <c r="Z4830">
        <v>-1.395746E-2</v>
      </c>
      <c r="AA4830">
        <v>0.87768239999999997</v>
      </c>
      <c r="AB4830">
        <v>25</v>
      </c>
      <c r="AC4830">
        <v>22.418499999999899</v>
      </c>
      <c r="AD4830">
        <v>-1.1060457884279999</v>
      </c>
      <c r="AE4830">
        <v>-16.318695900000002</v>
      </c>
      <c r="AF4830">
        <v>13.343123796977601</v>
      </c>
      <c r="AG4830">
        <v>-1.1060457884279999</v>
      </c>
      <c r="AH4830">
        <v>24.257146940355501</v>
      </c>
      <c r="AI4830">
        <v>92.287828432427801</v>
      </c>
      <c r="AJ4830">
        <v>61.186136216180202</v>
      </c>
      <c r="AK4830">
        <v>27.706884841742301</v>
      </c>
      <c r="AL4830">
        <v>79.032748036149798</v>
      </c>
      <c r="AM4830">
        <v>77.065899459551403</v>
      </c>
      <c r="AN4830">
        <v>0.99999997701850396</v>
      </c>
    </row>
    <row r="4831" spans="1:40" x14ac:dyDescent="0.25">
      <c r="A4831" t="str">
        <f>"20190303170634099"</f>
        <v>20190303170634099</v>
      </c>
      <c r="B4831" t="str">
        <f>"1551603994089612"</f>
        <v>1551603994089612</v>
      </c>
      <c r="C4831" t="s">
        <v>40</v>
      </c>
      <c r="D4831">
        <v>5.2557309999999999</v>
      </c>
      <c r="E4831">
        <v>0.61757399999999996</v>
      </c>
      <c r="F4831" t="s">
        <v>41</v>
      </c>
      <c r="G4831">
        <v>-296.63690000000003</v>
      </c>
      <c r="H4831" s="1">
        <v>-4.8529349999999996E-6</v>
      </c>
      <c r="I4831">
        <v>-0.41878700000000002</v>
      </c>
      <c r="J4831">
        <v>-318.30799999999999</v>
      </c>
      <c r="K4831">
        <v>1.1049009999999999</v>
      </c>
      <c r="L4831">
        <v>15.517429999999999</v>
      </c>
      <c r="M4831">
        <v>0.99119040000000003</v>
      </c>
      <c r="N4831">
        <v>-2.4018169999999998E-2</v>
      </c>
      <c r="O4831">
        <v>-0.13024929999999901</v>
      </c>
      <c r="P4831">
        <v>0.92369219999999996</v>
      </c>
      <c r="Q4831">
        <v>0.16973750000000001</v>
      </c>
      <c r="R4831">
        <v>-0.3434856</v>
      </c>
      <c r="S4831">
        <v>2.578033</v>
      </c>
      <c r="T4831">
        <v>-0.13064210000000001</v>
      </c>
      <c r="U4831">
        <v>-1.885132</v>
      </c>
      <c r="V4831">
        <v>0.22256600000000001</v>
      </c>
      <c r="W4831">
        <v>0.1900377</v>
      </c>
      <c r="X4831">
        <v>0.95621650000000002</v>
      </c>
      <c r="Y4831">
        <v>0.47941859999999997</v>
      </c>
      <c r="Z4831">
        <v>-1.4241520000000001E-2</v>
      </c>
      <c r="AA4831">
        <v>0.8774708</v>
      </c>
      <c r="AB4831">
        <v>25</v>
      </c>
      <c r="AC4831">
        <v>21.6710999999999</v>
      </c>
      <c r="AD4831">
        <v>-1.104905852935</v>
      </c>
      <c r="AE4831">
        <v>-15.936216999999999</v>
      </c>
      <c r="AF4831">
        <v>12.9550651379861</v>
      </c>
      <c r="AG4831">
        <v>-1.104905852935</v>
      </c>
      <c r="AH4831">
        <v>23.522976131355801</v>
      </c>
      <c r="AI4831">
        <v>92.356057942863202</v>
      </c>
      <c r="AJ4831">
        <v>61.1566247695378</v>
      </c>
      <c r="AK4831">
        <v>26.877219643215501</v>
      </c>
      <c r="AL4831">
        <v>79.045015368867993</v>
      </c>
      <c r="AM4831">
        <v>76.897302913551897</v>
      </c>
      <c r="AN4831">
        <v>0.99999997332476898</v>
      </c>
    </row>
    <row r="4832" spans="1:40" x14ac:dyDescent="0.25">
      <c r="A4832" t="str">
        <f>"20190303170634111"</f>
        <v>20190303170634111</v>
      </c>
      <c r="B4832" t="str">
        <f>"1551603994099371"</f>
        <v>1551603994099371</v>
      </c>
      <c r="C4832" t="s">
        <v>40</v>
      </c>
      <c r="D4832">
        <v>5.2334820000000004</v>
      </c>
      <c r="E4832">
        <v>0.61744200000000005</v>
      </c>
      <c r="F4832" t="s">
        <v>43</v>
      </c>
      <c r="G4832">
        <v>-295.9597</v>
      </c>
      <c r="H4832">
        <v>-0.05</v>
      </c>
      <c r="I4832">
        <v>-1.0621339999999999</v>
      </c>
      <c r="J4832">
        <v>-318.1823</v>
      </c>
      <c r="K4832">
        <v>1.103899</v>
      </c>
      <c r="L4832">
        <v>15.49756</v>
      </c>
      <c r="M4832">
        <v>0.99073199999999995</v>
      </c>
      <c r="N4832">
        <v>-2.4385839999999999E-2</v>
      </c>
      <c r="O4832">
        <v>-0.1336251</v>
      </c>
      <c r="P4832">
        <v>0.92227079999999995</v>
      </c>
      <c r="Q4832">
        <v>0.16934449999999901</v>
      </c>
      <c r="R4832">
        <v>-0.3474757</v>
      </c>
      <c r="S4832">
        <v>2.5646969999999998</v>
      </c>
      <c r="T4832">
        <v>-0.13253699999999999</v>
      </c>
      <c r="U4832">
        <v>-1.902679</v>
      </c>
      <c r="V4832">
        <v>0.2234997</v>
      </c>
      <c r="W4832">
        <v>0.18990660000000001</v>
      </c>
      <c r="X4832">
        <v>0.95602480000000001</v>
      </c>
      <c r="Y4832">
        <v>0.48245670000000002</v>
      </c>
      <c r="Z4832">
        <v>-1.451149E-2</v>
      </c>
      <c r="AA4832">
        <v>0.87579959999999901</v>
      </c>
      <c r="AB4832">
        <v>25</v>
      </c>
      <c r="AC4832">
        <v>22.2226</v>
      </c>
      <c r="AD4832">
        <v>-1.153899</v>
      </c>
      <c r="AE4832">
        <v>-16.559694</v>
      </c>
      <c r="AF4832">
        <v>13.417457204652999</v>
      </c>
      <c r="AG4832">
        <v>-1.153899</v>
      </c>
      <c r="AH4832">
        <v>24.194693655724102</v>
      </c>
      <c r="AI4832">
        <v>92.388313533932902</v>
      </c>
      <c r="AJ4832">
        <v>60.988915620504599</v>
      </c>
      <c r="AK4832">
        <v>27.690121737457801</v>
      </c>
      <c r="AL4832">
        <v>79.052666748201602</v>
      </c>
      <c r="AM4832">
        <v>76.841696754380294</v>
      </c>
      <c r="AN4832">
        <v>1.00000002541934</v>
      </c>
    </row>
    <row r="4833" spans="1:40" x14ac:dyDescent="0.25">
      <c r="A4833" t="str">
        <f>"20190303170634121"</f>
        <v>20190303170634121</v>
      </c>
      <c r="B4833" t="str">
        <f>"1551603994110107"</f>
        <v>1551603994110107</v>
      </c>
      <c r="C4833" t="s">
        <v>40</v>
      </c>
      <c r="D4833">
        <v>5.250445</v>
      </c>
      <c r="E4833">
        <v>0.6173305</v>
      </c>
      <c r="F4833" t="s">
        <v>43</v>
      </c>
      <c r="G4833">
        <v>-296.05840000000001</v>
      </c>
      <c r="H4833">
        <v>-0.05</v>
      </c>
      <c r="I4833">
        <v>-1.0556639999999999</v>
      </c>
      <c r="J4833">
        <v>-318.0566</v>
      </c>
      <c r="K4833">
        <v>1.102865</v>
      </c>
      <c r="L4833">
        <v>15.477449999999999</v>
      </c>
      <c r="M4833">
        <v>0.99026910000000001</v>
      </c>
      <c r="N4833">
        <v>-2.4726439999999999E-2</v>
      </c>
      <c r="O4833">
        <v>-0.1369515</v>
      </c>
      <c r="P4833">
        <v>0.92093250000000004</v>
      </c>
      <c r="Q4833">
        <v>0.16922110000000001</v>
      </c>
      <c r="R4833">
        <v>-0.35106700000000002</v>
      </c>
      <c r="S4833">
        <v>2.55661</v>
      </c>
      <c r="T4833">
        <v>-0.1333435</v>
      </c>
      <c r="U4833">
        <v>-1.9128719999999999</v>
      </c>
      <c r="V4833">
        <v>0.22409129999999999</v>
      </c>
      <c r="W4833">
        <v>0.19001009999999999</v>
      </c>
      <c r="X4833">
        <v>0.95586570000000004</v>
      </c>
      <c r="Y4833">
        <v>0.4830699</v>
      </c>
      <c r="Z4833">
        <v>-1.4635459999999999E-2</v>
      </c>
      <c r="AA4833">
        <v>0.8754594</v>
      </c>
      <c r="AB4833">
        <v>25</v>
      </c>
      <c r="AC4833">
        <v>21.998200000000001</v>
      </c>
      <c r="AD4833">
        <v>-1.152865</v>
      </c>
      <c r="AE4833">
        <v>-16.533113999999902</v>
      </c>
      <c r="AF4833">
        <v>13.3402174831312</v>
      </c>
      <c r="AG4833">
        <v>-1.152865</v>
      </c>
      <c r="AH4833">
        <v>24.0135804439645</v>
      </c>
      <c r="AI4833">
        <v>92.403167473899799</v>
      </c>
      <c r="AJ4833">
        <v>60.946600243142903</v>
      </c>
      <c r="AK4833">
        <v>27.4944093579808</v>
      </c>
      <c r="AL4833">
        <v>79.046626294603996</v>
      </c>
      <c r="AM4833">
        <v>76.805964419866896</v>
      </c>
      <c r="AN4833">
        <v>0.99999999263709505</v>
      </c>
    </row>
    <row r="4834" spans="1:40" x14ac:dyDescent="0.25">
      <c r="A4834" t="str">
        <f>"20190303170634134"</f>
        <v>20190303170634134</v>
      </c>
      <c r="B4834" t="str">
        <f>"1551603994119868"</f>
        <v>1551603994119868</v>
      </c>
      <c r="C4834" t="s">
        <v>40</v>
      </c>
      <c r="D4834">
        <v>5.2563969999999998</v>
      </c>
      <c r="E4834">
        <v>0.61719250000000003</v>
      </c>
      <c r="F4834" t="s">
        <v>41</v>
      </c>
      <c r="G4834">
        <v>-296.9187</v>
      </c>
      <c r="H4834" s="1">
        <v>-4.7815809999999998E-6</v>
      </c>
      <c r="I4834">
        <v>-0.46400069999999999</v>
      </c>
      <c r="J4834">
        <v>-317.923</v>
      </c>
      <c r="K4834">
        <v>1.1016840000000001</v>
      </c>
      <c r="L4834">
        <v>15.455229999999901</v>
      </c>
      <c r="M4834">
        <v>0.98977749999999998</v>
      </c>
      <c r="N4834">
        <v>-2.501915E-2</v>
      </c>
      <c r="O4834">
        <v>-0.14040949999999999</v>
      </c>
      <c r="P4834">
        <v>0.91939680000000001</v>
      </c>
      <c r="Q4834">
        <v>0.169005399999999</v>
      </c>
      <c r="R4834">
        <v>-0.35517209999999899</v>
      </c>
      <c r="S4834">
        <v>2.5491640000000002</v>
      </c>
      <c r="T4834">
        <v>-0.13300239999999999</v>
      </c>
      <c r="U4834">
        <v>-1.922485</v>
      </c>
      <c r="V4834">
        <v>0.22511429999999999</v>
      </c>
      <c r="W4834">
        <v>0.18994130000000001</v>
      </c>
      <c r="X4834">
        <v>0.95563900000000002</v>
      </c>
      <c r="Y4834">
        <v>0.48334319999999997</v>
      </c>
      <c r="Z4834">
        <v>-1.468321E-2</v>
      </c>
      <c r="AA4834">
        <v>0.87530779999999997</v>
      </c>
      <c r="AB4834">
        <v>25</v>
      </c>
      <c r="AC4834">
        <v>21.004300000000001</v>
      </c>
      <c r="AD4834">
        <v>-1.1016887815809999</v>
      </c>
      <c r="AE4834">
        <v>-15.9192306999999</v>
      </c>
      <c r="AF4834">
        <v>12.788954709952</v>
      </c>
      <c r="AG4834">
        <v>-1.1016887815809999</v>
      </c>
      <c r="AH4834">
        <v>22.991826227107499</v>
      </c>
      <c r="AI4834">
        <v>92.3978275067102</v>
      </c>
      <c r="AJ4834">
        <v>60.915473444062698</v>
      </c>
      <c r="AK4834">
        <v>26.332397422228301</v>
      </c>
      <c r="AL4834">
        <v>79.050641688059102</v>
      </c>
      <c r="AM4834">
        <v>76.744820244923801</v>
      </c>
      <c r="AN4834">
        <v>1.00000002191558</v>
      </c>
    </row>
    <row r="4835" spans="1:40" x14ac:dyDescent="0.25">
      <c r="A4835" t="str">
        <f>"20190303170634145"</f>
        <v>20190303170634145</v>
      </c>
      <c r="B4835" t="str">
        <f>"1551603994139388"</f>
        <v>1551603994139388</v>
      </c>
      <c r="C4835" t="s">
        <v>40</v>
      </c>
      <c r="D4835">
        <v>5.2268290000000004</v>
      </c>
      <c r="E4835">
        <v>0.61688339999999997</v>
      </c>
      <c r="F4835" t="s">
        <v>41</v>
      </c>
      <c r="G4835">
        <v>-296.81729999999999</v>
      </c>
      <c r="H4835" s="1">
        <v>-4.7315159999999999E-6</v>
      </c>
      <c r="I4835">
        <v>-0.60794930000000003</v>
      </c>
      <c r="J4835">
        <v>-317.7955</v>
      </c>
      <c r="K4835">
        <v>1.10053</v>
      </c>
      <c r="L4835">
        <v>15.43369</v>
      </c>
      <c r="M4835">
        <v>0.98929639999999996</v>
      </c>
      <c r="N4835">
        <v>-2.527387E-2</v>
      </c>
      <c r="O4835">
        <v>-0.1437155</v>
      </c>
      <c r="P4835">
        <v>0.91790349999999998</v>
      </c>
      <c r="Q4835">
        <v>0.1689042</v>
      </c>
      <c r="R4835">
        <v>-0.35906130000000003</v>
      </c>
      <c r="S4835">
        <v>2.5404659999999999</v>
      </c>
      <c r="T4835">
        <v>-0.1326087</v>
      </c>
      <c r="U4835">
        <v>-1.9335020000000001</v>
      </c>
      <c r="V4835">
        <v>0.22606599999999999</v>
      </c>
      <c r="W4835">
        <v>0.1899525</v>
      </c>
      <c r="X4835">
        <v>0.95541200000000004</v>
      </c>
      <c r="Y4835">
        <v>0.4842631</v>
      </c>
      <c r="Z4835">
        <v>-1.474555E-2</v>
      </c>
      <c r="AA4835">
        <v>0.87479819999999997</v>
      </c>
      <c r="AB4835">
        <v>25</v>
      </c>
      <c r="AC4835">
        <v>20.978200000000001</v>
      </c>
      <c r="AD4835">
        <v>-1.1005347315159999</v>
      </c>
      <c r="AE4835">
        <v>-16.0416393</v>
      </c>
      <c r="AF4835">
        <v>12.836856171743401</v>
      </c>
      <c r="AG4835">
        <v>-1.1005347315159999</v>
      </c>
      <c r="AH4835">
        <v>23.026465914618399</v>
      </c>
      <c r="AI4835">
        <v>92.390457091826903</v>
      </c>
      <c r="AJ4835">
        <v>60.861089908092197</v>
      </c>
      <c r="AK4835">
        <v>26.3858709461405</v>
      </c>
      <c r="AL4835">
        <v>79.049987158749104</v>
      </c>
      <c r="AM4835">
        <v>76.687722841429903</v>
      </c>
      <c r="AN4835">
        <v>0.99999993917812302</v>
      </c>
    </row>
    <row r="4836" spans="1:40" x14ac:dyDescent="0.25">
      <c r="A4836" t="str">
        <f>"20190303170634155"</f>
        <v>20190303170634155</v>
      </c>
      <c r="B4836" t="str">
        <f>"1551603994150124"</f>
        <v>1551603994150124</v>
      </c>
      <c r="C4836" t="s">
        <v>40</v>
      </c>
      <c r="D4836">
        <v>5.2392960000000004</v>
      </c>
      <c r="E4836">
        <v>0.61675599999999997</v>
      </c>
      <c r="F4836" t="s">
        <v>41</v>
      </c>
      <c r="G4836">
        <v>-296.74</v>
      </c>
      <c r="H4836" s="1">
        <v>-4.696607E-6</v>
      </c>
      <c r="I4836">
        <v>-0.71080209999999999</v>
      </c>
      <c r="J4836">
        <v>-317.66550000000001</v>
      </c>
      <c r="K4836">
        <v>1.0992980000000001</v>
      </c>
      <c r="L4836">
        <v>15.41095</v>
      </c>
      <c r="M4836">
        <v>0.98878710000000003</v>
      </c>
      <c r="N4836">
        <v>-2.5452410000000002E-2</v>
      </c>
      <c r="O4836">
        <v>-0.14714669999999999</v>
      </c>
      <c r="P4836">
        <v>0.91628849999999995</v>
      </c>
      <c r="Q4836">
        <v>0.16883779999999901</v>
      </c>
      <c r="R4836">
        <v>-0.3631933</v>
      </c>
      <c r="S4836">
        <v>2.532959</v>
      </c>
      <c r="T4836">
        <v>-0.1323935</v>
      </c>
      <c r="U4836">
        <v>-1.942169</v>
      </c>
      <c r="V4836">
        <v>0.22715850000000001</v>
      </c>
      <c r="W4836">
        <v>0.18991930000000001</v>
      </c>
      <c r="X4836">
        <v>0.95515950000000005</v>
      </c>
      <c r="Y4836">
        <v>0.48436299999999999</v>
      </c>
      <c r="Z4836">
        <v>-1.475079E-2</v>
      </c>
      <c r="AA4836">
        <v>0.87474269999999998</v>
      </c>
      <c r="AB4836">
        <v>25</v>
      </c>
      <c r="AC4836">
        <v>20.9255</v>
      </c>
      <c r="AD4836">
        <v>-1.0993026966070001</v>
      </c>
      <c r="AE4836">
        <v>-16.121752099999998</v>
      </c>
      <c r="AF4836">
        <v>12.8437874140602</v>
      </c>
      <c r="AG4836">
        <v>-1.0993026966070001</v>
      </c>
      <c r="AH4836">
        <v>23.030716385867901</v>
      </c>
      <c r="AI4836">
        <v>92.387143046029394</v>
      </c>
      <c r="AJ4836">
        <v>60.852432834056003</v>
      </c>
      <c r="AK4836">
        <v>26.3929012956633</v>
      </c>
      <c r="AL4836">
        <v>79.051925294659299</v>
      </c>
      <c r="AM4836">
        <v>76.622287020796605</v>
      </c>
      <c r="AN4836">
        <v>0.99999999753749502</v>
      </c>
    </row>
    <row r="4837" spans="1:40" x14ac:dyDescent="0.25">
      <c r="A4837" t="str">
        <f>"20190303170634167"</f>
        <v>20190303170634167</v>
      </c>
      <c r="B4837" t="str">
        <f>"1551603994159884"</f>
        <v>1551603994159884</v>
      </c>
      <c r="C4837" t="s">
        <v>40</v>
      </c>
      <c r="D4837">
        <v>5.2421360000000004</v>
      </c>
      <c r="E4837">
        <v>0.61664259999999904</v>
      </c>
      <c r="F4837" t="s">
        <v>41</v>
      </c>
      <c r="G4837">
        <v>-296.71940000000001</v>
      </c>
      <c r="H4837" s="1">
        <v>-4.6623750000000004E-6</v>
      </c>
      <c r="I4837">
        <v>-0.79094310000000001</v>
      </c>
      <c r="J4837">
        <v>-317.5453</v>
      </c>
      <c r="K4837">
        <v>1.0981399999999999</v>
      </c>
      <c r="L4837">
        <v>15.389559999999999</v>
      </c>
      <c r="M4837">
        <v>0.98829829999999996</v>
      </c>
      <c r="N4837">
        <v>-2.5576979999999999E-2</v>
      </c>
      <c r="O4837">
        <v>-0.1503739</v>
      </c>
      <c r="P4837">
        <v>0.91479180000000004</v>
      </c>
      <c r="Q4837">
        <v>0.16865439999999901</v>
      </c>
      <c r="R4837">
        <v>-0.36703089999999999</v>
      </c>
      <c r="S4837">
        <v>2.5244749999999998</v>
      </c>
      <c r="T4837">
        <v>-0.1324911</v>
      </c>
      <c r="U4837">
        <v>-1.952698</v>
      </c>
      <c r="V4837">
        <v>0.22812969999999999</v>
      </c>
      <c r="W4837">
        <v>0.1897316</v>
      </c>
      <c r="X4837">
        <v>0.95496530000000002</v>
      </c>
      <c r="Y4837">
        <v>0.48520790000000003</v>
      </c>
      <c r="Z4837">
        <v>-1.477914E-2</v>
      </c>
      <c r="AA4837">
        <v>0.874274</v>
      </c>
      <c r="AB4837">
        <v>25</v>
      </c>
      <c r="AC4837">
        <v>20.825899999999901</v>
      </c>
      <c r="AD4837">
        <v>-1.098144662375</v>
      </c>
      <c r="AE4837">
        <v>-16.180503099999999</v>
      </c>
      <c r="AF4837">
        <v>12.841435252121199</v>
      </c>
      <c r="AG4837">
        <v>-1.098144662375</v>
      </c>
      <c r="AH4837">
        <v>22.983009958395002</v>
      </c>
      <c r="AI4837">
        <v>92.388503686570203</v>
      </c>
      <c r="AJ4837">
        <v>60.806335348666302</v>
      </c>
      <c r="AK4837">
        <v>26.350087813546502</v>
      </c>
      <c r="AL4837">
        <v>79.062878701498093</v>
      </c>
      <c r="AM4837">
        <v>76.564527688955593</v>
      </c>
      <c r="AN4837">
        <v>0.99999998213236996</v>
      </c>
    </row>
    <row r="4838" spans="1:40" x14ac:dyDescent="0.25">
      <c r="A4838" t="str">
        <f>"20190303170634177"</f>
        <v>20190303170634177</v>
      </c>
      <c r="B4838" t="str">
        <f>"1551603994169644"</f>
        <v>1551603994169644</v>
      </c>
      <c r="C4838" t="s">
        <v>40</v>
      </c>
      <c r="D4838">
        <v>5.2399230000000001</v>
      </c>
      <c r="E4838">
        <v>0.61649759999999998</v>
      </c>
      <c r="F4838" t="s">
        <v>41</v>
      </c>
      <c r="G4838">
        <v>-296.76229999999998</v>
      </c>
      <c r="H4838" s="1">
        <v>-4.6419460000000004E-6</v>
      </c>
      <c r="I4838">
        <v>-0.8180904</v>
      </c>
      <c r="J4838">
        <v>-317.4239</v>
      </c>
      <c r="K4838">
        <v>1.0969420000000001</v>
      </c>
      <c r="L4838">
        <v>15.3674</v>
      </c>
      <c r="M4838">
        <v>0.98778149999999998</v>
      </c>
      <c r="N4838">
        <v>-2.5638669999999999E-2</v>
      </c>
      <c r="O4838">
        <v>-0.15372130000000001</v>
      </c>
      <c r="P4838">
        <v>0.91324079999999996</v>
      </c>
      <c r="Q4838">
        <v>0.16846889999999901</v>
      </c>
      <c r="R4838">
        <v>-0.3709575</v>
      </c>
      <c r="S4838">
        <v>2.5165410000000001</v>
      </c>
      <c r="T4838">
        <v>-0.13297030000000001</v>
      </c>
      <c r="U4838">
        <v>-1.9625239999999999</v>
      </c>
      <c r="V4838">
        <v>0.229077</v>
      </c>
      <c r="W4838">
        <v>0.18948670000000001</v>
      </c>
      <c r="X4838">
        <v>0.9547871</v>
      </c>
      <c r="Y4838">
        <v>0.48570000000000002</v>
      </c>
      <c r="Z4838">
        <v>-1.4777820000000001E-2</v>
      </c>
      <c r="AA4838">
        <v>0.87400059999999902</v>
      </c>
      <c r="AB4838">
        <v>25</v>
      </c>
      <c r="AC4838">
        <v>20.6616</v>
      </c>
      <c r="AD4838">
        <v>-1.0969466419459999</v>
      </c>
      <c r="AE4838">
        <v>-16.185490399999999</v>
      </c>
      <c r="AF4838">
        <v>12.7934665914904</v>
      </c>
      <c r="AG4838">
        <v>-1.0969466419459999</v>
      </c>
      <c r="AH4838">
        <v>22.864792447644501</v>
      </c>
      <c r="AI4838">
        <v>92.397415519120401</v>
      </c>
      <c r="AJ4838">
        <v>60.771812909740703</v>
      </c>
      <c r="AK4838">
        <v>26.223554546184602</v>
      </c>
      <c r="AL4838">
        <v>79.077169258483494</v>
      </c>
      <c r="AM4838">
        <v>76.508346671823602</v>
      </c>
      <c r="AN4838">
        <v>0.99999994386614799</v>
      </c>
    </row>
    <row r="4839" spans="1:40" x14ac:dyDescent="0.25">
      <c r="A4839" t="str">
        <f>"20190303170634189"</f>
        <v>20190303170634189</v>
      </c>
      <c r="B4839" t="str">
        <f>"1551603994179404"</f>
        <v>1551603994179404</v>
      </c>
      <c r="C4839" t="s">
        <v>40</v>
      </c>
      <c r="D4839">
        <v>5.2315649999999998</v>
      </c>
      <c r="E4839">
        <v>0.61649759999999998</v>
      </c>
      <c r="F4839" t="s">
        <v>41</v>
      </c>
      <c r="G4839">
        <v>-296.75099999999998</v>
      </c>
      <c r="H4839" s="1">
        <v>-4.6097890000000002E-6</v>
      </c>
      <c r="I4839">
        <v>-0.89034269999999904</v>
      </c>
      <c r="J4839">
        <v>-317.2944</v>
      </c>
      <c r="K4839">
        <v>1.0956349999999999</v>
      </c>
      <c r="L4839">
        <v>15.3432</v>
      </c>
      <c r="M4839">
        <v>0.98721219999999998</v>
      </c>
      <c r="N4839">
        <v>-2.5663169999999999E-2</v>
      </c>
      <c r="O4839">
        <v>-0.15733169999999999</v>
      </c>
      <c r="P4839">
        <v>0.91162390000000004</v>
      </c>
      <c r="Q4839">
        <v>0.16835039999999901</v>
      </c>
      <c r="R4839">
        <v>-0.37496679999999999</v>
      </c>
      <c r="S4839">
        <v>2.5083009999999999</v>
      </c>
      <c r="T4839">
        <v>-0.13309550000000001</v>
      </c>
      <c r="U4839">
        <v>-1.9725950000000001</v>
      </c>
      <c r="V4839">
        <v>0.22986619999999999</v>
      </c>
      <c r="W4839">
        <v>0.1892723</v>
      </c>
      <c r="X4839">
        <v>0.95464000000000004</v>
      </c>
      <c r="Y4839">
        <v>0.4860661</v>
      </c>
      <c r="Z4839">
        <v>-1.473932E-2</v>
      </c>
      <c r="AA4839">
        <v>0.87379779999999996</v>
      </c>
      <c r="AB4839">
        <v>25</v>
      </c>
      <c r="AC4839">
        <v>20.543399999999998</v>
      </c>
      <c r="AD4839">
        <v>-1.095639609789</v>
      </c>
      <c r="AE4839">
        <v>-16.233542700000001</v>
      </c>
      <c r="AF4839">
        <v>12.7756693583197</v>
      </c>
      <c r="AG4839">
        <v>-1.095639609789</v>
      </c>
      <c r="AH4839">
        <v>22.802344254528698</v>
      </c>
      <c r="AI4839">
        <v>92.400344017425695</v>
      </c>
      <c r="AJ4839">
        <v>60.739015958267402</v>
      </c>
      <c r="AK4839">
        <v>26.160371885920998</v>
      </c>
      <c r="AL4839">
        <v>79.089680503493895</v>
      </c>
      <c r="AM4839">
        <v>76.461564739758302</v>
      </c>
      <c r="AN4839">
        <v>1.00000000152486</v>
      </c>
    </row>
    <row r="4840" spans="1:40" x14ac:dyDescent="0.25">
      <c r="A4840" t="str">
        <f>"20190303170634199"</f>
        <v>20190303170634199</v>
      </c>
      <c r="B4840" t="str">
        <f>"1551603994190140"</f>
        <v>1551603994190140</v>
      </c>
      <c r="C4840" t="s">
        <v>40</v>
      </c>
      <c r="D4840">
        <v>5.2438529999999997</v>
      </c>
      <c r="E4840">
        <v>0.60976339999999996</v>
      </c>
      <c r="F4840" t="s">
        <v>41</v>
      </c>
      <c r="G4840">
        <v>-296.6902</v>
      </c>
      <c r="H4840" s="1">
        <v>-4.5635060000000002E-6</v>
      </c>
      <c r="I4840">
        <v>-1.011085</v>
      </c>
      <c r="J4840">
        <v>-317.1705</v>
      </c>
      <c r="K4840">
        <v>1.09436</v>
      </c>
      <c r="L4840">
        <v>15.31964</v>
      </c>
      <c r="M4840">
        <v>0.9866509</v>
      </c>
      <c r="N4840">
        <v>-2.5654929999999999E-2</v>
      </c>
      <c r="O4840">
        <v>-0.16081689999999901</v>
      </c>
      <c r="P4840">
        <v>0.91015219999999997</v>
      </c>
      <c r="Q4840">
        <v>0.1684707</v>
      </c>
      <c r="R4840">
        <v>-0.37847160000000002</v>
      </c>
      <c r="S4840">
        <v>2.4993590000000001</v>
      </c>
      <c r="T4840">
        <v>-0.13290450000000001</v>
      </c>
      <c r="U4840">
        <v>-1.9838260000000001</v>
      </c>
      <c r="V4840">
        <v>0.2302555</v>
      </c>
      <c r="W4840">
        <v>0.1892788</v>
      </c>
      <c r="X4840">
        <v>0.95454490000000003</v>
      </c>
      <c r="Y4840">
        <v>0.4869117</v>
      </c>
      <c r="Z4840">
        <v>-1.4698859999999999E-2</v>
      </c>
      <c r="AA4840">
        <v>0.87332749999999904</v>
      </c>
      <c r="AB4840">
        <v>25</v>
      </c>
      <c r="AC4840">
        <v>20.4803</v>
      </c>
      <c r="AD4840">
        <v>-1.094364563506</v>
      </c>
      <c r="AE4840">
        <v>-16.330725000000001</v>
      </c>
      <c r="AF4840">
        <v>12.8010213727713</v>
      </c>
      <c r="AG4840">
        <v>-1.094364563506</v>
      </c>
      <c r="AH4840">
        <v>22.800879546619701</v>
      </c>
      <c r="AI4840">
        <v>92.396535127215898</v>
      </c>
      <c r="AJ4840">
        <v>60.688984879399896</v>
      </c>
      <c r="AK4840">
        <v>26.1714327097976</v>
      </c>
      <c r="AL4840">
        <v>79.089301349214296</v>
      </c>
      <c r="AM4840">
        <v>76.438181030106094</v>
      </c>
      <c r="AN4840">
        <v>1.0000000127628399</v>
      </c>
    </row>
    <row r="4841" spans="1:40" x14ac:dyDescent="0.25">
      <c r="A4841" t="str">
        <f>"20190303170634211"</f>
        <v>20190303170634211</v>
      </c>
      <c r="B4841" t="str">
        <f>"1551603994199900"</f>
        <v>1551603994199900</v>
      </c>
      <c r="C4841" t="s">
        <v>40</v>
      </c>
      <c r="D4841">
        <v>5.2653160000000003</v>
      </c>
      <c r="E4841">
        <v>0.60960579999999998</v>
      </c>
      <c r="F4841" t="s">
        <v>43</v>
      </c>
      <c r="G4841">
        <v>-297.06099999999998</v>
      </c>
      <c r="H4841">
        <v>-0.05</v>
      </c>
      <c r="I4841">
        <v>-0.2322845</v>
      </c>
      <c r="J4841">
        <v>-317.04669999999999</v>
      </c>
      <c r="K4841">
        <v>1.093059</v>
      </c>
      <c r="L4841">
        <v>15.29532</v>
      </c>
      <c r="M4841">
        <v>0.98607049999999996</v>
      </c>
      <c r="N4841">
        <v>-2.558825E-2</v>
      </c>
      <c r="O4841">
        <v>-0.16434749999999901</v>
      </c>
      <c r="P4841">
        <v>0.90860580000000002</v>
      </c>
      <c r="Q4841">
        <v>0.16868910000000001</v>
      </c>
      <c r="R4841">
        <v>-0.38207279999999999</v>
      </c>
      <c r="S4841">
        <v>2.5141300000000002</v>
      </c>
      <c r="T4841">
        <v>-0.14307029999999901</v>
      </c>
      <c r="U4841">
        <v>-1.9443360000000001</v>
      </c>
      <c r="V4841">
        <v>0.2307044</v>
      </c>
      <c r="W4841">
        <v>0.18933359999999999</v>
      </c>
      <c r="X4841">
        <v>0.95442559999999999</v>
      </c>
      <c r="Y4841">
        <v>0.47265079999999998</v>
      </c>
      <c r="Z4841">
        <v>-1.431077E-2</v>
      </c>
      <c r="AA4841">
        <v>0.88113359999999996</v>
      </c>
      <c r="AB4841">
        <v>25</v>
      </c>
      <c r="AC4841">
        <v>19.985700000000001</v>
      </c>
      <c r="AD4841">
        <v>-1.143059</v>
      </c>
      <c r="AE4841">
        <v>-15.527604500000001</v>
      </c>
      <c r="AF4841">
        <v>12.0061622271259</v>
      </c>
      <c r="AG4841">
        <v>-1.143059</v>
      </c>
      <c r="AH4841">
        <v>22.221196654711498</v>
      </c>
      <c r="AI4841">
        <v>92.591246291815295</v>
      </c>
      <c r="AJ4841">
        <v>61.617548141493202</v>
      </c>
      <c r="AK4841">
        <v>25.283118796321599</v>
      </c>
      <c r="AL4841">
        <v>79.086103349481803</v>
      </c>
      <c r="AM4841">
        <v>76.411085145937605</v>
      </c>
      <c r="AN4841">
        <v>0.99999997910183902</v>
      </c>
    </row>
    <row r="4842" spans="1:40" x14ac:dyDescent="0.25">
      <c r="A4842" t="str">
        <f>"20190303170634222"</f>
        <v>20190303170634222</v>
      </c>
      <c r="B4842" t="str">
        <f>"1551603994209660"</f>
        <v>1551603994209660</v>
      </c>
      <c r="C4842" t="s">
        <v>40</v>
      </c>
      <c r="D4842">
        <v>5.2624029999999999</v>
      </c>
      <c r="E4842">
        <v>0.60955309999999996</v>
      </c>
      <c r="F4842" t="s">
        <v>43</v>
      </c>
      <c r="G4842">
        <v>-296.71050000000002</v>
      </c>
      <c r="H4842">
        <v>-0.05</v>
      </c>
      <c r="I4842">
        <v>-0.55473329999999998</v>
      </c>
      <c r="J4842">
        <v>-316.92590000000001</v>
      </c>
      <c r="K4842">
        <v>1.0917809999999999</v>
      </c>
      <c r="L4842">
        <v>15.271330000000001</v>
      </c>
      <c r="M4842">
        <v>0.9854908</v>
      </c>
      <c r="N4842">
        <v>-2.5505650000000001E-2</v>
      </c>
      <c r="O4842">
        <v>-0.16780200000000001</v>
      </c>
      <c r="P4842">
        <v>0.90715210000000002</v>
      </c>
      <c r="Q4842">
        <v>0.16917639999999901</v>
      </c>
      <c r="R4842">
        <v>-0.38529819999999998</v>
      </c>
      <c r="S4842">
        <v>2.5064389999999999</v>
      </c>
      <c r="T4842">
        <v>-0.14088229999999999</v>
      </c>
      <c r="U4842">
        <v>-1.953522</v>
      </c>
      <c r="V4842">
        <v>0.2308442</v>
      </c>
      <c r="W4842">
        <v>0.1896515</v>
      </c>
      <c r="X4842">
        <v>0.95432870000000003</v>
      </c>
      <c r="Y4842">
        <v>0.4729004</v>
      </c>
      <c r="Z4842">
        <v>-1.415483E-2</v>
      </c>
      <c r="AA4842">
        <v>0.88100219999999996</v>
      </c>
      <c r="AB4842">
        <v>25</v>
      </c>
      <c r="AC4842">
        <v>20.215399999999899</v>
      </c>
      <c r="AD4842">
        <v>-1.1417809999999999</v>
      </c>
      <c r="AE4842">
        <v>-15.8260633</v>
      </c>
      <c r="AF4842">
        <v>12.184127257041601</v>
      </c>
      <c r="AG4842">
        <v>-1.1417809999999999</v>
      </c>
      <c r="AH4842">
        <v>22.540499264249501</v>
      </c>
      <c r="AI4842">
        <v>92.551478512666193</v>
      </c>
      <c r="AJ4842">
        <v>61.606835796136799</v>
      </c>
      <c r="AK4842">
        <v>25.648211008750302</v>
      </c>
      <c r="AL4842">
        <v>79.067553179222301</v>
      </c>
      <c r="AM4842">
        <v>76.401826944118895</v>
      </c>
      <c r="AN4842">
        <v>1.0000000018847801</v>
      </c>
    </row>
    <row r="4843" spans="1:40" x14ac:dyDescent="0.25">
      <c r="A4843" t="str">
        <f>"20190303170634235"</f>
        <v>20190303170634235</v>
      </c>
      <c r="B4843" t="str">
        <f>"1551603994219420"</f>
        <v>1551603994219420</v>
      </c>
      <c r="C4843" t="s">
        <v>40</v>
      </c>
      <c r="D4843">
        <v>5.2821030000000002</v>
      </c>
      <c r="E4843">
        <v>0.60960439999999905</v>
      </c>
      <c r="F4843" t="s">
        <v>43</v>
      </c>
      <c r="G4843">
        <v>-296.41449999999998</v>
      </c>
      <c r="H4843">
        <v>-0.05</v>
      </c>
      <c r="I4843">
        <v>-0.83483890000000005</v>
      </c>
      <c r="J4843">
        <v>-316.78960000000001</v>
      </c>
      <c r="K4843">
        <v>1.0903339999999999</v>
      </c>
      <c r="L4843">
        <v>15.24329</v>
      </c>
      <c r="M4843">
        <v>0.98480330000000005</v>
      </c>
      <c r="N4843">
        <v>-2.532121E-2</v>
      </c>
      <c r="O4843">
        <v>-0.171818</v>
      </c>
      <c r="P4843">
        <v>0.90537420000000002</v>
      </c>
      <c r="Q4843">
        <v>0.1694177</v>
      </c>
      <c r="R4843">
        <v>-0.38935209999999998</v>
      </c>
      <c r="S4843">
        <v>2.4994200000000002</v>
      </c>
      <c r="T4843">
        <v>-0.1391317</v>
      </c>
      <c r="U4843">
        <v>-1.9626159999999999</v>
      </c>
      <c r="V4843">
        <v>0.2312961</v>
      </c>
      <c r="W4843">
        <v>0.18963089999999999</v>
      </c>
      <c r="X4843">
        <v>0.95422340000000005</v>
      </c>
      <c r="Y4843">
        <v>0.47251189999999998</v>
      </c>
      <c r="Z4843">
        <v>-1.393178E-2</v>
      </c>
      <c r="AA4843">
        <v>0.88121419999999995</v>
      </c>
      <c r="AB4843">
        <v>25</v>
      </c>
      <c r="AC4843">
        <v>20.3751</v>
      </c>
      <c r="AD4843">
        <v>-1.140334</v>
      </c>
      <c r="AE4843">
        <v>-16.078128899999999</v>
      </c>
      <c r="AF4843">
        <v>12.3131719491711</v>
      </c>
      <c r="AG4843">
        <v>-1.140334</v>
      </c>
      <c r="AH4843">
        <v>22.7913034561054</v>
      </c>
      <c r="AI4843">
        <v>92.520545150698595</v>
      </c>
      <c r="AJ4843">
        <v>61.6195334749371</v>
      </c>
      <c r="AK4843">
        <v>25.929868459166801</v>
      </c>
      <c r="AL4843">
        <v>79.068755604219305</v>
      </c>
      <c r="AM4843">
        <v>76.374751007971895</v>
      </c>
      <c r="AN4843">
        <v>1.00000003060878</v>
      </c>
    </row>
    <row r="4844" spans="1:40" x14ac:dyDescent="0.25">
      <c r="A4844" t="str">
        <f>"20190303170634247"</f>
        <v>20190303170634247</v>
      </c>
      <c r="B4844" t="str">
        <f>"1551603994239915"</f>
        <v>1551603994239915</v>
      </c>
      <c r="C4844" t="s">
        <v>40</v>
      </c>
      <c r="D4844">
        <v>5.282616</v>
      </c>
      <c r="E4844">
        <v>0.60940240000000001</v>
      </c>
      <c r="F4844" t="s">
        <v>43</v>
      </c>
      <c r="G4844">
        <v>-296.19589999999999</v>
      </c>
      <c r="H4844">
        <v>-0.05</v>
      </c>
      <c r="I4844">
        <v>-1.081528</v>
      </c>
      <c r="J4844">
        <v>-316.65249999999997</v>
      </c>
      <c r="K4844">
        <v>1.0888949999999999</v>
      </c>
      <c r="L4844">
        <v>15.21454</v>
      </c>
      <c r="M4844">
        <v>0.9840835</v>
      </c>
      <c r="N4844">
        <v>-2.510037E-2</v>
      </c>
      <c r="O4844">
        <v>-0.17592629999999901</v>
      </c>
      <c r="P4844">
        <v>0.90350540000000001</v>
      </c>
      <c r="Q4844">
        <v>0.1699705</v>
      </c>
      <c r="R4844">
        <v>-0.39343119999999998</v>
      </c>
      <c r="S4844">
        <v>2.4903870000000001</v>
      </c>
      <c r="T4844">
        <v>-0.13789999999999999</v>
      </c>
      <c r="U4844">
        <v>-1.9741519999999999</v>
      </c>
      <c r="V4844">
        <v>0.23169609999999999</v>
      </c>
      <c r="W4844">
        <v>0.1898987</v>
      </c>
      <c r="X4844">
        <v>0.95407310000000001</v>
      </c>
      <c r="Y4844">
        <v>0.47291070000000002</v>
      </c>
      <c r="Z4844">
        <v>-1.373831E-2</v>
      </c>
      <c r="AA4844">
        <v>0.88100330000000004</v>
      </c>
      <c r="AB4844">
        <v>25</v>
      </c>
      <c r="AC4844">
        <v>20.456599999999899</v>
      </c>
      <c r="AD4844">
        <v>-1.138895</v>
      </c>
      <c r="AE4844">
        <v>-16.296067999999899</v>
      </c>
      <c r="AF4844">
        <v>12.4182072844239</v>
      </c>
      <c r="AG4844">
        <v>-1.138895</v>
      </c>
      <c r="AH4844">
        <v>22.961612314440899</v>
      </c>
      <c r="AI4844">
        <v>92.498128603421506</v>
      </c>
      <c r="AJ4844">
        <v>61.594381999168</v>
      </c>
      <c r="AK4844">
        <v>26.1293818154702</v>
      </c>
      <c r="AL4844">
        <v>79.053127931103802</v>
      </c>
      <c r="AM4844">
        <v>76.349998650635399</v>
      </c>
      <c r="AN4844">
        <v>1.00000003958025</v>
      </c>
    </row>
    <row r="4845" spans="1:40" x14ac:dyDescent="0.25">
      <c r="A4845" t="str">
        <f>"20190303170634260"</f>
        <v>20190303170634260</v>
      </c>
      <c r="B4845" t="str">
        <f>"1551603994249676"</f>
        <v>1551603994249676</v>
      </c>
      <c r="C4845" t="s">
        <v>40</v>
      </c>
      <c r="D4845">
        <v>5.2829230000000003</v>
      </c>
      <c r="E4845">
        <v>0.60933559999999998</v>
      </c>
      <c r="F4845" t="s">
        <v>41</v>
      </c>
      <c r="G4845">
        <v>-296.89760000000001</v>
      </c>
      <c r="H4845" s="1">
        <v>-4.7322110000000003E-6</v>
      </c>
      <c r="I4845">
        <v>-0.57636069999999995</v>
      </c>
      <c r="J4845">
        <v>-316.50819999999999</v>
      </c>
      <c r="K4845">
        <v>1.0874090000000001</v>
      </c>
      <c r="L4845">
        <v>15.1835</v>
      </c>
      <c r="M4845">
        <v>0.98328230000000005</v>
      </c>
      <c r="N4845">
        <v>-2.4802589999999999E-2</v>
      </c>
      <c r="O4845">
        <v>-0.18039079999999999</v>
      </c>
      <c r="P4845">
        <v>0.90138419999999997</v>
      </c>
      <c r="Q4845">
        <v>0.1702872</v>
      </c>
      <c r="R4845">
        <v>-0.39813169999999998</v>
      </c>
      <c r="S4845">
        <v>2.4821780000000002</v>
      </c>
      <c r="T4845">
        <v>-0.13681840000000001</v>
      </c>
      <c r="U4845">
        <v>-1.9841</v>
      </c>
      <c r="V4845">
        <v>0.2323857</v>
      </c>
      <c r="W4845">
        <v>0.1898715</v>
      </c>
      <c r="X4845">
        <v>0.9539107</v>
      </c>
      <c r="Y4845">
        <v>0.4725029</v>
      </c>
      <c r="Z4845">
        <v>-1.3476230000000001E-2</v>
      </c>
      <c r="AA4845">
        <v>0.88122610000000001</v>
      </c>
      <c r="AB4845">
        <v>25</v>
      </c>
      <c r="AC4845">
        <v>19.610599999999899</v>
      </c>
      <c r="AD4845">
        <v>-1.087413732211</v>
      </c>
      <c r="AE4845">
        <v>-15.7598606999999</v>
      </c>
      <c r="AF4845">
        <v>11.9401932058885</v>
      </c>
      <c r="AG4845">
        <v>-1.087413732211</v>
      </c>
      <c r="AH4845">
        <v>22.091226796124399</v>
      </c>
      <c r="AI4845">
        <v>92.479547824202299</v>
      </c>
      <c r="AJ4845">
        <v>61.609008771037303</v>
      </c>
      <c r="AK4845">
        <v>25.135094664169301</v>
      </c>
      <c r="AL4845">
        <v>79.054714393963593</v>
      </c>
      <c r="AM4845">
        <v>76.3086555271408</v>
      </c>
      <c r="AN4845">
        <v>0.99999996182561401</v>
      </c>
    </row>
    <row r="4846" spans="1:40" x14ac:dyDescent="0.25">
      <c r="A4846" t="str">
        <f>"20190303170634275"</f>
        <v>20190303170634275</v>
      </c>
      <c r="B4846" t="str">
        <f>"1551603994259436"</f>
        <v>1551603994259436</v>
      </c>
      <c r="C4846" t="s">
        <v>40</v>
      </c>
      <c r="D4846">
        <v>5.2911190000000001</v>
      </c>
      <c r="E4846">
        <v>0.60926740000000001</v>
      </c>
      <c r="F4846" t="s">
        <v>41</v>
      </c>
      <c r="G4846">
        <v>-296.70389999999998</v>
      </c>
      <c r="H4846" s="1">
        <v>-4.6566350000000004E-6</v>
      </c>
      <c r="I4846">
        <v>-0.80891990000000003</v>
      </c>
      <c r="J4846">
        <v>-316.35340000000002</v>
      </c>
      <c r="K4846">
        <v>1.0858859999999999</v>
      </c>
      <c r="L4846">
        <v>15.14911</v>
      </c>
      <c r="M4846">
        <v>0.98235050000000002</v>
      </c>
      <c r="N4846">
        <v>-2.4438189999999999E-2</v>
      </c>
      <c r="O4846">
        <v>-0.18544640000000001</v>
      </c>
      <c r="P4846">
        <v>0.89909699999999904</v>
      </c>
      <c r="Q4846">
        <v>0.1703585</v>
      </c>
      <c r="R4846">
        <v>-0.4032405</v>
      </c>
      <c r="S4846">
        <v>2.4721069999999998</v>
      </c>
      <c r="T4846">
        <v>-0.13573789999999999</v>
      </c>
      <c r="U4846">
        <v>-1.9962770000000001</v>
      </c>
      <c r="V4846">
        <v>0.23290240000000001</v>
      </c>
      <c r="W4846">
        <v>0.1895714</v>
      </c>
      <c r="X4846">
        <v>0.95384440000000004</v>
      </c>
      <c r="Y4846">
        <v>0.4723678</v>
      </c>
      <c r="Z4846">
        <v>-1.318417E-2</v>
      </c>
      <c r="AA4846">
        <v>0.8813029</v>
      </c>
      <c r="AB4846">
        <v>25</v>
      </c>
      <c r="AC4846">
        <v>19.6495</v>
      </c>
      <c r="AD4846">
        <v>-1.085890656635</v>
      </c>
      <c r="AE4846">
        <v>-15.9580299</v>
      </c>
      <c r="AF4846">
        <v>12.013935091108699</v>
      </c>
      <c r="AG4846">
        <v>-1.085890656635</v>
      </c>
      <c r="AH4846">
        <v>22.2278003638779</v>
      </c>
      <c r="AI4846">
        <v>92.460887749559603</v>
      </c>
      <c r="AJ4846">
        <v>61.609159221564802</v>
      </c>
      <c r="AK4846">
        <v>25.290094976254</v>
      </c>
      <c r="AL4846">
        <v>79.072227249908394</v>
      </c>
      <c r="AM4846">
        <v>76.278445088257698</v>
      </c>
      <c r="AN4846">
        <v>0.99999999151753904</v>
      </c>
    </row>
    <row r="4847" spans="1:40" x14ac:dyDescent="0.25">
      <c r="A4847" t="str">
        <f>"20190303170634290"</f>
        <v>20190303170634290</v>
      </c>
      <c r="B4847" t="str">
        <f>"1551603994279933"</f>
        <v>1551603994279933</v>
      </c>
      <c r="C4847" t="s">
        <v>40</v>
      </c>
      <c r="D4847">
        <v>5.3172889999999997</v>
      </c>
      <c r="E4847">
        <v>0.60907509999999998</v>
      </c>
      <c r="F4847" t="s">
        <v>41</v>
      </c>
      <c r="G4847">
        <v>-296.73219999999998</v>
      </c>
      <c r="H4847" s="1">
        <v>-4.6220809999999999E-6</v>
      </c>
      <c r="I4847">
        <v>-0.87138939999999998</v>
      </c>
      <c r="J4847">
        <v>-316.17599999999999</v>
      </c>
      <c r="K4847">
        <v>1.084195</v>
      </c>
      <c r="L4847">
        <v>15.10867</v>
      </c>
      <c r="M4847">
        <v>0.98119869999999998</v>
      </c>
      <c r="N4847">
        <v>-2.3989659999999999E-2</v>
      </c>
      <c r="O4847">
        <v>-0.19150349999999999</v>
      </c>
      <c r="P4847">
        <v>0.89633359999999995</v>
      </c>
      <c r="Q4847">
        <v>0.170228399999999</v>
      </c>
      <c r="R4847">
        <v>-0.4094006</v>
      </c>
      <c r="S4847">
        <v>2.4612120000000002</v>
      </c>
      <c r="T4847">
        <v>-0.1362101</v>
      </c>
      <c r="U4847">
        <v>-2.0095519999999998</v>
      </c>
      <c r="V4847">
        <v>0.23354510000000001</v>
      </c>
      <c r="W4847">
        <v>0.18900810000000001</v>
      </c>
      <c r="X4847">
        <v>0.95379910000000001</v>
      </c>
      <c r="Y4847">
        <v>0.47170240000000002</v>
      </c>
      <c r="Z4847">
        <v>-1.2839130000000001E-2</v>
      </c>
      <c r="AA4847">
        <v>0.88166429999999996</v>
      </c>
      <c r="AB4847">
        <v>25</v>
      </c>
      <c r="AC4847">
        <v>19.4438</v>
      </c>
      <c r="AD4847">
        <v>-1.084199622081</v>
      </c>
      <c r="AE4847">
        <v>-15.9800594</v>
      </c>
      <c r="AF4847">
        <v>11.9373467467114</v>
      </c>
      <c r="AG4847">
        <v>-1.084199622081</v>
      </c>
      <c r="AH4847">
        <v>22.103822294606399</v>
      </c>
      <c r="AI4847">
        <v>92.471271822534206</v>
      </c>
      <c r="AJ4847">
        <v>61.628379494459303</v>
      </c>
      <c r="AK4847">
        <v>25.144675305187</v>
      </c>
      <c r="AL4847">
        <v>79.105096829959905</v>
      </c>
      <c r="AM4847">
        <v>76.241388460883996</v>
      </c>
      <c r="AN4847">
        <v>1.0000000493802099</v>
      </c>
    </row>
    <row r="4848" spans="1:40" x14ac:dyDescent="0.25">
      <c r="A4848" t="str">
        <f>"20190303170634304"</f>
        <v>20190303170634304</v>
      </c>
      <c r="B4848" t="str">
        <f>"1551603994289692"</f>
        <v>1551603994289692</v>
      </c>
      <c r="C4848" t="s">
        <v>40</v>
      </c>
      <c r="D4848">
        <v>5.3507239999999996</v>
      </c>
      <c r="E4848">
        <v>0.6088808</v>
      </c>
      <c r="F4848" t="s">
        <v>41</v>
      </c>
      <c r="G4848">
        <v>-296.82139999999998</v>
      </c>
      <c r="H4848" s="1">
        <v>-4.590895E-6</v>
      </c>
      <c r="I4848">
        <v>-0.90391449999999995</v>
      </c>
      <c r="J4848">
        <v>-316.02839999999998</v>
      </c>
      <c r="K4848">
        <v>1.082837</v>
      </c>
      <c r="L4848">
        <v>15.074249999999999</v>
      </c>
      <c r="M4848">
        <v>0.98017189999999998</v>
      </c>
      <c r="N4848">
        <v>-2.3598000000000001E-2</v>
      </c>
      <c r="O4848">
        <v>-0.19673969999999999</v>
      </c>
      <c r="P4848">
        <v>0.89394390000000001</v>
      </c>
      <c r="Q4848">
        <v>0.1703519</v>
      </c>
      <c r="R4848">
        <v>-0.41454229999999997</v>
      </c>
      <c r="S4848">
        <v>2.4479679999999999</v>
      </c>
      <c r="T4848">
        <v>-0.13712929999999901</v>
      </c>
      <c r="U4848">
        <v>-2.0252690000000002</v>
      </c>
      <c r="V4848">
        <v>0.23391880000000001</v>
      </c>
      <c r="W4848">
        <v>0.1887675</v>
      </c>
      <c r="X4848">
        <v>0.95375509999999997</v>
      </c>
      <c r="Y4848">
        <v>0.47269899999999998</v>
      </c>
      <c r="Z4848">
        <v>-1.2603130000000001E-2</v>
      </c>
      <c r="AA4848">
        <v>0.88113390000000003</v>
      </c>
      <c r="AB4848">
        <v>25</v>
      </c>
      <c r="AC4848">
        <v>19.206999999999901</v>
      </c>
      <c r="AD4848">
        <v>-1.082841590895</v>
      </c>
      <c r="AE4848">
        <v>-15.978164499999901</v>
      </c>
      <c r="AF4848">
        <v>11.863591247238499</v>
      </c>
      <c r="AG4848">
        <v>-1.082841590895</v>
      </c>
      <c r="AH4848">
        <v>21.934614012273201</v>
      </c>
      <c r="AI4848">
        <v>92.486361631346796</v>
      </c>
      <c r="AJ4848">
        <v>61.592744978817599</v>
      </c>
      <c r="AK4848">
        <v>24.960862065640601</v>
      </c>
      <c r="AL4848">
        <v>79.119134160101893</v>
      </c>
      <c r="AM4848">
        <v>76.219600106868</v>
      </c>
      <c r="AN4848">
        <v>0.99999998241284904</v>
      </c>
    </row>
    <row r="4849" spans="1:40" x14ac:dyDescent="0.25">
      <c r="A4849" t="str">
        <f>"20190303170634317"</f>
        <v>20190303170634317</v>
      </c>
      <c r="B4849" t="str">
        <f>"1551603994310188"</f>
        <v>1551603994310188</v>
      </c>
      <c r="C4849" t="s">
        <v>40</v>
      </c>
      <c r="D4849">
        <v>5.3468030000000004</v>
      </c>
      <c r="E4849">
        <v>0.60871419999999998</v>
      </c>
      <c r="F4849" t="s">
        <v>41</v>
      </c>
      <c r="G4849">
        <v>-296.66680000000002</v>
      </c>
      <c r="H4849" s="1">
        <v>-4.5166969999999996E-6</v>
      </c>
      <c r="I4849">
        <v>-1.1188549999999999</v>
      </c>
      <c r="J4849">
        <v>-315.88670000000002</v>
      </c>
      <c r="K4849">
        <v>1.081566</v>
      </c>
      <c r="L4849">
        <v>15.0399799999999</v>
      </c>
      <c r="M4849">
        <v>0.97911389999999998</v>
      </c>
      <c r="N4849">
        <v>-2.3201050000000001E-2</v>
      </c>
      <c r="O4849">
        <v>-0.2019849</v>
      </c>
      <c r="P4849">
        <v>0.89146510000000001</v>
      </c>
      <c r="Q4849">
        <v>0.170715899999999</v>
      </c>
      <c r="R4849">
        <v>-0.4196974</v>
      </c>
      <c r="S4849">
        <v>2.4368289999999999</v>
      </c>
      <c r="T4849">
        <v>-0.13628579999999901</v>
      </c>
      <c r="U4849">
        <v>-2.0380549999999999</v>
      </c>
      <c r="V4849">
        <v>0.23432720000000001</v>
      </c>
      <c r="W4849">
        <v>0.1887539</v>
      </c>
      <c r="X4849">
        <v>0.95365759999999999</v>
      </c>
      <c r="Y4849">
        <v>0.47269870000000003</v>
      </c>
      <c r="Z4849">
        <v>-1.229308E-2</v>
      </c>
      <c r="AA4849">
        <v>0.88113829999999904</v>
      </c>
      <c r="AB4849">
        <v>25</v>
      </c>
      <c r="AC4849">
        <v>19.219899999999999</v>
      </c>
      <c r="AD4849">
        <v>-1.081570516697</v>
      </c>
      <c r="AE4849">
        <v>-16.1588349999999</v>
      </c>
      <c r="AF4849">
        <v>11.9203079045311</v>
      </c>
      <c r="AG4849">
        <v>-1.081570516697</v>
      </c>
      <c r="AH4849">
        <v>22.047350620476099</v>
      </c>
      <c r="AI4849">
        <v>92.470963101706005</v>
      </c>
      <c r="AJ4849">
        <v>61.601307296212298</v>
      </c>
      <c r="AK4849">
        <v>25.086833293654799</v>
      </c>
      <c r="AL4849">
        <v>79.119928333442303</v>
      </c>
      <c r="AM4849">
        <v>76.195103027159305</v>
      </c>
      <c r="AN4849">
        <v>1.0000000447313999</v>
      </c>
    </row>
    <row r="4850" spans="1:40" x14ac:dyDescent="0.25">
      <c r="A4850" t="str">
        <f>"20190303170634328"</f>
        <v>20190303170634328</v>
      </c>
      <c r="B4850" t="str">
        <f>"1551603994319948"</f>
        <v>1551603994319948</v>
      </c>
      <c r="C4850" t="s">
        <v>40</v>
      </c>
      <c r="D4850">
        <v>5.3426039999999997</v>
      </c>
      <c r="E4850">
        <v>0.6085547</v>
      </c>
      <c r="F4850" t="s">
        <v>41</v>
      </c>
      <c r="G4850">
        <v>-296.51889999999997</v>
      </c>
      <c r="H4850" s="1">
        <v>-4.43886199999999E-6</v>
      </c>
      <c r="I4850">
        <v>-1.3390340000000001</v>
      </c>
      <c r="J4850">
        <v>-315.75450000000001</v>
      </c>
      <c r="K4850">
        <v>1.0803940000000001</v>
      </c>
      <c r="L4850">
        <v>15.007389999999999</v>
      </c>
      <c r="M4850">
        <v>0.97808949999999995</v>
      </c>
      <c r="N4850">
        <v>-2.2824500000000001E-2</v>
      </c>
      <c r="O4850">
        <v>-0.20693</v>
      </c>
      <c r="P4850">
        <v>0.88898379999999999</v>
      </c>
      <c r="Q4850">
        <v>0.17120940000000001</v>
      </c>
      <c r="R4850">
        <v>-0.42472989999999999</v>
      </c>
      <c r="S4850">
        <v>2.4255070000000001</v>
      </c>
      <c r="T4850">
        <v>-0.13544929999999999</v>
      </c>
      <c r="U4850">
        <v>-2.0512079999999999</v>
      </c>
      <c r="V4850">
        <v>0.2349214</v>
      </c>
      <c r="W4850">
        <v>0.18887609999999999</v>
      </c>
      <c r="X4850">
        <v>0.95348719999999998</v>
      </c>
      <c r="Y4850">
        <v>0.47307379999999999</v>
      </c>
      <c r="Z4850">
        <v>-1.2012200000000001E-2</v>
      </c>
      <c r="AA4850">
        <v>0.88094089999999903</v>
      </c>
      <c r="AB4850">
        <v>25</v>
      </c>
      <c r="AC4850">
        <v>19.235600000000002</v>
      </c>
      <c r="AD4850">
        <v>-1.080398438862</v>
      </c>
      <c r="AE4850">
        <v>-16.346423999999999</v>
      </c>
      <c r="AF4850">
        <v>11.989009962968799</v>
      </c>
      <c r="AG4850">
        <v>-1.080398438862</v>
      </c>
      <c r="AH4850">
        <v>22.161890769602099</v>
      </c>
      <c r="AI4850">
        <v>92.455233735543004</v>
      </c>
      <c r="AJ4850">
        <v>61.587757826395297</v>
      </c>
      <c r="AK4850">
        <v>25.220091656507499</v>
      </c>
      <c r="AL4850">
        <v>79.112798523996801</v>
      </c>
      <c r="AM4850">
        <v>76.159062957981007</v>
      </c>
      <c r="AN4850">
        <v>1.0000000429464999</v>
      </c>
    </row>
    <row r="4851" spans="1:40" x14ac:dyDescent="0.25">
      <c r="A4851" t="str">
        <f>"20190303170634341"</f>
        <v>20190303170634341</v>
      </c>
      <c r="B4851" t="str">
        <f>"1551603994329708"</f>
        <v>1551603994329708</v>
      </c>
      <c r="C4851" t="s">
        <v>40</v>
      </c>
      <c r="D4851">
        <v>5.3599059999999996</v>
      </c>
      <c r="E4851">
        <v>0.60846789999999995</v>
      </c>
      <c r="F4851" t="s">
        <v>41</v>
      </c>
      <c r="G4851">
        <v>-296.33969999999999</v>
      </c>
      <c r="H4851" s="1">
        <v>-4.3518030000000003E-6</v>
      </c>
      <c r="I4851">
        <v>-1.5904320000000001</v>
      </c>
      <c r="J4851">
        <v>-315.61689999999999</v>
      </c>
      <c r="K4851">
        <v>1.0791949999999999</v>
      </c>
      <c r="L4851">
        <v>14.972720000000001</v>
      </c>
      <c r="M4851">
        <v>0.9769835</v>
      </c>
      <c r="N4851">
        <v>-2.2425250000000001E-2</v>
      </c>
      <c r="O4851">
        <v>-0.21213299999999999</v>
      </c>
      <c r="P4851">
        <v>0.88631930000000003</v>
      </c>
      <c r="Q4851">
        <v>0.17164270000000001</v>
      </c>
      <c r="R4851">
        <v>-0.4300892</v>
      </c>
      <c r="S4851">
        <v>2.4143979999999998</v>
      </c>
      <c r="T4851">
        <v>-0.13435720000000001</v>
      </c>
      <c r="U4851">
        <v>-2.0640869999999998</v>
      </c>
      <c r="V4851">
        <v>0.23563020000000001</v>
      </c>
      <c r="W4851">
        <v>0.18890609999999999</v>
      </c>
      <c r="X4851">
        <v>0.95330630000000005</v>
      </c>
      <c r="Y4851">
        <v>0.47311839999999999</v>
      </c>
      <c r="Z4851">
        <v>-1.169793E-2</v>
      </c>
      <c r="AA4851">
        <v>0.88092119999999996</v>
      </c>
      <c r="AB4851">
        <v>25</v>
      </c>
      <c r="AC4851">
        <v>19.277200000000001</v>
      </c>
      <c r="AD4851">
        <v>-1.0791993518030001</v>
      </c>
      <c r="AE4851">
        <v>-16.563151999999999</v>
      </c>
      <c r="AF4851">
        <v>12.073867684627899</v>
      </c>
      <c r="AG4851">
        <v>-1.0791993518030001</v>
      </c>
      <c r="AH4851">
        <v>22.312487656123398</v>
      </c>
      <c r="AI4851">
        <v>92.435824372919996</v>
      </c>
      <c r="AJ4851">
        <v>61.581026539366697</v>
      </c>
      <c r="AK4851">
        <v>25.3927166233055</v>
      </c>
      <c r="AL4851">
        <v>79.111047707718299</v>
      </c>
      <c r="AM4851">
        <v>76.116382918347099</v>
      </c>
      <c r="AN4851">
        <v>1.0000000036944701</v>
      </c>
    </row>
    <row r="4852" spans="1:40" x14ac:dyDescent="0.25">
      <c r="A4852" t="str">
        <f>"20190303170634354"</f>
        <v>20190303170634354</v>
      </c>
      <c r="B4852" t="str">
        <f>"1551603994339467"</f>
        <v>1551603994339467</v>
      </c>
      <c r="C4852" t="s">
        <v>40</v>
      </c>
      <c r="D4852">
        <v>5.3852679999999999</v>
      </c>
      <c r="E4852">
        <v>0.60829290000000003</v>
      </c>
      <c r="F4852" t="s">
        <v>41</v>
      </c>
      <c r="G4852">
        <v>-296.25670000000002</v>
      </c>
      <c r="H4852" s="1">
        <v>-4.2806799999999998E-6</v>
      </c>
      <c r="I4852">
        <v>-1.7720509999999901</v>
      </c>
      <c r="J4852">
        <v>-315.47980000000001</v>
      </c>
      <c r="K4852">
        <v>1.0780459999999901</v>
      </c>
      <c r="L4852">
        <v>14.936979999999901</v>
      </c>
      <c r="M4852">
        <v>0.97583770000000003</v>
      </c>
      <c r="N4852">
        <v>-2.2021490000000001E-2</v>
      </c>
      <c r="O4852">
        <v>-0.21738469999999999</v>
      </c>
      <c r="P4852">
        <v>0.88360669999999897</v>
      </c>
      <c r="Q4852">
        <v>0.17215239999999901</v>
      </c>
      <c r="R4852">
        <v>-0.43543389999999998</v>
      </c>
      <c r="S4852">
        <v>2.4024350000000001</v>
      </c>
      <c r="T4852">
        <v>-0.13391919999999999</v>
      </c>
      <c r="U4852">
        <v>-2.0778810000000001</v>
      </c>
      <c r="V4852">
        <v>0.23630190000000001</v>
      </c>
      <c r="W4852">
        <v>0.188996</v>
      </c>
      <c r="X4852">
        <v>0.95312220000000003</v>
      </c>
      <c r="Y4852">
        <v>0.4734563</v>
      </c>
      <c r="Z4852">
        <v>-1.139662E-2</v>
      </c>
      <c r="AA4852">
        <v>0.88074359999999996</v>
      </c>
      <c r="AB4852">
        <v>25</v>
      </c>
      <c r="AC4852">
        <v>19.223099999999899</v>
      </c>
      <c r="AD4852">
        <v>-1.0780502806800001</v>
      </c>
      <c r="AE4852">
        <v>-16.709031</v>
      </c>
      <c r="AF4852">
        <v>12.107743087609</v>
      </c>
      <c r="AG4852">
        <v>-1.0780502806800001</v>
      </c>
      <c r="AH4852">
        <v>22.356289818695601</v>
      </c>
      <c r="AI4852">
        <v>92.428010257570307</v>
      </c>
      <c r="AJ4852">
        <v>61.560863856179601</v>
      </c>
      <c r="AK4852">
        <v>25.4472656594128</v>
      </c>
      <c r="AL4852">
        <v>79.105802311401604</v>
      </c>
      <c r="AM4852">
        <v>76.075758517980404</v>
      </c>
      <c r="AN4852">
        <v>1.0000000020462201</v>
      </c>
    </row>
    <row r="4853" spans="1:40" x14ac:dyDescent="0.25">
      <c r="A4853" t="str">
        <f>"20190303170634368"</f>
        <v>20190303170634368</v>
      </c>
      <c r="B4853" t="str">
        <f>"1551603994359964"</f>
        <v>1551603994359964</v>
      </c>
      <c r="C4853" t="s">
        <v>40</v>
      </c>
      <c r="D4853">
        <v>5.3931310000000003</v>
      </c>
      <c r="E4853">
        <v>0.60800159999999903</v>
      </c>
      <c r="F4853" t="s">
        <v>41</v>
      </c>
      <c r="G4853">
        <v>-296.185</v>
      </c>
      <c r="H4853" s="1">
        <v>-4.2158450000000001E-6</v>
      </c>
      <c r="I4853">
        <v>-1.9361269999999999</v>
      </c>
      <c r="J4853">
        <v>-315.32409999999999</v>
      </c>
      <c r="K4853">
        <v>1.0767850000000001</v>
      </c>
      <c r="L4853">
        <v>14.895569999999999</v>
      </c>
      <c r="M4853">
        <v>0.97449110000000005</v>
      </c>
      <c r="N4853">
        <v>-2.1563209999999999E-2</v>
      </c>
      <c r="O4853">
        <v>-0.2233879</v>
      </c>
      <c r="P4853">
        <v>0.88008399999999998</v>
      </c>
      <c r="Q4853">
        <v>0.1727119</v>
      </c>
      <c r="R4853">
        <v>-0.4422932</v>
      </c>
      <c r="S4853">
        <v>2.3908689999999999</v>
      </c>
      <c r="T4853">
        <v>-0.13358390000000001</v>
      </c>
      <c r="U4853">
        <v>-2.0907900000000001</v>
      </c>
      <c r="V4853">
        <v>0.23790149999999999</v>
      </c>
      <c r="W4853">
        <v>0.189055</v>
      </c>
      <c r="X4853">
        <v>0.95271249999999996</v>
      </c>
      <c r="Y4853">
        <v>0.47285450000000001</v>
      </c>
      <c r="Z4853">
        <v>-1.1014029999999999E-2</v>
      </c>
      <c r="AA4853">
        <v>0.88107169999999901</v>
      </c>
      <c r="AB4853">
        <v>25</v>
      </c>
      <c r="AC4853">
        <v>19.1390999999999</v>
      </c>
      <c r="AD4853">
        <v>-1.0767892158450001</v>
      </c>
      <c r="AE4853">
        <v>-16.831696999999998</v>
      </c>
      <c r="AF4853">
        <v>12.108104245757501</v>
      </c>
      <c r="AG4853">
        <v>-1.0767892158450001</v>
      </c>
      <c r="AH4853">
        <v>22.3761531114239</v>
      </c>
      <c r="AI4853">
        <v>92.423493996305297</v>
      </c>
      <c r="AJ4853">
        <v>61.581451330331099</v>
      </c>
      <c r="AK4853">
        <v>25.464836373072899</v>
      </c>
      <c r="AL4853">
        <v>79.102359911342404</v>
      </c>
      <c r="AM4853">
        <v>75.979415131632607</v>
      </c>
      <c r="AN4853">
        <v>1.0000000121917401</v>
      </c>
    </row>
    <row r="4854" spans="1:40" x14ac:dyDescent="0.25">
      <c r="A4854" t="str">
        <f>"20190303170634379"</f>
        <v>20190303170634379</v>
      </c>
      <c r="B4854" t="str">
        <f>"1551603994369725"</f>
        <v>1551603994369725</v>
      </c>
      <c r="C4854" t="s">
        <v>40</v>
      </c>
      <c r="D4854">
        <v>5.4015459999999997</v>
      </c>
      <c r="E4854">
        <v>0.60800159999999903</v>
      </c>
      <c r="F4854" t="s">
        <v>41</v>
      </c>
      <c r="G4854">
        <v>-296.23180000000002</v>
      </c>
      <c r="H4854" s="1">
        <v>-4.1621490000000002E-6</v>
      </c>
      <c r="I4854">
        <v>-2.0321539999999998</v>
      </c>
      <c r="J4854">
        <v>-315.19549999999998</v>
      </c>
      <c r="K4854">
        <v>1.0757890000000001</v>
      </c>
      <c r="L4854">
        <v>14.8605</v>
      </c>
      <c r="M4854">
        <v>0.97333760000000002</v>
      </c>
      <c r="N4854">
        <v>-2.1186340000000001E-2</v>
      </c>
      <c r="O4854">
        <v>-0.22839670000000001</v>
      </c>
      <c r="P4854">
        <v>0.8775579</v>
      </c>
      <c r="Q4854">
        <v>0.17272939999999901</v>
      </c>
      <c r="R4854">
        <v>-0.44727739999999999</v>
      </c>
      <c r="S4854">
        <v>2.3762819999999998</v>
      </c>
      <c r="T4854">
        <v>-0.13402020000000001</v>
      </c>
      <c r="U4854">
        <v>-2.1068730000000002</v>
      </c>
      <c r="V4854">
        <v>0.23842260000000001</v>
      </c>
      <c r="W4854">
        <v>0.1886776</v>
      </c>
      <c r="X4854">
        <v>0.95265699999999998</v>
      </c>
      <c r="Y4854">
        <v>0.47434989999999999</v>
      </c>
      <c r="Z4854">
        <v>-1.077239E-2</v>
      </c>
      <c r="AA4854">
        <v>0.88027049999999996</v>
      </c>
      <c r="AB4854">
        <v>25</v>
      </c>
      <c r="AC4854">
        <v>18.9636999999999</v>
      </c>
      <c r="AD4854">
        <v>-1.07579316214899</v>
      </c>
      <c r="AE4854">
        <v>-16.892654</v>
      </c>
      <c r="AF4854">
        <v>12.0920303961451</v>
      </c>
      <c r="AG4854">
        <v>-1.07579316214899</v>
      </c>
      <c r="AH4854">
        <v>22.281338178383901</v>
      </c>
      <c r="AI4854">
        <v>92.429937713435194</v>
      </c>
      <c r="AJ4854">
        <v>61.511419050934101</v>
      </c>
      <c r="AK4854">
        <v>25.3738558569353</v>
      </c>
      <c r="AL4854">
        <v>79.124379126186099</v>
      </c>
      <c r="AM4854">
        <v>75.949133485065104</v>
      </c>
      <c r="AN4854">
        <v>0.99999996629075905</v>
      </c>
    </row>
    <row r="4855" spans="1:40" x14ac:dyDescent="0.25">
      <c r="A4855" t="str">
        <f>"20190303170634391"</f>
        <v>20190303170634391</v>
      </c>
      <c r="B4855" t="str">
        <f>"1551603994379484"</f>
        <v>1551603994379484</v>
      </c>
      <c r="C4855" t="s">
        <v>40</v>
      </c>
      <c r="D4855">
        <v>5.4188190000000001</v>
      </c>
      <c r="E4855">
        <v>0.60475900000000005</v>
      </c>
      <c r="F4855" t="s">
        <v>41</v>
      </c>
      <c r="G4855">
        <v>-296.1694</v>
      </c>
      <c r="H4855" s="1">
        <v>-4.0915219999999999E-6</v>
      </c>
      <c r="I4855">
        <v>-2.2049840000000001</v>
      </c>
      <c r="J4855">
        <v>-315.07819999999998</v>
      </c>
      <c r="K4855">
        <v>1.07494</v>
      </c>
      <c r="L4855">
        <v>14.827669999999999</v>
      </c>
      <c r="M4855">
        <v>0.97224500000000003</v>
      </c>
      <c r="N4855">
        <v>-2.0851020000000001E-2</v>
      </c>
      <c r="O4855">
        <v>-0.23303479999999999</v>
      </c>
      <c r="P4855">
        <v>0.87526319999999902</v>
      </c>
      <c r="Q4855">
        <v>0.1731067</v>
      </c>
      <c r="R4855">
        <v>-0.45160719999999999</v>
      </c>
      <c r="S4855">
        <v>2.3641049999999999</v>
      </c>
      <c r="T4855">
        <v>-0.1336734</v>
      </c>
      <c r="U4855">
        <v>-2.1204830000000001</v>
      </c>
      <c r="V4855">
        <v>0.2386231</v>
      </c>
      <c r="W4855">
        <v>0.1887094</v>
      </c>
      <c r="X4855">
        <v>0.95260049999999996</v>
      </c>
      <c r="Y4855">
        <v>0.47522429999999899</v>
      </c>
      <c r="Z4855">
        <v>-1.052782E-2</v>
      </c>
      <c r="AA4855">
        <v>0.87980170000000002</v>
      </c>
      <c r="AB4855">
        <v>25</v>
      </c>
      <c r="AC4855">
        <v>18.9087999999999</v>
      </c>
      <c r="AD4855">
        <v>-1.0749440915219901</v>
      </c>
      <c r="AE4855">
        <v>-17.032654000000001</v>
      </c>
      <c r="AF4855">
        <v>12.1344954918832</v>
      </c>
      <c r="AG4855">
        <v>-1.0749440915219901</v>
      </c>
      <c r="AH4855">
        <v>22.318225721259601</v>
      </c>
      <c r="AI4855">
        <v>92.422992812544507</v>
      </c>
      <c r="AJ4855">
        <v>61.466923582836699</v>
      </c>
      <c r="AK4855">
        <v>25.426456398553199</v>
      </c>
      <c r="AL4855">
        <v>79.122523799521304</v>
      </c>
      <c r="AM4855">
        <v>75.936985179786205</v>
      </c>
      <c r="AN4855">
        <v>0.99999996705110905</v>
      </c>
    </row>
    <row r="4856" spans="1:40" x14ac:dyDescent="0.25">
      <c r="A4856" t="str">
        <f>"20190303170634401"</f>
        <v>20190303170634401</v>
      </c>
      <c r="B4856" t="str">
        <f>"1551603994390220"</f>
        <v>1551603994390220</v>
      </c>
      <c r="C4856" t="s">
        <v>40</v>
      </c>
      <c r="D4856">
        <v>5.4363099999999998</v>
      </c>
      <c r="E4856">
        <v>0.60482389999999997</v>
      </c>
      <c r="F4856" t="s">
        <v>41</v>
      </c>
      <c r="G4856">
        <v>-297.67630000000003</v>
      </c>
      <c r="H4856" s="1">
        <v>-4.5464509999999997E-6</v>
      </c>
      <c r="I4856">
        <v>-0.67711259999999995</v>
      </c>
      <c r="J4856">
        <v>-314.95339999999999</v>
      </c>
      <c r="K4856">
        <v>1.0740620000000001</v>
      </c>
      <c r="L4856">
        <v>14.79227</v>
      </c>
      <c r="M4856">
        <v>0.97104950000000001</v>
      </c>
      <c r="N4856">
        <v>-2.0497120000000001E-2</v>
      </c>
      <c r="O4856">
        <v>-0.23799780000000001</v>
      </c>
      <c r="P4856">
        <v>0.87266540000000004</v>
      </c>
      <c r="Q4856">
        <v>0.1734329</v>
      </c>
      <c r="R4856">
        <v>-0.45648280000000002</v>
      </c>
      <c r="S4856">
        <v>2.3679199999999998</v>
      </c>
      <c r="T4856">
        <v>-0.14627029999999999</v>
      </c>
      <c r="U4856">
        <v>-2.109772</v>
      </c>
      <c r="V4856">
        <v>0.23910629999999999</v>
      </c>
      <c r="W4856">
        <v>0.1886659</v>
      </c>
      <c r="X4856">
        <v>0.952488</v>
      </c>
      <c r="Y4856">
        <v>0.46774120000000002</v>
      </c>
      <c r="Z4856">
        <v>-9.9707979999999995E-3</v>
      </c>
      <c r="AA4856">
        <v>0.88380919999999896</v>
      </c>
      <c r="AB4856">
        <v>25</v>
      </c>
      <c r="AC4856">
        <v>17.277099999999901</v>
      </c>
      <c r="AD4856">
        <v>-1.074066546451</v>
      </c>
      <c r="AE4856">
        <v>-15.469382599999999</v>
      </c>
      <c r="AF4856">
        <v>10.888559003728799</v>
      </c>
      <c r="AG4856">
        <v>-1.074066546451</v>
      </c>
      <c r="AH4856">
        <v>20.419094739275501</v>
      </c>
      <c r="AI4856">
        <v>92.657433781342206</v>
      </c>
      <c r="AJ4856">
        <v>61.931062835474201</v>
      </c>
      <c r="AK4856">
        <v>23.165788700050701</v>
      </c>
      <c r="AL4856">
        <v>79.125062308396494</v>
      </c>
      <c r="AM4856">
        <v>75.908043609391896</v>
      </c>
      <c r="AN4856">
        <v>1.00000001733324</v>
      </c>
    </row>
    <row r="4857" spans="1:40" x14ac:dyDescent="0.25">
      <c r="A4857" t="str">
        <f>"20190303170634413"</f>
        <v>20190303170634413</v>
      </c>
      <c r="B4857" t="str">
        <f>"1551603994399850"</f>
        <v>1551603994399850</v>
      </c>
      <c r="C4857" t="s">
        <v>40</v>
      </c>
      <c r="D4857">
        <v>5.4280039999999996</v>
      </c>
      <c r="E4857">
        <v>0.6048308</v>
      </c>
      <c r="F4857" t="s">
        <v>41</v>
      </c>
      <c r="G4857">
        <v>-297.65300000000002</v>
      </c>
      <c r="H4857" s="1">
        <v>-4.4902919999999998E-6</v>
      </c>
      <c r="I4857">
        <v>-0.80466839999999995</v>
      </c>
      <c r="J4857">
        <v>-314.84730000000002</v>
      </c>
      <c r="K4857">
        <v>1.073385</v>
      </c>
      <c r="L4857">
        <v>14.76111</v>
      </c>
      <c r="M4857">
        <v>0.96998549999999994</v>
      </c>
      <c r="N4857">
        <v>-2.0212230000000001E-2</v>
      </c>
      <c r="O4857">
        <v>-0.24232139999999999</v>
      </c>
      <c r="P4857">
        <v>0.8704655</v>
      </c>
      <c r="Q4857">
        <v>0.17379059999999999</v>
      </c>
      <c r="R4857">
        <v>-0.46052890000000002</v>
      </c>
      <c r="S4857">
        <v>2.3558349999999999</v>
      </c>
      <c r="T4857">
        <v>-0.1462581</v>
      </c>
      <c r="U4857">
        <v>-2.1238709999999998</v>
      </c>
      <c r="V4857">
        <v>0.2393168</v>
      </c>
      <c r="W4857">
        <v>0.18873190000000001</v>
      </c>
      <c r="X4857">
        <v>0.95242199999999999</v>
      </c>
      <c r="Y4857">
        <v>0.46898319999999999</v>
      </c>
      <c r="Z4857">
        <v>-9.7526130000000003E-3</v>
      </c>
      <c r="AA4857">
        <v>0.88315330000000003</v>
      </c>
      <c r="AB4857">
        <v>25</v>
      </c>
      <c r="AC4857">
        <v>17.194299999999998</v>
      </c>
      <c r="AD4857">
        <v>-1.073389490292</v>
      </c>
      <c r="AE4857">
        <v>-15.565778399999999</v>
      </c>
      <c r="AF4857">
        <v>10.9108967033675</v>
      </c>
      <c r="AG4857">
        <v>-1.073389490292</v>
      </c>
      <c r="AH4857">
        <v>20.410604962243699</v>
      </c>
      <c r="AI4857">
        <v>92.655413649620897</v>
      </c>
      <c r="AJ4857">
        <v>61.872377712518301</v>
      </c>
      <c r="AK4857">
        <v>23.168785613281401</v>
      </c>
      <c r="AL4857">
        <v>79.121211015972307</v>
      </c>
      <c r="AM4857">
        <v>75.895194158823301</v>
      </c>
      <c r="AN4857">
        <v>0.99999996346192399</v>
      </c>
    </row>
    <row r="4858" spans="1:40" x14ac:dyDescent="0.25">
      <c r="A4858" t="str">
        <f>"20190303170634424"</f>
        <v>20190303170634424</v>
      </c>
      <c r="B4858" t="str">
        <f>"1551603994420328"</f>
        <v>1551603994420328</v>
      </c>
      <c r="C4858" t="s">
        <v>40</v>
      </c>
      <c r="D4858">
        <v>5.4546159999999997</v>
      </c>
      <c r="E4858">
        <v>0.60449849999999905</v>
      </c>
      <c r="F4858" t="s">
        <v>41</v>
      </c>
      <c r="G4858">
        <v>-297.66370000000001</v>
      </c>
      <c r="H4858" s="1">
        <v>-4.4520349999999998E-6</v>
      </c>
      <c r="I4858">
        <v>-0.88157839999999998</v>
      </c>
      <c r="J4858">
        <v>-314.71820000000002</v>
      </c>
      <c r="K4858">
        <v>1.072578</v>
      </c>
      <c r="L4858">
        <v>14.722989999999999</v>
      </c>
      <c r="M4858">
        <v>0.96865860000000004</v>
      </c>
      <c r="N4858">
        <v>-1.9869250000000001E-2</v>
      </c>
      <c r="O4858">
        <v>-0.2476004</v>
      </c>
      <c r="P4858">
        <v>0.86757909999999905</v>
      </c>
      <c r="Q4858">
        <v>0.17403940000000001</v>
      </c>
      <c r="R4858">
        <v>-0.46585110000000002</v>
      </c>
      <c r="S4858">
        <v>2.3458559999999999</v>
      </c>
      <c r="T4858">
        <v>-0.14653640000000001</v>
      </c>
      <c r="U4858">
        <v>-2.1354980000000001</v>
      </c>
      <c r="V4858">
        <v>0.2399906</v>
      </c>
      <c r="W4858">
        <v>0.18862039999999999</v>
      </c>
      <c r="X4858">
        <v>0.95227459999999997</v>
      </c>
      <c r="Y4858">
        <v>0.46844819999999998</v>
      </c>
      <c r="Z4858">
        <v>-9.4049849999999994E-3</v>
      </c>
      <c r="AA4858">
        <v>0.88344089999999997</v>
      </c>
      <c r="AB4858">
        <v>25</v>
      </c>
      <c r="AC4858">
        <v>17.054500000000001</v>
      </c>
      <c r="AD4858">
        <v>-1.072582452035</v>
      </c>
      <c r="AE4858">
        <v>-15.6045684</v>
      </c>
      <c r="AF4858">
        <v>10.8715423169456</v>
      </c>
      <c r="AG4858">
        <v>-1.072582452035</v>
      </c>
      <c r="AH4858">
        <v>20.343909057263801</v>
      </c>
      <c r="AI4858">
        <v>92.662307577117005</v>
      </c>
      <c r="AJ4858">
        <v>61.880484524673697</v>
      </c>
      <c r="AK4858">
        <v>23.091459486047501</v>
      </c>
      <c r="AL4858">
        <v>79.127717052080598</v>
      </c>
      <c r="AM4858">
        <v>75.854972071061994</v>
      </c>
      <c r="AN4858">
        <v>1.0000000285948301</v>
      </c>
    </row>
    <row r="4859" spans="1:40" x14ac:dyDescent="0.25">
      <c r="A4859" t="str">
        <f>"20190303170634434"</f>
        <v>20190303170634434</v>
      </c>
      <c r="B4859" t="str">
        <f>"1551603994430088"</f>
        <v>1551603994430088</v>
      </c>
      <c r="C4859" t="s">
        <v>40</v>
      </c>
      <c r="D4859">
        <v>5.446707</v>
      </c>
      <c r="E4859">
        <v>0.60416899999999996</v>
      </c>
      <c r="F4859" t="s">
        <v>41</v>
      </c>
      <c r="G4859">
        <v>-297.5702</v>
      </c>
      <c r="H4859" s="1">
        <v>-4.3864970000000004E-6</v>
      </c>
      <c r="I4859">
        <v>-1.0553159999999999</v>
      </c>
      <c r="J4859">
        <v>-314.60329999999999</v>
      </c>
      <c r="K4859">
        <v>1.0719240000000001</v>
      </c>
      <c r="L4859">
        <v>14.68793</v>
      </c>
      <c r="M4859">
        <v>0.96742019999999995</v>
      </c>
      <c r="N4859">
        <v>-1.9584279999999999E-2</v>
      </c>
      <c r="O4859">
        <v>-0.25241750000000002</v>
      </c>
      <c r="P4859">
        <v>0.86492789999999997</v>
      </c>
      <c r="Q4859">
        <v>0.1744337</v>
      </c>
      <c r="R4859">
        <v>-0.4706091</v>
      </c>
      <c r="S4859">
        <v>2.334015</v>
      </c>
      <c r="T4859">
        <v>-0.14598910000000001</v>
      </c>
      <c r="U4859">
        <v>-2.147583</v>
      </c>
      <c r="V4859">
        <v>0.2405186</v>
      </c>
      <c r="W4859">
        <v>0.18871599999999999</v>
      </c>
      <c r="X4859">
        <v>0.95212240000000004</v>
      </c>
      <c r="Y4859">
        <v>0.468773</v>
      </c>
      <c r="Z4859">
        <v>-9.1314759999999995E-3</v>
      </c>
      <c r="AA4859">
        <v>0.88327149999999999</v>
      </c>
      <c r="AB4859">
        <v>25</v>
      </c>
      <c r="AC4859">
        <v>17.033099999999902</v>
      </c>
      <c r="AD4859">
        <v>-1.071928386497</v>
      </c>
      <c r="AE4859">
        <v>-15.743245999999999</v>
      </c>
      <c r="AF4859">
        <v>10.909677306495199</v>
      </c>
      <c r="AG4859">
        <v>-1.071928386497</v>
      </c>
      <c r="AH4859">
        <v>20.4123617419149</v>
      </c>
      <c r="AI4859">
        <v>92.651692754211595</v>
      </c>
      <c r="AJ4859">
        <v>61.877090117785897</v>
      </c>
      <c r="AK4859">
        <v>23.1696914368842</v>
      </c>
      <c r="AL4859">
        <v>79.122139037281002</v>
      </c>
      <c r="AM4859">
        <v>75.822930329382203</v>
      </c>
      <c r="AN4859">
        <v>0.99999999509185999</v>
      </c>
    </row>
    <row r="4860" spans="1:40" x14ac:dyDescent="0.25">
      <c r="A4860" t="str">
        <f>"20190303170634447"</f>
        <v>20190303170634447</v>
      </c>
      <c r="B4860" t="str">
        <f>"1551603994439848"</f>
        <v>1551603994439848</v>
      </c>
      <c r="C4860" t="s">
        <v>40</v>
      </c>
      <c r="D4860">
        <v>5.4446599999999998</v>
      </c>
      <c r="E4860">
        <v>0.60384799999999905</v>
      </c>
      <c r="F4860" t="s">
        <v>41</v>
      </c>
      <c r="G4860">
        <v>-297.56700000000001</v>
      </c>
      <c r="H4860" s="1">
        <v>-4.3508080000000001E-6</v>
      </c>
      <c r="I4860">
        <v>-1.1320170000000001</v>
      </c>
      <c r="J4860">
        <v>-314.47680000000003</v>
      </c>
      <c r="K4860">
        <v>1.0712330000000001</v>
      </c>
      <c r="L4860">
        <v>14.648899999999999</v>
      </c>
      <c r="M4860">
        <v>0.96601700000000001</v>
      </c>
      <c r="N4860">
        <v>-1.927883E-2</v>
      </c>
      <c r="O4860">
        <v>-0.2577585</v>
      </c>
      <c r="P4860">
        <v>0.8618538</v>
      </c>
      <c r="Q4860">
        <v>0.17509129999999901</v>
      </c>
      <c r="R4860">
        <v>-0.47597420000000001</v>
      </c>
      <c r="S4860">
        <v>2.3238829999999999</v>
      </c>
      <c r="T4860">
        <v>-0.14621899999999999</v>
      </c>
      <c r="U4860">
        <v>-2.157959</v>
      </c>
      <c r="V4860">
        <v>0.2412309</v>
      </c>
      <c r="W4860">
        <v>0.18904889999999999</v>
      </c>
      <c r="X4860">
        <v>0.95187619999999895</v>
      </c>
      <c r="Y4860">
        <v>0.46794039999999998</v>
      </c>
      <c r="Z4860">
        <v>-8.7819939999999996E-3</v>
      </c>
      <c r="AA4860">
        <v>0.88371639999999996</v>
      </c>
      <c r="AB4860">
        <v>25</v>
      </c>
      <c r="AC4860">
        <v>16.909800000000001</v>
      </c>
      <c r="AD4860">
        <v>-1.071237350808</v>
      </c>
      <c r="AE4860">
        <v>-15.780917000000001</v>
      </c>
      <c r="AF4860">
        <v>10.8647079927724</v>
      </c>
      <c r="AG4860">
        <v>-1.071237350808</v>
      </c>
      <c r="AH4860">
        <v>20.362933537583299</v>
      </c>
      <c r="AI4860">
        <v>92.657413361505107</v>
      </c>
      <c r="AJ4860">
        <v>61.917707053434697</v>
      </c>
      <c r="AK4860">
        <v>23.104945173836999</v>
      </c>
      <c r="AL4860">
        <v>79.1027164375582</v>
      </c>
      <c r="AM4860">
        <v>75.779116579949005</v>
      </c>
      <c r="AN4860">
        <v>1.0000000669162199</v>
      </c>
    </row>
    <row r="4861" spans="1:40" x14ac:dyDescent="0.25">
      <c r="A4861" t="str">
        <f>"20190303170634469"</f>
        <v>20190303170634469</v>
      </c>
      <c r="B4861" t="str">
        <f>"1551603994460344"</f>
        <v>1551603994460344</v>
      </c>
      <c r="C4861" t="s">
        <v>40</v>
      </c>
      <c r="D4861">
        <v>5.4535019999999896</v>
      </c>
      <c r="E4861">
        <v>0.60340079999999996</v>
      </c>
      <c r="F4861" t="s">
        <v>41</v>
      </c>
      <c r="G4861">
        <v>-297.5573</v>
      </c>
      <c r="H4861" s="1">
        <v>-4.308488E-6</v>
      </c>
      <c r="I4861">
        <v>-1.2251540000000001</v>
      </c>
      <c r="J4861">
        <v>-314.24130000000002</v>
      </c>
      <c r="K4861">
        <v>1.0700780000000001</v>
      </c>
      <c r="L4861">
        <v>14.573700000000001</v>
      </c>
      <c r="M4861">
        <v>0.96325550000000004</v>
      </c>
      <c r="N4861">
        <v>-1.875543E-2</v>
      </c>
      <c r="O4861">
        <v>-0.26793090000000003</v>
      </c>
      <c r="P4861">
        <v>0.85620490000000005</v>
      </c>
      <c r="Q4861">
        <v>0.17574919999999999</v>
      </c>
      <c r="R4861">
        <v>-0.48582500000000001</v>
      </c>
      <c r="S4861">
        <v>2.3124389999999999</v>
      </c>
      <c r="T4861">
        <v>-0.14640929999999999</v>
      </c>
      <c r="U4861">
        <v>-2.169556</v>
      </c>
      <c r="V4861">
        <v>0.24217379999999999</v>
      </c>
      <c r="W4861">
        <v>0.18915709999999999</v>
      </c>
      <c r="X4861">
        <v>0.95161519999999999</v>
      </c>
      <c r="Y4861">
        <v>0.4631786</v>
      </c>
      <c r="Z4861">
        <v>-8.0180059999999994E-3</v>
      </c>
      <c r="AA4861">
        <v>0.88622869999999998</v>
      </c>
      <c r="AB4861">
        <v>25</v>
      </c>
      <c r="AC4861">
        <v>16.684000000000001</v>
      </c>
      <c r="AD4861">
        <v>-1.070082308488</v>
      </c>
      <c r="AE4861">
        <v>-15.798854</v>
      </c>
      <c r="AF4861">
        <v>10.7268003353532</v>
      </c>
      <c r="AG4861">
        <v>-1.070082308488</v>
      </c>
      <c r="AH4861">
        <v>20.2635800159638</v>
      </c>
      <c r="AI4861">
        <v>92.672177599533399</v>
      </c>
      <c r="AJ4861">
        <v>62.104887449370501</v>
      </c>
      <c r="AK4861">
        <v>22.952603265094801</v>
      </c>
      <c r="AL4861">
        <v>79.096402644643504</v>
      </c>
      <c r="AM4861">
        <v>75.722043904182598</v>
      </c>
      <c r="AN4861">
        <v>1.0000000233789399</v>
      </c>
    </row>
    <row r="4862" spans="1:40" x14ac:dyDescent="0.25">
      <c r="A4862" t="str">
        <f>"20190303170634482"</f>
        <v>20190303170634482</v>
      </c>
      <c r="B4862" t="str">
        <f>"1551603994470104"</f>
        <v>1551603994470104</v>
      </c>
      <c r="C4862" t="s">
        <v>40</v>
      </c>
      <c r="D4862">
        <v>5.4643639999999998</v>
      </c>
      <c r="E4862">
        <v>0.60319659999999997</v>
      </c>
      <c r="F4862" t="s">
        <v>41</v>
      </c>
      <c r="G4862">
        <v>-297.79180000000002</v>
      </c>
      <c r="H4862" s="1">
        <v>-4.2932249999999999E-6</v>
      </c>
      <c r="I4862">
        <v>-1.1694770000000001</v>
      </c>
      <c r="J4862">
        <v>-314.09460000000001</v>
      </c>
      <c r="K4862">
        <v>1.0694189999999999</v>
      </c>
      <c r="L4862">
        <v>14.52563</v>
      </c>
      <c r="M4862">
        <v>0.96144839999999998</v>
      </c>
      <c r="N4862">
        <v>-1.84507E-2</v>
      </c>
      <c r="O4862">
        <v>-0.2743659</v>
      </c>
      <c r="P4862">
        <v>0.85293669999999999</v>
      </c>
      <c r="Q4862">
        <v>0.1755555</v>
      </c>
      <c r="R4862">
        <v>-0.49160930000000003</v>
      </c>
      <c r="S4862">
        <v>2.2905579999999999</v>
      </c>
      <c r="T4862">
        <v>-0.14900639999999901</v>
      </c>
      <c r="U4862">
        <v>-2.1922000000000001</v>
      </c>
      <c r="V4862">
        <v>0.24224870000000001</v>
      </c>
      <c r="W4862">
        <v>0.18865319999999999</v>
      </c>
      <c r="X4862">
        <v>0.95169619999999999</v>
      </c>
      <c r="Y4862">
        <v>0.46604269999999998</v>
      </c>
      <c r="Z4862">
        <v>-7.7335950000000002E-3</v>
      </c>
      <c r="AA4862">
        <v>0.88472839999999997</v>
      </c>
      <c r="AB4862">
        <v>25</v>
      </c>
      <c r="AC4862">
        <v>16.302799999999898</v>
      </c>
      <c r="AD4862">
        <v>-1.0694232932250001</v>
      </c>
      <c r="AE4862">
        <v>-15.695107</v>
      </c>
      <c r="AF4862">
        <v>10.5952488104389</v>
      </c>
      <c r="AG4862">
        <v>-1.0694232932250001</v>
      </c>
      <c r="AH4862">
        <v>19.939375147035001</v>
      </c>
      <c r="AI4862">
        <v>92.711638299660805</v>
      </c>
      <c r="AJ4862">
        <v>62.0150224696336</v>
      </c>
      <c r="AK4862">
        <v>22.6049031139131</v>
      </c>
      <c r="AL4862">
        <v>79.125803738080407</v>
      </c>
      <c r="AM4862">
        <v>75.718974476959801</v>
      </c>
      <c r="AN4862">
        <v>1.00000005980818</v>
      </c>
    </row>
    <row r="4863" spans="1:40" x14ac:dyDescent="0.25">
      <c r="A4863" t="str">
        <f>"20190303170634496"</f>
        <v>20190303170634496</v>
      </c>
      <c r="B4863" t="str">
        <f>"1551603994489624"</f>
        <v>1551603994489624</v>
      </c>
      <c r="C4863" t="s">
        <v>40</v>
      </c>
      <c r="D4863">
        <v>5.481681</v>
      </c>
      <c r="E4863">
        <v>0.60281940000000001</v>
      </c>
      <c r="F4863" t="s">
        <v>41</v>
      </c>
      <c r="G4863">
        <v>-297.84719999999999</v>
      </c>
      <c r="H4863" s="1">
        <v>-4.2582059999999999E-6</v>
      </c>
      <c r="I4863">
        <v>-1.2227429999999999</v>
      </c>
      <c r="J4863">
        <v>-313.95179999999999</v>
      </c>
      <c r="K4863">
        <v>1.0688439999999999</v>
      </c>
      <c r="L4863">
        <v>14.477169999999999</v>
      </c>
      <c r="M4863">
        <v>0.95960579999999995</v>
      </c>
      <c r="N4863">
        <v>-1.8180120000000001E-2</v>
      </c>
      <c r="O4863">
        <v>-0.28076000000000001</v>
      </c>
      <c r="P4863">
        <v>0.84962819999999994</v>
      </c>
      <c r="Q4863">
        <v>0.17546310000000001</v>
      </c>
      <c r="R4863">
        <v>-0.49733830000000001</v>
      </c>
      <c r="S4863">
        <v>2.276367</v>
      </c>
      <c r="T4863">
        <v>-0.1498332</v>
      </c>
      <c r="U4863">
        <v>-2.2064509999999999</v>
      </c>
      <c r="V4863">
        <v>0.24232390000000001</v>
      </c>
      <c r="W4863">
        <v>0.18828139999999999</v>
      </c>
      <c r="X4863">
        <v>0.9517506</v>
      </c>
      <c r="Y4863">
        <v>0.4657713</v>
      </c>
      <c r="Z4863">
        <v>-7.3592149999999997E-3</v>
      </c>
      <c r="AA4863">
        <v>0.88487450000000001</v>
      </c>
      <c r="AB4863">
        <v>25</v>
      </c>
      <c r="AC4863">
        <v>16.104600000000001</v>
      </c>
      <c r="AD4863">
        <v>-1.0688482582059999</v>
      </c>
      <c r="AE4863">
        <v>-15.699913</v>
      </c>
      <c r="AF4863">
        <v>10.522179078865999</v>
      </c>
      <c r="AG4863">
        <v>-1.0688482582059999</v>
      </c>
      <c r="AH4863">
        <v>19.820494464928998</v>
      </c>
      <c r="AI4863">
        <v>92.726976602777697</v>
      </c>
      <c r="AJ4863">
        <v>62.037343393841503</v>
      </c>
      <c r="AK4863">
        <v>22.465767069056</v>
      </c>
      <c r="AL4863">
        <v>79.1474941654036</v>
      </c>
      <c r="AM4863">
        <v>75.715505814177106</v>
      </c>
      <c r="AN4863">
        <v>0.999999981348764</v>
      </c>
    </row>
    <row r="4864" spans="1:40" x14ac:dyDescent="0.25">
      <c r="A4864" t="str">
        <f>"20190303170634508"</f>
        <v>20190303170634508</v>
      </c>
      <c r="B4864" t="str">
        <f>"1551603994500360"</f>
        <v>1551603994500360</v>
      </c>
      <c r="C4864" t="s">
        <v>40</v>
      </c>
      <c r="D4864">
        <v>5.4946229999999998</v>
      </c>
      <c r="E4864">
        <v>0.60260780000000003</v>
      </c>
      <c r="F4864" t="s">
        <v>41</v>
      </c>
      <c r="G4864">
        <v>-297.99889999999999</v>
      </c>
      <c r="H4864" s="1">
        <v>-4.2554470000000002E-6</v>
      </c>
      <c r="I4864">
        <v>-1.1716580000000001</v>
      </c>
      <c r="J4864">
        <v>-313.81959999999998</v>
      </c>
      <c r="K4864">
        <v>1.0683339999999999</v>
      </c>
      <c r="L4864">
        <v>14.431609999999999</v>
      </c>
      <c r="M4864">
        <v>0.957843</v>
      </c>
      <c r="N4864">
        <v>-1.7941200000000001E-2</v>
      </c>
      <c r="O4864">
        <v>-0.28673120000000002</v>
      </c>
      <c r="P4864">
        <v>0.84647909999999904</v>
      </c>
      <c r="Q4864">
        <v>0.17469589999999999</v>
      </c>
      <c r="R4864">
        <v>-0.5029458</v>
      </c>
      <c r="S4864">
        <v>2.2629090000000001</v>
      </c>
      <c r="T4864">
        <v>-0.15161620000000001</v>
      </c>
      <c r="U4864">
        <v>-2.2197879999999999</v>
      </c>
      <c r="V4864">
        <v>0.24264569999999999</v>
      </c>
      <c r="W4864">
        <v>0.18726039999999999</v>
      </c>
      <c r="X4864">
        <v>0.95187010000000005</v>
      </c>
      <c r="Y4864">
        <v>0.46554849999999998</v>
      </c>
      <c r="Z4864">
        <v>-6.9951630000000004E-3</v>
      </c>
      <c r="AA4864">
        <v>0.88499470000000002</v>
      </c>
      <c r="AB4864">
        <v>25</v>
      </c>
      <c r="AC4864">
        <v>15.820699999999899</v>
      </c>
      <c r="AD4864">
        <v>-1.068338255447</v>
      </c>
      <c r="AE4864">
        <v>-15.603268</v>
      </c>
      <c r="AF4864">
        <v>10.386859229560001</v>
      </c>
      <c r="AG4864">
        <v>-1.068338255447</v>
      </c>
      <c r="AH4864">
        <v>19.5855781992883</v>
      </c>
      <c r="AI4864">
        <v>92.758937646758199</v>
      </c>
      <c r="AJ4864">
        <v>62.061560824724097</v>
      </c>
      <c r="AK4864">
        <v>22.195113531657899</v>
      </c>
      <c r="AL4864">
        <v>79.207053176635299</v>
      </c>
      <c r="AM4864">
        <v>75.699036106631397</v>
      </c>
      <c r="AN4864">
        <v>1.00000004020532</v>
      </c>
    </row>
    <row r="4865" spans="1:40" x14ac:dyDescent="0.25">
      <c r="A4865" t="str">
        <f>"20190303170634520"</f>
        <v>20190303170634520</v>
      </c>
      <c r="B4865" t="str">
        <f>"1551603994510120"</f>
        <v>1551603994510120</v>
      </c>
      <c r="C4865" t="s">
        <v>40</v>
      </c>
      <c r="D4865">
        <v>5.4923549999999999</v>
      </c>
      <c r="E4865">
        <v>0.60248080000000004</v>
      </c>
      <c r="F4865" t="s">
        <v>41</v>
      </c>
      <c r="G4865">
        <v>-298.24340000000001</v>
      </c>
      <c r="H4865" s="1">
        <v>-4.2748579999999996E-6</v>
      </c>
      <c r="I4865">
        <v>-1.038843</v>
      </c>
      <c r="J4865">
        <v>-313.68950000000001</v>
      </c>
      <c r="K4865">
        <v>1.06786</v>
      </c>
      <c r="L4865">
        <v>14.385960000000001</v>
      </c>
      <c r="M4865">
        <v>0.95604900000000004</v>
      </c>
      <c r="N4865">
        <v>-1.771911E-2</v>
      </c>
      <c r="O4865">
        <v>-0.29267120000000002</v>
      </c>
      <c r="P4865">
        <v>0.84322180000000002</v>
      </c>
      <c r="Q4865">
        <v>0.1743208</v>
      </c>
      <c r="R4865">
        <v>-0.508517</v>
      </c>
      <c r="S4865">
        <v>2.2488100000000002</v>
      </c>
      <c r="T4865">
        <v>-0.15424160000000001</v>
      </c>
      <c r="U4865">
        <v>-2.2335509999999998</v>
      </c>
      <c r="V4865">
        <v>0.2430022</v>
      </c>
      <c r="W4865">
        <v>0.18664210000000001</v>
      </c>
      <c r="X4865">
        <v>0.95190050000000004</v>
      </c>
      <c r="Y4865">
        <v>0.4655511</v>
      </c>
      <c r="Z4865">
        <v>-6.6240250000000004E-3</v>
      </c>
      <c r="AA4865">
        <v>0.88499619999999901</v>
      </c>
      <c r="AB4865">
        <v>25</v>
      </c>
      <c r="AC4865">
        <v>15.446099999999999</v>
      </c>
      <c r="AD4865">
        <v>-1.0678642748580001</v>
      </c>
      <c r="AE4865">
        <v>-15.424803000000001</v>
      </c>
      <c r="AF4865">
        <v>10.2034261824854</v>
      </c>
      <c r="AG4865">
        <v>-1.0678642748580001</v>
      </c>
      <c r="AH4865">
        <v>19.238610644203899</v>
      </c>
      <c r="AI4865">
        <v>92.807337254429001</v>
      </c>
      <c r="AJ4865">
        <v>62.0602244006189</v>
      </c>
      <c r="AK4865">
        <v>21.803081880555801</v>
      </c>
      <c r="AL4865">
        <v>79.2431139976797</v>
      </c>
      <c r="AM4865">
        <v>75.679327048926893</v>
      </c>
      <c r="AN4865">
        <v>0.99999995229874805</v>
      </c>
    </row>
    <row r="4866" spans="1:40" x14ac:dyDescent="0.25">
      <c r="A4866" t="str">
        <f>"20190303170634535"</f>
        <v>20190303170634535</v>
      </c>
      <c r="B4866" t="str">
        <f>"1551603994529640"</f>
        <v>1551603994529640</v>
      </c>
      <c r="C4866" t="s">
        <v>40</v>
      </c>
      <c r="D4866">
        <v>5.5029919999999999</v>
      </c>
      <c r="E4866">
        <v>0.60013249999999996</v>
      </c>
      <c r="F4866" t="s">
        <v>41</v>
      </c>
      <c r="G4866">
        <v>-298.35250000000002</v>
      </c>
      <c r="H4866" s="1">
        <v>-4.25304E-6</v>
      </c>
      <c r="I4866">
        <v>-1.0440579999999999</v>
      </c>
      <c r="J4866">
        <v>-313.536</v>
      </c>
      <c r="K4866">
        <v>1.0673459999999999</v>
      </c>
      <c r="L4866">
        <v>14.3303799999999</v>
      </c>
      <c r="M4866">
        <v>0.95383819999999997</v>
      </c>
      <c r="N4866">
        <v>-1.7480880000000001E-2</v>
      </c>
      <c r="O4866">
        <v>-0.29981200000000002</v>
      </c>
      <c r="P4866">
        <v>0.83872219999999997</v>
      </c>
      <c r="Q4866">
        <v>0.17420739999999901</v>
      </c>
      <c r="R4866">
        <v>-0.51594300000000004</v>
      </c>
      <c r="S4866">
        <v>2.2343139999999999</v>
      </c>
      <c r="T4866">
        <v>-0.15556789999999901</v>
      </c>
      <c r="U4866">
        <v>-2.2478639999999999</v>
      </c>
      <c r="V4866">
        <v>0.24430830000000001</v>
      </c>
      <c r="W4866">
        <v>0.1862364</v>
      </c>
      <c r="X4866">
        <v>0.95164570000000004</v>
      </c>
      <c r="Y4866">
        <v>0.46462700000000001</v>
      </c>
      <c r="Z4866">
        <v>-6.1770929999999998E-3</v>
      </c>
      <c r="AA4866">
        <v>0.88548490000000002</v>
      </c>
      <c r="AB4866">
        <v>25</v>
      </c>
      <c r="AC4866">
        <v>15.183499999999899</v>
      </c>
      <c r="AD4866">
        <v>-1.0673502530400001</v>
      </c>
      <c r="AE4866">
        <v>-15.3744379999999</v>
      </c>
      <c r="AF4866">
        <v>10.0894579147316</v>
      </c>
      <c r="AG4866">
        <v>-1.0673502530400001</v>
      </c>
      <c r="AH4866">
        <v>19.048482718635402</v>
      </c>
      <c r="AI4866">
        <v>92.8347571482512</v>
      </c>
      <c r="AJ4866">
        <v>62.091060570378303</v>
      </c>
      <c r="AK4866">
        <v>21.5819621781236</v>
      </c>
      <c r="AL4866">
        <v>79.266774689971101</v>
      </c>
      <c r="AM4866">
        <v>75.601851898044004</v>
      </c>
      <c r="AN4866">
        <v>1.00000004023116</v>
      </c>
    </row>
    <row r="4867" spans="1:40" x14ac:dyDescent="0.25">
      <c r="A4867" t="str">
        <f>"20190303170634547"</f>
        <v>20190303170634547</v>
      </c>
      <c r="B4867" t="str">
        <f>"1551603994539400"</f>
        <v>1551603994539400</v>
      </c>
      <c r="C4867" t="s">
        <v>40</v>
      </c>
      <c r="D4867">
        <v>5.4918550000000002</v>
      </c>
      <c r="E4867">
        <v>0.59998280000000004</v>
      </c>
      <c r="F4867" t="s">
        <v>43</v>
      </c>
      <c r="G4867">
        <v>-299.40800000000002</v>
      </c>
      <c r="H4867">
        <v>-0.05</v>
      </c>
      <c r="I4867">
        <v>5.7464599999999998E-2</v>
      </c>
      <c r="J4867">
        <v>-313.41809999999998</v>
      </c>
      <c r="K4867">
        <v>1.0669729999999999</v>
      </c>
      <c r="L4867">
        <v>14.286989999999999</v>
      </c>
      <c r="M4867">
        <v>0.95208499999999996</v>
      </c>
      <c r="N4867">
        <v>-1.7307320000000001E-2</v>
      </c>
      <c r="O4867">
        <v>-0.3053437</v>
      </c>
      <c r="P4867">
        <v>0.83520839999999996</v>
      </c>
      <c r="Q4867">
        <v>0.17440240000000001</v>
      </c>
      <c r="R4867">
        <v>-0.52154679999999998</v>
      </c>
      <c r="S4867">
        <v>2.2285159999999999</v>
      </c>
      <c r="T4867">
        <v>-0.1762474</v>
      </c>
      <c r="U4867">
        <v>-2.2513730000000001</v>
      </c>
      <c r="V4867">
        <v>0.24519440000000001</v>
      </c>
      <c r="W4867">
        <v>0.18621570000000001</v>
      </c>
      <c r="X4867">
        <v>0.95142179999999998</v>
      </c>
      <c r="Y4867">
        <v>0.46123359999999902</v>
      </c>
      <c r="Z4867">
        <v>-5.2764489999999999E-3</v>
      </c>
      <c r="AA4867">
        <v>0.88726309999999997</v>
      </c>
      <c r="AB4867">
        <v>25</v>
      </c>
      <c r="AC4867">
        <v>14.0100999999999</v>
      </c>
      <c r="AD4867">
        <v>-1.116973</v>
      </c>
      <c r="AE4867">
        <v>-14.2295254</v>
      </c>
      <c r="AF4867">
        <v>9.2422929686327002</v>
      </c>
      <c r="AG4867">
        <v>-1.116973</v>
      </c>
      <c r="AH4867">
        <v>17.631186016232899</v>
      </c>
      <c r="AI4867">
        <v>93.211513793323405</v>
      </c>
      <c r="AJ4867">
        <v>62.336407310928799</v>
      </c>
      <c r="AK4867">
        <v>19.938062301532</v>
      </c>
      <c r="AL4867">
        <v>79.267981512968305</v>
      </c>
      <c r="AM4867">
        <v>75.548554566648605</v>
      </c>
      <c r="AN4867">
        <v>1.0000000111165399</v>
      </c>
    </row>
    <row r="4868" spans="1:40" x14ac:dyDescent="0.25">
      <c r="A4868" t="str">
        <f>"20190303170634557"</f>
        <v>20190303170634557</v>
      </c>
      <c r="B4868" t="str">
        <f>"1551603994550137"</f>
        <v>1551603994550137</v>
      </c>
      <c r="C4868" t="s">
        <v>40</v>
      </c>
      <c r="D4868">
        <v>5.5081009999999999</v>
      </c>
      <c r="E4868">
        <v>0.59986159999999999</v>
      </c>
      <c r="F4868" t="s">
        <v>43</v>
      </c>
      <c r="G4868">
        <v>-299.15190000000001</v>
      </c>
      <c r="H4868">
        <v>-0.05</v>
      </c>
      <c r="I4868">
        <v>-0.30645749999999999</v>
      </c>
      <c r="J4868">
        <v>-313.30149999999998</v>
      </c>
      <c r="K4868">
        <v>1.066627</v>
      </c>
      <c r="L4868">
        <v>14.243130000000001</v>
      </c>
      <c r="M4868">
        <v>0.95029260000000004</v>
      </c>
      <c r="N4868">
        <v>-1.7148480000000001E-2</v>
      </c>
      <c r="O4868">
        <v>-0.31088579999999999</v>
      </c>
      <c r="P4868">
        <v>0.83173079999999999</v>
      </c>
      <c r="Q4868">
        <v>0.1751037</v>
      </c>
      <c r="R4868">
        <v>-0.52684219999999904</v>
      </c>
      <c r="S4868">
        <v>2.2138979999999999</v>
      </c>
      <c r="T4868">
        <v>-0.17333709999999999</v>
      </c>
      <c r="U4868">
        <v>-2.2646790000000001</v>
      </c>
      <c r="V4868">
        <v>0.24577850000000001</v>
      </c>
      <c r="W4868">
        <v>0.18671889999999999</v>
      </c>
      <c r="X4868">
        <v>0.95117249999999998</v>
      </c>
      <c r="Y4868">
        <v>0.46162069999999999</v>
      </c>
      <c r="Z4868">
        <v>-5.0326609999999999E-3</v>
      </c>
      <c r="AA4868">
        <v>0.88706309999999999</v>
      </c>
      <c r="AB4868">
        <v>25</v>
      </c>
      <c r="AC4868">
        <v>14.1495999999999</v>
      </c>
      <c r="AD4868">
        <v>-1.116627</v>
      </c>
      <c r="AE4868">
        <v>-14.549587499999999</v>
      </c>
      <c r="AF4868">
        <v>9.4003860892155995</v>
      </c>
      <c r="AG4868">
        <v>-1.116627</v>
      </c>
      <c r="AH4868">
        <v>17.917923531399399</v>
      </c>
      <c r="AI4868">
        <v>93.158685177071206</v>
      </c>
      <c r="AJ4868">
        <v>62.316883123904503</v>
      </c>
      <c r="AK4868">
        <v>20.2648981778968</v>
      </c>
      <c r="AL4868">
        <v>79.238636243293101</v>
      </c>
      <c r="AM4868">
        <v>75.511938376649098</v>
      </c>
      <c r="AN4868">
        <v>1.0000000717178501</v>
      </c>
    </row>
    <row r="4869" spans="1:40" x14ac:dyDescent="0.25">
      <c r="A4869" t="str">
        <f>"20190303170634569"</f>
        <v>20190303170634569</v>
      </c>
      <c r="B4869" t="str">
        <f>"1551603994559896"</f>
        <v>1551603994559896</v>
      </c>
      <c r="C4869" t="s">
        <v>40</v>
      </c>
      <c r="D4869">
        <v>5.5134129999999999</v>
      </c>
      <c r="E4869">
        <v>0.59987460000000004</v>
      </c>
      <c r="F4869" t="s">
        <v>43</v>
      </c>
      <c r="G4869">
        <v>-299.05290000000002</v>
      </c>
      <c r="H4869">
        <v>-0.05</v>
      </c>
      <c r="I4869">
        <v>-0.50585939999999996</v>
      </c>
      <c r="J4869">
        <v>-313.18090000000001</v>
      </c>
      <c r="K4869">
        <v>1.066289</v>
      </c>
      <c r="L4869">
        <v>14.196870000000001</v>
      </c>
      <c r="M4869">
        <v>0.94838080000000002</v>
      </c>
      <c r="N4869">
        <v>-1.6994080000000002E-2</v>
      </c>
      <c r="O4869">
        <v>-0.31667859999999998</v>
      </c>
      <c r="P4869">
        <v>0.82823340000000001</v>
      </c>
      <c r="Q4869">
        <v>0.17569849999999901</v>
      </c>
      <c r="R4869">
        <v>-0.53212740000000003</v>
      </c>
      <c r="S4869">
        <v>2.2004700000000001</v>
      </c>
      <c r="T4869">
        <v>-0.17244479999999901</v>
      </c>
      <c r="U4869">
        <v>-2.2777400000000001</v>
      </c>
      <c r="V4869">
        <v>0.2461071</v>
      </c>
      <c r="W4869">
        <v>0.18712309999999999</v>
      </c>
      <c r="X4869">
        <v>0.95100799999999996</v>
      </c>
      <c r="Y4869">
        <v>0.46146930000000003</v>
      </c>
      <c r="Z4869">
        <v>-4.7143360000000004E-3</v>
      </c>
      <c r="AA4869">
        <v>0.88714369999999998</v>
      </c>
      <c r="AB4869">
        <v>25</v>
      </c>
      <c r="AC4869">
        <v>14.127999999999901</v>
      </c>
      <c r="AD4869">
        <v>-1.1162889999999901</v>
      </c>
      <c r="AE4869">
        <v>-14.7027293999999</v>
      </c>
      <c r="AF4869">
        <v>9.4428164727701596</v>
      </c>
      <c r="AG4869">
        <v>-1.1162889999999901</v>
      </c>
      <c r="AH4869">
        <v>18.003411066419599</v>
      </c>
      <c r="AI4869">
        <v>93.1429403208476</v>
      </c>
      <c r="AJ4869">
        <v>62.322921429275198</v>
      </c>
      <c r="AK4869">
        <v>20.360149658006499</v>
      </c>
      <c r="AL4869">
        <v>79.215060872206607</v>
      </c>
      <c r="AM4869">
        <v>75.490981557321803</v>
      </c>
      <c r="AN4869">
        <v>0.99999998764400899</v>
      </c>
    </row>
    <row r="4870" spans="1:40" x14ac:dyDescent="0.25">
      <c r="A4870" t="str">
        <f>"20190303170634581"</f>
        <v>20190303170634581</v>
      </c>
      <c r="B4870" t="str">
        <f>"1551603994569657"</f>
        <v>1551603994569657</v>
      </c>
      <c r="C4870" t="s">
        <v>40</v>
      </c>
      <c r="D4870">
        <v>5.5656319999999999</v>
      </c>
      <c r="E4870">
        <v>0.59987460000000004</v>
      </c>
      <c r="F4870" t="s">
        <v>43</v>
      </c>
      <c r="G4870">
        <v>-298.91340000000002</v>
      </c>
      <c r="H4870">
        <v>-0.05</v>
      </c>
      <c r="I4870">
        <v>-0.76506039999999997</v>
      </c>
      <c r="J4870">
        <v>-313.06290000000001</v>
      </c>
      <c r="K4870">
        <v>1.065977</v>
      </c>
      <c r="L4870">
        <v>14.15091</v>
      </c>
      <c r="M4870">
        <v>0.94645659999999998</v>
      </c>
      <c r="N4870">
        <v>-1.6850199999999999E-2</v>
      </c>
      <c r="O4870">
        <v>-0.32239099999999998</v>
      </c>
      <c r="P4870">
        <v>0.82494849999999997</v>
      </c>
      <c r="Q4870">
        <v>0.17595060000000001</v>
      </c>
      <c r="R4870">
        <v>-0.53712360000000003</v>
      </c>
      <c r="S4870">
        <v>2.1857600000000001</v>
      </c>
      <c r="T4870">
        <v>-0.17101379999999999</v>
      </c>
      <c r="U4870">
        <v>-2.2921450000000001</v>
      </c>
      <c r="V4870">
        <v>0.2461671</v>
      </c>
      <c r="W4870">
        <v>0.1872028</v>
      </c>
      <c r="X4870">
        <v>0.95097679999999996</v>
      </c>
      <c r="Y4870">
        <v>0.46190229999999999</v>
      </c>
      <c r="Z4870">
        <v>-4.4457849999999998E-3</v>
      </c>
      <c r="AA4870">
        <v>0.88691969999999998</v>
      </c>
      <c r="AB4870">
        <v>24</v>
      </c>
      <c r="AC4870">
        <v>14.1494999999999</v>
      </c>
      <c r="AD4870">
        <v>-1.115977</v>
      </c>
      <c r="AE4870">
        <v>-14.9159703999999</v>
      </c>
      <c r="AF4870">
        <v>9.5289285872753595</v>
      </c>
      <c r="AG4870">
        <v>-1.115977</v>
      </c>
      <c r="AH4870">
        <v>18.149771320017202</v>
      </c>
      <c r="AI4870">
        <v>93.116117119894895</v>
      </c>
      <c r="AJ4870">
        <v>62.2997881319531</v>
      </c>
      <c r="AK4870">
        <v>20.529493019917499</v>
      </c>
      <c r="AL4870">
        <v>79.210412406707505</v>
      </c>
      <c r="AM4870">
        <v>75.487137631980204</v>
      </c>
      <c r="AN4870">
        <v>1.0000000017942401</v>
      </c>
    </row>
    <row r="4871" spans="1:40" x14ac:dyDescent="0.25">
      <c r="A4871" t="str">
        <f>"20190303170634593"</f>
        <v>20190303170634593</v>
      </c>
      <c r="B4871" t="str">
        <f>"1551603994579416"</f>
        <v>1551603994579416</v>
      </c>
      <c r="C4871" t="s">
        <v>40</v>
      </c>
      <c r="D4871">
        <v>5.5924019999999999</v>
      </c>
      <c r="E4871">
        <v>0.61703050000000004</v>
      </c>
      <c r="F4871" t="s">
        <v>43</v>
      </c>
      <c r="G4871">
        <v>-298.75360000000001</v>
      </c>
      <c r="H4871">
        <v>-0.05</v>
      </c>
      <c r="I4871">
        <v>-1.047531</v>
      </c>
      <c r="J4871">
        <v>-312.94159999999999</v>
      </c>
      <c r="K4871">
        <v>1.0656859999999999</v>
      </c>
      <c r="L4871">
        <v>14.10242</v>
      </c>
      <c r="M4871">
        <v>0.94440780000000002</v>
      </c>
      <c r="N4871">
        <v>-1.671591E-2</v>
      </c>
      <c r="O4871">
        <v>-0.32835150000000002</v>
      </c>
      <c r="P4871">
        <v>0.82145990000000002</v>
      </c>
      <c r="Q4871">
        <v>0.1758422</v>
      </c>
      <c r="R4871">
        <v>-0.54247880000000004</v>
      </c>
      <c r="S4871">
        <v>2.1712039999999999</v>
      </c>
      <c r="T4871">
        <v>-0.16933190000000001</v>
      </c>
      <c r="U4871">
        <v>-2.3061219999999998</v>
      </c>
      <c r="V4871">
        <v>0.2463746</v>
      </c>
      <c r="W4871">
        <v>0.18692690000000001</v>
      </c>
      <c r="X4871">
        <v>0.95097730000000003</v>
      </c>
      <c r="Y4871">
        <v>0.46197880000000002</v>
      </c>
      <c r="Z4871">
        <v>-4.1685079999999996E-3</v>
      </c>
      <c r="AA4871">
        <v>0.88688120000000004</v>
      </c>
      <c r="AB4871">
        <v>24</v>
      </c>
      <c r="AC4871">
        <v>14.187999999999899</v>
      </c>
      <c r="AD4871">
        <v>-1.115686</v>
      </c>
      <c r="AE4871">
        <v>-15.149951</v>
      </c>
      <c r="AF4871">
        <v>9.6226257649852904</v>
      </c>
      <c r="AG4871">
        <v>-1.115686</v>
      </c>
      <c r="AH4871">
        <v>18.323391336382301</v>
      </c>
      <c r="AI4871">
        <v>93.085668977858703</v>
      </c>
      <c r="AJ4871">
        <v>62.293552964546599</v>
      </c>
      <c r="AK4871">
        <v>20.726465012871</v>
      </c>
      <c r="AL4871">
        <v>79.226503998541006</v>
      </c>
      <c r="AM4871">
        <v>75.475428913678002</v>
      </c>
      <c r="AN4871">
        <v>0.999999967292029</v>
      </c>
    </row>
    <row r="4872" spans="1:40" x14ac:dyDescent="0.25">
      <c r="A4872" t="str">
        <f>"20190303170634605"</f>
        <v>20190303170634605</v>
      </c>
      <c r="B4872" t="str">
        <f>"1551603994590152"</f>
        <v>1551603994590152</v>
      </c>
      <c r="C4872" t="s">
        <v>40</v>
      </c>
      <c r="D4872">
        <v>5.5404780000000002</v>
      </c>
      <c r="E4872">
        <v>0.62405279999999996</v>
      </c>
      <c r="F4872" t="s">
        <v>41</v>
      </c>
      <c r="G4872">
        <v>-298.08760000000001</v>
      </c>
      <c r="H4872" s="1">
        <v>-3.22796E-6</v>
      </c>
      <c r="I4872">
        <v>-3.3120029999999998</v>
      </c>
      <c r="J4872">
        <v>-312.8109</v>
      </c>
      <c r="K4872">
        <v>1.0653760000000001</v>
      </c>
      <c r="L4872">
        <v>14.0495</v>
      </c>
      <c r="M4872">
        <v>0.94213999999999998</v>
      </c>
      <c r="N4872">
        <v>-1.6576710000000001E-2</v>
      </c>
      <c r="O4872">
        <v>-0.33480979999999999</v>
      </c>
      <c r="P4872">
        <v>0.81760840000000001</v>
      </c>
      <c r="Q4872">
        <v>0.17572389999999999</v>
      </c>
      <c r="R4872">
        <v>-0.54830429999999997</v>
      </c>
      <c r="S4872">
        <v>2.0763850000000001</v>
      </c>
      <c r="T4872">
        <v>-0.14896870000000001</v>
      </c>
      <c r="U4872">
        <v>-2.4342959999999998</v>
      </c>
      <c r="V4872">
        <v>0.24664069999999999</v>
      </c>
      <c r="W4872">
        <v>0.1866322</v>
      </c>
      <c r="X4872">
        <v>0.95096619999999998</v>
      </c>
      <c r="Y4872">
        <v>0.49903520000000001</v>
      </c>
      <c r="Z4872">
        <v>-5.8704509999999996E-3</v>
      </c>
      <c r="AA4872">
        <v>0.86656180000000005</v>
      </c>
      <c r="AB4872">
        <v>24</v>
      </c>
      <c r="AC4872">
        <v>14.723299999999901</v>
      </c>
      <c r="AD4872">
        <v>-1.0653792279600001</v>
      </c>
      <c r="AE4872">
        <v>-17.361502999999999</v>
      </c>
      <c r="AF4872">
        <v>11.4040518754973</v>
      </c>
      <c r="AG4872">
        <v>-1.0653792279600001</v>
      </c>
      <c r="AH4872">
        <v>19.643887623442101</v>
      </c>
      <c r="AI4872">
        <v>92.685414360680397</v>
      </c>
      <c r="AJ4872">
        <v>59.863143955641902</v>
      </c>
      <c r="AK4872">
        <v>22.739167817684599</v>
      </c>
      <c r="AL4872">
        <v>79.243691490284803</v>
      </c>
      <c r="AM4872">
        <v>75.460243466481202</v>
      </c>
      <c r="AN4872">
        <v>0.99999996325788398</v>
      </c>
    </row>
    <row r="4873" spans="1:40" x14ac:dyDescent="0.25">
      <c r="A4873" t="str">
        <f>"20190303170634620"</f>
        <v>20190303170634620</v>
      </c>
      <c r="B4873" t="str">
        <f>"1551603994609672"</f>
        <v>1551603994609672</v>
      </c>
      <c r="C4873" t="s">
        <v>40</v>
      </c>
      <c r="D4873">
        <v>5.6744009999999996</v>
      </c>
      <c r="E4873">
        <v>0.63474160000000002</v>
      </c>
      <c r="F4873" t="s">
        <v>41</v>
      </c>
      <c r="G4873">
        <v>-296.81209999999999</v>
      </c>
      <c r="H4873" s="1">
        <v>-2.3393089999999998E-6</v>
      </c>
      <c r="I4873">
        <v>-5.6705699999999997</v>
      </c>
      <c r="J4873">
        <v>-312.65460000000002</v>
      </c>
      <c r="K4873">
        <v>1.065042</v>
      </c>
      <c r="L4873">
        <v>13.984439999999999</v>
      </c>
      <c r="M4873">
        <v>0.93931900000000002</v>
      </c>
      <c r="N4873">
        <v>-1.6426059999999999E-2</v>
      </c>
      <c r="O4873">
        <v>-0.3426517</v>
      </c>
      <c r="P4873">
        <v>0.812523</v>
      </c>
      <c r="Q4873">
        <v>0.1755726</v>
      </c>
      <c r="R4873">
        <v>-0.55586029999999997</v>
      </c>
      <c r="S4873">
        <v>2.0246580000000001</v>
      </c>
      <c r="T4873">
        <v>-0.13482369999999999</v>
      </c>
      <c r="U4873">
        <v>-2.4955750000000001</v>
      </c>
      <c r="V4873">
        <v>0.2475503</v>
      </c>
      <c r="W4873">
        <v>0.18627150000000001</v>
      </c>
      <c r="X4873">
        <v>0.9508006</v>
      </c>
      <c r="Y4873">
        <v>0.51313989999999998</v>
      </c>
      <c r="Z4873">
        <v>-6.4006250000000001E-3</v>
      </c>
      <c r="AA4873">
        <v>0.85828110000000002</v>
      </c>
      <c r="AB4873">
        <v>24</v>
      </c>
      <c r="AC4873">
        <v>15.842499999999999</v>
      </c>
      <c r="AD4873">
        <v>-1.0650443393089899</v>
      </c>
      <c r="AE4873">
        <v>-19.655010000000001</v>
      </c>
      <c r="AF4873">
        <v>13.012461782358001</v>
      </c>
      <c r="AG4873">
        <v>-1.0650443393089899</v>
      </c>
      <c r="AH4873">
        <v>21.5804880924656</v>
      </c>
      <c r="AI4873">
        <v>92.420086241011703</v>
      </c>
      <c r="AJ4873">
        <v>58.911137737646001</v>
      </c>
      <c r="AK4873">
        <v>25.222528568545101</v>
      </c>
      <c r="AL4873">
        <v>79.264727373900797</v>
      </c>
      <c r="AM4873">
        <v>75.406473215039796</v>
      </c>
      <c r="AN4873">
        <v>1.00000000185135</v>
      </c>
    </row>
    <row r="4874" spans="1:40" x14ac:dyDescent="0.25">
      <c r="A4874" t="str">
        <f>"20190303170634637"</f>
        <v>20190303170634637</v>
      </c>
      <c r="B4874" t="str">
        <f>"1551603994630168"</f>
        <v>1551603994630168</v>
      </c>
      <c r="C4874" t="s">
        <v>40</v>
      </c>
      <c r="D4874">
        <v>5.6940530000000003</v>
      </c>
      <c r="E4874">
        <v>0.64003140000000003</v>
      </c>
      <c r="F4874" t="s">
        <v>41</v>
      </c>
      <c r="G4874">
        <v>-295.98410000000001</v>
      </c>
      <c r="H4874" s="1">
        <v>-1.4891059999999901E-6</v>
      </c>
      <c r="I4874">
        <v>-8.0962130000000005</v>
      </c>
      <c r="J4874">
        <v>-312.48599999999999</v>
      </c>
      <c r="K4874">
        <v>1.0647120000000001</v>
      </c>
      <c r="L4874">
        <v>13.91226</v>
      </c>
      <c r="M4874">
        <v>0.93614589999999998</v>
      </c>
      <c r="N4874">
        <v>-1.627957E-2</v>
      </c>
      <c r="O4874">
        <v>-0.35123480000000001</v>
      </c>
      <c r="P4874">
        <v>0.80694370000000004</v>
      </c>
      <c r="Q4874">
        <v>0.1746886</v>
      </c>
      <c r="R4874">
        <v>-0.56420389999999998</v>
      </c>
      <c r="S4874">
        <v>1.951141</v>
      </c>
      <c r="T4874">
        <v>-0.12465420000000001</v>
      </c>
      <c r="U4874">
        <v>-2.5843509999999998</v>
      </c>
      <c r="V4874">
        <v>0.24859729999999999</v>
      </c>
      <c r="W4874">
        <v>0.18517790000000001</v>
      </c>
      <c r="X4874">
        <v>0.95074110000000001</v>
      </c>
      <c r="Y4874">
        <v>0.53510329999999995</v>
      </c>
      <c r="Z4874">
        <v>-7.075731E-3</v>
      </c>
      <c r="AA4874">
        <v>0.84475699999999998</v>
      </c>
      <c r="AB4874">
        <v>24</v>
      </c>
      <c r="AC4874">
        <v>16.5018999999999</v>
      </c>
      <c r="AD4874">
        <v>-1.0647134891059999</v>
      </c>
      <c r="AE4874">
        <v>-22.008472999999999</v>
      </c>
      <c r="AF4874">
        <v>14.7869095797515</v>
      </c>
      <c r="AG4874">
        <v>-1.0647134891059999</v>
      </c>
      <c r="AH4874">
        <v>23.1467221785209</v>
      </c>
      <c r="AI4874">
        <v>92.219884688077798</v>
      </c>
      <c r="AJ4874">
        <v>57.428182448792299</v>
      </c>
      <c r="AK4874">
        <v>27.487398155213999</v>
      </c>
      <c r="AL4874">
        <v>79.328496072671697</v>
      </c>
      <c r="AM4874">
        <v>75.346524127550794</v>
      </c>
      <c r="AN4874">
        <v>1.00000005572245</v>
      </c>
    </row>
    <row r="4875" spans="1:40" x14ac:dyDescent="0.25">
      <c r="A4875" t="str">
        <f>"20190303170634651"</f>
        <v>20190303170634651</v>
      </c>
      <c r="B4875" t="str">
        <f>"1551603994639928"</f>
        <v>1551603994639928</v>
      </c>
      <c r="C4875" t="s">
        <v>40</v>
      </c>
      <c r="D4875">
        <v>5.6536350000000004</v>
      </c>
      <c r="E4875">
        <v>0.64172269999999998</v>
      </c>
      <c r="F4875" t="s">
        <v>41</v>
      </c>
      <c r="G4875">
        <v>-295.97910000000002</v>
      </c>
      <c r="H4875" s="1">
        <v>-1.1432980000000001E-6</v>
      </c>
      <c r="I4875">
        <v>-9.0001829999999998</v>
      </c>
      <c r="J4875">
        <v>-312.34249999999997</v>
      </c>
      <c r="K4875">
        <v>1.064459</v>
      </c>
      <c r="L4875">
        <v>13.849329999999901</v>
      </c>
      <c r="M4875">
        <v>0.93334260000000002</v>
      </c>
      <c r="N4875">
        <v>-1.6165639999999998E-2</v>
      </c>
      <c r="O4875">
        <v>-0.35862319999999998</v>
      </c>
      <c r="P4875">
        <v>0.80227919999999997</v>
      </c>
      <c r="Q4875">
        <v>0.17424679999999901</v>
      </c>
      <c r="R4875">
        <v>-0.57095220000000002</v>
      </c>
      <c r="S4875">
        <v>1.9001459999999999</v>
      </c>
      <c r="T4875">
        <v>-0.1225619</v>
      </c>
      <c r="U4875">
        <v>-2.6375120000000001</v>
      </c>
      <c r="V4875">
        <v>0.24904299999999999</v>
      </c>
      <c r="W4875">
        <v>0.18457850000000001</v>
      </c>
      <c r="X4875">
        <v>0.9507409</v>
      </c>
      <c r="Y4875">
        <v>0.54727349999999997</v>
      </c>
      <c r="Z4875">
        <v>-7.260196E-3</v>
      </c>
      <c r="AA4875">
        <v>0.83692230000000001</v>
      </c>
      <c r="AB4875">
        <v>24</v>
      </c>
      <c r="AC4875">
        <v>16.363399999999899</v>
      </c>
      <c r="AD4875">
        <v>-1.0644601432979901</v>
      </c>
      <c r="AE4875">
        <v>-22.849513000000002</v>
      </c>
      <c r="AF4875">
        <v>15.438000420413299</v>
      </c>
      <c r="AG4875">
        <v>-1.0644601432979901</v>
      </c>
      <c r="AH4875">
        <v>23.436466523080998</v>
      </c>
      <c r="AI4875">
        <v>92.172156427855299</v>
      </c>
      <c r="AJ4875">
        <v>56.626421873376898</v>
      </c>
      <c r="AK4875">
        <v>28.0843888212802</v>
      </c>
      <c r="AL4875">
        <v>79.363440420167606</v>
      </c>
      <c r="AM4875">
        <v>75.321383140341595</v>
      </c>
      <c r="AN4875">
        <v>0.99999994872202802</v>
      </c>
    </row>
    <row r="4876" spans="1:40" x14ac:dyDescent="0.25">
      <c r="A4876" t="str">
        <f>"20190303170634665"</f>
        <v>20190303170634665</v>
      </c>
      <c r="B4876" t="str">
        <f>"1551603994649688"</f>
        <v>1551603994649688</v>
      </c>
      <c r="C4876" t="s">
        <v>40</v>
      </c>
      <c r="D4876">
        <v>5.6748190000000003</v>
      </c>
      <c r="E4876">
        <v>0.6428528</v>
      </c>
      <c r="F4876" t="s">
        <v>41</v>
      </c>
      <c r="G4876">
        <v>-296.03859999999997</v>
      </c>
      <c r="H4876" s="1">
        <v>-9.8329219999999899E-7</v>
      </c>
      <c r="I4876">
        <v>-9.3756129999999995</v>
      </c>
      <c r="J4876">
        <v>-312.2047</v>
      </c>
      <c r="K4876">
        <v>1.0642339999999999</v>
      </c>
      <c r="L4876">
        <v>13.78787</v>
      </c>
      <c r="M4876">
        <v>0.93056430000000001</v>
      </c>
      <c r="N4876">
        <v>-1.606349E-2</v>
      </c>
      <c r="O4876">
        <v>-0.3657765</v>
      </c>
      <c r="P4876">
        <v>0.79783090000000001</v>
      </c>
      <c r="Q4876">
        <v>0.1740051</v>
      </c>
      <c r="R4876">
        <v>-0.57722489999999904</v>
      </c>
      <c r="S4876">
        <v>1.8700559999999999</v>
      </c>
      <c r="T4876">
        <v>-0.12209390000000001</v>
      </c>
      <c r="U4876">
        <v>-2.66391</v>
      </c>
      <c r="V4876">
        <v>0.2492027</v>
      </c>
      <c r="W4876">
        <v>0.1841989</v>
      </c>
      <c r="X4876">
        <v>0.95077270000000003</v>
      </c>
      <c r="Y4876">
        <v>0.55109319999999995</v>
      </c>
      <c r="Z4876">
        <v>-7.1368600000000001E-3</v>
      </c>
      <c r="AA4876">
        <v>0.83441319999999997</v>
      </c>
      <c r="AB4876">
        <v>24</v>
      </c>
      <c r="AC4876">
        <v>16.1661</v>
      </c>
      <c r="AD4876">
        <v>-1.0642349832922</v>
      </c>
      <c r="AE4876">
        <v>-23.163482999999999</v>
      </c>
      <c r="AF4876">
        <v>15.6217712751591</v>
      </c>
      <c r="AG4876">
        <v>-1.0642349832922</v>
      </c>
      <c r="AH4876">
        <v>23.485945114920501</v>
      </c>
      <c r="AI4876">
        <v>92.160721607876198</v>
      </c>
      <c r="AJ4876">
        <v>56.369974688362099</v>
      </c>
      <c r="AK4876">
        <v>28.226972062445999</v>
      </c>
      <c r="AL4876">
        <v>79.3855696038231</v>
      </c>
      <c r="AM4876">
        <v>75.312847276089798</v>
      </c>
      <c r="AN4876">
        <v>0.99999997375689398</v>
      </c>
    </row>
    <row r="4877" spans="1:40" x14ac:dyDescent="0.25">
      <c r="A4877" t="str">
        <f>"20190303170634680"</f>
        <v>20190303170634680</v>
      </c>
      <c r="B4877" t="str">
        <f>"1551603994670185"</f>
        <v>1551603994670185</v>
      </c>
      <c r="C4877" t="s">
        <v>40</v>
      </c>
      <c r="D4877">
        <v>5.6806549999999998</v>
      </c>
      <c r="E4877">
        <v>0.64416519999999899</v>
      </c>
      <c r="F4877" t="s">
        <v>41</v>
      </c>
      <c r="G4877">
        <v>-295.97750000000002</v>
      </c>
      <c r="H4877" s="1">
        <v>-8.1452780000000004E-7</v>
      </c>
      <c r="I4877">
        <v>-9.8574470000000005</v>
      </c>
      <c r="J4877">
        <v>-312.04349999999999</v>
      </c>
      <c r="K4877">
        <v>1.0640080000000001</v>
      </c>
      <c r="L4877">
        <v>13.713900000000001</v>
      </c>
      <c r="M4877">
        <v>0.9271855</v>
      </c>
      <c r="N4877">
        <v>-1.5957389999999998E-2</v>
      </c>
      <c r="O4877">
        <v>-0.37426229999999999</v>
      </c>
      <c r="P4877">
        <v>0.79292580000000001</v>
      </c>
      <c r="Q4877">
        <v>0.174813</v>
      </c>
      <c r="R4877">
        <v>-0.58370290000000002</v>
      </c>
      <c r="S4877">
        <v>1.8432919999999999</v>
      </c>
      <c r="T4877">
        <v>-0.1208897</v>
      </c>
      <c r="U4877">
        <v>-2.6859440000000001</v>
      </c>
      <c r="V4877">
        <v>0.2483708</v>
      </c>
      <c r="W4877">
        <v>0.18488180000000001</v>
      </c>
      <c r="X4877">
        <v>0.95085790000000003</v>
      </c>
      <c r="Y4877">
        <v>0.55233399999999999</v>
      </c>
      <c r="Z4877">
        <v>-6.9095519999999898E-3</v>
      </c>
      <c r="AA4877">
        <v>0.83359430000000001</v>
      </c>
      <c r="AB4877">
        <v>24</v>
      </c>
      <c r="AC4877">
        <v>16.065999999999899</v>
      </c>
      <c r="AD4877">
        <v>-1.0640088145277999</v>
      </c>
      <c r="AE4877">
        <v>-23.571346999999999</v>
      </c>
      <c r="AF4877">
        <v>15.822118634564401</v>
      </c>
      <c r="AG4877">
        <v>-1.0640088145277999</v>
      </c>
      <c r="AH4877">
        <v>23.688094146455899</v>
      </c>
      <c r="AI4877">
        <v>92.139099816869702</v>
      </c>
      <c r="AJ4877">
        <v>56.259632632935897</v>
      </c>
      <c r="AK4877">
        <v>28.506093333443399</v>
      </c>
      <c r="AL4877">
        <v>79.345759272270101</v>
      </c>
      <c r="AM4877">
        <v>75.361022376007796</v>
      </c>
      <c r="AN4877">
        <v>1.0000000401281399</v>
      </c>
    </row>
    <row r="4878" spans="1:40" x14ac:dyDescent="0.25">
      <c r="A4878" t="str">
        <f>"20190303170634703"</f>
        <v>20190303170634703</v>
      </c>
      <c r="B4878" t="str">
        <f>"1551603994689704"</f>
        <v>1551603994689704</v>
      </c>
      <c r="C4878" t="s">
        <v>40</v>
      </c>
      <c r="D4878">
        <v>5.6679190000000004</v>
      </c>
      <c r="E4878">
        <v>0.64486250000000001</v>
      </c>
      <c r="F4878" t="s">
        <v>41</v>
      </c>
      <c r="G4878">
        <v>-295.34179999999998</v>
      </c>
      <c r="H4878" s="1">
        <v>-4.742571E-6</v>
      </c>
      <c r="I4878">
        <v>-11.238250000000001</v>
      </c>
      <c r="J4878">
        <v>-311.82080000000002</v>
      </c>
      <c r="K4878">
        <v>1.0637259999999999</v>
      </c>
      <c r="L4878">
        <v>13.60876</v>
      </c>
      <c r="M4878">
        <v>0.92230809999999996</v>
      </c>
      <c r="N4878">
        <v>-1.5826839999999998E-2</v>
      </c>
      <c r="O4878">
        <v>-0.3861311</v>
      </c>
      <c r="P4878">
        <v>0.78603049999999997</v>
      </c>
      <c r="Q4878">
        <v>0.1765129</v>
      </c>
      <c r="R4878">
        <v>-0.59245190000000003</v>
      </c>
      <c r="S4878">
        <v>1.813965</v>
      </c>
      <c r="T4878">
        <v>-0.1155624</v>
      </c>
      <c r="U4878">
        <v>-2.7100520000000001</v>
      </c>
      <c r="V4878">
        <v>0.24691959999999999</v>
      </c>
      <c r="W4878">
        <v>0.1864336</v>
      </c>
      <c r="X4878">
        <v>0.95093280000000002</v>
      </c>
      <c r="Y4878">
        <v>0.5513363</v>
      </c>
      <c r="Z4878">
        <v>-6.6439940000000003E-3</v>
      </c>
      <c r="AA4878">
        <v>0.83425659999999902</v>
      </c>
      <c r="AB4878">
        <v>24</v>
      </c>
      <c r="AC4878">
        <v>16.478999999999999</v>
      </c>
      <c r="AD4878">
        <v>-1.0637307425710001</v>
      </c>
      <c r="AE4878">
        <v>-24.847010000000001</v>
      </c>
      <c r="AF4878">
        <v>16.534571357859299</v>
      </c>
      <c r="AG4878">
        <v>-1.0637307425710001</v>
      </c>
      <c r="AH4878">
        <v>24.7645021028287</v>
      </c>
      <c r="AI4878">
        <v>92.0459172157545</v>
      </c>
      <c r="AJ4878">
        <v>56.270062375174703</v>
      </c>
      <c r="AK4878">
        <v>29.796042312391801</v>
      </c>
      <c r="AL4878">
        <v>79.255273931161497</v>
      </c>
      <c r="AM4878">
        <v>75.444010409691103</v>
      </c>
      <c r="AN4878">
        <v>0.99999998309447902</v>
      </c>
    </row>
    <row r="4879" spans="1:40" x14ac:dyDescent="0.25">
      <c r="A4879" t="str">
        <f>"20190303170634715"</f>
        <v>20190303170634715</v>
      </c>
      <c r="B4879" t="str">
        <f>"1551603994699465"</f>
        <v>1551603994699465</v>
      </c>
      <c r="C4879" t="s">
        <v>40</v>
      </c>
      <c r="D4879">
        <v>5.6728360000000002</v>
      </c>
      <c r="E4879">
        <v>0.64501739999999996</v>
      </c>
      <c r="F4879" t="s">
        <v>41</v>
      </c>
      <c r="G4879">
        <v>-294.3861</v>
      </c>
      <c r="H4879" s="1">
        <v>-4.0758279999999999E-6</v>
      </c>
      <c r="I4879">
        <v>-13.18763</v>
      </c>
      <c r="J4879">
        <v>-311.7047</v>
      </c>
      <c r="K4879">
        <v>1.0635889999999999</v>
      </c>
      <c r="L4879">
        <v>13.552029999999901</v>
      </c>
      <c r="M4879">
        <v>0.91964900000000005</v>
      </c>
      <c r="N4879">
        <v>-1.5768339999999999E-2</v>
      </c>
      <c r="O4879">
        <v>-0.39242460000000001</v>
      </c>
      <c r="P4879">
        <v>0.7819431</v>
      </c>
      <c r="Q4879">
        <v>0.1771945</v>
      </c>
      <c r="R4879">
        <v>-0.59763459999999902</v>
      </c>
      <c r="S4879">
        <v>1.779541</v>
      </c>
      <c r="T4879">
        <v>-0.1085737</v>
      </c>
      <c r="U4879">
        <v>-2.735077</v>
      </c>
      <c r="V4879">
        <v>0.24680289999999999</v>
      </c>
      <c r="W4879">
        <v>0.18703230000000001</v>
      </c>
      <c r="X4879">
        <v>0.95084550000000001</v>
      </c>
      <c r="Y4879">
        <v>0.55652570000000001</v>
      </c>
      <c r="Z4879">
        <v>-6.8445299999999997E-3</v>
      </c>
      <c r="AA4879">
        <v>0.83080229999999999</v>
      </c>
      <c r="AB4879">
        <v>24</v>
      </c>
      <c r="AC4879">
        <v>17.3186</v>
      </c>
      <c r="AD4879">
        <v>-1.0635930758279999</v>
      </c>
      <c r="AE4879">
        <v>-26.739660000000001</v>
      </c>
      <c r="AF4879">
        <v>17.777255580307902</v>
      </c>
      <c r="AG4879">
        <v>-1.0635930758279999</v>
      </c>
      <c r="AH4879">
        <v>26.394200562903599</v>
      </c>
      <c r="AI4879">
        <v>91.914253234554295</v>
      </c>
      <c r="AJ4879">
        <v>56.038596347728799</v>
      </c>
      <c r="AK4879">
        <v>31.840475334914899</v>
      </c>
      <c r="AL4879">
        <v>79.220356513673195</v>
      </c>
      <c r="AM4879">
        <v>75.449318769982298</v>
      </c>
      <c r="AN4879">
        <v>0.99999995878097403</v>
      </c>
    </row>
    <row r="4880" spans="1:40" x14ac:dyDescent="0.25">
      <c r="A4880" t="str">
        <f>"20190303170634726"</f>
        <v>20190303170634726</v>
      </c>
      <c r="B4880" t="str">
        <f>"1551603994719961"</f>
        <v>1551603994719961</v>
      </c>
      <c r="C4880" t="s">
        <v>40</v>
      </c>
      <c r="D4880">
        <v>5.6750720000000001</v>
      </c>
      <c r="E4880">
        <v>0.64512890000000001</v>
      </c>
      <c r="F4880" t="s">
        <v>41</v>
      </c>
      <c r="G4880">
        <v>-294.02269999999999</v>
      </c>
      <c r="H4880" s="1">
        <v>-3.773394E-6</v>
      </c>
      <c r="I4880">
        <v>-14.042870000000001</v>
      </c>
      <c r="J4880">
        <v>-311.57889999999998</v>
      </c>
      <c r="K4880">
        <v>1.0634440000000001</v>
      </c>
      <c r="L4880">
        <v>13.4899</v>
      </c>
      <c r="M4880">
        <v>0.91670200000000002</v>
      </c>
      <c r="N4880">
        <v>-1.570765E-2</v>
      </c>
      <c r="O4880">
        <v>-0.39926270000000003</v>
      </c>
      <c r="P4880">
        <v>0.77756199999999998</v>
      </c>
      <c r="Q4880">
        <v>0.1774935</v>
      </c>
      <c r="R4880">
        <v>-0.60323590000000005</v>
      </c>
      <c r="S4880">
        <v>1.7605900000000001</v>
      </c>
      <c r="T4880">
        <v>-0.1059017</v>
      </c>
      <c r="U4880">
        <v>-2.74762</v>
      </c>
      <c r="V4880">
        <v>0.24660760000000001</v>
      </c>
      <c r="W4880">
        <v>0.1872463</v>
      </c>
      <c r="X4880">
        <v>0.95085410000000004</v>
      </c>
      <c r="Y4880">
        <v>0.55613900000000005</v>
      </c>
      <c r="Z4880">
        <v>-6.7274700000000002E-3</v>
      </c>
      <c r="AA4880">
        <v>0.83106209999999903</v>
      </c>
      <c r="AB4880">
        <v>24</v>
      </c>
      <c r="AC4880">
        <v>17.556199999999901</v>
      </c>
      <c r="AD4880">
        <v>-1.063447773394</v>
      </c>
      <c r="AE4880">
        <v>-27.532769999999999</v>
      </c>
      <c r="AF4880">
        <v>18.212741964335301</v>
      </c>
      <c r="AG4880">
        <v>-1.063447773394</v>
      </c>
      <c r="AH4880">
        <v>27.0612520682756</v>
      </c>
      <c r="AI4880">
        <v>91.867286934846803</v>
      </c>
      <c r="AJ4880">
        <v>56.0586895391694</v>
      </c>
      <c r="AK4880">
        <v>32.636578474603397</v>
      </c>
      <c r="AL4880">
        <v>79.207875181015993</v>
      </c>
      <c r="AM4880">
        <v>75.460470770189801</v>
      </c>
      <c r="AN4880">
        <v>1.00000000236413</v>
      </c>
    </row>
    <row r="4881" spans="1:40" x14ac:dyDescent="0.25">
      <c r="A4881" t="str">
        <f>"20190303170634738"</f>
        <v>20190303170634738</v>
      </c>
      <c r="B4881" t="str">
        <f>"1551603994729721"</f>
        <v>1551603994729721</v>
      </c>
      <c r="C4881" t="s">
        <v>40</v>
      </c>
      <c r="D4881">
        <v>5.7146749999999997</v>
      </c>
      <c r="E4881">
        <v>0.64499200000000001</v>
      </c>
      <c r="F4881" t="s">
        <v>41</v>
      </c>
      <c r="G4881">
        <v>-293.73570000000001</v>
      </c>
      <c r="H4881" s="1">
        <v>-3.5479099999999998E-6</v>
      </c>
      <c r="I4881">
        <v>-14.824120000000001</v>
      </c>
      <c r="J4881">
        <v>-311.46440000000001</v>
      </c>
      <c r="K4881">
        <v>1.063318</v>
      </c>
      <c r="L4881">
        <v>13.432130000000001</v>
      </c>
      <c r="M4881">
        <v>0.91393740000000001</v>
      </c>
      <c r="N4881">
        <v>-1.565803E-2</v>
      </c>
      <c r="O4881">
        <v>-0.40555340000000001</v>
      </c>
      <c r="P4881">
        <v>0.77332900000000004</v>
      </c>
      <c r="Q4881">
        <v>0.1770755</v>
      </c>
      <c r="R4881">
        <v>-0.60877539999999997</v>
      </c>
      <c r="S4881">
        <v>1.7399290000000001</v>
      </c>
      <c r="T4881">
        <v>-0.10369879999999999</v>
      </c>
      <c r="U4881">
        <v>-2.7609560000000002</v>
      </c>
      <c r="V4881">
        <v>0.24684</v>
      </c>
      <c r="W4881">
        <v>0.186747</v>
      </c>
      <c r="X4881">
        <v>0.95089199999999996</v>
      </c>
      <c r="Y4881">
        <v>0.55670090000000005</v>
      </c>
      <c r="Z4881">
        <v>-6.650324E-3</v>
      </c>
      <c r="AA4881">
        <v>0.83068639999999905</v>
      </c>
      <c r="AB4881">
        <v>24</v>
      </c>
      <c r="AC4881">
        <v>17.7287</v>
      </c>
      <c r="AD4881">
        <v>-1.06332154791</v>
      </c>
      <c r="AE4881">
        <v>-28.256250000000001</v>
      </c>
      <c r="AF4881">
        <v>18.617873139796</v>
      </c>
      <c r="AG4881">
        <v>-1.06332154791</v>
      </c>
      <c r="AH4881">
        <v>27.637644690286098</v>
      </c>
      <c r="AI4881">
        <v>91.827626958609201</v>
      </c>
      <c r="AJ4881">
        <v>56.034144055997501</v>
      </c>
      <c r="AK4881">
        <v>33.340594730602703</v>
      </c>
      <c r="AL4881">
        <v>79.236996751655298</v>
      </c>
      <c r="AM4881">
        <v>75.447905775758201</v>
      </c>
      <c r="AN4881">
        <v>1.00000001163649</v>
      </c>
    </row>
    <row r="4882" spans="1:40" x14ac:dyDescent="0.25">
      <c r="A4882" t="str">
        <f>"20190303170634750"</f>
        <v>20190303170634750</v>
      </c>
      <c r="B4882" t="str">
        <f>"1551603994739480"</f>
        <v>1551603994739480</v>
      </c>
      <c r="C4882" t="s">
        <v>40</v>
      </c>
      <c r="D4882">
        <v>5.7875829999999997</v>
      </c>
      <c r="E4882">
        <v>0.64482499999999998</v>
      </c>
      <c r="F4882" t="s">
        <v>41</v>
      </c>
      <c r="G4882">
        <v>-294.05119999999999</v>
      </c>
      <c r="H4882" s="1">
        <v>-3.5344500000000001E-6</v>
      </c>
      <c r="I4882">
        <v>-14.616960000000001</v>
      </c>
      <c r="J4882">
        <v>-311.35840000000002</v>
      </c>
      <c r="K4882">
        <v>1.06321</v>
      </c>
      <c r="L4882">
        <v>13.377660000000001</v>
      </c>
      <c r="M4882">
        <v>0.91131110000000004</v>
      </c>
      <c r="N4882">
        <v>-1.561617E-2</v>
      </c>
      <c r="O4882">
        <v>-0.41142240000000002</v>
      </c>
      <c r="P4882">
        <v>0.76971319999999999</v>
      </c>
      <c r="Q4882">
        <v>0.17728929999999901</v>
      </c>
      <c r="R4882">
        <v>-0.61327849999999995</v>
      </c>
      <c r="S4882">
        <v>1.721039</v>
      </c>
      <c r="T4882">
        <v>-0.10509400000000001</v>
      </c>
      <c r="U4882">
        <v>-2.7722470000000001</v>
      </c>
      <c r="V4882">
        <v>0.24631790000000001</v>
      </c>
      <c r="W4882">
        <v>0.18690770000000001</v>
      </c>
      <c r="X4882">
        <v>0.95099579999999995</v>
      </c>
      <c r="Y4882">
        <v>0.55695649999999997</v>
      </c>
      <c r="Z4882">
        <v>-6.4383749999999997E-3</v>
      </c>
      <c r="AA4882">
        <v>0.8305167</v>
      </c>
      <c r="AB4882">
        <v>24</v>
      </c>
      <c r="AC4882">
        <v>17.307200000000002</v>
      </c>
      <c r="AD4882">
        <v>-1.06321353445</v>
      </c>
      <c r="AE4882">
        <v>-27.994620000000001</v>
      </c>
      <c r="AF4882">
        <v>18.374304777917601</v>
      </c>
      <c r="AG4882">
        <v>-1.06321353445</v>
      </c>
      <c r="AH4882">
        <v>27.264730564330598</v>
      </c>
      <c r="AI4882">
        <v>91.852178589177697</v>
      </c>
      <c r="AJ4882">
        <v>56.023098692668</v>
      </c>
      <c r="AK4882">
        <v>32.895456097114497</v>
      </c>
      <c r="AL4882">
        <v>79.227624212607395</v>
      </c>
      <c r="AM4882">
        <v>75.478900776229096</v>
      </c>
      <c r="AN4882">
        <v>1.0000000038986601</v>
      </c>
    </row>
    <row r="4883" spans="1:40" x14ac:dyDescent="0.25">
      <c r="A4883" t="str">
        <f>"20190303170634760"</f>
        <v>20190303170634760</v>
      </c>
      <c r="B4883" t="str">
        <f>"1551603994750217"</f>
        <v>1551603994750217</v>
      </c>
      <c r="C4883" t="s">
        <v>40</v>
      </c>
      <c r="D4883">
        <v>5.7002689999999996</v>
      </c>
      <c r="E4883">
        <v>0.64472430000000003</v>
      </c>
      <c r="F4883" t="s">
        <v>41</v>
      </c>
      <c r="G4883">
        <v>-293.86939999999998</v>
      </c>
      <c r="H4883" s="1">
        <v>-3.4040220000000001E-6</v>
      </c>
      <c r="I4883">
        <v>-15.1424</v>
      </c>
      <c r="J4883">
        <v>-311.23899999999998</v>
      </c>
      <c r="K4883">
        <v>1.063091</v>
      </c>
      <c r="L4883">
        <v>13.31549</v>
      </c>
      <c r="M4883">
        <v>0.90828390000000003</v>
      </c>
      <c r="N4883">
        <v>-1.5572000000000001E-2</v>
      </c>
      <c r="O4883">
        <v>-0.4180643</v>
      </c>
      <c r="P4883">
        <v>0.76556930000000001</v>
      </c>
      <c r="Q4883">
        <v>0.17748829999999999</v>
      </c>
      <c r="R4883">
        <v>-0.61838649999999995</v>
      </c>
      <c r="S4883">
        <v>1.7054750000000001</v>
      </c>
      <c r="T4883">
        <v>-0.1036813</v>
      </c>
      <c r="U4883">
        <v>-2.7811889999999999</v>
      </c>
      <c r="V4883">
        <v>0.24574699999999999</v>
      </c>
      <c r="W4883">
        <v>0.18704960000000001</v>
      </c>
      <c r="X4883">
        <v>0.95111559999999995</v>
      </c>
      <c r="Y4883">
        <v>0.555469199999999</v>
      </c>
      <c r="Z4883">
        <v>-6.271914E-3</v>
      </c>
      <c r="AA4883">
        <v>0.83151350000000002</v>
      </c>
      <c r="AB4883">
        <v>24</v>
      </c>
      <c r="AC4883">
        <v>17.369599999999998</v>
      </c>
      <c r="AD4883">
        <v>-1.0630944040220001</v>
      </c>
      <c r="AE4883">
        <v>-28.457889999999999</v>
      </c>
      <c r="AF4883">
        <v>18.569607958944999</v>
      </c>
      <c r="AG4883">
        <v>-1.0630944040220001</v>
      </c>
      <c r="AH4883">
        <v>27.6490012633734</v>
      </c>
      <c r="AI4883">
        <v>91.828197042922099</v>
      </c>
      <c r="AJ4883">
        <v>56.113921326995701</v>
      </c>
      <c r="AK4883">
        <v>33.323081795098098</v>
      </c>
      <c r="AL4883">
        <v>79.219348077923399</v>
      </c>
      <c r="AM4883">
        <v>75.512886927961702</v>
      </c>
      <c r="AN4883">
        <v>1.0000000127162501</v>
      </c>
    </row>
    <row r="4884" spans="1:40" x14ac:dyDescent="0.25">
      <c r="A4884" t="str">
        <f>"20190303170634774"</f>
        <v>20190303170634774</v>
      </c>
      <c r="B4884" t="str">
        <f>"1551603994759978"</f>
        <v>1551603994759978</v>
      </c>
      <c r="C4884" t="s">
        <v>40</v>
      </c>
      <c r="D4884">
        <v>5.7300449999999996</v>
      </c>
      <c r="E4884">
        <v>0.64464049999999995</v>
      </c>
      <c r="F4884" t="s">
        <v>41</v>
      </c>
      <c r="G4884">
        <v>-293.75459999999998</v>
      </c>
      <c r="H4884" s="1">
        <v>-3.2687289999999999E-6</v>
      </c>
      <c r="I4884">
        <v>-15.629720000000001</v>
      </c>
      <c r="J4884">
        <v>-311.11590000000001</v>
      </c>
      <c r="K4884">
        <v>1.062983</v>
      </c>
      <c r="L4884">
        <v>13.249689999999999</v>
      </c>
      <c r="M4884">
        <v>0.90506310000000001</v>
      </c>
      <c r="N4884">
        <v>-1.5532580000000001E-2</v>
      </c>
      <c r="O4884">
        <v>-0.42499360000000003</v>
      </c>
      <c r="P4884">
        <v>0.76110250000000002</v>
      </c>
      <c r="Q4884">
        <v>0.17763029999999999</v>
      </c>
      <c r="R4884">
        <v>-0.62383529999999998</v>
      </c>
      <c r="S4884">
        <v>1.686798</v>
      </c>
      <c r="T4884">
        <v>-0.10256170000000001</v>
      </c>
      <c r="U4884">
        <v>-2.7924799999999999</v>
      </c>
      <c r="V4884">
        <v>0.24530550000000001</v>
      </c>
      <c r="W4884">
        <v>0.1871353</v>
      </c>
      <c r="X4884">
        <v>0.95121270000000002</v>
      </c>
      <c r="Y4884">
        <v>0.55468450000000002</v>
      </c>
      <c r="Z4884">
        <v>-6.1153850000000001E-3</v>
      </c>
      <c r="AA4884">
        <v>0.83203830000000001</v>
      </c>
      <c r="AB4884">
        <v>24</v>
      </c>
      <c r="AC4884">
        <v>17.3613</v>
      </c>
      <c r="AD4884">
        <v>-1.0629862687289999</v>
      </c>
      <c r="AE4884">
        <v>-28.879409999999901</v>
      </c>
      <c r="AF4884">
        <v>18.742857815412201</v>
      </c>
      <c r="AG4884">
        <v>-1.0629862687289999</v>
      </c>
      <c r="AH4884">
        <v>27.962185713517201</v>
      </c>
      <c r="AI4884">
        <v>91.808659549748398</v>
      </c>
      <c r="AJ4884">
        <v>56.166329203474803</v>
      </c>
      <c r="AK4884">
        <v>33.6794965635398</v>
      </c>
      <c r="AL4884">
        <v>79.214349480465302</v>
      </c>
      <c r="AM4884">
        <v>75.5392359345975</v>
      </c>
      <c r="AN4884">
        <v>1.00000000473881</v>
      </c>
    </row>
    <row r="4885" spans="1:40" x14ac:dyDescent="0.25">
      <c r="A4885" t="str">
        <f>"20190303170634792"</f>
        <v>20190303170634792</v>
      </c>
      <c r="B4885" t="str">
        <f>"1551603994779496"</f>
        <v>1551603994779496</v>
      </c>
      <c r="C4885" t="s">
        <v>40</v>
      </c>
      <c r="D4885">
        <v>5.6935460000000004</v>
      </c>
      <c r="E4885">
        <v>0.64455280000000004</v>
      </c>
      <c r="F4885" t="s">
        <v>41</v>
      </c>
      <c r="G4885">
        <v>-293.64170000000001</v>
      </c>
      <c r="H4885" s="1">
        <v>-3.1205940000000001E-6</v>
      </c>
      <c r="I4885">
        <v>-16.15333</v>
      </c>
      <c r="J4885">
        <v>-310.94510000000002</v>
      </c>
      <c r="K4885">
        <v>1.062843</v>
      </c>
      <c r="L4885">
        <v>13.15659</v>
      </c>
      <c r="M4885">
        <v>0.90045090000000005</v>
      </c>
      <c r="N4885">
        <v>-1.5482549999999999E-2</v>
      </c>
      <c r="O4885">
        <v>-0.43468210000000002</v>
      </c>
      <c r="P4885">
        <v>0.75495459999999903</v>
      </c>
      <c r="Q4885">
        <v>0.178482</v>
      </c>
      <c r="R4885">
        <v>-0.63102130000000001</v>
      </c>
      <c r="S4885">
        <v>1.66668699999999</v>
      </c>
      <c r="T4885">
        <v>-0.101387</v>
      </c>
      <c r="U4885">
        <v>-2.804443</v>
      </c>
      <c r="V4885">
        <v>0.2442462</v>
      </c>
      <c r="W4885">
        <v>0.18792410000000001</v>
      </c>
      <c r="X4885">
        <v>0.9513298</v>
      </c>
      <c r="Y4885">
        <v>0.55173050000000001</v>
      </c>
      <c r="Z4885">
        <v>-5.8373610000000001E-3</v>
      </c>
      <c r="AA4885">
        <v>0.83400200000000002</v>
      </c>
      <c r="AB4885">
        <v>24</v>
      </c>
      <c r="AC4885">
        <v>17.3034</v>
      </c>
      <c r="AD4885">
        <v>-1.0628461205940001</v>
      </c>
      <c r="AE4885">
        <v>-29.309920000000002</v>
      </c>
      <c r="AF4885">
        <v>18.854541955443601</v>
      </c>
      <c r="AG4885">
        <v>-1.0628461205940001</v>
      </c>
      <c r="AH4885">
        <v>28.297161096849401</v>
      </c>
      <c r="AI4885">
        <v>91.790320688718893</v>
      </c>
      <c r="AJ4885">
        <v>56.324278002822602</v>
      </c>
      <c r="AK4885">
        <v>34.019887130422603</v>
      </c>
      <c r="AL4885">
        <v>79.168338568265099</v>
      </c>
      <c r="AM4885">
        <v>75.600778431119593</v>
      </c>
      <c r="AN4885">
        <v>1.0000000309716399</v>
      </c>
    </row>
    <row r="4886" spans="1:40" x14ac:dyDescent="0.25">
      <c r="A4886" t="str">
        <f>"20190303170634819"</f>
        <v>20190303170634819</v>
      </c>
      <c r="B4886" t="str">
        <f>"1551603994809752"</f>
        <v>1551603994809752</v>
      </c>
      <c r="C4886" t="s">
        <v>40</v>
      </c>
      <c r="D4886">
        <v>5.6611989999999999</v>
      </c>
      <c r="E4886">
        <v>0.64411439999999998</v>
      </c>
      <c r="F4886" t="s">
        <v>41</v>
      </c>
      <c r="G4886">
        <v>-292.88069999999999</v>
      </c>
      <c r="H4886" s="1">
        <v>-2.7166910000000001E-6</v>
      </c>
      <c r="I4886">
        <v>-17.93516</v>
      </c>
      <c r="J4886">
        <v>-310.68849999999998</v>
      </c>
      <c r="K4886">
        <v>1.062651</v>
      </c>
      <c r="L4886">
        <v>13.01205</v>
      </c>
      <c r="M4886">
        <v>0.89318509999999995</v>
      </c>
      <c r="N4886">
        <v>-1.542018E-2</v>
      </c>
      <c r="O4886">
        <v>-0.44942470000000001</v>
      </c>
      <c r="P4886">
        <v>0.74506309999999998</v>
      </c>
      <c r="Q4886">
        <v>0.17964669999999999</v>
      </c>
      <c r="R4886">
        <v>-0.64234599999999997</v>
      </c>
      <c r="S4886">
        <v>1.638855</v>
      </c>
      <c r="T4886">
        <v>-9.6424700000000002E-2</v>
      </c>
      <c r="U4886">
        <v>-2.8207399999999998</v>
      </c>
      <c r="V4886">
        <v>0.2431625</v>
      </c>
      <c r="W4886">
        <v>0.188996</v>
      </c>
      <c r="X4886">
        <v>0.95139499999999999</v>
      </c>
      <c r="Y4886">
        <v>0.54628219999999905</v>
      </c>
      <c r="Z4886">
        <v>-5.5928380000000001E-3</v>
      </c>
      <c r="AA4886">
        <v>0.83758250000000001</v>
      </c>
      <c r="AB4886">
        <v>24</v>
      </c>
      <c r="AC4886">
        <v>17.807799999999901</v>
      </c>
      <c r="AD4886">
        <v>-1.0626537166909999</v>
      </c>
      <c r="AE4886">
        <v>-30.947209999999998</v>
      </c>
      <c r="AF4886">
        <v>19.623275376528799</v>
      </c>
      <c r="AG4886">
        <v>-1.0626537166909999</v>
      </c>
      <c r="AH4886">
        <v>29.791259498206099</v>
      </c>
      <c r="AI4886">
        <v>91.706244963999794</v>
      </c>
      <c r="AJ4886">
        <v>56.627408534673798</v>
      </c>
      <c r="AK4886">
        <v>35.689232436606702</v>
      </c>
      <c r="AL4886">
        <v>79.1058019329122</v>
      </c>
      <c r="AM4886">
        <v>75.662969162675907</v>
      </c>
      <c r="AN4886">
        <v>0.99999996772362398</v>
      </c>
    </row>
    <row r="4887" spans="1:40" x14ac:dyDescent="0.25">
      <c r="A4887" t="str">
        <f>"20190303170634837"</f>
        <v>20190303170634837</v>
      </c>
      <c r="B4887" t="str">
        <f>"1551603994830248"</f>
        <v>1551603994830248</v>
      </c>
      <c r="C4887" t="s">
        <v>40</v>
      </c>
      <c r="D4887">
        <v>5.7290239999999999</v>
      </c>
      <c r="E4887">
        <v>0.64359129999999998</v>
      </c>
      <c r="F4887" t="s">
        <v>41</v>
      </c>
      <c r="G4887">
        <v>-292.69310000000002</v>
      </c>
      <c r="H4887" s="1">
        <v>-2.4041430000000001E-6</v>
      </c>
      <c r="I4887">
        <v>-19.000319999999999</v>
      </c>
      <c r="J4887">
        <v>-310.51249999999999</v>
      </c>
      <c r="K4887">
        <v>1.062535</v>
      </c>
      <c r="L4887">
        <v>12.90936</v>
      </c>
      <c r="M4887">
        <v>0.8879534</v>
      </c>
      <c r="N4887">
        <v>-1.5385859999999999E-2</v>
      </c>
      <c r="O4887">
        <v>-0.45967619999999998</v>
      </c>
      <c r="P4887">
        <v>0.73806300000000002</v>
      </c>
      <c r="Q4887">
        <v>0.1801991</v>
      </c>
      <c r="R4887">
        <v>-0.65022409999999997</v>
      </c>
      <c r="S4887">
        <v>1.5981749999999999</v>
      </c>
      <c r="T4887">
        <v>-9.4374180000000002E-2</v>
      </c>
      <c r="U4887">
        <v>-2.8430179999999998</v>
      </c>
      <c r="V4887">
        <v>0.24241789999999999</v>
      </c>
      <c r="W4887">
        <v>0.189497</v>
      </c>
      <c r="X4887">
        <v>0.95148540000000004</v>
      </c>
      <c r="Y4887">
        <v>0.54855469999999995</v>
      </c>
      <c r="Z4887">
        <v>-5.5327719999999896E-3</v>
      </c>
      <c r="AA4887">
        <v>0.83609639999999996</v>
      </c>
      <c r="AB4887">
        <v>24</v>
      </c>
      <c r="AC4887">
        <v>17.819399999999899</v>
      </c>
      <c r="AD4887">
        <v>-1.062537404143</v>
      </c>
      <c r="AE4887">
        <v>-31.909679999999899</v>
      </c>
      <c r="AF4887">
        <v>20.128524964106699</v>
      </c>
      <c r="AG4887">
        <v>-1.062537404143</v>
      </c>
      <c r="AH4887">
        <v>30.468771960832701</v>
      </c>
      <c r="AI4887">
        <v>91.666660907593396</v>
      </c>
      <c r="AJ4887">
        <v>56.550130727620498</v>
      </c>
      <c r="AK4887">
        <v>36.532623335412097</v>
      </c>
      <c r="AL4887">
        <v>79.076568940894205</v>
      </c>
      <c r="AM4887">
        <v>75.706371905966293</v>
      </c>
      <c r="AN4887">
        <v>1.0000000088312799</v>
      </c>
    </row>
    <row r="4888" spans="1:40" x14ac:dyDescent="0.25">
      <c r="A4888" t="str">
        <f>"20190303170634848"</f>
        <v>20190303170634848</v>
      </c>
      <c r="B4888" t="str">
        <f>"1551603994840008"</f>
        <v>1551603994840008</v>
      </c>
      <c r="C4888" t="s">
        <v>40</v>
      </c>
      <c r="D4888">
        <v>5.5246779999999998</v>
      </c>
      <c r="E4888">
        <v>0.64344100000000004</v>
      </c>
      <c r="F4888" t="s">
        <v>41</v>
      </c>
      <c r="G4888">
        <v>-292.64479999999998</v>
      </c>
      <c r="H4888" s="1">
        <v>-2.211709E-6</v>
      </c>
      <c r="I4888">
        <v>-19.603529999999999</v>
      </c>
      <c r="J4888">
        <v>-310.40010000000001</v>
      </c>
      <c r="K4888">
        <v>1.062468</v>
      </c>
      <c r="L4888">
        <v>12.84229</v>
      </c>
      <c r="M4888">
        <v>0.88450479999999998</v>
      </c>
      <c r="N4888">
        <v>-1.5366629999999999E-2</v>
      </c>
      <c r="O4888">
        <v>-0.46627829999999898</v>
      </c>
      <c r="P4888">
        <v>0.733288099999999</v>
      </c>
      <c r="Q4888">
        <v>0.1803128</v>
      </c>
      <c r="R4888">
        <v>-0.65557299999999996</v>
      </c>
      <c r="S4888">
        <v>1.5702510000000001</v>
      </c>
      <c r="T4888">
        <v>-9.3377950000000001E-2</v>
      </c>
      <c r="U4888">
        <v>-2.8573</v>
      </c>
      <c r="V4888">
        <v>0.24228050000000001</v>
      </c>
      <c r="W4888">
        <v>0.18957280000000001</v>
      </c>
      <c r="X4888">
        <v>0.9515053</v>
      </c>
      <c r="Y4888">
        <v>0.55036549999999995</v>
      </c>
      <c r="Z4888">
        <v>-5.4893169999999996E-3</v>
      </c>
      <c r="AA4888">
        <v>0.83490580000000003</v>
      </c>
      <c r="AB4888">
        <v>24</v>
      </c>
      <c r="AC4888">
        <v>17.755299999999998</v>
      </c>
      <c r="AD4888">
        <v>-1.0624702117089999</v>
      </c>
      <c r="AE4888">
        <v>-32.445819999999998</v>
      </c>
      <c r="AF4888">
        <v>20.405142292989598</v>
      </c>
      <c r="AG4888">
        <v>-1.0624702117089999</v>
      </c>
      <c r="AH4888">
        <v>30.811640448325299</v>
      </c>
      <c r="AI4888">
        <v>91.646788523296195</v>
      </c>
      <c r="AJ4888">
        <v>56.4853101975661</v>
      </c>
      <c r="AK4888">
        <v>36.971013808993703</v>
      </c>
      <c r="AL4888">
        <v>79.072145776066606</v>
      </c>
      <c r="AM4888">
        <v>75.714428230355693</v>
      </c>
      <c r="AN4888">
        <v>1.0000000115540899</v>
      </c>
    </row>
    <row r="4889" spans="1:40" x14ac:dyDescent="0.25">
      <c r="A4889" t="str">
        <f>"20190303170634871"</f>
        <v>20190303170634871</v>
      </c>
      <c r="B4889" t="str">
        <f>"1551603994859528"</f>
        <v>1551603994859528</v>
      </c>
      <c r="C4889" t="s">
        <v>40</v>
      </c>
      <c r="D4889">
        <v>5.5454600000000003</v>
      </c>
      <c r="E4889">
        <v>0.64301319999999995</v>
      </c>
      <c r="F4889" t="s">
        <v>41</v>
      </c>
      <c r="G4889">
        <v>-292.25900000000001</v>
      </c>
      <c r="H4889" s="1">
        <v>-5.5047939999999996E-6</v>
      </c>
      <c r="I4889">
        <v>-20.736180000000001</v>
      </c>
      <c r="J4889">
        <v>-310.19639999999998</v>
      </c>
      <c r="K4889">
        <v>1.0623560000000001</v>
      </c>
      <c r="L4889">
        <v>12.717650000000001</v>
      </c>
      <c r="M4889">
        <v>0.87803449999999905</v>
      </c>
      <c r="N4889">
        <v>-1.53375E-2</v>
      </c>
      <c r="O4889">
        <v>-0.4783519</v>
      </c>
      <c r="P4889">
        <v>0.7245876</v>
      </c>
      <c r="Q4889">
        <v>0.18046490000000001</v>
      </c>
      <c r="R4889">
        <v>-0.66513619999999996</v>
      </c>
      <c r="S4889">
        <v>1.549469</v>
      </c>
      <c r="T4889">
        <v>-9.0748190000000006E-2</v>
      </c>
      <c r="U4889">
        <v>-2.8680110000000001</v>
      </c>
      <c r="V4889">
        <v>0.2417783</v>
      </c>
      <c r="W4889">
        <v>0.18967020000000001</v>
      </c>
      <c r="X4889">
        <v>0.95161359999999995</v>
      </c>
      <c r="Y4889">
        <v>0.54491809999999996</v>
      </c>
      <c r="Z4889">
        <v>-5.2599609999999996E-3</v>
      </c>
      <c r="AA4889">
        <v>0.83847280000000002</v>
      </c>
      <c r="AB4889">
        <v>24</v>
      </c>
      <c r="AC4889">
        <v>17.937399999999901</v>
      </c>
      <c r="AD4889">
        <v>-1.0623615047939901</v>
      </c>
      <c r="AE4889">
        <v>-33.453830000000004</v>
      </c>
      <c r="AF4889">
        <v>20.779394129282501</v>
      </c>
      <c r="AG4889">
        <v>-1.0623615047939901</v>
      </c>
      <c r="AH4889">
        <v>31.731234853863199</v>
      </c>
      <c r="AI4889">
        <v>91.6043649945168</v>
      </c>
      <c r="AJ4889">
        <v>56.780969350941596</v>
      </c>
      <c r="AK4889">
        <v>37.944473875624503</v>
      </c>
      <c r="AL4889">
        <v>79.066461781632995</v>
      </c>
      <c r="AM4889">
        <v>75.744387392360494</v>
      </c>
      <c r="AN4889">
        <v>0.99999998741194396</v>
      </c>
    </row>
    <row r="4890" spans="1:40" x14ac:dyDescent="0.25">
      <c r="A4890" t="str">
        <f>"20190303170634894"</f>
        <v>20190303170634894</v>
      </c>
      <c r="B4890" t="str">
        <f>"1551603994880024"</f>
        <v>1551603994880024</v>
      </c>
      <c r="C4890" t="s">
        <v>40</v>
      </c>
      <c r="D4890">
        <v>5.5475459999999996</v>
      </c>
      <c r="E4890">
        <v>0.64236859999999996</v>
      </c>
      <c r="F4890" t="s">
        <v>41</v>
      </c>
      <c r="G4890">
        <v>-291.42309999999998</v>
      </c>
      <c r="H4890" s="1">
        <v>-4.7432480000000002E-6</v>
      </c>
      <c r="I4890">
        <v>-23.119710000000001</v>
      </c>
      <c r="J4890">
        <v>-309.99270000000001</v>
      </c>
      <c r="K4890">
        <v>1.0622510000000001</v>
      </c>
      <c r="L4890">
        <v>12.58893</v>
      </c>
      <c r="M4890">
        <v>0.87126979999999998</v>
      </c>
      <c r="N4890">
        <v>-1.5315290000000001E-2</v>
      </c>
      <c r="O4890">
        <v>-0.49056559999999999</v>
      </c>
      <c r="P4890">
        <v>0.71576410000000001</v>
      </c>
      <c r="Q4890">
        <v>0.18064530000000001</v>
      </c>
      <c r="R4890">
        <v>-0.67457330000000004</v>
      </c>
      <c r="S4890">
        <v>1.512024</v>
      </c>
      <c r="T4890">
        <v>-8.5563780000000006E-2</v>
      </c>
      <c r="U4890">
        <v>-2.8863829999999999</v>
      </c>
      <c r="V4890">
        <v>0.24101410000000001</v>
      </c>
      <c r="W4890">
        <v>0.18981110000000001</v>
      </c>
      <c r="X4890">
        <v>0.95177940000000005</v>
      </c>
      <c r="Y4890">
        <v>0.5439541</v>
      </c>
      <c r="Z4890">
        <v>-5.348195E-3</v>
      </c>
      <c r="AA4890">
        <v>0.83909789999999995</v>
      </c>
      <c r="AB4890">
        <v>24</v>
      </c>
      <c r="AC4890">
        <v>18.569600000000001</v>
      </c>
      <c r="AD4890">
        <v>-1.062255743248</v>
      </c>
      <c r="AE4890">
        <v>-35.708640000000003</v>
      </c>
      <c r="AF4890">
        <v>21.9895139178745</v>
      </c>
      <c r="AG4890">
        <v>-1.062255743248</v>
      </c>
      <c r="AH4890">
        <v>33.677052628244297</v>
      </c>
      <c r="AI4890">
        <v>91.512878726094996</v>
      </c>
      <c r="AJ4890">
        <v>56.857373502201902</v>
      </c>
      <c r="AK4890">
        <v>40.234450205439501</v>
      </c>
      <c r="AL4890">
        <v>79.058240003437902</v>
      </c>
      <c r="AM4890">
        <v>75.789992884883404</v>
      </c>
      <c r="AN4890">
        <v>1.00000003817318</v>
      </c>
    </row>
    <row r="4891" spans="1:40" x14ac:dyDescent="0.25">
      <c r="A4891" t="str">
        <f>"20190303170634907"</f>
        <v>20190303170634907</v>
      </c>
      <c r="B4891" t="str">
        <f>"1551603994899544"</f>
        <v>1551603994899544</v>
      </c>
      <c r="C4891" t="s">
        <v>40</v>
      </c>
      <c r="D4891">
        <v>5.5364690000000003</v>
      </c>
      <c r="E4891">
        <v>0.64172510000000005</v>
      </c>
      <c r="F4891" t="s">
        <v>41</v>
      </c>
      <c r="G4891">
        <v>-290.327</v>
      </c>
      <c r="H4891" s="1">
        <v>-4.0149850000000003E-6</v>
      </c>
      <c r="I4891">
        <v>-26.116800000000001</v>
      </c>
      <c r="J4891">
        <v>-309.8553</v>
      </c>
      <c r="K4891">
        <v>1.0621860000000001</v>
      </c>
      <c r="L4891">
        <v>12.49991</v>
      </c>
      <c r="M4891">
        <v>0.86654259999999905</v>
      </c>
      <c r="N4891">
        <v>-1.530334E-2</v>
      </c>
      <c r="O4891">
        <v>-0.4988688</v>
      </c>
      <c r="P4891">
        <v>0.70931149999999998</v>
      </c>
      <c r="Q4891">
        <v>0.18083109999999999</v>
      </c>
      <c r="R4891">
        <v>-0.68130590000000002</v>
      </c>
      <c r="S4891">
        <v>1.4751590000000001</v>
      </c>
      <c r="T4891">
        <v>-7.9681520000000006E-2</v>
      </c>
      <c r="U4891">
        <v>-2.903381</v>
      </c>
      <c r="V4891">
        <v>0.24095839999999999</v>
      </c>
      <c r="W4891">
        <v>0.18996279999999999</v>
      </c>
      <c r="X4891">
        <v>0.95176320000000003</v>
      </c>
      <c r="Y4891">
        <v>0.5463983</v>
      </c>
      <c r="Z4891">
        <v>-5.6792930000000002E-3</v>
      </c>
      <c r="AA4891">
        <v>0.83750619999999998</v>
      </c>
      <c r="AB4891">
        <v>24</v>
      </c>
      <c r="AC4891">
        <v>19.528300000000002</v>
      </c>
      <c r="AD4891">
        <v>-1.0621900149850001</v>
      </c>
      <c r="AE4891">
        <v>-38.616709999999998</v>
      </c>
      <c r="AF4891">
        <v>23.709453687510699</v>
      </c>
      <c r="AG4891">
        <v>-1.0621900149850001</v>
      </c>
      <c r="AH4891">
        <v>36.169215368520703</v>
      </c>
      <c r="AI4891">
        <v>91.4069415735988</v>
      </c>
      <c r="AJ4891">
        <v>56.754568053522902</v>
      </c>
      <c r="AK4891">
        <v>43.2605892489063</v>
      </c>
      <c r="AL4891">
        <v>79.049386768498493</v>
      </c>
      <c r="AM4891">
        <v>75.792911914010105</v>
      </c>
      <c r="AN4891">
        <v>1.0000000023943201</v>
      </c>
    </row>
    <row r="4892" spans="1:40" x14ac:dyDescent="0.25">
      <c r="A4892" t="str">
        <f>"20190303170634926"</f>
        <v>20190303170634926</v>
      </c>
      <c r="B4892" t="str">
        <f>"1551603994920040"</f>
        <v>1551603994920040</v>
      </c>
      <c r="C4892" t="s">
        <v>40</v>
      </c>
      <c r="D4892">
        <v>5.4675820000000002</v>
      </c>
      <c r="E4892">
        <v>0.64118850000000005</v>
      </c>
      <c r="F4892" t="s">
        <v>41</v>
      </c>
      <c r="G4892">
        <v>-290.06639999999999</v>
      </c>
      <c r="H4892" s="1">
        <v>-3.6966380000000001E-6</v>
      </c>
      <c r="I4892">
        <v>-27.256</v>
      </c>
      <c r="J4892">
        <v>-309.67790000000002</v>
      </c>
      <c r="K4892">
        <v>1.062109</v>
      </c>
      <c r="L4892">
        <v>12.3819</v>
      </c>
      <c r="M4892">
        <v>0.86022500000000002</v>
      </c>
      <c r="N4892">
        <v>-1.529135E-2</v>
      </c>
      <c r="O4892">
        <v>-0.50968549999999901</v>
      </c>
      <c r="P4892">
        <v>0.70100249999999997</v>
      </c>
      <c r="Q4892">
        <v>0.1815872</v>
      </c>
      <c r="R4892">
        <v>-0.68965350000000003</v>
      </c>
      <c r="S4892">
        <v>1.450439</v>
      </c>
      <c r="T4892">
        <v>-7.7854039999999999E-2</v>
      </c>
      <c r="U4892">
        <v>-2.9139400000000002</v>
      </c>
      <c r="V4892">
        <v>0.24043870000000001</v>
      </c>
      <c r="W4892">
        <v>0.19068979999999999</v>
      </c>
      <c r="X4892">
        <v>0.95174930000000002</v>
      </c>
      <c r="Y4892">
        <v>0.5428115</v>
      </c>
      <c r="Z4892">
        <v>-5.5571010000000001E-3</v>
      </c>
      <c r="AA4892">
        <v>0.83983619999999903</v>
      </c>
      <c r="AB4892">
        <v>24</v>
      </c>
      <c r="AC4892">
        <v>19.611499999999999</v>
      </c>
      <c r="AD4892">
        <v>-1.0621126966379999</v>
      </c>
      <c r="AE4892">
        <v>-39.637900000000002</v>
      </c>
      <c r="AF4892">
        <v>24.090735968227801</v>
      </c>
      <c r="AG4892">
        <v>-1.0621126966379999</v>
      </c>
      <c r="AH4892">
        <v>37.0561232852477</v>
      </c>
      <c r="AI4892">
        <v>91.376577748947199</v>
      </c>
      <c r="AJ4892">
        <v>56.971506800877499</v>
      </c>
      <c r="AK4892">
        <v>44.211400292262901</v>
      </c>
      <c r="AL4892">
        <v>79.006957680790705</v>
      </c>
      <c r="AM4892">
        <v>75.822118278049203</v>
      </c>
      <c r="AN4892">
        <v>1.0000000491661001</v>
      </c>
    </row>
    <row r="4893" spans="1:40" x14ac:dyDescent="0.25">
      <c r="A4893" t="str">
        <f>"20190303170634940"</f>
        <v>20190303170634940</v>
      </c>
      <c r="B4893" t="str">
        <f>"1551603994929801"</f>
        <v>1551603994929801</v>
      </c>
      <c r="C4893" t="s">
        <v>40</v>
      </c>
      <c r="D4893">
        <v>5.5332489999999996</v>
      </c>
      <c r="E4893">
        <v>0.64118850000000005</v>
      </c>
      <c r="F4893" t="s">
        <v>41</v>
      </c>
      <c r="G4893">
        <v>-289.95780000000002</v>
      </c>
      <c r="H4893">
        <v>1.0163169999999999E-2</v>
      </c>
      <c r="I4893">
        <v>-28.3139</v>
      </c>
      <c r="J4893">
        <v>-309.55180000000001</v>
      </c>
      <c r="K4893">
        <v>1.062057</v>
      </c>
      <c r="L4893">
        <v>12.296049999999999</v>
      </c>
      <c r="M4893">
        <v>0.85559010000000002</v>
      </c>
      <c r="N4893">
        <v>-1.5284789999999999E-2</v>
      </c>
      <c r="O4893">
        <v>-0.517428</v>
      </c>
      <c r="P4893">
        <v>0.69477809999999995</v>
      </c>
      <c r="Q4893">
        <v>0.1819144</v>
      </c>
      <c r="R4893">
        <v>-0.69583799999999996</v>
      </c>
      <c r="S4893">
        <v>1.4187620000000001</v>
      </c>
      <c r="T4893">
        <v>-7.5682159999999998E-2</v>
      </c>
      <c r="U4893">
        <v>-2.9278559999999998</v>
      </c>
      <c r="V4893">
        <v>0.24035039999999999</v>
      </c>
      <c r="W4893">
        <v>0.1909922</v>
      </c>
      <c r="X4893">
        <v>0.95171090000000003</v>
      </c>
      <c r="Y4893">
        <v>0.54415909999999901</v>
      </c>
      <c r="Z4893">
        <v>-5.6343919999999898E-3</v>
      </c>
      <c r="AA4893">
        <v>0.83896319999999902</v>
      </c>
      <c r="AB4893">
        <v>24</v>
      </c>
      <c r="AC4893">
        <v>19.593999999999902</v>
      </c>
      <c r="AD4893">
        <v>-1.05189383</v>
      </c>
      <c r="AE4893">
        <v>-40.609949999999998</v>
      </c>
      <c r="AF4893">
        <v>24.5964783036363</v>
      </c>
      <c r="AG4893">
        <v>-1.05189383</v>
      </c>
      <c r="AH4893">
        <v>37.761024536538002</v>
      </c>
      <c r="AI4893">
        <v>91.337129196118298</v>
      </c>
      <c r="AJ4893">
        <v>56.920900850043097</v>
      </c>
      <c r="AK4893">
        <v>45.077579788846997</v>
      </c>
      <c r="AL4893">
        <v>78.989306334146903</v>
      </c>
      <c r="AM4893">
        <v>75.826566382694693</v>
      </c>
      <c r="AN4893">
        <v>0.99999998620990505</v>
      </c>
    </row>
    <row r="4894" spans="1:40" x14ac:dyDescent="0.25">
      <c r="A4894" t="str">
        <f>"20190303170634959"</f>
        <v>20190303170634959</v>
      </c>
      <c r="B4894" t="str">
        <f>"1551603994950297"</f>
        <v>1551603994950297</v>
      </c>
      <c r="C4894" t="s">
        <v>40</v>
      </c>
      <c r="D4894">
        <v>5.5479019999999997</v>
      </c>
      <c r="E4894">
        <v>0.62731870000000001</v>
      </c>
      <c r="F4894" t="s">
        <v>41</v>
      </c>
      <c r="G4894">
        <v>-289.95780000000002</v>
      </c>
      <c r="H4894">
        <v>3.212117E-3</v>
      </c>
      <c r="I4894">
        <v>-29.05574</v>
      </c>
      <c r="J4894">
        <v>-309.38099999999997</v>
      </c>
      <c r="K4894">
        <v>1.0619970000000001</v>
      </c>
      <c r="L4894">
        <v>12.17676</v>
      </c>
      <c r="M4894">
        <v>0.84910620000000003</v>
      </c>
      <c r="N4894">
        <v>-1.527853E-2</v>
      </c>
      <c r="O4894">
        <v>-0.52800139999999995</v>
      </c>
      <c r="P4894">
        <v>0.68677159999999904</v>
      </c>
      <c r="Q4894">
        <v>0.1819704</v>
      </c>
      <c r="R4894">
        <v>-0.70372709999999905</v>
      </c>
      <c r="S4894">
        <v>1.393097</v>
      </c>
      <c r="T4894">
        <v>-7.5281860000000006E-2</v>
      </c>
      <c r="U4894">
        <v>-2.9400330000000001</v>
      </c>
      <c r="V4894">
        <v>0.2394405</v>
      </c>
      <c r="W4894">
        <v>0.1910414</v>
      </c>
      <c r="X4894">
        <v>0.95193039999999995</v>
      </c>
      <c r="Y4894">
        <v>0.54107799999999995</v>
      </c>
      <c r="Z4894">
        <v>-5.4399829999999998E-3</v>
      </c>
      <c r="AA4894">
        <v>0.8409548</v>
      </c>
      <c r="AB4894">
        <v>24</v>
      </c>
      <c r="AC4894">
        <v>19.423199999999898</v>
      </c>
      <c r="AD4894">
        <v>-1.058784883</v>
      </c>
      <c r="AE4894">
        <v>-41.232500000000002</v>
      </c>
      <c r="AF4894">
        <v>24.744828198601699</v>
      </c>
      <c r="AG4894">
        <v>-1.058784883</v>
      </c>
      <c r="AH4894">
        <v>38.246999811504601</v>
      </c>
      <c r="AI4894">
        <v>91.3314612387354</v>
      </c>
      <c r="AJ4894">
        <v>57.098168425746401</v>
      </c>
      <c r="AK4894">
        <v>45.566002047447903</v>
      </c>
      <c r="AL4894">
        <v>78.986434968044605</v>
      </c>
      <c r="AM4894">
        <v>75.881198475758296</v>
      </c>
      <c r="AN4894">
        <v>1.0000000279991801</v>
      </c>
    </row>
    <row r="4895" spans="1:40" x14ac:dyDescent="0.25">
      <c r="A4895" t="str">
        <f>"20190303170634982"</f>
        <v>20190303170634982</v>
      </c>
      <c r="B4895" t="str">
        <f>"1551603994969816"</f>
        <v>1551603994969816</v>
      </c>
      <c r="C4895" t="s">
        <v>40</v>
      </c>
      <c r="D4895">
        <v>5.4784050000000004</v>
      </c>
      <c r="E4895">
        <v>0.62712939999999995</v>
      </c>
      <c r="F4895" t="s">
        <v>41</v>
      </c>
      <c r="G4895">
        <v>-291.47129999999999</v>
      </c>
      <c r="H4895" s="1">
        <v>-4.5510589999999999E-6</v>
      </c>
      <c r="I4895">
        <v>-23.64676</v>
      </c>
      <c r="J4895">
        <v>-309.18119999999999</v>
      </c>
      <c r="K4895">
        <v>1.0619320000000001</v>
      </c>
      <c r="L4895">
        <v>12.03323</v>
      </c>
      <c r="M4895">
        <v>0.84122849999999905</v>
      </c>
      <c r="N4895">
        <v>-1.527215E-2</v>
      </c>
      <c r="O4895">
        <v>-0.54046419999999995</v>
      </c>
      <c r="P4895">
        <v>0.67703990000000003</v>
      </c>
      <c r="Q4895">
        <v>0.18185850000000001</v>
      </c>
      <c r="R4895">
        <v>-0.71312330000000002</v>
      </c>
      <c r="S4895">
        <v>1.439819</v>
      </c>
      <c r="T4895">
        <v>-8.5377930000000005E-2</v>
      </c>
      <c r="U4895">
        <v>-2.8799739999999998</v>
      </c>
      <c r="V4895">
        <v>0.23852100000000001</v>
      </c>
      <c r="W4895">
        <v>0.19092200000000001</v>
      </c>
      <c r="X4895">
        <v>0.95218519999999895</v>
      </c>
      <c r="Y4895">
        <v>0.5105809</v>
      </c>
      <c r="Z4895">
        <v>-3.5769719999999999E-3</v>
      </c>
      <c r="AA4895">
        <v>0.85982230000000004</v>
      </c>
      <c r="AB4895">
        <v>24</v>
      </c>
      <c r="AC4895">
        <v>17.709900000000001</v>
      </c>
      <c r="AD4895">
        <v>-1.061936551059</v>
      </c>
      <c r="AE4895">
        <v>-35.679989999999997</v>
      </c>
      <c r="AF4895">
        <v>20.431319164643099</v>
      </c>
      <c r="AG4895">
        <v>-1.061936551059</v>
      </c>
      <c r="AH4895">
        <v>34.161534294044102</v>
      </c>
      <c r="AI4895">
        <v>91.528195918273695</v>
      </c>
      <c r="AJ4895">
        <v>59.117214065587497</v>
      </c>
      <c r="AK4895">
        <v>39.819303577148901</v>
      </c>
      <c r="AL4895">
        <v>78.993404792418502</v>
      </c>
      <c r="AM4895">
        <v>75.936875835065607</v>
      </c>
      <c r="AN4895">
        <v>1.0000000663120101</v>
      </c>
    </row>
    <row r="4896" spans="1:40" x14ac:dyDescent="0.25">
      <c r="A4896" t="str">
        <f>"20190303170634995"</f>
        <v>20190303170634995</v>
      </c>
      <c r="B4896" t="str">
        <f>"1551603994979577"</f>
        <v>1551603994979577</v>
      </c>
      <c r="C4896" t="s">
        <v>40</v>
      </c>
      <c r="D4896">
        <v>5.4952449999999997</v>
      </c>
      <c r="E4896">
        <v>0.62691509999999995</v>
      </c>
      <c r="F4896" t="s">
        <v>41</v>
      </c>
      <c r="G4896">
        <v>-291.34230000000002</v>
      </c>
      <c r="H4896" s="1">
        <v>-4.1526519999999996E-6</v>
      </c>
      <c r="I4896">
        <v>-24.918410000000002</v>
      </c>
      <c r="J4896">
        <v>-309.06849999999997</v>
      </c>
      <c r="K4896">
        <v>1.0619000000000001</v>
      </c>
      <c r="L4896">
        <v>11.949769999999999</v>
      </c>
      <c r="M4896">
        <v>0.83662619999999899</v>
      </c>
      <c r="N4896">
        <v>-1.526892E-2</v>
      </c>
      <c r="O4896">
        <v>-0.54756119999999997</v>
      </c>
      <c r="P4896">
        <v>0.67086679999999999</v>
      </c>
      <c r="Q4896">
        <v>0.1821807</v>
      </c>
      <c r="R4896">
        <v>-0.71885169999999998</v>
      </c>
      <c r="S4896">
        <v>1.3996580000000001</v>
      </c>
      <c r="T4896">
        <v>-8.3320500000000006E-2</v>
      </c>
      <c r="U4896">
        <v>-2.8992610000000001</v>
      </c>
      <c r="V4896">
        <v>0.23862439999999999</v>
      </c>
      <c r="W4896">
        <v>0.1912248</v>
      </c>
      <c r="X4896">
        <v>0.95209840000000001</v>
      </c>
      <c r="Y4896">
        <v>0.51520089999999996</v>
      </c>
      <c r="Z4896">
        <v>-3.7435979999999999E-3</v>
      </c>
      <c r="AA4896">
        <v>0.85706130000000003</v>
      </c>
      <c r="AB4896">
        <v>24</v>
      </c>
      <c r="AC4896">
        <v>17.726199999999899</v>
      </c>
      <c r="AD4896">
        <v>-1.0619041526520001</v>
      </c>
      <c r="AE4896">
        <v>-36.868179999999903</v>
      </c>
      <c r="AF4896">
        <v>21.1269366602546</v>
      </c>
      <c r="AG4896">
        <v>-1.0619041526520001</v>
      </c>
      <c r="AH4896">
        <v>34.998291485618701</v>
      </c>
      <c r="AI4896">
        <v>91.487964152367695</v>
      </c>
      <c r="AJ4896">
        <v>58.8824577157202</v>
      </c>
      <c r="AK4896">
        <v>40.894443387679999</v>
      </c>
      <c r="AL4896">
        <v>78.975728641801695</v>
      </c>
      <c r="AM4896">
        <v>75.929789789621694</v>
      </c>
      <c r="AN4896">
        <v>0.999999945846478</v>
      </c>
    </row>
    <row r="4897" spans="1:40" x14ac:dyDescent="0.25">
      <c r="A4897" t="str">
        <f>"20190303170635007"</f>
        <v>20190303170635007</v>
      </c>
      <c r="B4897" t="str">
        <f>"1551603995000072"</f>
        <v>1551603995000072</v>
      </c>
      <c r="C4897" t="s">
        <v>40</v>
      </c>
      <c r="D4897">
        <v>5.4791809999999996</v>
      </c>
      <c r="E4897">
        <v>0.62607139999999994</v>
      </c>
      <c r="F4897" t="s">
        <v>41</v>
      </c>
      <c r="G4897">
        <v>-290.89389999999997</v>
      </c>
      <c r="H4897" s="1">
        <v>-3.7319790000000001E-6</v>
      </c>
      <c r="I4897">
        <v>-26.505120000000002</v>
      </c>
      <c r="J4897">
        <v>-308.95609999999999</v>
      </c>
      <c r="K4897">
        <v>1.061868</v>
      </c>
      <c r="L4897">
        <v>11.865449999999999</v>
      </c>
      <c r="M4897">
        <v>0.83194590000000002</v>
      </c>
      <c r="N4897">
        <v>-1.5264649999999999E-2</v>
      </c>
      <c r="O4897">
        <v>-0.5546468</v>
      </c>
      <c r="P4897">
        <v>0.66441319999999904</v>
      </c>
      <c r="Q4897">
        <v>0.18272360000000001</v>
      </c>
      <c r="R4897">
        <v>-0.72468440000000001</v>
      </c>
      <c r="S4897">
        <v>1.3753660000000001</v>
      </c>
      <c r="T4897">
        <v>-8.0360169999999995E-2</v>
      </c>
      <c r="U4897">
        <v>-2.9100950000000001</v>
      </c>
      <c r="V4897">
        <v>0.23896000000000001</v>
      </c>
      <c r="W4897">
        <v>0.19174150000000001</v>
      </c>
      <c r="X4897">
        <v>0.95191040000000005</v>
      </c>
      <c r="Y4897">
        <v>0.51501009999999903</v>
      </c>
      <c r="Z4897">
        <v>-3.9035459999999999E-3</v>
      </c>
      <c r="AA4897">
        <v>0.85717520000000003</v>
      </c>
      <c r="AB4897">
        <v>24</v>
      </c>
      <c r="AC4897">
        <v>18.062200000000001</v>
      </c>
      <c r="AD4897">
        <v>-1.0618717319789901</v>
      </c>
      <c r="AE4897">
        <v>-38.370570000000001</v>
      </c>
      <c r="AF4897">
        <v>21.892923191862799</v>
      </c>
      <c r="AG4897">
        <v>-1.0618717319789901</v>
      </c>
      <c r="AH4897">
        <v>36.290365124969298</v>
      </c>
      <c r="AI4897">
        <v>91.435210277028801</v>
      </c>
      <c r="AJ4897">
        <v>58.898639464943201</v>
      </c>
      <c r="AK4897">
        <v>42.395969836336597</v>
      </c>
      <c r="AL4897">
        <v>78.945566906341298</v>
      </c>
      <c r="AM4897">
        <v>75.908117394184998</v>
      </c>
      <c r="AN4897">
        <v>1.0000000470252</v>
      </c>
    </row>
    <row r="4898" spans="1:40" x14ac:dyDescent="0.25">
      <c r="A4898" t="str">
        <f>"20190303170635019"</f>
        <v>20190303170635019</v>
      </c>
      <c r="B4898" t="str">
        <f>"1551603995009832"</f>
        <v>1551603995009832</v>
      </c>
      <c r="C4898" t="s">
        <v>40</v>
      </c>
      <c r="D4898">
        <v>5.5023569999999999</v>
      </c>
      <c r="E4898">
        <v>0.62563440000000003</v>
      </c>
      <c r="F4898" t="s">
        <v>41</v>
      </c>
      <c r="G4898">
        <v>-290.41390000000001</v>
      </c>
      <c r="H4898" s="1">
        <v>-3.3211880000000002E-6</v>
      </c>
      <c r="I4898">
        <v>-28.08756</v>
      </c>
      <c r="J4898">
        <v>-308.8467</v>
      </c>
      <c r="K4898">
        <v>1.0618430000000001</v>
      </c>
      <c r="L4898">
        <v>11.781980000000001</v>
      </c>
      <c r="M4898">
        <v>0.82729039999999998</v>
      </c>
      <c r="N4898">
        <v>-1.5258900000000001E-2</v>
      </c>
      <c r="O4898">
        <v>-0.56156700000000004</v>
      </c>
      <c r="P4898">
        <v>0.65791460000000002</v>
      </c>
      <c r="Q4898">
        <v>0.1834018</v>
      </c>
      <c r="R4898">
        <v>-0.73041909999999999</v>
      </c>
      <c r="S4898">
        <v>1.3541259999999999</v>
      </c>
      <c r="T4898">
        <v>-7.7548149999999996E-2</v>
      </c>
      <c r="U4898">
        <v>-2.9177550000000001</v>
      </c>
      <c r="V4898">
        <v>0.23940510000000001</v>
      </c>
      <c r="W4898">
        <v>0.19239149999999999</v>
      </c>
      <c r="X4898">
        <v>0.95166729999999999</v>
      </c>
      <c r="Y4898">
        <v>0.51385829999999999</v>
      </c>
      <c r="Z4898">
        <v>-4.0412970000000001E-3</v>
      </c>
      <c r="AA4898">
        <v>0.85786559999999901</v>
      </c>
      <c r="AB4898">
        <v>24</v>
      </c>
      <c r="AC4898">
        <v>18.432799999999901</v>
      </c>
      <c r="AD4898">
        <v>-1.061846321188</v>
      </c>
      <c r="AE4898">
        <v>-39.869540000000001</v>
      </c>
      <c r="AF4898">
        <v>22.621853465626099</v>
      </c>
      <c r="AG4898">
        <v>-1.061846321188</v>
      </c>
      <c r="AH4898">
        <v>37.6210980893391</v>
      </c>
      <c r="AI4898">
        <v>91.385632391980394</v>
      </c>
      <c r="AJ4898">
        <v>58.981185625119402</v>
      </c>
      <c r="AK4898">
        <v>43.911533715844598</v>
      </c>
      <c r="AL4898">
        <v>78.907617257627294</v>
      </c>
      <c r="AM4898">
        <v>75.879455742320204</v>
      </c>
      <c r="AN4898">
        <v>0.99999997053377399</v>
      </c>
    </row>
    <row r="4899" spans="1:40" x14ac:dyDescent="0.25">
      <c r="A4899" t="str">
        <f>"20190303170635038"</f>
        <v>20190303170635038</v>
      </c>
      <c r="B4899" t="str">
        <f>"1551603995029353"</f>
        <v>1551603995029353</v>
      </c>
      <c r="C4899" t="s">
        <v>40</v>
      </c>
      <c r="D4899">
        <v>5.528886</v>
      </c>
      <c r="E4899">
        <v>0.62522509999999998</v>
      </c>
      <c r="F4899" t="s">
        <v>41</v>
      </c>
      <c r="G4899">
        <v>-290.25490000000002</v>
      </c>
      <c r="H4899" s="1">
        <v>-3.018714E-6</v>
      </c>
      <c r="I4899">
        <v>-29.100719999999999</v>
      </c>
      <c r="J4899">
        <v>-308.6936</v>
      </c>
      <c r="K4899">
        <v>1.0618190000000001</v>
      </c>
      <c r="L4899">
        <v>11.6622</v>
      </c>
      <c r="M4899">
        <v>0.82059159999999998</v>
      </c>
      <c r="N4899">
        <v>-1.524912E-2</v>
      </c>
      <c r="O4899">
        <v>-0.57131140000000002</v>
      </c>
      <c r="P4899">
        <v>0.64880879999999996</v>
      </c>
      <c r="Q4899">
        <v>0.1842905</v>
      </c>
      <c r="R4899">
        <v>-0.73829820000000002</v>
      </c>
      <c r="S4899">
        <v>1.331207</v>
      </c>
      <c r="T4899">
        <v>-7.6030139999999996E-2</v>
      </c>
      <c r="U4899">
        <v>-2.9272770000000001</v>
      </c>
      <c r="V4899">
        <v>0.23979639999999999</v>
      </c>
      <c r="W4899">
        <v>0.19324910000000001</v>
      </c>
      <c r="X4899">
        <v>0.95139499999999999</v>
      </c>
      <c r="Y4899">
        <v>0.51033099999999998</v>
      </c>
      <c r="Z4899">
        <v>-3.963945E-3</v>
      </c>
      <c r="AA4899">
        <v>0.85996899999999998</v>
      </c>
      <c r="AB4899">
        <v>24</v>
      </c>
      <c r="AC4899">
        <v>18.438699999999901</v>
      </c>
      <c r="AD4899">
        <v>-1.0618220187139999</v>
      </c>
      <c r="AE4899">
        <v>-40.762920000000001</v>
      </c>
      <c r="AF4899">
        <v>22.905234923336199</v>
      </c>
      <c r="AG4899">
        <v>-1.0618220187139999</v>
      </c>
      <c r="AH4899">
        <v>38.401803206859199</v>
      </c>
      <c r="AI4899">
        <v>91.360343286566206</v>
      </c>
      <c r="AJ4899">
        <v>59.1855089877347</v>
      </c>
      <c r="AK4899">
        <v>44.7266781958038</v>
      </c>
      <c r="AL4899">
        <v>78.857540847316898</v>
      </c>
      <c r="AM4899">
        <v>75.853416256182896</v>
      </c>
      <c r="AN4899">
        <v>0.99999998706438398</v>
      </c>
    </row>
    <row r="4900" spans="1:40" x14ac:dyDescent="0.25">
      <c r="A4900" t="str">
        <f>"20190303170635051"</f>
        <v>20190303170635051</v>
      </c>
      <c r="B4900" t="str">
        <f>"1551603995040089"</f>
        <v>1551603995040089</v>
      </c>
      <c r="C4900" t="s">
        <v>40</v>
      </c>
      <c r="D4900">
        <v>5.5290269999999904</v>
      </c>
      <c r="E4900">
        <v>0.61875780000000002</v>
      </c>
      <c r="F4900" t="s">
        <v>41</v>
      </c>
      <c r="G4900">
        <v>-290.19049999999999</v>
      </c>
      <c r="H4900" s="1">
        <v>-2.6462970000000001E-6</v>
      </c>
      <c r="I4900">
        <v>-30.245450000000002</v>
      </c>
      <c r="J4900">
        <v>-308.57769999999999</v>
      </c>
      <c r="K4900">
        <v>1.0618080000000001</v>
      </c>
      <c r="L4900">
        <v>11.56958</v>
      </c>
      <c r="M4900">
        <v>0.81539139999999999</v>
      </c>
      <c r="N4900">
        <v>-1.52414E-2</v>
      </c>
      <c r="O4900">
        <v>-0.57870949999999999</v>
      </c>
      <c r="P4900">
        <v>0.64231149999999904</v>
      </c>
      <c r="Q4900">
        <v>0.184452</v>
      </c>
      <c r="R4900">
        <v>-0.74391779999999996</v>
      </c>
      <c r="S4900">
        <v>1.298462</v>
      </c>
      <c r="T4900">
        <v>-7.4513789999999996E-2</v>
      </c>
      <c r="U4900">
        <v>-2.940887</v>
      </c>
      <c r="V4900">
        <v>0.23950560000000001</v>
      </c>
      <c r="W4900">
        <v>0.1934072</v>
      </c>
      <c r="X4900">
        <v>0.95143610000000001</v>
      </c>
      <c r="Y4900">
        <v>0.51203729999999903</v>
      </c>
      <c r="Z4900">
        <v>-4.0384590000000003E-3</v>
      </c>
      <c r="AA4900">
        <v>0.85895370000000004</v>
      </c>
      <c r="AB4900">
        <v>24</v>
      </c>
      <c r="AC4900">
        <v>18.3872</v>
      </c>
      <c r="AD4900">
        <v>-1.0618106462970001</v>
      </c>
      <c r="AE4900">
        <v>-41.81503</v>
      </c>
      <c r="AF4900">
        <v>23.444823958771298</v>
      </c>
      <c r="AG4900">
        <v>-1.0618106462970001</v>
      </c>
      <c r="AH4900">
        <v>39.174903060979403</v>
      </c>
      <c r="AI4900">
        <v>91.332317982567204</v>
      </c>
      <c r="AJ4900">
        <v>59.100938864666098</v>
      </c>
      <c r="AK4900">
        <v>45.666839633847097</v>
      </c>
      <c r="AL4900">
        <v>78.848307952594794</v>
      </c>
      <c r="AM4900">
        <v>75.870470119823494</v>
      </c>
      <c r="AN4900">
        <v>0.99999996491320398</v>
      </c>
    </row>
    <row r="4901" spans="1:40" x14ac:dyDescent="0.25">
      <c r="A4901" t="str">
        <f>"20190303170635072"</f>
        <v>20190303170635072</v>
      </c>
      <c r="B4901" t="str">
        <f>"1551603995059608"</f>
        <v>1551603995059608</v>
      </c>
      <c r="C4901" t="s">
        <v>40</v>
      </c>
      <c r="D4901">
        <v>5.5529609999999998</v>
      </c>
      <c r="E4901">
        <v>0.61755130000000003</v>
      </c>
      <c r="F4901" t="s">
        <v>41</v>
      </c>
      <c r="G4901">
        <v>-293.20589999999999</v>
      </c>
      <c r="H4901" s="1">
        <v>-4.5473499999999998E-6</v>
      </c>
      <c r="I4901">
        <v>-22.576499999999999</v>
      </c>
      <c r="J4901">
        <v>-308.4085</v>
      </c>
      <c r="K4901">
        <v>1.061801</v>
      </c>
      <c r="L4901">
        <v>11.4314</v>
      </c>
      <c r="M4901">
        <v>0.80760149999999997</v>
      </c>
      <c r="N4901">
        <v>-1.523013E-2</v>
      </c>
      <c r="O4901">
        <v>-0.58953230000000001</v>
      </c>
      <c r="P4901">
        <v>0.63283400000000001</v>
      </c>
      <c r="Q4901">
        <v>0.18414150000000001</v>
      </c>
      <c r="R4901">
        <v>-0.75207259999999998</v>
      </c>
      <c r="S4901">
        <v>1.3146059999999999</v>
      </c>
      <c r="T4901">
        <v>-9.0806960000000006E-2</v>
      </c>
      <c r="U4901">
        <v>-2.9201969999999999</v>
      </c>
      <c r="V4901">
        <v>0.2389241</v>
      </c>
      <c r="W4901">
        <v>0.19310359999999999</v>
      </c>
      <c r="X4901">
        <v>0.95164400000000005</v>
      </c>
      <c r="Y4901">
        <v>0.49424439999999997</v>
      </c>
      <c r="Z4901">
        <v>-1.5725019999999999E-3</v>
      </c>
      <c r="AA4901">
        <v>0.86932160000000003</v>
      </c>
      <c r="AB4901">
        <v>24</v>
      </c>
      <c r="AC4901">
        <v>15.2026</v>
      </c>
      <c r="AD4901">
        <v>-1.0618055473500001</v>
      </c>
      <c r="AE4901">
        <v>-34.007899999999999</v>
      </c>
      <c r="AF4901">
        <v>18.4895269782821</v>
      </c>
      <c r="AG4901">
        <v>-1.0618055473500001</v>
      </c>
      <c r="AH4901">
        <v>32.303894258912301</v>
      </c>
      <c r="AI4901">
        <v>91.634035948444506</v>
      </c>
      <c r="AJ4901">
        <v>60.214810793519099</v>
      </c>
      <c r="AK4901">
        <v>37.236160156385502</v>
      </c>
      <c r="AL4901">
        <v>78.866037731721406</v>
      </c>
      <c r="AM4901">
        <v>75.906363049562003</v>
      </c>
      <c r="AN4901">
        <v>1.0000000143148799</v>
      </c>
    </row>
    <row r="4902" spans="1:40" x14ac:dyDescent="0.25">
      <c r="A4902" t="str">
        <f>"20190303170635094"</f>
        <v>20190303170635094</v>
      </c>
      <c r="B4902" t="str">
        <f>"1551603995080105"</f>
        <v>1551603995080105</v>
      </c>
      <c r="C4902" t="s">
        <v>40</v>
      </c>
      <c r="D4902">
        <v>5.5007109999999999</v>
      </c>
      <c r="E4902">
        <v>0.61675760000000002</v>
      </c>
      <c r="F4902" t="s">
        <v>41</v>
      </c>
      <c r="G4902">
        <v>-293.9717</v>
      </c>
      <c r="H4902" s="1">
        <v>-4.8618349999999997E-6</v>
      </c>
      <c r="I4902">
        <v>-21.52675</v>
      </c>
      <c r="J4902">
        <v>-308.22070000000002</v>
      </c>
      <c r="K4902">
        <v>1.0618050000000001</v>
      </c>
      <c r="L4902">
        <v>11.27341</v>
      </c>
      <c r="M4902">
        <v>0.79866219999999999</v>
      </c>
      <c r="N4902">
        <v>-1.521718E-2</v>
      </c>
      <c r="O4902">
        <v>-0.60158739999999999</v>
      </c>
      <c r="P4902">
        <v>0.62150890000000003</v>
      </c>
      <c r="Q4902">
        <v>0.18443029999999999</v>
      </c>
      <c r="R4902">
        <v>-0.76138839999999997</v>
      </c>
      <c r="S4902">
        <v>1.284119</v>
      </c>
      <c r="T4902">
        <v>-9.4445109999999999E-2</v>
      </c>
      <c r="U4902">
        <v>-2.931549</v>
      </c>
      <c r="V4902">
        <v>0.2388257</v>
      </c>
      <c r="W4902">
        <v>0.19338949999999999</v>
      </c>
      <c r="X4902">
        <v>0.95161059999999997</v>
      </c>
      <c r="Y4902">
        <v>0.4900042</v>
      </c>
      <c r="Z4902">
        <v>-7.5723000000000001E-4</v>
      </c>
      <c r="AA4902">
        <v>0.87171969999999999</v>
      </c>
      <c r="AB4902">
        <v>24</v>
      </c>
      <c r="AC4902">
        <v>14.249000000000001</v>
      </c>
      <c r="AD4902">
        <v>-1.06180986183499</v>
      </c>
      <c r="AE4902">
        <v>-32.800159999999998</v>
      </c>
      <c r="AF4902">
        <v>17.610742300380199</v>
      </c>
      <c r="AG4902">
        <v>-1.06180986183499</v>
      </c>
      <c r="AH4902">
        <v>31.088492253212401</v>
      </c>
      <c r="AI4902">
        <v>91.702192311732205</v>
      </c>
      <c r="AJ4902">
        <v>60.469686250399</v>
      </c>
      <c r="AK4902">
        <v>35.745769471800998</v>
      </c>
      <c r="AL4902">
        <v>78.8493417039777</v>
      </c>
      <c r="AM4902">
        <v>75.911461501646599</v>
      </c>
      <c r="AN4902">
        <v>0.99999997386154904</v>
      </c>
    </row>
    <row r="4903" spans="1:40" x14ac:dyDescent="0.25">
      <c r="A4903" t="str">
        <f>"20190303170635109"</f>
        <v>20190303170635109</v>
      </c>
      <c r="B4903" t="str">
        <f>"1551603995099625"</f>
        <v>1551603995099625</v>
      </c>
      <c r="C4903" t="s">
        <v>40</v>
      </c>
      <c r="D4903">
        <v>5.521979</v>
      </c>
      <c r="E4903">
        <v>0.61692040000000004</v>
      </c>
      <c r="F4903" t="s">
        <v>41</v>
      </c>
      <c r="G4903">
        <v>-293.87869999999998</v>
      </c>
      <c r="H4903" s="1">
        <v>-4.3793700000000004E-6</v>
      </c>
      <c r="I4903">
        <v>-22.689859999999999</v>
      </c>
      <c r="J4903">
        <v>-308.09160000000003</v>
      </c>
      <c r="K4903">
        <v>1.061812</v>
      </c>
      <c r="L4903">
        <v>11.161899999999999</v>
      </c>
      <c r="M4903">
        <v>0.79233399999999998</v>
      </c>
      <c r="N4903">
        <v>-1.5207740000000001E-2</v>
      </c>
      <c r="O4903">
        <v>-0.6098983</v>
      </c>
      <c r="P4903">
        <v>0.61314049999999998</v>
      </c>
      <c r="Q4903">
        <v>0.18451680000000001</v>
      </c>
      <c r="R4903">
        <v>-0.76812269999999905</v>
      </c>
      <c r="S4903">
        <v>1.244354</v>
      </c>
      <c r="T4903">
        <v>-9.2125540000000006E-2</v>
      </c>
      <c r="U4903">
        <v>-2.9467469999999998</v>
      </c>
      <c r="V4903">
        <v>0.23927660000000001</v>
      </c>
      <c r="W4903">
        <v>0.19346289999999999</v>
      </c>
      <c r="X4903">
        <v>0.95148239999999995</v>
      </c>
      <c r="Y4903">
        <v>0.4924886</v>
      </c>
      <c r="Z4903">
        <v>-8.9501749999999997E-4</v>
      </c>
      <c r="AA4903">
        <v>0.87031840000000005</v>
      </c>
      <c r="AB4903">
        <v>24</v>
      </c>
      <c r="AC4903">
        <v>14.212899999999999</v>
      </c>
      <c r="AD4903">
        <v>-1.06181637937</v>
      </c>
      <c r="AE4903">
        <v>-33.851759999999999</v>
      </c>
      <c r="AF4903">
        <v>18.140399969803202</v>
      </c>
      <c r="AG4903">
        <v>-1.06181637937</v>
      </c>
      <c r="AH4903">
        <v>31.884510162894198</v>
      </c>
      <c r="AI4903">
        <v>91.657972461868596</v>
      </c>
      <c r="AJ4903">
        <v>60.362684483588197</v>
      </c>
      <c r="AK4903">
        <v>36.699094722017897</v>
      </c>
      <c r="AL4903">
        <v>78.845055213552996</v>
      </c>
      <c r="AM4903">
        <v>75.884098971880803</v>
      </c>
      <c r="AN4903">
        <v>0.99999997124686402</v>
      </c>
    </row>
    <row r="4904" spans="1:40" x14ac:dyDescent="0.25">
      <c r="A4904" t="str">
        <f>"20190303170635126"</f>
        <v>20190303170635126</v>
      </c>
      <c r="B4904" t="str">
        <f>"1551603995120121"</f>
        <v>1551603995120121</v>
      </c>
      <c r="C4904" t="s">
        <v>40</v>
      </c>
      <c r="D4904">
        <v>5.637785</v>
      </c>
      <c r="E4904">
        <v>0.61738409999999999</v>
      </c>
      <c r="F4904" t="s">
        <v>41</v>
      </c>
      <c r="G4904">
        <v>-295.11950000000002</v>
      </c>
      <c r="H4904" s="1">
        <v>-5.0872640000000003E-6</v>
      </c>
      <c r="I4904">
        <v>-20.526679999999999</v>
      </c>
      <c r="J4904">
        <v>-307.94850000000002</v>
      </c>
      <c r="K4904">
        <v>1.061825</v>
      </c>
      <c r="L4904">
        <v>11.03571</v>
      </c>
      <c r="M4904">
        <v>0.78515559999999995</v>
      </c>
      <c r="N4904">
        <v>-1.519598E-2</v>
      </c>
      <c r="O4904">
        <v>-0.61911229999999995</v>
      </c>
      <c r="P4904">
        <v>0.60339960000000004</v>
      </c>
      <c r="Q4904">
        <v>0.18518399999999999</v>
      </c>
      <c r="R4904">
        <v>-0.77563899999999997</v>
      </c>
      <c r="S4904">
        <v>1.212402</v>
      </c>
      <c r="T4904">
        <v>-9.9240300000000004E-2</v>
      </c>
      <c r="U4904">
        <v>-2.9617</v>
      </c>
      <c r="V4904">
        <v>0.24005170000000001</v>
      </c>
      <c r="W4904">
        <v>0.19410659999999999</v>
      </c>
      <c r="X4904">
        <v>0.951156</v>
      </c>
      <c r="Y4904">
        <v>0.491896</v>
      </c>
      <c r="Z4904">
        <v>2.4687869999999998E-4</v>
      </c>
      <c r="AA4904">
        <v>0.87065389999999998</v>
      </c>
      <c r="AB4904">
        <v>24</v>
      </c>
      <c r="AC4904">
        <v>12.829000000000001</v>
      </c>
      <c r="AD4904">
        <v>-1.0618300872640001</v>
      </c>
      <c r="AE4904">
        <v>-31.562390000000001</v>
      </c>
      <c r="AF4904">
        <v>16.824395816157502</v>
      </c>
      <c r="AG4904">
        <v>-1.0618300872640001</v>
      </c>
      <c r="AH4904">
        <v>29.588101052180399</v>
      </c>
      <c r="AI4904">
        <v>91.786840593668998</v>
      </c>
      <c r="AJ4904">
        <v>60.376559516296602</v>
      </c>
      <c r="AK4904">
        <v>34.053538752778699</v>
      </c>
      <c r="AL4904">
        <v>78.807461203885495</v>
      </c>
      <c r="AM4904">
        <v>75.835545566812598</v>
      </c>
      <c r="AN4904">
        <v>0.99999996358622401</v>
      </c>
    </row>
    <row r="4905" spans="1:40" x14ac:dyDescent="0.25">
      <c r="A4905" t="str">
        <f>"20190303170635140"</f>
        <v>20190303170635140</v>
      </c>
      <c r="B4905" t="str">
        <f>"1551603995129881"</f>
        <v>1551603995129881</v>
      </c>
      <c r="C4905" t="s">
        <v>40</v>
      </c>
      <c r="D4905">
        <v>5.7478959999999999</v>
      </c>
      <c r="E4905">
        <v>0.64073819999999904</v>
      </c>
      <c r="F4905" t="s">
        <v>41</v>
      </c>
      <c r="G4905">
        <v>-295.16809999999998</v>
      </c>
      <c r="H4905" s="1">
        <v>-4.6963750000000004E-6</v>
      </c>
      <c r="I4905">
        <v>-21.417770000000001</v>
      </c>
      <c r="J4905">
        <v>-307.84199999999998</v>
      </c>
      <c r="K4905">
        <v>1.0618379999999901</v>
      </c>
      <c r="L4905">
        <v>10.93979</v>
      </c>
      <c r="M4905">
        <v>0.77968899999999997</v>
      </c>
      <c r="N4905">
        <v>-1.518476E-2</v>
      </c>
      <c r="O4905">
        <v>-0.62598299999999996</v>
      </c>
      <c r="P4905">
        <v>0.59624359999999998</v>
      </c>
      <c r="Q4905">
        <v>0.18564320000000001</v>
      </c>
      <c r="R4905">
        <v>-0.78104449999999903</v>
      </c>
      <c r="S4905">
        <v>1.172974</v>
      </c>
      <c r="T4905">
        <v>-9.7453590000000007E-2</v>
      </c>
      <c r="U4905">
        <v>-2.9785460000000001</v>
      </c>
      <c r="V4905">
        <v>0.2403632</v>
      </c>
      <c r="W4905">
        <v>0.1945538</v>
      </c>
      <c r="X4905">
        <v>0.950986</v>
      </c>
      <c r="Y4905">
        <v>0.49590830000000002</v>
      </c>
      <c r="Z4905">
        <v>1.047994E-4</v>
      </c>
      <c r="AA4905">
        <v>0.86837489999999995</v>
      </c>
      <c r="AB4905">
        <v>24</v>
      </c>
      <c r="AC4905">
        <v>12.6739</v>
      </c>
      <c r="AD4905">
        <v>-1.0618426963749901</v>
      </c>
      <c r="AE4905">
        <v>-32.357559999999999</v>
      </c>
      <c r="AF4905">
        <v>17.281045536190302</v>
      </c>
      <c r="AG4905">
        <v>-1.0618426963749901</v>
      </c>
      <c r="AH4905">
        <v>30.1123401594878</v>
      </c>
      <c r="AI4905">
        <v>91.751798322830595</v>
      </c>
      <c r="AJ4905">
        <v>60.149096337350102</v>
      </c>
      <c r="AK4905">
        <v>34.734925861680303</v>
      </c>
      <c r="AL4905">
        <v>78.781341105114606</v>
      </c>
      <c r="AM4905">
        <v>75.815473502017795</v>
      </c>
      <c r="AN4905">
        <v>1.0000000106023399</v>
      </c>
    </row>
    <row r="4906" spans="1:40" x14ac:dyDescent="0.25">
      <c r="A4906" t="str">
        <f>"20190303170635171"</f>
        <v>20190303170635171</v>
      </c>
      <c r="B4906" t="str">
        <f>"1551603995160136"</f>
        <v>1551603995160136</v>
      </c>
      <c r="C4906" t="s">
        <v>40</v>
      </c>
      <c r="D4906">
        <v>5.6749210000000003</v>
      </c>
      <c r="E4906">
        <v>0.65632599999999996</v>
      </c>
      <c r="F4906" t="s">
        <v>71</v>
      </c>
      <c r="G4906">
        <v>-290.63780000000003</v>
      </c>
      <c r="H4906" s="1">
        <v>-3.8194710000000003E-6</v>
      </c>
      <c r="I4906">
        <v>-42.780830000000002</v>
      </c>
      <c r="J4906">
        <v>-307.59460000000001</v>
      </c>
      <c r="K4906">
        <v>1.0618730000000001</v>
      </c>
      <c r="L4906">
        <v>10.70975</v>
      </c>
      <c r="M4906">
        <v>0.76657790000000003</v>
      </c>
      <c r="N4906">
        <v>-1.5155210000000001E-2</v>
      </c>
      <c r="O4906">
        <v>-0.64197249999999995</v>
      </c>
      <c r="P4906">
        <v>0.58062619999999998</v>
      </c>
      <c r="Q4906">
        <v>0.18699859999999999</v>
      </c>
      <c r="R4906">
        <v>-0.792404199999999</v>
      </c>
      <c r="S4906">
        <v>0.9921875</v>
      </c>
      <c r="T4906">
        <v>-6.1237930000000003E-2</v>
      </c>
      <c r="U4906">
        <v>-3.0981450000000001</v>
      </c>
      <c r="V4906">
        <v>0.23933750000000001</v>
      </c>
      <c r="W4906">
        <v>0.1959254</v>
      </c>
      <c r="X4906">
        <v>0.95096309999999995</v>
      </c>
      <c r="Y4906">
        <v>0.53414930000000005</v>
      </c>
      <c r="Z4906">
        <v>-5.1866710000000003E-3</v>
      </c>
      <c r="AA4906">
        <v>0.84537430000000002</v>
      </c>
      <c r="AB4906">
        <v>24</v>
      </c>
      <c r="AC4906">
        <v>16.956799999999902</v>
      </c>
      <c r="AD4906">
        <v>-1.061876819471</v>
      </c>
      <c r="AE4906">
        <v>-53.490580000000001</v>
      </c>
      <c r="AF4906">
        <v>30.111572920926701</v>
      </c>
      <c r="AG4906">
        <v>-1.061876819471</v>
      </c>
      <c r="AH4906">
        <v>47.326677859687997</v>
      </c>
      <c r="AI4906">
        <v>91.084500028631396</v>
      </c>
      <c r="AJ4906">
        <v>57.533464457136802</v>
      </c>
      <c r="AK4906">
        <v>56.1039111237951</v>
      </c>
      <c r="AL4906">
        <v>78.701212158853195</v>
      </c>
      <c r="AM4906">
        <v>75.873248265373604</v>
      </c>
      <c r="AN4906">
        <v>1.0000000094165</v>
      </c>
    </row>
    <row r="4907" spans="1:40" x14ac:dyDescent="0.25">
      <c r="A4907" t="str">
        <f>"20190303170635195"</f>
        <v>20190303170635195</v>
      </c>
      <c r="B4907" t="str">
        <f>"1551603995189419"</f>
        <v>1551603995189419</v>
      </c>
      <c r="C4907" t="s">
        <v>40</v>
      </c>
      <c r="D4907">
        <v>5.6807470000000002</v>
      </c>
      <c r="E4907">
        <v>0.66173579999999999</v>
      </c>
      <c r="F4907" t="s">
        <v>73</v>
      </c>
      <c r="G4907">
        <v>-277.17500000000001</v>
      </c>
      <c r="H4907">
        <v>0.58766560000000001</v>
      </c>
      <c r="I4907">
        <v>-107.0642</v>
      </c>
      <c r="J4907">
        <v>-307.41739999999999</v>
      </c>
      <c r="K4907">
        <v>1.0618939999999999</v>
      </c>
      <c r="L4907">
        <v>10.53922</v>
      </c>
      <c r="M4907">
        <v>0.75683180000000005</v>
      </c>
      <c r="N4907">
        <v>-1.513514E-2</v>
      </c>
      <c r="O4907">
        <v>-0.65343469999999904</v>
      </c>
      <c r="P4907">
        <v>0.56848900000000002</v>
      </c>
      <c r="Q4907">
        <v>0.18630830000000001</v>
      </c>
      <c r="R4907">
        <v>-0.80131790000000003</v>
      </c>
      <c r="S4907">
        <v>0.82290649999999999</v>
      </c>
      <c r="T4907">
        <v>-1.282752E-2</v>
      </c>
      <c r="U4907">
        <v>-3.1860050000000002</v>
      </c>
      <c r="V4907">
        <v>0.23960690000000001</v>
      </c>
      <c r="W4907">
        <v>0.19522639999999999</v>
      </c>
      <c r="X4907">
        <v>0.95103899999999997</v>
      </c>
      <c r="Y4907">
        <v>0.56937309999999997</v>
      </c>
      <c r="Z4907">
        <v>-1.184603E-2</v>
      </c>
      <c r="AA4907">
        <v>0.82199390000000006</v>
      </c>
      <c r="AB4907">
        <v>24</v>
      </c>
      <c r="AC4907">
        <v>30.2423999999999</v>
      </c>
      <c r="AD4907">
        <v>-0.47422839999999999</v>
      </c>
      <c r="AE4907">
        <v>-117.60342</v>
      </c>
      <c r="AF4907">
        <v>69.251438399382593</v>
      </c>
      <c r="AG4907">
        <v>-0.47422839999999999</v>
      </c>
      <c r="AH4907">
        <v>99.744451766562406</v>
      </c>
      <c r="AI4907">
        <v>90.223763763075993</v>
      </c>
      <c r="AJ4907">
        <v>55.228192148189798</v>
      </c>
      <c r="AK4907">
        <v>121.428753889558</v>
      </c>
      <c r="AL4907">
        <v>78.742050411672906</v>
      </c>
      <c r="AM4907">
        <v>75.859068117871999</v>
      </c>
      <c r="AN4907">
        <v>0.99999999665278505</v>
      </c>
    </row>
    <row r="4908" spans="1:40" x14ac:dyDescent="0.25">
      <c r="A4908" t="str">
        <f>"20190303170635216"</f>
        <v>20190303170635216</v>
      </c>
      <c r="B4908" t="str">
        <f>"1551603995209912"</f>
        <v>1551603995209912</v>
      </c>
      <c r="C4908" t="s">
        <v>40</v>
      </c>
      <c r="D4908">
        <v>5.6904810000000001</v>
      </c>
      <c r="E4908">
        <v>0.66283749999999997</v>
      </c>
      <c r="F4908" t="s">
        <v>105</v>
      </c>
      <c r="G4908">
        <v>-286.59190000000001</v>
      </c>
      <c r="H4908">
        <v>1.0724830000000001</v>
      </c>
      <c r="I4908">
        <v>-80.464519999999993</v>
      </c>
      <c r="J4908">
        <v>-307.24579999999997</v>
      </c>
      <c r="K4908">
        <v>1.0619080000000001</v>
      </c>
      <c r="L4908">
        <v>10.36905</v>
      </c>
      <c r="M4908">
        <v>0.74708819999999998</v>
      </c>
      <c r="N4908">
        <v>-1.511331E-2</v>
      </c>
      <c r="O4908">
        <v>-0.66455310000000001</v>
      </c>
      <c r="P4908">
        <v>0.55621409999999905</v>
      </c>
      <c r="Q4908">
        <v>0.18607660000000001</v>
      </c>
      <c r="R4908">
        <v>-0.80993930000000003</v>
      </c>
      <c r="S4908">
        <v>0.73706050000000001</v>
      </c>
      <c r="T4908">
        <v>3.7527079999999998E-4</v>
      </c>
      <c r="U4908">
        <v>-3.220825</v>
      </c>
      <c r="V4908">
        <v>0.24005899999999999</v>
      </c>
      <c r="W4908">
        <v>0.1949766</v>
      </c>
      <c r="X4908">
        <v>0.9509763</v>
      </c>
      <c r="Y4908">
        <v>0.58004500000000003</v>
      </c>
      <c r="Z4908">
        <v>-1.3703109999999999E-2</v>
      </c>
      <c r="AA4908">
        <v>0.81446919999999901</v>
      </c>
      <c r="AB4908">
        <v>24</v>
      </c>
      <c r="AC4908">
        <v>20.653899999999901</v>
      </c>
      <c r="AD4908">
        <v>1.0574999999999999E-2</v>
      </c>
      <c r="AE4908">
        <v>-90.833569999999995</v>
      </c>
      <c r="AF4908">
        <v>54.1412575906458</v>
      </c>
      <c r="AG4908">
        <v>1.0574999999999999E-2</v>
      </c>
      <c r="AH4908">
        <v>75.802671634956099</v>
      </c>
      <c r="AI4908">
        <v>89.993495555988005</v>
      </c>
      <c r="AJ4908">
        <v>54.464077925357302</v>
      </c>
      <c r="AK4908">
        <v>93.152138527917103</v>
      </c>
      <c r="AL4908">
        <v>78.756644057044397</v>
      </c>
      <c r="AM4908">
        <v>75.832563283045403</v>
      </c>
      <c r="AN4908">
        <v>1.00000006059512</v>
      </c>
    </row>
    <row r="4909" spans="1:40" x14ac:dyDescent="0.25">
      <c r="A4909" t="str">
        <f>"20190303170635238"</f>
        <v>20190303170635238</v>
      </c>
      <c r="B4909" t="str">
        <f>"1551603995229432"</f>
        <v>1551603995229432</v>
      </c>
      <c r="C4909" t="s">
        <v>40</v>
      </c>
      <c r="D4909">
        <v>5.7501410000000002</v>
      </c>
      <c r="E4909">
        <v>0.66312040000000005</v>
      </c>
      <c r="F4909" t="s">
        <v>105</v>
      </c>
      <c r="G4909">
        <v>-288.09730000000002</v>
      </c>
      <c r="H4909">
        <v>1.0122530000000001</v>
      </c>
      <c r="I4909">
        <v>-80.464519999999993</v>
      </c>
      <c r="J4909">
        <v>-307.08120000000002</v>
      </c>
      <c r="K4909">
        <v>1.061925</v>
      </c>
      <c r="L4909">
        <v>10.20102</v>
      </c>
      <c r="M4909">
        <v>0.73744929999999997</v>
      </c>
      <c r="N4909">
        <v>-1.508483E-2</v>
      </c>
      <c r="O4909">
        <v>-0.6752338</v>
      </c>
      <c r="P4909">
        <v>0.54428659999999995</v>
      </c>
      <c r="Q4909">
        <v>0.1860541</v>
      </c>
      <c r="R4909">
        <v>-0.81800719999999905</v>
      </c>
      <c r="S4909">
        <v>0.68215939999999997</v>
      </c>
      <c r="T4909">
        <v>-1.7684700000000001E-3</v>
      </c>
      <c r="U4909">
        <v>-3.2359309999999999</v>
      </c>
      <c r="V4909">
        <v>0.2403034</v>
      </c>
      <c r="W4909">
        <v>0.1949331</v>
      </c>
      <c r="X4909">
        <v>0.95092339999999997</v>
      </c>
      <c r="Y4909">
        <v>0.58232819999999996</v>
      </c>
      <c r="Z4909">
        <v>-1.352652E-2</v>
      </c>
      <c r="AA4909">
        <v>0.81284119999999904</v>
      </c>
      <c r="AB4909">
        <v>24</v>
      </c>
      <c r="AC4909">
        <v>18.983899999999998</v>
      </c>
      <c r="AD4909">
        <v>-4.9671999999999897E-2</v>
      </c>
      <c r="AE4909">
        <v>-90.665539999999993</v>
      </c>
      <c r="AF4909">
        <v>54.048810265243198</v>
      </c>
      <c r="AG4909">
        <v>-4.9671999999999897E-2</v>
      </c>
      <c r="AH4909">
        <v>75.228649974595996</v>
      </c>
      <c r="AI4909">
        <v>90.030723791566103</v>
      </c>
      <c r="AJ4909">
        <v>54.304248749925499</v>
      </c>
      <c r="AK4909">
        <v>92.6316691817444</v>
      </c>
      <c r="AL4909">
        <v>78.759184208258006</v>
      </c>
      <c r="AM4909">
        <v>75.817964198926404</v>
      </c>
      <c r="AN4909">
        <v>0.99999997509736405</v>
      </c>
    </row>
    <row r="4910" spans="1:40" x14ac:dyDescent="0.25">
      <c r="A4910" t="str">
        <f>"20190303170635261"</f>
        <v>20190303170635261</v>
      </c>
      <c r="B4910" t="str">
        <f>"1551603995249929"</f>
        <v>1551603995249929</v>
      </c>
      <c r="C4910" t="s">
        <v>40</v>
      </c>
      <c r="D4910">
        <v>5.755871</v>
      </c>
      <c r="E4910">
        <v>0.66319249999999996</v>
      </c>
      <c r="F4910" t="s">
        <v>105</v>
      </c>
      <c r="G4910">
        <v>-287.22559999999999</v>
      </c>
      <c r="H4910">
        <v>0.97023009999999998</v>
      </c>
      <c r="I4910">
        <v>-91.564989999999995</v>
      </c>
      <c r="J4910">
        <v>-306.91219999999998</v>
      </c>
      <c r="K4910">
        <v>1.0619479999999999</v>
      </c>
      <c r="L4910">
        <v>10.023529999999999</v>
      </c>
      <c r="M4910">
        <v>0.72724889999999998</v>
      </c>
      <c r="N4910">
        <v>-1.505215E-2</v>
      </c>
      <c r="O4910">
        <v>-0.6862087</v>
      </c>
      <c r="P4910">
        <v>0.5319448</v>
      </c>
      <c r="Q4910">
        <v>0.18633130000000001</v>
      </c>
      <c r="R4910">
        <v>-0.82602410000000004</v>
      </c>
      <c r="S4910">
        <v>0.63345340000000006</v>
      </c>
      <c r="T4910">
        <v>-2.9249190000000002E-3</v>
      </c>
      <c r="U4910">
        <v>-3.2466430000000002</v>
      </c>
      <c r="V4910">
        <v>0.24028040000000001</v>
      </c>
      <c r="W4910">
        <v>0.19519120000000001</v>
      </c>
      <c r="X4910">
        <v>0.95087630000000001</v>
      </c>
      <c r="Y4910">
        <v>0.58239839999999998</v>
      </c>
      <c r="Z4910">
        <v>-1.344736E-2</v>
      </c>
      <c r="AA4910">
        <v>0.81279239999999997</v>
      </c>
      <c r="AB4910">
        <v>24</v>
      </c>
      <c r="AC4910">
        <v>19.686599999999999</v>
      </c>
      <c r="AD4910">
        <v>-9.1717899999999894E-2</v>
      </c>
      <c r="AE4910">
        <v>-101.58852</v>
      </c>
      <c r="AF4910">
        <v>60.377818731304401</v>
      </c>
      <c r="AG4910">
        <v>-9.1717899999999894E-2</v>
      </c>
      <c r="AH4910">
        <v>84.037442823265394</v>
      </c>
      <c r="AI4910">
        <v>90.050784016651306</v>
      </c>
      <c r="AJ4910">
        <v>54.3041412207413</v>
      </c>
      <c r="AK4910">
        <v>103.478409357687</v>
      </c>
      <c r="AL4910">
        <v>78.744106896980398</v>
      </c>
      <c r="AM4910">
        <v>75.818592754393805</v>
      </c>
      <c r="AN4910">
        <v>1.0000000065416399</v>
      </c>
    </row>
    <row r="4911" spans="1:40" x14ac:dyDescent="0.25">
      <c r="A4911" t="str">
        <f>"20190303170635285"</f>
        <v>20190303170635285</v>
      </c>
      <c r="B4911" t="str">
        <f>"1551603995269449"</f>
        <v>1551603995269449</v>
      </c>
      <c r="C4911" t="s">
        <v>40</v>
      </c>
      <c r="D4911">
        <v>5.7455569999999998</v>
      </c>
      <c r="E4911">
        <v>0.66278559999999997</v>
      </c>
      <c r="F4911" t="s">
        <v>105</v>
      </c>
      <c r="G4911">
        <v>-288.70119999999997</v>
      </c>
      <c r="H4911">
        <v>1.004766</v>
      </c>
      <c r="I4911">
        <v>-91.564989999999995</v>
      </c>
      <c r="J4911">
        <v>-306.7414</v>
      </c>
      <c r="K4911">
        <v>1.0619689999999999</v>
      </c>
      <c r="L4911">
        <v>9.8383789999999998</v>
      </c>
      <c r="M4911">
        <v>0.71659259999999902</v>
      </c>
      <c r="N4911">
        <v>-1.50215E-2</v>
      </c>
      <c r="O4911">
        <v>-0.69733049999999996</v>
      </c>
      <c r="P4911">
        <v>0.51899470000000003</v>
      </c>
      <c r="Q4911">
        <v>0.18689230000000001</v>
      </c>
      <c r="R4911">
        <v>-0.83409609999999901</v>
      </c>
      <c r="S4911">
        <v>0.58374019999999904</v>
      </c>
      <c r="T4911">
        <v>-1.832485E-3</v>
      </c>
      <c r="U4911">
        <v>-3.256348</v>
      </c>
      <c r="V4911">
        <v>0.2403778</v>
      </c>
      <c r="W4911">
        <v>0.19573180000000001</v>
      </c>
      <c r="X4911">
        <v>0.95074049999999999</v>
      </c>
      <c r="Y4911">
        <v>0.58232309999999998</v>
      </c>
      <c r="Z4911">
        <v>-1.3675659999999999E-2</v>
      </c>
      <c r="AA4911">
        <v>0.81284239999999996</v>
      </c>
      <c r="AB4911">
        <v>24</v>
      </c>
      <c r="AC4911">
        <v>18.040199999999999</v>
      </c>
      <c r="AD4911">
        <v>-5.7202999999999803E-2</v>
      </c>
      <c r="AE4911">
        <v>-101.403369</v>
      </c>
      <c r="AF4911">
        <v>60.091670906452102</v>
      </c>
      <c r="AG4911">
        <v>-5.7202999999999803E-2</v>
      </c>
      <c r="AH4911">
        <v>83.648530195678902</v>
      </c>
      <c r="AI4911">
        <v>90.031821664131996</v>
      </c>
      <c r="AJ4911">
        <v>54.307180968178699</v>
      </c>
      <c r="AK4911">
        <v>102.995576547781</v>
      </c>
      <c r="AL4911">
        <v>78.712523082641198</v>
      </c>
      <c r="AM4911">
        <v>75.811131666672694</v>
      </c>
      <c r="AN4911">
        <v>0.99999996130216395</v>
      </c>
    </row>
    <row r="4912" spans="1:40" x14ac:dyDescent="0.25">
      <c r="A4912" t="str">
        <f>"20190303170635307"</f>
        <v>20190303170635307</v>
      </c>
      <c r="B4912" t="str">
        <f>"1551603995299705"</f>
        <v>1551603995299705</v>
      </c>
      <c r="C4912" t="s">
        <v>40</v>
      </c>
      <c r="D4912">
        <v>5.7897350000000003</v>
      </c>
      <c r="E4912">
        <v>0.66154109999999999</v>
      </c>
      <c r="F4912" t="s">
        <v>105</v>
      </c>
      <c r="G4912">
        <v>-290.10329999999999</v>
      </c>
      <c r="H4912">
        <v>1.068087</v>
      </c>
      <c r="I4912">
        <v>-91.564989999999995</v>
      </c>
      <c r="J4912">
        <v>-306.57979999999998</v>
      </c>
      <c r="K4912">
        <v>1.061984</v>
      </c>
      <c r="L4912">
        <v>9.6575319999999998</v>
      </c>
      <c r="M4912">
        <v>0.70617259999999904</v>
      </c>
      <c r="N4912">
        <v>-1.49943E-2</v>
      </c>
      <c r="O4912">
        <v>-0.70788109999999904</v>
      </c>
      <c r="P4912">
        <v>0.50601949999999996</v>
      </c>
      <c r="Q4912">
        <v>0.1877865</v>
      </c>
      <c r="R4912">
        <v>-0.84183189999999997</v>
      </c>
      <c r="S4912">
        <v>0.53546139999999998</v>
      </c>
      <c r="T4912">
        <v>1.9729139999999999E-4</v>
      </c>
      <c r="U4912">
        <v>-3.263458</v>
      </c>
      <c r="V4912">
        <v>0.24086750000000001</v>
      </c>
      <c r="W4912">
        <v>0.1965973</v>
      </c>
      <c r="X4912">
        <v>0.95043800000000001</v>
      </c>
      <c r="Y4912">
        <v>0.58225969999999905</v>
      </c>
      <c r="Z4912">
        <v>-1.4045429999999999E-2</v>
      </c>
      <c r="AA4912">
        <v>0.81288149999999904</v>
      </c>
      <c r="AB4912">
        <v>24</v>
      </c>
      <c r="AC4912">
        <v>16.476499999999898</v>
      </c>
      <c r="AD4912">
        <v>6.1029999999999704E-3</v>
      </c>
      <c r="AE4912">
        <v>-101.222522</v>
      </c>
      <c r="AF4912">
        <v>59.823887200658703</v>
      </c>
      <c r="AG4912">
        <v>6.1029999999999704E-3</v>
      </c>
      <c r="AH4912">
        <v>83.298117973938105</v>
      </c>
      <c r="AI4912">
        <v>89.996590346242698</v>
      </c>
      <c r="AJ4912">
        <v>54.314465108961997</v>
      </c>
      <c r="AK4912">
        <v>102.55473648273799</v>
      </c>
      <c r="AL4912">
        <v>78.661951706812502</v>
      </c>
      <c r="AM4912">
        <v>75.779055495492599</v>
      </c>
      <c r="AN4912">
        <v>1.0000000213837601</v>
      </c>
    </row>
    <row r="4913" spans="1:40" x14ac:dyDescent="0.25">
      <c r="A4913" t="str">
        <f>"20190303170635328"</f>
        <v>20190303170635328</v>
      </c>
      <c r="B4913" t="str">
        <f>"1551603995320201"</f>
        <v>1551603995320201</v>
      </c>
      <c r="C4913" t="s">
        <v>40</v>
      </c>
      <c r="D4913">
        <v>5.7987149999999996</v>
      </c>
      <c r="E4913">
        <v>0.66059460000000003</v>
      </c>
      <c r="F4913" t="s">
        <v>105</v>
      </c>
      <c r="G4913">
        <v>-291.26249999999999</v>
      </c>
      <c r="H4913">
        <v>1.0783430000000001</v>
      </c>
      <c r="I4913">
        <v>-91.564989999999995</v>
      </c>
      <c r="J4913">
        <v>-306.42619999999999</v>
      </c>
      <c r="K4913">
        <v>1.062003</v>
      </c>
      <c r="L4913">
        <v>9.4806209999999993</v>
      </c>
      <c r="M4913">
        <v>0.69595459999999998</v>
      </c>
      <c r="N4913">
        <v>-1.4967889999999999E-2</v>
      </c>
      <c r="O4913">
        <v>-0.7179297</v>
      </c>
      <c r="P4913">
        <v>0.49444310000000002</v>
      </c>
      <c r="Q4913">
        <v>0.1883648</v>
      </c>
      <c r="R4913">
        <v>-0.84855460000000005</v>
      </c>
      <c r="S4913">
        <v>0.49429319999999999</v>
      </c>
      <c r="T4913">
        <v>5.2833559999999999E-4</v>
      </c>
      <c r="U4913">
        <v>-3.2664789999999999</v>
      </c>
      <c r="V4913">
        <v>0.24017340000000001</v>
      </c>
      <c r="W4913">
        <v>0.1971794</v>
      </c>
      <c r="X4913">
        <v>0.95049300000000003</v>
      </c>
      <c r="Y4913">
        <v>0.58072369999999995</v>
      </c>
      <c r="Z4913">
        <v>-1.4161669999999999E-2</v>
      </c>
      <c r="AA4913">
        <v>0.81397749999999902</v>
      </c>
      <c r="AB4913">
        <v>23</v>
      </c>
      <c r="AC4913">
        <v>15.1637</v>
      </c>
      <c r="AD4913">
        <v>1.634E-2</v>
      </c>
      <c r="AE4913">
        <v>-101.04561099999999</v>
      </c>
      <c r="AF4913">
        <v>59.443347880413803</v>
      </c>
      <c r="AG4913">
        <v>1.634E-2</v>
      </c>
      <c r="AH4913">
        <v>83.106204093498505</v>
      </c>
      <c r="AI4913">
        <v>89.990837346694605</v>
      </c>
      <c r="AJ4913">
        <v>54.425008865813602</v>
      </c>
      <c r="AK4913">
        <v>102.17706706036201</v>
      </c>
      <c r="AL4913">
        <v>78.627933265500005</v>
      </c>
      <c r="AM4913">
        <v>75.819167451274794</v>
      </c>
      <c r="AN4913">
        <v>0.99999996045045902</v>
      </c>
    </row>
    <row r="4914" spans="1:40" x14ac:dyDescent="0.25">
      <c r="A4914" t="str">
        <f>"20190303170635351"</f>
        <v>20190303170635351</v>
      </c>
      <c r="B4914" t="str">
        <f>"1551603995339722"</f>
        <v>1551603995339722</v>
      </c>
      <c r="C4914" t="s">
        <v>40</v>
      </c>
      <c r="D4914">
        <v>5.775309</v>
      </c>
      <c r="E4914">
        <v>0.66019289999999997</v>
      </c>
      <c r="F4914" t="s">
        <v>105</v>
      </c>
      <c r="G4914">
        <v>-292.32080000000002</v>
      </c>
      <c r="H4914">
        <v>1.0688409999999999</v>
      </c>
      <c r="I4914">
        <v>-91.564989999999995</v>
      </c>
      <c r="J4914">
        <v>-306.26940000000002</v>
      </c>
      <c r="K4914">
        <v>1.06203</v>
      </c>
      <c r="L4914">
        <v>9.2946170000000006</v>
      </c>
      <c r="M4914">
        <v>0.68519010000000002</v>
      </c>
      <c r="N4914">
        <v>-1.493708E-2</v>
      </c>
      <c r="O4914">
        <v>-0.72821119999999995</v>
      </c>
      <c r="P4914">
        <v>0.4832129</v>
      </c>
      <c r="Q4914">
        <v>0.18842200000000001</v>
      </c>
      <c r="R4914">
        <v>-0.85498689999999999</v>
      </c>
      <c r="S4914">
        <v>0.45639039999999997</v>
      </c>
      <c r="T4914">
        <v>2.2161009999999999E-4</v>
      </c>
      <c r="U4914">
        <v>-3.269409</v>
      </c>
      <c r="V4914">
        <v>0.23853269999999999</v>
      </c>
      <c r="W4914">
        <v>0.19726170000000001</v>
      </c>
      <c r="X4914">
        <v>0.95088910000000004</v>
      </c>
      <c r="Y4914">
        <v>0.57794939999999995</v>
      </c>
      <c r="Z4914">
        <v>-1.417066E-2</v>
      </c>
      <c r="AA4914">
        <v>0.81594949999999999</v>
      </c>
      <c r="AB4914">
        <v>23</v>
      </c>
      <c r="AC4914">
        <v>13.948600000000001</v>
      </c>
      <c r="AD4914">
        <v>6.8109999999998996E-3</v>
      </c>
      <c r="AE4914">
        <v>-100.859607</v>
      </c>
      <c r="AF4914">
        <v>58.957050540470199</v>
      </c>
      <c r="AG4914">
        <v>6.8109999999998996E-3</v>
      </c>
      <c r="AH4914">
        <v>83.0137932210271</v>
      </c>
      <c r="AI4914">
        <v>89.9961673224946</v>
      </c>
      <c r="AJ4914">
        <v>54.617329942028</v>
      </c>
      <c r="AK4914">
        <v>101.81956452354601</v>
      </c>
      <c r="AL4914">
        <v>78.623124428938297</v>
      </c>
      <c r="AM4914">
        <v>75.917806112864</v>
      </c>
      <c r="AN4914">
        <v>1.00000005387749</v>
      </c>
    </row>
    <row r="4915" spans="1:40" x14ac:dyDescent="0.25">
      <c r="A4915" t="str">
        <f>"20190303170635372"</f>
        <v>20190303170635372</v>
      </c>
      <c r="B4915" t="str">
        <f>"1551603995360217"</f>
        <v>1551603995360217</v>
      </c>
      <c r="C4915" t="s">
        <v>40</v>
      </c>
      <c r="D4915">
        <v>5.7961669999999996</v>
      </c>
      <c r="E4915">
        <v>0.64432259999999997</v>
      </c>
      <c r="F4915" t="s">
        <v>105</v>
      </c>
      <c r="G4915">
        <v>-293.46969999999999</v>
      </c>
      <c r="H4915">
        <v>1.0904240000000001</v>
      </c>
      <c r="I4915">
        <v>-91.564989999999995</v>
      </c>
      <c r="J4915">
        <v>-306.1225</v>
      </c>
      <c r="K4915">
        <v>1.0620419999999999</v>
      </c>
      <c r="L4915">
        <v>9.1151730000000004</v>
      </c>
      <c r="M4915">
        <v>0.67478870000000002</v>
      </c>
      <c r="N4915">
        <v>-1.4908350000000001E-2</v>
      </c>
      <c r="O4915">
        <v>-0.73786049999999903</v>
      </c>
      <c r="P4915">
        <v>0.47258879999999998</v>
      </c>
      <c r="Q4915">
        <v>0.1885541</v>
      </c>
      <c r="R4915">
        <v>-0.86087599999999997</v>
      </c>
      <c r="S4915">
        <v>0.41546630000000001</v>
      </c>
      <c r="T4915">
        <v>9.2208389999999996E-4</v>
      </c>
      <c r="U4915">
        <v>-3.2738040000000002</v>
      </c>
      <c r="V4915">
        <v>0.23678460000000001</v>
      </c>
      <c r="W4915">
        <v>0.1974215</v>
      </c>
      <c r="X4915">
        <v>0.95129269999999999</v>
      </c>
      <c r="Y4915">
        <v>0.57654259999999902</v>
      </c>
      <c r="Z4915">
        <v>-1.4340520000000001E-2</v>
      </c>
      <c r="AA4915">
        <v>0.81694129999999998</v>
      </c>
      <c r="AB4915">
        <v>23</v>
      </c>
      <c r="AC4915">
        <v>12.652799999999999</v>
      </c>
      <c r="AD4915">
        <v>2.8382000000000102E-2</v>
      </c>
      <c r="AE4915">
        <v>-100.68016299999999</v>
      </c>
      <c r="AF4915">
        <v>58.608338996685397</v>
      </c>
      <c r="AG4915">
        <v>2.8382000000000102E-2</v>
      </c>
      <c r="AH4915">
        <v>82.835074446278497</v>
      </c>
      <c r="AI4915">
        <v>89.983974227583701</v>
      </c>
      <c r="AJ4915">
        <v>54.7194299020125</v>
      </c>
      <c r="AK4915">
        <v>101.47210337826201</v>
      </c>
      <c r="AL4915">
        <v>78.613784258371098</v>
      </c>
      <c r="AM4915">
        <v>76.022644805065795</v>
      </c>
      <c r="AN4915">
        <v>0.999999998266349</v>
      </c>
    </row>
    <row r="4916" spans="1:40" x14ac:dyDescent="0.25">
      <c r="A4916" t="str">
        <f>"20190303170635396"</f>
        <v>20190303170635396</v>
      </c>
      <c r="B4916" t="str">
        <f>"1551603995389497"</f>
        <v>1551603995389497</v>
      </c>
      <c r="C4916" t="s">
        <v>40</v>
      </c>
      <c r="D4916">
        <v>5.7787730000000002</v>
      </c>
      <c r="E4916">
        <v>0.64345369999999902</v>
      </c>
      <c r="F4916" t="s">
        <v>105</v>
      </c>
      <c r="G4916">
        <v>-290.834</v>
      </c>
      <c r="H4916">
        <v>0.2481747</v>
      </c>
      <c r="I4916">
        <v>-91.564989999999995</v>
      </c>
      <c r="J4916">
        <v>-305.96980000000002</v>
      </c>
      <c r="K4916">
        <v>1.062057</v>
      </c>
      <c r="L4916">
        <v>8.9230959999999993</v>
      </c>
      <c r="M4916">
        <v>0.66363319999999903</v>
      </c>
      <c r="N4916">
        <v>-1.4880900000000001E-2</v>
      </c>
      <c r="O4916">
        <v>-0.74791030000000003</v>
      </c>
      <c r="P4916">
        <v>0.46055239999999997</v>
      </c>
      <c r="Q4916">
        <v>0.18865950000000001</v>
      </c>
      <c r="R4916">
        <v>-0.86735180000000001</v>
      </c>
      <c r="S4916">
        <v>0.48925780000000002</v>
      </c>
      <c r="T4916">
        <v>-2.6044609999999999E-2</v>
      </c>
      <c r="U4916">
        <v>-3.221924</v>
      </c>
      <c r="V4916">
        <v>0.2357252</v>
      </c>
      <c r="W4916">
        <v>0.19753789999999999</v>
      </c>
      <c r="X4916">
        <v>0.95153160000000003</v>
      </c>
      <c r="Y4916">
        <v>0.54379460000000002</v>
      </c>
      <c r="Z4916">
        <v>-9.6423159999999997E-3</v>
      </c>
      <c r="AA4916">
        <v>0.83916290000000004</v>
      </c>
      <c r="AB4916">
        <v>23</v>
      </c>
      <c r="AC4916">
        <v>15.1358</v>
      </c>
      <c r="AD4916">
        <v>-0.81388229999999995</v>
      </c>
      <c r="AE4916">
        <v>-100.488086</v>
      </c>
      <c r="AF4916">
        <v>55.369581240530799</v>
      </c>
      <c r="AG4916">
        <v>-0.81388229999999995</v>
      </c>
      <c r="AH4916">
        <v>85.204651642328898</v>
      </c>
      <c r="AI4916">
        <v>90.458898685132695</v>
      </c>
      <c r="AJ4916">
        <v>56.982487404110103</v>
      </c>
      <c r="AK4916">
        <v>101.61833295543001</v>
      </c>
      <c r="AL4916">
        <v>78.606980944948702</v>
      </c>
      <c r="AM4916">
        <v>76.086103345155706</v>
      </c>
      <c r="AN4916">
        <v>0.99999998882500496</v>
      </c>
    </row>
    <row r="4917" spans="1:40" x14ac:dyDescent="0.25">
      <c r="A4917" t="str">
        <f>"20190303170635417"</f>
        <v>20190303170635417</v>
      </c>
      <c r="B4917" t="str">
        <f>"1551603995409996"</f>
        <v>1551603995409996</v>
      </c>
      <c r="C4917" t="s">
        <v>40</v>
      </c>
      <c r="D4917">
        <v>5.8138199999999998</v>
      </c>
      <c r="E4917">
        <v>0.64219029999999999</v>
      </c>
      <c r="F4917" t="s">
        <v>105</v>
      </c>
      <c r="G4917">
        <v>-291.90190000000001</v>
      </c>
      <c r="H4917">
        <v>9.1096880000000005E-2</v>
      </c>
      <c r="I4917">
        <v>-91.564989999999995</v>
      </c>
      <c r="J4917">
        <v>-305.82650000000001</v>
      </c>
      <c r="K4917">
        <v>1.0620769999999999</v>
      </c>
      <c r="L4917">
        <v>8.7372130000000006</v>
      </c>
      <c r="M4917">
        <v>0.65281859999999903</v>
      </c>
      <c r="N4917">
        <v>-1.4853299999999899E-2</v>
      </c>
      <c r="O4917">
        <v>-0.75736879999999995</v>
      </c>
      <c r="P4917">
        <v>0.44815260000000001</v>
      </c>
      <c r="Q4917">
        <v>0.18961310000000001</v>
      </c>
      <c r="R4917">
        <v>-0.87361710000000004</v>
      </c>
      <c r="S4917">
        <v>0.45159909999999998</v>
      </c>
      <c r="T4917">
        <v>-3.1168700000000001E-2</v>
      </c>
      <c r="U4917">
        <v>-3.2258</v>
      </c>
      <c r="V4917">
        <v>0.23548350000000001</v>
      </c>
      <c r="W4917">
        <v>0.19847780000000001</v>
      </c>
      <c r="X4917">
        <v>0.95139589999999996</v>
      </c>
      <c r="Y4917">
        <v>0.54146740000000004</v>
      </c>
      <c r="Z4917">
        <v>-8.69406E-3</v>
      </c>
      <c r="AA4917">
        <v>0.8406768</v>
      </c>
      <c r="AB4917">
        <v>23</v>
      </c>
      <c r="AC4917">
        <v>13.9245999999999</v>
      </c>
      <c r="AD4917">
        <v>-0.97098012</v>
      </c>
      <c r="AE4917">
        <v>-100.30220300000001</v>
      </c>
      <c r="AF4917">
        <v>54.934089426080199</v>
      </c>
      <c r="AG4917">
        <v>-0.97098012</v>
      </c>
      <c r="AH4917">
        <v>85.057550434799793</v>
      </c>
      <c r="AI4917">
        <v>90.549419285867401</v>
      </c>
      <c r="AJ4917">
        <v>57.143760827831102</v>
      </c>
      <c r="AK4917">
        <v>101.259487799586</v>
      </c>
      <c r="AL4917">
        <v>78.552041410092301</v>
      </c>
      <c r="AM4917">
        <v>76.097910687908495</v>
      </c>
      <c r="AN4917">
        <v>1.0000000372009401</v>
      </c>
    </row>
    <row r="4918" spans="1:40" x14ac:dyDescent="0.25">
      <c r="A4918" t="str">
        <f>"20190303170635439"</f>
        <v>20190303170635439</v>
      </c>
      <c r="B4918" t="str">
        <f>"1551603995429516"</f>
        <v>1551603995429516</v>
      </c>
      <c r="C4918" t="s">
        <v>40</v>
      </c>
      <c r="D4918">
        <v>5.7664819999999999</v>
      </c>
      <c r="E4918">
        <v>0.64182700000000004</v>
      </c>
      <c r="F4918" t="s">
        <v>105</v>
      </c>
      <c r="G4918">
        <v>-292.88749999999999</v>
      </c>
      <c r="H4918">
        <v>7.5754169999999996E-2</v>
      </c>
      <c r="I4918">
        <v>-91.564989999999995</v>
      </c>
      <c r="J4918">
        <v>-305.68459999999999</v>
      </c>
      <c r="K4918">
        <v>1.0621039999999999</v>
      </c>
      <c r="L4918">
        <v>8.5476679999999998</v>
      </c>
      <c r="M4918">
        <v>0.64176929999999999</v>
      </c>
      <c r="N4918">
        <v>-1.4823070000000001E-2</v>
      </c>
      <c r="O4918">
        <v>-0.76675459999999995</v>
      </c>
      <c r="P4918">
        <v>0.43588250000000001</v>
      </c>
      <c r="Q4918">
        <v>0.1911004</v>
      </c>
      <c r="R4918">
        <v>-0.87948130000000002</v>
      </c>
      <c r="S4918">
        <v>0.41632079999999999</v>
      </c>
      <c r="T4918">
        <v>-3.1735180000000002E-2</v>
      </c>
      <c r="U4918">
        <v>-3.2272949999999998</v>
      </c>
      <c r="V4918">
        <v>0.23482210000000001</v>
      </c>
      <c r="W4918">
        <v>0.19995769999999999</v>
      </c>
      <c r="X4918">
        <v>0.95124940000000002</v>
      </c>
      <c r="Y4918">
        <v>0.53835409999999995</v>
      </c>
      <c r="Z4918">
        <v>-8.4976019999999999E-3</v>
      </c>
      <c r="AA4918">
        <v>0.84267590000000003</v>
      </c>
      <c r="AB4918">
        <v>23</v>
      </c>
      <c r="AC4918">
        <v>12.7971</v>
      </c>
      <c r="AD4918">
        <v>-0.98634982999999998</v>
      </c>
      <c r="AE4918">
        <v>-100.112658</v>
      </c>
      <c r="AF4918">
        <v>54.437772624731601</v>
      </c>
      <c r="AG4918">
        <v>-0.98634982999999998</v>
      </c>
      <c r="AH4918">
        <v>84.975840558607004</v>
      </c>
      <c r="AI4918">
        <v>90.559980378050497</v>
      </c>
      <c r="AJ4918">
        <v>57.3553002187506</v>
      </c>
      <c r="AK4918">
        <v>100.92243285301301</v>
      </c>
      <c r="AL4918">
        <v>78.4655140850805</v>
      </c>
      <c r="AM4918">
        <v>76.133395988070106</v>
      </c>
      <c r="AN4918">
        <v>0.99999996071902897</v>
      </c>
    </row>
    <row r="4919" spans="1:40" x14ac:dyDescent="0.25">
      <c r="A4919" t="str">
        <f>"20190303170635462"</f>
        <v>20190303170635462</v>
      </c>
      <c r="B4919" t="str">
        <f>"1551603995450012"</f>
        <v>1551603995450012</v>
      </c>
      <c r="C4919" t="s">
        <v>40</v>
      </c>
      <c r="D4919">
        <v>5.5422630000000002</v>
      </c>
      <c r="E4919">
        <v>0.63187539999999998</v>
      </c>
      <c r="F4919" t="s">
        <v>105</v>
      </c>
      <c r="G4919">
        <v>-294.0992</v>
      </c>
      <c r="H4919">
        <v>0.20157720000000001</v>
      </c>
      <c r="I4919">
        <v>-91.564989999999995</v>
      </c>
      <c r="J4919">
        <v>-305.54050000000001</v>
      </c>
      <c r="K4919">
        <v>1.0621240000000001</v>
      </c>
      <c r="L4919">
        <v>8.3490599999999997</v>
      </c>
      <c r="M4919">
        <v>0.63017270000000003</v>
      </c>
      <c r="N4919">
        <v>-1.4793829999999999E-2</v>
      </c>
      <c r="O4919">
        <v>-0.77631419999999995</v>
      </c>
      <c r="P4919">
        <v>0.42296089999999997</v>
      </c>
      <c r="Q4919">
        <v>0.19252569999999999</v>
      </c>
      <c r="R4919">
        <v>-0.885459199999999</v>
      </c>
      <c r="S4919">
        <v>0.37399290000000002</v>
      </c>
      <c r="T4919">
        <v>-2.7778629999999999E-2</v>
      </c>
      <c r="U4919">
        <v>-3.2317809999999998</v>
      </c>
      <c r="V4919">
        <v>0.23427880000000001</v>
      </c>
      <c r="W4919">
        <v>0.2013741</v>
      </c>
      <c r="X4919">
        <v>0.95108459999999995</v>
      </c>
      <c r="Y4919">
        <v>0.53671709999999995</v>
      </c>
      <c r="Z4919">
        <v>-9.1382189999999995E-3</v>
      </c>
      <c r="AA4919">
        <v>0.84371269999999998</v>
      </c>
      <c r="AB4919">
        <v>23</v>
      </c>
      <c r="AC4919">
        <v>11.4413</v>
      </c>
      <c r="AD4919">
        <v>-0.86054679999999995</v>
      </c>
      <c r="AE4919">
        <v>-99.914050000000003</v>
      </c>
      <c r="AF4919">
        <v>54.083015835267197</v>
      </c>
      <c r="AG4919">
        <v>-0.86054679999999995</v>
      </c>
      <c r="AH4919">
        <v>84.777751871108094</v>
      </c>
      <c r="AI4919">
        <v>90.4903010745697</v>
      </c>
      <c r="AJ4919">
        <v>57.464617307658997</v>
      </c>
      <c r="AK4919">
        <v>100.56331515494</v>
      </c>
      <c r="AL4919">
        <v>78.382675836748007</v>
      </c>
      <c r="AM4919">
        <v>76.161939333430894</v>
      </c>
      <c r="AN4919">
        <v>1.0000000003187</v>
      </c>
    </row>
    <row r="4920" spans="1:40" x14ac:dyDescent="0.25">
      <c r="A4920" t="str">
        <f>"20190303170635486"</f>
        <v>20190303170635486</v>
      </c>
      <c r="B4920" t="str">
        <f>"1551603995469532"</f>
        <v>1551603995469532</v>
      </c>
      <c r="C4920" t="s">
        <v>40</v>
      </c>
      <c r="D4920">
        <v>5.4893989999999997</v>
      </c>
      <c r="E4920">
        <v>0.63080950000000002</v>
      </c>
      <c r="F4920" t="s">
        <v>105</v>
      </c>
      <c r="G4920">
        <v>-293.14830000000001</v>
      </c>
      <c r="H4920">
        <v>0.59410289999999999</v>
      </c>
      <c r="I4920">
        <v>-91.564989999999995</v>
      </c>
      <c r="J4920">
        <v>-305.40039999999999</v>
      </c>
      <c r="K4920">
        <v>1.0621430000000001</v>
      </c>
      <c r="L4920">
        <v>8.1494750000000007</v>
      </c>
      <c r="M4920">
        <v>0.61850850000000002</v>
      </c>
      <c r="N4920">
        <v>-1.476765E-2</v>
      </c>
      <c r="O4920">
        <v>-0.78563939999999999</v>
      </c>
      <c r="P4920">
        <v>0.40996959999999999</v>
      </c>
      <c r="Q4920">
        <v>0.19315550000000001</v>
      </c>
      <c r="R4920">
        <v>-0.89141269999999995</v>
      </c>
      <c r="S4920">
        <v>0.39709470000000002</v>
      </c>
      <c r="T4920">
        <v>-1.4996890000000001E-2</v>
      </c>
      <c r="U4920">
        <v>-3.20166</v>
      </c>
      <c r="V4920">
        <v>0.23390089999999999</v>
      </c>
      <c r="W4920">
        <v>0.2019957</v>
      </c>
      <c r="X4920">
        <v>0.95104580000000005</v>
      </c>
      <c r="Y4920">
        <v>0.51709349999999998</v>
      </c>
      <c r="Z4920">
        <v>-1.129785E-2</v>
      </c>
      <c r="AA4920">
        <v>0.85585440000000002</v>
      </c>
      <c r="AB4920">
        <v>23</v>
      </c>
      <c r="AC4920">
        <v>12.252099999999899</v>
      </c>
      <c r="AD4920">
        <v>-0.46804010000000001</v>
      </c>
      <c r="AE4920">
        <v>-99.714465000000004</v>
      </c>
      <c r="AF4920">
        <v>52.053055315282101</v>
      </c>
      <c r="AG4920">
        <v>-0.46804010000000001</v>
      </c>
      <c r="AH4920">
        <v>85.925140722510207</v>
      </c>
      <c r="AI4920">
        <v>90.266931569063701</v>
      </c>
      <c r="AJ4920">
        <v>58.792711588652502</v>
      </c>
      <c r="AK4920">
        <v>100.46327407253899</v>
      </c>
      <c r="AL4920">
        <v>78.346313592020707</v>
      </c>
      <c r="AM4920">
        <v>76.182862561451998</v>
      </c>
      <c r="AN4920">
        <v>1.00000000376847</v>
      </c>
    </row>
    <row r="4921" spans="1:40" x14ac:dyDescent="0.25">
      <c r="A4921" t="str">
        <f>"20190303170635508"</f>
        <v>20190303170635508</v>
      </c>
      <c r="B4921" t="str">
        <f>"1551603995499788"</f>
        <v>1551603995499788</v>
      </c>
      <c r="C4921" t="s">
        <v>40</v>
      </c>
      <c r="D4921">
        <v>5.7237450000000001</v>
      </c>
      <c r="E4921">
        <v>0.62864430000000004</v>
      </c>
      <c r="F4921" t="s">
        <v>105</v>
      </c>
      <c r="G4921">
        <v>-294.34949999999998</v>
      </c>
      <c r="H4921">
        <v>1.355413</v>
      </c>
      <c r="I4921">
        <v>-91.564989999999995</v>
      </c>
      <c r="J4921">
        <v>-305.26589999999999</v>
      </c>
      <c r="K4921">
        <v>1.0621499999999999</v>
      </c>
      <c r="L4921">
        <v>7.9517519999999999</v>
      </c>
      <c r="M4921">
        <v>0.60693199999999903</v>
      </c>
      <c r="N4921">
        <v>-1.473826E-2</v>
      </c>
      <c r="O4921">
        <v>-0.79461719999999902</v>
      </c>
      <c r="P4921">
        <v>0.39583659999999998</v>
      </c>
      <c r="Q4921">
        <v>0.1935558</v>
      </c>
      <c r="R4921">
        <v>-0.89769140000000003</v>
      </c>
      <c r="S4921">
        <v>0.35467530000000003</v>
      </c>
      <c r="T4921">
        <v>9.4128849999999993E-3</v>
      </c>
      <c r="U4921">
        <v>-3.2003170000000001</v>
      </c>
      <c r="V4921">
        <v>0.23494319999999999</v>
      </c>
      <c r="W4921">
        <v>0.20234779999999999</v>
      </c>
      <c r="X4921">
        <v>0.95071399999999995</v>
      </c>
      <c r="Y4921">
        <v>0.51574019999999998</v>
      </c>
      <c r="Z4921">
        <v>-1.6027659999999999E-2</v>
      </c>
      <c r="AA4921">
        <v>0.856595199999999</v>
      </c>
      <c r="AB4921">
        <v>23</v>
      </c>
      <c r="AC4921">
        <v>10.916399999999999</v>
      </c>
      <c r="AD4921">
        <v>0.293263</v>
      </c>
      <c r="AE4921">
        <v>-99.516741999999994</v>
      </c>
      <c r="AF4921">
        <v>51.730706663992201</v>
      </c>
      <c r="AG4921">
        <v>0.293263</v>
      </c>
      <c r="AH4921">
        <v>85.711794469245106</v>
      </c>
      <c r="AI4921">
        <v>89.832162521316903</v>
      </c>
      <c r="AJ4921">
        <v>58.887235804085499</v>
      </c>
      <c r="AK4921">
        <v>100.113254498499</v>
      </c>
      <c r="AL4921">
        <v>78.325714622429999</v>
      </c>
      <c r="AM4921">
        <v>76.119010178299305</v>
      </c>
      <c r="AN4921">
        <v>1.0000000245935301</v>
      </c>
    </row>
    <row r="4922" spans="1:40" x14ac:dyDescent="0.25">
      <c r="A4922" t="str">
        <f>"20190303170635529"</f>
        <v>20190303170635529</v>
      </c>
      <c r="B4922" t="str">
        <f>"1551603995519734"</f>
        <v>1551603995519734</v>
      </c>
      <c r="C4922" t="s">
        <v>40</v>
      </c>
      <c r="D4922">
        <v>5.725778</v>
      </c>
      <c r="E4922">
        <v>0.63129219999999997</v>
      </c>
      <c r="F4922" t="s">
        <v>105</v>
      </c>
      <c r="G4922">
        <v>-295.29250000000002</v>
      </c>
      <c r="H4922">
        <v>1.3969</v>
      </c>
      <c r="I4922">
        <v>-91.564989999999995</v>
      </c>
      <c r="J4922">
        <v>-305.1397</v>
      </c>
      <c r="K4922">
        <v>1.0621659999999999</v>
      </c>
      <c r="L4922">
        <v>7.7604059999999997</v>
      </c>
      <c r="M4922">
        <v>0.59571219999999903</v>
      </c>
      <c r="N4922">
        <v>-1.470963E-2</v>
      </c>
      <c r="O4922">
        <v>-0.80306319999999998</v>
      </c>
      <c r="P4922">
        <v>0.3829494</v>
      </c>
      <c r="Q4922">
        <v>0.1940818</v>
      </c>
      <c r="R4922">
        <v>-0.90315100000000004</v>
      </c>
      <c r="S4922">
        <v>0.32052609999999998</v>
      </c>
      <c r="T4922">
        <v>1.075864E-2</v>
      </c>
      <c r="U4922">
        <v>-3.1982729999999999</v>
      </c>
      <c r="V4922">
        <v>0.2351347</v>
      </c>
      <c r="W4922">
        <v>0.2028469</v>
      </c>
      <c r="X4922">
        <v>0.95056030000000002</v>
      </c>
      <c r="Y4922">
        <v>0.51269169999999997</v>
      </c>
      <c r="Z4922">
        <v>-1.636949E-2</v>
      </c>
      <c r="AA4922">
        <v>0.85841669999999903</v>
      </c>
      <c r="AB4922">
        <v>23</v>
      </c>
      <c r="AC4922">
        <v>9.8471999999999795</v>
      </c>
      <c r="AD4922">
        <v>0.33473399999999998</v>
      </c>
      <c r="AE4922">
        <v>-99.325395999999998</v>
      </c>
      <c r="AF4922">
        <v>51.266398859871899</v>
      </c>
      <c r="AG4922">
        <v>0.33473399999999998</v>
      </c>
      <c r="AH4922">
        <v>85.638974167234693</v>
      </c>
      <c r="AI4922">
        <v>89.807849502600803</v>
      </c>
      <c r="AJ4922">
        <v>59.093828085888397</v>
      </c>
      <c r="AK4922">
        <v>99.811770825522004</v>
      </c>
      <c r="AL4922">
        <v>78.296512872438001</v>
      </c>
      <c r="AM4922">
        <v>76.105974767229</v>
      </c>
      <c r="AN4922">
        <v>1.0000000379598899</v>
      </c>
    </row>
    <row r="4923" spans="1:40" x14ac:dyDescent="0.25">
      <c r="A4923" t="str">
        <f>"20190303170635551"</f>
        <v>20190303170635551</v>
      </c>
      <c r="B4923" t="str">
        <f>"1551603995540229"</f>
        <v>1551603995540229</v>
      </c>
      <c r="C4923" t="s">
        <v>40</v>
      </c>
      <c r="D4923">
        <v>5.7354370000000001</v>
      </c>
      <c r="E4923">
        <v>0.63422730000000005</v>
      </c>
      <c r="F4923" t="s">
        <v>105</v>
      </c>
      <c r="G4923">
        <v>-297.22120000000001</v>
      </c>
      <c r="H4923">
        <v>1.28027</v>
      </c>
      <c r="I4923">
        <v>-91.564989999999995</v>
      </c>
      <c r="J4923">
        <v>-305.01069999999999</v>
      </c>
      <c r="K4923">
        <v>1.062187</v>
      </c>
      <c r="L4923">
        <v>7.5585019999999998</v>
      </c>
      <c r="M4923">
        <v>0.58385859999999901</v>
      </c>
      <c r="N4923">
        <v>-1.4682880000000001E-2</v>
      </c>
      <c r="O4923">
        <v>-0.81172279999999997</v>
      </c>
      <c r="P4923">
        <v>0.37050070000000002</v>
      </c>
      <c r="Q4923">
        <v>0.1948202</v>
      </c>
      <c r="R4923">
        <v>-0.90817110000000001</v>
      </c>
      <c r="S4923">
        <v>0.25604250000000001</v>
      </c>
      <c r="T4923">
        <v>7.0526599999999997E-3</v>
      </c>
      <c r="U4923">
        <v>-3.2116389999999999</v>
      </c>
      <c r="V4923">
        <v>0.2341579</v>
      </c>
      <c r="W4923">
        <v>0.20359070000000001</v>
      </c>
      <c r="X4923">
        <v>0.95064230000000005</v>
      </c>
      <c r="Y4923">
        <v>0.51752379999999998</v>
      </c>
      <c r="Z4923">
        <v>-1.573138E-2</v>
      </c>
      <c r="AA4923">
        <v>0.85552419999999996</v>
      </c>
      <c r="AB4923">
        <v>23</v>
      </c>
      <c r="AC4923">
        <v>7.7894999999999701</v>
      </c>
      <c r="AD4923">
        <v>0.218083</v>
      </c>
      <c r="AE4923">
        <v>-99.123491999999999</v>
      </c>
      <c r="AF4923">
        <v>51.556489094897998</v>
      </c>
      <c r="AG4923">
        <v>0.218083</v>
      </c>
      <c r="AH4923">
        <v>85.017505779858993</v>
      </c>
      <c r="AI4923">
        <v>89.874329774457905</v>
      </c>
      <c r="AJ4923">
        <v>58.766454219093497</v>
      </c>
      <c r="AK4923">
        <v>99.428846000622897</v>
      </c>
      <c r="AL4923">
        <v>78.252986874893594</v>
      </c>
      <c r="AM4923">
        <v>76.162618316559403</v>
      </c>
      <c r="AN4923">
        <v>0.999999938904093</v>
      </c>
    </row>
    <row r="4924" spans="1:40" x14ac:dyDescent="0.25">
      <c r="A4924" t="str">
        <f>"20190303170635574"</f>
        <v>20190303170635574</v>
      </c>
      <c r="B4924" t="str">
        <f>"1551603995559749"</f>
        <v>1551603995559749</v>
      </c>
      <c r="C4924" t="s">
        <v>40</v>
      </c>
      <c r="D4924">
        <v>5.721184</v>
      </c>
      <c r="E4924">
        <v>0.63529820000000004</v>
      </c>
      <c r="F4924" t="s">
        <v>105</v>
      </c>
      <c r="G4924">
        <v>-299.21069999999997</v>
      </c>
      <c r="H4924">
        <v>1.2965580000000001</v>
      </c>
      <c r="I4924">
        <v>-90.976820000000004</v>
      </c>
      <c r="J4924">
        <v>-304.88350000000003</v>
      </c>
      <c r="K4924">
        <v>1.0622039999999999</v>
      </c>
      <c r="L4924">
        <v>7.3529359999999997</v>
      </c>
      <c r="M4924">
        <v>0.57176939999999998</v>
      </c>
      <c r="N4924">
        <v>-1.46585E-2</v>
      </c>
      <c r="O4924">
        <v>-0.82028349999999906</v>
      </c>
      <c r="P4924">
        <v>0.35790260000000002</v>
      </c>
      <c r="Q4924">
        <v>0.19509199999999999</v>
      </c>
      <c r="R4924">
        <v>-0.91315139999999995</v>
      </c>
      <c r="S4924">
        <v>0.18978880000000001</v>
      </c>
      <c r="T4924">
        <v>7.6695679999999999E-3</v>
      </c>
      <c r="U4924">
        <v>-3.2242739999999999</v>
      </c>
      <c r="V4924">
        <v>0.23318710000000001</v>
      </c>
      <c r="W4924">
        <v>0.2038722</v>
      </c>
      <c r="X4924">
        <v>0.95082060000000002</v>
      </c>
      <c r="Y4924">
        <v>0.52259929999999999</v>
      </c>
      <c r="Z4924">
        <v>-1.5954949999999999E-2</v>
      </c>
      <c r="AA4924">
        <v>0.8524292</v>
      </c>
      <c r="AB4924">
        <v>23</v>
      </c>
      <c r="AC4924">
        <v>5.6728000000000502</v>
      </c>
      <c r="AD4924">
        <v>0.23435399999999901</v>
      </c>
      <c r="AE4924">
        <v>-98.329756000000003</v>
      </c>
      <c r="AF4924">
        <v>51.573886998296103</v>
      </c>
      <c r="AG4924">
        <v>0.23435399999999901</v>
      </c>
      <c r="AH4924">
        <v>83.910344487939597</v>
      </c>
      <c r="AI4924">
        <v>89.863670404762004</v>
      </c>
      <c r="AJ4924">
        <v>58.423832868810102</v>
      </c>
      <c r="AK4924">
        <v>98.492977688742002</v>
      </c>
      <c r="AL4924">
        <v>78.236512791212803</v>
      </c>
      <c r="AM4924">
        <v>76.220281167722106</v>
      </c>
      <c r="AN4924">
        <v>0.99999995546180398</v>
      </c>
    </row>
    <row r="4925" spans="1:40" x14ac:dyDescent="0.25">
      <c r="A4925" t="str">
        <f>"20190303170635596"</f>
        <v>20190303170635596</v>
      </c>
      <c r="B4925" t="str">
        <f>"1551603995590005"</f>
        <v>1551603995590005</v>
      </c>
      <c r="C4925" t="s">
        <v>40</v>
      </c>
      <c r="D4925">
        <v>5.6945649999999999</v>
      </c>
      <c r="E4925">
        <v>0.63642209999999999</v>
      </c>
      <c r="F4925" t="s">
        <v>105</v>
      </c>
      <c r="G4925">
        <v>-300.71510000000001</v>
      </c>
      <c r="H4925">
        <v>1.282751</v>
      </c>
      <c r="I4925">
        <v>-90.976820000000004</v>
      </c>
      <c r="J4925">
        <v>-304.75920000000002</v>
      </c>
      <c r="K4925">
        <v>1.0622130000000001</v>
      </c>
      <c r="L4925">
        <v>7.1452030000000004</v>
      </c>
      <c r="M4925">
        <v>0.55953280000000005</v>
      </c>
      <c r="N4925">
        <v>-1.463248E-2</v>
      </c>
      <c r="O4925">
        <v>-0.82867930000000001</v>
      </c>
      <c r="P4925">
        <v>0.34447149999999999</v>
      </c>
      <c r="Q4925">
        <v>0.1948172</v>
      </c>
      <c r="R4925">
        <v>-0.91836050000000002</v>
      </c>
      <c r="S4925">
        <v>0.13693239999999901</v>
      </c>
      <c r="T4925">
        <v>7.2454210000000002E-3</v>
      </c>
      <c r="U4925">
        <v>-3.2301329999999999</v>
      </c>
      <c r="V4925">
        <v>0.23303979999999999</v>
      </c>
      <c r="W4925">
        <v>0.20358470000000001</v>
      </c>
      <c r="X4925">
        <v>0.95091840000000005</v>
      </c>
      <c r="Y4925">
        <v>0.52394799999999997</v>
      </c>
      <c r="Z4925">
        <v>-1.5946249999999999E-2</v>
      </c>
      <c r="AA4925">
        <v>0.85160089999999999</v>
      </c>
      <c r="AB4925">
        <v>23</v>
      </c>
      <c r="AC4925">
        <v>4.04410000000001</v>
      </c>
      <c r="AD4925">
        <v>0.22053800000000001</v>
      </c>
      <c r="AE4925">
        <v>-98.122022999999899</v>
      </c>
      <c r="AF4925">
        <v>51.556476499737101</v>
      </c>
      <c r="AG4925">
        <v>0.22053800000000001</v>
      </c>
      <c r="AH4925">
        <v>83.583004253685004</v>
      </c>
      <c r="AI4925">
        <v>89.871331428122105</v>
      </c>
      <c r="AJ4925">
        <v>58.332483289082703</v>
      </c>
      <c r="AK4925">
        <v>98.205078820542198</v>
      </c>
      <c r="AL4925">
        <v>78.2533392192571</v>
      </c>
      <c r="AM4925">
        <v>76.230016517203694</v>
      </c>
      <c r="AN4925">
        <v>1.0000000409583401</v>
      </c>
    </row>
    <row r="4926" spans="1:40" x14ac:dyDescent="0.25">
      <c r="A4926" t="str">
        <f>"20190303170635618"</f>
        <v>20190303170635618</v>
      </c>
      <c r="B4926" t="str">
        <f>"1551603995609858"</f>
        <v>1551603995609858</v>
      </c>
      <c r="C4926" t="s">
        <v>40</v>
      </c>
      <c r="D4926">
        <v>5.7412140000000003</v>
      </c>
      <c r="E4926">
        <v>0.63651669999999905</v>
      </c>
      <c r="F4926" t="s">
        <v>105</v>
      </c>
      <c r="G4926">
        <v>-302.2407</v>
      </c>
      <c r="H4926">
        <v>1.0968530000000001</v>
      </c>
      <c r="I4926">
        <v>-91.564989999999995</v>
      </c>
      <c r="J4926">
        <v>-304.6429</v>
      </c>
      <c r="K4926">
        <v>1.062222</v>
      </c>
      <c r="L4926">
        <v>6.944458</v>
      </c>
      <c r="M4926">
        <v>0.54768930000000005</v>
      </c>
      <c r="N4926">
        <v>-1.460524E-2</v>
      </c>
      <c r="O4926">
        <v>-0.83655440000000003</v>
      </c>
      <c r="P4926">
        <v>0.33165280000000003</v>
      </c>
      <c r="Q4926">
        <v>0.19476350000000001</v>
      </c>
      <c r="R4926">
        <v>-0.92307870000000003</v>
      </c>
      <c r="S4926">
        <v>8.255005E-2</v>
      </c>
      <c r="T4926">
        <v>1.1358259999999999E-3</v>
      </c>
      <c r="U4926">
        <v>-3.235474</v>
      </c>
      <c r="V4926">
        <v>0.2327506</v>
      </c>
      <c r="W4926">
        <v>0.2035188</v>
      </c>
      <c r="X4926">
        <v>0.9510033</v>
      </c>
      <c r="Y4926">
        <v>0.52617860000000005</v>
      </c>
      <c r="Z4926">
        <v>-1.473348E-2</v>
      </c>
      <c r="AA4926">
        <v>0.85024639999999996</v>
      </c>
      <c r="AB4926">
        <v>23</v>
      </c>
      <c r="AC4926">
        <v>2.4021999999999899</v>
      </c>
      <c r="AD4926">
        <v>3.4631000000000002E-2</v>
      </c>
      <c r="AE4926">
        <v>-98.509447999999907</v>
      </c>
      <c r="AF4926">
        <v>51.948530361597797</v>
      </c>
      <c r="AG4926">
        <v>3.4631000000000002E-2</v>
      </c>
      <c r="AH4926">
        <v>83.733086081685599</v>
      </c>
      <c r="AI4926">
        <v>89.979863651151206</v>
      </c>
      <c r="AJ4926">
        <v>58.184276668489403</v>
      </c>
      <c r="AK4926">
        <v>98.538726959500494</v>
      </c>
      <c r="AL4926">
        <v>78.257195384036393</v>
      </c>
      <c r="AM4926">
        <v>76.247636847087804</v>
      </c>
      <c r="AN4926">
        <v>1.0000000101823401</v>
      </c>
    </row>
    <row r="4927" spans="1:40" x14ac:dyDescent="0.25">
      <c r="A4927" t="str">
        <f>"20190303170635641"</f>
        <v>20190303170635641</v>
      </c>
      <c r="B4927" t="str">
        <f>"1551603995629378"</f>
        <v>1551603995629378</v>
      </c>
      <c r="C4927" t="s">
        <v>40</v>
      </c>
      <c r="D4927">
        <v>5.533112</v>
      </c>
      <c r="E4927">
        <v>0.63630750000000003</v>
      </c>
      <c r="F4927" t="s">
        <v>105</v>
      </c>
      <c r="G4927">
        <v>-303.5034</v>
      </c>
      <c r="H4927">
        <v>0.98040720000000003</v>
      </c>
      <c r="I4927">
        <v>-91.564989999999995</v>
      </c>
      <c r="J4927">
        <v>-304.52749999999997</v>
      </c>
      <c r="K4927">
        <v>1.0622320000000001</v>
      </c>
      <c r="L4927">
        <v>6.7383419999999896</v>
      </c>
      <c r="M4927">
        <v>0.53551199999999999</v>
      </c>
      <c r="N4927">
        <v>-1.457527E-2</v>
      </c>
      <c r="O4927">
        <v>-0.84440199999999999</v>
      </c>
      <c r="P4927">
        <v>0.31904009999999999</v>
      </c>
      <c r="Q4927">
        <v>0.19506879999999999</v>
      </c>
      <c r="R4927">
        <v>-0.92744890000000002</v>
      </c>
      <c r="S4927">
        <v>3.7445069999999997E-2</v>
      </c>
      <c r="T4927">
        <v>-2.68805E-3</v>
      </c>
      <c r="U4927">
        <v>-3.2370909999999999</v>
      </c>
      <c r="V4927">
        <v>0.23189889999999999</v>
      </c>
      <c r="W4927">
        <v>0.2038227</v>
      </c>
      <c r="X4927">
        <v>0.95114620000000005</v>
      </c>
      <c r="Y4927">
        <v>0.52570699999999904</v>
      </c>
      <c r="Z4927">
        <v>-1.395157E-2</v>
      </c>
      <c r="AA4927">
        <v>0.85055130000000001</v>
      </c>
      <c r="AB4927">
        <v>23</v>
      </c>
      <c r="AC4927">
        <v>1.02409999999997</v>
      </c>
      <c r="AD4927">
        <v>-8.1824800000000003E-2</v>
      </c>
      <c r="AE4927">
        <v>-98.303331999999997</v>
      </c>
      <c r="AF4927">
        <v>51.783319440329301</v>
      </c>
      <c r="AG4927">
        <v>-8.1824800000000003E-2</v>
      </c>
      <c r="AH4927">
        <v>83.564755132000201</v>
      </c>
      <c r="AI4927">
        <v>90.047688754641499</v>
      </c>
      <c r="AJ4927">
        <v>58.214376430825602</v>
      </c>
      <c r="AK4927">
        <v>98.308632214207094</v>
      </c>
      <c r="AL4927">
        <v>78.239409616190301</v>
      </c>
      <c r="AM4927">
        <v>76.298041215152296</v>
      </c>
      <c r="AN4927">
        <v>0.99999994331546804</v>
      </c>
    </row>
    <row r="4928" spans="1:40" x14ac:dyDescent="0.25">
      <c r="A4928" t="str">
        <f>"20190303170635663"</f>
        <v>20190303170635663</v>
      </c>
      <c r="B4928" t="str">
        <f>"1551603995649875"</f>
        <v>1551603995649875</v>
      </c>
      <c r="C4928" t="s">
        <v>40</v>
      </c>
      <c r="D4928">
        <v>5.4486549999999996</v>
      </c>
      <c r="E4928">
        <v>0.63627419999999901</v>
      </c>
      <c r="F4928" t="s">
        <v>105</v>
      </c>
      <c r="G4928">
        <v>-304.71839999999997</v>
      </c>
      <c r="H4928">
        <v>1.059771</v>
      </c>
      <c r="I4928">
        <v>-91.564989999999995</v>
      </c>
      <c r="J4928">
        <v>-304.41309999999999</v>
      </c>
      <c r="K4928">
        <v>1.062235</v>
      </c>
      <c r="L4928">
        <v>6.5269779999999997</v>
      </c>
      <c r="M4928">
        <v>0.523007</v>
      </c>
      <c r="N4928">
        <v>-1.45438999999999E-2</v>
      </c>
      <c r="O4928">
        <v>-0.85220439999999997</v>
      </c>
      <c r="P4928">
        <v>0.30685889999999999</v>
      </c>
      <c r="Q4928">
        <v>0.19444539999999999</v>
      </c>
      <c r="R4928">
        <v>-0.93168070000000003</v>
      </c>
      <c r="S4928">
        <v>-6.286621E-3</v>
      </c>
      <c r="T4928" s="1">
        <v>-8.0585479999999995E-5</v>
      </c>
      <c r="U4928">
        <v>-3.2368769999999998</v>
      </c>
      <c r="V4928">
        <v>0.23038600000000001</v>
      </c>
      <c r="W4928">
        <v>0.20321629999999999</v>
      </c>
      <c r="X4928">
        <v>0.95164349999999998</v>
      </c>
      <c r="Y4928">
        <v>0.52466089999999999</v>
      </c>
      <c r="Z4928">
        <v>-1.453435E-2</v>
      </c>
      <c r="AA4928">
        <v>0.85118729999999998</v>
      </c>
      <c r="AB4928">
        <v>23</v>
      </c>
      <c r="AC4928">
        <v>-0.30529999999998803</v>
      </c>
      <c r="AD4928">
        <v>-2.46400000000002E-3</v>
      </c>
      <c r="AE4928">
        <v>-98.091967999999994</v>
      </c>
      <c r="AF4928">
        <v>51.568413363909002</v>
      </c>
      <c r="AG4928">
        <v>-2.46400000000002E-3</v>
      </c>
      <c r="AH4928">
        <v>83.443550530819493</v>
      </c>
      <c r="AI4928">
        <v>90.001439221986004</v>
      </c>
      <c r="AJ4928">
        <v>58.283786138063903</v>
      </c>
      <c r="AK4928">
        <v>98.092443073519803</v>
      </c>
      <c r="AL4928">
        <v>78.274896714311296</v>
      </c>
      <c r="AM4928">
        <v>76.390944901341797</v>
      </c>
      <c r="AN4928">
        <v>0.99999996233696897</v>
      </c>
    </row>
    <row r="4929" spans="1:40" x14ac:dyDescent="0.25">
      <c r="A4929" t="str">
        <f>"20190303170635686"</f>
        <v>20190303170635686</v>
      </c>
      <c r="B4929" t="str">
        <f>"1551603995680130"</f>
        <v>1551603995680130</v>
      </c>
      <c r="C4929" t="s">
        <v>40</v>
      </c>
      <c r="D4929">
        <v>5.5706980000000001</v>
      </c>
      <c r="E4929">
        <v>0.63507769999999997</v>
      </c>
      <c r="F4929" t="s">
        <v>105</v>
      </c>
      <c r="G4929">
        <v>-305.94589999999999</v>
      </c>
      <c r="H4929">
        <v>1.150414</v>
      </c>
      <c r="I4929">
        <v>-91.564989999999995</v>
      </c>
      <c r="J4929">
        <v>-304.29969999999997</v>
      </c>
      <c r="K4929">
        <v>1.062233</v>
      </c>
      <c r="L4929">
        <v>6.3091739999999996</v>
      </c>
      <c r="M4929">
        <v>0.51011779999999995</v>
      </c>
      <c r="N4929">
        <v>-1.4514549999999999E-2</v>
      </c>
      <c r="O4929">
        <v>-0.85998209999999997</v>
      </c>
      <c r="P4929">
        <v>0.29364600000000002</v>
      </c>
      <c r="Q4929">
        <v>0.19451879999999999</v>
      </c>
      <c r="R4929">
        <v>-0.93591400000000002</v>
      </c>
      <c r="S4929">
        <v>-5.0567630000000002E-2</v>
      </c>
      <c r="T4929">
        <v>2.909422E-3</v>
      </c>
      <c r="U4929">
        <v>-3.2360229999999999</v>
      </c>
      <c r="V4929">
        <v>0.22950809999999999</v>
      </c>
      <c r="W4929">
        <v>0.20329140000000001</v>
      </c>
      <c r="X4929">
        <v>0.95183960000000001</v>
      </c>
      <c r="Y4929">
        <v>0.52349409999999996</v>
      </c>
      <c r="Z4929">
        <v>-1.5220340000000001E-2</v>
      </c>
      <c r="AA4929">
        <v>0.85189340000000002</v>
      </c>
      <c r="AB4929">
        <v>23</v>
      </c>
      <c r="AC4929">
        <v>-1.6462000000000201</v>
      </c>
      <c r="AD4929">
        <v>8.8180999999999995E-2</v>
      </c>
      <c r="AE4929">
        <v>-97.874163999999993</v>
      </c>
      <c r="AF4929">
        <v>51.348421815084301</v>
      </c>
      <c r="AG4929">
        <v>8.8180999999999995E-2</v>
      </c>
      <c r="AH4929">
        <v>83.338982346081394</v>
      </c>
      <c r="AI4929">
        <v>89.948385895154601</v>
      </c>
      <c r="AJ4929">
        <v>58.361145437642698</v>
      </c>
      <c r="AK4929">
        <v>97.887967479507196</v>
      </c>
      <c r="AL4929">
        <v>78.270502428826305</v>
      </c>
      <c r="AM4929">
        <v>76.4435753706545</v>
      </c>
      <c r="AN4929">
        <v>0.99999999270386497</v>
      </c>
    </row>
    <row r="4930" spans="1:40" x14ac:dyDescent="0.25">
      <c r="A4930" t="str">
        <f>"20190303170635708"</f>
        <v>20190303170635708</v>
      </c>
      <c r="B4930" t="str">
        <f>"1551603995699650"</f>
        <v>1551603995699650</v>
      </c>
      <c r="C4930" t="s">
        <v>40</v>
      </c>
      <c r="D4930">
        <v>5.5061210000000003</v>
      </c>
      <c r="E4930">
        <v>0.63464560000000003</v>
      </c>
      <c r="F4930" t="s">
        <v>105</v>
      </c>
      <c r="G4930">
        <v>-306.93439999999998</v>
      </c>
      <c r="H4930">
        <v>1.1542539999999999</v>
      </c>
      <c r="I4930">
        <v>-91.564989999999995</v>
      </c>
      <c r="J4930">
        <v>-304.19310000000002</v>
      </c>
      <c r="K4930">
        <v>1.0622450000000001</v>
      </c>
      <c r="L4930">
        <v>6.0972289999999996</v>
      </c>
      <c r="M4930">
        <v>0.49755319999999997</v>
      </c>
      <c r="N4930">
        <v>-1.448867E-2</v>
      </c>
      <c r="O4930">
        <v>-0.86731259999999999</v>
      </c>
      <c r="P4930">
        <v>0.28088879999999999</v>
      </c>
      <c r="Q4930">
        <v>0.195518</v>
      </c>
      <c r="R4930">
        <v>-0.93961399999999995</v>
      </c>
      <c r="S4930">
        <v>-8.7005620000000006E-2</v>
      </c>
      <c r="T4930">
        <v>3.0392409999999998E-3</v>
      </c>
      <c r="U4930">
        <v>-3.2320859999999998</v>
      </c>
      <c r="V4930">
        <v>0.22851669999999999</v>
      </c>
      <c r="W4930">
        <v>0.20429559999999999</v>
      </c>
      <c r="X4930">
        <v>0.95186309999999996</v>
      </c>
      <c r="Y4930">
        <v>0.52071239999999996</v>
      </c>
      <c r="Z4930">
        <v>-1.527682E-2</v>
      </c>
      <c r="AA4930">
        <v>0.8535954</v>
      </c>
      <c r="AB4930">
        <v>23</v>
      </c>
      <c r="AC4930">
        <v>-2.7412999999999599</v>
      </c>
      <c r="AD4930">
        <v>9.2008999999999994E-2</v>
      </c>
      <c r="AE4930">
        <v>-97.662218999999993</v>
      </c>
      <c r="AF4930">
        <v>50.975012579314097</v>
      </c>
      <c r="AG4930">
        <v>9.2008999999999994E-2</v>
      </c>
      <c r="AH4930">
        <v>83.348394747247994</v>
      </c>
      <c r="AI4930">
        <v>89.946042031099296</v>
      </c>
      <c r="AJ4930">
        <v>58.5504771757521</v>
      </c>
      <c r="AK4930">
        <v>97.700641144571804</v>
      </c>
      <c r="AL4930">
        <v>78.211732356807701</v>
      </c>
      <c r="AM4930">
        <v>76.500308005491107</v>
      </c>
      <c r="AN4930">
        <v>0.99999996774992905</v>
      </c>
    </row>
    <row r="4931" spans="1:40" x14ac:dyDescent="0.25">
      <c r="A4931" t="str">
        <f>"20190303170635730"</f>
        <v>20190303170635730</v>
      </c>
      <c r="B4931" t="str">
        <f>"1551603995720146"</f>
        <v>1551603995720146</v>
      </c>
      <c r="C4931" t="s">
        <v>40</v>
      </c>
      <c r="D4931">
        <v>5.5197669999999999</v>
      </c>
      <c r="E4931">
        <v>0.62047109999999905</v>
      </c>
      <c r="F4931" t="s">
        <v>105</v>
      </c>
      <c r="G4931">
        <v>-308.00729999999999</v>
      </c>
      <c r="H4931">
        <v>1.189255</v>
      </c>
      <c r="I4931">
        <v>-91.564989999999995</v>
      </c>
      <c r="J4931">
        <v>-304.09100000000001</v>
      </c>
      <c r="K4931">
        <v>1.0622659999999999</v>
      </c>
      <c r="L4931">
        <v>5.8863830000000004</v>
      </c>
      <c r="M4931">
        <v>0.48503879999999999</v>
      </c>
      <c r="N4931">
        <v>-1.4464889999999999E-2</v>
      </c>
      <c r="O4931">
        <v>-0.87437319999999996</v>
      </c>
      <c r="P4931">
        <v>0.26893260000000002</v>
      </c>
      <c r="Q4931">
        <v>0.19561319999999999</v>
      </c>
      <c r="R4931">
        <v>-0.94308599999999998</v>
      </c>
      <c r="S4931">
        <v>-0.1261292</v>
      </c>
      <c r="T4931">
        <v>4.200578E-3</v>
      </c>
      <c r="U4931">
        <v>-3.2296140000000002</v>
      </c>
      <c r="V4931">
        <v>0.22690840000000001</v>
      </c>
      <c r="W4931">
        <v>0.20441609999999999</v>
      </c>
      <c r="X4931">
        <v>0.95222200000000001</v>
      </c>
      <c r="Y4931">
        <v>0.51879120000000001</v>
      </c>
      <c r="Z4931">
        <v>-1.557181E-2</v>
      </c>
      <c r="AA4931">
        <v>0.85475919999999905</v>
      </c>
      <c r="AB4931">
        <v>23</v>
      </c>
      <c r="AC4931">
        <v>-3.9162999999999699</v>
      </c>
      <c r="AD4931">
        <v>0.12698899999999999</v>
      </c>
      <c r="AE4931">
        <v>-97.451373000000004</v>
      </c>
      <c r="AF4931">
        <v>50.697213671943103</v>
      </c>
      <c r="AG4931">
        <v>0.12698899999999999</v>
      </c>
      <c r="AH4931">
        <v>83.317871905409604</v>
      </c>
      <c r="AI4931">
        <v>89.925397934566107</v>
      </c>
      <c r="AJ4931">
        <v>58.680346181827801</v>
      </c>
      <c r="AK4931">
        <v>97.529951190139698</v>
      </c>
      <c r="AL4931">
        <v>78.204680365063794</v>
      </c>
      <c r="AM4931">
        <v>76.5967476306012</v>
      </c>
      <c r="AN4931">
        <v>1.00000005060688</v>
      </c>
    </row>
    <row r="4932" spans="1:40" x14ac:dyDescent="0.25">
      <c r="A4932" t="str">
        <f>"20190303170635752"</f>
        <v>20190303170635752</v>
      </c>
      <c r="B4932" t="str">
        <f>"1551603995739667"</f>
        <v>1551603995739667</v>
      </c>
      <c r="C4932" t="s">
        <v>40</v>
      </c>
      <c r="D4932">
        <v>5.5330969999999997</v>
      </c>
      <c r="E4932">
        <v>0.61916859999999996</v>
      </c>
      <c r="F4932" t="s">
        <v>105</v>
      </c>
      <c r="G4932">
        <v>-305.9246</v>
      </c>
      <c r="H4932">
        <v>1.7370779999999999</v>
      </c>
      <c r="I4932">
        <v>-91.564989999999995</v>
      </c>
      <c r="J4932">
        <v>-303.9932</v>
      </c>
      <c r="K4932">
        <v>1.0622739999999999</v>
      </c>
      <c r="L4932">
        <v>5.6770319999999996</v>
      </c>
      <c r="M4932">
        <v>0.47259770000000001</v>
      </c>
      <c r="N4932">
        <v>-1.444321E-2</v>
      </c>
      <c r="O4932">
        <v>-0.8811599</v>
      </c>
      <c r="P4932">
        <v>0.25851229999999997</v>
      </c>
      <c r="Q4932">
        <v>0.19473470000000001</v>
      </c>
      <c r="R4932">
        <v>-0.94617629999999997</v>
      </c>
      <c r="S4932">
        <v>-6.0089110000000001E-2</v>
      </c>
      <c r="T4932">
        <v>2.2114869999999998E-2</v>
      </c>
      <c r="U4932">
        <v>-3.1936040000000001</v>
      </c>
      <c r="V4932">
        <v>0.2239671</v>
      </c>
      <c r="W4932">
        <v>0.20360139999999999</v>
      </c>
      <c r="X4932">
        <v>0.95309239999999995</v>
      </c>
      <c r="Y4932">
        <v>0.48911179999999899</v>
      </c>
      <c r="Z4932">
        <v>-1.975704E-2</v>
      </c>
      <c r="AA4932">
        <v>0.87199740000000003</v>
      </c>
      <c r="AB4932">
        <v>23</v>
      </c>
      <c r="AC4932">
        <v>-1.93139999999999</v>
      </c>
      <c r="AD4932">
        <v>0.67480399999999996</v>
      </c>
      <c r="AE4932">
        <v>-97.242021999999906</v>
      </c>
      <c r="AF4932">
        <v>47.660906527879597</v>
      </c>
      <c r="AG4932">
        <v>0.67480399999999996</v>
      </c>
      <c r="AH4932">
        <v>84.777759361914903</v>
      </c>
      <c r="AI4932">
        <v>89.602465714720793</v>
      </c>
      <c r="AJ4932">
        <v>60.655895895767898</v>
      </c>
      <c r="AK4932">
        <v>97.258860027888701</v>
      </c>
      <c r="AL4932">
        <v>78.252360915642996</v>
      </c>
      <c r="AM4932">
        <v>76.775996513974306</v>
      </c>
      <c r="AN4932">
        <v>0.99999995745106396</v>
      </c>
    </row>
    <row r="4933" spans="1:40" x14ac:dyDescent="0.25">
      <c r="A4933" t="str">
        <f>"20190303170635775"</f>
        <v>20190303170635775</v>
      </c>
      <c r="B4933" t="str">
        <f>"1551603995769922"</f>
        <v>1551603995769922</v>
      </c>
      <c r="C4933" t="s">
        <v>40</v>
      </c>
      <c r="D4933">
        <v>5.5193580000000004</v>
      </c>
      <c r="E4933">
        <v>0.60984819999999995</v>
      </c>
      <c r="F4933" t="s">
        <v>105</v>
      </c>
      <c r="G4933">
        <v>-306.61040000000003</v>
      </c>
      <c r="H4933">
        <v>1.559016</v>
      </c>
      <c r="I4933">
        <v>-91.564989999999995</v>
      </c>
      <c r="J4933">
        <v>-303.89139999999998</v>
      </c>
      <c r="K4933">
        <v>1.0622860000000001</v>
      </c>
      <c r="L4933">
        <v>5.4506230000000002</v>
      </c>
      <c r="M4933">
        <v>0.45912839999999999</v>
      </c>
      <c r="N4933">
        <v>-1.4421949999999999E-2</v>
      </c>
      <c r="O4933">
        <v>-0.88825299999999996</v>
      </c>
      <c r="P4933">
        <v>0.2462926</v>
      </c>
      <c r="Q4933">
        <v>0.1943896</v>
      </c>
      <c r="R4933">
        <v>-0.9495017</v>
      </c>
      <c r="S4933">
        <v>-8.5876460000000002E-2</v>
      </c>
      <c r="T4933">
        <v>1.6299839999999999E-2</v>
      </c>
      <c r="U4933">
        <v>-3.1907649999999999</v>
      </c>
      <c r="V4933">
        <v>0.2217557</v>
      </c>
      <c r="W4933">
        <v>0.20330029999999999</v>
      </c>
      <c r="X4933">
        <v>0.95367360000000001</v>
      </c>
      <c r="Y4933">
        <v>0.48287350000000001</v>
      </c>
      <c r="Z4933">
        <v>-1.844871E-2</v>
      </c>
      <c r="AA4933">
        <v>0.87549580000000005</v>
      </c>
      <c r="AB4933">
        <v>23</v>
      </c>
      <c r="AC4933">
        <v>-2.71900000000005</v>
      </c>
      <c r="AD4933">
        <v>0.49672999999999901</v>
      </c>
      <c r="AE4933">
        <v>-97.015613000000002</v>
      </c>
      <c r="AF4933">
        <v>46.961430731789903</v>
      </c>
      <c r="AG4933">
        <v>0.49672999999999901</v>
      </c>
      <c r="AH4933">
        <v>84.932636179460502</v>
      </c>
      <c r="AI4933">
        <v>89.7067496924344</v>
      </c>
      <c r="AJ4933">
        <v>61.060669815855299</v>
      </c>
      <c r="AK4933">
        <v>97.0524363705632</v>
      </c>
      <c r="AL4933">
        <v>78.269981337340695</v>
      </c>
      <c r="AM4933">
        <v>76.909751758660803</v>
      </c>
      <c r="AN4933">
        <v>0.99999996889976905</v>
      </c>
    </row>
    <row r="4934" spans="1:40" x14ac:dyDescent="0.25">
      <c r="A4934" t="str">
        <f>"20190303170635797"</f>
        <v>20190303170635797</v>
      </c>
      <c r="B4934" t="str">
        <f>"1551603995789446"</f>
        <v>1551603995789446</v>
      </c>
      <c r="C4934" t="s">
        <v>40</v>
      </c>
      <c r="D4934">
        <v>5.4952550000000002</v>
      </c>
      <c r="E4934">
        <v>0.60978500000000002</v>
      </c>
      <c r="F4934" t="s">
        <v>105</v>
      </c>
      <c r="G4934">
        <v>-305.58139999999997</v>
      </c>
      <c r="H4934">
        <v>1.4899150000000001</v>
      </c>
      <c r="I4934">
        <v>-91.564989999999995</v>
      </c>
      <c r="J4934">
        <v>-303.8005</v>
      </c>
      <c r="K4934">
        <v>1.0623</v>
      </c>
      <c r="L4934">
        <v>5.2402340000000001</v>
      </c>
      <c r="M4934">
        <v>0.44660129999999998</v>
      </c>
      <c r="N4934">
        <v>-1.440409E-2</v>
      </c>
      <c r="O4934">
        <v>-0.89461710000000005</v>
      </c>
      <c r="P4934">
        <v>0.23411209999999999</v>
      </c>
      <c r="Q4934">
        <v>0.19517480000000001</v>
      </c>
      <c r="R4934">
        <v>-0.95241710000000002</v>
      </c>
      <c r="S4934">
        <v>-5.5236819999999999E-2</v>
      </c>
      <c r="T4934">
        <v>1.397777E-2</v>
      </c>
      <c r="U4934">
        <v>-3.1710210000000001</v>
      </c>
      <c r="V4934">
        <v>0.2205039</v>
      </c>
      <c r="W4934">
        <v>0.20410420000000001</v>
      </c>
      <c r="X4934">
        <v>0.95379219999999998</v>
      </c>
      <c r="Y4934">
        <v>0.46212690000000001</v>
      </c>
      <c r="Z4934">
        <v>-1.7923910000000001E-2</v>
      </c>
      <c r="AA4934">
        <v>0.88663259999999899</v>
      </c>
      <c r="AB4934">
        <v>23</v>
      </c>
      <c r="AC4934">
        <v>-1.78089999999997</v>
      </c>
      <c r="AD4934">
        <v>0.42761499999999902</v>
      </c>
      <c r="AE4934">
        <v>-96.805223999999995</v>
      </c>
      <c r="AF4934">
        <v>44.830340032356197</v>
      </c>
      <c r="AG4934">
        <v>0.42761499999999902</v>
      </c>
      <c r="AH4934">
        <v>85.815487603385904</v>
      </c>
      <c r="AI4934">
        <v>89.746948487319401</v>
      </c>
      <c r="AJ4934">
        <v>62.4172606050019</v>
      </c>
      <c r="AK4934">
        <v>96.820659750963202</v>
      </c>
      <c r="AL4934">
        <v>78.2229355286822</v>
      </c>
      <c r="AM4934">
        <v>76.982685223007394</v>
      </c>
      <c r="AN4934">
        <v>1.0000000275768399</v>
      </c>
    </row>
    <row r="4935" spans="1:40" x14ac:dyDescent="0.25">
      <c r="A4935" t="str">
        <f>"20190303170635820"</f>
        <v>20190303170635820</v>
      </c>
      <c r="B4935" t="str">
        <f>"1551603995809938"</f>
        <v>1551603995809938</v>
      </c>
      <c r="C4935" t="s">
        <v>40</v>
      </c>
      <c r="D4935">
        <v>5.5022979999999997</v>
      </c>
      <c r="E4935">
        <v>0.60847489999999904</v>
      </c>
      <c r="F4935" t="s">
        <v>105</v>
      </c>
      <c r="G4935">
        <v>-306.66030000000001</v>
      </c>
      <c r="H4935">
        <v>1.4470289999999999</v>
      </c>
      <c r="I4935">
        <v>-91.564989999999995</v>
      </c>
      <c r="J4935">
        <v>-303.7088</v>
      </c>
      <c r="K4935">
        <v>1.06233</v>
      </c>
      <c r="L4935">
        <v>5.0196230000000002</v>
      </c>
      <c r="M4935">
        <v>0.43345620000000001</v>
      </c>
      <c r="N4935">
        <v>-1.438685E-2</v>
      </c>
      <c r="O4935">
        <v>-0.90105999999999997</v>
      </c>
      <c r="P4935">
        <v>0.2217411</v>
      </c>
      <c r="Q4935">
        <v>0.1968857</v>
      </c>
      <c r="R4935">
        <v>-0.95502200000000004</v>
      </c>
      <c r="S4935">
        <v>-9.3658450000000004E-2</v>
      </c>
      <c r="T4935">
        <v>1.260006E-2</v>
      </c>
      <c r="U4935">
        <v>-3.1703190000000001</v>
      </c>
      <c r="V4935">
        <v>0.21878230000000001</v>
      </c>
      <c r="W4935">
        <v>0.205846</v>
      </c>
      <c r="X4935">
        <v>0.9538143</v>
      </c>
      <c r="Y4935">
        <v>0.4598836</v>
      </c>
      <c r="Z4935">
        <v>-1.7644050000000001E-2</v>
      </c>
      <c r="AA4935">
        <v>0.88780389999999998</v>
      </c>
      <c r="AB4935">
        <v>23</v>
      </c>
      <c r="AC4935">
        <v>-2.9514999999999998</v>
      </c>
      <c r="AD4935">
        <v>0.38469900000000001</v>
      </c>
      <c r="AE4935">
        <v>-96.584613000000004</v>
      </c>
      <c r="AF4935">
        <v>44.528572246822399</v>
      </c>
      <c r="AG4935">
        <v>0.38469900000000001</v>
      </c>
      <c r="AH4935">
        <v>85.756685422565596</v>
      </c>
      <c r="AI4935">
        <v>89.771893505823897</v>
      </c>
      <c r="AJ4935">
        <v>62.559712915598503</v>
      </c>
      <c r="AK4935">
        <v>96.628933732738403</v>
      </c>
      <c r="AL4935">
        <v>78.120972375578603</v>
      </c>
      <c r="AM4935">
        <v>77.081185484127204</v>
      </c>
      <c r="AN4935">
        <v>0.99999999469689005</v>
      </c>
    </row>
    <row r="4936" spans="1:40" x14ac:dyDescent="0.25">
      <c r="A4936" t="str">
        <f>"20190303170635842"</f>
        <v>20190303170635842</v>
      </c>
      <c r="B4936" t="str">
        <f>"1551603995829459"</f>
        <v>1551603995829459</v>
      </c>
      <c r="C4936" t="s">
        <v>40</v>
      </c>
      <c r="D4936">
        <v>5.5354340000000004</v>
      </c>
      <c r="E4936">
        <v>0.60717600000000005</v>
      </c>
      <c r="F4936" t="s">
        <v>105</v>
      </c>
      <c r="G4936">
        <v>-307.4631</v>
      </c>
      <c r="H4936">
        <v>1.4645980000000001</v>
      </c>
      <c r="I4936">
        <v>-91.564989999999995</v>
      </c>
      <c r="J4936">
        <v>-303.62369999999999</v>
      </c>
      <c r="K4936">
        <v>1.0623640000000001</v>
      </c>
      <c r="L4936">
        <v>4.806305</v>
      </c>
      <c r="M4936">
        <v>0.42074879999999998</v>
      </c>
      <c r="N4936">
        <v>-1.4370890000000001E-2</v>
      </c>
      <c r="O4936">
        <v>-0.90706339999999996</v>
      </c>
      <c r="P4936">
        <v>0.21023539999999999</v>
      </c>
      <c r="Q4936">
        <v>0.19805680000000001</v>
      </c>
      <c r="R4936">
        <v>-0.95737899999999998</v>
      </c>
      <c r="S4936">
        <v>-0.12310790000000001</v>
      </c>
      <c r="T4936">
        <v>1.3191339999999999E-2</v>
      </c>
      <c r="U4936">
        <v>-3.1671450000000001</v>
      </c>
      <c r="V4936">
        <v>0.21675949999999999</v>
      </c>
      <c r="W4936">
        <v>0.20705960000000001</v>
      </c>
      <c r="X4936">
        <v>0.95401349999999996</v>
      </c>
      <c r="Y4936">
        <v>0.45567010000000002</v>
      </c>
      <c r="Z4936">
        <v>-1.7847399999999999E-2</v>
      </c>
      <c r="AA4936">
        <v>0.88996980000000003</v>
      </c>
      <c r="AB4936">
        <v>23</v>
      </c>
      <c r="AC4936">
        <v>-3.8394000000000101</v>
      </c>
      <c r="AD4936">
        <v>0.40223399999999998</v>
      </c>
      <c r="AE4936">
        <v>-96.371294999999904</v>
      </c>
      <c r="AF4936">
        <v>44.034465510175899</v>
      </c>
      <c r="AG4936">
        <v>0.40223399999999998</v>
      </c>
      <c r="AH4936">
        <v>85.806816533598095</v>
      </c>
      <c r="AI4936">
        <v>89.761045965057406</v>
      </c>
      <c r="AJ4936">
        <v>62.833947190663203</v>
      </c>
      <c r="AK4936">
        <v>96.446906163900394</v>
      </c>
      <c r="AL4936">
        <v>78.049907997910395</v>
      </c>
      <c r="AM4936">
        <v>77.199260392810302</v>
      </c>
      <c r="AN4936">
        <v>1.0000000584873201</v>
      </c>
    </row>
    <row r="4937" spans="1:40" x14ac:dyDescent="0.25">
      <c r="A4937" t="str">
        <f>"20190303170635865"</f>
        <v>20190303170635865</v>
      </c>
      <c r="B4937" t="str">
        <f>"1551603995859714"</f>
        <v>1551603995859714</v>
      </c>
      <c r="C4937" t="s">
        <v>40</v>
      </c>
      <c r="D4937">
        <v>5.5634730000000001</v>
      </c>
      <c r="E4937">
        <v>0.59644219999999903</v>
      </c>
      <c r="F4937" t="s">
        <v>105</v>
      </c>
      <c r="G4937">
        <v>-308.22699999999998</v>
      </c>
      <c r="H4937">
        <v>1.4871669999999999</v>
      </c>
      <c r="I4937">
        <v>-91.564989999999995</v>
      </c>
      <c r="J4937">
        <v>-303.53609999999998</v>
      </c>
      <c r="K4937">
        <v>1.0623880000000001</v>
      </c>
      <c r="L4937">
        <v>4.5766910000000003</v>
      </c>
      <c r="M4937">
        <v>0.40709089999999998</v>
      </c>
      <c r="N4937">
        <v>-1.4353090000000001E-2</v>
      </c>
      <c r="O4937">
        <v>-0.91327480000000005</v>
      </c>
      <c r="P4937">
        <v>0.19821440000000001</v>
      </c>
      <c r="Q4937">
        <v>0.19839490000000001</v>
      </c>
      <c r="R4937">
        <v>-0.95987</v>
      </c>
      <c r="S4937">
        <v>-0.15112300000000001</v>
      </c>
      <c r="T4937">
        <v>1.394665E-2</v>
      </c>
      <c r="U4937">
        <v>-3.1638489999999999</v>
      </c>
      <c r="V4937">
        <v>0.21436189999999999</v>
      </c>
      <c r="W4937">
        <v>0.20745649999999999</v>
      </c>
      <c r="X4937">
        <v>0.95446880000000001</v>
      </c>
      <c r="Y4937">
        <v>0.45020710000000003</v>
      </c>
      <c r="Z4937">
        <v>-1.809436E-2</v>
      </c>
      <c r="AA4937">
        <v>0.8927408</v>
      </c>
      <c r="AB4937">
        <v>23</v>
      </c>
      <c r="AC4937">
        <v>-4.6909000000000498</v>
      </c>
      <c r="AD4937">
        <v>0.42477900000000002</v>
      </c>
      <c r="AE4937">
        <v>-96.141681000000005</v>
      </c>
      <c r="AF4937">
        <v>43.426114718016599</v>
      </c>
      <c r="AG4937">
        <v>0.42477900000000002</v>
      </c>
      <c r="AH4937">
        <v>85.901333313036105</v>
      </c>
      <c r="AI4937">
        <v>89.747149819357801</v>
      </c>
      <c r="AJ4937">
        <v>63.181813625201997</v>
      </c>
      <c r="AK4937">
        <v>96.255113846789996</v>
      </c>
      <c r="AL4937">
        <v>78.026661325216594</v>
      </c>
      <c r="AM4937">
        <v>77.342106252496706</v>
      </c>
      <c r="AN4937">
        <v>0.99999995686864895</v>
      </c>
    </row>
    <row r="4938" spans="1:40" x14ac:dyDescent="0.25">
      <c r="A4938" t="str">
        <f>"20190303170635888"</f>
        <v>20190303170635888</v>
      </c>
      <c r="B4938" t="str">
        <f>"1551603995880224"</f>
        <v>1551603995880224</v>
      </c>
      <c r="C4938" t="s">
        <v>40</v>
      </c>
      <c r="D4938">
        <v>5.560988</v>
      </c>
      <c r="E4938">
        <v>0.59470869999999998</v>
      </c>
      <c r="F4938" t="s">
        <v>105</v>
      </c>
      <c r="G4938">
        <v>-306.75389999999999</v>
      </c>
      <c r="H4938">
        <v>1.006318</v>
      </c>
      <c r="I4938">
        <v>-91.564989999999995</v>
      </c>
      <c r="J4938">
        <v>-303.4538</v>
      </c>
      <c r="K4938">
        <v>1.062427</v>
      </c>
      <c r="L4938">
        <v>4.3509830000000003</v>
      </c>
      <c r="M4938">
        <v>0.39370240000000001</v>
      </c>
      <c r="N4938">
        <v>-1.4333719999999999E-2</v>
      </c>
      <c r="O4938">
        <v>-0.91912629999999995</v>
      </c>
      <c r="P4938">
        <v>0.18556239999999999</v>
      </c>
      <c r="Q4938">
        <v>0.19894539999999999</v>
      </c>
      <c r="R4938">
        <v>-0.96228259999999999</v>
      </c>
      <c r="S4938">
        <v>-0.1053467</v>
      </c>
      <c r="T4938">
        <v>-1.835227E-3</v>
      </c>
      <c r="U4938">
        <v>-3.1475520000000001</v>
      </c>
      <c r="V4938">
        <v>0.212918</v>
      </c>
      <c r="W4938">
        <v>0.20804610000000001</v>
      </c>
      <c r="X4938">
        <v>0.9546637</v>
      </c>
      <c r="Y4938">
        <v>0.4242223</v>
      </c>
      <c r="Z4938">
        <v>-1.3947920000000001E-2</v>
      </c>
      <c r="AA4938">
        <v>0.90545059999999999</v>
      </c>
      <c r="AB4938">
        <v>23</v>
      </c>
      <c r="AC4938">
        <v>-3.30009999999998</v>
      </c>
      <c r="AD4938">
        <v>-5.6108999999999902E-2</v>
      </c>
      <c r="AE4938">
        <v>-95.915972999999994</v>
      </c>
      <c r="AF4938">
        <v>40.799731118144798</v>
      </c>
      <c r="AG4938">
        <v>-5.6108999999999902E-2</v>
      </c>
      <c r="AH4938">
        <v>86.868522381799906</v>
      </c>
      <c r="AI4938">
        <v>90.033497116204799</v>
      </c>
      <c r="AJ4938">
        <v>64.841860192069007</v>
      </c>
      <c r="AK4938">
        <v>95.972711685822802</v>
      </c>
      <c r="AL4938">
        <v>77.9921269699487</v>
      </c>
      <c r="AM4938">
        <v>77.427132450916702</v>
      </c>
      <c r="AN4938">
        <v>1.00000001727344</v>
      </c>
    </row>
    <row r="4939" spans="1:40" x14ac:dyDescent="0.25">
      <c r="A4939" t="str">
        <f>"20190303170635909"</f>
        <v>20190303170635909</v>
      </c>
      <c r="B4939" t="str">
        <f>"1551603995899731"</f>
        <v>1551603995899731</v>
      </c>
      <c r="C4939" t="s">
        <v>40</v>
      </c>
      <c r="D4939">
        <v>5.5808660000000003</v>
      </c>
      <c r="E4939">
        <v>0.59323090000000001</v>
      </c>
      <c r="F4939" t="s">
        <v>105</v>
      </c>
      <c r="G4939">
        <v>-307.41730000000001</v>
      </c>
      <c r="H4939">
        <v>0.88254500000000002</v>
      </c>
      <c r="I4939">
        <v>-91.564989999999995</v>
      </c>
      <c r="J4939">
        <v>-303.37709999999998</v>
      </c>
      <c r="K4939">
        <v>1.0624800000000001</v>
      </c>
      <c r="L4939">
        <v>4.1309509999999996</v>
      </c>
      <c r="M4939">
        <v>0.380689</v>
      </c>
      <c r="N4939">
        <v>-1.431382E-2</v>
      </c>
      <c r="O4939">
        <v>-0.92459259999999999</v>
      </c>
      <c r="P4939">
        <v>0.17247479999999901</v>
      </c>
      <c r="Q4939">
        <v>0.19991510000000001</v>
      </c>
      <c r="R4939">
        <v>-0.96451399999999998</v>
      </c>
      <c r="S4939">
        <v>-0.12991330000000001</v>
      </c>
      <c r="T4939">
        <v>-5.8956149999999999E-3</v>
      </c>
      <c r="U4939">
        <v>-3.1438600000000001</v>
      </c>
      <c r="V4939">
        <v>0.21232480000000001</v>
      </c>
      <c r="W4939">
        <v>0.20903569999999999</v>
      </c>
      <c r="X4939">
        <v>0.95457970000000003</v>
      </c>
      <c r="Y4939">
        <v>0.41852919999999999</v>
      </c>
      <c r="Z4939">
        <v>-1.285528E-2</v>
      </c>
      <c r="AA4939">
        <v>0.90811229999999998</v>
      </c>
      <c r="AB4939">
        <v>23</v>
      </c>
      <c r="AC4939">
        <v>-4.04020000000002</v>
      </c>
      <c r="AD4939">
        <v>-0.17993499999999901</v>
      </c>
      <c r="AE4939">
        <v>-95.695941000000005</v>
      </c>
      <c r="AF4939">
        <v>40.169895114518098</v>
      </c>
      <c r="AG4939">
        <v>-0.17993499999999901</v>
      </c>
      <c r="AH4939">
        <v>86.950279548362701</v>
      </c>
      <c r="AI4939">
        <v>90.1076363777957</v>
      </c>
      <c r="AJ4939">
        <v>65.203678745069098</v>
      </c>
      <c r="AK4939">
        <v>95.781020894820401</v>
      </c>
      <c r="AL4939">
        <v>77.934153111896094</v>
      </c>
      <c r="AM4939">
        <v>77.459983352680098</v>
      </c>
      <c r="AN4939">
        <v>1.0000000741107999</v>
      </c>
    </row>
    <row r="4940" spans="1:40" x14ac:dyDescent="0.25">
      <c r="A4940" t="str">
        <f>"20190303170635931"</f>
        <v>20190303170635931</v>
      </c>
      <c r="B4940" t="str">
        <f>"1551603995920226"</f>
        <v>1551603995920226</v>
      </c>
      <c r="C4940" t="s">
        <v>40</v>
      </c>
      <c r="D4940">
        <v>5.5909630000000003</v>
      </c>
      <c r="E4940">
        <v>0.59259209999999995</v>
      </c>
      <c r="F4940" t="s">
        <v>105</v>
      </c>
      <c r="G4940">
        <v>-308.15660000000003</v>
      </c>
      <c r="H4940">
        <v>0.72642659999999903</v>
      </c>
      <c r="I4940">
        <v>-91.564989999999995</v>
      </c>
      <c r="J4940">
        <v>-303.30279999999999</v>
      </c>
      <c r="K4940">
        <v>1.062548</v>
      </c>
      <c r="L4940">
        <v>3.9082029999999999</v>
      </c>
      <c r="M4940">
        <v>0.36757390000000001</v>
      </c>
      <c r="N4940">
        <v>-1.429067E-2</v>
      </c>
      <c r="O4940">
        <v>-0.92988459999999995</v>
      </c>
      <c r="P4940">
        <v>0.16000429999999999</v>
      </c>
      <c r="Q4940">
        <v>0.19972500000000001</v>
      </c>
      <c r="R4940">
        <v>-0.96670020000000001</v>
      </c>
      <c r="S4940">
        <v>-0.15686040000000001</v>
      </c>
      <c r="T4940">
        <v>-1.102877E-2</v>
      </c>
      <c r="U4940">
        <v>-3.140717</v>
      </c>
      <c r="V4940">
        <v>0.2111248</v>
      </c>
      <c r="W4940">
        <v>0.2088865</v>
      </c>
      <c r="X4940">
        <v>0.95487840000000002</v>
      </c>
      <c r="Y4940">
        <v>0.41348679999999899</v>
      </c>
      <c r="Z4940">
        <v>-1.1444859999999999E-2</v>
      </c>
      <c r="AA4940">
        <v>0.91043819999999998</v>
      </c>
      <c r="AB4940">
        <v>23</v>
      </c>
      <c r="AC4940">
        <v>-4.8538000000000299</v>
      </c>
      <c r="AD4940">
        <v>-0.33612140000000001</v>
      </c>
      <c r="AE4940">
        <v>-95.473192999999995</v>
      </c>
      <c r="AF4940">
        <v>39.610479769132603</v>
      </c>
      <c r="AG4940">
        <v>-0.33612140000000001</v>
      </c>
      <c r="AH4940">
        <v>87.002723506297798</v>
      </c>
      <c r="AI4940">
        <v>90.201456091440406</v>
      </c>
      <c r="AJ4940">
        <v>65.521240647095098</v>
      </c>
      <c r="AK4940">
        <v>95.595904633251493</v>
      </c>
      <c r="AL4940">
        <v>77.942893772721007</v>
      </c>
      <c r="AM4940">
        <v>77.532411779557606</v>
      </c>
      <c r="AN4940">
        <v>1.00000000492192</v>
      </c>
    </row>
    <row r="4941" spans="1:40" x14ac:dyDescent="0.25">
      <c r="A4941" t="str">
        <f>"20190303170635955"</f>
        <v>20190303170635955</v>
      </c>
      <c r="B4941" t="str">
        <f>"1551603995939747"</f>
        <v>1551603995939747</v>
      </c>
      <c r="C4941" t="s">
        <v>40</v>
      </c>
      <c r="D4941">
        <v>5.5965989999999897</v>
      </c>
      <c r="E4941">
        <v>0.58428780000000002</v>
      </c>
      <c r="F4941" t="s">
        <v>105</v>
      </c>
      <c r="G4941">
        <v>-309.1223</v>
      </c>
      <c r="H4941">
        <v>0.59382250000000003</v>
      </c>
      <c r="I4941">
        <v>-91.564989999999995</v>
      </c>
      <c r="J4941">
        <v>-303.23039999999997</v>
      </c>
      <c r="K4941">
        <v>1.0626260000000001</v>
      </c>
      <c r="L4941">
        <v>3.6806950000000001</v>
      </c>
      <c r="M4941">
        <v>0.354267</v>
      </c>
      <c r="N4941">
        <v>-1.425919E-2</v>
      </c>
      <c r="O4941">
        <v>-0.93503579999999997</v>
      </c>
      <c r="P4941">
        <v>0.14837349999999999</v>
      </c>
      <c r="Q4941">
        <v>0.19906879999999999</v>
      </c>
      <c r="R4941">
        <v>-0.96868840000000001</v>
      </c>
      <c r="S4941">
        <v>-0.19128419999999999</v>
      </c>
      <c r="T4941">
        <v>-1.540649E-2</v>
      </c>
      <c r="U4941">
        <v>-3.1381839999999999</v>
      </c>
      <c r="V4941">
        <v>0.20896029999999999</v>
      </c>
      <c r="W4941">
        <v>0.20829600000000001</v>
      </c>
      <c r="X4941">
        <v>0.95548330000000004</v>
      </c>
      <c r="Y4941">
        <v>0.41048099999999998</v>
      </c>
      <c r="Z4941">
        <v>-1.020974E-2</v>
      </c>
      <c r="AA4941">
        <v>0.91181199999999996</v>
      </c>
      <c r="AB4941">
        <v>23</v>
      </c>
      <c r="AC4941">
        <v>-5.8919000000000201</v>
      </c>
      <c r="AD4941">
        <v>-0.46880349999999998</v>
      </c>
      <c r="AE4941">
        <v>-95.245684999999995</v>
      </c>
      <c r="AF4941">
        <v>39.254576708053399</v>
      </c>
      <c r="AG4941">
        <v>-0.46880349999999998</v>
      </c>
      <c r="AH4941">
        <v>86.977546911081603</v>
      </c>
      <c r="AI4941">
        <v>90.2814788657018</v>
      </c>
      <c r="AJ4941">
        <v>65.709462448070099</v>
      </c>
      <c r="AK4941">
        <v>95.426596061682304</v>
      </c>
      <c r="AL4941">
        <v>77.977487640766697</v>
      </c>
      <c r="AM4941">
        <v>77.663869773184501</v>
      </c>
      <c r="AN4941">
        <v>0.99999998358548903</v>
      </c>
    </row>
    <row r="4942" spans="1:40" x14ac:dyDescent="0.25">
      <c r="A4942" t="str">
        <f>"20190303170635976"</f>
        <v>20190303170635976</v>
      </c>
      <c r="B4942" t="str">
        <f>"1551603995970003"</f>
        <v>1551603995970003</v>
      </c>
      <c r="C4942" t="s">
        <v>40</v>
      </c>
      <c r="D4942">
        <v>5.7147870000000003</v>
      </c>
      <c r="E4942">
        <v>0.55879160000000005</v>
      </c>
      <c r="F4942" t="s">
        <v>71</v>
      </c>
      <c r="G4942">
        <v>-307.04919999999998</v>
      </c>
      <c r="H4942">
        <v>5.4997119999999997E-2</v>
      </c>
      <c r="I4942">
        <v>-70.326969999999903</v>
      </c>
      <c r="J4942">
        <v>-303.16239999999999</v>
      </c>
      <c r="K4942">
        <v>1.062719</v>
      </c>
      <c r="L4942">
        <v>3.456696</v>
      </c>
      <c r="M4942">
        <v>0.34128829999999999</v>
      </c>
      <c r="N4942">
        <v>-1.422264E-2</v>
      </c>
      <c r="O4942">
        <v>-0.93985110000000005</v>
      </c>
      <c r="P4942">
        <v>0.13678959999999901</v>
      </c>
      <c r="Q4942">
        <v>0.2001192</v>
      </c>
      <c r="R4942">
        <v>-0.97017569999999997</v>
      </c>
      <c r="S4942">
        <v>-0.16152949999999999</v>
      </c>
      <c r="T4942">
        <v>-4.2621850000000003E-2</v>
      </c>
      <c r="U4942">
        <v>-3.1304630000000002</v>
      </c>
      <c r="V4942">
        <v>0.20703840000000001</v>
      </c>
      <c r="W4942">
        <v>0.20940590000000001</v>
      </c>
      <c r="X4942">
        <v>0.95565909999999998</v>
      </c>
      <c r="Y4942">
        <v>0.38922600000000002</v>
      </c>
      <c r="Z4942">
        <v>-2.5129499999999999E-3</v>
      </c>
      <c r="AA4942">
        <v>0.92113889999999998</v>
      </c>
      <c r="AB4942">
        <v>23</v>
      </c>
      <c r="AC4942">
        <v>-3.8867999999999898</v>
      </c>
      <c r="AD4942">
        <v>-1.0077218800000001</v>
      </c>
      <c r="AE4942">
        <v>-73.783665999999897</v>
      </c>
      <c r="AF4942">
        <v>28.832067578427999</v>
      </c>
      <c r="AG4942">
        <v>-1.0077218800000001</v>
      </c>
      <c r="AH4942">
        <v>68.013366492080294</v>
      </c>
      <c r="AI4942">
        <v>90.781547149143293</v>
      </c>
      <c r="AJ4942">
        <v>67.027054164121395</v>
      </c>
      <c r="AK4942">
        <v>73.879101549900497</v>
      </c>
      <c r="AL4942">
        <v>77.912461530356495</v>
      </c>
      <c r="AM4942">
        <v>77.7760840174641</v>
      </c>
      <c r="AN4942">
        <v>1.0000000227210799</v>
      </c>
    </row>
    <row r="4943" spans="1:40" x14ac:dyDescent="0.25">
      <c r="A4943" t="str">
        <f>"20190303170635998"</f>
        <v>20190303170635998</v>
      </c>
      <c r="B4943" t="str">
        <f>"1551603995989523"</f>
        <v>1551603995989523</v>
      </c>
      <c r="C4943" t="s">
        <v>40</v>
      </c>
      <c r="D4943">
        <v>5.7267029999999997</v>
      </c>
      <c r="E4943">
        <v>0.54774590000000001</v>
      </c>
      <c r="F4943" t="s">
        <v>71</v>
      </c>
      <c r="G4943">
        <v>-303.06400000000002</v>
      </c>
      <c r="H4943" s="1">
        <v>-5.0207080000000003E-6</v>
      </c>
      <c r="I4943">
        <v>-48.64911</v>
      </c>
      <c r="J4943">
        <v>-303.09879999999998</v>
      </c>
      <c r="K4943">
        <v>1.062835</v>
      </c>
      <c r="L4943">
        <v>3.237152</v>
      </c>
      <c r="M4943">
        <v>0.32871109999999998</v>
      </c>
      <c r="N4943">
        <v>-1.418357E-2</v>
      </c>
      <c r="O4943">
        <v>-0.94432430000000001</v>
      </c>
      <c r="P4943">
        <v>0.12485060000000001</v>
      </c>
      <c r="Q4943">
        <v>0.20132130000000001</v>
      </c>
      <c r="R4943">
        <v>-0.97153619999999996</v>
      </c>
      <c r="S4943">
        <v>5.859375E-3</v>
      </c>
      <c r="T4943">
        <v>-6.3317059999999994E-2</v>
      </c>
      <c r="U4943">
        <v>-3.1044619999999998</v>
      </c>
      <c r="V4943">
        <v>0.20590810000000001</v>
      </c>
      <c r="W4943">
        <v>0.21065349999999999</v>
      </c>
      <c r="X4943">
        <v>0.95562910000000001</v>
      </c>
      <c r="Y4943">
        <v>0.32687759999999999</v>
      </c>
      <c r="Z4943">
        <v>3.9534339999999996E-3</v>
      </c>
      <c r="AA4943">
        <v>0.94505839999999997</v>
      </c>
      <c r="AB4943">
        <v>23</v>
      </c>
      <c r="AC4943">
        <v>3.4799999999961501E-2</v>
      </c>
      <c r="AD4943">
        <v>-1.062840020708</v>
      </c>
      <c r="AE4943">
        <v>-51.886262000000002</v>
      </c>
      <c r="AF4943">
        <v>17.0172952753761</v>
      </c>
      <c r="AG4943">
        <v>-1.062840020708</v>
      </c>
      <c r="AH4943">
        <v>48.993256885316498</v>
      </c>
      <c r="AI4943">
        <v>91.173976644029906</v>
      </c>
      <c r="AJ4943">
        <v>70.845864193505093</v>
      </c>
      <c r="AK4943">
        <v>51.875400602111696</v>
      </c>
      <c r="AL4943">
        <v>77.839348366619106</v>
      </c>
      <c r="AM4943">
        <v>77.840457705539194</v>
      </c>
      <c r="AN4943">
        <v>1.0000000097373301</v>
      </c>
    </row>
    <row r="4944" spans="1:40" x14ac:dyDescent="0.25">
      <c r="A4944" t="str">
        <f>"20190303170636020"</f>
        <v>20190303170636020</v>
      </c>
      <c r="B4944" t="str">
        <f>"1551603996010019"</f>
        <v>1551603996010019</v>
      </c>
      <c r="C4944" t="s">
        <v>40</v>
      </c>
      <c r="D4944">
        <v>5.7309999999999999</v>
      </c>
      <c r="E4944">
        <v>0.54229269999999996</v>
      </c>
      <c r="F4944" t="s">
        <v>71</v>
      </c>
      <c r="G4944">
        <v>-302.09230000000002</v>
      </c>
      <c r="H4944" s="1">
        <v>-5.2242580000000002E-6</v>
      </c>
      <c r="I4944">
        <v>-49.159280000000003</v>
      </c>
      <c r="J4944">
        <v>-303.03640000000001</v>
      </c>
      <c r="K4944">
        <v>1.0629660000000001</v>
      </c>
      <c r="L4944">
        <v>3.0111080000000001</v>
      </c>
      <c r="M4944">
        <v>0.31592710000000002</v>
      </c>
      <c r="N4944">
        <v>-1.4139830000000001E-2</v>
      </c>
      <c r="O4944">
        <v>-0.94867840000000003</v>
      </c>
      <c r="P4944">
        <v>0.11387269999999899</v>
      </c>
      <c r="Q4944">
        <v>0.2020217</v>
      </c>
      <c r="R4944">
        <v>-0.97273889999999996</v>
      </c>
      <c r="S4944">
        <v>5.941772E-2</v>
      </c>
      <c r="T4944">
        <v>-6.2745570000000001E-2</v>
      </c>
      <c r="U4944">
        <v>-3.0932620000000002</v>
      </c>
      <c r="V4944">
        <v>0.20367840000000001</v>
      </c>
      <c r="W4944">
        <v>0.21143329999999999</v>
      </c>
      <c r="X4944">
        <v>0.95593470000000003</v>
      </c>
      <c r="Y4944">
        <v>0.29760399999999998</v>
      </c>
      <c r="Z4944">
        <v>4.167797E-3</v>
      </c>
      <c r="AA4944">
        <v>0.95468030000000004</v>
      </c>
      <c r="AB4944">
        <v>23</v>
      </c>
      <c r="AC4944">
        <v>0.94409999999999095</v>
      </c>
      <c r="AD4944">
        <v>-1.0629712242580001</v>
      </c>
      <c r="AE4944">
        <v>-52.170388000000003</v>
      </c>
      <c r="AF4944">
        <v>15.5814796175649</v>
      </c>
      <c r="AG4944">
        <v>-1.0629712242580001</v>
      </c>
      <c r="AH4944">
        <v>49.775493891400302</v>
      </c>
      <c r="AI4944">
        <v>91.167532699961995</v>
      </c>
      <c r="AJ4944">
        <v>72.618045264879498</v>
      </c>
      <c r="AK4944">
        <v>52.168114850251499</v>
      </c>
      <c r="AL4944">
        <v>77.793639989575595</v>
      </c>
      <c r="AM4944">
        <v>77.972006187774198</v>
      </c>
      <c r="AN4944">
        <v>1.00000004081976</v>
      </c>
    </row>
    <row r="4945" spans="1:40" x14ac:dyDescent="0.25">
      <c r="A4945" t="str">
        <f>"20190303170636043"</f>
        <v>20190303170636043</v>
      </c>
      <c r="B4945" t="str">
        <f>"1551603996029538"</f>
        <v>1551603996029538</v>
      </c>
      <c r="C4945" t="s">
        <v>40</v>
      </c>
      <c r="D4945">
        <v>5.6887930000000004</v>
      </c>
      <c r="E4945">
        <v>0.53884019999999899</v>
      </c>
      <c r="F4945" t="s">
        <v>71</v>
      </c>
      <c r="G4945">
        <v>-301.83690000000001</v>
      </c>
      <c r="H4945" s="1">
        <v>-5.6381409999999999E-6</v>
      </c>
      <c r="I4945">
        <v>-50.00065</v>
      </c>
      <c r="J4945">
        <v>-302.97629999999998</v>
      </c>
      <c r="K4945">
        <v>1.0631189999999999</v>
      </c>
      <c r="L4945">
        <v>2.782562</v>
      </c>
      <c r="M4945">
        <v>0.3032012</v>
      </c>
      <c r="N4945">
        <v>-1.4092159999999999E-2</v>
      </c>
      <c r="O4945">
        <v>-0.95282239999999996</v>
      </c>
      <c r="P4945">
        <v>0.1043119</v>
      </c>
      <c r="Q4945">
        <v>0.2013991</v>
      </c>
      <c r="R4945">
        <v>-0.97393909999999995</v>
      </c>
      <c r="S4945">
        <v>6.9885249999999996E-2</v>
      </c>
      <c r="T4945">
        <v>-6.1934349999999999E-2</v>
      </c>
      <c r="U4945">
        <v>-3.0887449999999999</v>
      </c>
      <c r="V4945">
        <v>0.20020479999999999</v>
      </c>
      <c r="W4945">
        <v>0.21092520000000001</v>
      </c>
      <c r="X4945">
        <v>0.95678030000000003</v>
      </c>
      <c r="Y4945">
        <v>0.28152890000000003</v>
      </c>
      <c r="Z4945">
        <v>4.1839420000000004E-3</v>
      </c>
      <c r="AA4945">
        <v>0.95954360000000005</v>
      </c>
      <c r="AB4945">
        <v>23</v>
      </c>
      <c r="AC4945">
        <v>1.13939999999996</v>
      </c>
      <c r="AD4945">
        <v>-1.063124638141</v>
      </c>
      <c r="AE4945">
        <v>-52.783211999999999</v>
      </c>
      <c r="AF4945">
        <v>14.913720998874901</v>
      </c>
      <c r="AG4945">
        <v>-1.063124638141</v>
      </c>
      <c r="AH4945">
        <v>50.622994118353603</v>
      </c>
      <c r="AI4945">
        <v>91.154056752738498</v>
      </c>
      <c r="AJ4945">
        <v>73.584831906211903</v>
      </c>
      <c r="AK4945">
        <v>52.784816391983099</v>
      </c>
      <c r="AL4945">
        <v>77.823422826953106</v>
      </c>
      <c r="AM4945">
        <v>78.181468682999494</v>
      </c>
      <c r="AN4945">
        <v>0.99999997220308401</v>
      </c>
    </row>
    <row r="4946" spans="1:40" x14ac:dyDescent="0.25">
      <c r="A4946" t="str">
        <f>"20190303170636066"</f>
        <v>20190303170636066</v>
      </c>
      <c r="B4946" t="str">
        <f>"1551603996059796"</f>
        <v>1551603996059796</v>
      </c>
      <c r="C4946" t="s">
        <v>40</v>
      </c>
      <c r="D4946">
        <v>5.7112499999999997</v>
      </c>
      <c r="E4946">
        <v>0.53485559999999999</v>
      </c>
      <c r="F4946" t="s">
        <v>71</v>
      </c>
      <c r="G4946">
        <v>-301.91640000000001</v>
      </c>
      <c r="H4946" s="1">
        <v>-3.6531249999999999E-6</v>
      </c>
      <c r="I4946">
        <v>-45.970889999999997</v>
      </c>
      <c r="J4946">
        <v>-302.91789999999997</v>
      </c>
      <c r="K4946">
        <v>1.0632969999999999</v>
      </c>
      <c r="L4946">
        <v>2.5477599999999998</v>
      </c>
      <c r="M4946">
        <v>0.29038570000000002</v>
      </c>
      <c r="N4946">
        <v>-1.40394E-2</v>
      </c>
      <c r="O4946">
        <v>-0.95680670000000001</v>
      </c>
      <c r="P4946">
        <v>9.452091E-2</v>
      </c>
      <c r="Q4946">
        <v>0.20126640000000001</v>
      </c>
      <c r="R4946">
        <v>-0.97496579999999999</v>
      </c>
      <c r="S4946">
        <v>6.7108150000000005E-2</v>
      </c>
      <c r="T4946">
        <v>-6.731558E-2</v>
      </c>
      <c r="U4946">
        <v>-3.0870060000000001</v>
      </c>
      <c r="V4946">
        <v>0.19687789999999999</v>
      </c>
      <c r="W4946">
        <v>0.21090329999999999</v>
      </c>
      <c r="X4946">
        <v>0.95747519999999997</v>
      </c>
      <c r="Y4946">
        <v>0.26947900000000002</v>
      </c>
      <c r="Z4946">
        <v>5.9946560000000001E-3</v>
      </c>
      <c r="AA4946">
        <v>0.96298760000000005</v>
      </c>
      <c r="AB4946">
        <v>23</v>
      </c>
      <c r="AC4946">
        <v>1.0014999999999601</v>
      </c>
      <c r="AD4946">
        <v>-1.063300653125</v>
      </c>
      <c r="AE4946">
        <v>-48.518650000000001</v>
      </c>
      <c r="AF4946">
        <v>13.1258729552933</v>
      </c>
      <c r="AG4946">
        <v>-1.063300653125</v>
      </c>
      <c r="AH4946">
        <v>46.695977021229602</v>
      </c>
      <c r="AI4946">
        <v>91.255788198961895</v>
      </c>
      <c r="AJ4946">
        <v>74.299743260631203</v>
      </c>
      <c r="AK4946">
        <v>48.517351731979801</v>
      </c>
      <c r="AL4946">
        <v>77.824706009107899</v>
      </c>
      <c r="AM4946">
        <v>78.380681037746896</v>
      </c>
      <c r="AN4946">
        <v>0.99999993403716703</v>
      </c>
    </row>
    <row r="4947" spans="1:40" x14ac:dyDescent="0.25">
      <c r="A4947" t="str">
        <f>"20190303170636089"</f>
        <v>20190303170636089</v>
      </c>
      <c r="B4947" t="str">
        <f>"1551603996080291"</f>
        <v>1551603996080291</v>
      </c>
      <c r="C4947" t="s">
        <v>40</v>
      </c>
      <c r="D4947">
        <v>5.7106490000000001</v>
      </c>
      <c r="E4947">
        <v>0.5327172</v>
      </c>
      <c r="F4947" t="s">
        <v>71</v>
      </c>
      <c r="G4947">
        <v>-301.90699999999998</v>
      </c>
      <c r="H4947" s="1">
        <v>-1.8400500000000001E-6</v>
      </c>
      <c r="I4947">
        <v>-42.854019999999998</v>
      </c>
      <c r="J4947">
        <v>-302.86270000000002</v>
      </c>
      <c r="K4947">
        <v>1.063472</v>
      </c>
      <c r="L4947">
        <v>2.3140260000000001</v>
      </c>
      <c r="M4947">
        <v>0.27787529999999999</v>
      </c>
      <c r="N4947">
        <v>-1.3984760000000001E-2</v>
      </c>
      <c r="O4947">
        <v>-0.96051560000000002</v>
      </c>
      <c r="P4947">
        <v>8.3588010000000004E-2</v>
      </c>
      <c r="Q4947">
        <v>0.2021143</v>
      </c>
      <c r="R4947">
        <v>-0.97578849999999995</v>
      </c>
      <c r="S4947">
        <v>6.8695069999999997E-2</v>
      </c>
      <c r="T4947">
        <v>-7.2256920000000002E-2</v>
      </c>
      <c r="U4947">
        <v>-3.0852970000000002</v>
      </c>
      <c r="V4947">
        <v>0.19498090000000001</v>
      </c>
      <c r="W4947">
        <v>0.21182380000000001</v>
      </c>
      <c r="X4947">
        <v>0.95766030000000002</v>
      </c>
      <c r="Y4947">
        <v>0.2563821</v>
      </c>
      <c r="Z4947">
        <v>7.6985129999999997E-3</v>
      </c>
      <c r="AA4947">
        <v>0.96654490000000004</v>
      </c>
      <c r="AB4947">
        <v>23</v>
      </c>
      <c r="AC4947">
        <v>0.95570000000003497</v>
      </c>
      <c r="AD4947">
        <v>-1.0634738400499999</v>
      </c>
      <c r="AE4947">
        <v>-45.168045999999997</v>
      </c>
      <c r="AF4947">
        <v>11.627811453391301</v>
      </c>
      <c r="AG4947">
        <v>-1.0634738400499999</v>
      </c>
      <c r="AH4947">
        <v>43.630260922971999</v>
      </c>
      <c r="AI4947">
        <v>91.349215253025406</v>
      </c>
      <c r="AJ4947">
        <v>75.077073145296893</v>
      </c>
      <c r="AK4947">
        <v>45.165657794509201</v>
      </c>
      <c r="AL4947">
        <v>77.770747738795507</v>
      </c>
      <c r="AM4947">
        <v>78.491801431839207</v>
      </c>
      <c r="AN4947">
        <v>1.00000006190366</v>
      </c>
    </row>
    <row r="4948" spans="1:40" x14ac:dyDescent="0.25">
      <c r="A4948" t="str">
        <f>"20190303170636111"</f>
        <v>20190303170636111</v>
      </c>
      <c r="B4948" t="str">
        <f>"1551603996099811"</f>
        <v>1551603996099811</v>
      </c>
      <c r="C4948" t="s">
        <v>40</v>
      </c>
      <c r="D4948">
        <v>5.7109639999999997</v>
      </c>
      <c r="E4948">
        <v>0.53076020000000002</v>
      </c>
      <c r="F4948" t="s">
        <v>71</v>
      </c>
      <c r="G4948">
        <v>-302.09219999999999</v>
      </c>
      <c r="H4948" s="1">
        <v>-1.257836E-6</v>
      </c>
      <c r="I4948">
        <v>-41.897480000000002</v>
      </c>
      <c r="J4948">
        <v>-302.81180000000001</v>
      </c>
      <c r="K4948">
        <v>1.0636399999999999</v>
      </c>
      <c r="L4948">
        <v>2.0865779999999998</v>
      </c>
      <c r="M4948">
        <v>0.26590989999999998</v>
      </c>
      <c r="N4948">
        <v>-1.3932460000000001E-2</v>
      </c>
      <c r="O4948">
        <v>-0.96389720000000001</v>
      </c>
      <c r="P4948">
        <v>7.3160740000000002E-2</v>
      </c>
      <c r="Q4948">
        <v>0.202982</v>
      </c>
      <c r="R4948">
        <v>-0.97644529999999996</v>
      </c>
      <c r="S4948">
        <v>5.3771970000000002E-2</v>
      </c>
      <c r="T4948">
        <v>-7.4212189999999997E-2</v>
      </c>
      <c r="U4948">
        <v>-3.0852050000000002</v>
      </c>
      <c r="V4948">
        <v>0.19317899999999999</v>
      </c>
      <c r="W4948">
        <v>0.21275440000000001</v>
      </c>
      <c r="X4948">
        <v>0.95781910000000003</v>
      </c>
      <c r="Y4948">
        <v>0.24902929999999901</v>
      </c>
      <c r="Z4948">
        <v>8.4712069999999997E-3</v>
      </c>
      <c r="AA4948">
        <v>0.96845890000000001</v>
      </c>
      <c r="AB4948">
        <v>23</v>
      </c>
      <c r="AC4948">
        <v>0.71960000000001401</v>
      </c>
      <c r="AD4948">
        <v>-1.0636412578359999</v>
      </c>
      <c r="AE4948">
        <v>-43.984057999999997</v>
      </c>
      <c r="AF4948">
        <v>10.996814923049399</v>
      </c>
      <c r="AG4948">
        <v>-1.0636412578359999</v>
      </c>
      <c r="AH4948">
        <v>42.566707191224801</v>
      </c>
      <c r="AI4948">
        <v>91.385905167799905</v>
      </c>
      <c r="AJ4948">
        <v>75.5147420744957</v>
      </c>
      <c r="AK4948">
        <v>43.977105774262199</v>
      </c>
      <c r="AL4948">
        <v>77.716183785022594</v>
      </c>
      <c r="AM4948">
        <v>78.597195368790494</v>
      </c>
      <c r="AN4948">
        <v>0.99999999454258504</v>
      </c>
    </row>
    <row r="4949" spans="1:40" x14ac:dyDescent="0.25">
      <c r="A4949" t="str">
        <f>"20190303170636135"</f>
        <v>20190303170636135</v>
      </c>
      <c r="B4949" t="str">
        <f>"1551603996130067"</f>
        <v>1551603996130067</v>
      </c>
      <c r="C4949" t="s">
        <v>40</v>
      </c>
      <c r="D4949">
        <v>5.7570569999999996</v>
      </c>
      <c r="E4949">
        <v>0.51510659999999997</v>
      </c>
      <c r="F4949" t="s">
        <v>41</v>
      </c>
      <c r="G4949">
        <v>-302.29399999999998</v>
      </c>
      <c r="H4949" s="1">
        <v>-1.505735E-6</v>
      </c>
      <c r="I4949">
        <v>-38.32376</v>
      </c>
      <c r="J4949">
        <v>-302.75940000000003</v>
      </c>
      <c r="K4949">
        <v>1.0638069999999999</v>
      </c>
      <c r="L4949">
        <v>1.838654</v>
      </c>
      <c r="M4949">
        <v>0.25311430000000001</v>
      </c>
      <c r="N4949">
        <v>-1.387731E-2</v>
      </c>
      <c r="O4949">
        <v>-0.967337</v>
      </c>
      <c r="P4949">
        <v>6.3471920000000001E-2</v>
      </c>
      <c r="Q4949">
        <v>0.20379439999999999</v>
      </c>
      <c r="R4949">
        <v>-0.97695419999999999</v>
      </c>
      <c r="S4949">
        <v>3.9550780000000001E-2</v>
      </c>
      <c r="T4949">
        <v>-8.1234689999999998E-2</v>
      </c>
      <c r="U4949">
        <v>-3.0863040000000002</v>
      </c>
      <c r="V4949">
        <v>0.18986049999999999</v>
      </c>
      <c r="W4949">
        <v>0.2136595</v>
      </c>
      <c r="X4949">
        <v>0.95828100000000005</v>
      </c>
      <c r="Y4949">
        <v>0.24065300000000001</v>
      </c>
      <c r="Z4949">
        <v>1.078758E-2</v>
      </c>
      <c r="AA4949">
        <v>0.97055130000000001</v>
      </c>
      <c r="AB4949">
        <v>23</v>
      </c>
      <c r="AC4949">
        <v>0.46539999999998799</v>
      </c>
      <c r="AD4949">
        <v>-1.063808505735</v>
      </c>
      <c r="AE4949">
        <v>-40.162413999999998</v>
      </c>
      <c r="AF4949">
        <v>9.7096055363946405</v>
      </c>
      <c r="AG4949">
        <v>-1.063808505735</v>
      </c>
      <c r="AH4949">
        <v>38.944815548944199</v>
      </c>
      <c r="AI4949">
        <v>91.518238544011297</v>
      </c>
      <c r="AJ4949">
        <v>76.000592194946506</v>
      </c>
      <c r="AK4949">
        <v>40.151049629499703</v>
      </c>
      <c r="AL4949">
        <v>77.663104164824503</v>
      </c>
      <c r="AM4949">
        <v>78.793340398959302</v>
      </c>
      <c r="AN4949">
        <v>0.99999993318074698</v>
      </c>
    </row>
    <row r="4950" spans="1:40" x14ac:dyDescent="0.25">
      <c r="A4950" t="str">
        <f>"20190303170636157"</f>
        <v>20190303170636157</v>
      </c>
      <c r="B4950" t="str">
        <f>"1551603996149587"</f>
        <v>1551603996149587</v>
      </c>
      <c r="C4950" t="s">
        <v>40</v>
      </c>
      <c r="D4950">
        <v>5.658067</v>
      </c>
      <c r="E4950">
        <v>0.51375479999999996</v>
      </c>
      <c r="F4950" t="s">
        <v>41</v>
      </c>
      <c r="G4950">
        <v>-301.69130000000001</v>
      </c>
      <c r="H4950" s="1">
        <v>-4.1542019999999996E-6</v>
      </c>
      <c r="I4950">
        <v>-21.6875</v>
      </c>
      <c r="J4950">
        <v>-302.71409999999997</v>
      </c>
      <c r="K4950">
        <v>1.063971</v>
      </c>
      <c r="L4950">
        <v>1.6117859999999999</v>
      </c>
      <c r="M4950">
        <v>0.2416481</v>
      </c>
      <c r="N4950">
        <v>-1.3825499999999999E-2</v>
      </c>
      <c r="O4950">
        <v>-0.97026559999999995</v>
      </c>
      <c r="P4950">
        <v>5.5536830000000002E-2</v>
      </c>
      <c r="Q4950">
        <v>0.20501169999999999</v>
      </c>
      <c r="R4950">
        <v>-0.97718329999999998</v>
      </c>
      <c r="S4950">
        <v>0.14031979999999999</v>
      </c>
      <c r="T4950">
        <v>-0.13976140000000001</v>
      </c>
      <c r="U4950">
        <v>-3.0908199999999999</v>
      </c>
      <c r="V4950">
        <v>0.18616659999999999</v>
      </c>
      <c r="W4950">
        <v>0.21497060000000001</v>
      </c>
      <c r="X4950">
        <v>0.95871249999999997</v>
      </c>
      <c r="Y4950">
        <v>0.19735040000000001</v>
      </c>
      <c r="Z4950">
        <v>2.8962979999999999E-2</v>
      </c>
      <c r="AA4950">
        <v>0.97990509999999997</v>
      </c>
      <c r="AB4950">
        <v>23</v>
      </c>
      <c r="AC4950">
        <v>1.02279999999996</v>
      </c>
      <c r="AD4950">
        <v>-1.063975154202</v>
      </c>
      <c r="AE4950">
        <v>-23.299285999999999</v>
      </c>
      <c r="AF4950">
        <v>4.62864943054202</v>
      </c>
      <c r="AG4950">
        <v>-1.063975154202</v>
      </c>
      <c r="AH4950">
        <v>22.808362831510198</v>
      </c>
      <c r="AI4950">
        <v>92.617544893332493</v>
      </c>
      <c r="AJ4950">
        <v>78.528381064860397</v>
      </c>
      <c r="AK4950">
        <v>23.2975933034602</v>
      </c>
      <c r="AL4950">
        <v>77.586197644963704</v>
      </c>
      <c r="AM4950">
        <v>79.010840195257899</v>
      </c>
      <c r="AN4950">
        <v>1.0000000097380799</v>
      </c>
    </row>
    <row r="4951" spans="1:40" x14ac:dyDescent="0.25">
      <c r="A4951" t="str">
        <f>"20190303170636178"</f>
        <v>20190303170636178</v>
      </c>
      <c r="B4951" t="str">
        <f>"1551603996170084"</f>
        <v>1551603996170084</v>
      </c>
      <c r="C4951" t="s">
        <v>40</v>
      </c>
      <c r="D4951">
        <v>5.7500419999999997</v>
      </c>
      <c r="E4951">
        <v>0.51243119999999998</v>
      </c>
      <c r="F4951" t="s">
        <v>41</v>
      </c>
      <c r="G4951">
        <v>-301.7509</v>
      </c>
      <c r="H4951" s="1">
        <v>-4.0404939999999999E-6</v>
      </c>
      <c r="I4951">
        <v>-22.052659999999999</v>
      </c>
      <c r="J4951">
        <v>-302.673</v>
      </c>
      <c r="K4951">
        <v>1.064136</v>
      </c>
      <c r="L4951">
        <v>1.394196</v>
      </c>
      <c r="M4951">
        <v>0.2308857</v>
      </c>
      <c r="N4951">
        <v>-1.377317E-2</v>
      </c>
      <c r="O4951">
        <v>-0.97288359999999996</v>
      </c>
      <c r="P4951">
        <v>4.6812920000000001E-2</v>
      </c>
      <c r="Q4951">
        <v>0.2062708</v>
      </c>
      <c r="R4951">
        <v>-0.97737490000000005</v>
      </c>
      <c r="S4951">
        <v>0.12585450000000001</v>
      </c>
      <c r="T4951">
        <v>-0.13902239999999999</v>
      </c>
      <c r="U4951">
        <v>-3.0920719999999999</v>
      </c>
      <c r="V4951">
        <v>0.1839721</v>
      </c>
      <c r="W4951">
        <v>0.21629200000000001</v>
      </c>
      <c r="X4951">
        <v>0.95883890000000005</v>
      </c>
      <c r="Y4951">
        <v>0.19108430000000001</v>
      </c>
      <c r="Z4951">
        <v>2.8968870000000001E-2</v>
      </c>
      <c r="AA4951">
        <v>0.98114610000000002</v>
      </c>
      <c r="AB4951">
        <v>23</v>
      </c>
      <c r="AC4951">
        <v>0.92210000000000003</v>
      </c>
      <c r="AD4951">
        <v>-1.064140040494</v>
      </c>
      <c r="AE4951">
        <v>-23.446856</v>
      </c>
      <c r="AF4951">
        <v>4.5076048260311898</v>
      </c>
      <c r="AG4951">
        <v>-1.064140040494</v>
      </c>
      <c r="AH4951">
        <v>22.978881674883201</v>
      </c>
      <c r="AI4951">
        <v>92.601925122948899</v>
      </c>
      <c r="AJ4951">
        <v>78.901614728757195</v>
      </c>
      <c r="AK4951">
        <v>23.440987571382799</v>
      </c>
      <c r="AL4951">
        <v>77.508662851894599</v>
      </c>
      <c r="AM4951">
        <v>79.138676894540595</v>
      </c>
      <c r="AN4951">
        <v>0.99999999949780904</v>
      </c>
    </row>
    <row r="4952" spans="1:40" x14ac:dyDescent="0.25">
      <c r="A4952" t="str">
        <f>"20190303170636199"</f>
        <v>20190303170636199</v>
      </c>
      <c r="B4952" t="str">
        <f>"1551603996189604"</f>
        <v>1551603996189604</v>
      </c>
      <c r="C4952" t="s">
        <v>40</v>
      </c>
      <c r="D4952">
        <v>5.6984050000000002</v>
      </c>
      <c r="E4952">
        <v>0.50553630000000005</v>
      </c>
      <c r="F4952" t="s">
        <v>41</v>
      </c>
      <c r="G4952">
        <v>-301.80430000000001</v>
      </c>
      <c r="H4952" s="1">
        <v>-3.7821359999999999E-6</v>
      </c>
      <c r="I4952">
        <v>-22.713699999999999</v>
      </c>
      <c r="J4952">
        <v>-302.63479999999998</v>
      </c>
      <c r="K4952">
        <v>1.064306</v>
      </c>
      <c r="L4952">
        <v>1.180145</v>
      </c>
      <c r="M4952">
        <v>0.22052730000000001</v>
      </c>
      <c r="N4952">
        <v>-1.37198999999999E-2</v>
      </c>
      <c r="O4952">
        <v>-0.97528459999999995</v>
      </c>
      <c r="P4952">
        <v>3.833164E-2</v>
      </c>
      <c r="Q4952">
        <v>0.20622799999999999</v>
      </c>
      <c r="R4952">
        <v>-0.97775330000000005</v>
      </c>
      <c r="S4952">
        <v>0.1114502</v>
      </c>
      <c r="T4952">
        <v>-0.13652400000000001</v>
      </c>
      <c r="U4952">
        <v>-3.0929259999999998</v>
      </c>
      <c r="V4952">
        <v>0.18199650000000001</v>
      </c>
      <c r="W4952">
        <v>0.21631439999999999</v>
      </c>
      <c r="X4952">
        <v>0.95921080000000003</v>
      </c>
      <c r="Y4952">
        <v>0.18522</v>
      </c>
      <c r="Z4952">
        <v>2.8421020000000002E-2</v>
      </c>
      <c r="AA4952">
        <v>0.98228599999999999</v>
      </c>
      <c r="AB4952">
        <v>23</v>
      </c>
      <c r="AC4952">
        <v>0.83049999999997204</v>
      </c>
      <c r="AD4952">
        <v>-1.0643097821359999</v>
      </c>
      <c r="AE4952">
        <v>-23.893844999999999</v>
      </c>
      <c r="AF4952">
        <v>4.4508694106239997</v>
      </c>
      <c r="AG4952">
        <v>-1.0643097821359999</v>
      </c>
      <c r="AH4952">
        <v>23.442195430880702</v>
      </c>
      <c r="AI4952">
        <v>92.5539623207424</v>
      </c>
      <c r="AJ4952">
        <v>79.249458478815995</v>
      </c>
      <c r="AK4952">
        <v>23.8847131119966</v>
      </c>
      <c r="AL4952">
        <v>77.507348341106194</v>
      </c>
      <c r="AM4952">
        <v>79.256651148056704</v>
      </c>
      <c r="AN4952">
        <v>1.0000000022481199</v>
      </c>
    </row>
    <row r="4953" spans="1:40" x14ac:dyDescent="0.25">
      <c r="A4953" t="str">
        <f>"20190303170636221"</f>
        <v>20190303170636221</v>
      </c>
      <c r="B4953" t="str">
        <f>"1551603996210099"</f>
        <v>1551603996210099</v>
      </c>
      <c r="C4953" t="s">
        <v>40</v>
      </c>
      <c r="D4953">
        <v>5.6686750000000004</v>
      </c>
      <c r="E4953">
        <v>0.50387769999999998</v>
      </c>
      <c r="F4953" t="s">
        <v>41</v>
      </c>
      <c r="G4953">
        <v>-300.90350000000001</v>
      </c>
      <c r="H4953" s="1">
        <v>-1.5858769999999999E-6</v>
      </c>
      <c r="I4953">
        <v>-37.274529999999999</v>
      </c>
      <c r="J4953">
        <v>-302.5958</v>
      </c>
      <c r="K4953">
        <v>1.064789</v>
      </c>
      <c r="L4953">
        <v>0.9508972</v>
      </c>
      <c r="M4953">
        <v>0.20895859999999999</v>
      </c>
      <c r="N4953">
        <v>-1.4051579999999999E-2</v>
      </c>
      <c r="O4953">
        <v>-0.97782380000000002</v>
      </c>
      <c r="P4953">
        <v>2.9021450000000001E-2</v>
      </c>
      <c r="Q4953">
        <v>0.2048152</v>
      </c>
      <c r="R4953">
        <v>-0.97837039999999997</v>
      </c>
      <c r="S4953">
        <v>0.138702399999999</v>
      </c>
      <c r="T4953">
        <v>-8.5267419999999997E-2</v>
      </c>
      <c r="U4953">
        <v>-3.0808110000000002</v>
      </c>
      <c r="V4953">
        <v>0.1796054</v>
      </c>
      <c r="W4953">
        <v>0.21543209999999999</v>
      </c>
      <c r="X4953">
        <v>0.95985980000000004</v>
      </c>
      <c r="Y4953">
        <v>0.16473940000000001</v>
      </c>
      <c r="Z4953">
        <v>1.256694E-2</v>
      </c>
      <c r="AA4953">
        <v>0.9862571</v>
      </c>
      <c r="AB4953">
        <v>23</v>
      </c>
      <c r="AC4953">
        <v>1.6922999999999799</v>
      </c>
      <c r="AD4953">
        <v>-1.0647905858769999</v>
      </c>
      <c r="AE4953">
        <v>-38.225427199999999</v>
      </c>
      <c r="AF4953">
        <v>6.3284832822801702</v>
      </c>
      <c r="AG4953">
        <v>-1.0647905858769999</v>
      </c>
      <c r="AH4953">
        <v>37.705868728906502</v>
      </c>
      <c r="AI4953">
        <v>91.595266521417898</v>
      </c>
      <c r="AJ4953">
        <v>80.472383210610801</v>
      </c>
      <c r="AK4953">
        <v>38.2480851317736</v>
      </c>
      <c r="AL4953">
        <v>77.559120637662403</v>
      </c>
      <c r="AM4953">
        <v>79.401584774339</v>
      </c>
      <c r="AN4953">
        <v>0.99999996253780399</v>
      </c>
    </row>
    <row r="4954" spans="1:40" x14ac:dyDescent="0.25">
      <c r="A4954" t="str">
        <f>"20190303170636246"</f>
        <v>20190303170636246</v>
      </c>
      <c r="B4954" t="str">
        <f>"1551603996240355"</f>
        <v>1551603996240355</v>
      </c>
      <c r="C4954" t="s">
        <v>40</v>
      </c>
      <c r="D4954">
        <v>5.7073929999999997</v>
      </c>
      <c r="E4954">
        <v>0.50328700000000004</v>
      </c>
      <c r="F4954" t="s">
        <v>41</v>
      </c>
      <c r="G4954">
        <v>-301.46260000000001</v>
      </c>
      <c r="H4954" s="1">
        <v>-2.0601730000000001E-6</v>
      </c>
      <c r="I4954">
        <v>-26.515740000000001</v>
      </c>
      <c r="J4954">
        <v>-302.55689999999998</v>
      </c>
      <c r="K4954">
        <v>1.065258</v>
      </c>
      <c r="L4954">
        <v>0.71176149999999905</v>
      </c>
      <c r="M4954">
        <v>0.19595960000000001</v>
      </c>
      <c r="N4954">
        <v>-1.4381669999999999E-2</v>
      </c>
      <c r="O4954">
        <v>-0.98050660000000001</v>
      </c>
      <c r="P4954">
        <v>1.9796870000000001E-2</v>
      </c>
      <c r="Q4954">
        <v>0.20284350000000001</v>
      </c>
      <c r="R4954">
        <v>-0.97901139999999998</v>
      </c>
      <c r="S4954">
        <v>0.12738039999999901</v>
      </c>
      <c r="T4954">
        <v>-0.1196967</v>
      </c>
      <c r="U4954">
        <v>-3.0876160000000001</v>
      </c>
      <c r="V4954">
        <v>0.17585200000000001</v>
      </c>
      <c r="W4954">
        <v>0.21393619999999999</v>
      </c>
      <c r="X4954">
        <v>0.96088890000000005</v>
      </c>
      <c r="Y4954">
        <v>0.15534289999999901</v>
      </c>
      <c r="Z4954">
        <v>2.3045380000000001E-2</v>
      </c>
      <c r="AA4954">
        <v>0.98759169999999996</v>
      </c>
      <c r="AB4954">
        <v>23</v>
      </c>
      <c r="AC4954">
        <v>1.0942999999999701</v>
      </c>
      <c r="AD4954">
        <v>-1.065260060173</v>
      </c>
      <c r="AE4954">
        <v>-27.227501499999999</v>
      </c>
      <c r="AF4954">
        <v>4.2564574716516699</v>
      </c>
      <c r="AG4954">
        <v>-1.065260060173</v>
      </c>
      <c r="AH4954">
        <v>26.872895905055501</v>
      </c>
      <c r="AI4954">
        <v>92.242133387734995</v>
      </c>
      <c r="AJ4954">
        <v>80.999565516680804</v>
      </c>
      <c r="AK4954">
        <v>27.228748475237101</v>
      </c>
      <c r="AL4954">
        <v>77.6468766501429</v>
      </c>
      <c r="AM4954">
        <v>79.629082443711397</v>
      </c>
      <c r="AN4954">
        <v>1.00000005085882</v>
      </c>
    </row>
    <row r="4955" spans="1:40" x14ac:dyDescent="0.25">
      <c r="A4955" t="str">
        <f>"20190303170636268"</f>
        <v>20190303170636268</v>
      </c>
      <c r="B4955" t="str">
        <f>"1551603996259875"</f>
        <v>1551603996259875</v>
      </c>
      <c r="C4955" t="s">
        <v>40</v>
      </c>
      <c r="D4955">
        <v>5.7171849999999997</v>
      </c>
      <c r="E4955">
        <v>0.50242330000000002</v>
      </c>
      <c r="F4955" t="s">
        <v>41</v>
      </c>
      <c r="G4955">
        <v>-301.65780000000001</v>
      </c>
      <c r="H4955" s="1">
        <v>-2.0682949999999998E-6</v>
      </c>
      <c r="I4955">
        <v>-26.617819999999998</v>
      </c>
      <c r="J4955">
        <v>-302.52089999999998</v>
      </c>
      <c r="K4955">
        <v>1.065158</v>
      </c>
      <c r="L4955">
        <v>0.47460940000000001</v>
      </c>
      <c r="M4955">
        <v>0.18644630000000001</v>
      </c>
      <c r="N4955">
        <v>-1.443467E-2</v>
      </c>
      <c r="O4955">
        <v>-0.98235919999999999</v>
      </c>
      <c r="P4955">
        <v>1.51898E-2</v>
      </c>
      <c r="Q4955">
        <v>0.20258490000000001</v>
      </c>
      <c r="R4955">
        <v>-0.97914699999999999</v>
      </c>
      <c r="S4955">
        <v>0.1015625</v>
      </c>
      <c r="T4955">
        <v>-0.1203333</v>
      </c>
      <c r="U4955">
        <v>-3.087189</v>
      </c>
      <c r="V4955">
        <v>0.17136399999999999</v>
      </c>
      <c r="W4955">
        <v>0.2135659</v>
      </c>
      <c r="X4955">
        <v>0.96178169999999996</v>
      </c>
      <c r="Y4955">
        <v>0.1540098</v>
      </c>
      <c r="Z4955">
        <v>2.3299730000000001E-2</v>
      </c>
      <c r="AA4955">
        <v>0.98779459999999997</v>
      </c>
      <c r="AB4955">
        <v>23</v>
      </c>
      <c r="AC4955">
        <v>0.863099999999974</v>
      </c>
      <c r="AD4955">
        <v>-1.065160068295</v>
      </c>
      <c r="AE4955">
        <v>-27.0924294</v>
      </c>
      <c r="AF4955">
        <v>4.1973651755324601</v>
      </c>
      <c r="AG4955">
        <v>-1.065160068295</v>
      </c>
      <c r="AH4955">
        <v>26.736920374475499</v>
      </c>
      <c r="AI4955">
        <v>92.253799663776803</v>
      </c>
      <c r="AJ4955">
        <v>81.078090863877506</v>
      </c>
      <c r="AK4955">
        <v>27.0853346203976</v>
      </c>
      <c r="AL4955">
        <v>77.668594924937494</v>
      </c>
      <c r="AM4955">
        <v>79.897425607780903</v>
      </c>
      <c r="AN4955">
        <v>1.00000002629684</v>
      </c>
    </row>
    <row r="4956" spans="1:40" x14ac:dyDescent="0.25">
      <c r="A4956" t="str">
        <f>"20190303170636292"</f>
        <v>20190303170636292</v>
      </c>
      <c r="B4956" t="str">
        <f>"1551603996280373"</f>
        <v>1551603996280373</v>
      </c>
      <c r="C4956" t="s">
        <v>40</v>
      </c>
      <c r="D4956">
        <v>5.7535590000000001</v>
      </c>
      <c r="E4956">
        <v>0.50131020000000004</v>
      </c>
      <c r="F4956" t="s">
        <v>41</v>
      </c>
      <c r="G4956">
        <v>-301.70769999999999</v>
      </c>
      <c r="H4956" s="1">
        <v>-1.7899100000000001E-6</v>
      </c>
      <c r="I4956">
        <v>-27.297699999999999</v>
      </c>
      <c r="J4956">
        <v>-302.48880000000003</v>
      </c>
      <c r="K4956">
        <v>1.0651489999999999</v>
      </c>
      <c r="L4956">
        <v>0.2431335</v>
      </c>
      <c r="M4956">
        <v>0.17952419999999999</v>
      </c>
      <c r="N4956">
        <v>-1.344469E-2</v>
      </c>
      <c r="O4956">
        <v>-0.98366180000000003</v>
      </c>
      <c r="P4956">
        <v>1.291027E-2</v>
      </c>
      <c r="Q4956">
        <v>0.2049443</v>
      </c>
      <c r="R4956">
        <v>-0.97868869999999997</v>
      </c>
      <c r="S4956">
        <v>9.0393070000000006E-2</v>
      </c>
      <c r="T4956">
        <v>-0.11839570000000001</v>
      </c>
      <c r="U4956">
        <v>-3.0869749999999998</v>
      </c>
      <c r="V4956">
        <v>0.1670915</v>
      </c>
      <c r="W4956">
        <v>0.21479039999999999</v>
      </c>
      <c r="X4956">
        <v>0.96226069999999997</v>
      </c>
      <c r="Y4956">
        <v>0.15062439999999999</v>
      </c>
      <c r="Z4956">
        <v>2.376282E-2</v>
      </c>
      <c r="AA4956">
        <v>0.9883054</v>
      </c>
      <c r="AB4956">
        <v>22</v>
      </c>
      <c r="AC4956">
        <v>0.78110000000003699</v>
      </c>
      <c r="AD4956">
        <v>-1.0651507899099999</v>
      </c>
      <c r="AE4956">
        <v>-27.540833500000002</v>
      </c>
      <c r="AF4956">
        <v>4.1700523759321504</v>
      </c>
      <c r="AG4956">
        <v>-1.0651507899099999</v>
      </c>
      <c r="AH4956">
        <v>27.192908537781801</v>
      </c>
      <c r="AI4956">
        <v>92.217245502425499</v>
      </c>
      <c r="AJ4956">
        <v>81.281569177140298</v>
      </c>
      <c r="AK4956">
        <v>27.531403120208498</v>
      </c>
      <c r="AL4956">
        <v>77.596770054162604</v>
      </c>
      <c r="AM4956">
        <v>80.149115605877597</v>
      </c>
      <c r="AN4956">
        <v>1.00000007003444</v>
      </c>
    </row>
    <row r="4957" spans="1:40" x14ac:dyDescent="0.25">
      <c r="A4957" t="str">
        <f>"20190303170636314"</f>
        <v>20190303170636314</v>
      </c>
      <c r="B4957" t="str">
        <f>"1551603996299891"</f>
        <v>1551603996299891</v>
      </c>
      <c r="C4957" t="s">
        <v>40</v>
      </c>
      <c r="D4957">
        <v>5.754435</v>
      </c>
      <c r="E4957">
        <v>0.50037500000000001</v>
      </c>
      <c r="F4957" t="s">
        <v>41</v>
      </c>
      <c r="G4957">
        <v>-301.60550000000001</v>
      </c>
      <c r="H4957" s="1">
        <v>-7.4391319999999895E-7</v>
      </c>
      <c r="I4957">
        <v>-29.67257</v>
      </c>
      <c r="J4957">
        <v>-302.45830000000001</v>
      </c>
      <c r="K4957">
        <v>1.06603</v>
      </c>
      <c r="L4957">
        <v>3.7231450000000002E-3</v>
      </c>
      <c r="M4957">
        <v>0.1715583</v>
      </c>
      <c r="N4957">
        <v>-1.1481140000000001E-2</v>
      </c>
      <c r="O4957">
        <v>-0.98510710000000001</v>
      </c>
      <c r="P4957">
        <v>8.9688879999999995E-3</v>
      </c>
      <c r="Q4957">
        <v>0.20906140000000001</v>
      </c>
      <c r="R4957">
        <v>-0.97786130000000004</v>
      </c>
      <c r="S4957">
        <v>9.1156009999999996E-2</v>
      </c>
      <c r="T4957">
        <v>-0.1099173</v>
      </c>
      <c r="U4957">
        <v>-3.0871279999999999</v>
      </c>
      <c r="V4957">
        <v>0.16305989999999901</v>
      </c>
      <c r="W4957">
        <v>0.21708810000000001</v>
      </c>
      <c r="X4957">
        <v>0.96243659999999998</v>
      </c>
      <c r="Y4957">
        <v>0.1423864</v>
      </c>
      <c r="Z4957">
        <v>2.3156159999999999E-2</v>
      </c>
      <c r="AA4957">
        <v>0.98954019999999998</v>
      </c>
      <c r="AB4957">
        <v>23</v>
      </c>
      <c r="AC4957">
        <v>0.852800000000002</v>
      </c>
      <c r="AD4957">
        <v>-1.0660307439132</v>
      </c>
      <c r="AE4957">
        <v>-29.676293144999999</v>
      </c>
      <c r="AF4957">
        <v>4.2459207774157903</v>
      </c>
      <c r="AG4957">
        <v>-1.0660307439132</v>
      </c>
      <c r="AH4957">
        <v>29.344732822504898</v>
      </c>
      <c r="AI4957">
        <v>92.059093288800796</v>
      </c>
      <c r="AJ4957">
        <v>81.766949454966394</v>
      </c>
      <c r="AK4957">
        <v>29.669472681853499</v>
      </c>
      <c r="AL4957">
        <v>77.4619394551776</v>
      </c>
      <c r="AM4957">
        <v>80.384030723089197</v>
      </c>
      <c r="AN4957">
        <v>0.99999999158458996</v>
      </c>
    </row>
    <row r="4958" spans="1:40" x14ac:dyDescent="0.25">
      <c r="A4958" t="str">
        <f>"20190303170636337"</f>
        <v>20190303170636337</v>
      </c>
      <c r="B4958" t="str">
        <f>"1551603996330147"</f>
        <v>1551603996330147</v>
      </c>
      <c r="C4958" t="s">
        <v>40</v>
      </c>
      <c r="D4958">
        <v>5.7255859999999998</v>
      </c>
      <c r="E4958">
        <v>0.49026789999999998</v>
      </c>
      <c r="F4958" t="s">
        <v>41</v>
      </c>
      <c r="G4958">
        <v>-301.50330000000002</v>
      </c>
      <c r="H4958" s="1">
        <v>-3.2535829999999998E-6</v>
      </c>
      <c r="I4958">
        <v>-33.759070000000001</v>
      </c>
      <c r="J4958">
        <v>-302.43049999999999</v>
      </c>
      <c r="K4958">
        <v>1.0679700000000001</v>
      </c>
      <c r="L4958">
        <v>-0.22717290000000001</v>
      </c>
      <c r="M4958">
        <v>0.16225510000000001</v>
      </c>
      <c r="N4958">
        <v>-9.747248E-3</v>
      </c>
      <c r="O4958">
        <v>-0.98670080000000004</v>
      </c>
      <c r="P4958">
        <v>3.6070189999999999E-3</v>
      </c>
      <c r="Q4958">
        <v>0.2110409</v>
      </c>
      <c r="R4958">
        <v>-0.97747079999999997</v>
      </c>
      <c r="S4958">
        <v>8.7341310000000005E-2</v>
      </c>
      <c r="T4958">
        <v>-9.749961E-2</v>
      </c>
      <c r="U4958">
        <v>-3.087952</v>
      </c>
      <c r="V4958">
        <v>0.1588273</v>
      </c>
      <c r="W4958">
        <v>0.2177308</v>
      </c>
      <c r="X4958">
        <v>0.96299900000000005</v>
      </c>
      <c r="Y4958">
        <v>0.13427819999999999</v>
      </c>
      <c r="Z4958">
        <v>2.1061280000000002E-2</v>
      </c>
      <c r="AA4958">
        <v>0.99071989999999999</v>
      </c>
      <c r="AB4958">
        <v>23</v>
      </c>
      <c r="AC4958">
        <v>0.92719999999997005</v>
      </c>
      <c r="AD4958">
        <v>-1.067973253583</v>
      </c>
      <c r="AE4958">
        <v>-33.531897100000002</v>
      </c>
      <c r="AF4958">
        <v>4.5214838682428997</v>
      </c>
      <c r="AG4958">
        <v>-1.067973253583</v>
      </c>
      <c r="AH4958">
        <v>33.204312015993899</v>
      </c>
      <c r="AI4958">
        <v>91.825374307420105</v>
      </c>
      <c r="AJ4958">
        <v>82.245636989988895</v>
      </c>
      <c r="AK4958">
        <v>33.527760433655899</v>
      </c>
      <c r="AL4958">
        <v>77.424212442030495</v>
      </c>
      <c r="AM4958">
        <v>80.634526598752501</v>
      </c>
      <c r="AN4958">
        <v>0.999999943247463</v>
      </c>
    </row>
    <row r="4959" spans="1:40" x14ac:dyDescent="0.25">
      <c r="A4959" t="str">
        <f>"20190303170636359"</f>
        <v>20190303170636359</v>
      </c>
      <c r="B4959" t="str">
        <f>"1551603996349667"</f>
        <v>1551603996349667</v>
      </c>
      <c r="C4959" t="s">
        <v>40</v>
      </c>
      <c r="D4959">
        <v>5.7845899999999997</v>
      </c>
      <c r="E4959">
        <v>0.48853390000000002</v>
      </c>
      <c r="F4959" t="s">
        <v>41</v>
      </c>
      <c r="G4959">
        <v>-300.82049999999998</v>
      </c>
      <c r="H4959" s="1">
        <v>-3.5009170000000001E-6</v>
      </c>
      <c r="I4959">
        <v>-32.759039999999999</v>
      </c>
      <c r="J4959">
        <v>-302.40410000000003</v>
      </c>
      <c r="K4959">
        <v>1.0703860000000001</v>
      </c>
      <c r="L4959">
        <v>-0.45770260000000001</v>
      </c>
      <c r="M4959">
        <v>0.15190490000000001</v>
      </c>
      <c r="N4959">
        <v>-8.2997959999999999E-3</v>
      </c>
      <c r="O4959">
        <v>-0.98836040000000003</v>
      </c>
      <c r="P4959">
        <v>-2.342944E-3</v>
      </c>
      <c r="Q4959">
        <v>0.21116499999999999</v>
      </c>
      <c r="R4959">
        <v>-0.97744790000000004</v>
      </c>
      <c r="S4959">
        <v>0.15295410000000001</v>
      </c>
      <c r="T4959">
        <v>-0.101456</v>
      </c>
      <c r="U4959">
        <v>-3.0904850000000001</v>
      </c>
      <c r="V4959">
        <v>0.1541112</v>
      </c>
      <c r="W4959">
        <v>0.21685769999999999</v>
      </c>
      <c r="X4959">
        <v>0.96396190000000004</v>
      </c>
      <c r="Y4959">
        <v>0.102863</v>
      </c>
      <c r="Z4959">
        <v>2.3868670000000002E-2</v>
      </c>
      <c r="AA4959">
        <v>0.99440910000000005</v>
      </c>
      <c r="AB4959">
        <v>23</v>
      </c>
      <c r="AC4959">
        <v>1.5836000000000401</v>
      </c>
      <c r="AD4959">
        <v>-1.0703895009169999</v>
      </c>
      <c r="AE4959">
        <v>-32.301337400000001</v>
      </c>
      <c r="AF4959">
        <v>3.3380218555171299</v>
      </c>
      <c r="AG4959">
        <v>-1.0703895009169999</v>
      </c>
      <c r="AH4959">
        <v>32.131823623446401</v>
      </c>
      <c r="AI4959">
        <v>91.897751366916495</v>
      </c>
      <c r="AJ4959">
        <v>84.069089507042193</v>
      </c>
      <c r="AK4959">
        <v>32.322472259402602</v>
      </c>
      <c r="AL4959">
        <v>77.475463099355196</v>
      </c>
      <c r="AM4959">
        <v>80.916834429831695</v>
      </c>
      <c r="AN4959">
        <v>1.0000000343331601</v>
      </c>
    </row>
    <row r="4960" spans="1:40" x14ac:dyDescent="0.25">
      <c r="A4960" t="str">
        <f>"20190303170636382"</f>
        <v>20190303170636382</v>
      </c>
      <c r="B4960" t="str">
        <f>"1551603996370164"</f>
        <v>1551603996370164</v>
      </c>
      <c r="C4960" t="s">
        <v>40</v>
      </c>
      <c r="D4960">
        <v>5.7945379999999904</v>
      </c>
      <c r="E4960">
        <v>0.48845909999999898</v>
      </c>
      <c r="F4960" t="s">
        <v>41</v>
      </c>
      <c r="G4960">
        <v>-300.96109999999999</v>
      </c>
      <c r="H4960" s="1">
        <v>-4.4210349999999996E-6</v>
      </c>
      <c r="I4960">
        <v>-30.522770000000001</v>
      </c>
      <c r="J4960">
        <v>-302.37779999999998</v>
      </c>
      <c r="K4960">
        <v>1.0726979999999999</v>
      </c>
      <c r="L4960">
        <v>-0.70101930000000001</v>
      </c>
      <c r="M4960">
        <v>0.1410816</v>
      </c>
      <c r="N4960">
        <v>-6.5987850000000002E-3</v>
      </c>
      <c r="O4960">
        <v>-0.98997619999999997</v>
      </c>
      <c r="P4960">
        <v>-1.0481499999999999E-2</v>
      </c>
      <c r="Q4960">
        <v>0.21167620000000001</v>
      </c>
      <c r="R4960">
        <v>-0.97728409999999999</v>
      </c>
      <c r="S4960">
        <v>0.14846799999999999</v>
      </c>
      <c r="T4960">
        <v>-0.11013100000000001</v>
      </c>
      <c r="U4960">
        <v>-3.093353</v>
      </c>
      <c r="V4960">
        <v>0.1512232</v>
      </c>
      <c r="W4960">
        <v>0.2159992</v>
      </c>
      <c r="X4960">
        <v>0.96461180000000002</v>
      </c>
      <c r="Y4960">
        <v>9.3467560000000005E-2</v>
      </c>
      <c r="Z4960">
        <v>2.8375879999999999E-2</v>
      </c>
      <c r="AA4960">
        <v>0.99521789999999999</v>
      </c>
      <c r="AB4960">
        <v>23</v>
      </c>
      <c r="AC4960">
        <v>1.4166999999999901</v>
      </c>
      <c r="AD4960">
        <v>-1.072702421035</v>
      </c>
      <c r="AE4960">
        <v>-29.821750699999999</v>
      </c>
      <c r="AF4960">
        <v>2.8012451749382201</v>
      </c>
      <c r="AG4960">
        <v>-1.072702421035</v>
      </c>
      <c r="AH4960">
        <v>29.685012161645201</v>
      </c>
      <c r="AI4960">
        <v>92.060403544539696</v>
      </c>
      <c r="AJ4960">
        <v>84.609210701338299</v>
      </c>
      <c r="AK4960">
        <v>29.836179582031502</v>
      </c>
      <c r="AL4960">
        <v>77.525845458159907</v>
      </c>
      <c r="AM4960">
        <v>81.090200962392998</v>
      </c>
      <c r="AN4960">
        <v>1.00000001765905</v>
      </c>
    </row>
    <row r="4961" spans="1:40" x14ac:dyDescent="0.25">
      <c r="A4961" t="str">
        <f>"20190303170636402"</f>
        <v>20190303170636402</v>
      </c>
      <c r="B4961" t="str">
        <f>"1551603996389684"</f>
        <v>1551603996389684</v>
      </c>
      <c r="C4961" t="s">
        <v>40</v>
      </c>
      <c r="D4961">
        <v>6.5167729999999997</v>
      </c>
      <c r="E4961">
        <v>0.48745579999999999</v>
      </c>
      <c r="F4961" t="s">
        <v>41</v>
      </c>
      <c r="G4961">
        <v>-301.20119999999997</v>
      </c>
      <c r="H4961" s="1">
        <v>-4.5690140000000002E-7</v>
      </c>
      <c r="I4961">
        <v>-30.09083</v>
      </c>
      <c r="J4961">
        <v>-302.35840000000002</v>
      </c>
      <c r="K4961">
        <v>1.0742259999999999</v>
      </c>
      <c r="L4961">
        <v>-0.89376829999999996</v>
      </c>
      <c r="M4961">
        <v>0.13336239999999999</v>
      </c>
      <c r="N4961">
        <v>-5.1485330000000003E-3</v>
      </c>
      <c r="O4961">
        <v>-0.99105390000000004</v>
      </c>
      <c r="P4961">
        <v>-1.6075389999999998E-2</v>
      </c>
      <c r="Q4961">
        <v>0.21354319999999999</v>
      </c>
      <c r="R4961">
        <v>-0.97680120000000004</v>
      </c>
      <c r="S4961">
        <v>0.1239319</v>
      </c>
      <c r="T4961">
        <v>-0.1129844</v>
      </c>
      <c r="U4961">
        <v>-3.0955509999999999</v>
      </c>
      <c r="V4961">
        <v>0.1490638</v>
      </c>
      <c r="W4961">
        <v>0.2165714</v>
      </c>
      <c r="X4961">
        <v>0.9648196</v>
      </c>
      <c r="Y4961">
        <v>9.3620120000000001E-2</v>
      </c>
      <c r="Z4961">
        <v>3.0760249999999999E-2</v>
      </c>
      <c r="AA4961">
        <v>0.99513269999999998</v>
      </c>
      <c r="AB4961">
        <v>23</v>
      </c>
      <c r="AC4961">
        <v>1.15720000000004</v>
      </c>
      <c r="AD4961">
        <v>-1.0742264569014</v>
      </c>
      <c r="AE4961">
        <v>-29.1970616999999</v>
      </c>
      <c r="AF4961">
        <v>2.74327156961095</v>
      </c>
      <c r="AG4961">
        <v>-1.0742264569014</v>
      </c>
      <c r="AH4961">
        <v>29.0513120250993</v>
      </c>
      <c r="AI4961">
        <v>92.108283408426303</v>
      </c>
      <c r="AJ4961">
        <v>84.605641390612007</v>
      </c>
      <c r="AK4961">
        <v>29.2003121860884</v>
      </c>
      <c r="AL4961">
        <v>77.492266076740705</v>
      </c>
      <c r="AM4961">
        <v>81.217292937049095</v>
      </c>
      <c r="AN4961">
        <v>1.0000000241562701</v>
      </c>
    </row>
    <row r="4962" spans="1:40" x14ac:dyDescent="0.25">
      <c r="A4962" t="str">
        <f>"20190303170636422"</f>
        <v>20190303170636422</v>
      </c>
      <c r="B4962" t="str">
        <f>"1551603996410180"</f>
        <v>1551603996410180</v>
      </c>
      <c r="C4962" t="s">
        <v>40</v>
      </c>
      <c r="D4962">
        <v>5.6626370000000001</v>
      </c>
      <c r="E4962">
        <v>0.48727490000000001</v>
      </c>
      <c r="F4962" t="s">
        <v>41</v>
      </c>
      <c r="G4962">
        <v>-301.23390000000001</v>
      </c>
      <c r="H4962" s="1">
        <v>-4.3447570000000002E-6</v>
      </c>
      <c r="I4962">
        <v>-30.889119999999998</v>
      </c>
      <c r="J4962">
        <v>-302.3383</v>
      </c>
      <c r="K4962">
        <v>1.0758589999999999</v>
      </c>
      <c r="L4962">
        <v>-1.1101379999999901</v>
      </c>
      <c r="M4962">
        <v>0.12548219999999999</v>
      </c>
      <c r="N4962">
        <v>-3.6323470000000002E-3</v>
      </c>
      <c r="O4962">
        <v>-0.9920892</v>
      </c>
      <c r="P4962">
        <v>-2.151726E-2</v>
      </c>
      <c r="Q4962">
        <v>0.21587049999999999</v>
      </c>
      <c r="R4962">
        <v>-0.97618479999999996</v>
      </c>
      <c r="S4962">
        <v>0.1161194</v>
      </c>
      <c r="T4962">
        <v>-0.11092829999999999</v>
      </c>
      <c r="U4962">
        <v>-3.0974119999999998</v>
      </c>
      <c r="V4962">
        <v>0.14663289999999901</v>
      </c>
      <c r="W4962">
        <v>0.21752189999999999</v>
      </c>
      <c r="X4962">
        <v>0.96497829999999996</v>
      </c>
      <c r="Y4962">
        <v>8.8240620000000006E-2</v>
      </c>
      <c r="Z4962">
        <v>3.1662490000000001E-2</v>
      </c>
      <c r="AA4962">
        <v>0.99559580000000003</v>
      </c>
      <c r="AB4962">
        <v>23</v>
      </c>
      <c r="AC4962">
        <v>1.1043999999999901</v>
      </c>
      <c r="AD4962">
        <v>-1.0758633447570001</v>
      </c>
      <c r="AE4962">
        <v>-29.778981999999999</v>
      </c>
      <c r="AF4962">
        <v>2.6376482741735199</v>
      </c>
      <c r="AG4962">
        <v>-1.0758633447570001</v>
      </c>
      <c r="AH4962">
        <v>29.643546251495099</v>
      </c>
      <c r="AI4962">
        <v>92.070370499516599</v>
      </c>
      <c r="AJ4962">
        <v>84.915278926399296</v>
      </c>
      <c r="AK4962">
        <v>29.780102496790899</v>
      </c>
      <c r="AL4962">
        <v>77.436476836380706</v>
      </c>
      <c r="AM4962">
        <v>81.359739435562901</v>
      </c>
      <c r="AN4962">
        <v>1.00000005190645</v>
      </c>
    </row>
    <row r="4963" spans="1:40" x14ac:dyDescent="0.25">
      <c r="A4963" t="str">
        <f>"20190303170636446"</f>
        <v>20190303170636446</v>
      </c>
      <c r="B4963" t="str">
        <f>"1551603996439473"</f>
        <v>1551603996439473</v>
      </c>
      <c r="C4963" t="s">
        <v>40</v>
      </c>
      <c r="D4963">
        <v>5.766553</v>
      </c>
      <c r="E4963">
        <v>0.48713970000000001</v>
      </c>
      <c r="F4963" t="s">
        <v>41</v>
      </c>
      <c r="G4963">
        <v>-301.27350000000001</v>
      </c>
      <c r="H4963" s="1">
        <v>-3.121919E-6</v>
      </c>
      <c r="I4963">
        <v>-33.923450000000003</v>
      </c>
      <c r="J4963">
        <v>-302.31799999999998</v>
      </c>
      <c r="K4963">
        <v>1.077623</v>
      </c>
      <c r="L4963">
        <v>-1.3459779999999999</v>
      </c>
      <c r="M4963">
        <v>0.11749999999999999</v>
      </c>
      <c r="N4963">
        <v>-2.1418919999999998E-3</v>
      </c>
      <c r="O4963">
        <v>-0.99307060000000003</v>
      </c>
      <c r="P4963">
        <v>-2.5525880000000001E-2</v>
      </c>
      <c r="Q4963">
        <v>0.21690989999999999</v>
      </c>
      <c r="R4963">
        <v>-0.975858</v>
      </c>
      <c r="S4963">
        <v>0.1005249</v>
      </c>
      <c r="T4963">
        <v>-0.10157099999999999</v>
      </c>
      <c r="U4963">
        <v>-3.0978699999999999</v>
      </c>
      <c r="V4963">
        <v>0.14269229999999899</v>
      </c>
      <c r="W4963">
        <v>0.2172422</v>
      </c>
      <c r="X4963">
        <v>0.96563180000000004</v>
      </c>
      <c r="Y4963">
        <v>8.5242079999999998E-2</v>
      </c>
      <c r="Z4963">
        <v>3.0224669999999999E-2</v>
      </c>
      <c r="AA4963">
        <v>0.9959017</v>
      </c>
      <c r="AB4963">
        <v>23</v>
      </c>
      <c r="AC4963">
        <v>1.04449999999997</v>
      </c>
      <c r="AD4963">
        <v>-1.077626121919</v>
      </c>
      <c r="AE4963">
        <v>-32.577472</v>
      </c>
      <c r="AF4963">
        <v>2.7875500054773399</v>
      </c>
      <c r="AG4963">
        <v>-1.077626121919</v>
      </c>
      <c r="AH4963">
        <v>32.439073254429402</v>
      </c>
      <c r="AI4963">
        <v>91.895685144332305</v>
      </c>
      <c r="AJ4963">
        <v>85.088532424380702</v>
      </c>
      <c r="AK4963">
        <v>32.576451413527501</v>
      </c>
      <c r="AL4963">
        <v>77.452894668685801</v>
      </c>
      <c r="AM4963">
        <v>81.594181499767402</v>
      </c>
      <c r="AN4963">
        <v>1.00000001955568</v>
      </c>
    </row>
    <row r="4964" spans="1:40" x14ac:dyDescent="0.25">
      <c r="A4964" t="str">
        <f>"20190303170636468"</f>
        <v>20190303170636468</v>
      </c>
      <c r="B4964" t="str">
        <f>"1551603996459955"</f>
        <v>1551603996459955</v>
      </c>
      <c r="C4964" t="s">
        <v>40</v>
      </c>
      <c r="D4964">
        <v>5.7194599999999998</v>
      </c>
      <c r="E4964">
        <v>0.50210549999999998</v>
      </c>
      <c r="F4964" t="s">
        <v>41</v>
      </c>
      <c r="G4964">
        <v>-301.38990000000001</v>
      </c>
      <c r="H4964" s="1">
        <v>-3.161595E-6</v>
      </c>
      <c r="I4964">
        <v>-33.903179999999999</v>
      </c>
      <c r="J4964">
        <v>-302.29910000000001</v>
      </c>
      <c r="K4964">
        <v>1.0793999999999999</v>
      </c>
      <c r="L4964">
        <v>-1.5835269999999999</v>
      </c>
      <c r="M4964">
        <v>0.109567</v>
      </c>
      <c r="N4964">
        <v>-8.4366460000000003E-4</v>
      </c>
      <c r="O4964">
        <v>-0.99397919999999995</v>
      </c>
      <c r="P4964">
        <v>-2.9913039999999998E-2</v>
      </c>
      <c r="Q4964">
        <v>0.21730360000000001</v>
      </c>
      <c r="R4964">
        <v>-0.97564550000000005</v>
      </c>
      <c r="S4964">
        <v>8.8348389999999999E-2</v>
      </c>
      <c r="T4964">
        <v>-0.10258639999999999</v>
      </c>
      <c r="U4964">
        <v>-3.099335</v>
      </c>
      <c r="V4964">
        <v>0.1391425</v>
      </c>
      <c r="W4964">
        <v>0.21652579999999999</v>
      </c>
      <c r="X4964">
        <v>0.96631049999999996</v>
      </c>
      <c r="Y4964">
        <v>8.121341E-2</v>
      </c>
      <c r="Z4964">
        <v>3.1879669999999999E-2</v>
      </c>
      <c r="AA4964">
        <v>0.99618680000000004</v>
      </c>
      <c r="AB4964">
        <v>23</v>
      </c>
      <c r="AC4964">
        <v>0.90919999999999801</v>
      </c>
      <c r="AD4964">
        <v>-1.0794031615949999</v>
      </c>
      <c r="AE4964">
        <v>-32.319653000000002</v>
      </c>
      <c r="AF4964">
        <v>2.6345058618915198</v>
      </c>
      <c r="AG4964">
        <v>-1.0794031615949999</v>
      </c>
      <c r="AH4964">
        <v>32.1888126689188</v>
      </c>
      <c r="AI4964">
        <v>91.914211795402593</v>
      </c>
      <c r="AJ4964">
        <v>85.321033711148104</v>
      </c>
      <c r="AK4964">
        <v>32.314476529201997</v>
      </c>
      <c r="AL4964">
        <v>77.494942211052006</v>
      </c>
      <c r="AM4964">
        <v>81.806097513403103</v>
      </c>
      <c r="AN4964">
        <v>1.0000000198910599</v>
      </c>
    </row>
    <row r="4965" spans="1:40" x14ac:dyDescent="0.25">
      <c r="A4965" t="str">
        <f>"20190303170636490"</f>
        <v>20190303170636490</v>
      </c>
      <c r="B4965" t="str">
        <f>"1551603996479475"</f>
        <v>1551603996479475</v>
      </c>
      <c r="C4965" t="s">
        <v>40</v>
      </c>
      <c r="D4965">
        <v>5.7234660000000002</v>
      </c>
      <c r="E4965">
        <v>0.50471809999999995</v>
      </c>
      <c r="F4965" t="s">
        <v>42</v>
      </c>
      <c r="G4965">
        <v>-302.30680000000001</v>
      </c>
      <c r="H4965">
        <v>0.98383319999999996</v>
      </c>
      <c r="I4965">
        <v>-2.4581300000000001</v>
      </c>
      <c r="J4965">
        <v>-302.28219999999999</v>
      </c>
      <c r="K4965">
        <v>1.0812109999999999</v>
      </c>
      <c r="L4965">
        <v>-1.80661</v>
      </c>
      <c r="M4965">
        <v>0.1016167</v>
      </c>
      <c r="N4965">
        <v>-2.197352E-4</v>
      </c>
      <c r="O4965">
        <v>-0.99482380000000004</v>
      </c>
      <c r="P4965">
        <v>-3.5276109999999999E-2</v>
      </c>
      <c r="Q4965">
        <v>0.2173581</v>
      </c>
      <c r="R4965">
        <v>-0.9754545</v>
      </c>
      <c r="S4965">
        <v>-2.8137209999999999E-2</v>
      </c>
      <c r="T4965">
        <v>-0.34441080000000002</v>
      </c>
      <c r="U4965">
        <v>-3.1507260000000001</v>
      </c>
      <c r="V4965">
        <v>0.136540299999999</v>
      </c>
      <c r="W4965">
        <v>0.21611929999999999</v>
      </c>
      <c r="X4965">
        <v>0.96677259999999998</v>
      </c>
      <c r="Y4965">
        <v>0.1104415</v>
      </c>
      <c r="Z4965">
        <v>0.1072689</v>
      </c>
      <c r="AA4965">
        <v>0.98807690000000004</v>
      </c>
      <c r="AB4965">
        <v>23</v>
      </c>
      <c r="AC4965">
        <v>-2.46000000000208E-2</v>
      </c>
      <c r="AD4965">
        <v>-9.73778E-2</v>
      </c>
      <c r="AE4965">
        <v>-0.65151999999999999</v>
      </c>
      <c r="AF4965">
        <v>8.8699325636037205E-2</v>
      </c>
      <c r="AG4965">
        <v>-9.73778E-2</v>
      </c>
      <c r="AH4965">
        <v>0.63155937735539103</v>
      </c>
      <c r="AI4965">
        <v>98.681315682580404</v>
      </c>
      <c r="AJ4965">
        <v>82.005387408871997</v>
      </c>
      <c r="AK4965">
        <v>0.64514901645019695</v>
      </c>
      <c r="AL4965">
        <v>77.518797961755396</v>
      </c>
      <c r="AM4965">
        <v>81.961107586474895</v>
      </c>
      <c r="AN4965">
        <v>1.00000003273366</v>
      </c>
    </row>
    <row r="4966" spans="1:40" x14ac:dyDescent="0.25">
      <c r="A4966" t="str">
        <f>"20190303170636513"</f>
        <v>20190303170636513</v>
      </c>
      <c r="B4966" t="str">
        <f>"1551603996499971"</f>
        <v>1551603996499971</v>
      </c>
      <c r="C4966" t="s">
        <v>40</v>
      </c>
      <c r="D4966">
        <v>5.7161109999999997</v>
      </c>
      <c r="E4966">
        <v>0.50514209999999904</v>
      </c>
      <c r="F4966" t="s">
        <v>42</v>
      </c>
      <c r="G4966">
        <v>-302.2971</v>
      </c>
      <c r="H4966">
        <v>0.96112470000000005</v>
      </c>
      <c r="I4966">
        <v>-2.6506630000000002</v>
      </c>
      <c r="J4966">
        <v>-302.26560000000001</v>
      </c>
      <c r="K4966">
        <v>1.0832090000000001</v>
      </c>
      <c r="L4966">
        <v>-2.0389400000000002</v>
      </c>
      <c r="M4966">
        <v>9.3838260000000007E-2</v>
      </c>
      <c r="N4966">
        <v>-4.5387850000000002E-4</v>
      </c>
      <c r="O4966">
        <v>-0.99558740000000001</v>
      </c>
      <c r="P4966">
        <v>-4.091297E-2</v>
      </c>
      <c r="Q4966">
        <v>0.2158408</v>
      </c>
      <c r="R4966">
        <v>-0.97557119999999997</v>
      </c>
      <c r="S4966">
        <v>-5.5114749999999997E-2</v>
      </c>
      <c r="T4966">
        <v>-0.45117040000000003</v>
      </c>
      <c r="U4966">
        <v>-3.174042</v>
      </c>
      <c r="V4966">
        <v>0.13453799999999999</v>
      </c>
      <c r="W4966">
        <v>0.21488119999999999</v>
      </c>
      <c r="X4966">
        <v>0.96732910000000005</v>
      </c>
      <c r="Y4966">
        <v>0.11093359999999999</v>
      </c>
      <c r="Z4966">
        <v>0.13890569999999999</v>
      </c>
      <c r="AA4966">
        <v>0.98407259999999996</v>
      </c>
      <c r="AB4966">
        <v>23</v>
      </c>
      <c r="AC4966">
        <v>-3.1499999999993998E-2</v>
      </c>
      <c r="AD4966">
        <v>-0.12208430000000001</v>
      </c>
      <c r="AE4966">
        <v>-0.61172299999999902</v>
      </c>
      <c r="AF4966">
        <v>8.5372632910603097E-2</v>
      </c>
      <c r="AG4966">
        <v>-0.12208430000000001</v>
      </c>
      <c r="AH4966">
        <v>0.58291187560775304</v>
      </c>
      <c r="AI4966">
        <v>101.707575811653</v>
      </c>
      <c r="AJ4966">
        <v>81.667762159246706</v>
      </c>
      <c r="AK4966">
        <v>0.60164717025938597</v>
      </c>
      <c r="AL4966">
        <v>77.591442279153995</v>
      </c>
      <c r="AM4966">
        <v>82.081986354971804</v>
      </c>
      <c r="AN4966">
        <v>0.99999999563212505</v>
      </c>
    </row>
    <row r="4967" spans="1:40" x14ac:dyDescent="0.25">
      <c r="A4967" t="str">
        <f>"20190303170636537"</f>
        <v>20190303170636537</v>
      </c>
      <c r="B4967" t="str">
        <f>"1551603996530227"</f>
        <v>1551603996530227</v>
      </c>
      <c r="C4967" t="s">
        <v>40</v>
      </c>
      <c r="D4967">
        <v>5.703576</v>
      </c>
      <c r="E4967">
        <v>0.50686200000000003</v>
      </c>
      <c r="F4967" t="s">
        <v>42</v>
      </c>
      <c r="G4967">
        <v>-302.28339999999997</v>
      </c>
      <c r="H4967">
        <v>0.95313720000000002</v>
      </c>
      <c r="I4967">
        <v>-2.848557</v>
      </c>
      <c r="J4967">
        <v>-302.25009999999997</v>
      </c>
      <c r="K4967">
        <v>1.085348</v>
      </c>
      <c r="L4967">
        <v>-2.2752690000000002</v>
      </c>
      <c r="M4967">
        <v>8.7354000000000001E-2</v>
      </c>
      <c r="N4967">
        <v>-9.4653049999999996E-4</v>
      </c>
      <c r="O4967">
        <v>-0.99617679999999997</v>
      </c>
      <c r="P4967">
        <v>-4.3665139999999998E-2</v>
      </c>
      <c r="Q4967">
        <v>0.2138169</v>
      </c>
      <c r="R4967">
        <v>-0.97589740000000003</v>
      </c>
      <c r="S4967">
        <v>-6.9885249999999996E-2</v>
      </c>
      <c r="T4967">
        <v>-0.51155249999999997</v>
      </c>
      <c r="U4967">
        <v>-3.1853639999999999</v>
      </c>
      <c r="V4967">
        <v>0.13106489999999901</v>
      </c>
      <c r="W4967">
        <v>0.2133265</v>
      </c>
      <c r="X4967">
        <v>0.9681497</v>
      </c>
      <c r="Y4967">
        <v>0.1089014</v>
      </c>
      <c r="Z4967">
        <v>0.15623090000000001</v>
      </c>
      <c r="AA4967">
        <v>0.98169879999999998</v>
      </c>
      <c r="AB4967">
        <v>23</v>
      </c>
      <c r="AC4967">
        <v>-3.3299999999996999E-2</v>
      </c>
      <c r="AD4967">
        <v>-0.13221079999999999</v>
      </c>
      <c r="AE4967">
        <v>-0.57328800000000002</v>
      </c>
      <c r="AF4967">
        <v>7.9061020292382295E-2</v>
      </c>
      <c r="AG4967">
        <v>-0.13221079999999999</v>
      </c>
      <c r="AH4967">
        <v>0.53958628846831502</v>
      </c>
      <c r="AI4967">
        <v>103.627522826524</v>
      </c>
      <c r="AJ4967">
        <v>81.664247970245597</v>
      </c>
      <c r="AK4967">
        <v>0.56114499308941901</v>
      </c>
      <c r="AL4967">
        <v>77.682635046307396</v>
      </c>
      <c r="AM4967">
        <v>82.2903569528128</v>
      </c>
      <c r="AN4967">
        <v>1.0000000226121699</v>
      </c>
    </row>
    <row r="4968" spans="1:40" x14ac:dyDescent="0.25">
      <c r="A4968" t="str">
        <f>"20190303170636557"</f>
        <v>20190303170636557</v>
      </c>
      <c r="B4968" t="str">
        <f>"1551603996549747"</f>
        <v>1551603996549747</v>
      </c>
      <c r="C4968" t="s">
        <v>40</v>
      </c>
      <c r="D4968">
        <v>5.7258239999999896</v>
      </c>
      <c r="E4968">
        <v>0.5076195</v>
      </c>
      <c r="F4968" t="s">
        <v>42</v>
      </c>
      <c r="G4968">
        <v>-302.27260000000001</v>
      </c>
      <c r="H4968">
        <v>0.94994400000000001</v>
      </c>
      <c r="I4968">
        <v>-3.0494330000000001</v>
      </c>
      <c r="J4968">
        <v>-302.23719999999997</v>
      </c>
      <c r="K4968">
        <v>1.0876220000000001</v>
      </c>
      <c r="L4968">
        <v>-2.4953919999999998</v>
      </c>
      <c r="M4968">
        <v>8.2236669999999998E-2</v>
      </c>
      <c r="N4968">
        <v>-1.1802259999999999E-3</v>
      </c>
      <c r="O4968">
        <v>-0.99661230000000001</v>
      </c>
      <c r="P4968">
        <v>-4.3508089999999999E-2</v>
      </c>
      <c r="Q4968">
        <v>0.21237510000000001</v>
      </c>
      <c r="R4968">
        <v>-0.97621939999999996</v>
      </c>
      <c r="S4968">
        <v>-9.2437740000000004E-2</v>
      </c>
      <c r="T4968">
        <v>-0.5580484</v>
      </c>
      <c r="U4968">
        <v>-3.1922299999999999</v>
      </c>
      <c r="V4968">
        <v>0.1259421</v>
      </c>
      <c r="W4968">
        <v>0.21217050000000001</v>
      </c>
      <c r="X4968">
        <v>0.96908320000000003</v>
      </c>
      <c r="Y4968">
        <v>0.11061310000000001</v>
      </c>
      <c r="Z4968">
        <v>0.16960349999999999</v>
      </c>
      <c r="AA4968">
        <v>0.97928510000000002</v>
      </c>
      <c r="AB4968">
        <v>22</v>
      </c>
      <c r="AC4968">
        <v>-3.54000000000382E-2</v>
      </c>
      <c r="AD4968">
        <v>-0.137677999999999</v>
      </c>
      <c r="AE4968">
        <v>-0.55404100000000001</v>
      </c>
      <c r="AF4968">
        <v>7.6158828437600995E-2</v>
      </c>
      <c r="AG4968">
        <v>-0.137677999999999</v>
      </c>
      <c r="AH4968">
        <v>0.51743111516705698</v>
      </c>
      <c r="AI4968">
        <v>104.74816093203501</v>
      </c>
      <c r="AJ4968">
        <v>81.626958567547902</v>
      </c>
      <c r="AK4968">
        <v>0.54082377700690198</v>
      </c>
      <c r="AL4968">
        <v>77.750420397423795</v>
      </c>
      <c r="AM4968">
        <v>82.595338874222804</v>
      </c>
      <c r="AN4968">
        <v>0.99999999107244997</v>
      </c>
    </row>
    <row r="4969" spans="1:40" x14ac:dyDescent="0.25">
      <c r="A4969" t="str">
        <f>"20190303170636579"</f>
        <v>20190303170636579</v>
      </c>
      <c r="B4969" t="str">
        <f>"1551603996570244"</f>
        <v>1551603996570244</v>
      </c>
      <c r="C4969" t="s">
        <v>40</v>
      </c>
      <c r="D4969">
        <v>5.7175070000000003</v>
      </c>
      <c r="E4969">
        <v>0.5080382</v>
      </c>
      <c r="F4969" t="s">
        <v>42</v>
      </c>
      <c r="G4969">
        <v>-302.26170000000002</v>
      </c>
      <c r="H4969">
        <v>0.95060869999999997</v>
      </c>
      <c r="I4969">
        <v>-3.2535159999999999</v>
      </c>
      <c r="J4969">
        <v>-302.2251</v>
      </c>
      <c r="K4969">
        <v>1.0902799999999999</v>
      </c>
      <c r="L4969">
        <v>-2.7179570000000002</v>
      </c>
      <c r="M4969">
        <v>7.7219910000000003E-2</v>
      </c>
      <c r="N4969">
        <v>-1.3179509999999999E-3</v>
      </c>
      <c r="O4969">
        <v>-0.99701320000000004</v>
      </c>
      <c r="P4969">
        <v>-4.5289570000000001E-2</v>
      </c>
      <c r="Q4969">
        <v>0.21263109999999999</v>
      </c>
      <c r="R4969">
        <v>-0.97608249999999996</v>
      </c>
      <c r="S4969">
        <v>-0.1031494</v>
      </c>
      <c r="T4969">
        <v>-0.57722569999999995</v>
      </c>
      <c r="U4969">
        <v>-3.194061</v>
      </c>
      <c r="V4969">
        <v>0.1226954</v>
      </c>
      <c r="W4969">
        <v>0.2126728</v>
      </c>
      <c r="X4969">
        <v>0.96938959999999996</v>
      </c>
      <c r="Y4969">
        <v>0.1088433</v>
      </c>
      <c r="Z4969">
        <v>0.17517189999999999</v>
      </c>
      <c r="AA4969">
        <v>0.97850289999999995</v>
      </c>
      <c r="AB4969">
        <v>23</v>
      </c>
      <c r="AC4969">
        <v>-3.6600000000021199E-2</v>
      </c>
      <c r="AD4969">
        <v>-0.139671299999999</v>
      </c>
      <c r="AE4969">
        <v>-0.53555899999999901</v>
      </c>
      <c r="AF4969">
        <v>7.2910660379507899E-2</v>
      </c>
      <c r="AG4969">
        <v>-0.139671299999999</v>
      </c>
      <c r="AH4969">
        <v>0.49745676179481801</v>
      </c>
      <c r="AI4969">
        <v>105.52543835394999</v>
      </c>
      <c r="AJ4969">
        <v>81.661708287929699</v>
      </c>
      <c r="AK4969">
        <v>0.521811523728685</v>
      </c>
      <c r="AL4969">
        <v>77.720969175742496</v>
      </c>
      <c r="AM4969">
        <v>82.786444431251795</v>
      </c>
      <c r="AN4969">
        <v>1.00000003881457</v>
      </c>
    </row>
    <row r="4970" spans="1:40" x14ac:dyDescent="0.25">
      <c r="A4970" t="str">
        <f>"20190303170636601"</f>
        <v>20190303170636601</v>
      </c>
      <c r="B4970" t="str">
        <f>"1551603996589764"</f>
        <v>1551603996589764</v>
      </c>
      <c r="C4970" t="s">
        <v>40</v>
      </c>
      <c r="D4970">
        <v>5.7120050000000004</v>
      </c>
      <c r="E4970">
        <v>0.50849420000000001</v>
      </c>
      <c r="F4970" t="s">
        <v>42</v>
      </c>
      <c r="G4970">
        <v>-302.25189999999998</v>
      </c>
      <c r="H4970">
        <v>0.95415229999999995</v>
      </c>
      <c r="I4970">
        <v>-3.4603410000000001</v>
      </c>
      <c r="J4970">
        <v>-302.21370000000002</v>
      </c>
      <c r="K4970">
        <v>1.093216</v>
      </c>
      <c r="L4970">
        <v>-2.9446110000000001</v>
      </c>
      <c r="M4970">
        <v>7.2079199999999996E-2</v>
      </c>
      <c r="N4970">
        <v>-1.5733850000000001E-3</v>
      </c>
      <c r="O4970">
        <v>-0.9973978</v>
      </c>
      <c r="P4970">
        <v>-4.8628690000000002E-2</v>
      </c>
      <c r="Q4970">
        <v>0.21334610000000001</v>
      </c>
      <c r="R4970">
        <v>-0.97576589999999996</v>
      </c>
      <c r="S4970">
        <v>-0.11489870000000001</v>
      </c>
      <c r="T4970">
        <v>-0.58578609999999998</v>
      </c>
      <c r="U4970">
        <v>-3.1958009999999999</v>
      </c>
      <c r="V4970">
        <v>0.1207931</v>
      </c>
      <c r="W4970">
        <v>0.21377689999999999</v>
      </c>
      <c r="X4970">
        <v>0.96938559999999996</v>
      </c>
      <c r="Y4970">
        <v>0.1072782</v>
      </c>
      <c r="Z4970">
        <v>0.17746719999999999</v>
      </c>
      <c r="AA4970">
        <v>0.97826210000000002</v>
      </c>
      <c r="AB4970">
        <v>23</v>
      </c>
      <c r="AC4970">
        <v>-3.8199999999960703E-2</v>
      </c>
      <c r="AD4970">
        <v>-0.13906369999999901</v>
      </c>
      <c r="AE4970">
        <v>-0.51573000000000002</v>
      </c>
      <c r="AF4970">
        <v>7.0197973483052095E-2</v>
      </c>
      <c r="AG4970">
        <v>-0.13906369999999901</v>
      </c>
      <c r="AH4970">
        <v>0.47713296970708502</v>
      </c>
      <c r="AI4970">
        <v>106.08506588064201</v>
      </c>
      <c r="AJ4970">
        <v>81.630427775959802</v>
      </c>
      <c r="AK4970">
        <v>0.50191865767305299</v>
      </c>
      <c r="AL4970">
        <v>77.656219246689204</v>
      </c>
      <c r="AM4970">
        <v>82.897104994254903</v>
      </c>
      <c r="AN4970">
        <v>0.99999998873428897</v>
      </c>
    </row>
    <row r="4971" spans="1:40" x14ac:dyDescent="0.25">
      <c r="A4971" t="str">
        <f>"20190303170636624"</f>
        <v>20190303170636624</v>
      </c>
      <c r="B4971" t="str">
        <f>"1551603996620019"</f>
        <v>1551603996620019</v>
      </c>
      <c r="C4971" t="s">
        <v>40</v>
      </c>
      <c r="D4971">
        <v>5.7159979999999999</v>
      </c>
      <c r="E4971">
        <v>0.50891929999999996</v>
      </c>
      <c r="F4971" t="s">
        <v>42</v>
      </c>
      <c r="G4971">
        <v>-302.2423</v>
      </c>
      <c r="H4971">
        <v>0.95965579999999995</v>
      </c>
      <c r="I4971">
        <v>-3.6689750000000001</v>
      </c>
      <c r="J4971">
        <v>-302.20240000000001</v>
      </c>
      <c r="K4971">
        <v>1.096328</v>
      </c>
      <c r="L4971">
        <v>-3.180237</v>
      </c>
      <c r="M4971">
        <v>6.6911330000000005E-2</v>
      </c>
      <c r="N4971">
        <v>-2.0793769999999999E-3</v>
      </c>
      <c r="O4971">
        <v>-0.9977568</v>
      </c>
      <c r="P4971">
        <v>-5.1488480000000003E-2</v>
      </c>
      <c r="Q4971">
        <v>0.2125908</v>
      </c>
      <c r="R4971">
        <v>-0.97578399999999998</v>
      </c>
      <c r="S4971">
        <v>-0.12591550000000001</v>
      </c>
      <c r="T4971">
        <v>-0.58924980000000005</v>
      </c>
      <c r="U4971">
        <v>-3.1970830000000001</v>
      </c>
      <c r="V4971">
        <v>0.1183787</v>
      </c>
      <c r="W4971">
        <v>0.21366650000000001</v>
      </c>
      <c r="X4971">
        <v>0.96970769999999995</v>
      </c>
      <c r="Y4971">
        <v>0.1054718</v>
      </c>
      <c r="Z4971">
        <v>0.17802660000000001</v>
      </c>
      <c r="AA4971">
        <v>0.97835689999999997</v>
      </c>
      <c r="AB4971">
        <v>23</v>
      </c>
      <c r="AC4971">
        <v>-3.9899999999988701E-2</v>
      </c>
      <c r="AD4971">
        <v>-0.13667219999999899</v>
      </c>
      <c r="AE4971">
        <v>-0.48873800000000001</v>
      </c>
      <c r="AF4971">
        <v>6.7285827950005803E-2</v>
      </c>
      <c r="AG4971">
        <v>-0.13667219999999899</v>
      </c>
      <c r="AH4971">
        <v>0.45001466250692801</v>
      </c>
      <c r="AI4971">
        <v>106.71854202935501</v>
      </c>
      <c r="AJ4971">
        <v>81.496178457723502</v>
      </c>
      <c r="AK4971">
        <v>0.47509985199638</v>
      </c>
      <c r="AL4971">
        <v>77.662693907609096</v>
      </c>
      <c r="AM4971">
        <v>83.039959422803605</v>
      </c>
      <c r="AN4971">
        <v>0.99999995663761398</v>
      </c>
    </row>
    <row r="4972" spans="1:40" x14ac:dyDescent="0.25">
      <c r="A4972" t="str">
        <f>"20190303170636646"</f>
        <v>20190303170636646</v>
      </c>
      <c r="B4972" t="str">
        <f>"1551603996639539"</f>
        <v>1551603996639539</v>
      </c>
      <c r="C4972" t="s">
        <v>40</v>
      </c>
      <c r="D4972">
        <v>5.7241030000000004</v>
      </c>
      <c r="E4972">
        <v>0.50927509999999998</v>
      </c>
      <c r="F4972" t="s">
        <v>42</v>
      </c>
      <c r="G4972">
        <v>-302.24110000000002</v>
      </c>
      <c r="H4972">
        <v>0.92975070000000004</v>
      </c>
      <c r="I4972">
        <v>-4.0686809999999998</v>
      </c>
      <c r="J4972">
        <v>-302.19189999999998</v>
      </c>
      <c r="K4972">
        <v>1.0993040000000001</v>
      </c>
      <c r="L4972">
        <v>-3.4162599999999999</v>
      </c>
      <c r="M4972">
        <v>6.22795999999999E-2</v>
      </c>
      <c r="N4972">
        <v>-2.7879749999999998E-3</v>
      </c>
      <c r="O4972">
        <v>-0.99805480000000002</v>
      </c>
      <c r="P4972">
        <v>-5.2505749999999997E-2</v>
      </c>
      <c r="Q4972">
        <v>0.210956</v>
      </c>
      <c r="R4972">
        <v>-0.97608470000000003</v>
      </c>
      <c r="S4972">
        <v>-0.1390381</v>
      </c>
      <c r="T4972">
        <v>-0.59938409999999998</v>
      </c>
      <c r="U4972">
        <v>-3.1976930000000001</v>
      </c>
      <c r="V4972">
        <v>0.114694699999999</v>
      </c>
      <c r="W4972">
        <v>0.21286060000000001</v>
      </c>
      <c r="X4972">
        <v>0.97032750000000001</v>
      </c>
      <c r="Y4972">
        <v>0.10483190000000001</v>
      </c>
      <c r="Z4972">
        <v>0.18036260000000001</v>
      </c>
      <c r="AA4972">
        <v>0.97799769999999997</v>
      </c>
      <c r="AB4972">
        <v>23</v>
      </c>
      <c r="AC4972">
        <v>-4.9200000000041599E-2</v>
      </c>
      <c r="AD4972">
        <v>-0.16955329999999999</v>
      </c>
      <c r="AE4972">
        <v>-0.65242099999999903</v>
      </c>
      <c r="AF4972">
        <v>8.4089908823270804E-2</v>
      </c>
      <c r="AG4972">
        <v>-0.16955329999999999</v>
      </c>
      <c r="AH4972">
        <v>0.60730526405833096</v>
      </c>
      <c r="AI4972">
        <v>105.458841902573</v>
      </c>
      <c r="AJ4972">
        <v>82.116722972559899</v>
      </c>
      <c r="AK4972">
        <v>0.63611250424728705</v>
      </c>
      <c r="AL4972">
        <v>77.709956186995598</v>
      </c>
      <c r="AM4972">
        <v>83.258800655250397</v>
      </c>
      <c r="AN4972">
        <v>0.99999998324834904</v>
      </c>
    </row>
    <row r="4973" spans="1:40" x14ac:dyDescent="0.25">
      <c r="A4973" t="str">
        <f>"20190303170636668"</f>
        <v>20190303170636668</v>
      </c>
      <c r="B4973" t="str">
        <f>"1551603996660036"</f>
        <v>1551603996660036</v>
      </c>
      <c r="C4973" t="s">
        <v>40</v>
      </c>
      <c r="D4973">
        <v>5.7461209999999996</v>
      </c>
      <c r="E4973">
        <v>0.50967750000000001</v>
      </c>
      <c r="F4973" t="s">
        <v>42</v>
      </c>
      <c r="G4973">
        <v>-302.23180000000002</v>
      </c>
      <c r="H4973">
        <v>0.93528639999999996</v>
      </c>
      <c r="I4973">
        <v>-4.2777240000000001</v>
      </c>
      <c r="J4973">
        <v>-302.1823</v>
      </c>
      <c r="K4973">
        <v>1.101939</v>
      </c>
      <c r="L4973">
        <v>-3.6442570000000001</v>
      </c>
      <c r="M4973">
        <v>5.8317420000000002E-2</v>
      </c>
      <c r="N4973">
        <v>-3.5387109999999999E-3</v>
      </c>
      <c r="O4973">
        <v>-0.99829190000000001</v>
      </c>
      <c r="P4973">
        <v>-5.3260290000000002E-2</v>
      </c>
      <c r="Q4973">
        <v>0.20960039999999999</v>
      </c>
      <c r="R4973">
        <v>-0.97633590000000003</v>
      </c>
      <c r="S4973">
        <v>-0.14703369999999999</v>
      </c>
      <c r="T4973">
        <v>-0.60830209999999996</v>
      </c>
      <c r="U4973">
        <v>-3.1970830000000001</v>
      </c>
      <c r="V4973">
        <v>0.11145679999999999</v>
      </c>
      <c r="W4973">
        <v>0.21233450000000001</v>
      </c>
      <c r="X4973">
        <v>0.97082000000000002</v>
      </c>
      <c r="Y4973">
        <v>0.1033096</v>
      </c>
      <c r="Z4973">
        <v>0.182361</v>
      </c>
      <c r="AA4973">
        <v>0.97778920000000002</v>
      </c>
      <c r="AB4973">
        <v>23</v>
      </c>
      <c r="AC4973">
        <v>-4.9500000000023102E-2</v>
      </c>
      <c r="AD4973">
        <v>-0.16665260000000001</v>
      </c>
      <c r="AE4973">
        <v>-0.633467</v>
      </c>
      <c r="AF4973">
        <v>8.07998323676411E-2</v>
      </c>
      <c r="AG4973">
        <v>-0.16665260000000001</v>
      </c>
      <c r="AH4973">
        <v>0.58898519792972603</v>
      </c>
      <c r="AI4973">
        <v>105.65941705630701</v>
      </c>
      <c r="AJ4973">
        <v>82.188647261385398</v>
      </c>
      <c r="AK4973">
        <v>0.617418225660465</v>
      </c>
      <c r="AL4973">
        <v>77.740805097998305</v>
      </c>
      <c r="AM4973">
        <v>83.450725263333396</v>
      </c>
      <c r="AN4973">
        <v>1.00000001527824</v>
      </c>
    </row>
    <row r="4974" spans="1:40" x14ac:dyDescent="0.25">
      <c r="A4974" t="str">
        <f>"20190303170636690"</f>
        <v>20190303170636690</v>
      </c>
      <c r="B4974" t="str">
        <f>"1551603996679556"</f>
        <v>1551603996679556</v>
      </c>
      <c r="C4974" t="s">
        <v>40</v>
      </c>
      <c r="D4974">
        <v>5.7051669999999897</v>
      </c>
      <c r="E4974">
        <v>0.51006059999999998</v>
      </c>
      <c r="F4974" t="s">
        <v>42</v>
      </c>
      <c r="G4974">
        <v>-302.22300000000001</v>
      </c>
      <c r="H4974">
        <v>0.93965600000000005</v>
      </c>
      <c r="I4974">
        <v>-4.486408</v>
      </c>
      <c r="J4974">
        <v>-302.17329999999998</v>
      </c>
      <c r="K4974">
        <v>1.10433</v>
      </c>
      <c r="L4974">
        <v>-3.874908</v>
      </c>
      <c r="M4974">
        <v>5.4727900000000003E-2</v>
      </c>
      <c r="N4974">
        <v>-4.2788549999999998E-3</v>
      </c>
      <c r="O4974">
        <v>-0.99849219999999905</v>
      </c>
      <c r="P4974">
        <v>-5.379163E-2</v>
      </c>
      <c r="Q4974">
        <v>0.2088293</v>
      </c>
      <c r="R4974">
        <v>-0.97647169999999905</v>
      </c>
      <c r="S4974">
        <v>-0.15390009999999901</v>
      </c>
      <c r="T4974">
        <v>-0.61585749999999995</v>
      </c>
      <c r="U4974">
        <v>-3.1965330000000001</v>
      </c>
      <c r="V4974">
        <v>0.1083906</v>
      </c>
      <c r="W4974">
        <v>0.21235879999999999</v>
      </c>
      <c r="X4974">
        <v>0.97116179999999996</v>
      </c>
      <c r="Y4974">
        <v>0.1018159</v>
      </c>
      <c r="Z4974">
        <v>0.18395449999999999</v>
      </c>
      <c r="AA4974">
        <v>0.9776473</v>
      </c>
      <c r="AB4974">
        <v>23</v>
      </c>
      <c r="AC4974">
        <v>-4.9700000000029797E-2</v>
      </c>
      <c r="AD4974">
        <v>-0.16467399999999999</v>
      </c>
      <c r="AE4974">
        <v>-0.61149999999999904</v>
      </c>
      <c r="AF4974">
        <v>7.7507946921068605E-2</v>
      </c>
      <c r="AG4974">
        <v>-0.16467399999999999</v>
      </c>
      <c r="AH4974">
        <v>0.56701360776615195</v>
      </c>
      <c r="AI4974">
        <v>106.053037873427</v>
      </c>
      <c r="AJ4974">
        <v>82.216193503631004</v>
      </c>
      <c r="AK4974">
        <v>0.59550771573834904</v>
      </c>
      <c r="AL4974">
        <v>77.739380276076304</v>
      </c>
      <c r="AM4974">
        <v>83.631618944093006</v>
      </c>
      <c r="AN4974">
        <v>1.0000000119425101</v>
      </c>
    </row>
    <row r="4975" spans="1:40" x14ac:dyDescent="0.25">
      <c r="A4975" t="str">
        <f>"20190303170636713"</f>
        <v>20190303170636713</v>
      </c>
      <c r="B4975" t="str">
        <f>"1551603996709812"</f>
        <v>1551603996709812</v>
      </c>
      <c r="C4975" t="s">
        <v>40</v>
      </c>
      <c r="D4975">
        <v>5.7371589999999903</v>
      </c>
      <c r="E4975">
        <v>0.51060070000000002</v>
      </c>
      <c r="F4975" t="s">
        <v>42</v>
      </c>
      <c r="G4975">
        <v>-302.21409999999997</v>
      </c>
      <c r="H4975">
        <v>0.94495739999999995</v>
      </c>
      <c r="I4975">
        <v>-4.6957740000000001</v>
      </c>
      <c r="J4975">
        <v>-302.16449999999998</v>
      </c>
      <c r="K4975">
        <v>1.106541</v>
      </c>
      <c r="L4975">
        <v>-4.1148379999999998</v>
      </c>
      <c r="M4975">
        <v>5.1279409999999997E-2</v>
      </c>
      <c r="N4975">
        <v>-4.9780229999999998E-3</v>
      </c>
      <c r="O4975">
        <v>-0.99867220000000001</v>
      </c>
      <c r="P4975">
        <v>-5.437848E-2</v>
      </c>
      <c r="Q4975">
        <v>0.20856</v>
      </c>
      <c r="R4975">
        <v>-0.97649710000000001</v>
      </c>
      <c r="S4975">
        <v>-0.15811159999999999</v>
      </c>
      <c r="T4975">
        <v>-0.62033149999999904</v>
      </c>
      <c r="U4975">
        <v>-3.1962280000000001</v>
      </c>
      <c r="V4975">
        <v>0.1055292</v>
      </c>
      <c r="W4975">
        <v>0.2128331</v>
      </c>
      <c r="X4975">
        <v>0.97137309999999999</v>
      </c>
      <c r="Y4975">
        <v>9.9657549999999998E-2</v>
      </c>
      <c r="Z4975">
        <v>0.1846699</v>
      </c>
      <c r="AA4975">
        <v>0.97773480000000001</v>
      </c>
      <c r="AB4975">
        <v>23</v>
      </c>
      <c r="AC4975">
        <v>-4.9599999999998E-2</v>
      </c>
      <c r="AD4975">
        <v>-0.16158359999999899</v>
      </c>
      <c r="AE4975">
        <v>-0.58093600000000001</v>
      </c>
      <c r="AF4975">
        <v>7.3667224166009695E-2</v>
      </c>
      <c r="AG4975">
        <v>-0.16158359999999899</v>
      </c>
      <c r="AH4975">
        <v>0.53642835914215703</v>
      </c>
      <c r="AI4975">
        <v>106.616174401596</v>
      </c>
      <c r="AJ4975">
        <v>82.180533827244105</v>
      </c>
      <c r="AK4975">
        <v>0.56505885020697799</v>
      </c>
      <c r="AL4975">
        <v>77.711569230554502</v>
      </c>
      <c r="AM4975">
        <v>83.799748615888603</v>
      </c>
      <c r="AN4975">
        <v>1.00000001995592</v>
      </c>
    </row>
    <row r="4976" spans="1:40" x14ac:dyDescent="0.25">
      <c r="A4976" t="str">
        <f>"20190303170636737"</f>
        <v>20190303170636737</v>
      </c>
      <c r="B4976" t="str">
        <f>"1551603996730308"</f>
        <v>1551603996730308</v>
      </c>
      <c r="C4976" t="s">
        <v>40</v>
      </c>
      <c r="D4976">
        <v>5.728275</v>
      </c>
      <c r="E4976">
        <v>0.51082280000000002</v>
      </c>
      <c r="F4976" t="s">
        <v>42</v>
      </c>
      <c r="G4976">
        <v>-302.20569999999998</v>
      </c>
      <c r="H4976">
        <v>0.95207149999999996</v>
      </c>
      <c r="I4976">
        <v>-4.9063639999999999</v>
      </c>
      <c r="J4976">
        <v>-302.15640000000002</v>
      </c>
      <c r="K4976">
        <v>1.1085149999999999</v>
      </c>
      <c r="L4976">
        <v>-4.3550110000000002</v>
      </c>
      <c r="M4976">
        <v>4.7989850000000001E-2</v>
      </c>
      <c r="N4976">
        <v>-5.6053969999999998E-3</v>
      </c>
      <c r="O4976">
        <v>-0.99883219999999995</v>
      </c>
      <c r="P4976">
        <v>-5.449172E-2</v>
      </c>
      <c r="Q4976">
        <v>0.2083401</v>
      </c>
      <c r="R4976">
        <v>-0.97653749999999995</v>
      </c>
      <c r="S4976">
        <v>-0.16586300000000001</v>
      </c>
      <c r="T4976">
        <v>-0.62362669999999998</v>
      </c>
      <c r="U4976">
        <v>-3.196167</v>
      </c>
      <c r="V4976">
        <v>0.1023607</v>
      </c>
      <c r="W4976">
        <v>0.2132812</v>
      </c>
      <c r="X4976">
        <v>0.97161379999999997</v>
      </c>
      <c r="Y4976">
        <v>9.873701E-2</v>
      </c>
      <c r="Z4976">
        <v>0.18507170000000001</v>
      </c>
      <c r="AA4976">
        <v>0.97775230000000002</v>
      </c>
      <c r="AB4976">
        <v>23</v>
      </c>
      <c r="AC4976">
        <v>-4.9299999999959702E-2</v>
      </c>
      <c r="AD4976">
        <v>-0.15644349999999899</v>
      </c>
      <c r="AE4976">
        <v>-0.55135299999999898</v>
      </c>
      <c r="AF4976">
        <v>7.0103608918263796E-2</v>
      </c>
      <c r="AG4976">
        <v>-0.15644349999999899</v>
      </c>
      <c r="AH4976">
        <v>0.50779310338460604</v>
      </c>
      <c r="AI4976">
        <v>106.97169068459</v>
      </c>
      <c r="AJ4976">
        <v>82.139691028889601</v>
      </c>
      <c r="AK4976">
        <v>0.53595048327301997</v>
      </c>
      <c r="AL4976">
        <v>77.685291149246595</v>
      </c>
      <c r="AM4976">
        <v>83.986003748680503</v>
      </c>
      <c r="AN4976">
        <v>0.99999997976418398</v>
      </c>
    </row>
    <row r="4977" spans="1:40" x14ac:dyDescent="0.25">
      <c r="A4977" t="str">
        <f>"20190303170636760"</f>
        <v>20190303170636760</v>
      </c>
      <c r="B4977" t="str">
        <f>"1551603996749828"</f>
        <v>1551603996749828</v>
      </c>
      <c r="C4977" t="s">
        <v>40</v>
      </c>
      <c r="D4977">
        <v>5.7249150000000002</v>
      </c>
      <c r="E4977">
        <v>0.5166539</v>
      </c>
      <c r="F4977" t="s">
        <v>42</v>
      </c>
      <c r="G4977">
        <v>-302.19749999999999</v>
      </c>
      <c r="H4977">
        <v>0.95940329999999996</v>
      </c>
      <c r="I4977">
        <v>-5.1173209999999996</v>
      </c>
      <c r="J4977">
        <v>-302.14870000000002</v>
      </c>
      <c r="K4977">
        <v>1.110277</v>
      </c>
      <c r="L4977">
        <v>-4.59964</v>
      </c>
      <c r="M4977">
        <v>4.4731899999999998E-2</v>
      </c>
      <c r="N4977">
        <v>-6.1782510000000001E-3</v>
      </c>
      <c r="O4977">
        <v>-0.99897999999999998</v>
      </c>
      <c r="P4977">
        <v>-5.4479300000000001E-2</v>
      </c>
      <c r="Q4977">
        <v>0.2094944</v>
      </c>
      <c r="R4977">
        <v>-0.97629129999999997</v>
      </c>
      <c r="S4977">
        <v>-0.17144779999999901</v>
      </c>
      <c r="T4977">
        <v>-0.62482850000000001</v>
      </c>
      <c r="U4977">
        <v>-3.1958310000000001</v>
      </c>
      <c r="V4977">
        <v>9.9100649999999998E-2</v>
      </c>
      <c r="W4977">
        <v>0.21504100000000001</v>
      </c>
      <c r="X4977">
        <v>0.97156390000000004</v>
      </c>
      <c r="Y4977">
        <v>9.7197729999999996E-2</v>
      </c>
      <c r="Z4977">
        <v>0.18493129999999999</v>
      </c>
      <c r="AA4977">
        <v>0.97793300000000005</v>
      </c>
      <c r="AB4977">
        <v>23</v>
      </c>
      <c r="AC4977">
        <v>-4.8799999999971498E-2</v>
      </c>
      <c r="AD4977">
        <v>-0.150873699999999</v>
      </c>
      <c r="AE4977">
        <v>-0.51768099999999895</v>
      </c>
      <c r="AF4977">
        <v>6.6324579894584998E-2</v>
      </c>
      <c r="AG4977">
        <v>-0.150873699999999</v>
      </c>
      <c r="AH4977">
        <v>0.47499040069235599</v>
      </c>
      <c r="AI4977">
        <v>107.462703146637</v>
      </c>
      <c r="AJ4977">
        <v>82.050984957368598</v>
      </c>
      <c r="AK4977">
        <v>0.50277003092842398</v>
      </c>
      <c r="AL4977">
        <v>77.582067193251603</v>
      </c>
      <c r="AM4977">
        <v>84.175906402444198</v>
      </c>
      <c r="AN4977">
        <v>0.99999999114731597</v>
      </c>
    </row>
    <row r="4978" spans="1:40" x14ac:dyDescent="0.25">
      <c r="A4978" t="str">
        <f>"20190303170636780"</f>
        <v>20190303170636780</v>
      </c>
      <c r="B4978" t="str">
        <f>"1551603996770324"</f>
        <v>1551603996770324</v>
      </c>
      <c r="C4978" t="s">
        <v>40</v>
      </c>
      <c r="D4978">
        <v>5.6969979999999998</v>
      </c>
      <c r="E4978">
        <v>0.49918750000000001</v>
      </c>
      <c r="F4978" t="s">
        <v>42</v>
      </c>
      <c r="G4978">
        <v>-302.20139999999998</v>
      </c>
      <c r="H4978">
        <v>0.98268339999999998</v>
      </c>
      <c r="I4978">
        <v>-5.3369650000000002</v>
      </c>
      <c r="J4978">
        <v>-302.14260000000002</v>
      </c>
      <c r="K4978">
        <v>1.1115630000000001</v>
      </c>
      <c r="L4978">
        <v>-4.8079219999999996</v>
      </c>
      <c r="M4978">
        <v>4.2004449999999999E-2</v>
      </c>
      <c r="N4978">
        <v>-6.612036E-3</v>
      </c>
      <c r="O4978">
        <v>-0.99909590000000004</v>
      </c>
      <c r="P4978">
        <v>-5.3438449999999998E-2</v>
      </c>
      <c r="Q4978">
        <v>0.2108129</v>
      </c>
      <c r="R4978">
        <v>-0.97606519999999997</v>
      </c>
      <c r="S4978">
        <v>-0.2274475</v>
      </c>
      <c r="T4978">
        <v>-0.549961699999999</v>
      </c>
      <c r="U4978">
        <v>-3.1781619999999999</v>
      </c>
      <c r="V4978">
        <v>9.5357670000000005E-2</v>
      </c>
      <c r="W4978">
        <v>0.21681900000000001</v>
      </c>
      <c r="X4978">
        <v>0.9715433</v>
      </c>
      <c r="Y4978">
        <v>0.1121943</v>
      </c>
      <c r="Z4978">
        <v>0.16300590000000001</v>
      </c>
      <c r="AA4978">
        <v>0.98022520000000002</v>
      </c>
      <c r="AB4978">
        <v>23</v>
      </c>
      <c r="AC4978">
        <v>-5.8799999999962403E-2</v>
      </c>
      <c r="AD4978">
        <v>-0.12887959999999901</v>
      </c>
      <c r="AE4978">
        <v>-0.52904299999999904</v>
      </c>
      <c r="AF4978">
        <v>7.6486984362024002E-2</v>
      </c>
      <c r="AG4978">
        <v>-0.12887959999999901</v>
      </c>
      <c r="AH4978">
        <v>0.49697300812746298</v>
      </c>
      <c r="AI4978">
        <v>104.37607562909901</v>
      </c>
      <c r="AJ4978">
        <v>81.250504270201304</v>
      </c>
      <c r="AK4978">
        <v>0.519078395697813</v>
      </c>
      <c r="AL4978">
        <v>77.477733718625004</v>
      </c>
      <c r="AM4978">
        <v>84.394333084662307</v>
      </c>
      <c r="AN4978">
        <v>0.99999997388185902</v>
      </c>
    </row>
    <row r="4979" spans="1:40" x14ac:dyDescent="0.25">
      <c r="A4979" t="str">
        <f>"20190303170636802"</f>
        <v>20190303170636802</v>
      </c>
      <c r="B4979" t="str">
        <f>"1551603996789844"</f>
        <v>1551603996789844</v>
      </c>
      <c r="C4979" t="s">
        <v>40</v>
      </c>
      <c r="D4979">
        <v>5.7189719999999999</v>
      </c>
      <c r="E4979">
        <v>0.49416120000000002</v>
      </c>
      <c r="F4979" t="s">
        <v>42</v>
      </c>
      <c r="G4979">
        <v>-302.1671</v>
      </c>
      <c r="H4979">
        <v>1.031012</v>
      </c>
      <c r="I4979">
        <v>-5.5672779999999999</v>
      </c>
      <c r="J4979">
        <v>-302.13630000000001</v>
      </c>
      <c r="K4979">
        <v>1.1127929999999999</v>
      </c>
      <c r="L4979">
        <v>-5.0398250000000004</v>
      </c>
      <c r="M4979">
        <v>3.8993930000000003E-2</v>
      </c>
      <c r="N4979">
        <v>-7.043639E-3</v>
      </c>
      <c r="O4979">
        <v>-0.99921459999999995</v>
      </c>
      <c r="P4979">
        <v>-5.289282E-2</v>
      </c>
      <c r="Q4979">
        <v>0.21219730000000001</v>
      </c>
      <c r="R4979">
        <v>-0.97579439999999995</v>
      </c>
      <c r="S4979">
        <v>-0.10021969999999999</v>
      </c>
      <c r="T4979">
        <v>-0.33269989999999999</v>
      </c>
      <c r="U4979">
        <v>-3.139923</v>
      </c>
      <c r="V4979">
        <v>9.1847810000000002E-2</v>
      </c>
      <c r="W4979">
        <v>0.21865129999999999</v>
      </c>
      <c r="X4979">
        <v>0.97147079999999997</v>
      </c>
      <c r="Y4979">
        <v>7.0670120000000003E-2</v>
      </c>
      <c r="Z4979">
        <v>9.8078380000000007E-2</v>
      </c>
      <c r="AA4979">
        <v>0.9926663</v>
      </c>
      <c r="AB4979">
        <v>23</v>
      </c>
      <c r="AC4979">
        <v>-3.07999999999992E-2</v>
      </c>
      <c r="AD4979">
        <v>-8.1780999999999798E-2</v>
      </c>
      <c r="AE4979">
        <v>-0.52745299999999895</v>
      </c>
      <c r="AF4979">
        <v>5.0143195972612201E-2</v>
      </c>
      <c r="AG4979">
        <v>-8.1780999999999798E-2</v>
      </c>
      <c r="AH4979">
        <v>0.51354698531248899</v>
      </c>
      <c r="AI4979">
        <v>99.006102898560997</v>
      </c>
      <c r="AJ4979">
        <v>84.423265398667297</v>
      </c>
      <c r="AK4979">
        <v>0.52242987872717805</v>
      </c>
      <c r="AL4979">
        <v>77.370169823023005</v>
      </c>
      <c r="AM4979">
        <v>84.599018979162906</v>
      </c>
      <c r="AN4979">
        <v>0.99999996322306195</v>
      </c>
    </row>
    <row r="4980" spans="1:40" x14ac:dyDescent="0.25">
      <c r="A4980" t="str">
        <f>"20190303170636826"</f>
        <v>20190303170636826</v>
      </c>
      <c r="B4980" t="str">
        <f>"1551603996820099"</f>
        <v>1551603996820099</v>
      </c>
      <c r="C4980" t="s">
        <v>40</v>
      </c>
      <c r="D4980">
        <v>5.8141059999999998</v>
      </c>
      <c r="E4980">
        <v>0.48856339999999998</v>
      </c>
      <c r="F4980" t="s">
        <v>41</v>
      </c>
      <c r="G4980">
        <v>-302.4282</v>
      </c>
      <c r="H4980" s="1">
        <v>-1.1221870000000001E-6</v>
      </c>
      <c r="I4980">
        <v>-19.30106</v>
      </c>
      <c r="J4980">
        <v>-302.13040000000001</v>
      </c>
      <c r="K4980">
        <v>1.1138600000000001</v>
      </c>
      <c r="L4980">
        <v>-5.2856750000000003</v>
      </c>
      <c r="M4980">
        <v>3.5812209999999997E-2</v>
      </c>
      <c r="N4980">
        <v>-7.4387129999999996E-3</v>
      </c>
      <c r="O4980">
        <v>-0.99933090000000002</v>
      </c>
      <c r="P4980">
        <v>-5.2600099999999997E-2</v>
      </c>
      <c r="Q4980">
        <v>0.21193129999999999</v>
      </c>
      <c r="R4980">
        <v>-0.97586830000000002</v>
      </c>
      <c r="S4980">
        <v>-6.3934329999999998E-2</v>
      </c>
      <c r="T4980">
        <v>-0.24376049999999999</v>
      </c>
      <c r="U4980">
        <v>-3.1239620000000001</v>
      </c>
      <c r="V4980">
        <v>8.8452989999999995E-2</v>
      </c>
      <c r="W4980">
        <v>0.2187895</v>
      </c>
      <c r="X4980">
        <v>0.97175469999999997</v>
      </c>
      <c r="Y4980">
        <v>5.6185579999999999E-2</v>
      </c>
      <c r="Z4980">
        <v>7.0227410000000004E-2</v>
      </c>
      <c r="AA4980">
        <v>0.99594740000000004</v>
      </c>
      <c r="AB4980">
        <v>23</v>
      </c>
      <c r="AC4980">
        <v>-0.29779999999999501</v>
      </c>
      <c r="AD4980">
        <v>-1.1138611221870001</v>
      </c>
      <c r="AE4980">
        <v>-14.015384999999901</v>
      </c>
      <c r="AF4980">
        <v>0.79452864306941795</v>
      </c>
      <c r="AG4980">
        <v>-1.1138611221870001</v>
      </c>
      <c r="AH4980">
        <v>13.907924172104901</v>
      </c>
      <c r="AI4980">
        <v>94.571522639934003</v>
      </c>
      <c r="AJ4980">
        <v>86.730373899909907</v>
      </c>
      <c r="AK4980">
        <v>13.9750605415932</v>
      </c>
      <c r="AL4980">
        <v>77.3620553717424</v>
      </c>
      <c r="AM4980">
        <v>84.799041893451502</v>
      </c>
      <c r="AN4980">
        <v>0.99999998686114</v>
      </c>
    </row>
    <row r="4981" spans="1:40" x14ac:dyDescent="0.25">
      <c r="A4981" t="str">
        <f>"20190303170636847"</f>
        <v>20190303170636847</v>
      </c>
      <c r="B4981" t="str">
        <f>"1551603996839620"</f>
        <v>1551603996839620</v>
      </c>
      <c r="C4981" t="s">
        <v>40</v>
      </c>
      <c r="D4981">
        <v>5.7575339999999997</v>
      </c>
      <c r="E4981">
        <v>0.48662339999999998</v>
      </c>
      <c r="F4981" t="s">
        <v>41</v>
      </c>
      <c r="G4981">
        <v>-302.2706</v>
      </c>
      <c r="H4981" s="1">
        <v>-3.228236E-6</v>
      </c>
      <c r="I4981">
        <v>-24.294060000000002</v>
      </c>
      <c r="J4981">
        <v>-302.12549999999999</v>
      </c>
      <c r="K4981">
        <v>1.1146830000000001</v>
      </c>
      <c r="L4981">
        <v>-5.5163270000000004</v>
      </c>
      <c r="M4981">
        <v>3.2817350000000002E-2</v>
      </c>
      <c r="N4981">
        <v>-7.7578759999999899E-3</v>
      </c>
      <c r="O4981">
        <v>-0.99943130000000002</v>
      </c>
      <c r="P4981">
        <v>-5.2775410000000002E-2</v>
      </c>
      <c r="Q4981">
        <v>0.2099442</v>
      </c>
      <c r="R4981">
        <v>-0.97628839999999995</v>
      </c>
      <c r="S4981">
        <v>-2.2949219999999999E-2</v>
      </c>
      <c r="T4981">
        <v>-0.18239069999999999</v>
      </c>
      <c r="U4981">
        <v>-3.112549</v>
      </c>
      <c r="V4981">
        <v>8.5727040000000004E-2</v>
      </c>
      <c r="W4981">
        <v>0.21712529999999999</v>
      </c>
      <c r="X4981">
        <v>0.97237209999999996</v>
      </c>
      <c r="Y4981">
        <v>4.0166559999999997E-2</v>
      </c>
      <c r="Z4981">
        <v>5.0679219999999997E-2</v>
      </c>
      <c r="AA4981">
        <v>0.99790690000000004</v>
      </c>
      <c r="AB4981">
        <v>23</v>
      </c>
      <c r="AC4981">
        <v>-0.145100000000013</v>
      </c>
      <c r="AD4981">
        <v>-1.1146862282359999</v>
      </c>
      <c r="AE4981">
        <v>-18.777732999999898</v>
      </c>
      <c r="AF4981">
        <v>0.75860274153101104</v>
      </c>
      <c r="AG4981">
        <v>-1.1146862282359999</v>
      </c>
      <c r="AH4981">
        <v>18.696974487273799</v>
      </c>
      <c r="AI4981">
        <v>93.409053696071297</v>
      </c>
      <c r="AJ4981">
        <v>87.676580869660995</v>
      </c>
      <c r="AK4981">
        <v>18.745529026534498</v>
      </c>
      <c r="AL4981">
        <v>77.459756219807403</v>
      </c>
      <c r="AM4981">
        <v>84.961670884003098</v>
      </c>
      <c r="AN4981">
        <v>1.00000001107283</v>
      </c>
    </row>
    <row r="4982" spans="1:40" x14ac:dyDescent="0.25">
      <c r="A4982" t="str">
        <f>"20190303170636869"</f>
        <v>20190303170636869</v>
      </c>
      <c r="B4982" t="str">
        <f>"1551603996860116"</f>
        <v>1551603996860116</v>
      </c>
      <c r="C4982" t="s">
        <v>40</v>
      </c>
      <c r="D4982">
        <v>5.7554400000000001</v>
      </c>
      <c r="E4982">
        <v>0.48535820000000002</v>
      </c>
      <c r="F4982" t="s">
        <v>41</v>
      </c>
      <c r="G4982">
        <v>-302.19139999999999</v>
      </c>
      <c r="H4982" s="1">
        <v>-2.768658E-6</v>
      </c>
      <c r="I4982">
        <v>-25.316240000000001</v>
      </c>
      <c r="J4982">
        <v>-302.12139999999999</v>
      </c>
      <c r="K4982">
        <v>1.115354</v>
      </c>
      <c r="L4982">
        <v>-5.7458799999999997</v>
      </c>
      <c r="M4982">
        <v>2.9816289999999999E-2</v>
      </c>
      <c r="N4982">
        <v>-8.0350179999999997E-3</v>
      </c>
      <c r="O4982">
        <v>-0.99952319999999995</v>
      </c>
      <c r="P4982">
        <v>-5.3970549999999999E-2</v>
      </c>
      <c r="Q4982">
        <v>0.2080436</v>
      </c>
      <c r="R4982">
        <v>-0.97662959999999999</v>
      </c>
      <c r="S4982">
        <v>-1.0345460000000001E-2</v>
      </c>
      <c r="T4982">
        <v>-0.17508270000000001</v>
      </c>
      <c r="U4982">
        <v>-3.1099549999999998</v>
      </c>
      <c r="V4982">
        <v>8.4017640000000005E-2</v>
      </c>
      <c r="W4982">
        <v>0.21549960000000001</v>
      </c>
      <c r="X4982">
        <v>0.97288280000000005</v>
      </c>
      <c r="Y4982">
        <v>3.3129730000000003E-2</v>
      </c>
      <c r="Z4982">
        <v>4.8130930000000002E-2</v>
      </c>
      <c r="AA4982">
        <v>0.99829140000000005</v>
      </c>
      <c r="AB4982">
        <v>23</v>
      </c>
      <c r="AC4982">
        <v>-6.9999999999993096E-2</v>
      </c>
      <c r="AD4982">
        <v>-1.1153567686579999</v>
      </c>
      <c r="AE4982">
        <v>-19.570360000000001</v>
      </c>
      <c r="AF4982">
        <v>0.65138743637399898</v>
      </c>
      <c r="AG4982">
        <v>-1.1153567686579999</v>
      </c>
      <c r="AH4982">
        <v>19.496246130530501</v>
      </c>
      <c r="AI4982">
        <v>93.272431624965094</v>
      </c>
      <c r="AJ4982">
        <v>88.086407368580097</v>
      </c>
      <c r="AK4982">
        <v>19.538985119393502</v>
      </c>
      <c r="AL4982">
        <v>77.555160518212006</v>
      </c>
      <c r="AM4982">
        <v>85.064213011944204</v>
      </c>
      <c r="AN4982">
        <v>0.99999999198358402</v>
      </c>
    </row>
    <row r="4983" spans="1:40" x14ac:dyDescent="0.25">
      <c r="A4983" t="str">
        <f>"20190303170636892"</f>
        <v>20190303170636892</v>
      </c>
      <c r="B4983" t="str">
        <f>"1551603996879636"</f>
        <v>1551603996879636</v>
      </c>
      <c r="C4983" t="s">
        <v>40</v>
      </c>
      <c r="D4983">
        <v>5.6737479999999998</v>
      </c>
      <c r="E4983">
        <v>0.48448249999999998</v>
      </c>
      <c r="F4983" t="s">
        <v>41</v>
      </c>
      <c r="G4983">
        <v>-302.16269999999997</v>
      </c>
      <c r="H4983" s="1">
        <v>-2.5317039999999999E-6</v>
      </c>
      <c r="I4983">
        <v>-25.850770000000001</v>
      </c>
      <c r="J4983">
        <v>-302.11790000000002</v>
      </c>
      <c r="K4983">
        <v>1.1159399999999999</v>
      </c>
      <c r="L4983">
        <v>-5.9789729999999999</v>
      </c>
      <c r="M4983">
        <v>2.6741839999999999E-2</v>
      </c>
      <c r="N4983">
        <v>-8.2788029999999995E-3</v>
      </c>
      <c r="O4983">
        <v>-0.99960819999999995</v>
      </c>
      <c r="P4983">
        <v>-5.5045150000000001E-2</v>
      </c>
      <c r="Q4983">
        <v>0.20792450000000001</v>
      </c>
      <c r="R4983">
        <v>-0.97659530000000006</v>
      </c>
      <c r="S4983">
        <v>-6.3781740000000003E-3</v>
      </c>
      <c r="T4983">
        <v>-0.17243059999999999</v>
      </c>
      <c r="U4983">
        <v>-3.1081539999999999</v>
      </c>
      <c r="V4983">
        <v>8.2114439999999997E-2</v>
      </c>
      <c r="W4983">
        <v>0.2156198</v>
      </c>
      <c r="X4983">
        <v>0.97301859999999996</v>
      </c>
      <c r="Y4983">
        <v>2.878416E-2</v>
      </c>
      <c r="Z4983">
        <v>4.7082230000000003E-2</v>
      </c>
      <c r="AA4983">
        <v>0.99847620000000004</v>
      </c>
      <c r="AB4983">
        <v>23</v>
      </c>
      <c r="AC4983">
        <v>-4.4799999999952399E-2</v>
      </c>
      <c r="AD4983">
        <v>-1.1159425317039999</v>
      </c>
      <c r="AE4983">
        <v>-19.871797000000001</v>
      </c>
      <c r="AF4983">
        <v>0.57439911966745405</v>
      </c>
      <c r="AG4983">
        <v>-1.1159425317039999</v>
      </c>
      <c r="AH4983">
        <v>19.801047085914298</v>
      </c>
      <c r="AI4983">
        <v>93.224295745947302</v>
      </c>
      <c r="AJ4983">
        <v>88.338400062684201</v>
      </c>
      <c r="AK4983">
        <v>19.840784454787499</v>
      </c>
      <c r="AL4983">
        <v>77.548107072712</v>
      </c>
      <c r="AM4983">
        <v>85.176156707448001</v>
      </c>
      <c r="AN4983">
        <v>0.99999993767725404</v>
      </c>
    </row>
    <row r="4984" spans="1:40" x14ac:dyDescent="0.25">
      <c r="A4984" t="str">
        <f>"20190303170636914"</f>
        <v>20190303170636914</v>
      </c>
      <c r="B4984" t="str">
        <f>"1551603996900132"</f>
        <v>1551603996900132</v>
      </c>
      <c r="C4984" t="s">
        <v>40</v>
      </c>
      <c r="D4984">
        <v>5.6659119999999996</v>
      </c>
      <c r="E4984">
        <v>0.48419079999999898</v>
      </c>
      <c r="F4984" t="s">
        <v>41</v>
      </c>
      <c r="G4984">
        <v>-302.14589999999998</v>
      </c>
      <c r="H4984" s="1">
        <v>-2.1858450000000001E-6</v>
      </c>
      <c r="I4984">
        <v>-26.646570000000001</v>
      </c>
      <c r="J4984">
        <v>-302.11509999999998</v>
      </c>
      <c r="K4984">
        <v>1.116447</v>
      </c>
      <c r="L4984">
        <v>-6.2192080000000001</v>
      </c>
      <c r="M4984">
        <v>2.354641E-2</v>
      </c>
      <c r="N4984">
        <v>-8.4950809999999998E-3</v>
      </c>
      <c r="O4984">
        <v>-0.99968679999999999</v>
      </c>
      <c r="P4984">
        <v>-5.5946280000000001E-2</v>
      </c>
      <c r="Q4984">
        <v>0.20888010000000001</v>
      </c>
      <c r="R4984">
        <v>-0.97634010000000004</v>
      </c>
      <c r="S4984">
        <v>-4.2114259999999999E-3</v>
      </c>
      <c r="T4984">
        <v>-0.16778289999999901</v>
      </c>
      <c r="U4984">
        <v>-3.1073909999999998</v>
      </c>
      <c r="V4984">
        <v>7.9919069999999995E-2</v>
      </c>
      <c r="W4984">
        <v>0.21678739999999999</v>
      </c>
      <c r="X4984">
        <v>0.97294199999999997</v>
      </c>
      <c r="Y4984">
        <v>2.4894139999999999E-2</v>
      </c>
      <c r="Z4984">
        <v>4.5400650000000001E-2</v>
      </c>
      <c r="AA4984">
        <v>0.99865870000000001</v>
      </c>
      <c r="AB4984">
        <v>23</v>
      </c>
      <c r="AC4984">
        <v>-3.07999999999992E-2</v>
      </c>
      <c r="AD4984">
        <v>-1.1164491858450001</v>
      </c>
      <c r="AE4984">
        <v>-20.427361999999999</v>
      </c>
      <c r="AF4984">
        <v>0.510275532598363</v>
      </c>
      <c r="AG4984">
        <v>-1.1164491858450001</v>
      </c>
      <c r="AH4984">
        <v>20.360154563910498</v>
      </c>
      <c r="AI4984">
        <v>93.137687723216899</v>
      </c>
      <c r="AJ4984">
        <v>88.564327437559697</v>
      </c>
      <c r="AK4984">
        <v>20.397125625196999</v>
      </c>
      <c r="AL4984">
        <v>77.479588518666404</v>
      </c>
      <c r="AM4984">
        <v>85.304171992664493</v>
      </c>
      <c r="AN4984">
        <v>0.99999998495621201</v>
      </c>
    </row>
    <row r="4985" spans="1:40" x14ac:dyDescent="0.25">
      <c r="A4985" t="str">
        <f>"20190303170636939"</f>
        <v>20190303170636939</v>
      </c>
      <c r="B4985" t="str">
        <f>"1551603996930389"</f>
        <v>1551603996930389</v>
      </c>
      <c r="C4985" t="s">
        <v>40</v>
      </c>
      <c r="D4985">
        <v>5.6411619999999996</v>
      </c>
      <c r="E4985">
        <v>0.48380079999999998</v>
      </c>
      <c r="F4985" t="s">
        <v>41</v>
      </c>
      <c r="G4985">
        <v>-302.15589999999997</v>
      </c>
      <c r="H4985" s="1">
        <v>-1.8118289999999999E-6</v>
      </c>
      <c r="I4985">
        <v>-27.52458</v>
      </c>
      <c r="J4985">
        <v>-302.11290000000002</v>
      </c>
      <c r="K4985">
        <v>1.1169039999999999</v>
      </c>
      <c r="L4985">
        <v>-6.4705510000000004</v>
      </c>
      <c r="M4985">
        <v>2.018199E-2</v>
      </c>
      <c r="N4985">
        <v>-8.6884319999999994E-3</v>
      </c>
      <c r="O4985">
        <v>-0.9997587</v>
      </c>
      <c r="P4985">
        <v>-5.6428199999999901E-2</v>
      </c>
      <c r="Q4985">
        <v>0.20993609999999999</v>
      </c>
      <c r="R4985">
        <v>-0.9760856</v>
      </c>
      <c r="S4985">
        <v>-5.9509280000000003E-3</v>
      </c>
      <c r="T4985">
        <v>-0.16282460000000001</v>
      </c>
      <c r="U4985">
        <v>-3.107208</v>
      </c>
      <c r="V4985">
        <v>7.7139189999999996E-2</v>
      </c>
      <c r="W4985">
        <v>0.2180385</v>
      </c>
      <c r="X4985">
        <v>0.97288680000000005</v>
      </c>
      <c r="Y4985">
        <v>2.2089830000000001E-2</v>
      </c>
      <c r="Z4985">
        <v>4.3629340000000003E-2</v>
      </c>
      <c r="AA4985">
        <v>0.99880360000000001</v>
      </c>
      <c r="AB4985">
        <v>23</v>
      </c>
      <c r="AC4985">
        <v>-4.2999999999949502E-2</v>
      </c>
      <c r="AD4985">
        <v>-1.1169058118290001</v>
      </c>
      <c r="AE4985">
        <v>-21.054029</v>
      </c>
      <c r="AF4985">
        <v>0.46660628649275998</v>
      </c>
      <c r="AG4985">
        <v>-1.1169058118290001</v>
      </c>
      <c r="AH4985">
        <v>20.989802291726999</v>
      </c>
      <c r="AI4985">
        <v>93.0451897182256</v>
      </c>
      <c r="AJ4985">
        <v>88.726516431438199</v>
      </c>
      <c r="AK4985">
        <v>21.024675984777499</v>
      </c>
      <c r="AL4985">
        <v>77.406149055597098</v>
      </c>
      <c r="AM4985">
        <v>85.466561102420002</v>
      </c>
      <c r="AN4985">
        <v>0.99999998386517297</v>
      </c>
    </row>
    <row r="4986" spans="1:40" x14ac:dyDescent="0.25">
      <c r="A4986" t="str">
        <f>"20190303170636962"</f>
        <v>20190303170636962</v>
      </c>
      <c r="B4986" t="str">
        <f>"1551603996949908"</f>
        <v>1551603996949908</v>
      </c>
      <c r="C4986" t="s">
        <v>40</v>
      </c>
      <c r="D4986">
        <v>5.6772669999999996</v>
      </c>
      <c r="E4986">
        <v>0.48378939999999998</v>
      </c>
      <c r="F4986" t="s">
        <v>41</v>
      </c>
      <c r="G4986">
        <v>-302.15429999999998</v>
      </c>
      <c r="H4986" s="1">
        <v>-1.170298E-6</v>
      </c>
      <c r="I4986">
        <v>-29.01905</v>
      </c>
      <c r="J4986">
        <v>-302.11160000000001</v>
      </c>
      <c r="K4986">
        <v>1.117278</v>
      </c>
      <c r="L4986">
        <v>-6.7206119999999903</v>
      </c>
      <c r="M4986">
        <v>1.6826919999999999E-2</v>
      </c>
      <c r="N4986">
        <v>-8.8507780000000001E-3</v>
      </c>
      <c r="O4986">
        <v>-0.99981920000000002</v>
      </c>
      <c r="P4986">
        <v>-5.7403639999999999E-2</v>
      </c>
      <c r="Q4986">
        <v>0.2107802</v>
      </c>
      <c r="R4986">
        <v>-0.97584649999999995</v>
      </c>
      <c r="S4986">
        <v>-5.7067869999999996E-3</v>
      </c>
      <c r="T4986">
        <v>-0.1538639</v>
      </c>
      <c r="U4986">
        <v>-3.1062620000000001</v>
      </c>
      <c r="V4986">
        <v>7.4857469999999995E-2</v>
      </c>
      <c r="W4986">
        <v>0.2190463</v>
      </c>
      <c r="X4986">
        <v>0.9728386</v>
      </c>
      <c r="Y4986">
        <v>1.865814E-2</v>
      </c>
      <c r="Z4986">
        <v>4.0615949999999998E-2</v>
      </c>
      <c r="AA4986">
        <v>0.99900060000000002</v>
      </c>
      <c r="AB4986">
        <v>23</v>
      </c>
      <c r="AC4986">
        <v>-4.2699999999967903E-2</v>
      </c>
      <c r="AD4986">
        <v>-1.1172791702980001</v>
      </c>
      <c r="AE4986">
        <v>-22.298438000000001</v>
      </c>
      <c r="AF4986">
        <v>0.41687610163098998</v>
      </c>
      <c r="AG4986">
        <v>-1.1172791702980001</v>
      </c>
      <c r="AH4986">
        <v>22.238730177901399</v>
      </c>
      <c r="AI4986">
        <v>92.875631200693903</v>
      </c>
      <c r="AJ4986">
        <v>88.926087780468393</v>
      </c>
      <c r="AK4986">
        <v>22.270680689058299</v>
      </c>
      <c r="AL4986">
        <v>77.346975334610505</v>
      </c>
      <c r="AM4986">
        <v>85.599905189304195</v>
      </c>
      <c r="AN4986">
        <v>0.99999993200422299</v>
      </c>
    </row>
    <row r="4987" spans="1:40" x14ac:dyDescent="0.25">
      <c r="A4987" t="str">
        <f>"20190303170636993"</f>
        <v>20190303170636993</v>
      </c>
      <c r="B4987" t="str">
        <f>"1551603996980164"</f>
        <v>1551603996980164</v>
      </c>
      <c r="C4987" t="s">
        <v>40</v>
      </c>
      <c r="D4987">
        <v>5.6841599999999897</v>
      </c>
      <c r="E4987">
        <v>0.48309000000000002</v>
      </c>
      <c r="F4987" t="s">
        <v>41</v>
      </c>
      <c r="G4987">
        <v>-302.18279999999999</v>
      </c>
      <c r="H4987" s="1">
        <v>-7.8644549999999999E-7</v>
      </c>
      <c r="I4987">
        <v>-29.931480000000001</v>
      </c>
      <c r="J4987">
        <v>-302.1112</v>
      </c>
      <c r="K4987">
        <v>1.117669</v>
      </c>
      <c r="L4987">
        <v>-7.0460209999999996</v>
      </c>
      <c r="M4987">
        <v>1.2481559999999999E-2</v>
      </c>
      <c r="N4987">
        <v>-9.0115939999999995E-3</v>
      </c>
      <c r="O4987">
        <v>-0.99988149999999998</v>
      </c>
      <c r="P4987">
        <v>-5.8204619999999999E-2</v>
      </c>
      <c r="Q4987">
        <v>0.20974570000000001</v>
      </c>
      <c r="R4987">
        <v>-0.97602219999999995</v>
      </c>
      <c r="S4987">
        <v>-9.5214840000000002E-3</v>
      </c>
      <c r="T4987">
        <v>-0.1495099</v>
      </c>
      <c r="U4987">
        <v>-3.105988</v>
      </c>
      <c r="V4987">
        <v>7.1427379999999999E-2</v>
      </c>
      <c r="W4987">
        <v>0.2181864</v>
      </c>
      <c r="X4987">
        <v>0.97328970000000004</v>
      </c>
      <c r="Y4987">
        <v>1.554094E-2</v>
      </c>
      <c r="Z4987">
        <v>3.9068430000000001E-2</v>
      </c>
      <c r="AA4987">
        <v>0.99911570000000005</v>
      </c>
      <c r="AB4987">
        <v>23</v>
      </c>
      <c r="AC4987">
        <v>-7.1599999999989394E-2</v>
      </c>
      <c r="AD4987">
        <v>-1.1176697864454901</v>
      </c>
      <c r="AE4987">
        <v>-22.885459000000001</v>
      </c>
      <c r="AF4987">
        <v>0.35640220030022801</v>
      </c>
      <c r="AG4987">
        <v>-1.1176697864454901</v>
      </c>
      <c r="AH4987">
        <v>22.828334938506998</v>
      </c>
      <c r="AI4987">
        <v>92.802608406726804</v>
      </c>
      <c r="AJ4987">
        <v>89.105555307544194</v>
      </c>
      <c r="AK4987">
        <v>22.8584576107963</v>
      </c>
      <c r="AL4987">
        <v>77.397466260589496</v>
      </c>
      <c r="AM4987">
        <v>85.802725493589705</v>
      </c>
      <c r="AN4987">
        <v>1.0000000079423501</v>
      </c>
    </row>
    <row r="4988" spans="1:40" x14ac:dyDescent="0.25">
      <c r="A4988" t="str">
        <f>"20190303170637015"</f>
        <v>20190303170637015</v>
      </c>
      <c r="B4988" t="str">
        <f>"1551603997009444"</f>
        <v>1551603997009444</v>
      </c>
      <c r="C4988" t="s">
        <v>40</v>
      </c>
      <c r="D4988">
        <v>5.6481469999999998</v>
      </c>
      <c r="E4988">
        <v>0.4828826</v>
      </c>
      <c r="F4988" t="s">
        <v>41</v>
      </c>
      <c r="G4988">
        <v>-302.16340000000002</v>
      </c>
      <c r="H4988" s="1">
        <v>-8.5645889999999996E-7</v>
      </c>
      <c r="I4988">
        <v>-29.756270000000001</v>
      </c>
      <c r="J4988">
        <v>-302.11180000000002</v>
      </c>
      <c r="K4988">
        <v>1.117909</v>
      </c>
      <c r="L4988">
        <v>-7.2864690000000003</v>
      </c>
      <c r="M4988">
        <v>9.3014459999999997E-3</v>
      </c>
      <c r="N4988">
        <v>-9.1057210000000006E-3</v>
      </c>
      <c r="O4988">
        <v>-0.99991529999999995</v>
      </c>
      <c r="P4988">
        <v>-5.7972280000000001E-2</v>
      </c>
      <c r="Q4988">
        <v>0.20990600000000001</v>
      </c>
      <c r="R4988">
        <v>-0.97600140000000002</v>
      </c>
      <c r="S4988">
        <v>-7.1411130000000001E-3</v>
      </c>
      <c r="T4988">
        <v>-0.15286669999999999</v>
      </c>
      <c r="U4988">
        <v>-3.1061399999999999</v>
      </c>
      <c r="V4988">
        <v>6.8093589999999996E-2</v>
      </c>
      <c r="W4988">
        <v>0.2184564</v>
      </c>
      <c r="X4988">
        <v>0.97346809999999995</v>
      </c>
      <c r="Y4988">
        <v>1.159581E-2</v>
      </c>
      <c r="Z4988">
        <v>4.0053119999999998E-2</v>
      </c>
      <c r="AA4988">
        <v>0.99913019999999997</v>
      </c>
      <c r="AB4988">
        <v>24</v>
      </c>
      <c r="AC4988">
        <v>-5.1600000000007598E-2</v>
      </c>
      <c r="AD4988">
        <v>-1.1179098564589001</v>
      </c>
      <c r="AE4988">
        <v>-22.469801</v>
      </c>
      <c r="AF4988">
        <v>0.259964601271861</v>
      </c>
      <c r="AG4988">
        <v>-1.1179098564589001</v>
      </c>
      <c r="AH4988">
        <v>22.412872250389899</v>
      </c>
      <c r="AI4988">
        <v>92.855242356993301</v>
      </c>
      <c r="AJ4988">
        <v>89.3354619432329</v>
      </c>
      <c r="AK4988">
        <v>22.4422402302751</v>
      </c>
      <c r="AL4988">
        <v>77.381614389366902</v>
      </c>
      <c r="AM4988">
        <v>85.998707385133699</v>
      </c>
      <c r="AN4988">
        <v>1.0000000387088199</v>
      </c>
    </row>
    <row r="4989" spans="1:40" x14ac:dyDescent="0.25">
      <c r="A4989" t="str">
        <f>"20190303170637037"</f>
        <v>20190303170637037</v>
      </c>
      <c r="B4989" t="str">
        <f>"1551603997030189"</f>
        <v>1551603997030189</v>
      </c>
      <c r="C4989" t="s">
        <v>40</v>
      </c>
      <c r="D4989">
        <v>5.6281689999999998</v>
      </c>
      <c r="E4989">
        <v>0.48268299999999997</v>
      </c>
      <c r="F4989" t="s">
        <v>41</v>
      </c>
      <c r="G4989">
        <v>-302.1551</v>
      </c>
      <c r="H4989" s="1">
        <v>-5.91992E-7</v>
      </c>
      <c r="I4989">
        <v>-30.36759</v>
      </c>
      <c r="J4989">
        <v>-302.113</v>
      </c>
      <c r="K4989">
        <v>1.1181140000000001</v>
      </c>
      <c r="L4989">
        <v>-7.5220339999999997</v>
      </c>
      <c r="M4989">
        <v>6.2216959999999997E-3</v>
      </c>
      <c r="N4989">
        <v>-9.1817029999999994E-3</v>
      </c>
      <c r="O4989">
        <v>-0.99993849999999995</v>
      </c>
      <c r="P4989">
        <v>-5.7506189999999999E-2</v>
      </c>
      <c r="Q4989">
        <v>0.20951149999999999</v>
      </c>
      <c r="R4989">
        <v>-0.97611369999999997</v>
      </c>
      <c r="S4989">
        <v>-5.8288569999999998E-3</v>
      </c>
      <c r="T4989">
        <v>-0.150424799999999</v>
      </c>
      <c r="U4989">
        <v>-3.1057739999999998</v>
      </c>
      <c r="V4989">
        <v>6.461712E-2</v>
      </c>
      <c r="W4989">
        <v>0.21815709999999999</v>
      </c>
      <c r="X4989">
        <v>0.97377210000000003</v>
      </c>
      <c r="Y4989">
        <v>8.095105E-3</v>
      </c>
      <c r="Z4989">
        <v>3.9201930000000003E-2</v>
      </c>
      <c r="AA4989">
        <v>0.99919849999999999</v>
      </c>
      <c r="AB4989">
        <v>24</v>
      </c>
      <c r="AC4989">
        <v>-4.2100000000004897E-2</v>
      </c>
      <c r="AD4989">
        <v>-1.1181145919919999</v>
      </c>
      <c r="AE4989">
        <v>-22.845555999999998</v>
      </c>
      <c r="AF4989">
        <v>0.183803008796181</v>
      </c>
      <c r="AG4989">
        <v>-1.1181145919919999</v>
      </c>
      <c r="AH4989">
        <v>22.790261353387301</v>
      </c>
      <c r="AI4989">
        <v>92.808648924778595</v>
      </c>
      <c r="AJ4989">
        <v>89.537920685388997</v>
      </c>
      <c r="AK4989">
        <v>22.818413098692201</v>
      </c>
      <c r="AL4989">
        <v>77.399186333631405</v>
      </c>
      <c r="AM4989">
        <v>86.203558873204699</v>
      </c>
      <c r="AN4989">
        <v>0.99999999760795699</v>
      </c>
    </row>
    <row r="4990" spans="1:40" x14ac:dyDescent="0.25">
      <c r="A4990" t="str">
        <f>"20190303170637059"</f>
        <v>20190303170637059</v>
      </c>
      <c r="B4990" t="str">
        <f>"1551603997049709"</f>
        <v>1551603997049709</v>
      </c>
      <c r="C4990" t="s">
        <v>40</v>
      </c>
      <c r="D4990">
        <v>5.6974470000000004</v>
      </c>
      <c r="E4990">
        <v>0.4824929</v>
      </c>
      <c r="F4990" t="s">
        <v>41</v>
      </c>
      <c r="G4990">
        <v>-302.1377</v>
      </c>
      <c r="H4990" s="1">
        <v>-5.879922E-7</v>
      </c>
      <c r="I4990">
        <v>-30.366129999999998</v>
      </c>
      <c r="J4990">
        <v>-302.11489999999998</v>
      </c>
      <c r="K4990">
        <v>1.11829</v>
      </c>
      <c r="L4990">
        <v>-7.7501829999999998</v>
      </c>
      <c r="M4990">
        <v>3.287758E-3</v>
      </c>
      <c r="N4990">
        <v>-9.2370609999999995E-3</v>
      </c>
      <c r="O4990">
        <v>-0.99995199999999995</v>
      </c>
      <c r="P4990">
        <v>-5.8149810000000003E-2</v>
      </c>
      <c r="Q4990">
        <v>0.20896010000000001</v>
      </c>
      <c r="R4990">
        <v>-0.97619389999999995</v>
      </c>
      <c r="S4990">
        <v>-3.3569339999999998E-3</v>
      </c>
      <c r="T4990">
        <v>-0.1520164</v>
      </c>
      <c r="U4990">
        <v>-3.1058349999999999</v>
      </c>
      <c r="V4990">
        <v>6.2385379999999997E-2</v>
      </c>
      <c r="W4990">
        <v>0.21767500000000001</v>
      </c>
      <c r="X4990">
        <v>0.97402549999999999</v>
      </c>
      <c r="Y4990">
        <v>4.3667139999999998E-3</v>
      </c>
      <c r="Z4990">
        <v>3.9658140000000001E-2</v>
      </c>
      <c r="AA4990">
        <v>0.99920370000000003</v>
      </c>
      <c r="AB4990">
        <v>24</v>
      </c>
      <c r="AC4990">
        <v>-2.28000000000179E-2</v>
      </c>
      <c r="AD4990">
        <v>-1.1182905879922</v>
      </c>
      <c r="AE4990">
        <v>-22.615946999999998</v>
      </c>
      <c r="AF4990">
        <v>9.6921830626478606E-2</v>
      </c>
      <c r="AG4990">
        <v>-1.1182905879922</v>
      </c>
      <c r="AH4990">
        <v>22.5605890921229</v>
      </c>
      <c r="AI4990">
        <v>92.8377070141903</v>
      </c>
      <c r="AJ4990">
        <v>89.753854934747096</v>
      </c>
      <c r="AK4990">
        <v>22.5884959185878</v>
      </c>
      <c r="AL4990">
        <v>77.427488940285301</v>
      </c>
      <c r="AM4990">
        <v>86.335267176966994</v>
      </c>
      <c r="AN4990">
        <v>1.0000000079564899</v>
      </c>
    </row>
    <row r="4991" spans="1:40" x14ac:dyDescent="0.25">
      <c r="A4991" t="str">
        <f>"20190303170637081"</f>
        <v>20190303170637081</v>
      </c>
      <c r="B4991" t="str">
        <f>"1551603997070205"</f>
        <v>1551603997070205</v>
      </c>
      <c r="C4991" t="s">
        <v>40</v>
      </c>
      <c r="D4991">
        <v>5.6277589999999904</v>
      </c>
      <c r="E4991">
        <v>0.4823693</v>
      </c>
      <c r="F4991" t="s">
        <v>41</v>
      </c>
      <c r="G4991">
        <v>-302.13690000000003</v>
      </c>
      <c r="H4991" s="1">
        <v>-5.9866519999999995E-7</v>
      </c>
      <c r="I4991">
        <v>-30.34074</v>
      </c>
      <c r="J4991">
        <v>-302.11750000000001</v>
      </c>
      <c r="K4991">
        <v>1.118457</v>
      </c>
      <c r="L4991">
        <v>-7.9880069999999996</v>
      </c>
      <c r="M4991">
        <v>2.9438499999999998E-4</v>
      </c>
      <c r="N4991">
        <v>-9.2809490000000001E-3</v>
      </c>
      <c r="O4991">
        <v>-0.99995710000000004</v>
      </c>
      <c r="P4991">
        <v>-6.040181E-2</v>
      </c>
      <c r="Q4991">
        <v>0.20804739999999999</v>
      </c>
      <c r="R4991">
        <v>-0.97625249999999997</v>
      </c>
      <c r="S4991">
        <v>-3.0212400000000001E-3</v>
      </c>
      <c r="T4991">
        <v>-0.15374979999999999</v>
      </c>
      <c r="U4991">
        <v>-3.105896</v>
      </c>
      <c r="V4991">
        <v>6.1695170000000001E-2</v>
      </c>
      <c r="W4991">
        <v>0.21681529999999999</v>
      </c>
      <c r="X4991">
        <v>0.97426120000000005</v>
      </c>
      <c r="Y4991">
        <v>1.2660099999999999E-3</v>
      </c>
      <c r="Z4991">
        <v>4.0170270000000001E-2</v>
      </c>
      <c r="AA4991">
        <v>0.99919210000000003</v>
      </c>
      <c r="AB4991">
        <v>24</v>
      </c>
      <c r="AC4991">
        <v>-1.9400000000018701E-2</v>
      </c>
      <c r="AD4991">
        <v>-1.1184575986651999</v>
      </c>
      <c r="AE4991">
        <v>-22.352733000000001</v>
      </c>
      <c r="AF4991">
        <v>2.5915706053923099E-2</v>
      </c>
      <c r="AG4991">
        <v>-1.1184575986651999</v>
      </c>
      <c r="AH4991">
        <v>22.296902186721599</v>
      </c>
      <c r="AI4991">
        <v>92.871662986770403</v>
      </c>
      <c r="AJ4991">
        <v>89.933405102695204</v>
      </c>
      <c r="AK4991">
        <v>22.324951649400301</v>
      </c>
      <c r="AL4991">
        <v>77.477951555610602</v>
      </c>
      <c r="AM4991">
        <v>86.376578304632005</v>
      </c>
      <c r="AN4991">
        <v>1.0000000270704199</v>
      </c>
    </row>
    <row r="4992" spans="1:40" x14ac:dyDescent="0.25">
      <c r="A4992" t="str">
        <f>"20190303170637105"</f>
        <v>20190303170637105</v>
      </c>
      <c r="B4992" t="str">
        <f>"1551603997089726"</f>
        <v>1551603997089726</v>
      </c>
      <c r="C4992" t="s">
        <v>40</v>
      </c>
      <c r="D4992">
        <v>5.5941939999999999</v>
      </c>
      <c r="E4992">
        <v>0.48220429999999997</v>
      </c>
      <c r="F4992" t="s">
        <v>41</v>
      </c>
      <c r="G4992">
        <v>-302.18439999999998</v>
      </c>
      <c r="H4992" s="1">
        <v>-7.5035890000000004E-7</v>
      </c>
      <c r="I4992">
        <v>-30.0166</v>
      </c>
      <c r="J4992">
        <v>-302.12079999999997</v>
      </c>
      <c r="K4992">
        <v>1.118606</v>
      </c>
      <c r="L4992">
        <v>-8.2319339999999901</v>
      </c>
      <c r="M4992">
        <v>-2.6966669999999998E-3</v>
      </c>
      <c r="N4992">
        <v>-9.3131010000000007E-3</v>
      </c>
      <c r="O4992">
        <v>-0.99995299999999998</v>
      </c>
      <c r="P4992">
        <v>-6.2707860000000004E-2</v>
      </c>
      <c r="Q4992">
        <v>0.20677880000000001</v>
      </c>
      <c r="R4992">
        <v>-0.97637620000000003</v>
      </c>
      <c r="S4992">
        <v>-9.4299320000000002E-3</v>
      </c>
      <c r="T4992">
        <v>-0.15770029999999999</v>
      </c>
      <c r="U4992">
        <v>-3.105988</v>
      </c>
      <c r="V4992">
        <v>6.1053099999999902E-2</v>
      </c>
      <c r="W4992">
        <v>0.21559</v>
      </c>
      <c r="X4992">
        <v>0.97457349999999998</v>
      </c>
      <c r="Y4992">
        <v>3.3655449999999998E-4</v>
      </c>
      <c r="Z4992">
        <v>4.1404009999999998E-2</v>
      </c>
      <c r="AA4992">
        <v>0.99914239999999999</v>
      </c>
      <c r="AB4992">
        <v>24</v>
      </c>
      <c r="AC4992">
        <v>-6.3600000000008095E-2</v>
      </c>
      <c r="AD4992">
        <v>-1.1186067503588999</v>
      </c>
      <c r="AE4992">
        <v>-21.784666000000001</v>
      </c>
      <c r="AF4992">
        <v>4.8384739891068696E-3</v>
      </c>
      <c r="AG4992">
        <v>-1.1186067503588999</v>
      </c>
      <c r="AH4992">
        <v>21.727470975146101</v>
      </c>
      <c r="AI4992">
        <v>92.947186452354003</v>
      </c>
      <c r="AJ4992">
        <v>89.987240846640901</v>
      </c>
      <c r="AK4992">
        <v>21.756247365954302</v>
      </c>
      <c r="AL4992">
        <v>77.549856627699199</v>
      </c>
      <c r="AM4992">
        <v>86.415334909896899</v>
      </c>
      <c r="AN4992">
        <v>1.0000000180109201</v>
      </c>
    </row>
    <row r="4993" spans="1:40" x14ac:dyDescent="0.25">
      <c r="A4993" t="str">
        <f>"20190303170637127"</f>
        <v>20190303170637127</v>
      </c>
      <c r="B4993" t="str">
        <f>"1551603997119981"</f>
        <v>1551603997119981</v>
      </c>
      <c r="C4993" t="s">
        <v>40</v>
      </c>
      <c r="D4993">
        <v>5.753641</v>
      </c>
      <c r="E4993">
        <v>0.48218759999999999</v>
      </c>
      <c r="F4993" t="s">
        <v>41</v>
      </c>
      <c r="G4993">
        <v>-302.23649999999998</v>
      </c>
      <c r="H4993" s="1">
        <v>-8.9661729999999999E-7</v>
      </c>
      <c r="I4993">
        <v>-29.707979999999999</v>
      </c>
      <c r="J4993">
        <v>-302.12490000000003</v>
      </c>
      <c r="K4993">
        <v>1.1187370000000001</v>
      </c>
      <c r="L4993">
        <v>-8.4765630000000005</v>
      </c>
      <c r="M4993">
        <v>-5.6056069999999899E-3</v>
      </c>
      <c r="N4993">
        <v>-9.3299790000000004E-3</v>
      </c>
      <c r="O4993">
        <v>-0.99994079999999996</v>
      </c>
      <c r="P4993">
        <v>-6.4645980000000006E-2</v>
      </c>
      <c r="Q4993">
        <v>0.20591760000000001</v>
      </c>
      <c r="R4993">
        <v>-0.97643170000000001</v>
      </c>
      <c r="S4993">
        <v>-1.672363E-2</v>
      </c>
      <c r="T4993">
        <v>-0.1617682</v>
      </c>
      <c r="U4993">
        <v>-3.1057739999999998</v>
      </c>
      <c r="V4993">
        <v>6.0120720000000002E-2</v>
      </c>
      <c r="W4993">
        <v>0.2147588</v>
      </c>
      <c r="X4993">
        <v>0.97481499999999999</v>
      </c>
      <c r="Y4993">
        <v>-2.2608780000000001E-4</v>
      </c>
      <c r="Z4993">
        <v>4.269469E-2</v>
      </c>
      <c r="AA4993">
        <v>0.99908819999999998</v>
      </c>
      <c r="AB4993">
        <v>24</v>
      </c>
      <c r="AC4993">
        <v>-0.111599999999953</v>
      </c>
      <c r="AD4993">
        <v>-1.1187378966173001</v>
      </c>
      <c r="AE4993">
        <v>-21.231417</v>
      </c>
      <c r="AF4993">
        <v>-7.4013598793515297E-3</v>
      </c>
      <c r="AG4993">
        <v>-1.1187378966173001</v>
      </c>
      <c r="AH4993">
        <v>21.1729238631398</v>
      </c>
      <c r="AI4993">
        <v>93.024589524162806</v>
      </c>
      <c r="AJ4993">
        <v>90.0200287248569</v>
      </c>
      <c r="AK4993">
        <v>21.2024605689002</v>
      </c>
      <c r="AL4993">
        <v>77.598623781820393</v>
      </c>
      <c r="AM4993">
        <v>86.470811392746995</v>
      </c>
      <c r="AN4993">
        <v>1.0000000636878701</v>
      </c>
    </row>
    <row r="4994" spans="1:40" x14ac:dyDescent="0.25">
      <c r="A4994" t="str">
        <f>"20190303170637151"</f>
        <v>20190303170637151</v>
      </c>
      <c r="B4994" t="str">
        <f>"1551603997140477"</f>
        <v>1551603997140477</v>
      </c>
      <c r="C4994" t="s">
        <v>40</v>
      </c>
      <c r="D4994">
        <v>5.6913359999999997</v>
      </c>
      <c r="E4994">
        <v>0.48205340000000002</v>
      </c>
      <c r="F4994" t="s">
        <v>41</v>
      </c>
      <c r="G4994">
        <v>-302.28629999999998</v>
      </c>
      <c r="H4994" s="1">
        <v>-9.3634489999999997E-7</v>
      </c>
      <c r="I4994">
        <v>-29.64629</v>
      </c>
      <c r="J4994">
        <v>-302.12979999999999</v>
      </c>
      <c r="K4994">
        <v>1.118857</v>
      </c>
      <c r="L4994">
        <v>-8.732666</v>
      </c>
      <c r="M4994">
        <v>-8.567636E-3</v>
      </c>
      <c r="N4994">
        <v>-9.3388770000000006E-3</v>
      </c>
      <c r="O4994">
        <v>-0.99991989999999997</v>
      </c>
      <c r="P4994">
        <v>-6.6554719999999998E-2</v>
      </c>
      <c r="Q4994">
        <v>0.20564170000000001</v>
      </c>
      <c r="R4994">
        <v>-0.9763619</v>
      </c>
      <c r="S4994">
        <v>-2.368164E-2</v>
      </c>
      <c r="T4994">
        <v>-0.16411199999999901</v>
      </c>
      <c r="U4994">
        <v>-3.1054689999999998</v>
      </c>
      <c r="V4994">
        <v>5.9109660000000001E-2</v>
      </c>
      <c r="W4994">
        <v>0.214504</v>
      </c>
      <c r="X4994">
        <v>0.97493280000000004</v>
      </c>
      <c r="Y4994">
        <v>-9.4939969999999999E-4</v>
      </c>
      <c r="Z4994">
        <v>4.3440949999999999E-2</v>
      </c>
      <c r="AA4994">
        <v>0.99905560000000004</v>
      </c>
      <c r="AB4994">
        <v>24</v>
      </c>
      <c r="AC4994">
        <v>-0.15649999999999401</v>
      </c>
      <c r="AD4994">
        <v>-1.1188579363448901</v>
      </c>
      <c r="AE4994">
        <v>-20.913623999999999</v>
      </c>
      <c r="AF4994">
        <v>-2.2629074318141498E-2</v>
      </c>
      <c r="AG4994">
        <v>-1.1188579363448901</v>
      </c>
      <c r="AH4994">
        <v>20.854511986984001</v>
      </c>
      <c r="AI4994">
        <v>93.071009228833901</v>
      </c>
      <c r="AJ4994">
        <v>90.062171195598495</v>
      </c>
      <c r="AK4994">
        <v>20.884516402636301</v>
      </c>
      <c r="AL4994">
        <v>77.613569549677607</v>
      </c>
      <c r="AM4994">
        <v>86.530434330537801</v>
      </c>
      <c r="AN4994">
        <v>0.99999994121857605</v>
      </c>
    </row>
    <row r="4995" spans="1:40" x14ac:dyDescent="0.25">
      <c r="A4995" t="str">
        <f>"20190303170637173"</f>
        <v>20190303170637173</v>
      </c>
      <c r="B4995" t="str">
        <f>"1551603997159997"</f>
        <v>1551603997159997</v>
      </c>
      <c r="C4995" t="s">
        <v>40</v>
      </c>
      <c r="D4995">
        <v>5.752122</v>
      </c>
      <c r="E4995">
        <v>0.48211510000000002</v>
      </c>
      <c r="F4995" t="s">
        <v>41</v>
      </c>
      <c r="G4995">
        <v>-302.31900000000002</v>
      </c>
      <c r="H4995" s="1">
        <v>-8.5722370000000002E-7</v>
      </c>
      <c r="I4995">
        <v>-29.850999999999999</v>
      </c>
      <c r="J4995">
        <v>-302.13490000000002</v>
      </c>
      <c r="K4995">
        <v>1.1189579999999999</v>
      </c>
      <c r="L4995">
        <v>-8.9710389999999993</v>
      </c>
      <c r="M4995">
        <v>-1.123449E-2</v>
      </c>
      <c r="N4995">
        <v>-9.3399039999999996E-3</v>
      </c>
      <c r="O4995">
        <v>-0.99989340000000004</v>
      </c>
      <c r="P4995">
        <v>-6.8703E-2</v>
      </c>
      <c r="Q4995">
        <v>0.2061085</v>
      </c>
      <c r="R4995">
        <v>-0.9761145</v>
      </c>
      <c r="S4995">
        <v>-2.7832030000000001E-2</v>
      </c>
      <c r="T4995">
        <v>-0.16452410000000001</v>
      </c>
      <c r="U4995">
        <v>-3.1053769999999998</v>
      </c>
      <c r="V4995">
        <v>5.863177E-2</v>
      </c>
      <c r="W4995">
        <v>0.2149799</v>
      </c>
      <c r="X4995">
        <v>0.97485690000000003</v>
      </c>
      <c r="Y4995">
        <v>-2.280776E-3</v>
      </c>
      <c r="Z4995">
        <v>4.3571390000000002E-2</v>
      </c>
      <c r="AA4995">
        <v>0.99904769999999998</v>
      </c>
      <c r="AB4995">
        <v>24</v>
      </c>
      <c r="AC4995">
        <v>-0.18410000000000001</v>
      </c>
      <c r="AD4995">
        <v>-1.1189588572236999</v>
      </c>
      <c r="AE4995">
        <v>-20.879960999999899</v>
      </c>
      <c r="AF4995">
        <v>-5.0352936959918299E-2</v>
      </c>
      <c r="AG4995">
        <v>-1.1189588572236999</v>
      </c>
      <c r="AH4995">
        <v>20.8209206413297</v>
      </c>
      <c r="AI4995">
        <v>93.07622406902</v>
      </c>
      <c r="AJ4995">
        <v>90.138562804172395</v>
      </c>
      <c r="AK4995">
        <v>20.851027329485898</v>
      </c>
      <c r="AL4995">
        <v>77.5856520241433</v>
      </c>
      <c r="AM4995">
        <v>86.558150081686804</v>
      </c>
      <c r="AN4995">
        <v>1.0000000086674701</v>
      </c>
    </row>
    <row r="4996" spans="1:40" x14ac:dyDescent="0.25">
      <c r="A4996" t="str">
        <f>"20190303170637194"</f>
        <v>20190303170637194</v>
      </c>
      <c r="B4996" t="str">
        <f>"1551603997180493"</f>
        <v>1551603997180493</v>
      </c>
      <c r="C4996" t="s">
        <v>40</v>
      </c>
      <c r="D4996">
        <v>5.875991</v>
      </c>
      <c r="E4996">
        <v>0.51366619999999996</v>
      </c>
      <c r="F4996" t="s">
        <v>41</v>
      </c>
      <c r="G4996">
        <v>-302.37549999999999</v>
      </c>
      <c r="H4996" s="1">
        <v>-6.5788700000000005E-7</v>
      </c>
      <c r="I4996">
        <v>-30.350660000000001</v>
      </c>
      <c r="J4996">
        <v>-302.14</v>
      </c>
      <c r="K4996">
        <v>1.1190549999999999</v>
      </c>
      <c r="L4996">
        <v>-9.1910710000000009</v>
      </c>
      <c r="M4996">
        <v>-1.360226E-2</v>
      </c>
      <c r="N4996">
        <v>-9.3318989999999994E-3</v>
      </c>
      <c r="O4996">
        <v>-0.99986399999999998</v>
      </c>
      <c r="P4996">
        <v>-7.0256940000000004E-2</v>
      </c>
      <c r="Q4996">
        <v>0.2054928</v>
      </c>
      <c r="R4996">
        <v>-0.97613380000000005</v>
      </c>
      <c r="S4996">
        <v>-3.4942630000000002E-2</v>
      </c>
      <c r="T4996">
        <v>-0.16252339999999901</v>
      </c>
      <c r="U4996">
        <v>-3.105286</v>
      </c>
      <c r="V4996">
        <v>5.784193E-2</v>
      </c>
      <c r="W4996">
        <v>0.21436849999999999</v>
      </c>
      <c r="X4996">
        <v>0.97503870000000004</v>
      </c>
      <c r="Y4996">
        <v>-2.36082E-3</v>
      </c>
      <c r="Z4996">
        <v>4.2936450000000001E-2</v>
      </c>
      <c r="AA4996">
        <v>0.99907500000000005</v>
      </c>
      <c r="AB4996">
        <v>24</v>
      </c>
      <c r="AC4996">
        <v>-0.23550000000000099</v>
      </c>
      <c r="AD4996">
        <v>-1.1190556578869999</v>
      </c>
      <c r="AE4996">
        <v>-21.159589</v>
      </c>
      <c r="AF4996">
        <v>-5.22065330147772E-2</v>
      </c>
      <c r="AG4996">
        <v>-1.1190556578869999</v>
      </c>
      <c r="AH4996">
        <v>21.1018207211158</v>
      </c>
      <c r="AI4996">
        <v>93.035613220341403</v>
      </c>
      <c r="AJ4996">
        <v>90.141751175948897</v>
      </c>
      <c r="AK4996">
        <v>21.1315368308519</v>
      </c>
      <c r="AL4996">
        <v>77.621518822573805</v>
      </c>
      <c r="AM4996">
        <v>86.605038326682305</v>
      </c>
      <c r="AN4996">
        <v>1.00000000457803</v>
      </c>
    </row>
    <row r="4997" spans="1:40" x14ac:dyDescent="0.25">
      <c r="A4997" t="str">
        <f>"20190303170637217"</f>
        <v>20190303170637217</v>
      </c>
      <c r="B4997" t="str">
        <f>"1551603997209773"</f>
        <v>1551603997209773</v>
      </c>
      <c r="C4997" t="s">
        <v>40</v>
      </c>
      <c r="D4997">
        <v>5.5845459999999996</v>
      </c>
      <c r="E4997">
        <v>0.52423609999999998</v>
      </c>
      <c r="F4997" t="s">
        <v>41</v>
      </c>
      <c r="G4997">
        <v>-304.22789999999998</v>
      </c>
      <c r="H4997" s="1">
        <v>-4.7515509999999997E-6</v>
      </c>
      <c r="I4997">
        <v>-31.254339999999999</v>
      </c>
      <c r="J4997">
        <v>-302.1465</v>
      </c>
      <c r="K4997">
        <v>1.1191629999999999</v>
      </c>
      <c r="L4997">
        <v>-9.443085</v>
      </c>
      <c r="M4997">
        <v>-1.6188999999999999E-2</v>
      </c>
      <c r="N4997">
        <v>-9.3081429999999996E-3</v>
      </c>
      <c r="O4997">
        <v>-0.99982579999999999</v>
      </c>
      <c r="P4997">
        <v>-7.2187660000000001E-2</v>
      </c>
      <c r="Q4997">
        <v>0.20516599999999999</v>
      </c>
      <c r="R4997">
        <v>-0.97606179999999998</v>
      </c>
      <c r="S4997">
        <v>-0.29196169999999999</v>
      </c>
      <c r="T4997">
        <v>-0.15648779999999901</v>
      </c>
      <c r="U4997">
        <v>-3.0852970000000002</v>
      </c>
      <c r="V4997">
        <v>5.7205550000000001E-2</v>
      </c>
      <c r="W4997">
        <v>0.21403169999999999</v>
      </c>
      <c r="X4997">
        <v>0.97515019999999997</v>
      </c>
      <c r="Y4997">
        <v>7.7977589999999999E-2</v>
      </c>
      <c r="Z4997">
        <v>4.1164609999999997E-2</v>
      </c>
      <c r="AA4997">
        <v>0.99610489999999996</v>
      </c>
      <c r="AB4997">
        <v>24</v>
      </c>
      <c r="AC4997">
        <v>-2.0813999999999702</v>
      </c>
      <c r="AD4997">
        <v>-1.1191677515509999</v>
      </c>
      <c r="AE4997">
        <v>-21.811254999999999</v>
      </c>
      <c r="AF4997">
        <v>1.72351273491929</v>
      </c>
      <c r="AG4997">
        <v>-1.1191677515509999</v>
      </c>
      <c r="AH4997">
        <v>21.785253535111401</v>
      </c>
      <c r="AI4997">
        <v>92.931710392242493</v>
      </c>
      <c r="AJ4997">
        <v>85.476538710505906</v>
      </c>
      <c r="AK4997">
        <v>21.881962987643998</v>
      </c>
      <c r="AL4997">
        <v>77.641274243147507</v>
      </c>
      <c r="AM4997">
        <v>86.642686989096106</v>
      </c>
      <c r="AN4997">
        <v>0.999999978057866</v>
      </c>
    </row>
    <row r="4998" spans="1:40" x14ac:dyDescent="0.25">
      <c r="A4998" t="str">
        <f>"20190303170637238"</f>
        <v>20190303170637238</v>
      </c>
      <c r="B4998" t="str">
        <f>"1551603997229801"</f>
        <v>1551603997229801</v>
      </c>
      <c r="C4998" t="s">
        <v>40</v>
      </c>
      <c r="D4998">
        <v>5.7600049999999996</v>
      </c>
      <c r="E4998">
        <v>0.52666590000000002</v>
      </c>
      <c r="F4998" t="s">
        <v>41</v>
      </c>
      <c r="G4998">
        <v>-305.2355</v>
      </c>
      <c r="H4998" s="1">
        <v>-3.9444769999999997E-6</v>
      </c>
      <c r="I4998">
        <v>-34.151200000000003</v>
      </c>
      <c r="J4998">
        <v>-302.15280000000001</v>
      </c>
      <c r="K4998">
        <v>1.119262</v>
      </c>
      <c r="L4998">
        <v>-9.6724549999999994</v>
      </c>
      <c r="M4998">
        <v>-1.8416399999999999E-2</v>
      </c>
      <c r="N4998">
        <v>-9.2772549999999999E-3</v>
      </c>
      <c r="O4998">
        <v>-0.99978730000000005</v>
      </c>
      <c r="P4998">
        <v>-7.40146E-2</v>
      </c>
      <c r="Q4998">
        <v>0.2042978</v>
      </c>
      <c r="R4998">
        <v>-0.97610660000000005</v>
      </c>
      <c r="S4998">
        <v>-0.38436890000000001</v>
      </c>
      <c r="T4998">
        <v>-0.13925799999999999</v>
      </c>
      <c r="U4998">
        <v>-3.0744319999999998</v>
      </c>
      <c r="V4998">
        <v>5.680872E-2</v>
      </c>
      <c r="W4998">
        <v>0.21314849999999999</v>
      </c>
      <c r="X4998">
        <v>0.97536679999999998</v>
      </c>
      <c r="Y4998">
        <v>0.105654</v>
      </c>
      <c r="Z4998">
        <v>3.5677340000000002E-2</v>
      </c>
      <c r="AA4998">
        <v>0.9937627</v>
      </c>
      <c r="AB4998">
        <v>24</v>
      </c>
      <c r="AC4998">
        <v>-3.08269999999998</v>
      </c>
      <c r="AD4998">
        <v>-1.1192659444769999</v>
      </c>
      <c r="AE4998">
        <v>-24.478745</v>
      </c>
      <c r="AF4998">
        <v>2.6259430448074101</v>
      </c>
      <c r="AG4998">
        <v>-1.1192659444769999</v>
      </c>
      <c r="AH4998">
        <v>24.480984869795702</v>
      </c>
      <c r="AI4998">
        <v>92.602819059744405</v>
      </c>
      <c r="AJ4998">
        <v>83.877600347423595</v>
      </c>
      <c r="AK4998">
        <v>24.646844693067798</v>
      </c>
      <c r="AL4998">
        <v>77.693072925647201</v>
      </c>
      <c r="AM4998">
        <v>86.666662390037203</v>
      </c>
      <c r="AN4998">
        <v>0.99999995413126297</v>
      </c>
    </row>
    <row r="4999" spans="1:40" x14ac:dyDescent="0.25">
      <c r="A4999" t="str">
        <f>"20190303170637260"</f>
        <v>20190303170637260</v>
      </c>
      <c r="B4999" t="str">
        <f>"1551603997250296"</f>
        <v>1551603997250296</v>
      </c>
      <c r="C4999" t="s">
        <v>40</v>
      </c>
      <c r="D4999">
        <v>5.59375</v>
      </c>
      <c r="E4999">
        <v>0.52834040000000004</v>
      </c>
      <c r="F4999" t="s">
        <v>41</v>
      </c>
      <c r="G4999">
        <v>-305.44589999999999</v>
      </c>
      <c r="H4999" s="1">
        <v>-3.909109E-6</v>
      </c>
      <c r="I4999">
        <v>-34.364780000000003</v>
      </c>
      <c r="J4999">
        <v>-302.15969999999999</v>
      </c>
      <c r="K4999">
        <v>1.119375</v>
      </c>
      <c r="L4999">
        <v>-9.9114690000000003</v>
      </c>
      <c r="M4999">
        <v>-2.0600719999999999E-2</v>
      </c>
      <c r="N4999">
        <v>-9.2389169999999993E-3</v>
      </c>
      <c r="O4999">
        <v>-0.9997452</v>
      </c>
      <c r="P4999">
        <v>-7.5860659999999996E-2</v>
      </c>
      <c r="Q4999">
        <v>0.2037843</v>
      </c>
      <c r="R4999">
        <v>-0.97607250000000001</v>
      </c>
      <c r="S4999">
        <v>-0.40963749999999999</v>
      </c>
      <c r="T4999">
        <v>-0.13922799999999999</v>
      </c>
      <c r="U4999">
        <v>-3.0715330000000001</v>
      </c>
      <c r="V4999">
        <v>5.6468860000000003E-2</v>
      </c>
      <c r="W4999">
        <v>0.21261269999999999</v>
      </c>
      <c r="X4999">
        <v>0.97550349999999997</v>
      </c>
      <c r="Y4999">
        <v>0.11163439999999999</v>
      </c>
      <c r="Z4999">
        <v>3.5708810000000001E-2</v>
      </c>
      <c r="AA4999">
        <v>0.99310759999999998</v>
      </c>
      <c r="AB4999">
        <v>24</v>
      </c>
      <c r="AC4999">
        <v>-3.2862</v>
      </c>
      <c r="AD4999">
        <v>-1.1193789091090001</v>
      </c>
      <c r="AE4999">
        <v>-24.453310999999999</v>
      </c>
      <c r="AF4999">
        <v>2.77601146721415</v>
      </c>
      <c r="AG4999">
        <v>-1.1193789091090001</v>
      </c>
      <c r="AH4999">
        <v>24.4654651973906</v>
      </c>
      <c r="AI4999">
        <v>92.602971990713698</v>
      </c>
      <c r="AJ4999">
        <v>83.526533126103004</v>
      </c>
      <c r="AK4999">
        <v>24.647885023526801</v>
      </c>
      <c r="AL4999">
        <v>77.724492581910994</v>
      </c>
      <c r="AM4999">
        <v>86.687022911834305</v>
      </c>
      <c r="AN4999">
        <v>0.99999998543161905</v>
      </c>
    </row>
    <row r="5000" spans="1:40" x14ac:dyDescent="0.25">
      <c r="A5000" t="str">
        <f>"20190303170637283"</f>
        <v>20190303170637283</v>
      </c>
      <c r="B5000" t="str">
        <f>"1551603997269817"</f>
        <v>1551603997269817</v>
      </c>
      <c r="C5000" t="s">
        <v>40</v>
      </c>
      <c r="D5000">
        <v>5.5736990000000004</v>
      </c>
      <c r="E5000">
        <v>0.52959869999999898</v>
      </c>
      <c r="F5000" t="s">
        <v>41</v>
      </c>
      <c r="G5000">
        <v>-305.56110000000001</v>
      </c>
      <c r="H5000" s="1">
        <v>-3.9405099999999996E-6</v>
      </c>
      <c r="I5000">
        <v>-34.332569999999997</v>
      </c>
      <c r="J5000">
        <v>-302.16730000000001</v>
      </c>
      <c r="K5000">
        <v>1.119502</v>
      </c>
      <c r="L5000">
        <v>-10.159940000000001</v>
      </c>
      <c r="M5000">
        <v>-2.2714760000000001E-2</v>
      </c>
      <c r="N5000">
        <v>-9.1969789999999992E-3</v>
      </c>
      <c r="O5000">
        <v>-0.99969960000000002</v>
      </c>
      <c r="P5000">
        <v>-7.6352219999999998E-2</v>
      </c>
      <c r="Q5000">
        <v>0.20438110000000001</v>
      </c>
      <c r="R5000">
        <v>-0.97590920000000003</v>
      </c>
      <c r="S5000">
        <v>-0.42755130000000002</v>
      </c>
      <c r="T5000">
        <v>-0.14070460000000001</v>
      </c>
      <c r="U5000">
        <v>-3.0697019999999999</v>
      </c>
      <c r="V5000">
        <v>5.4845240000000003E-2</v>
      </c>
      <c r="W5000">
        <v>0.2131876</v>
      </c>
      <c r="X5000">
        <v>0.97547070000000002</v>
      </c>
      <c r="Y5000">
        <v>0.11529589999999899</v>
      </c>
      <c r="Z5000">
        <v>3.6224609999999997E-2</v>
      </c>
      <c r="AA5000">
        <v>0.99267050000000001</v>
      </c>
      <c r="AB5000">
        <v>24</v>
      </c>
      <c r="AC5000">
        <v>-3.3937999999999899</v>
      </c>
      <c r="AD5000">
        <v>-1.1195059405100001</v>
      </c>
      <c r="AE5000">
        <v>-24.172630000000002</v>
      </c>
      <c r="AF5000">
        <v>2.8378562968744299</v>
      </c>
      <c r="AG5000">
        <v>-1.1195059405100001</v>
      </c>
      <c r="AH5000">
        <v>24.192597847447999</v>
      </c>
      <c r="AI5000">
        <v>92.631439962276602</v>
      </c>
      <c r="AJ5000">
        <v>83.309626674313805</v>
      </c>
      <c r="AK5000">
        <v>24.3841857055119</v>
      </c>
      <c r="AL5000">
        <v>77.690780779600502</v>
      </c>
      <c r="AM5000">
        <v>86.781968118910996</v>
      </c>
      <c r="AN5000">
        <v>1.00000001985145</v>
      </c>
    </row>
    <row r="5001" spans="1:40" x14ac:dyDescent="0.25">
      <c r="A5001" t="str">
        <f>"20190303170637317"</f>
        <v>20190303170637317</v>
      </c>
      <c r="B5001" t="str">
        <f>"1551603997309832"</f>
        <v>1551603997309832</v>
      </c>
      <c r="C5001" t="s">
        <v>40</v>
      </c>
      <c r="D5001">
        <v>5.7604470000000001</v>
      </c>
      <c r="E5001">
        <v>0.53098730000000005</v>
      </c>
      <c r="F5001" t="s">
        <v>41</v>
      </c>
      <c r="G5001">
        <v>-305.72160000000002</v>
      </c>
      <c r="H5001" s="1">
        <v>-3.7288920000000002E-6</v>
      </c>
      <c r="I5001">
        <v>-35.038059999999902</v>
      </c>
      <c r="J5001">
        <v>-302.17919999999998</v>
      </c>
      <c r="K5001">
        <v>1.1196660000000001</v>
      </c>
      <c r="L5001">
        <v>-10.528079999999999</v>
      </c>
      <c r="M5001">
        <v>-2.5527399999999999E-2</v>
      </c>
      <c r="N5001">
        <v>-9.128756E-3</v>
      </c>
      <c r="O5001">
        <v>-0.99963250000000003</v>
      </c>
      <c r="P5001">
        <v>-7.5727630000000004E-2</v>
      </c>
      <c r="Q5001">
        <v>0.2057302</v>
      </c>
      <c r="R5001">
        <v>-0.9756745</v>
      </c>
      <c r="S5001">
        <v>-0.43841550000000001</v>
      </c>
      <c r="T5001">
        <v>-0.13808870000000001</v>
      </c>
      <c r="U5001">
        <v>-3.0686650000000002</v>
      </c>
      <c r="V5001">
        <v>5.1405529999999998E-2</v>
      </c>
      <c r="W5001">
        <v>0.21449789999999999</v>
      </c>
      <c r="X5001">
        <v>0.97537079999999998</v>
      </c>
      <c r="Y5001">
        <v>0.1159973</v>
      </c>
      <c r="Z5001">
        <v>3.544978E-2</v>
      </c>
      <c r="AA5001">
        <v>0.99261670000000002</v>
      </c>
      <c r="AB5001">
        <v>24</v>
      </c>
      <c r="AC5001">
        <v>-3.5424000000000402</v>
      </c>
      <c r="AD5001">
        <v>-1.1196697288919999</v>
      </c>
      <c r="AE5001">
        <v>-24.509979999999899</v>
      </c>
      <c r="AF5001">
        <v>2.9095957290778398</v>
      </c>
      <c r="AG5001">
        <v>-1.1196697288919999</v>
      </c>
      <c r="AH5001">
        <v>24.5422557359514</v>
      </c>
      <c r="AI5001">
        <v>92.594002728148098</v>
      </c>
      <c r="AJ5001">
        <v>83.238883845564104</v>
      </c>
      <c r="AK5001">
        <v>24.739477040093298</v>
      </c>
      <c r="AL5001">
        <v>77.613928595142298</v>
      </c>
      <c r="AM5001">
        <v>86.983098725951706</v>
      </c>
      <c r="AN5001">
        <v>1.00000003755581</v>
      </c>
    </row>
    <row r="5002" spans="1:40" x14ac:dyDescent="0.25">
      <c r="A5002" t="str">
        <f>"20190303170637367"</f>
        <v>20190303170637367</v>
      </c>
      <c r="B5002" t="str">
        <f>"1551603997360114"</f>
        <v>1551603997360114</v>
      </c>
      <c r="C5002" t="s">
        <v>40</v>
      </c>
      <c r="D5002">
        <v>5.5840459999999998</v>
      </c>
      <c r="E5002">
        <v>0.53151499999999996</v>
      </c>
      <c r="F5002" t="s">
        <v>41</v>
      </c>
      <c r="G5002">
        <v>-305.93869999999998</v>
      </c>
      <c r="H5002" s="1">
        <v>-3.3312500000000001E-6</v>
      </c>
      <c r="I5002">
        <v>-36.319719999999997</v>
      </c>
      <c r="J5002">
        <v>-302.1979</v>
      </c>
      <c r="K5002">
        <v>1.119848</v>
      </c>
      <c r="L5002">
        <v>-11.07132</v>
      </c>
      <c r="M5002">
        <v>-2.9159549999999999E-2</v>
      </c>
      <c r="N5002">
        <v>-9.0373309999999991E-3</v>
      </c>
      <c r="O5002">
        <v>-0.99953420000000004</v>
      </c>
      <c r="P5002">
        <v>-7.5544420000000001E-2</v>
      </c>
      <c r="Q5002">
        <v>0.20532300000000001</v>
      </c>
      <c r="R5002">
        <v>-0.97577480000000005</v>
      </c>
      <c r="S5002">
        <v>-0.4472351</v>
      </c>
      <c r="T5002">
        <v>-0.13319600000000001</v>
      </c>
      <c r="U5002">
        <v>-3.0681759999999998</v>
      </c>
      <c r="V5002">
        <v>4.7581140000000001E-2</v>
      </c>
      <c r="W5002">
        <v>0.21403359999999999</v>
      </c>
      <c r="X5002">
        <v>0.97566679999999995</v>
      </c>
      <c r="Y5002">
        <v>0.1152142</v>
      </c>
      <c r="Z5002">
        <v>3.3961020000000001E-2</v>
      </c>
      <c r="AA5002">
        <v>0.99275990000000003</v>
      </c>
      <c r="AB5002">
        <v>24</v>
      </c>
      <c r="AC5002">
        <v>-3.7407999999999699</v>
      </c>
      <c r="AD5002">
        <v>-1.11985133125</v>
      </c>
      <c r="AE5002">
        <v>-25.2484</v>
      </c>
      <c r="AF5002">
        <v>2.9971778687058901</v>
      </c>
      <c r="AG5002">
        <v>-1.11985133125</v>
      </c>
      <c r="AH5002">
        <v>25.2980493630753</v>
      </c>
      <c r="AI5002">
        <v>92.517037702720202</v>
      </c>
      <c r="AJ5002">
        <v>83.243396824517006</v>
      </c>
      <c r="AK5002">
        <v>25.4995773250726</v>
      </c>
      <c r="AL5002">
        <v>77.641163396930096</v>
      </c>
      <c r="AM5002">
        <v>87.208021892358104</v>
      </c>
      <c r="AN5002">
        <v>1.00000002571744</v>
      </c>
    </row>
    <row r="5003" spans="1:40" x14ac:dyDescent="0.25">
      <c r="A5003" t="str">
        <f>"20190303170637390"</f>
        <v>20190303170637390</v>
      </c>
      <c r="B5003" t="str">
        <f>"1551603997379635"</f>
        <v>1551603997379635</v>
      </c>
      <c r="C5003" t="s">
        <v>40</v>
      </c>
      <c r="D5003">
        <v>5.6015290000000002</v>
      </c>
      <c r="E5003">
        <v>0.53176020000000002</v>
      </c>
      <c r="F5003" t="s">
        <v>41</v>
      </c>
      <c r="G5003">
        <v>-305.91329999999999</v>
      </c>
      <c r="H5003" s="1">
        <v>-3.3148649999999999E-6</v>
      </c>
      <c r="I5003">
        <v>-36.351439999999997</v>
      </c>
      <c r="J5003">
        <v>-302.20699999999999</v>
      </c>
      <c r="K5003">
        <v>1.119936</v>
      </c>
      <c r="L5003">
        <v>-11.32361</v>
      </c>
      <c r="M5003">
        <v>-3.0621740000000001E-2</v>
      </c>
      <c r="N5003">
        <v>-9.0001439999999999E-3</v>
      </c>
      <c r="O5003">
        <v>-0.99949060000000001</v>
      </c>
      <c r="P5003">
        <v>-7.4279910000000005E-2</v>
      </c>
      <c r="Q5003">
        <v>0.2059947</v>
      </c>
      <c r="R5003">
        <v>-0.97573019999999999</v>
      </c>
      <c r="S5003">
        <v>-0.45092769999999999</v>
      </c>
      <c r="T5003">
        <v>-0.13591310000000001</v>
      </c>
      <c r="U5003">
        <v>-3.0681759999999998</v>
      </c>
      <c r="V5003">
        <v>4.4850370000000001E-2</v>
      </c>
      <c r="W5003">
        <v>0.21468380000000001</v>
      </c>
      <c r="X5003">
        <v>0.97565329999999995</v>
      </c>
      <c r="Y5003">
        <v>0.114926</v>
      </c>
      <c r="Z5003">
        <v>3.4868530000000002E-2</v>
      </c>
      <c r="AA5003">
        <v>0.99276189999999997</v>
      </c>
      <c r="AB5003">
        <v>24</v>
      </c>
      <c r="AC5003">
        <v>-3.7062999999999899</v>
      </c>
      <c r="AD5003">
        <v>-1.1199393148649901</v>
      </c>
      <c r="AE5003">
        <v>-25.027829999999899</v>
      </c>
      <c r="AF5003">
        <v>2.9323893807656201</v>
      </c>
      <c r="AG5003">
        <v>-1.1199393148649901</v>
      </c>
      <c r="AH5003">
        <v>25.0804476067356</v>
      </c>
      <c r="AI5003">
        <v>92.539504539737806</v>
      </c>
      <c r="AJ5003">
        <v>83.331292658359502</v>
      </c>
      <c r="AK5003">
        <v>25.2761156767336</v>
      </c>
      <c r="AL5003">
        <v>77.603023110936604</v>
      </c>
      <c r="AM5003">
        <v>87.367990168438695</v>
      </c>
      <c r="AN5003">
        <v>1.00000002573623</v>
      </c>
    </row>
    <row r="5004" spans="1:40" x14ac:dyDescent="0.25">
      <c r="A5004" t="str">
        <f>"20190303170637408"</f>
        <v>20190303170637408</v>
      </c>
      <c r="B5004" t="str">
        <f>"1551603997400131"</f>
        <v>1551603997400131</v>
      </c>
      <c r="C5004" t="s">
        <v>40</v>
      </c>
      <c r="D5004">
        <v>5.6110910000000001</v>
      </c>
      <c r="E5004">
        <v>0.53204949999999995</v>
      </c>
      <c r="F5004" t="s">
        <v>41</v>
      </c>
      <c r="G5004">
        <v>-305.9237</v>
      </c>
      <c r="H5004" s="1">
        <v>-3.1169129999999999E-6</v>
      </c>
      <c r="I5004">
        <v>-36.819290000000002</v>
      </c>
      <c r="J5004">
        <v>-302.21469999999999</v>
      </c>
      <c r="K5004">
        <v>1.120009</v>
      </c>
      <c r="L5004">
        <v>-11.52969</v>
      </c>
      <c r="M5004">
        <v>-3.1741600000000002E-2</v>
      </c>
      <c r="N5004">
        <v>-8.9721269999999999E-3</v>
      </c>
      <c r="O5004">
        <v>-0.99945600000000001</v>
      </c>
      <c r="P5004">
        <v>-7.2868089999999996E-2</v>
      </c>
      <c r="Q5004">
        <v>0.20708380000000001</v>
      </c>
      <c r="R5004">
        <v>-0.97560599999999997</v>
      </c>
      <c r="S5004">
        <v>-0.4473877</v>
      </c>
      <c r="T5004">
        <v>-0.13481209999999999</v>
      </c>
      <c r="U5004">
        <v>-3.0690309999999998</v>
      </c>
      <c r="V5004">
        <v>4.2319710000000003E-2</v>
      </c>
      <c r="W5004">
        <v>0.21575569999999999</v>
      </c>
      <c r="X5004">
        <v>0.9755298</v>
      </c>
      <c r="Y5004">
        <v>0.1126543</v>
      </c>
      <c r="Z5004">
        <v>3.4537470000000001E-2</v>
      </c>
      <c r="AA5004">
        <v>0.99303379999999997</v>
      </c>
      <c r="AB5004">
        <v>24</v>
      </c>
      <c r="AC5004">
        <v>-3.7090000000000001</v>
      </c>
      <c r="AD5004">
        <v>-1.120012116913</v>
      </c>
      <c r="AE5004">
        <v>-25.2896</v>
      </c>
      <c r="AF5004">
        <v>2.89880044141881</v>
      </c>
      <c r="AG5004">
        <v>-1.120012116913</v>
      </c>
      <c r="AH5004">
        <v>25.345923897548602</v>
      </c>
      <c r="AI5004">
        <v>92.513833323542897</v>
      </c>
      <c r="AJ5004">
        <v>83.475460068477403</v>
      </c>
      <c r="AK5004">
        <v>25.5357265289541</v>
      </c>
      <c r="AL5004">
        <v>77.540132852420797</v>
      </c>
      <c r="AM5004">
        <v>87.515994466354599</v>
      </c>
      <c r="AN5004">
        <v>0.99999993531250497</v>
      </c>
    </row>
    <row r="5005" spans="1:40" x14ac:dyDescent="0.25">
      <c r="A5005" t="str">
        <f>"20190303170637428"</f>
        <v>20190303170637428</v>
      </c>
      <c r="B5005" t="str">
        <f>"1551603997419651"</f>
        <v>1551603997419651</v>
      </c>
      <c r="C5005" t="s">
        <v>40</v>
      </c>
      <c r="D5005">
        <v>5.5842970000000003</v>
      </c>
      <c r="E5005">
        <v>0.53228799999999998</v>
      </c>
      <c r="F5005" t="s">
        <v>41</v>
      </c>
      <c r="G5005">
        <v>-305.99979999999999</v>
      </c>
      <c r="H5005" s="1">
        <v>-2.786649E-6</v>
      </c>
      <c r="I5005">
        <v>-37.636339999999997</v>
      </c>
      <c r="J5005">
        <v>-302.22280000000001</v>
      </c>
      <c r="K5005">
        <v>1.1200639999999999</v>
      </c>
      <c r="L5005">
        <v>-11.74722</v>
      </c>
      <c r="M5005">
        <v>-3.285333E-2</v>
      </c>
      <c r="N5005">
        <v>-8.94531199999999E-3</v>
      </c>
      <c r="O5005">
        <v>-0.99942039999999999</v>
      </c>
      <c r="P5005">
        <v>-7.1489999999999998E-2</v>
      </c>
      <c r="Q5005">
        <v>0.207061</v>
      </c>
      <c r="R5005">
        <v>-0.97571280000000005</v>
      </c>
      <c r="S5005">
        <v>-0.44506839999999998</v>
      </c>
      <c r="T5005">
        <v>-0.13169589999999901</v>
      </c>
      <c r="U5005">
        <v>-3.0697329999999998</v>
      </c>
      <c r="V5005">
        <v>3.9821500000000003E-2</v>
      </c>
      <c r="W5005">
        <v>0.21571889999999999</v>
      </c>
      <c r="X5005">
        <v>0.97564320000000004</v>
      </c>
      <c r="Y5005">
        <v>0.1107875</v>
      </c>
      <c r="Z5005">
        <v>3.3556080000000002E-2</v>
      </c>
      <c r="AA5005">
        <v>0.99327739999999998</v>
      </c>
      <c r="AB5005">
        <v>25</v>
      </c>
      <c r="AC5005">
        <v>-3.7769999999999802</v>
      </c>
      <c r="AD5005">
        <v>-1.1200667866489999</v>
      </c>
      <c r="AE5005">
        <v>-25.889119999999998</v>
      </c>
      <c r="AF5005">
        <v>2.9190334277585199</v>
      </c>
      <c r="AG5005">
        <v>-1.1200667866489999</v>
      </c>
      <c r="AH5005">
        <v>25.9516721825822</v>
      </c>
      <c r="AI5005">
        <v>92.455868364898294</v>
      </c>
      <c r="AJ5005">
        <v>83.582368105665907</v>
      </c>
      <c r="AK5005">
        <v>26.139330420482001</v>
      </c>
      <c r="AL5005">
        <v>77.542293317813105</v>
      </c>
      <c r="AM5005">
        <v>87.662733505718805</v>
      </c>
      <c r="AN5005">
        <v>1.00000002469284</v>
      </c>
    </row>
    <row r="5006" spans="1:40" x14ac:dyDescent="0.25">
      <c r="A5006" t="str">
        <f>"20190303170637450"</f>
        <v>20190303170637450</v>
      </c>
      <c r="B5006" t="str">
        <f>"1551603997440147"</f>
        <v>1551603997440147</v>
      </c>
      <c r="C5006" t="s">
        <v>40</v>
      </c>
      <c r="D5006">
        <v>5.599882</v>
      </c>
      <c r="E5006">
        <v>0.53240030000000005</v>
      </c>
      <c r="F5006" t="s">
        <v>41</v>
      </c>
      <c r="G5006">
        <v>-305.98489999999998</v>
      </c>
      <c r="H5006" s="1">
        <v>-2.6928049999999998E-6</v>
      </c>
      <c r="I5006">
        <v>-37.845889999999997</v>
      </c>
      <c r="J5006">
        <v>-302.23219999999998</v>
      </c>
      <c r="K5006">
        <v>1.1201159999999999</v>
      </c>
      <c r="L5006">
        <v>-11.98972</v>
      </c>
      <c r="M5006">
        <v>-3.4006550000000003E-2</v>
      </c>
      <c r="N5006">
        <v>-8.9185040000000007E-3</v>
      </c>
      <c r="O5006">
        <v>-0.99938179999999999</v>
      </c>
      <c r="P5006">
        <v>-6.9040580000000004E-2</v>
      </c>
      <c r="Q5006">
        <v>0.20546590000000001</v>
      </c>
      <c r="R5006">
        <v>-0.97622600000000004</v>
      </c>
      <c r="S5006">
        <v>-0.44256590000000001</v>
      </c>
      <c r="T5006">
        <v>-0.13176360000000001</v>
      </c>
      <c r="U5006">
        <v>-3.0702210000000001</v>
      </c>
      <c r="V5006">
        <v>3.6194549999999999E-2</v>
      </c>
      <c r="W5006">
        <v>0.2141141</v>
      </c>
      <c r="X5006">
        <v>0.97613780000000006</v>
      </c>
      <c r="Y5006">
        <v>0.1088254</v>
      </c>
      <c r="Z5006">
        <v>3.3603170000000002E-2</v>
      </c>
      <c r="AA5006">
        <v>0.99349279999999995</v>
      </c>
      <c r="AB5006">
        <v>25</v>
      </c>
      <c r="AC5006">
        <v>-3.7526999999999999</v>
      </c>
      <c r="AD5006">
        <v>-1.120118692805</v>
      </c>
      <c r="AE5006">
        <v>-25.856169999999999</v>
      </c>
      <c r="AF5006">
        <v>2.8659475580368099</v>
      </c>
      <c r="AG5006">
        <v>-1.120118692805</v>
      </c>
      <c r="AH5006">
        <v>25.921192073422901</v>
      </c>
      <c r="AI5006">
        <v>92.459384707694795</v>
      </c>
      <c r="AJ5006">
        <v>83.690781804055504</v>
      </c>
      <c r="AK5006">
        <v>26.103189839532401</v>
      </c>
      <c r="AL5006">
        <v>77.636440659807803</v>
      </c>
      <c r="AM5006">
        <v>87.876482874924307</v>
      </c>
      <c r="AN5006">
        <v>0.99999994892867505</v>
      </c>
    </row>
    <row r="5007" spans="1:40" x14ac:dyDescent="0.25">
      <c r="A5007" t="str">
        <f>"20190303170637472"</f>
        <v>20190303170637472</v>
      </c>
      <c r="B5007" t="str">
        <f>"1551603997459666"</f>
        <v>1551603997459666</v>
      </c>
      <c r="C5007" t="s">
        <v>40</v>
      </c>
      <c r="D5007">
        <v>5.716056</v>
      </c>
      <c r="E5007">
        <v>0.53008980000000006</v>
      </c>
      <c r="F5007" t="s">
        <v>41</v>
      </c>
      <c r="G5007">
        <v>-305.86989999999997</v>
      </c>
      <c r="H5007" s="1">
        <v>-2.7905039999999999E-6</v>
      </c>
      <c r="I5007">
        <v>-37.546849999999999</v>
      </c>
      <c r="J5007">
        <v>-302.24189999999999</v>
      </c>
      <c r="K5007">
        <v>1.1201589999999999</v>
      </c>
      <c r="L5007">
        <v>-12.236879999999999</v>
      </c>
      <c r="M5007">
        <v>-3.5097509999999998E-2</v>
      </c>
      <c r="N5007">
        <v>-8.8990440000000001E-3</v>
      </c>
      <c r="O5007">
        <v>-0.99934429999999996</v>
      </c>
      <c r="P5007">
        <v>-6.6015840000000006E-2</v>
      </c>
      <c r="Q5007">
        <v>0.2034695</v>
      </c>
      <c r="R5007">
        <v>-0.97685339999999998</v>
      </c>
      <c r="S5007">
        <v>-0.43704219999999999</v>
      </c>
      <c r="T5007">
        <v>-0.13457249999999901</v>
      </c>
      <c r="U5007">
        <v>-3.070465</v>
      </c>
      <c r="V5007">
        <v>3.2051379999999997E-2</v>
      </c>
      <c r="W5007">
        <v>0.212115</v>
      </c>
      <c r="X5007">
        <v>0.976719</v>
      </c>
      <c r="Y5007">
        <v>0.1059731</v>
      </c>
      <c r="Z5007">
        <v>3.4533809999999998E-2</v>
      </c>
      <c r="AA5007">
        <v>0.99376920000000002</v>
      </c>
      <c r="AB5007">
        <v>25</v>
      </c>
      <c r="AC5007">
        <v>-3.6279999999999801</v>
      </c>
      <c r="AD5007">
        <v>-1.120161790504</v>
      </c>
      <c r="AE5007">
        <v>-25.30997</v>
      </c>
      <c r="AF5007">
        <v>2.7321686305067399</v>
      </c>
      <c r="AG5007">
        <v>-1.120161790504</v>
      </c>
      <c r="AH5007">
        <v>25.373015222713601</v>
      </c>
      <c r="AI5007">
        <v>92.513328672234493</v>
      </c>
      <c r="AJ5007">
        <v>83.854066186691</v>
      </c>
      <c r="AK5007">
        <v>25.544263726999201</v>
      </c>
      <c r="AL5007">
        <v>77.753674919070207</v>
      </c>
      <c r="AM5007">
        <v>88.120493151306604</v>
      </c>
      <c r="AN5007">
        <v>1.0000000345729501</v>
      </c>
    </row>
    <row r="5008" spans="1:40" x14ac:dyDescent="0.25">
      <c r="A5008" t="str">
        <f>"20190303170637496"</f>
        <v>20190303170637496</v>
      </c>
      <c r="B5008" t="str">
        <f>"1551603997489923"</f>
        <v>1551603997489923</v>
      </c>
      <c r="C5008" t="s">
        <v>40</v>
      </c>
      <c r="D5008">
        <v>5.6756449999999896</v>
      </c>
      <c r="E5008">
        <v>0.43603520000000001</v>
      </c>
      <c r="F5008" t="s">
        <v>41</v>
      </c>
      <c r="G5008">
        <v>-305.48149999999998</v>
      </c>
      <c r="H5008" s="1">
        <v>-3.1111569999999998E-6</v>
      </c>
      <c r="I5008">
        <v>-36.558450000000001</v>
      </c>
      <c r="J5008">
        <v>-302.25240000000002</v>
      </c>
      <c r="K5008">
        <v>1.1202129999999999</v>
      </c>
      <c r="L5008">
        <v>-12.500310000000001</v>
      </c>
      <c r="M5008">
        <v>-3.6177569999999999E-2</v>
      </c>
      <c r="N5008">
        <v>-8.8917319999999994E-3</v>
      </c>
      <c r="O5008">
        <v>-0.99930589999999997</v>
      </c>
      <c r="P5008">
        <v>-6.2456949999999997E-2</v>
      </c>
      <c r="Q5008">
        <v>0.2036608</v>
      </c>
      <c r="R5008">
        <v>-0.97704740000000001</v>
      </c>
      <c r="S5008">
        <v>-0.40930179999999999</v>
      </c>
      <c r="T5008">
        <v>-0.14152670000000001</v>
      </c>
      <c r="U5008">
        <v>-3.0729060000000001</v>
      </c>
      <c r="V5008">
        <v>2.740561E-2</v>
      </c>
      <c r="W5008">
        <v>0.21231169999999999</v>
      </c>
      <c r="X5008">
        <v>0.97681759999999995</v>
      </c>
      <c r="Y5008">
        <v>9.5969620000000005E-2</v>
      </c>
      <c r="Z5008">
        <v>3.6792190000000002E-2</v>
      </c>
      <c r="AA5008">
        <v>0.99470409999999998</v>
      </c>
      <c r="AB5008">
        <v>25</v>
      </c>
      <c r="AC5008">
        <v>-3.2290999999999599</v>
      </c>
      <c r="AD5008">
        <v>-1.1202161111569999</v>
      </c>
      <c r="AE5008">
        <v>-24.058139999999899</v>
      </c>
      <c r="AF5008">
        <v>2.3515783735164302</v>
      </c>
      <c r="AG5008">
        <v>-1.1202161111569999</v>
      </c>
      <c r="AH5008">
        <v>24.1078720120836</v>
      </c>
      <c r="AI5008">
        <v>92.6478896312708</v>
      </c>
      <c r="AJ5008">
        <v>84.428765408576794</v>
      </c>
      <c r="AK5008">
        <v>24.248181332493498</v>
      </c>
      <c r="AL5008">
        <v>77.742141414892899</v>
      </c>
      <c r="AM5008">
        <v>88.392930280333005</v>
      </c>
      <c r="AN5008">
        <v>0.99999997454306</v>
      </c>
    </row>
    <row r="5009" spans="1:40" x14ac:dyDescent="0.25">
      <c r="A5009" t="str">
        <f>"20190303170637518"</f>
        <v>20190303170637518</v>
      </c>
      <c r="B5009" t="str">
        <f>"1551603997510419"</f>
        <v>1551603997510419</v>
      </c>
      <c r="C5009" t="s">
        <v>40</v>
      </c>
      <c r="D5009">
        <v>5.686464</v>
      </c>
      <c r="E5009">
        <v>0.42018650000000002</v>
      </c>
      <c r="F5009" t="s">
        <v>105</v>
      </c>
      <c r="G5009">
        <v>-293.40789999999998</v>
      </c>
      <c r="H5009">
        <v>0.13031580000000001</v>
      </c>
      <c r="I5009">
        <v>-91.564989999999995</v>
      </c>
      <c r="J5009">
        <v>-302.26240000000001</v>
      </c>
      <c r="K5009">
        <v>1.1202570000000001</v>
      </c>
      <c r="L5009">
        <v>-12.745509999999999</v>
      </c>
      <c r="M5009">
        <v>-3.711441E-2</v>
      </c>
      <c r="N5009">
        <v>-8.8879739999999999E-3</v>
      </c>
      <c r="O5009">
        <v>-0.99927149999999998</v>
      </c>
      <c r="P5009">
        <v>-5.862386E-2</v>
      </c>
      <c r="Q5009">
        <v>0.20561270000000001</v>
      </c>
      <c r="R5009">
        <v>-0.97687590000000002</v>
      </c>
      <c r="S5009">
        <v>0.34686280000000003</v>
      </c>
      <c r="T5009">
        <v>-3.8820979999999998E-2</v>
      </c>
      <c r="U5009">
        <v>-3.1007389999999999</v>
      </c>
      <c r="V5009">
        <v>2.264675E-2</v>
      </c>
      <c r="W5009">
        <v>0.21426690000000001</v>
      </c>
      <c r="X5009">
        <v>0.97651259999999995</v>
      </c>
      <c r="Y5009">
        <v>-0.14796570000000001</v>
      </c>
      <c r="Z5009">
        <v>3.4922339999999999E-3</v>
      </c>
      <c r="AA5009">
        <v>0.98898629999999998</v>
      </c>
      <c r="AB5009">
        <v>25</v>
      </c>
      <c r="AC5009">
        <v>8.85450000000003</v>
      </c>
      <c r="AD5009">
        <v>-0.98994119999999997</v>
      </c>
      <c r="AE5009">
        <v>-78.819479999999999</v>
      </c>
      <c r="AF5009">
        <v>-11.7720191926461</v>
      </c>
      <c r="AG5009">
        <v>-0.98994119999999997</v>
      </c>
      <c r="AH5009">
        <v>78.424311616825605</v>
      </c>
      <c r="AI5009">
        <v>90.715188129527206</v>
      </c>
      <c r="AJ5009">
        <v>98.5367477195568</v>
      </c>
      <c r="AK5009">
        <v>79.309098292846897</v>
      </c>
      <c r="AL5009">
        <v>77.6274787332827</v>
      </c>
      <c r="AM5009">
        <v>88.671465538684302</v>
      </c>
      <c r="AN5009">
        <v>1.00000001883996</v>
      </c>
    </row>
    <row r="5010" spans="1:40" x14ac:dyDescent="0.25">
      <c r="A5010" t="str">
        <f>"20190303170637541"</f>
        <v>20190303170637541</v>
      </c>
      <c r="B5010" t="str">
        <f>"1551603997529939"</f>
        <v>1551603997529939</v>
      </c>
      <c r="C5010" t="s">
        <v>40</v>
      </c>
      <c r="D5010">
        <v>5.6803839999999903</v>
      </c>
      <c r="E5010">
        <v>0.4082248</v>
      </c>
      <c r="F5010" t="s">
        <v>105</v>
      </c>
      <c r="G5010">
        <v>-289.95920000000001</v>
      </c>
      <c r="H5010">
        <v>1.2910379999999999</v>
      </c>
      <c r="I5010">
        <v>-91.564989999999995</v>
      </c>
      <c r="J5010">
        <v>-302.27280000000002</v>
      </c>
      <c r="K5010">
        <v>1.1203000000000001</v>
      </c>
      <c r="L5010">
        <v>-12.99884</v>
      </c>
      <c r="M5010">
        <v>-3.8019789999999998E-2</v>
      </c>
      <c r="N5010">
        <v>-8.8884789999999995E-3</v>
      </c>
      <c r="O5010">
        <v>-0.9992375</v>
      </c>
      <c r="P5010">
        <v>-5.444127E-2</v>
      </c>
      <c r="Q5010">
        <v>0.20691480000000001</v>
      </c>
      <c r="R5010">
        <v>-0.97684320000000002</v>
      </c>
      <c r="S5010">
        <v>0.48367310000000002</v>
      </c>
      <c r="T5010">
        <v>6.7144630000000004E-3</v>
      </c>
      <c r="U5010">
        <v>-3.098633</v>
      </c>
      <c r="V5010">
        <v>1.756479E-2</v>
      </c>
      <c r="W5010">
        <v>0.21557689999999999</v>
      </c>
      <c r="X5010">
        <v>0.9763288</v>
      </c>
      <c r="Y5010">
        <v>-0.19166469999999999</v>
      </c>
      <c r="Z5010">
        <v>-1.1046200000000001E-2</v>
      </c>
      <c r="AA5010">
        <v>0.98139829999999995</v>
      </c>
      <c r="AB5010">
        <v>25</v>
      </c>
      <c r="AC5010">
        <v>12.313599999999999</v>
      </c>
      <c r="AD5010">
        <v>0.170737999999999</v>
      </c>
      <c r="AE5010">
        <v>-78.566149999999993</v>
      </c>
      <c r="AF5010">
        <v>-15.291812302026701</v>
      </c>
      <c r="AG5010">
        <v>0.170737999999999</v>
      </c>
      <c r="AH5010">
        <v>78.040802435494598</v>
      </c>
      <c r="AI5010">
        <v>89.876987530145499</v>
      </c>
      <c r="AJ5010">
        <v>101.086436659312</v>
      </c>
      <c r="AK5010">
        <v>79.525062211361799</v>
      </c>
      <c r="AL5010">
        <v>77.550624083728593</v>
      </c>
      <c r="AM5010">
        <v>88.969322856133999</v>
      </c>
      <c r="AN5010">
        <v>0.99999992368539403</v>
      </c>
    </row>
    <row r="5011" spans="1:40" x14ac:dyDescent="0.25">
      <c r="A5011" t="str">
        <f>"20190303170637565"</f>
        <v>20190303170637565</v>
      </c>
      <c r="B5011" t="str">
        <f>"1551603997560194"</f>
        <v>1551603997560194</v>
      </c>
      <c r="C5011" t="s">
        <v>40</v>
      </c>
      <c r="D5011">
        <v>5.6432180000000001</v>
      </c>
      <c r="E5011">
        <v>0.39926669999999997</v>
      </c>
      <c r="F5011" t="s">
        <v>105</v>
      </c>
      <c r="G5011">
        <v>-287.26060000000001</v>
      </c>
      <c r="H5011">
        <v>2.235738</v>
      </c>
      <c r="I5011">
        <v>-91.564989999999995</v>
      </c>
      <c r="J5011">
        <v>-302.28370000000001</v>
      </c>
      <c r="K5011">
        <v>1.1203430000000001</v>
      </c>
      <c r="L5011">
        <v>-13.259309999999999</v>
      </c>
      <c r="M5011">
        <v>-3.8884500000000002E-2</v>
      </c>
      <c r="N5011">
        <v>-8.9007630000000008E-3</v>
      </c>
      <c r="O5011">
        <v>-0.99920419999999999</v>
      </c>
      <c r="P5011">
        <v>-4.9587100000000002E-2</v>
      </c>
      <c r="Q5011">
        <v>0.20663609999999999</v>
      </c>
      <c r="R5011">
        <v>-0.97716080000000005</v>
      </c>
      <c r="S5011">
        <v>0.59133910000000001</v>
      </c>
      <c r="T5011">
        <v>4.3938159999999997E-2</v>
      </c>
      <c r="U5011">
        <v>-3.094757</v>
      </c>
      <c r="V5011">
        <v>1.18362E-2</v>
      </c>
      <c r="W5011">
        <v>0.2153204</v>
      </c>
      <c r="X5011">
        <v>0.97647169999999905</v>
      </c>
      <c r="Y5011">
        <v>-0.22569149999999999</v>
      </c>
      <c r="Z5011">
        <v>-2.2803609999999998E-2</v>
      </c>
      <c r="AA5011">
        <v>0.97393189999999996</v>
      </c>
      <c r="AB5011">
        <v>25</v>
      </c>
      <c r="AC5011">
        <v>15.023099999999999</v>
      </c>
      <c r="AD5011">
        <v>1.1153949999999999</v>
      </c>
      <c r="AE5011">
        <v>-78.305679999999995</v>
      </c>
      <c r="AF5011">
        <v>-18.053201880819501</v>
      </c>
      <c r="AG5011">
        <v>1.1153949999999999</v>
      </c>
      <c r="AH5011">
        <v>77.647069963422396</v>
      </c>
      <c r="AI5011">
        <v>89.198385243465395</v>
      </c>
      <c r="AJ5011">
        <v>103.088913484454</v>
      </c>
      <c r="AK5011">
        <v>79.725966146922701</v>
      </c>
      <c r="AL5011">
        <v>77.565674550406598</v>
      </c>
      <c r="AM5011">
        <v>89.305529187817797</v>
      </c>
      <c r="AN5011">
        <v>0.99999997559374398</v>
      </c>
    </row>
    <row r="5012" spans="1:40" x14ac:dyDescent="0.25">
      <c r="A5012" t="str">
        <f>"20190303170637584"</f>
        <v>20190303170637584</v>
      </c>
      <c r="B5012" t="str">
        <f>"1551603997579715"</f>
        <v>1551603997579715</v>
      </c>
      <c r="C5012" t="s">
        <v>40</v>
      </c>
      <c r="D5012">
        <v>5.621556</v>
      </c>
      <c r="E5012">
        <v>0.39583449999999998</v>
      </c>
      <c r="F5012" t="s">
        <v>105</v>
      </c>
      <c r="G5012">
        <v>-287.54259999999999</v>
      </c>
      <c r="H5012">
        <v>2.7609629999999998</v>
      </c>
      <c r="I5012">
        <v>-80.464519999999993</v>
      </c>
      <c r="J5012">
        <v>-302.29320000000001</v>
      </c>
      <c r="K5012">
        <v>1.120385</v>
      </c>
      <c r="L5012">
        <v>-13.483370000000001</v>
      </c>
      <c r="M5012">
        <v>-3.9576050000000002E-2</v>
      </c>
      <c r="N5012">
        <v>-8.9146219999999901E-3</v>
      </c>
      <c r="O5012">
        <v>-0.99917699999999998</v>
      </c>
      <c r="P5012">
        <v>-4.4397119999999998E-2</v>
      </c>
      <c r="Q5012">
        <v>0.20506630000000001</v>
      </c>
      <c r="R5012">
        <v>-0.97774079999999997</v>
      </c>
      <c r="S5012">
        <v>0.6774597</v>
      </c>
      <c r="T5012">
        <v>7.5398919999999994E-2</v>
      </c>
      <c r="U5012">
        <v>-3.088562</v>
      </c>
      <c r="V5012">
        <v>5.9320709999999997E-3</v>
      </c>
      <c r="W5012">
        <v>0.21377599999999999</v>
      </c>
      <c r="X5012">
        <v>0.97686470000000003</v>
      </c>
      <c r="Y5012">
        <v>-0.25264409999999998</v>
      </c>
      <c r="Z5012">
        <v>-3.264823E-2</v>
      </c>
      <c r="AA5012">
        <v>0.96700830000000004</v>
      </c>
      <c r="AB5012">
        <v>25</v>
      </c>
      <c r="AC5012">
        <v>14.7506</v>
      </c>
      <c r="AD5012">
        <v>1.6405780000000001</v>
      </c>
      <c r="AE5012">
        <v>-66.9811499999999</v>
      </c>
      <c r="AF5012">
        <v>-17.3800527679543</v>
      </c>
      <c r="AG5012">
        <v>1.6405780000000001</v>
      </c>
      <c r="AH5012">
        <v>66.306938140261593</v>
      </c>
      <c r="AI5012">
        <v>88.628964027414099</v>
      </c>
      <c r="AJ5012">
        <v>104.687672907747</v>
      </c>
      <c r="AK5012">
        <v>68.566520809557204</v>
      </c>
      <c r="AL5012">
        <v>77.656272235544805</v>
      </c>
      <c r="AM5012">
        <v>89.652072130023001</v>
      </c>
      <c r="AN5012">
        <v>1.0000000048742099</v>
      </c>
    </row>
    <row r="5013" spans="1:40" x14ac:dyDescent="0.25">
      <c r="A5013" t="str">
        <f>"20190303170637607"</f>
        <v>20190303170637607</v>
      </c>
      <c r="B5013" t="str">
        <f>"1551603997600211"</f>
        <v>1551603997600211</v>
      </c>
      <c r="C5013" t="s">
        <v>40</v>
      </c>
      <c r="D5013">
        <v>5.6584760000000003</v>
      </c>
      <c r="E5013">
        <v>0.3935787</v>
      </c>
      <c r="F5013" t="s">
        <v>105</v>
      </c>
      <c r="G5013">
        <v>-286.66039999999998</v>
      </c>
      <c r="H5013">
        <v>2.8754599999999999</v>
      </c>
      <c r="I5013">
        <v>-80.464519999999993</v>
      </c>
      <c r="J5013">
        <v>-302.30399999999997</v>
      </c>
      <c r="K5013">
        <v>1.120412</v>
      </c>
      <c r="L5013">
        <v>-13.73523</v>
      </c>
      <c r="M5013">
        <v>-4.0308139999999999E-2</v>
      </c>
      <c r="N5013">
        <v>-8.9281510000000005E-3</v>
      </c>
      <c r="O5013">
        <v>-0.99914749999999997</v>
      </c>
      <c r="P5013">
        <v>-3.8924760000000003E-2</v>
      </c>
      <c r="Q5013">
        <v>0.20520859999999999</v>
      </c>
      <c r="R5013">
        <v>-0.97794429999999999</v>
      </c>
      <c r="S5013">
        <v>0.71978759999999997</v>
      </c>
      <c r="T5013">
        <v>8.0810430000000003E-2</v>
      </c>
      <c r="U5013">
        <v>-3.0840450000000001</v>
      </c>
      <c r="V5013">
        <v>-2.7697810000000002E-4</v>
      </c>
      <c r="W5013">
        <v>0.2139395</v>
      </c>
      <c r="X5013">
        <v>0.97684689999999996</v>
      </c>
      <c r="Y5013">
        <v>-0.26623799999999997</v>
      </c>
      <c r="Z5013">
        <v>-3.4314249999999998E-2</v>
      </c>
      <c r="AA5013">
        <v>0.96329640000000005</v>
      </c>
      <c r="AB5013">
        <v>25</v>
      </c>
      <c r="AC5013">
        <v>15.643599999999999</v>
      </c>
      <c r="AD5013">
        <v>1.7550479999999899</v>
      </c>
      <c r="AE5013">
        <v>-66.729289999999907</v>
      </c>
      <c r="AF5013">
        <v>-18.308720763235801</v>
      </c>
      <c r="AG5013">
        <v>1.7550479999999899</v>
      </c>
      <c r="AH5013">
        <v>66.001187684213306</v>
      </c>
      <c r="AI5013">
        <v>88.532199771387596</v>
      </c>
      <c r="AJ5013">
        <v>105.504007460959</v>
      </c>
      <c r="AK5013">
        <v>68.516028965455902</v>
      </c>
      <c r="AL5013">
        <v>77.646682783375198</v>
      </c>
      <c r="AM5013">
        <v>90.016245816741801</v>
      </c>
      <c r="AN5013">
        <v>1.0000000262083599</v>
      </c>
    </row>
    <row r="5014" spans="1:40" x14ac:dyDescent="0.25">
      <c r="A5014" t="str">
        <f>"20190303170637629"</f>
        <v>20190303170637629</v>
      </c>
      <c r="B5014" t="str">
        <f>"1551603997619731"</f>
        <v>1551603997619731</v>
      </c>
      <c r="C5014" t="s">
        <v>40</v>
      </c>
      <c r="D5014">
        <v>5.6057680000000003</v>
      </c>
      <c r="E5014">
        <v>0.39209850000000002</v>
      </c>
      <c r="F5014" t="s">
        <v>105</v>
      </c>
      <c r="G5014">
        <v>-285.9622</v>
      </c>
      <c r="H5014">
        <v>3.0406569999999999</v>
      </c>
      <c r="I5014">
        <v>-80.464519999999993</v>
      </c>
      <c r="J5014">
        <v>-302.31479999999999</v>
      </c>
      <c r="K5014">
        <v>1.120444</v>
      </c>
      <c r="L5014">
        <v>-13.98291</v>
      </c>
      <c r="M5014">
        <v>-4.0984010000000001E-2</v>
      </c>
      <c r="N5014">
        <v>-8.9410489999999995E-3</v>
      </c>
      <c r="O5014">
        <v>-0.9991198</v>
      </c>
      <c r="P5014">
        <v>-3.4228950000000001E-2</v>
      </c>
      <c r="Q5014">
        <v>0.20607139999999999</v>
      </c>
      <c r="R5014">
        <v>-0.97793819999999998</v>
      </c>
      <c r="S5014">
        <v>0.75405880000000003</v>
      </c>
      <c r="T5014">
        <v>8.8605879999999998E-2</v>
      </c>
      <c r="U5014">
        <v>-3.0790709999999999</v>
      </c>
      <c r="V5014">
        <v>-5.6436759999999898E-3</v>
      </c>
      <c r="W5014">
        <v>0.21481839999999999</v>
      </c>
      <c r="X5014">
        <v>0.97663770000000005</v>
      </c>
      <c r="Y5014">
        <v>-0.27734059999999999</v>
      </c>
      <c r="Z5014">
        <v>-3.6735169999999998E-2</v>
      </c>
      <c r="AA5014">
        <v>0.96006910000000001</v>
      </c>
      <c r="AB5014">
        <v>25</v>
      </c>
      <c r="AC5014">
        <v>16.352599999999899</v>
      </c>
      <c r="AD5014">
        <v>1.9202129999999999</v>
      </c>
      <c r="AE5014">
        <v>-66.481609999999904</v>
      </c>
      <c r="AF5014">
        <v>-19.048666637765599</v>
      </c>
      <c r="AG5014">
        <v>1.9202129999999999</v>
      </c>
      <c r="AH5014">
        <v>65.703839697007894</v>
      </c>
      <c r="AI5014">
        <v>88.392162235431002</v>
      </c>
      <c r="AJ5014">
        <v>106.167777548972</v>
      </c>
      <c r="AK5014">
        <v>68.436346115000902</v>
      </c>
      <c r="AL5014">
        <v>77.595126502833395</v>
      </c>
      <c r="AM5014">
        <v>90.331090246147497</v>
      </c>
      <c r="AN5014">
        <v>0.99999999655932104</v>
      </c>
    </row>
    <row r="5015" spans="1:40" x14ac:dyDescent="0.25">
      <c r="A5015" t="str">
        <f>"20190303170637650"</f>
        <v>20190303170637650</v>
      </c>
      <c r="B5015" t="str">
        <f>"1551603997640227"</f>
        <v>1551603997640227</v>
      </c>
      <c r="C5015" t="s">
        <v>40</v>
      </c>
      <c r="D5015">
        <v>5.6279260000000004</v>
      </c>
      <c r="E5015">
        <v>0.39113160000000002</v>
      </c>
      <c r="F5015" t="s">
        <v>105</v>
      </c>
      <c r="G5015">
        <v>-285.46120000000002</v>
      </c>
      <c r="H5015">
        <v>3.0802290000000001</v>
      </c>
      <c r="I5015">
        <v>-80.464519999999993</v>
      </c>
      <c r="J5015">
        <v>-302.32560000000001</v>
      </c>
      <c r="K5015">
        <v>1.1204769999999999</v>
      </c>
      <c r="L5015">
        <v>-14.228490000000001</v>
      </c>
      <c r="M5015">
        <v>-4.1609889999999997E-2</v>
      </c>
      <c r="N5015">
        <v>-8.9561629999999996E-3</v>
      </c>
      <c r="O5015">
        <v>-0.99909380000000003</v>
      </c>
      <c r="P5015">
        <v>-2.9169279999999999E-2</v>
      </c>
      <c r="Q5015">
        <v>0.20785670000000001</v>
      </c>
      <c r="R5015">
        <v>-0.97772460000000005</v>
      </c>
      <c r="S5015">
        <v>0.77975459999999996</v>
      </c>
      <c r="T5015">
        <v>9.0672849999999999E-2</v>
      </c>
      <c r="U5015">
        <v>-3.0758670000000001</v>
      </c>
      <c r="V5015">
        <v>-1.1314390000000001E-2</v>
      </c>
      <c r="W5015">
        <v>0.21662020000000001</v>
      </c>
      <c r="X5015">
        <v>0.97619040000000001</v>
      </c>
      <c r="Y5015">
        <v>-0.28570959999999901</v>
      </c>
      <c r="Z5015">
        <v>-3.7362979999999997E-2</v>
      </c>
      <c r="AA5015">
        <v>0.95758759999999998</v>
      </c>
      <c r="AB5015">
        <v>25</v>
      </c>
      <c r="AC5015">
        <v>16.8643999999999</v>
      </c>
      <c r="AD5015">
        <v>1.9597519999999999</v>
      </c>
      <c r="AE5015">
        <v>-66.23603</v>
      </c>
      <c r="AF5015">
        <v>-19.5898723690105</v>
      </c>
      <c r="AG5015">
        <v>1.9597519999999999</v>
      </c>
      <c r="AH5015">
        <v>65.423121022099295</v>
      </c>
      <c r="AI5015">
        <v>88.356280383814607</v>
      </c>
      <c r="AJ5015">
        <v>106.66946015906601</v>
      </c>
      <c r="AK5015">
        <v>68.321215530813504</v>
      </c>
      <c r="AL5015">
        <v>77.489401897220006</v>
      </c>
      <c r="AM5015">
        <v>90.664048497636898</v>
      </c>
      <c r="AN5015">
        <v>1.00000001176063</v>
      </c>
    </row>
    <row r="5016" spans="1:40" x14ac:dyDescent="0.25">
      <c r="A5016" t="str">
        <f>"20190303170637675"</f>
        <v>20190303170637675</v>
      </c>
      <c r="B5016" t="str">
        <f>"1551603997659747"</f>
        <v>1551603997659747</v>
      </c>
      <c r="C5016" t="s">
        <v>40</v>
      </c>
      <c r="D5016">
        <v>5.6657129999999896</v>
      </c>
      <c r="E5016">
        <v>0.39051200000000003</v>
      </c>
      <c r="F5016" t="s">
        <v>73</v>
      </c>
      <c r="G5016">
        <v>-277.63290000000001</v>
      </c>
      <c r="H5016">
        <v>4.063688</v>
      </c>
      <c r="I5016">
        <v>-108.74550000000001</v>
      </c>
      <c r="J5016">
        <v>-302.33710000000002</v>
      </c>
      <c r="K5016">
        <v>1.1205080000000001</v>
      </c>
      <c r="L5016">
        <v>-14.48828</v>
      </c>
      <c r="M5016">
        <v>-4.2224600000000001E-2</v>
      </c>
      <c r="N5016">
        <v>-8.9766120000000001E-3</v>
      </c>
      <c r="O5016">
        <v>-0.99906799999999996</v>
      </c>
      <c r="P5016">
        <v>-2.519913E-2</v>
      </c>
      <c r="Q5016">
        <v>0.20877899999999999</v>
      </c>
      <c r="R5016">
        <v>-0.97763849999999997</v>
      </c>
      <c r="S5016">
        <v>0.80255129999999997</v>
      </c>
      <c r="T5016">
        <v>9.5659729999999998E-2</v>
      </c>
      <c r="U5016">
        <v>-3.0719599999999998</v>
      </c>
      <c r="V5016">
        <v>-1.5891659999999998E-2</v>
      </c>
      <c r="W5016">
        <v>0.2175638</v>
      </c>
      <c r="X5016">
        <v>0.97591669999999997</v>
      </c>
      <c r="Y5016">
        <v>-0.29323199999999999</v>
      </c>
      <c r="Z5016">
        <v>-3.891733E-2</v>
      </c>
      <c r="AA5016">
        <v>0.95524889999999996</v>
      </c>
      <c r="AB5016">
        <v>25</v>
      </c>
      <c r="AC5016">
        <v>24.7042</v>
      </c>
      <c r="AD5016">
        <v>2.9431799999999999</v>
      </c>
      <c r="AE5016">
        <v>-94.257219999999904</v>
      </c>
      <c r="AF5016">
        <v>-28.636173078014401</v>
      </c>
      <c r="AG5016">
        <v>2.9431799999999999</v>
      </c>
      <c r="AH5016">
        <v>93.045094841189197</v>
      </c>
      <c r="AI5016">
        <v>88.268341979662296</v>
      </c>
      <c r="AJ5016">
        <v>107.106617715103</v>
      </c>
      <c r="AK5016">
        <v>97.396521452628406</v>
      </c>
      <c r="AL5016">
        <v>77.434016302062801</v>
      </c>
      <c r="AM5016">
        <v>90.932912185081406</v>
      </c>
      <c r="AN5016">
        <v>0.99999997863344203</v>
      </c>
    </row>
    <row r="5017" spans="1:40" x14ac:dyDescent="0.25">
      <c r="A5017" t="str">
        <f>"20190303170637696"</f>
        <v>20190303170637696</v>
      </c>
      <c r="B5017" t="str">
        <f>"1551603997690003"</f>
        <v>1551603997690003</v>
      </c>
      <c r="C5017" t="s">
        <v>40</v>
      </c>
      <c r="D5017">
        <v>5.6277189999999999</v>
      </c>
      <c r="E5017">
        <v>0.39010850000000002</v>
      </c>
      <c r="F5017" t="s">
        <v>73</v>
      </c>
      <c r="G5017">
        <v>-277.47609999999997</v>
      </c>
      <c r="H5017">
        <v>4.0894339999999998</v>
      </c>
      <c r="I5017">
        <v>-107.57089999999999</v>
      </c>
      <c r="J5017">
        <v>-302.34840000000003</v>
      </c>
      <c r="K5017">
        <v>1.120541</v>
      </c>
      <c r="L5017">
        <v>-14.7402</v>
      </c>
      <c r="M5017">
        <v>-4.2778950000000003E-2</v>
      </c>
      <c r="N5017">
        <v>-8.9957119999999995E-3</v>
      </c>
      <c r="O5017">
        <v>-0.9990443</v>
      </c>
      <c r="P5017">
        <v>-1.8765649999999998E-2</v>
      </c>
      <c r="Q5017">
        <v>0.20864050000000001</v>
      </c>
      <c r="R5017">
        <v>-0.97781249999999997</v>
      </c>
      <c r="S5017">
        <v>0.81964110000000001</v>
      </c>
      <c r="T5017">
        <v>9.7883220000000007E-2</v>
      </c>
      <c r="U5017">
        <v>-3.068848</v>
      </c>
      <c r="V5017">
        <v>-2.288279E-2</v>
      </c>
      <c r="W5017">
        <v>0.21744839999999999</v>
      </c>
      <c r="X5017">
        <v>0.97580359999999999</v>
      </c>
      <c r="Y5017">
        <v>-0.29896080000000003</v>
      </c>
      <c r="Z5017">
        <v>-3.961191E-2</v>
      </c>
      <c r="AA5017">
        <v>0.95344289999999998</v>
      </c>
      <c r="AB5017">
        <v>25</v>
      </c>
      <c r="AC5017">
        <v>24.872299999999999</v>
      </c>
      <c r="AD5017">
        <v>2.968893</v>
      </c>
      <c r="AE5017">
        <v>-92.830699999999993</v>
      </c>
      <c r="AF5017">
        <v>-28.793410406380399</v>
      </c>
      <c r="AG5017">
        <v>2.968893</v>
      </c>
      <c r="AH5017">
        <v>91.594247847946605</v>
      </c>
      <c r="AI5017">
        <v>88.228883548989401</v>
      </c>
      <c r="AJ5017">
        <v>107.45097240354301</v>
      </c>
      <c r="AK5017">
        <v>96.059257998939302</v>
      </c>
      <c r="AL5017">
        <v>77.440791290386301</v>
      </c>
      <c r="AM5017">
        <v>91.343351307832094</v>
      </c>
      <c r="AN5017">
        <v>1.00000004725685</v>
      </c>
    </row>
    <row r="5018" spans="1:40" x14ac:dyDescent="0.25">
      <c r="A5018" t="str">
        <f>"20190303170637718"</f>
        <v>20190303170637718</v>
      </c>
      <c r="B5018" t="str">
        <f>"1551603997709523"</f>
        <v>1551603997709523</v>
      </c>
      <c r="C5018" t="s">
        <v>40</v>
      </c>
      <c r="D5018">
        <v>5.6431529999999999</v>
      </c>
      <c r="E5018">
        <v>0.38990560000000002</v>
      </c>
      <c r="F5018" t="s">
        <v>73</v>
      </c>
      <c r="G5018">
        <v>-277.17500000000001</v>
      </c>
      <c r="H5018">
        <v>3.9382609999999998</v>
      </c>
      <c r="I5018">
        <v>-106.3207</v>
      </c>
      <c r="J5018">
        <v>-302.35950000000003</v>
      </c>
      <c r="K5018">
        <v>1.1205639999999999</v>
      </c>
      <c r="L5018">
        <v>-14.986879999999999</v>
      </c>
      <c r="M5018">
        <v>-4.3287859999999997E-2</v>
      </c>
      <c r="N5018">
        <v>-9.012117E-3</v>
      </c>
      <c r="O5018">
        <v>-0.99902210000000002</v>
      </c>
      <c r="P5018">
        <v>-1.361946E-2</v>
      </c>
      <c r="Q5018">
        <v>0.2081432</v>
      </c>
      <c r="R5018">
        <v>-0.97800370000000003</v>
      </c>
      <c r="S5018">
        <v>0.84225459999999996</v>
      </c>
      <c r="T5018">
        <v>9.4276070000000003E-2</v>
      </c>
      <c r="U5018">
        <v>-3.064117</v>
      </c>
      <c r="V5018">
        <v>-2.8543059999999999E-2</v>
      </c>
      <c r="W5018">
        <v>0.21697079999999999</v>
      </c>
      <c r="X5018">
        <v>0.97576070000000004</v>
      </c>
      <c r="Y5018">
        <v>-0.30636999999999998</v>
      </c>
      <c r="Z5018">
        <v>-3.8484669999999999E-2</v>
      </c>
      <c r="AA5018">
        <v>0.95113429999999999</v>
      </c>
      <c r="AB5018">
        <v>25</v>
      </c>
      <c r="AC5018">
        <v>25.1845</v>
      </c>
      <c r="AD5018">
        <v>2.8176969999999999</v>
      </c>
      <c r="AE5018">
        <v>-91.333819999999903</v>
      </c>
      <c r="AF5018">
        <v>-29.0889676317192</v>
      </c>
      <c r="AG5018">
        <v>2.8176969999999999</v>
      </c>
      <c r="AH5018">
        <v>90.078298651267502</v>
      </c>
      <c r="AI5018">
        <v>88.294985009673695</v>
      </c>
      <c r="AJ5018">
        <v>107.896814733338</v>
      </c>
      <c r="AK5018">
        <v>94.700619544805207</v>
      </c>
      <c r="AL5018">
        <v>77.468824318317303</v>
      </c>
      <c r="AM5018">
        <v>91.675544679828903</v>
      </c>
      <c r="AN5018">
        <v>0.99999998899564602</v>
      </c>
    </row>
    <row r="5019" spans="1:40" x14ac:dyDescent="0.25">
      <c r="A5019" t="str">
        <f>"20190303170637740"</f>
        <v>20190303170637740</v>
      </c>
      <c r="B5019" t="str">
        <f>"1551603997730018"</f>
        <v>1551603997730018</v>
      </c>
      <c r="C5019" t="s">
        <v>40</v>
      </c>
      <c r="D5019">
        <v>5.6463510000000001</v>
      </c>
      <c r="E5019">
        <v>0.38996570000000003</v>
      </c>
      <c r="F5019" t="s">
        <v>73</v>
      </c>
      <c r="G5019">
        <v>-277.17500000000001</v>
      </c>
      <c r="H5019">
        <v>3.7420490000000002</v>
      </c>
      <c r="I5019">
        <v>-104.73399999999999</v>
      </c>
      <c r="J5019">
        <v>-302.37110000000001</v>
      </c>
      <c r="K5019">
        <v>1.1205799999999999</v>
      </c>
      <c r="L5019">
        <v>-15.24277</v>
      </c>
      <c r="M5019">
        <v>-4.3783089999999997E-2</v>
      </c>
      <c r="N5019">
        <v>-9.0279950000000005E-3</v>
      </c>
      <c r="O5019">
        <v>-0.99900040000000001</v>
      </c>
      <c r="P5019">
        <v>-9.1573309999999995E-3</v>
      </c>
      <c r="Q5019">
        <v>0.208596</v>
      </c>
      <c r="R5019">
        <v>-0.97795940000000003</v>
      </c>
      <c r="S5019">
        <v>0.85879519999999998</v>
      </c>
      <c r="T5019">
        <v>8.9393849999999997E-2</v>
      </c>
      <c r="U5019">
        <v>-3.0603940000000001</v>
      </c>
      <c r="V5019">
        <v>-3.3493849999999999E-2</v>
      </c>
      <c r="W5019">
        <v>0.21743899999999999</v>
      </c>
      <c r="X5019">
        <v>0.97549909999999995</v>
      </c>
      <c r="Y5019">
        <v>-0.31191829999999998</v>
      </c>
      <c r="Z5019">
        <v>-3.696638E-2</v>
      </c>
      <c r="AA5019">
        <v>0.9493895</v>
      </c>
      <c r="AB5019">
        <v>25</v>
      </c>
      <c r="AC5019">
        <v>25.196100000000001</v>
      </c>
      <c r="AD5019">
        <v>2.6214689999999998</v>
      </c>
      <c r="AE5019">
        <v>-89.491229999999902</v>
      </c>
      <c r="AF5019">
        <v>-29.0671881637052</v>
      </c>
      <c r="AG5019">
        <v>2.6214689999999998</v>
      </c>
      <c r="AH5019">
        <v>88.232048875284804</v>
      </c>
      <c r="AI5019">
        <v>88.383588776107899</v>
      </c>
      <c r="AJ5019">
        <v>108.233963346176</v>
      </c>
      <c r="AK5019">
        <v>92.933675146272194</v>
      </c>
      <c r="AL5019">
        <v>77.441342794357396</v>
      </c>
      <c r="AM5019">
        <v>91.966483263258894</v>
      </c>
      <c r="AN5019">
        <v>1.00000002540481</v>
      </c>
    </row>
    <row r="5020" spans="1:40" x14ac:dyDescent="0.25">
      <c r="A5020" t="str">
        <f>"20190303170637767"</f>
        <v>20190303170637767</v>
      </c>
      <c r="B5020" t="str">
        <f>"1551603997760274"</f>
        <v>1551603997760274</v>
      </c>
      <c r="C5020" t="s">
        <v>40</v>
      </c>
      <c r="D5020">
        <v>5.6490039999999997</v>
      </c>
      <c r="E5020">
        <v>0.39006999999999997</v>
      </c>
      <c r="F5020" t="s">
        <v>73</v>
      </c>
      <c r="G5020">
        <v>-277.17500000000001</v>
      </c>
      <c r="H5020">
        <v>3.6589640000000001</v>
      </c>
      <c r="I5020">
        <v>-103.6232</v>
      </c>
      <c r="J5020">
        <v>-302.3843</v>
      </c>
      <c r="K5020">
        <v>1.120608</v>
      </c>
      <c r="L5020">
        <v>-15.530849999999999</v>
      </c>
      <c r="M5020">
        <v>-4.429951E-2</v>
      </c>
      <c r="N5020">
        <v>-9.0444259999999995E-3</v>
      </c>
      <c r="O5020">
        <v>-0.99897749999999996</v>
      </c>
      <c r="P5020">
        <v>-5.4435239999999999E-3</v>
      </c>
      <c r="Q5020">
        <v>0.20937990000000001</v>
      </c>
      <c r="R5020">
        <v>-0.97781940000000001</v>
      </c>
      <c r="S5020">
        <v>0.87152099999999899</v>
      </c>
      <c r="T5020">
        <v>8.7801809999999994E-2</v>
      </c>
      <c r="U5020">
        <v>-3.0570369999999998</v>
      </c>
      <c r="V5020">
        <v>-3.7713499999999997E-2</v>
      </c>
      <c r="W5020">
        <v>0.2182376</v>
      </c>
      <c r="X5020">
        <v>0.97516670000000005</v>
      </c>
      <c r="Y5020">
        <v>-0.31634089999999998</v>
      </c>
      <c r="Z5020">
        <v>-3.648042E-2</v>
      </c>
      <c r="AA5020">
        <v>0.94794389999999995</v>
      </c>
      <c r="AB5020">
        <v>25</v>
      </c>
      <c r="AC5020">
        <v>25.209299999999899</v>
      </c>
      <c r="AD5020">
        <v>2.5383559999999998</v>
      </c>
      <c r="AE5020">
        <v>-88.092349999999996</v>
      </c>
      <c r="AF5020">
        <v>-29.064851339239599</v>
      </c>
      <c r="AG5020">
        <v>2.5383559999999998</v>
      </c>
      <c r="AH5020">
        <v>86.822426069177794</v>
      </c>
      <c r="AI5020">
        <v>88.411940360705998</v>
      </c>
      <c r="AJ5020">
        <v>108.508589524502</v>
      </c>
      <c r="AK5020">
        <v>91.593354033426905</v>
      </c>
      <c r="AL5020">
        <v>77.394460501152295</v>
      </c>
      <c r="AM5020">
        <v>92.214747542731502</v>
      </c>
      <c r="AN5020">
        <v>1.0000000254624399</v>
      </c>
    </row>
    <row r="5021" spans="1:40" x14ac:dyDescent="0.25">
      <c r="A5021" t="str">
        <f>"20190303170637787"</f>
        <v>20190303170637787</v>
      </c>
      <c r="B5021" t="str">
        <f>"1551603997779795"</f>
        <v>1551603997779795</v>
      </c>
      <c r="C5021" t="s">
        <v>40</v>
      </c>
      <c r="D5021">
        <v>5.6399759999999999</v>
      </c>
      <c r="E5021">
        <v>0.39021450000000002</v>
      </c>
      <c r="F5021" t="s">
        <v>73</v>
      </c>
      <c r="G5021">
        <v>-277.17500000000001</v>
      </c>
      <c r="H5021">
        <v>3.6041509999999999</v>
      </c>
      <c r="I5021">
        <v>-102.84650000000001</v>
      </c>
      <c r="J5021">
        <v>-302.39569999999998</v>
      </c>
      <c r="K5021">
        <v>1.1206339999999999</v>
      </c>
      <c r="L5021">
        <v>-15.777710000000001</v>
      </c>
      <c r="M5021">
        <v>-4.470963E-2</v>
      </c>
      <c r="N5021">
        <v>-9.0568639999999995E-3</v>
      </c>
      <c r="O5021">
        <v>-0.99895929999999999</v>
      </c>
      <c r="P5021">
        <v>-7.592791E-4</v>
      </c>
      <c r="Q5021">
        <v>0.2094057</v>
      </c>
      <c r="R5021">
        <v>-0.9778289</v>
      </c>
      <c r="S5021">
        <v>0.88183590000000001</v>
      </c>
      <c r="T5021">
        <v>8.6876389999999998E-2</v>
      </c>
      <c r="U5021">
        <v>-3.0543520000000002</v>
      </c>
      <c r="V5021">
        <v>-4.2803359999999999E-2</v>
      </c>
      <c r="W5021">
        <v>0.21827579999999999</v>
      </c>
      <c r="X5021">
        <v>0.97494800000000004</v>
      </c>
      <c r="Y5021">
        <v>-0.31990819999999998</v>
      </c>
      <c r="Z5021">
        <v>-3.6198899999999999E-2</v>
      </c>
      <c r="AA5021">
        <v>0.94675679999999995</v>
      </c>
      <c r="AB5021">
        <v>25</v>
      </c>
      <c r="AC5021">
        <v>25.220699999999901</v>
      </c>
      <c r="AD5021">
        <v>2.483517</v>
      </c>
      <c r="AE5021">
        <v>-87.068790000000007</v>
      </c>
      <c r="AF5021">
        <v>-29.0666317470309</v>
      </c>
      <c r="AG5021">
        <v>2.483517</v>
      </c>
      <c r="AH5021">
        <v>85.789667100705103</v>
      </c>
      <c r="AI5021">
        <v>88.4294611945882</v>
      </c>
      <c r="AJ5021">
        <v>108.71703477323101</v>
      </c>
      <c r="AK5021">
        <v>90.614038200803094</v>
      </c>
      <c r="AL5021">
        <v>77.392217759778802</v>
      </c>
      <c r="AM5021">
        <v>92.513855100085394</v>
      </c>
      <c r="AN5021">
        <v>1.00000002759846</v>
      </c>
    </row>
    <row r="5022" spans="1:40" x14ac:dyDescent="0.25">
      <c r="A5022" t="str">
        <f>"20190303170637808"</f>
        <v>20190303170637808</v>
      </c>
      <c r="B5022" t="str">
        <f>"1551603997800292"</f>
        <v>1551603997800292</v>
      </c>
      <c r="C5022" t="s">
        <v>40</v>
      </c>
      <c r="D5022">
        <v>5.6029819999999999</v>
      </c>
      <c r="E5022">
        <v>0.39035029999999998</v>
      </c>
      <c r="F5022" t="s">
        <v>73</v>
      </c>
      <c r="G5022">
        <v>-277.17500000000001</v>
      </c>
      <c r="H5022">
        <v>3.4716119999999999</v>
      </c>
      <c r="I5022">
        <v>-101.8244</v>
      </c>
      <c r="J5022">
        <v>-302.40629999999999</v>
      </c>
      <c r="K5022">
        <v>1.120641</v>
      </c>
      <c r="L5022">
        <v>-16.00778</v>
      </c>
      <c r="M5022">
        <v>-4.5072340000000002E-2</v>
      </c>
      <c r="N5022">
        <v>-9.0672010000000004E-3</v>
      </c>
      <c r="O5022">
        <v>-0.99894260000000001</v>
      </c>
      <c r="P5022">
        <v>5.4387019999999897E-3</v>
      </c>
      <c r="Q5022">
        <v>0.20871999999999999</v>
      </c>
      <c r="R5022">
        <v>-0.97796050000000001</v>
      </c>
      <c r="S5022">
        <v>0.89422610000000002</v>
      </c>
      <c r="T5022">
        <v>8.3356979999999997E-2</v>
      </c>
      <c r="U5022">
        <v>-3.0508730000000002</v>
      </c>
      <c r="V5022">
        <v>-4.9363999999999998E-2</v>
      </c>
      <c r="W5022">
        <v>0.21760189999999999</v>
      </c>
      <c r="X5022">
        <v>0.97478849999999995</v>
      </c>
      <c r="Y5022">
        <v>-0.32409120000000002</v>
      </c>
      <c r="Z5022">
        <v>-3.5108649999999998E-2</v>
      </c>
      <c r="AA5022">
        <v>0.94537409999999999</v>
      </c>
      <c r="AB5022">
        <v>25</v>
      </c>
      <c r="AC5022">
        <v>25.231299999999901</v>
      </c>
      <c r="AD5022">
        <v>2.3509709999999999</v>
      </c>
      <c r="AE5022">
        <v>-85.81662</v>
      </c>
      <c r="AF5022">
        <v>-29.0537008372788</v>
      </c>
      <c r="AG5022">
        <v>2.3509709999999999</v>
      </c>
      <c r="AH5022">
        <v>84.533724334267504</v>
      </c>
      <c r="AI5022">
        <v>88.493411824385205</v>
      </c>
      <c r="AJ5022">
        <v>108.967518253866</v>
      </c>
      <c r="AK5022">
        <v>89.418091831613495</v>
      </c>
      <c r="AL5022">
        <v>77.431780093057597</v>
      </c>
      <c r="AM5022">
        <v>92.899023554353505</v>
      </c>
      <c r="AN5022">
        <v>1.0000000055559299</v>
      </c>
    </row>
    <row r="5023" spans="1:40" x14ac:dyDescent="0.25">
      <c r="A5023" t="str">
        <f>"20190303170637830"</f>
        <v>20190303170637830</v>
      </c>
      <c r="B5023" t="str">
        <f>"1551603997819811"</f>
        <v>1551603997819811</v>
      </c>
      <c r="C5023" t="s">
        <v>40</v>
      </c>
      <c r="D5023">
        <v>5.5883510000000003</v>
      </c>
      <c r="E5023">
        <v>0.39046599999999998</v>
      </c>
      <c r="F5023" t="s">
        <v>73</v>
      </c>
      <c r="G5023">
        <v>-277.17500000000001</v>
      </c>
      <c r="H5023">
        <v>3.3011849999999998</v>
      </c>
      <c r="I5023">
        <v>-100.32599999999999</v>
      </c>
      <c r="J5023">
        <v>-302.41849999999999</v>
      </c>
      <c r="K5023">
        <v>1.1206579999999999</v>
      </c>
      <c r="L5023">
        <v>-16.268339999999998</v>
      </c>
      <c r="M5023">
        <v>-4.5461689999999999E-2</v>
      </c>
      <c r="N5023">
        <v>-9.0776229999999999E-3</v>
      </c>
      <c r="O5023">
        <v>-0.99892499999999995</v>
      </c>
      <c r="P5023">
        <v>1.2249009999999999E-2</v>
      </c>
      <c r="Q5023">
        <v>0.20932690000000001</v>
      </c>
      <c r="R5023">
        <v>-0.97776940000000001</v>
      </c>
      <c r="S5023">
        <v>0.91140750000000004</v>
      </c>
      <c r="T5023">
        <v>7.8765989999999994E-2</v>
      </c>
      <c r="U5023">
        <v>-3.0457459999999998</v>
      </c>
      <c r="V5023">
        <v>-5.6546239999999998E-2</v>
      </c>
      <c r="W5023">
        <v>0.2182171</v>
      </c>
      <c r="X5023">
        <v>0.97426060000000003</v>
      </c>
      <c r="Y5023">
        <v>-0.32979809999999998</v>
      </c>
      <c r="Z5023">
        <v>-3.3685640000000003E-2</v>
      </c>
      <c r="AA5023">
        <v>0.94345029999999996</v>
      </c>
      <c r="AB5023">
        <v>26</v>
      </c>
      <c r="AC5023">
        <v>25.243499999999901</v>
      </c>
      <c r="AD5023">
        <v>2.1805270000000001</v>
      </c>
      <c r="AE5023">
        <v>-84.057659999999998</v>
      </c>
      <c r="AF5023">
        <v>-29.021044793499598</v>
      </c>
      <c r="AG5023">
        <v>2.1805270000000001</v>
      </c>
      <c r="AH5023">
        <v>82.771993194683702</v>
      </c>
      <c r="AI5023">
        <v>88.575918560530297</v>
      </c>
      <c r="AJ5023">
        <v>109.321396142323</v>
      </c>
      <c r="AK5023">
        <v>87.739264849466295</v>
      </c>
      <c r="AL5023">
        <v>77.395663085222793</v>
      </c>
      <c r="AM5023">
        <v>93.3217295640831</v>
      </c>
      <c r="AN5023">
        <v>0.99999994835145201</v>
      </c>
    </row>
    <row r="5024" spans="1:40" x14ac:dyDescent="0.25">
      <c r="A5024" t="str">
        <f>"20190303170637852"</f>
        <v>20190303170637852</v>
      </c>
      <c r="B5024" t="str">
        <f>"1551603997840308"</f>
        <v>1551603997840308</v>
      </c>
      <c r="C5024" t="s">
        <v>40</v>
      </c>
      <c r="D5024">
        <v>5.5645089999999904</v>
      </c>
      <c r="E5024">
        <v>0.39073429999999998</v>
      </c>
      <c r="F5024" t="s">
        <v>73</v>
      </c>
      <c r="G5024">
        <v>-277.17500000000001</v>
      </c>
      <c r="H5024">
        <v>3.2617660000000002</v>
      </c>
      <c r="I5024">
        <v>-98.699979999999996</v>
      </c>
      <c r="J5024">
        <v>-302.43009999999998</v>
      </c>
      <c r="K5024">
        <v>1.120682</v>
      </c>
      <c r="L5024">
        <v>-16.513089999999998</v>
      </c>
      <c r="M5024">
        <v>-4.5807800000000003E-2</v>
      </c>
      <c r="N5024">
        <v>-9.0862449999999997E-3</v>
      </c>
      <c r="O5024">
        <v>-0.99890919999999905</v>
      </c>
      <c r="P5024">
        <v>1.7345860000000001E-2</v>
      </c>
      <c r="Q5024">
        <v>0.21181369999999999</v>
      </c>
      <c r="R5024">
        <v>-0.97715660000000004</v>
      </c>
      <c r="S5024">
        <v>0.93084719999999999</v>
      </c>
      <c r="T5024">
        <v>7.895315E-2</v>
      </c>
      <c r="U5024">
        <v>-3.0396420000000002</v>
      </c>
      <c r="V5024">
        <v>-6.1952609999999998E-2</v>
      </c>
      <c r="W5024">
        <v>0.2207056</v>
      </c>
      <c r="X5024">
        <v>0.97337090000000004</v>
      </c>
      <c r="Y5024">
        <v>-0.33616390000000002</v>
      </c>
      <c r="Z5024">
        <v>-3.3750250000000002E-2</v>
      </c>
      <c r="AA5024">
        <v>0.9411986</v>
      </c>
      <c r="AB5024">
        <v>26</v>
      </c>
      <c r="AC5024">
        <v>25.255099999999899</v>
      </c>
      <c r="AD5024">
        <v>2.1410840000000002</v>
      </c>
      <c r="AE5024">
        <v>-82.186890000000005</v>
      </c>
      <c r="AF5024">
        <v>-28.975573587795701</v>
      </c>
      <c r="AG5024">
        <v>2.1410840000000002</v>
      </c>
      <c r="AH5024">
        <v>80.893517286882698</v>
      </c>
      <c r="AI5024">
        <v>88.572619042633704</v>
      </c>
      <c r="AJ5024">
        <v>109.707220076306</v>
      </c>
      <c r="AK5024">
        <v>85.953064194826794</v>
      </c>
      <c r="AL5024">
        <v>77.249520332549295</v>
      </c>
      <c r="AM5024">
        <v>93.641819908869493</v>
      </c>
      <c r="AN5024">
        <v>0.99999999836199105</v>
      </c>
    </row>
    <row r="5025" spans="1:40" x14ac:dyDescent="0.25">
      <c r="A5025" t="str">
        <f>"20190303170637875"</f>
        <v>20190303170637875</v>
      </c>
      <c r="B5025" t="str">
        <f>"1551603997869587"</f>
        <v>1551603997869587</v>
      </c>
      <c r="C5025" t="s">
        <v>40</v>
      </c>
      <c r="D5025">
        <v>5.5405319999999998</v>
      </c>
      <c r="E5025">
        <v>0.3912371</v>
      </c>
      <c r="F5025" t="s">
        <v>73</v>
      </c>
      <c r="G5025">
        <v>-277.17500000000001</v>
      </c>
      <c r="H5025">
        <v>3.3822670000000001</v>
      </c>
      <c r="I5025">
        <v>-97.74503</v>
      </c>
      <c r="J5025">
        <v>-302.44240000000002</v>
      </c>
      <c r="K5025">
        <v>1.1207149999999999</v>
      </c>
      <c r="L5025">
        <v>-16.773620000000001</v>
      </c>
      <c r="M5025">
        <v>-4.6157740000000003E-2</v>
      </c>
      <c r="N5025">
        <v>-9.0942520000000006E-3</v>
      </c>
      <c r="O5025">
        <v>-0.99889269999999997</v>
      </c>
      <c r="P5025">
        <v>2.1780250000000001E-2</v>
      </c>
      <c r="Q5025">
        <v>0.21401390000000001</v>
      </c>
      <c r="R5025">
        <v>-0.97658800000000001</v>
      </c>
      <c r="S5025">
        <v>0.94360350000000004</v>
      </c>
      <c r="T5025">
        <v>8.4500069999999997E-2</v>
      </c>
      <c r="U5025">
        <v>-3.0350649999999999</v>
      </c>
      <c r="V5025">
        <v>-6.6702839999999999E-2</v>
      </c>
      <c r="W5025">
        <v>0.2229081</v>
      </c>
      <c r="X5025">
        <v>0.97255469999999999</v>
      </c>
      <c r="Y5025">
        <v>-0.34048420000000001</v>
      </c>
      <c r="Z5025">
        <v>-3.5486829999999997E-2</v>
      </c>
      <c r="AA5025">
        <v>0.93958030000000003</v>
      </c>
      <c r="AB5025">
        <v>26</v>
      </c>
      <c r="AC5025">
        <v>25.267399999999999</v>
      </c>
      <c r="AD5025">
        <v>2.261552</v>
      </c>
      <c r="AE5025">
        <v>-80.971409999999906</v>
      </c>
      <c r="AF5025">
        <v>-28.957493766529499</v>
      </c>
      <c r="AG5025">
        <v>2.261552</v>
      </c>
      <c r="AH5025">
        <v>79.662136283539994</v>
      </c>
      <c r="AI5025">
        <v>88.4716419153999</v>
      </c>
      <c r="AJ5025">
        <v>109.976400812089</v>
      </c>
      <c r="AK5025">
        <v>84.792140083527798</v>
      </c>
      <c r="AL5025">
        <v>77.120102224314394</v>
      </c>
      <c r="AM5025">
        <v>93.923497150492906</v>
      </c>
      <c r="AN5025">
        <v>0.99999996720088202</v>
      </c>
    </row>
    <row r="5026" spans="1:40" x14ac:dyDescent="0.25">
      <c r="A5026" t="str">
        <f>"20190303170637896"</f>
        <v>20190303170637896</v>
      </c>
      <c r="B5026" t="str">
        <f>"1551603997890083"</f>
        <v>1551603997890083</v>
      </c>
      <c r="C5026" t="s">
        <v>40</v>
      </c>
      <c r="D5026">
        <v>5.51905</v>
      </c>
      <c r="E5026">
        <v>0.3916326</v>
      </c>
      <c r="F5026" t="s">
        <v>73</v>
      </c>
      <c r="G5026">
        <v>-277.17500000000001</v>
      </c>
      <c r="H5026">
        <v>3.4357820000000001</v>
      </c>
      <c r="I5026">
        <v>-97.25694</v>
      </c>
      <c r="J5026">
        <v>-302.45460000000003</v>
      </c>
      <c r="K5026">
        <v>1.1207290000000001</v>
      </c>
      <c r="L5026">
        <v>-17.03088</v>
      </c>
      <c r="M5026">
        <v>-4.6489910000000002E-2</v>
      </c>
      <c r="N5026">
        <v>-9.1011909999999998E-3</v>
      </c>
      <c r="O5026">
        <v>-0.99887749999999997</v>
      </c>
      <c r="P5026">
        <v>2.6158790000000001E-2</v>
      </c>
      <c r="Q5026">
        <v>0.2151266</v>
      </c>
      <c r="R5026">
        <v>-0.97623599999999999</v>
      </c>
      <c r="S5026">
        <v>0.95175169999999998</v>
      </c>
      <c r="T5026">
        <v>8.7202790000000002E-2</v>
      </c>
      <c r="U5026">
        <v>-3.0315859999999999</v>
      </c>
      <c r="V5026">
        <v>-7.1388530000000006E-2</v>
      </c>
      <c r="W5026">
        <v>0.2240231</v>
      </c>
      <c r="X5026">
        <v>0.97196570000000004</v>
      </c>
      <c r="Y5026">
        <v>-0.34339370000000002</v>
      </c>
      <c r="Z5026">
        <v>-3.6339799999999998E-2</v>
      </c>
      <c r="AA5026">
        <v>0.93848819999999999</v>
      </c>
      <c r="AB5026">
        <v>26</v>
      </c>
      <c r="AC5026">
        <v>25.279599999999999</v>
      </c>
      <c r="AD5026">
        <v>2.3150529999999998</v>
      </c>
      <c r="AE5026">
        <v>-80.226060000000004</v>
      </c>
      <c r="AF5026">
        <v>-28.960183335105398</v>
      </c>
      <c r="AG5026">
        <v>2.3150529999999998</v>
      </c>
      <c r="AH5026">
        <v>78.904245048545803</v>
      </c>
      <c r="AI5026">
        <v>88.422276657451704</v>
      </c>
      <c r="AJ5026">
        <v>110.15462493381</v>
      </c>
      <c r="AK5026">
        <v>84.082885154332601</v>
      </c>
      <c r="AL5026">
        <v>77.054560368961901</v>
      </c>
      <c r="AM5026">
        <v>94.200693659568898</v>
      </c>
      <c r="AN5026">
        <v>0.99999999676283002</v>
      </c>
    </row>
    <row r="5027" spans="1:40" x14ac:dyDescent="0.25">
      <c r="A5027" t="str">
        <f>"20190303170637919"</f>
        <v>20190303170637919</v>
      </c>
      <c r="B5027" t="str">
        <f>"1551603997909603"</f>
        <v>1551603997909603</v>
      </c>
      <c r="C5027" t="s">
        <v>40</v>
      </c>
      <c r="D5027">
        <v>5.5507900000000001</v>
      </c>
      <c r="E5027">
        <v>0.39203080000000001</v>
      </c>
      <c r="F5027" t="s">
        <v>73</v>
      </c>
      <c r="G5027">
        <v>-277.17500000000001</v>
      </c>
      <c r="H5027">
        <v>3.4224670000000001</v>
      </c>
      <c r="I5027">
        <v>-96.694630000000004</v>
      </c>
      <c r="J5027">
        <v>-302.46660000000003</v>
      </c>
      <c r="K5027">
        <v>1.1207309999999999</v>
      </c>
      <c r="L5027">
        <v>-17.281279999999999</v>
      </c>
      <c r="M5027">
        <v>-4.6804760000000001E-2</v>
      </c>
      <c r="N5027">
        <v>-9.1070869999999998E-3</v>
      </c>
      <c r="O5027">
        <v>-0.99886240000000004</v>
      </c>
      <c r="P5027">
        <v>3.125853E-2</v>
      </c>
      <c r="Q5027">
        <v>0.2152935</v>
      </c>
      <c r="R5027">
        <v>-0.9760489</v>
      </c>
      <c r="S5027">
        <v>0.96087650000000002</v>
      </c>
      <c r="T5027">
        <v>8.7489369999999997E-2</v>
      </c>
      <c r="U5027">
        <v>-3.0280149999999999</v>
      </c>
      <c r="V5027">
        <v>-7.6783260000000006E-2</v>
      </c>
      <c r="W5027">
        <v>0.22419359999999999</v>
      </c>
      <c r="X5027">
        <v>0.97151509999999996</v>
      </c>
      <c r="Y5027">
        <v>-0.34657490000000002</v>
      </c>
      <c r="Z5027">
        <v>-3.6437539999999997E-2</v>
      </c>
      <c r="AA5027">
        <v>0.93731430000000004</v>
      </c>
      <c r="AB5027">
        <v>26</v>
      </c>
      <c r="AC5027">
        <v>25.291599999999999</v>
      </c>
      <c r="AD5027">
        <v>2.301736</v>
      </c>
      <c r="AE5027">
        <v>-79.413349999999994</v>
      </c>
      <c r="AF5027">
        <v>-28.9588693784947</v>
      </c>
      <c r="AG5027">
        <v>2.301736</v>
      </c>
      <c r="AH5027">
        <v>78.082937997106896</v>
      </c>
      <c r="AI5027">
        <v>88.416832786628504</v>
      </c>
      <c r="AJ5027">
        <v>110.34846761425599</v>
      </c>
      <c r="AK5027">
        <v>83.311819752988598</v>
      </c>
      <c r="AL5027">
        <v>77.044536705682106</v>
      </c>
      <c r="AM5027">
        <v>94.518952693732103</v>
      </c>
      <c r="AN5027">
        <v>1.00000001441259</v>
      </c>
    </row>
    <row r="5028" spans="1:40" x14ac:dyDescent="0.25">
      <c r="A5028" t="str">
        <f>"20190303170637941"</f>
        <v>20190303170637941</v>
      </c>
      <c r="B5028" t="str">
        <f>"1551603997930099"</f>
        <v>1551603997930099</v>
      </c>
      <c r="C5028" t="s">
        <v>40</v>
      </c>
      <c r="D5028">
        <v>5.510732</v>
      </c>
      <c r="E5028">
        <v>0.39243479999999997</v>
      </c>
      <c r="F5028" t="s">
        <v>73</v>
      </c>
      <c r="G5028">
        <v>-277.17500000000001</v>
      </c>
      <c r="H5028">
        <v>3.345825</v>
      </c>
      <c r="I5028">
        <v>-95.892600000000002</v>
      </c>
      <c r="J5028">
        <v>-302.47919999999999</v>
      </c>
      <c r="K5028">
        <v>1.120741</v>
      </c>
      <c r="L5028">
        <v>-17.543429999999901</v>
      </c>
      <c r="M5028">
        <v>-4.7129909999999997E-2</v>
      </c>
      <c r="N5028">
        <v>-9.1124459999999997E-3</v>
      </c>
      <c r="O5028">
        <v>-0.99884720000000005</v>
      </c>
      <c r="P5028">
        <v>3.6362789999999999E-2</v>
      </c>
      <c r="Q5028">
        <v>0.21590889999999999</v>
      </c>
      <c r="R5028">
        <v>-0.97573639999999995</v>
      </c>
      <c r="S5028">
        <v>0.97277829999999998</v>
      </c>
      <c r="T5028">
        <v>8.5583329999999999E-2</v>
      </c>
      <c r="U5028">
        <v>-3.02359</v>
      </c>
      <c r="V5028">
        <v>-8.2184080000000007E-2</v>
      </c>
      <c r="W5028">
        <v>0.22481209999999999</v>
      </c>
      <c r="X5028">
        <v>0.97093010000000002</v>
      </c>
      <c r="Y5028">
        <v>-0.35062569999999998</v>
      </c>
      <c r="Z5028">
        <v>-3.5850970000000003E-2</v>
      </c>
      <c r="AA5028">
        <v>0.93582920000000003</v>
      </c>
      <c r="AB5028">
        <v>26</v>
      </c>
      <c r="AC5028">
        <v>25.304199999999899</v>
      </c>
      <c r="AD5028">
        <v>2.2250839999999998</v>
      </c>
      <c r="AE5028">
        <v>-78.349170000000001</v>
      </c>
      <c r="AF5028">
        <v>-28.947679419543501</v>
      </c>
      <c r="AG5028">
        <v>2.2250839999999998</v>
      </c>
      <c r="AH5028">
        <v>77.013217523629507</v>
      </c>
      <c r="AI5028">
        <v>88.450823811378797</v>
      </c>
      <c r="AJ5028">
        <v>110.600204711462</v>
      </c>
      <c r="AK5028">
        <v>82.304038879787598</v>
      </c>
      <c r="AL5028">
        <v>77.0081705345236</v>
      </c>
      <c r="AM5028">
        <v>94.838250736831895</v>
      </c>
      <c r="AN5028">
        <v>0.99999998119893296</v>
      </c>
    </row>
    <row r="5029" spans="1:40" x14ac:dyDescent="0.25">
      <c r="A5029" t="str">
        <f>"20190303170637965"</f>
        <v>20190303170637965</v>
      </c>
      <c r="B5029" t="str">
        <f>"1551603997960354"</f>
        <v>1551603997960354</v>
      </c>
      <c r="C5029" t="s">
        <v>40</v>
      </c>
      <c r="D5029">
        <v>5.5159739999999999</v>
      </c>
      <c r="E5029">
        <v>0.39291470000000001</v>
      </c>
      <c r="F5029" t="s">
        <v>73</v>
      </c>
      <c r="G5029">
        <v>-277.63290000000001</v>
      </c>
      <c r="H5029">
        <v>3.2992140000000001</v>
      </c>
      <c r="I5029">
        <v>-93.636840000000007</v>
      </c>
      <c r="J5029">
        <v>-302.49189999999999</v>
      </c>
      <c r="K5029">
        <v>1.120746</v>
      </c>
      <c r="L5029">
        <v>-17.806270000000001</v>
      </c>
      <c r="M5029">
        <v>-4.7454120000000002E-2</v>
      </c>
      <c r="N5029">
        <v>-9.1166509999999999E-3</v>
      </c>
      <c r="O5029">
        <v>-0.99883189999999999</v>
      </c>
      <c r="P5029">
        <v>4.0242279999999998E-2</v>
      </c>
      <c r="Q5029">
        <v>0.2170465</v>
      </c>
      <c r="R5029">
        <v>-0.97533159999999997</v>
      </c>
      <c r="S5029">
        <v>0.98568730000000004</v>
      </c>
      <c r="T5029">
        <v>8.6423749999999994E-2</v>
      </c>
      <c r="U5029">
        <v>-3.0187379999999999</v>
      </c>
      <c r="V5029">
        <v>-8.6354500000000001E-2</v>
      </c>
      <c r="W5029">
        <v>0.22595080000000001</v>
      </c>
      <c r="X5029">
        <v>0.97030369999999999</v>
      </c>
      <c r="Y5029">
        <v>-0.35498289999999999</v>
      </c>
      <c r="Z5029">
        <v>-3.6118589999999999E-2</v>
      </c>
      <c r="AA5029">
        <v>0.93417479999999997</v>
      </c>
      <c r="AB5029">
        <v>26</v>
      </c>
      <c r="AC5029">
        <v>24.858999999999899</v>
      </c>
      <c r="AD5029">
        <v>2.1784680000000001</v>
      </c>
      <c r="AE5029">
        <v>-75.830569999999994</v>
      </c>
      <c r="AF5029">
        <v>-28.4084437527566</v>
      </c>
      <c r="AG5029">
        <v>2.1784680000000001</v>
      </c>
      <c r="AH5029">
        <v>74.509896689372894</v>
      </c>
      <c r="AI5029">
        <v>88.435125751922001</v>
      </c>
      <c r="AJ5029">
        <v>110.87038550289201</v>
      </c>
      <c r="AK5029">
        <v>79.771612143303102</v>
      </c>
      <c r="AL5029">
        <v>76.941205977357001</v>
      </c>
      <c r="AM5029">
        <v>95.085775909557796</v>
      </c>
      <c r="AN5029">
        <v>1.0000000669622799</v>
      </c>
    </row>
    <row r="5030" spans="1:40" x14ac:dyDescent="0.25">
      <c r="A5030" t="str">
        <f>"20190303170637987"</f>
        <v>20190303170637987</v>
      </c>
      <c r="B5030" t="str">
        <f>"1551603997979875"</f>
        <v>1551603997979875</v>
      </c>
      <c r="C5030" t="s">
        <v>40</v>
      </c>
      <c r="D5030">
        <v>5.5289830000000002</v>
      </c>
      <c r="E5030">
        <v>0.40483960000000002</v>
      </c>
      <c r="F5030" t="s">
        <v>73</v>
      </c>
      <c r="G5030">
        <v>-277.63290000000001</v>
      </c>
      <c r="H5030">
        <v>3.2983069999999999</v>
      </c>
      <c r="I5030">
        <v>-93.311719999999994</v>
      </c>
      <c r="J5030">
        <v>-302.50490000000002</v>
      </c>
      <c r="K5030">
        <v>1.1207419999999999</v>
      </c>
      <c r="L5030">
        <v>-18.07086</v>
      </c>
      <c r="M5030">
        <v>-4.7781850000000001E-2</v>
      </c>
      <c r="N5030">
        <v>-9.1140209999999999E-3</v>
      </c>
      <c r="O5030">
        <v>-0.99881620000000004</v>
      </c>
      <c r="P5030">
        <v>4.301833E-2</v>
      </c>
      <c r="Q5030">
        <v>0.21817420000000001</v>
      </c>
      <c r="R5030">
        <v>-0.97496130000000003</v>
      </c>
      <c r="S5030">
        <v>0.99282840000000006</v>
      </c>
      <c r="T5030">
        <v>8.6968779999999996E-2</v>
      </c>
      <c r="U5030">
        <v>-3.0155639999999999</v>
      </c>
      <c r="V5030">
        <v>-8.9427240000000005E-2</v>
      </c>
      <c r="W5030">
        <v>0.22707330000000001</v>
      </c>
      <c r="X5030">
        <v>0.96976309999999999</v>
      </c>
      <c r="Y5030">
        <v>-0.35757420000000001</v>
      </c>
      <c r="Z5030">
        <v>-3.6289460000000003E-2</v>
      </c>
      <c r="AA5030">
        <v>0.93317939999999999</v>
      </c>
      <c r="AB5030">
        <v>26</v>
      </c>
      <c r="AC5030">
        <v>24.872</v>
      </c>
      <c r="AD5030">
        <v>2.177565</v>
      </c>
      <c r="AE5030">
        <v>-75.240859999999998</v>
      </c>
      <c r="AF5030">
        <v>-28.417427987958</v>
      </c>
      <c r="AG5030">
        <v>2.177565</v>
      </c>
      <c r="AH5030">
        <v>73.910623972453095</v>
      </c>
      <c r="AI5030">
        <v>88.424787669084196</v>
      </c>
      <c r="AJ5030">
        <v>111.030936576511</v>
      </c>
      <c r="AK5030">
        <v>79.215354185772398</v>
      </c>
      <c r="AL5030">
        <v>76.875174222612401</v>
      </c>
      <c r="AM5030">
        <v>95.2686612902381</v>
      </c>
      <c r="AN5030">
        <v>0.99999999247425797</v>
      </c>
    </row>
    <row r="5031" spans="1:40" x14ac:dyDescent="0.25">
      <c r="A5031" t="str">
        <f>"20190303170638008"</f>
        <v>20190303170638008</v>
      </c>
      <c r="B5031" t="str">
        <f>"1551603998000371"</f>
        <v>1551603998000371</v>
      </c>
      <c r="C5031" t="s">
        <v>40</v>
      </c>
      <c r="D5031">
        <v>5.5098209999999996</v>
      </c>
      <c r="E5031">
        <v>0.40497870000000002</v>
      </c>
      <c r="F5031" t="s">
        <v>73</v>
      </c>
      <c r="G5031">
        <v>-277.17500000000001</v>
      </c>
      <c r="H5031">
        <v>2.4727749999999999</v>
      </c>
      <c r="I5031">
        <v>-102.6806</v>
      </c>
      <c r="J5031">
        <v>-302.51710000000003</v>
      </c>
      <c r="K5031">
        <v>1.120738</v>
      </c>
      <c r="L5031">
        <v>-18.319269999999999</v>
      </c>
      <c r="M5031">
        <v>-4.8092129999999997E-2</v>
      </c>
      <c r="N5031">
        <v>-9.1094209999999995E-3</v>
      </c>
      <c r="O5031">
        <v>-0.9988013</v>
      </c>
      <c r="P5031">
        <v>4.526728E-2</v>
      </c>
      <c r="Q5031">
        <v>0.2188003</v>
      </c>
      <c r="R5031">
        <v>-0.97471890000000005</v>
      </c>
      <c r="S5031">
        <v>0.90597530000000004</v>
      </c>
      <c r="T5031">
        <v>4.83588E-2</v>
      </c>
      <c r="U5031">
        <v>-3.0262449999999999</v>
      </c>
      <c r="V5031">
        <v>-9.1961650000000006E-2</v>
      </c>
      <c r="W5031">
        <v>0.2276937</v>
      </c>
      <c r="X5031">
        <v>0.96938060000000004</v>
      </c>
      <c r="Y5031">
        <v>-0.33246249999999999</v>
      </c>
      <c r="Z5031">
        <v>-2.4335180000000001E-2</v>
      </c>
      <c r="AA5031">
        <v>0.94280240000000004</v>
      </c>
      <c r="AB5031">
        <v>26</v>
      </c>
      <c r="AC5031">
        <v>25.342099999999999</v>
      </c>
      <c r="AD5031">
        <v>1.3520369999999999</v>
      </c>
      <c r="AE5031">
        <v>-84.361329999999995</v>
      </c>
      <c r="AF5031">
        <v>-29.363141130215698</v>
      </c>
      <c r="AG5031">
        <v>1.3520369999999999</v>
      </c>
      <c r="AH5031">
        <v>83.025341060749795</v>
      </c>
      <c r="AI5031">
        <v>89.120420796441906</v>
      </c>
      <c r="AJ5031">
        <v>109.476894770271</v>
      </c>
      <c r="AK5031">
        <v>88.075134512166201</v>
      </c>
      <c r="AL5031">
        <v>76.838672611120103</v>
      </c>
      <c r="AM5031">
        <v>95.419226284651401</v>
      </c>
      <c r="AN5031">
        <v>1.00000005687338</v>
      </c>
    </row>
    <row r="5032" spans="1:40" x14ac:dyDescent="0.25">
      <c r="A5032" t="str">
        <f>"20190303170638030"</f>
        <v>20190303170638030</v>
      </c>
      <c r="B5032" t="str">
        <f>"1551603998019891"</f>
        <v>1551603998019891</v>
      </c>
      <c r="C5032" t="s">
        <v>40</v>
      </c>
      <c r="D5032">
        <v>5.5267280000000003</v>
      </c>
      <c r="E5032">
        <v>0.40510990000000002</v>
      </c>
      <c r="F5032" t="s">
        <v>73</v>
      </c>
      <c r="G5032">
        <v>-277.17500000000001</v>
      </c>
      <c r="H5032">
        <v>2.5458530000000001</v>
      </c>
      <c r="I5032">
        <v>-102.50279999999999</v>
      </c>
      <c r="J5032">
        <v>-302.52980000000002</v>
      </c>
      <c r="K5032">
        <v>1.1207389999999999</v>
      </c>
      <c r="L5032">
        <v>-18.576840000000001</v>
      </c>
      <c r="M5032">
        <v>-4.841612E-2</v>
      </c>
      <c r="N5032">
        <v>-9.105531E-3</v>
      </c>
      <c r="O5032">
        <v>-0.99878579999999995</v>
      </c>
      <c r="P5032">
        <v>4.6946950000000001E-2</v>
      </c>
      <c r="Q5032">
        <v>0.21921499999999999</v>
      </c>
      <c r="R5032">
        <v>-0.97454660000000004</v>
      </c>
      <c r="S5032">
        <v>0.91033940000000002</v>
      </c>
      <c r="T5032">
        <v>5.1193710000000003E-2</v>
      </c>
      <c r="U5032">
        <v>-3.0240480000000001</v>
      </c>
      <c r="V5032">
        <v>-9.3943960000000007E-2</v>
      </c>
      <c r="W5032">
        <v>0.22810369999999999</v>
      </c>
      <c r="X5032">
        <v>0.96909400000000001</v>
      </c>
      <c r="Y5032">
        <v>-0.33419910000000003</v>
      </c>
      <c r="Z5032">
        <v>-2.5222959999999999E-2</v>
      </c>
      <c r="AA5032">
        <v>0.94216500000000003</v>
      </c>
      <c r="AB5032">
        <v>26</v>
      </c>
      <c r="AC5032">
        <v>25.354800000000001</v>
      </c>
      <c r="AD5032">
        <v>1.42511399999999</v>
      </c>
      <c r="AE5032">
        <v>-83.925959999999904</v>
      </c>
      <c r="AF5032">
        <v>-29.3808371793607</v>
      </c>
      <c r="AG5032">
        <v>1.42511399999999</v>
      </c>
      <c r="AH5032">
        <v>82.578076758262696</v>
      </c>
      <c r="AI5032">
        <v>89.068492628482304</v>
      </c>
      <c r="AJ5032">
        <v>109.585286089669</v>
      </c>
      <c r="AK5032">
        <v>87.660728404266706</v>
      </c>
      <c r="AL5032">
        <v>76.814545336266704</v>
      </c>
      <c r="AM5032">
        <v>95.536951143468599</v>
      </c>
      <c r="AN5032">
        <v>0.99999997320508505</v>
      </c>
    </row>
    <row r="5033" spans="1:40" x14ac:dyDescent="0.25">
      <c r="A5033" t="str">
        <f>"20190303170638053"</f>
        <v>20190303170638053</v>
      </c>
      <c r="B5033" t="str">
        <f>"1551603998040387"</f>
        <v>1551603998040387</v>
      </c>
      <c r="C5033" t="s">
        <v>40</v>
      </c>
      <c r="D5033">
        <v>5.5406110000000002</v>
      </c>
      <c r="E5033">
        <v>0.405526</v>
      </c>
      <c r="F5033" t="s">
        <v>73</v>
      </c>
      <c r="G5033">
        <v>-277.17500000000001</v>
      </c>
      <c r="H5033">
        <v>2.4661360000000001</v>
      </c>
      <c r="I5033">
        <v>-102.5538</v>
      </c>
      <c r="J5033">
        <v>-302.54270000000002</v>
      </c>
      <c r="K5033">
        <v>1.120743</v>
      </c>
      <c r="L5033">
        <v>-18.836300000000001</v>
      </c>
      <c r="M5033">
        <v>-4.8744709999999997E-2</v>
      </c>
      <c r="N5033">
        <v>-9.1016829999999993E-3</v>
      </c>
      <c r="O5033">
        <v>-0.99876980000000004</v>
      </c>
      <c r="P5033">
        <v>4.8929739999999999E-2</v>
      </c>
      <c r="Q5033">
        <v>0.22067310000000001</v>
      </c>
      <c r="R5033">
        <v>-0.97411979999999998</v>
      </c>
      <c r="S5033">
        <v>0.91287229999999997</v>
      </c>
      <c r="T5033">
        <v>4.8439980000000001E-2</v>
      </c>
      <c r="U5033">
        <v>-3.0234990000000002</v>
      </c>
      <c r="V5033">
        <v>-9.6220929999999996E-2</v>
      </c>
      <c r="W5033">
        <v>0.22955519999999999</v>
      </c>
      <c r="X5033">
        <v>0.96852769999999999</v>
      </c>
      <c r="Y5033">
        <v>-0.33528469999999999</v>
      </c>
      <c r="Z5033">
        <v>-2.4353989999999999E-2</v>
      </c>
      <c r="AA5033">
        <v>0.94180200000000003</v>
      </c>
      <c r="AB5033">
        <v>26</v>
      </c>
      <c r="AC5033">
        <v>25.367699999999999</v>
      </c>
      <c r="AD5033">
        <v>1.3453930000000001</v>
      </c>
      <c r="AE5033">
        <v>-83.717500000000001</v>
      </c>
      <c r="AF5033">
        <v>-29.411539273164301</v>
      </c>
      <c r="AG5033">
        <v>1.3453930000000001</v>
      </c>
      <c r="AH5033">
        <v>82.361899483753106</v>
      </c>
      <c r="AI5033">
        <v>89.118649196950301</v>
      </c>
      <c r="AJ5033">
        <v>109.651711033304</v>
      </c>
      <c r="AK5033">
        <v>87.466171811238993</v>
      </c>
      <c r="AL5033">
        <v>76.729113814511905</v>
      </c>
      <c r="AM5033">
        <v>95.673582691296502</v>
      </c>
      <c r="AN5033">
        <v>0.99999998144219704</v>
      </c>
    </row>
    <row r="5034" spans="1:40" x14ac:dyDescent="0.25">
      <c r="A5034" t="str">
        <f>"20190303170638075"</f>
        <v>20190303170638075</v>
      </c>
      <c r="B5034" t="str">
        <f>"1551603998069667"</f>
        <v>1551603998069667</v>
      </c>
      <c r="C5034" t="s">
        <v>40</v>
      </c>
      <c r="D5034">
        <v>5.5324159999999996</v>
      </c>
      <c r="E5034">
        <v>0.40604980000000002</v>
      </c>
      <c r="F5034" t="s">
        <v>73</v>
      </c>
      <c r="G5034">
        <v>-277.17500000000001</v>
      </c>
      <c r="H5034">
        <v>2.5372300000000001</v>
      </c>
      <c r="I5034">
        <v>-102.6887</v>
      </c>
      <c r="J5034">
        <v>-302.55610000000001</v>
      </c>
      <c r="K5034">
        <v>1.120746</v>
      </c>
      <c r="L5034">
        <v>-19.103909999999999</v>
      </c>
      <c r="M5034">
        <v>-4.9085110000000001E-2</v>
      </c>
      <c r="N5034">
        <v>-9.0972039999999994E-3</v>
      </c>
      <c r="O5034">
        <v>-0.99875340000000001</v>
      </c>
      <c r="P5034">
        <v>4.9310199999999998E-2</v>
      </c>
      <c r="Q5034">
        <v>0.22291369999999999</v>
      </c>
      <c r="R5034">
        <v>-0.97359039999999997</v>
      </c>
      <c r="S5034">
        <v>0.91430659999999997</v>
      </c>
      <c r="T5034">
        <v>5.1053519999999998E-2</v>
      </c>
      <c r="U5034">
        <v>-3.0222169999999999</v>
      </c>
      <c r="V5034">
        <v>-9.6903420000000004E-2</v>
      </c>
      <c r="W5034">
        <v>0.23178689999999999</v>
      </c>
      <c r="X5034">
        <v>0.96792800000000001</v>
      </c>
      <c r="Y5034">
        <v>-0.33612110000000001</v>
      </c>
      <c r="Z5034">
        <v>-2.5171700000000002E-2</v>
      </c>
      <c r="AA5034">
        <v>0.94148240000000005</v>
      </c>
      <c r="AB5034">
        <v>26</v>
      </c>
      <c r="AC5034">
        <v>25.3811</v>
      </c>
      <c r="AD5034">
        <v>1.4164840000000001</v>
      </c>
      <c r="AE5034">
        <v>-83.584789999999998</v>
      </c>
      <c r="AF5034">
        <v>-29.4456979594306</v>
      </c>
      <c r="AG5034">
        <v>1.4164840000000001</v>
      </c>
      <c r="AH5034">
        <v>82.2165248388187</v>
      </c>
      <c r="AI5034">
        <v>89.070754284995203</v>
      </c>
      <c r="AJ5034">
        <v>109.704892136672</v>
      </c>
      <c r="AK5034">
        <v>87.341928715894298</v>
      </c>
      <c r="AL5034">
        <v>76.597703485495103</v>
      </c>
      <c r="AM5034">
        <v>95.717076300540199</v>
      </c>
      <c r="AN5034">
        <v>1.00000002650165</v>
      </c>
    </row>
    <row r="5035" spans="1:40" x14ac:dyDescent="0.25">
      <c r="A5035" t="str">
        <f>"20190303170638097"</f>
        <v>20190303170638097</v>
      </c>
      <c r="B5035" t="str">
        <f>"1551603998090163"</f>
        <v>1551603998090163</v>
      </c>
      <c r="C5035" t="s">
        <v>40</v>
      </c>
      <c r="D5035">
        <v>5.940753</v>
      </c>
      <c r="E5035">
        <v>0.42942350000000001</v>
      </c>
      <c r="F5035" t="s">
        <v>73</v>
      </c>
      <c r="G5035">
        <v>-277.17500000000001</v>
      </c>
      <c r="H5035">
        <v>2.7041680000000001</v>
      </c>
      <c r="I5035">
        <v>-103.2787</v>
      </c>
      <c r="J5035">
        <v>-302.56909999999999</v>
      </c>
      <c r="K5035">
        <v>1.1207480000000001</v>
      </c>
      <c r="L5035">
        <v>-19.361630000000002</v>
      </c>
      <c r="M5035">
        <v>-4.9413230000000002E-2</v>
      </c>
      <c r="N5035">
        <v>-9.0929289999999996E-3</v>
      </c>
      <c r="O5035">
        <v>-0.99873719999999999</v>
      </c>
      <c r="P5035">
        <v>4.872568E-2</v>
      </c>
      <c r="Q5035">
        <v>0.22409380000000001</v>
      </c>
      <c r="R5035">
        <v>-0.97334889999999996</v>
      </c>
      <c r="S5035">
        <v>0.91128540000000002</v>
      </c>
      <c r="T5035">
        <v>5.6851510000000001E-2</v>
      </c>
      <c r="U5035">
        <v>-3.0222169999999999</v>
      </c>
      <c r="V5035">
        <v>-9.6624489999999993E-2</v>
      </c>
      <c r="W5035">
        <v>0.23296069999999999</v>
      </c>
      <c r="X5035">
        <v>0.96767400000000003</v>
      </c>
      <c r="Y5035">
        <v>-0.33555699999999999</v>
      </c>
      <c r="Z5035">
        <v>-2.69888E-2</v>
      </c>
      <c r="AA5035">
        <v>0.94163319999999995</v>
      </c>
      <c r="AB5035">
        <v>26</v>
      </c>
      <c r="AC5035">
        <v>25.394099999999899</v>
      </c>
      <c r="AD5035">
        <v>1.58342</v>
      </c>
      <c r="AE5035">
        <v>-83.917069999999995</v>
      </c>
      <c r="AF5035">
        <v>-29.5002387455514</v>
      </c>
      <c r="AG5035">
        <v>1.58342</v>
      </c>
      <c r="AH5035">
        <v>82.532774584414497</v>
      </c>
      <c r="AI5035">
        <v>88.965009071875798</v>
      </c>
      <c r="AJ5035">
        <v>109.668751737731</v>
      </c>
      <c r="AK5035">
        <v>87.660881729210999</v>
      </c>
      <c r="AL5035">
        <v>76.528556210599504</v>
      </c>
      <c r="AM5035">
        <v>95.702215122129104</v>
      </c>
      <c r="AN5035">
        <v>0.99999997504412397</v>
      </c>
    </row>
    <row r="5036" spans="1:40" x14ac:dyDescent="0.25">
      <c r="A5036" t="str">
        <f>"20190303170638120"</f>
        <v>20190303170638120</v>
      </c>
      <c r="B5036" t="str">
        <f>"1551603998109683"</f>
        <v>1551603998109683</v>
      </c>
      <c r="C5036" t="s">
        <v>40</v>
      </c>
      <c r="D5036">
        <v>5.5562639999999996</v>
      </c>
      <c r="E5036">
        <v>0.4831898</v>
      </c>
      <c r="F5036" t="s">
        <v>105</v>
      </c>
      <c r="G5036">
        <v>-288.04930000000002</v>
      </c>
      <c r="H5036">
        <v>0.72985269999999902</v>
      </c>
      <c r="I5036">
        <v>-80.464519999999993</v>
      </c>
      <c r="J5036">
        <v>-302.58229999999998</v>
      </c>
      <c r="K5036">
        <v>1.120746</v>
      </c>
      <c r="L5036">
        <v>-19.62134</v>
      </c>
      <c r="M5036">
        <v>-4.9743570000000001E-2</v>
      </c>
      <c r="N5036">
        <v>-9.0890740000000008E-3</v>
      </c>
      <c r="O5036">
        <v>-0.99872070000000002</v>
      </c>
      <c r="P5036">
        <v>4.9304580000000001E-2</v>
      </c>
      <c r="Q5036">
        <v>0.22305530000000001</v>
      </c>
      <c r="R5036">
        <v>-0.97355840000000005</v>
      </c>
      <c r="S5036">
        <v>0.72485350000000004</v>
      </c>
      <c r="T5036">
        <v>-1.9513369999999999E-2</v>
      </c>
      <c r="U5036">
        <v>-3.050354</v>
      </c>
      <c r="V5036">
        <v>-9.7533439999999999E-2</v>
      </c>
      <c r="W5036">
        <v>0.23192099999999999</v>
      </c>
      <c r="X5036">
        <v>0.96783260000000004</v>
      </c>
      <c r="Y5036">
        <v>-0.279283</v>
      </c>
      <c r="Z5036">
        <v>-2.9704670000000001E-3</v>
      </c>
      <c r="AA5036">
        <v>0.96020419999999995</v>
      </c>
      <c r="AB5036">
        <v>26</v>
      </c>
      <c r="AC5036">
        <v>14.5329999999999</v>
      </c>
      <c r="AD5036">
        <v>-0.3908933</v>
      </c>
      <c r="AE5036">
        <v>-60.843179999999897</v>
      </c>
      <c r="AF5036">
        <v>-17.541003946638799</v>
      </c>
      <c r="AG5036">
        <v>-0.3908933</v>
      </c>
      <c r="AH5036">
        <v>60.0425536166698</v>
      </c>
      <c r="AI5036">
        <v>90.358040087778903</v>
      </c>
      <c r="AJ5036">
        <v>106.285346839035</v>
      </c>
      <c r="AK5036">
        <v>62.553559945367297</v>
      </c>
      <c r="AL5036">
        <v>76.5898049633619</v>
      </c>
      <c r="AM5036">
        <v>95.7545607699128</v>
      </c>
      <c r="AN5036">
        <v>1.0000000318909901</v>
      </c>
    </row>
    <row r="5037" spans="1:40" x14ac:dyDescent="0.25">
      <c r="A5037" t="str">
        <f>"20190303170638142"</f>
        <v>20190303170638142</v>
      </c>
      <c r="B5037" t="str">
        <f>"1551603998130180"</f>
        <v>1551603998130180</v>
      </c>
      <c r="C5037" t="s">
        <v>40</v>
      </c>
      <c r="D5037">
        <v>5.5227449999999996</v>
      </c>
      <c r="E5037">
        <v>0.49789850000000002</v>
      </c>
      <c r="F5037" t="s">
        <v>41</v>
      </c>
      <c r="G5037">
        <v>-300.7878</v>
      </c>
      <c r="H5037" s="1">
        <v>-1.161654E-6</v>
      </c>
      <c r="I5037">
        <v>-38.191670000000002</v>
      </c>
      <c r="J5037">
        <v>-302.59589999999997</v>
      </c>
      <c r="K5037">
        <v>1.1207400000000001</v>
      </c>
      <c r="L5037">
        <v>-19.887180000000001</v>
      </c>
      <c r="M5037">
        <v>-5.0081550000000002E-2</v>
      </c>
      <c r="N5037">
        <v>-9.0855539999999992E-3</v>
      </c>
      <c r="O5037">
        <v>-0.99870380000000003</v>
      </c>
      <c r="P5037">
        <v>5.0138670000000003E-2</v>
      </c>
      <c r="Q5037">
        <v>0.2216313</v>
      </c>
      <c r="R5037">
        <v>-0.9738407</v>
      </c>
      <c r="S5037">
        <v>0.30044559999999998</v>
      </c>
      <c r="T5037">
        <v>-0.18764810000000001</v>
      </c>
      <c r="U5037">
        <v>-3.1092529999999998</v>
      </c>
      <c r="V5037">
        <v>-9.8708560000000001E-2</v>
      </c>
      <c r="W5037">
        <v>0.23049629999999999</v>
      </c>
      <c r="X5037">
        <v>0.96805379999999996</v>
      </c>
      <c r="Y5037">
        <v>-0.14574279999999901</v>
      </c>
      <c r="Z5037">
        <v>5.0574800000000003E-2</v>
      </c>
      <c r="AA5037">
        <v>0.98802889999999999</v>
      </c>
      <c r="AB5037">
        <v>26</v>
      </c>
      <c r="AC5037">
        <v>1.8080999999999601</v>
      </c>
      <c r="AD5037">
        <v>-1.120741161654</v>
      </c>
      <c r="AE5037">
        <v>-18.304490000000001</v>
      </c>
      <c r="AF5037">
        <v>-2.7125154701988499</v>
      </c>
      <c r="AG5037">
        <v>-1.120741161654</v>
      </c>
      <c r="AH5037">
        <v>18.123676197735399</v>
      </c>
      <c r="AI5037">
        <v>93.499698420319504</v>
      </c>
      <c r="AJ5037">
        <v>98.512102649347298</v>
      </c>
      <c r="AK5037">
        <v>18.359777772289501</v>
      </c>
      <c r="AL5037">
        <v>76.673707814369706</v>
      </c>
      <c r="AM5037">
        <v>95.8220987052526</v>
      </c>
      <c r="AN5037">
        <v>1.0000000419127</v>
      </c>
    </row>
    <row r="5038" spans="1:40" x14ac:dyDescent="0.25">
      <c r="A5038" t="str">
        <f>"20190303170638166"</f>
        <v>20190303170638166</v>
      </c>
      <c r="B5038" t="str">
        <f>"1551603998149700"</f>
        <v>1551603998149700</v>
      </c>
      <c r="C5038" t="s">
        <v>40</v>
      </c>
      <c r="D5038">
        <v>5.520276</v>
      </c>
      <c r="E5038">
        <v>0.50274770000000002</v>
      </c>
      <c r="F5038" t="s">
        <v>71</v>
      </c>
      <c r="G5038">
        <v>-301.32870000000003</v>
      </c>
      <c r="H5038" s="1">
        <v>-7.7892859999999995E-7</v>
      </c>
      <c r="I5038">
        <v>-41.311279999999996</v>
      </c>
      <c r="J5038">
        <v>-302.6096</v>
      </c>
      <c r="K5038">
        <v>1.1207389999999999</v>
      </c>
      <c r="L5038">
        <v>-20.152979999999999</v>
      </c>
      <c r="M5038">
        <v>-5.041818E-2</v>
      </c>
      <c r="N5038">
        <v>-9.0818270000000006E-3</v>
      </c>
      <c r="O5038">
        <v>-0.99868690000000004</v>
      </c>
      <c r="P5038">
        <v>5.0128880000000001E-2</v>
      </c>
      <c r="Q5038">
        <v>0.22123480000000001</v>
      </c>
      <c r="R5038">
        <v>-0.97393130000000006</v>
      </c>
      <c r="S5038">
        <v>0.1838379</v>
      </c>
      <c r="T5038">
        <v>-0.1625926</v>
      </c>
      <c r="U5038">
        <v>-3.1081240000000001</v>
      </c>
      <c r="V5038">
        <v>-9.9030209999999994E-2</v>
      </c>
      <c r="W5038">
        <v>0.2300972</v>
      </c>
      <c r="X5038">
        <v>0.96811590000000003</v>
      </c>
      <c r="Y5038">
        <v>-0.1092166</v>
      </c>
      <c r="Z5038">
        <v>4.2854389999999999E-2</v>
      </c>
      <c r="AA5038">
        <v>0.99309380000000003</v>
      </c>
      <c r="AB5038">
        <v>26</v>
      </c>
      <c r="AC5038">
        <v>1.28089999999997</v>
      </c>
      <c r="AD5038">
        <v>-1.1207397789286</v>
      </c>
      <c r="AE5038">
        <v>-21.158300000000001</v>
      </c>
      <c r="AF5038">
        <v>-2.3395376117411999</v>
      </c>
      <c r="AG5038">
        <v>-1.1207397789286</v>
      </c>
      <c r="AH5038">
        <v>21.008077183656201</v>
      </c>
      <c r="AI5038">
        <v>93.034996419612099</v>
      </c>
      <c r="AJ5038">
        <v>96.354488230968499</v>
      </c>
      <c r="AK5038">
        <v>21.167635693276701</v>
      </c>
      <c r="AL5038">
        <v>76.697206292835006</v>
      </c>
      <c r="AM5038">
        <v>95.840567457591703</v>
      </c>
      <c r="AN5038">
        <v>1.0000000498866399</v>
      </c>
    </row>
    <row r="5039" spans="1:40" x14ac:dyDescent="0.25">
      <c r="A5039" t="str">
        <f>"20190303170638190"</f>
        <v>20190303170638190</v>
      </c>
      <c r="B5039" t="str">
        <f>"1551603998179955"</f>
        <v>1551603998179955</v>
      </c>
      <c r="C5039" t="s">
        <v>40</v>
      </c>
      <c r="D5039">
        <v>5.504518</v>
      </c>
      <c r="E5039">
        <v>0.50642640000000005</v>
      </c>
      <c r="F5039" t="s">
        <v>71</v>
      </c>
      <c r="G5039">
        <v>-301.61970000000002</v>
      </c>
      <c r="H5039" s="1">
        <v>-9.2128930000000001E-7</v>
      </c>
      <c r="I5039">
        <v>-41.471499999999999</v>
      </c>
      <c r="J5039">
        <v>-302.62490000000003</v>
      </c>
      <c r="K5039">
        <v>1.1207229999999999</v>
      </c>
      <c r="L5039">
        <v>-20.449190000000002</v>
      </c>
      <c r="M5039">
        <v>-5.079065E-2</v>
      </c>
      <c r="N5039">
        <v>-9.0712740000000007E-3</v>
      </c>
      <c r="O5039">
        <v>-0.99866829999999995</v>
      </c>
      <c r="P5039">
        <v>4.9146719999999998E-2</v>
      </c>
      <c r="Q5039">
        <v>0.22155130000000001</v>
      </c>
      <c r="R5039">
        <v>-0.97390960000000004</v>
      </c>
      <c r="S5039">
        <v>0.14440919999999999</v>
      </c>
      <c r="T5039">
        <v>-0.16349720000000001</v>
      </c>
      <c r="U5039">
        <v>-3.1100159999999999</v>
      </c>
      <c r="V5039">
        <v>-9.8409800000000006E-2</v>
      </c>
      <c r="W5039">
        <v>0.230403</v>
      </c>
      <c r="X5039">
        <v>0.96810640000000003</v>
      </c>
      <c r="Y5039">
        <v>-9.6991229999999998E-2</v>
      </c>
      <c r="Z5039">
        <v>4.3173589999999998E-2</v>
      </c>
      <c r="AA5039">
        <v>0.99434840000000002</v>
      </c>
      <c r="AB5039">
        <v>26</v>
      </c>
      <c r="AC5039">
        <v>1.0052000000000001</v>
      </c>
      <c r="AD5039">
        <v>-1.1207239212893001</v>
      </c>
      <c r="AE5039">
        <v>-21.022310000000001</v>
      </c>
      <c r="AF5039">
        <v>-2.0658251906217902</v>
      </c>
      <c r="AG5039">
        <v>-1.1207239212893001</v>
      </c>
      <c r="AH5039">
        <v>20.884896727251899</v>
      </c>
      <c r="AI5039">
        <v>93.056767122562604</v>
      </c>
      <c r="AJ5039">
        <v>95.649024261538997</v>
      </c>
      <c r="AK5039">
        <v>21.0167211318497</v>
      </c>
      <c r="AL5039">
        <v>76.679201027967807</v>
      </c>
      <c r="AM5039">
        <v>95.804284310433005</v>
      </c>
      <c r="AN5039">
        <v>1.0000000164329901</v>
      </c>
    </row>
    <row r="5040" spans="1:40" x14ac:dyDescent="0.25">
      <c r="A5040" t="str">
        <f>"20190303170638232"</f>
        <v>20190303170638232</v>
      </c>
      <c r="B5040" t="str">
        <f>"1551603998219971"</f>
        <v>1551603998219971</v>
      </c>
      <c r="C5040" t="s">
        <v>40</v>
      </c>
      <c r="D5040">
        <v>5.541588</v>
      </c>
      <c r="E5040">
        <v>0.50899539999999999</v>
      </c>
      <c r="F5040" t="s">
        <v>71</v>
      </c>
      <c r="G5040">
        <v>-301.81509999999997</v>
      </c>
      <c r="H5040" s="1">
        <v>-2.011977E-6</v>
      </c>
      <c r="I5040">
        <v>-43.144620000000003</v>
      </c>
      <c r="J5040">
        <v>-302.65069999999997</v>
      </c>
      <c r="K5040">
        <v>1.120717</v>
      </c>
      <c r="L5040">
        <v>-20.941310000000001</v>
      </c>
      <c r="M5040">
        <v>-5.1405689999999997E-2</v>
      </c>
      <c r="N5040">
        <v>-9.0534870000000007E-3</v>
      </c>
      <c r="O5040">
        <v>-0.99863679999999999</v>
      </c>
      <c r="P5040">
        <v>4.9615140000000002E-2</v>
      </c>
      <c r="Q5040">
        <v>0.2195346</v>
      </c>
      <c r="R5040">
        <v>-0.97434200000000004</v>
      </c>
      <c r="S5040">
        <v>0.1109619</v>
      </c>
      <c r="T5040">
        <v>-0.1535609</v>
      </c>
      <c r="U5040">
        <v>-3.1097109999999999</v>
      </c>
      <c r="V5040">
        <v>-9.9498710000000004E-2</v>
      </c>
      <c r="W5040">
        <v>0.22837289999999999</v>
      </c>
      <c r="X5040">
        <v>0.96847609999999995</v>
      </c>
      <c r="Y5040">
        <v>-8.6935879999999993E-2</v>
      </c>
      <c r="Z5040">
        <v>4.0061409999999999E-2</v>
      </c>
      <c r="AA5040">
        <v>0.99540810000000002</v>
      </c>
      <c r="AB5040">
        <v>26</v>
      </c>
      <c r="AC5040">
        <v>0.83559999999999901</v>
      </c>
      <c r="AD5040">
        <v>-1.1207190119770001</v>
      </c>
      <c r="AE5040">
        <v>-22.203309999999998</v>
      </c>
      <c r="AF5040">
        <v>-1.9709041087307</v>
      </c>
      <c r="AG5040">
        <v>-1.1207190119770001</v>
      </c>
      <c r="AH5040">
        <v>22.074833434093499</v>
      </c>
      <c r="AI5040">
        <v>92.894863262239099</v>
      </c>
      <c r="AJ5040">
        <v>95.102002609906904</v>
      </c>
      <c r="AK5040">
        <v>22.1909608907003</v>
      </c>
      <c r="AL5040">
        <v>76.798704403046997</v>
      </c>
      <c r="AM5040">
        <v>95.865838883058501</v>
      </c>
      <c r="AN5040">
        <v>1.0000000655086301</v>
      </c>
    </row>
    <row r="5041" spans="1:40" x14ac:dyDescent="0.25">
      <c r="A5041" t="str">
        <f>"20190303170638254"</f>
        <v>20190303170638254</v>
      </c>
      <c r="B5041" t="str">
        <f>"1551603998239491"</f>
        <v>1551603998239491</v>
      </c>
      <c r="C5041" t="s">
        <v>40</v>
      </c>
      <c r="D5041">
        <v>5.557029</v>
      </c>
      <c r="E5041">
        <v>0.50972870000000003</v>
      </c>
      <c r="F5041" t="s">
        <v>71</v>
      </c>
      <c r="G5041">
        <v>-302.03460000000001</v>
      </c>
      <c r="H5041" s="1">
        <v>-1.752234E-6</v>
      </c>
      <c r="I5041">
        <v>-42.687910000000002</v>
      </c>
      <c r="J5041">
        <v>-302.66469999999998</v>
      </c>
      <c r="K5041">
        <v>1.120714</v>
      </c>
      <c r="L5041">
        <v>-21.20599</v>
      </c>
      <c r="M5041">
        <v>-5.1735000000000003E-2</v>
      </c>
      <c r="N5041">
        <v>-9.0452959999999995E-3</v>
      </c>
      <c r="O5041">
        <v>-0.9986199</v>
      </c>
      <c r="P5041">
        <v>5.0614340000000001E-2</v>
      </c>
      <c r="Q5041">
        <v>0.21778829999999999</v>
      </c>
      <c r="R5041">
        <v>-0.97468299999999997</v>
      </c>
      <c r="S5041">
        <v>8.8134770000000001E-2</v>
      </c>
      <c r="T5041">
        <v>-0.16030720000000001</v>
      </c>
      <c r="U5041">
        <v>-3.1106259999999999</v>
      </c>
      <c r="V5041">
        <v>-0.10083490000000001</v>
      </c>
      <c r="W5041">
        <v>0.22662189999999999</v>
      </c>
      <c r="X5041">
        <v>0.96874910000000003</v>
      </c>
      <c r="Y5041">
        <v>-7.9953199999999905E-2</v>
      </c>
      <c r="Z5041">
        <v>4.2228969999999998E-2</v>
      </c>
      <c r="AA5041">
        <v>0.99590369999999995</v>
      </c>
      <c r="AB5041">
        <v>27</v>
      </c>
      <c r="AC5041">
        <v>0.63009999999997002</v>
      </c>
      <c r="AD5041">
        <v>-1.1207157522340001</v>
      </c>
      <c r="AE5041">
        <v>-21.481919999999899</v>
      </c>
      <c r="AF5041">
        <v>-1.73594799475894</v>
      </c>
      <c r="AG5041">
        <v>-1.1207157522340001</v>
      </c>
      <c r="AH5041">
        <v>21.3624577125759</v>
      </c>
      <c r="AI5041">
        <v>92.993245493686004</v>
      </c>
      <c r="AJ5041">
        <v>94.645740032667106</v>
      </c>
      <c r="AK5041">
        <v>21.462155501240002</v>
      </c>
      <c r="AL5041">
        <v>76.901729811818697</v>
      </c>
      <c r="AM5041">
        <v>95.942389134483804</v>
      </c>
      <c r="AN5041">
        <v>0.99999999068421497</v>
      </c>
    </row>
    <row r="5042" spans="1:40" x14ac:dyDescent="0.25">
      <c r="A5042" t="str">
        <f>"20190303170638277"</f>
        <v>20190303170638277</v>
      </c>
      <c r="B5042" t="str">
        <f>"1551603998269747"</f>
        <v>1551603998269747</v>
      </c>
      <c r="C5042" t="s">
        <v>40</v>
      </c>
      <c r="D5042">
        <v>5.6017029999999997</v>
      </c>
      <c r="E5042">
        <v>0.51062350000000001</v>
      </c>
      <c r="F5042" t="s">
        <v>71</v>
      </c>
      <c r="G5042">
        <v>-302.08960000000002</v>
      </c>
      <c r="H5042" s="1">
        <v>-1.6900009999999999E-6</v>
      </c>
      <c r="I5042">
        <v>-42.577939999999998</v>
      </c>
      <c r="J5042">
        <v>-302.67930000000001</v>
      </c>
      <c r="K5042">
        <v>1.1207009999999999</v>
      </c>
      <c r="L5042">
        <v>-21.479890000000001</v>
      </c>
      <c r="M5042">
        <v>-5.2074870000000002E-2</v>
      </c>
      <c r="N5042">
        <v>-9.0370269999999996E-3</v>
      </c>
      <c r="O5042">
        <v>-0.9986022</v>
      </c>
      <c r="P5042">
        <v>5.092634E-2</v>
      </c>
      <c r="Q5042">
        <v>0.21757770000000001</v>
      </c>
      <c r="R5042">
        <v>-0.9747133</v>
      </c>
      <c r="S5042">
        <v>8.3679199999999995E-2</v>
      </c>
      <c r="T5042">
        <v>-0.1630849</v>
      </c>
      <c r="U5042">
        <v>-3.1100159999999999</v>
      </c>
      <c r="V5042">
        <v>-0.1014786</v>
      </c>
      <c r="W5042">
        <v>0.2264041</v>
      </c>
      <c r="X5042">
        <v>0.96873279999999995</v>
      </c>
      <c r="Y5042">
        <v>-7.8871200000000002E-2</v>
      </c>
      <c r="Z5042">
        <v>4.3136000000000001E-2</v>
      </c>
      <c r="AA5042">
        <v>0.99595109999999998</v>
      </c>
      <c r="AB5042">
        <v>27</v>
      </c>
      <c r="AC5042">
        <v>0.58969999999999301</v>
      </c>
      <c r="AD5042">
        <v>-1.120702690001</v>
      </c>
      <c r="AE5042">
        <v>-21.098050000000001</v>
      </c>
      <c r="AF5042">
        <v>-1.68287828830914</v>
      </c>
      <c r="AG5042">
        <v>-1.120702690001</v>
      </c>
      <c r="AH5042">
        <v>20.979561840463798</v>
      </c>
      <c r="AI5042">
        <v>93.047992757640799</v>
      </c>
      <c r="AJ5042">
        <v>94.586168727846697</v>
      </c>
      <c r="AK5042">
        <v>21.076766091373699</v>
      </c>
      <c r="AL5042">
        <v>76.914541702572706</v>
      </c>
      <c r="AM5042">
        <v>95.980149441261005</v>
      </c>
      <c r="AN5042">
        <v>0.99999998027530501</v>
      </c>
    </row>
    <row r="5043" spans="1:40" x14ac:dyDescent="0.25">
      <c r="A5043" t="str">
        <f>"20190303170638300"</f>
        <v>20190303170638300</v>
      </c>
      <c r="B5043" t="str">
        <f>"1551603998290243"</f>
        <v>1551603998290243</v>
      </c>
      <c r="C5043" t="s">
        <v>40</v>
      </c>
      <c r="D5043">
        <v>5.6027180000000003</v>
      </c>
      <c r="E5043">
        <v>0.51084969999999996</v>
      </c>
      <c r="F5043" t="s">
        <v>71</v>
      </c>
      <c r="G5043">
        <v>-302.16129999999998</v>
      </c>
      <c r="H5043" s="1">
        <v>-1.6088139999999999E-6</v>
      </c>
      <c r="I5043">
        <v>-42.434519999999999</v>
      </c>
      <c r="J5043">
        <v>-302.69349999999997</v>
      </c>
      <c r="K5043">
        <v>1.1206910000000001</v>
      </c>
      <c r="L5043">
        <v>-21.744109999999999</v>
      </c>
      <c r="M5043">
        <v>-5.2402669999999998E-2</v>
      </c>
      <c r="N5043">
        <v>-9.0296130000000006E-3</v>
      </c>
      <c r="O5043">
        <v>-0.99858530000000001</v>
      </c>
      <c r="P5043">
        <v>5.081082E-2</v>
      </c>
      <c r="Q5043">
        <v>0.21737219999999999</v>
      </c>
      <c r="R5043">
        <v>-0.97476580000000002</v>
      </c>
      <c r="S5043">
        <v>7.6904299999999995E-2</v>
      </c>
      <c r="T5043">
        <v>-0.16638149999999999</v>
      </c>
      <c r="U5043">
        <v>-3.1109619999999998</v>
      </c>
      <c r="V5043">
        <v>-0.1016842</v>
      </c>
      <c r="W5043">
        <v>0.2261918</v>
      </c>
      <c r="X5043">
        <v>0.96876079999999998</v>
      </c>
      <c r="Y5043">
        <v>-7.7021699999999998E-2</v>
      </c>
      <c r="Z5043">
        <v>4.4183769999999997E-2</v>
      </c>
      <c r="AA5043">
        <v>0.99604990000000004</v>
      </c>
      <c r="AB5043">
        <v>27</v>
      </c>
      <c r="AC5043">
        <v>0.53219999999998802</v>
      </c>
      <c r="AD5043">
        <v>-1.1206926088139999</v>
      </c>
      <c r="AE5043">
        <v>-20.69041</v>
      </c>
      <c r="AF5043">
        <v>-1.61102221406687</v>
      </c>
      <c r="AG5043">
        <v>-1.1206926088139999</v>
      </c>
      <c r="AH5043">
        <v>20.573769958284299</v>
      </c>
      <c r="AI5043">
        <v>93.108432772361496</v>
      </c>
      <c r="AJ5043">
        <v>94.477390653606193</v>
      </c>
      <c r="AK5043">
        <v>20.667156427386601</v>
      </c>
      <c r="AL5043">
        <v>76.927029115941806</v>
      </c>
      <c r="AM5043">
        <v>95.992005483291706</v>
      </c>
      <c r="AN5043">
        <v>0.999999947266758</v>
      </c>
    </row>
    <row r="5044" spans="1:40" x14ac:dyDescent="0.25">
      <c r="A5044" t="str">
        <f>"20190303170638321"</f>
        <v>20190303170638321</v>
      </c>
      <c r="B5044" t="str">
        <f>"1551603998309765"</f>
        <v>1551603998309765</v>
      </c>
      <c r="C5044" t="s">
        <v>40</v>
      </c>
      <c r="D5044">
        <v>5.6256789999999999</v>
      </c>
      <c r="E5044">
        <v>0.51126830000000001</v>
      </c>
      <c r="F5044" t="s">
        <v>71</v>
      </c>
      <c r="G5044">
        <v>-302.19069999999999</v>
      </c>
      <c r="H5044" s="1">
        <v>-1.624291E-6</v>
      </c>
      <c r="I5044">
        <v>-42.452419999999996</v>
      </c>
      <c r="J5044">
        <v>-302.70780000000002</v>
      </c>
      <c r="K5044">
        <v>1.120692</v>
      </c>
      <c r="L5044">
        <v>-22.010560000000002</v>
      </c>
      <c r="M5044">
        <v>-5.2733000000000002E-2</v>
      </c>
      <c r="N5044">
        <v>-9.0228659999999992E-3</v>
      </c>
      <c r="O5044">
        <v>-0.99856789999999995</v>
      </c>
      <c r="P5044">
        <v>5.030797E-2</v>
      </c>
      <c r="Q5044">
        <v>0.21575050000000001</v>
      </c>
      <c r="R5044">
        <v>-0.97515200000000002</v>
      </c>
      <c r="S5044">
        <v>7.5531009999999996E-2</v>
      </c>
      <c r="T5044">
        <v>-0.16837559999999999</v>
      </c>
      <c r="U5044">
        <v>-3.1112669999999998</v>
      </c>
      <c r="V5044">
        <v>-0.1015238</v>
      </c>
      <c r="W5044">
        <v>0.2245673</v>
      </c>
      <c r="X5044">
        <v>0.96915560000000001</v>
      </c>
      <c r="Y5044">
        <v>-7.6908859999999996E-2</v>
      </c>
      <c r="Z5044">
        <v>4.4820579999999999E-2</v>
      </c>
      <c r="AA5044">
        <v>0.99603019999999998</v>
      </c>
      <c r="AB5044">
        <v>27</v>
      </c>
      <c r="AC5044">
        <v>0.51710000000002698</v>
      </c>
      <c r="AD5044">
        <v>-1.1206936242909999</v>
      </c>
      <c r="AE5044">
        <v>-20.441859999999998</v>
      </c>
      <c r="AF5044">
        <v>-1.58961024409159</v>
      </c>
      <c r="AG5044">
        <v>-1.1206936242909999</v>
      </c>
      <c r="AH5044">
        <v>20.3250962083609</v>
      </c>
      <c r="AI5044">
        <v>93.146414066795501</v>
      </c>
      <c r="AJ5044">
        <v>94.471956112602896</v>
      </c>
      <c r="AK5044">
        <v>20.417941884694802</v>
      </c>
      <c r="AL5044">
        <v>77.022565706937201</v>
      </c>
      <c r="AM5044">
        <v>95.980202657280799</v>
      </c>
      <c r="AN5044">
        <v>1.0000000656035399</v>
      </c>
    </row>
    <row r="5045" spans="1:40" x14ac:dyDescent="0.25">
      <c r="A5045" t="str">
        <f>"20190303170638344"</f>
        <v>20190303170638344</v>
      </c>
      <c r="B5045" t="str">
        <f>"1551603998330260"</f>
        <v>1551603998330260</v>
      </c>
      <c r="C5045" t="s">
        <v>40</v>
      </c>
      <c r="D5045">
        <v>5.6450719999999999</v>
      </c>
      <c r="E5045">
        <v>0.5115381</v>
      </c>
      <c r="F5045" t="s">
        <v>71</v>
      </c>
      <c r="G5045">
        <v>-302.25380000000001</v>
      </c>
      <c r="H5045" s="1">
        <v>-1.47663099999999E-6</v>
      </c>
      <c r="I5045">
        <v>-42.206310000000002</v>
      </c>
      <c r="J5045">
        <v>-302.72230000000002</v>
      </c>
      <c r="K5045">
        <v>1.1206849999999999</v>
      </c>
      <c r="L5045">
        <v>-22.277010000000001</v>
      </c>
      <c r="M5045">
        <v>-5.3063359999999997E-2</v>
      </c>
      <c r="N5045">
        <v>-9.0169320000000001E-3</v>
      </c>
      <c r="O5045">
        <v>-0.99855050000000001</v>
      </c>
      <c r="P5045">
        <v>5.0274140000000002E-2</v>
      </c>
      <c r="Q5045">
        <v>0.21471319999999999</v>
      </c>
      <c r="R5045">
        <v>-0.97538259999999999</v>
      </c>
      <c r="S5045">
        <v>6.9946289999999994E-2</v>
      </c>
      <c r="T5045">
        <v>-0.17263539999999999</v>
      </c>
      <c r="U5045">
        <v>-3.1110229999999999</v>
      </c>
      <c r="V5045">
        <v>-0.10182380000000001</v>
      </c>
      <c r="W5045">
        <v>0.22352630000000001</v>
      </c>
      <c r="X5045">
        <v>0.96936469999999997</v>
      </c>
      <c r="Y5045">
        <v>-7.5452050000000007E-2</v>
      </c>
      <c r="Z5045">
        <v>4.61926E-2</v>
      </c>
      <c r="AA5045">
        <v>0.99607889999999999</v>
      </c>
      <c r="AB5045">
        <v>27</v>
      </c>
      <c r="AC5045">
        <v>0.46850000000000502</v>
      </c>
      <c r="AD5045">
        <v>-1.1206864766310001</v>
      </c>
      <c r="AE5045">
        <v>-19.929299999999898</v>
      </c>
      <c r="AF5045">
        <v>-1.52059274050347</v>
      </c>
      <c r="AG5045">
        <v>-1.1206864766310001</v>
      </c>
      <c r="AH5045">
        <v>19.8137394244422</v>
      </c>
      <c r="AI5045">
        <v>93.227790629555301</v>
      </c>
      <c r="AJ5045">
        <v>94.388525693100803</v>
      </c>
      <c r="AK5045">
        <v>19.9035778301558</v>
      </c>
      <c r="AL5045">
        <v>77.083765668007601</v>
      </c>
      <c r="AM5045">
        <v>95.996461029116404</v>
      </c>
      <c r="AN5045">
        <v>1.00000000732211</v>
      </c>
    </row>
    <row r="5046" spans="1:40" x14ac:dyDescent="0.25">
      <c r="A5046" t="str">
        <f>"20190303170638389"</f>
        <v>20190303170638389</v>
      </c>
      <c r="B5046" t="str">
        <f>"1551603998380035"</f>
        <v>1551603998380035</v>
      </c>
      <c r="C5046" t="s">
        <v>40</v>
      </c>
      <c r="D5046">
        <v>5.6732199999999997</v>
      </c>
      <c r="E5046">
        <v>0.51189189999999996</v>
      </c>
      <c r="F5046" t="s">
        <v>71</v>
      </c>
      <c r="G5046">
        <v>-302.30829999999997</v>
      </c>
      <c r="H5046" s="1">
        <v>-1.353167E-6</v>
      </c>
      <c r="I5046">
        <v>-42.000129999999999</v>
      </c>
      <c r="J5046">
        <v>-302.75189999999998</v>
      </c>
      <c r="K5046">
        <v>1.1206780000000001</v>
      </c>
      <c r="L5046">
        <v>-22.818149999999999</v>
      </c>
      <c r="M5046">
        <v>-5.3735339999999999E-2</v>
      </c>
      <c r="N5046">
        <v>-9.0070549999999999E-3</v>
      </c>
      <c r="O5046">
        <v>-0.99851469999999998</v>
      </c>
      <c r="P5046">
        <v>4.7018749999999998E-2</v>
      </c>
      <c r="Q5046">
        <v>0.21611140000000001</v>
      </c>
      <c r="R5046">
        <v>-0.97523590000000004</v>
      </c>
      <c r="S5046">
        <v>6.5307619999999997E-2</v>
      </c>
      <c r="T5046">
        <v>-0.1767852</v>
      </c>
      <c r="U5046">
        <v>-3.1112669999999998</v>
      </c>
      <c r="V5046">
        <v>-9.9217230000000003E-2</v>
      </c>
      <c r="W5046">
        <v>0.22491340000000001</v>
      </c>
      <c r="X5046">
        <v>0.96931420000000001</v>
      </c>
      <c r="Y5046">
        <v>-7.4635419999999994E-2</v>
      </c>
      <c r="Z5046">
        <v>4.7521300000000002E-2</v>
      </c>
      <c r="AA5046">
        <v>0.99607800000000002</v>
      </c>
      <c r="AB5046">
        <v>27</v>
      </c>
      <c r="AC5046">
        <v>0.44360000000000299</v>
      </c>
      <c r="AD5046">
        <v>-1.1206793531670001</v>
      </c>
      <c r="AE5046">
        <v>-19.181979999999999</v>
      </c>
      <c r="AF5046">
        <v>-1.4687403696471</v>
      </c>
      <c r="AG5046">
        <v>-1.1206793531670001</v>
      </c>
      <c r="AH5046">
        <v>19.065384613183902</v>
      </c>
      <c r="AI5046">
        <v>93.354107957729497</v>
      </c>
      <c r="AJ5046">
        <v>94.405195215397498</v>
      </c>
      <c r="AK5046">
        <v>19.154686396145301</v>
      </c>
      <c r="AL5046">
        <v>77.002214931997003</v>
      </c>
      <c r="AM5046">
        <v>95.844337238200396</v>
      </c>
      <c r="AN5046">
        <v>1.0000000572750301</v>
      </c>
    </row>
    <row r="5047" spans="1:40" x14ac:dyDescent="0.25">
      <c r="A5047" t="str">
        <f>"20190303170638410"</f>
        <v>20190303170638410</v>
      </c>
      <c r="B5047" t="str">
        <f>"1551603998399555"</f>
        <v>1551603998399555</v>
      </c>
      <c r="C5047" t="s">
        <v>40</v>
      </c>
      <c r="D5047">
        <v>5.6557120000000003</v>
      </c>
      <c r="E5047">
        <v>0.51195249999999903</v>
      </c>
      <c r="F5047" t="s">
        <v>71</v>
      </c>
      <c r="G5047">
        <v>-302.40359999999998</v>
      </c>
      <c r="H5047" s="1">
        <v>-2.09358E-6</v>
      </c>
      <c r="I5047">
        <v>-43.144100000000002</v>
      </c>
      <c r="J5047">
        <v>-302.76620000000003</v>
      </c>
      <c r="K5047">
        <v>1.1206769999999999</v>
      </c>
      <c r="L5047">
        <v>-23.07715</v>
      </c>
      <c r="M5047">
        <v>-5.4056960000000001E-2</v>
      </c>
      <c r="N5047">
        <v>-9.0032099999999993E-3</v>
      </c>
      <c r="O5047">
        <v>-0.99849730000000003</v>
      </c>
      <c r="P5047">
        <v>4.4908429999999999E-2</v>
      </c>
      <c r="Q5047">
        <v>0.21583430000000001</v>
      </c>
      <c r="R5047">
        <v>-0.97539679999999995</v>
      </c>
      <c r="S5047">
        <v>5.3314210000000001E-2</v>
      </c>
      <c r="T5047">
        <v>-0.1715612</v>
      </c>
      <c r="U5047">
        <v>-3.1116329999999999</v>
      </c>
      <c r="V5047">
        <v>-9.7431069999999995E-2</v>
      </c>
      <c r="W5047">
        <v>0.22463420000000001</v>
      </c>
      <c r="X5047">
        <v>0.96955999999999998</v>
      </c>
      <c r="Y5047">
        <v>-7.1118790000000001E-2</v>
      </c>
      <c r="Z5047">
        <v>4.5861440000000003E-2</v>
      </c>
      <c r="AA5047">
        <v>0.99641299999999999</v>
      </c>
      <c r="AB5047">
        <v>27</v>
      </c>
      <c r="AC5047">
        <v>0.362600000000043</v>
      </c>
      <c r="AD5047">
        <v>-1.12067909358</v>
      </c>
      <c r="AE5047">
        <v>-20.066949999999999</v>
      </c>
      <c r="AF5047">
        <v>-1.4423748869027</v>
      </c>
      <c r="AG5047">
        <v>-1.12067909358</v>
      </c>
      <c r="AH5047">
        <v>19.9557854077981</v>
      </c>
      <c r="AI5047">
        <v>93.205900595153594</v>
      </c>
      <c r="AJ5047">
        <v>94.134065827948703</v>
      </c>
      <c r="AK5047">
        <v>20.039205028823901</v>
      </c>
      <c r="AL5047">
        <v>77.018630796402803</v>
      </c>
      <c r="AM5047">
        <v>95.738387906701803</v>
      </c>
      <c r="AN5047">
        <v>0.99999996540549096</v>
      </c>
    </row>
    <row r="5048" spans="1:40" x14ac:dyDescent="0.25">
      <c r="A5048" t="str">
        <f>"20190303170638432"</f>
        <v>20190303170638432</v>
      </c>
      <c r="B5048" t="str">
        <f>"1551603998420052"</f>
        <v>1551603998420052</v>
      </c>
      <c r="C5048" t="s">
        <v>40</v>
      </c>
      <c r="D5048">
        <v>5.7962540000000002</v>
      </c>
      <c r="E5048">
        <v>0.51188929999999999</v>
      </c>
      <c r="F5048" t="s">
        <v>71</v>
      </c>
      <c r="G5048">
        <v>-302.43889999999999</v>
      </c>
      <c r="H5048" s="1">
        <v>-2.2453649999999998E-6</v>
      </c>
      <c r="I5048">
        <v>-43.375160000000001</v>
      </c>
      <c r="J5048">
        <v>-302.78129999999999</v>
      </c>
      <c r="K5048">
        <v>1.120657</v>
      </c>
      <c r="L5048">
        <v>-23.349150000000002</v>
      </c>
      <c r="M5048">
        <v>-5.4394629999999999E-2</v>
      </c>
      <c r="N5048">
        <v>-8.9971310000000002E-3</v>
      </c>
      <c r="O5048">
        <v>-0.99847920000000001</v>
      </c>
      <c r="P5048">
        <v>4.3692099999999998E-2</v>
      </c>
      <c r="Q5048">
        <v>0.21340500000000001</v>
      </c>
      <c r="R5048">
        <v>-0.97598669999999998</v>
      </c>
      <c r="S5048">
        <v>5.0170899999999997E-2</v>
      </c>
      <c r="T5048">
        <v>-0.17178379999999999</v>
      </c>
      <c r="U5048">
        <v>-3.111389</v>
      </c>
      <c r="V5048">
        <v>-9.6578200000000003E-2</v>
      </c>
      <c r="W5048">
        <v>0.22220380000000001</v>
      </c>
      <c r="X5048">
        <v>0.97020519999999999</v>
      </c>
      <c r="Y5048">
        <v>-7.0451199999999894E-2</v>
      </c>
      <c r="Z5048">
        <v>4.5943270000000001E-2</v>
      </c>
      <c r="AA5048">
        <v>0.99645660000000003</v>
      </c>
      <c r="AB5048">
        <v>27</v>
      </c>
      <c r="AC5048">
        <v>0.34239999999999698</v>
      </c>
      <c r="AD5048">
        <v>-1.1206592453649999</v>
      </c>
      <c r="AE5048">
        <v>-20.026009999999999</v>
      </c>
      <c r="AF5048">
        <v>-1.4267775905201101</v>
      </c>
      <c r="AG5048">
        <v>-1.1206592453649999</v>
      </c>
      <c r="AH5048">
        <v>19.9153863057142</v>
      </c>
      <c r="AI5048">
        <v>93.212479588072497</v>
      </c>
      <c r="AJ5048">
        <v>94.097781603115905</v>
      </c>
      <c r="AK5048">
        <v>19.997854463488299</v>
      </c>
      <c r="AL5048">
        <v>77.161494224580096</v>
      </c>
      <c r="AM5048">
        <v>95.684729249430006</v>
      </c>
      <c r="AN5048">
        <v>1.0000000037783501</v>
      </c>
    </row>
    <row r="5049" spans="1:40" x14ac:dyDescent="0.25">
      <c r="A5049" t="str">
        <f>"20190303170638456"</f>
        <v>20190303170638456</v>
      </c>
      <c r="B5049" t="str">
        <f>"1551603998450308"</f>
        <v>1551603998450308</v>
      </c>
      <c r="C5049" t="s">
        <v>40</v>
      </c>
      <c r="D5049">
        <v>5.7136839999999998</v>
      </c>
      <c r="E5049">
        <v>0.51184359999999995</v>
      </c>
      <c r="F5049" t="s">
        <v>71</v>
      </c>
      <c r="G5049">
        <v>-302.4846</v>
      </c>
      <c r="H5049" s="1">
        <v>-1.8246319999999999E-6</v>
      </c>
      <c r="I5049">
        <v>-42.703240000000001</v>
      </c>
      <c r="J5049">
        <v>-302.79689999999999</v>
      </c>
      <c r="K5049">
        <v>1.120644</v>
      </c>
      <c r="L5049">
        <v>-23.628360000000001</v>
      </c>
      <c r="M5049">
        <v>-5.4736550000000002E-2</v>
      </c>
      <c r="N5049">
        <v>-8.9865150000000005E-3</v>
      </c>
      <c r="O5049">
        <v>-0.99846060000000003</v>
      </c>
      <c r="P5049">
        <v>4.3533019999999999E-2</v>
      </c>
      <c r="Q5049">
        <v>0.21055119999999999</v>
      </c>
      <c r="R5049">
        <v>-0.97661330000000002</v>
      </c>
      <c r="S5049">
        <v>4.769897E-2</v>
      </c>
      <c r="T5049">
        <v>-0.1801392</v>
      </c>
      <c r="U5049">
        <v>-3.1110530000000001</v>
      </c>
      <c r="V5049">
        <v>-9.6789050000000001E-2</v>
      </c>
      <c r="W5049">
        <v>0.21934500000000001</v>
      </c>
      <c r="X5049">
        <v>0.97083450000000004</v>
      </c>
      <c r="Y5049">
        <v>-7.0000309999999996E-2</v>
      </c>
      <c r="Z5049">
        <v>4.8624319999999999E-2</v>
      </c>
      <c r="AA5049">
        <v>0.99636119999999995</v>
      </c>
      <c r="AB5049">
        <v>27</v>
      </c>
      <c r="AC5049">
        <v>0.31229999999999303</v>
      </c>
      <c r="AD5049">
        <v>-1.1206458246319999</v>
      </c>
      <c r="AE5049">
        <v>-19.07488</v>
      </c>
      <c r="AF5049">
        <v>-1.3513040065042601</v>
      </c>
      <c r="AG5049">
        <v>-1.1206458246319999</v>
      </c>
      <c r="AH5049">
        <v>18.963749693647699</v>
      </c>
      <c r="AI5049">
        <v>93.3733761864722</v>
      </c>
      <c r="AJ5049">
        <v>94.075848550768697</v>
      </c>
      <c r="AK5049">
        <v>19.044833210757801</v>
      </c>
      <c r="AL5049">
        <v>77.329435226087597</v>
      </c>
      <c r="AM5049">
        <v>95.693390030539803</v>
      </c>
      <c r="AN5049">
        <v>0.99999998780757604</v>
      </c>
    </row>
    <row r="5050" spans="1:40" x14ac:dyDescent="0.25">
      <c r="A5050" t="str">
        <f>"20190303170638489"</f>
        <v>20190303170638489</v>
      </c>
      <c r="B5050" t="str">
        <f>"1551603998479587"</f>
        <v>1551603998479587</v>
      </c>
      <c r="C5050" t="s">
        <v>40</v>
      </c>
      <c r="D5050">
        <v>5.686439</v>
      </c>
      <c r="E5050">
        <v>0.51180420000000004</v>
      </c>
      <c r="F5050" t="s">
        <v>71</v>
      </c>
      <c r="G5050">
        <v>-302.52679999999998</v>
      </c>
      <c r="H5050" s="1">
        <v>-1.305277E-6</v>
      </c>
      <c r="I5050">
        <v>-41.876910000000002</v>
      </c>
      <c r="J5050">
        <v>-302.8193</v>
      </c>
      <c r="K5050">
        <v>1.1206510000000001</v>
      </c>
      <c r="L5050">
        <v>-24.026119999999999</v>
      </c>
      <c r="M5050">
        <v>-5.5185940000000003E-2</v>
      </c>
      <c r="N5050">
        <v>-8.9721890000000002E-3</v>
      </c>
      <c r="O5050">
        <v>-0.99843590000000004</v>
      </c>
      <c r="P5050">
        <v>4.0172909999999999E-2</v>
      </c>
      <c r="Q5050">
        <v>0.21069470000000001</v>
      </c>
      <c r="R5050">
        <v>-0.97672619999999999</v>
      </c>
      <c r="S5050">
        <v>4.605103E-2</v>
      </c>
      <c r="T5050">
        <v>-0.1910444</v>
      </c>
      <c r="U5050">
        <v>-3.1109619999999998</v>
      </c>
      <c r="V5050">
        <v>-9.3886549999999999E-2</v>
      </c>
      <c r="W5050">
        <v>0.219472</v>
      </c>
      <c r="X5050">
        <v>0.97109080000000003</v>
      </c>
      <c r="Y5050">
        <v>-6.9918419999999995E-2</v>
      </c>
      <c r="Z5050">
        <v>5.2114779999999999E-2</v>
      </c>
      <c r="AA5050">
        <v>0.99619049999999998</v>
      </c>
      <c r="AB5050">
        <v>27</v>
      </c>
      <c r="AC5050">
        <v>0.29250000000001802</v>
      </c>
      <c r="AD5050">
        <v>-1.1206523052770001</v>
      </c>
      <c r="AE5050">
        <v>-17.8507899999999</v>
      </c>
      <c r="AF5050">
        <v>-1.27219377950942</v>
      </c>
      <c r="AG5050">
        <v>-1.1206523052770001</v>
      </c>
      <c r="AH5050">
        <v>17.737554139268099</v>
      </c>
      <c r="AI5050">
        <v>93.605883488535198</v>
      </c>
      <c r="AJ5050">
        <v>94.102410543015196</v>
      </c>
      <c r="AK5050">
        <v>17.818394019815901</v>
      </c>
      <c r="AL5050">
        <v>77.321976986040099</v>
      </c>
      <c r="AM5050">
        <v>95.522280468039895</v>
      </c>
      <c r="AN5050">
        <v>0.999999992449771</v>
      </c>
    </row>
    <row r="5051" spans="1:40" x14ac:dyDescent="0.25">
      <c r="A5051" t="str">
        <f>"20190303170638511"</f>
        <v>20190303170638511</v>
      </c>
      <c r="B5051" t="str">
        <f>"1551603998500084"</f>
        <v>1551603998500084</v>
      </c>
      <c r="C5051" t="s">
        <v>40</v>
      </c>
      <c r="D5051">
        <v>5.6735889999999998</v>
      </c>
      <c r="E5051">
        <v>0.51171579999999905</v>
      </c>
      <c r="F5051" t="s">
        <v>71</v>
      </c>
      <c r="G5051">
        <v>-302.59800000000001</v>
      </c>
      <c r="H5051" s="1">
        <v>-1.507426E-6</v>
      </c>
      <c r="I5051">
        <v>-42.179360000000003</v>
      </c>
      <c r="J5051">
        <v>-302.83460000000002</v>
      </c>
      <c r="K5051">
        <v>1.120682</v>
      </c>
      <c r="L5051">
        <v>-24.297999999999998</v>
      </c>
      <c r="M5051">
        <v>-5.5443319999999997E-2</v>
      </c>
      <c r="N5051">
        <v>-8.9635579999999999E-3</v>
      </c>
      <c r="O5051">
        <v>-0.99842160000000002</v>
      </c>
      <c r="P5051">
        <v>3.6966590000000001E-2</v>
      </c>
      <c r="Q5051">
        <v>0.21163870000000001</v>
      </c>
      <c r="R5051">
        <v>-0.97664859999999998</v>
      </c>
      <c r="S5051">
        <v>3.7933349999999998E-2</v>
      </c>
      <c r="T5051">
        <v>-0.1920733</v>
      </c>
      <c r="U5051">
        <v>-3.1113590000000002</v>
      </c>
      <c r="V5051">
        <v>-9.0945200000000004E-2</v>
      </c>
      <c r="W5051">
        <v>0.2204005</v>
      </c>
      <c r="X5051">
        <v>0.97116049999999998</v>
      </c>
      <c r="Y5051">
        <v>-6.7575330000000003E-2</v>
      </c>
      <c r="Z5051">
        <v>5.2448830000000002E-2</v>
      </c>
      <c r="AA5051">
        <v>0.99633459999999996</v>
      </c>
      <c r="AB5051">
        <v>27</v>
      </c>
      <c r="AC5051">
        <v>0.236600000000009</v>
      </c>
      <c r="AD5051">
        <v>-1.120683507426</v>
      </c>
      <c r="AE5051">
        <v>-17.881359999999901</v>
      </c>
      <c r="AF5051">
        <v>-1.2228752959068501</v>
      </c>
      <c r="AG5051">
        <v>-1.120683507426</v>
      </c>
      <c r="AH5051">
        <v>17.7709439239974</v>
      </c>
      <c r="AI5051">
        <v>93.599956674554804</v>
      </c>
      <c r="AJ5051">
        <v>93.936499601033304</v>
      </c>
      <c r="AK5051">
        <v>17.8481876800703</v>
      </c>
      <c r="AL5051">
        <v>77.267443451938803</v>
      </c>
      <c r="AM5051">
        <v>95.349912515149896</v>
      </c>
      <c r="AN5051">
        <v>1.0000000632817601</v>
      </c>
    </row>
    <row r="5052" spans="1:40" x14ac:dyDescent="0.25">
      <c r="A5052" t="str">
        <f>"20190303170638534"</f>
        <v>20190303170638534</v>
      </c>
      <c r="B5052" t="str">
        <f>"1551603998519604"</f>
        <v>1551603998519604</v>
      </c>
      <c r="C5052" t="s">
        <v>40</v>
      </c>
      <c r="D5052">
        <v>5.6920650000000004</v>
      </c>
      <c r="E5052">
        <v>0.5116252</v>
      </c>
      <c r="F5052" t="s">
        <v>71</v>
      </c>
      <c r="G5052">
        <v>-302.65480000000002</v>
      </c>
      <c r="H5052" s="1">
        <v>-1.8290359999999999E-6</v>
      </c>
      <c r="I5052">
        <v>-42.672890000000002</v>
      </c>
      <c r="J5052">
        <v>-302.8503</v>
      </c>
      <c r="K5052">
        <v>1.1207240000000001</v>
      </c>
      <c r="L5052">
        <v>-24.575099999999999</v>
      </c>
      <c r="M5052">
        <v>-5.5652220000000002E-2</v>
      </c>
      <c r="N5052">
        <v>-8.9550580000000001E-3</v>
      </c>
      <c r="O5052">
        <v>-0.99841009999999997</v>
      </c>
      <c r="P5052">
        <v>3.4734580000000001E-2</v>
      </c>
      <c r="Q5052">
        <v>0.21241280000000001</v>
      </c>
      <c r="R5052">
        <v>-0.97656279999999995</v>
      </c>
      <c r="S5052">
        <v>3.0456540000000001E-2</v>
      </c>
      <c r="T5052">
        <v>-0.18978229999999999</v>
      </c>
      <c r="U5052">
        <v>-3.111694</v>
      </c>
      <c r="V5052">
        <v>-8.8935829999999994E-2</v>
      </c>
      <c r="W5052">
        <v>0.22115670000000001</v>
      </c>
      <c r="X5052">
        <v>0.9711746</v>
      </c>
      <c r="Y5052">
        <v>-6.5390199999999996E-2</v>
      </c>
      <c r="Z5052">
        <v>5.1725510000000002E-2</v>
      </c>
      <c r="AA5052">
        <v>0.99651829999999997</v>
      </c>
      <c r="AB5052">
        <v>27</v>
      </c>
      <c r="AC5052">
        <v>0.19549999999998099</v>
      </c>
      <c r="AD5052">
        <v>-1.120725829036</v>
      </c>
      <c r="AE5052">
        <v>-18.09779</v>
      </c>
      <c r="AF5052">
        <v>-1.1978265827686201</v>
      </c>
      <c r="AG5052">
        <v>-1.120725829036</v>
      </c>
      <c r="AH5052">
        <v>17.989879283579899</v>
      </c>
      <c r="AI5052">
        <v>93.556925650472706</v>
      </c>
      <c r="AJ5052">
        <v>93.809322725414106</v>
      </c>
      <c r="AK5052">
        <v>18.0645113840379</v>
      </c>
      <c r="AL5052">
        <v>77.223019187245896</v>
      </c>
      <c r="AM5052">
        <v>95.232297864155498</v>
      </c>
      <c r="AN5052">
        <v>0.99999998574891902</v>
      </c>
    </row>
    <row r="5053" spans="1:40" x14ac:dyDescent="0.25">
      <c r="A5053" t="str">
        <f>"20190303170638556"</f>
        <v>20190303170638556</v>
      </c>
      <c r="B5053" t="str">
        <f>"1551603998549859"</f>
        <v>1551603998549859</v>
      </c>
      <c r="C5053" t="s">
        <v>40</v>
      </c>
      <c r="D5053">
        <v>5.675853</v>
      </c>
      <c r="E5053">
        <v>0.51137109999999997</v>
      </c>
      <c r="F5053" t="s">
        <v>71</v>
      </c>
      <c r="G5053">
        <v>-302.70010000000002</v>
      </c>
      <c r="H5053" s="1">
        <v>-2.2195920000000001E-6</v>
      </c>
      <c r="I5053">
        <v>-43.2774</v>
      </c>
      <c r="J5053">
        <v>-302.86579999999998</v>
      </c>
      <c r="K5053">
        <v>1.1207670000000001</v>
      </c>
      <c r="L5053">
        <v>-24.849879999999999</v>
      </c>
      <c r="M5053">
        <v>-5.5790840000000001E-2</v>
      </c>
      <c r="N5053">
        <v>-8.9473590000000002E-3</v>
      </c>
      <c r="O5053">
        <v>-0.99840269999999998</v>
      </c>
      <c r="P5053">
        <v>3.1565660000000002E-2</v>
      </c>
      <c r="Q5053">
        <v>0.2132173</v>
      </c>
      <c r="R5053">
        <v>-0.97649529999999995</v>
      </c>
      <c r="S5053">
        <v>2.4993899999999999E-2</v>
      </c>
      <c r="T5053">
        <v>-0.18646489999999999</v>
      </c>
      <c r="U5053">
        <v>-3.1116640000000002</v>
      </c>
      <c r="V5053">
        <v>-8.5929489999999997E-2</v>
      </c>
      <c r="W5053">
        <v>0.221943</v>
      </c>
      <c r="X5053">
        <v>0.97126590000000002</v>
      </c>
      <c r="Y5053">
        <v>-6.3780719999999999E-2</v>
      </c>
      <c r="Z5053">
        <v>5.0679910000000002E-2</v>
      </c>
      <c r="AA5053">
        <v>0.99667629999999996</v>
      </c>
      <c r="AB5053">
        <v>27</v>
      </c>
      <c r="AC5053">
        <v>0.16569999999995799</v>
      </c>
      <c r="AD5053">
        <v>-1.120769219592</v>
      </c>
      <c r="AE5053">
        <v>-18.427520000000001</v>
      </c>
      <c r="AF5053">
        <v>-1.18917101878994</v>
      </c>
      <c r="AG5053">
        <v>-1.120769219592</v>
      </c>
      <c r="AH5053">
        <v>18.321802448216001</v>
      </c>
      <c r="AI5053">
        <v>93.493166087214405</v>
      </c>
      <c r="AJ5053">
        <v>93.713556398512495</v>
      </c>
      <c r="AK5053">
        <v>18.3945289775784</v>
      </c>
      <c r="AL5053">
        <v>77.176819727936106</v>
      </c>
      <c r="AM5053">
        <v>95.055887971783207</v>
      </c>
      <c r="AN5053">
        <v>1.0000000105017299</v>
      </c>
    </row>
    <row r="5054" spans="1:40" x14ac:dyDescent="0.25">
      <c r="A5054" t="str">
        <f>"20190303170638581"</f>
        <v>20190303170638581</v>
      </c>
      <c r="B5054" t="str">
        <f>"1551603998570356"</f>
        <v>1551603998570356</v>
      </c>
      <c r="C5054" t="s">
        <v>40</v>
      </c>
      <c r="D5054">
        <v>5.8483650000000003</v>
      </c>
      <c r="E5054">
        <v>0.51125399999999999</v>
      </c>
      <c r="F5054" t="s">
        <v>71</v>
      </c>
      <c r="G5054">
        <v>-302.75310000000002</v>
      </c>
      <c r="H5054" s="1">
        <v>-2.5479269999999999E-6</v>
      </c>
      <c r="I5054">
        <v>-43.782330000000002</v>
      </c>
      <c r="J5054">
        <v>-302.88220000000001</v>
      </c>
      <c r="K5054">
        <v>1.120827</v>
      </c>
      <c r="L5054">
        <v>-25.14142</v>
      </c>
      <c r="M5054">
        <v>-5.5853369999999999E-2</v>
      </c>
      <c r="N5054">
        <v>-8.9401859999999993E-3</v>
      </c>
      <c r="O5054">
        <v>-0.99839909999999998</v>
      </c>
      <c r="P5054">
        <v>2.7191719999999999E-2</v>
      </c>
      <c r="Q5054">
        <v>0.21391399999999999</v>
      </c>
      <c r="R5054">
        <v>-0.97647390000000001</v>
      </c>
      <c r="S5054">
        <v>1.852417E-2</v>
      </c>
      <c r="T5054">
        <v>-0.1842163</v>
      </c>
      <c r="U5054">
        <v>-3.111847</v>
      </c>
      <c r="V5054">
        <v>-8.1653450000000002E-2</v>
      </c>
      <c r="W5054">
        <v>0.22262170000000001</v>
      </c>
      <c r="X5054">
        <v>0.97147939999999999</v>
      </c>
      <c r="Y5054">
        <v>-6.1771640000000003E-2</v>
      </c>
      <c r="Z5054">
        <v>4.9971250000000002E-2</v>
      </c>
      <c r="AA5054">
        <v>0.99683860000000002</v>
      </c>
      <c r="AB5054">
        <v>27</v>
      </c>
      <c r="AC5054">
        <v>0.129099999999994</v>
      </c>
      <c r="AD5054">
        <v>-1.1208295479269901</v>
      </c>
      <c r="AE5054">
        <v>-18.640910000000002</v>
      </c>
      <c r="AF5054">
        <v>-1.1658827409567301</v>
      </c>
      <c r="AG5054">
        <v>-1.1208295479269901</v>
      </c>
      <c r="AH5054">
        <v>18.537582133783399</v>
      </c>
      <c r="AI5054">
        <v>93.453230555373906</v>
      </c>
      <c r="AJ5054">
        <v>93.598759103139002</v>
      </c>
      <c r="AK5054">
        <v>18.6079954000406</v>
      </c>
      <c r="AL5054">
        <v>77.136934682517705</v>
      </c>
      <c r="AM5054">
        <v>94.804453569713601</v>
      </c>
      <c r="AN5054">
        <v>0.99999996591607498</v>
      </c>
    </row>
    <row r="5055" spans="1:40" x14ac:dyDescent="0.25">
      <c r="A5055" t="str">
        <f>"20190303170638602"</f>
        <v>20190303170638602</v>
      </c>
      <c r="B5055" t="str">
        <f>"1551603998589875"</f>
        <v>1551603998589875</v>
      </c>
      <c r="C5055" t="s">
        <v>40</v>
      </c>
      <c r="D5055">
        <v>5.667815</v>
      </c>
      <c r="E5055">
        <v>0.5110401</v>
      </c>
      <c r="F5055" t="s">
        <v>71</v>
      </c>
      <c r="G5055">
        <v>-302.82920000000001</v>
      </c>
      <c r="H5055" s="1">
        <v>-2.845788E-6</v>
      </c>
      <c r="I5055">
        <v>-44.234270000000002</v>
      </c>
      <c r="J5055">
        <v>-302.89760000000001</v>
      </c>
      <c r="K5055">
        <v>1.1208929999999999</v>
      </c>
      <c r="L5055">
        <v>-25.41666</v>
      </c>
      <c r="M5055">
        <v>-5.5810709999999999E-2</v>
      </c>
      <c r="N5055">
        <v>-8.9342450000000004E-3</v>
      </c>
      <c r="O5055">
        <v>-0.99840130000000005</v>
      </c>
      <c r="P5055">
        <v>2.3622890000000001E-2</v>
      </c>
      <c r="Q5055">
        <v>0.2149633</v>
      </c>
      <c r="R5055">
        <v>-0.97633639999999999</v>
      </c>
      <c r="S5055">
        <v>8.6364749999999994E-3</v>
      </c>
      <c r="T5055">
        <v>-0.18269089999999999</v>
      </c>
      <c r="U5055">
        <v>-3.1120610000000002</v>
      </c>
      <c r="V5055">
        <v>-7.807588E-2</v>
      </c>
      <c r="W5055">
        <v>0.2236532</v>
      </c>
      <c r="X5055">
        <v>0.97153659999999997</v>
      </c>
      <c r="Y5055">
        <v>-5.8562370000000002E-2</v>
      </c>
      <c r="Z5055">
        <v>4.9493990000000002E-2</v>
      </c>
      <c r="AA5055">
        <v>0.9970561</v>
      </c>
      <c r="AB5055">
        <v>27</v>
      </c>
      <c r="AC5055">
        <v>6.8399999999996894E-2</v>
      </c>
      <c r="AD5055">
        <v>-1.1208958457879901</v>
      </c>
      <c r="AE5055">
        <v>-18.817609999999998</v>
      </c>
      <c r="AF5055">
        <v>-1.1146048422607799</v>
      </c>
      <c r="AG5055">
        <v>-1.1208958457879901</v>
      </c>
      <c r="AH5055">
        <v>18.7180468081899</v>
      </c>
      <c r="AI5055">
        <v>93.420914819370097</v>
      </c>
      <c r="AJ5055">
        <v>93.407771771050605</v>
      </c>
      <c r="AK5055">
        <v>18.784675343616801</v>
      </c>
      <c r="AL5055">
        <v>77.0763056335188</v>
      </c>
      <c r="AM5055">
        <v>94.594603421391895</v>
      </c>
      <c r="AN5055">
        <v>0.99999998102378695</v>
      </c>
    </row>
    <row r="5056" spans="1:40" x14ac:dyDescent="0.25">
      <c r="A5056" t="str">
        <f>"20190303170638626"</f>
        <v>20190303170638626</v>
      </c>
      <c r="B5056" t="str">
        <f>"1551603998620132"</f>
        <v>1551603998620132</v>
      </c>
      <c r="C5056" t="s">
        <v>40</v>
      </c>
      <c r="D5056">
        <v>5.6580219999999999</v>
      </c>
      <c r="E5056">
        <v>0.51077709999999998</v>
      </c>
      <c r="F5056" t="s">
        <v>71</v>
      </c>
      <c r="G5056">
        <v>-302.88279999999997</v>
      </c>
      <c r="H5056" s="1">
        <v>-3.2044219999999999E-6</v>
      </c>
      <c r="I5056">
        <v>-44.786749999999998</v>
      </c>
      <c r="J5056">
        <v>-302.91390000000001</v>
      </c>
      <c r="K5056">
        <v>1.1209739999999999</v>
      </c>
      <c r="L5056">
        <v>-25.709959999999999</v>
      </c>
      <c r="M5056">
        <v>-5.5631729999999997E-2</v>
      </c>
      <c r="N5056">
        <v>-8.9289480000000008E-3</v>
      </c>
      <c r="O5056">
        <v>-0.99841170000000001</v>
      </c>
      <c r="P5056">
        <v>2.0441299999999999E-2</v>
      </c>
      <c r="Q5056">
        <v>0.2150869</v>
      </c>
      <c r="R5056">
        <v>-0.97638139999999995</v>
      </c>
      <c r="S5056">
        <v>2.380371E-3</v>
      </c>
      <c r="T5056">
        <v>-0.18010079999999901</v>
      </c>
      <c r="U5056">
        <v>-3.1123050000000001</v>
      </c>
      <c r="V5056">
        <v>-7.477143E-2</v>
      </c>
      <c r="W5056">
        <v>0.2237587</v>
      </c>
      <c r="X5056">
        <v>0.97177230000000003</v>
      </c>
      <c r="Y5056">
        <v>-5.6379770000000003E-2</v>
      </c>
      <c r="Z5056">
        <v>4.8674099999999998E-2</v>
      </c>
      <c r="AA5056">
        <v>0.99722219999999995</v>
      </c>
      <c r="AB5056">
        <v>27</v>
      </c>
      <c r="AC5056">
        <v>3.1100000000037601E-2</v>
      </c>
      <c r="AD5056">
        <v>-1.1209772044220001</v>
      </c>
      <c r="AE5056">
        <v>-19.076789999999999</v>
      </c>
      <c r="AF5056">
        <v>-1.08860984450455</v>
      </c>
      <c r="AG5056">
        <v>-1.1209772044220001</v>
      </c>
      <c r="AH5056">
        <v>18.979978652207699</v>
      </c>
      <c r="AI5056">
        <v>93.374488599247499</v>
      </c>
      <c r="AJ5056">
        <v>93.282642729992702</v>
      </c>
      <c r="AK5056">
        <v>19.044192052293699</v>
      </c>
      <c r="AL5056">
        <v>77.070104828205103</v>
      </c>
      <c r="AM5056">
        <v>94.3998608911416</v>
      </c>
      <c r="AN5056">
        <v>1.0000000628086101</v>
      </c>
    </row>
    <row r="5057" spans="1:40" x14ac:dyDescent="0.25">
      <c r="A5057" t="str">
        <f>"20190303170638646"</f>
        <v>20190303170638646</v>
      </c>
      <c r="B5057" t="str">
        <f>"1551603998639652"</f>
        <v>1551603998639652</v>
      </c>
      <c r="C5057" t="s">
        <v>40</v>
      </c>
      <c r="D5057">
        <v>5.6651689999999997</v>
      </c>
      <c r="E5057">
        <v>0.51054730000000004</v>
      </c>
      <c r="F5057" t="s">
        <v>71</v>
      </c>
      <c r="G5057">
        <v>-302.93470000000002</v>
      </c>
      <c r="H5057" s="1">
        <v>-3.32293E-6</v>
      </c>
      <c r="I5057">
        <v>-44.961829999999999</v>
      </c>
      <c r="J5057">
        <v>-302.92750000000001</v>
      </c>
      <c r="K5057">
        <v>1.121048</v>
      </c>
      <c r="L5057">
        <v>-25.956209999999999</v>
      </c>
      <c r="M5057">
        <v>-5.5392419999999998E-2</v>
      </c>
      <c r="N5057">
        <v>-8.9252210000000005E-3</v>
      </c>
      <c r="O5057">
        <v>-0.9984248</v>
      </c>
      <c r="P5057">
        <v>1.7536050000000001E-2</v>
      </c>
      <c r="Q5057">
        <v>0.2143243</v>
      </c>
      <c r="R5057">
        <v>-0.97660519999999995</v>
      </c>
      <c r="S5057">
        <v>-3.3569339999999998E-3</v>
      </c>
      <c r="T5057">
        <v>-0.18123410000000001</v>
      </c>
      <c r="U5057">
        <v>-3.112549</v>
      </c>
      <c r="V5057">
        <v>-7.1688290000000002E-2</v>
      </c>
      <c r="W5057">
        <v>0.2229843</v>
      </c>
      <c r="X5057">
        <v>0.97218249999999995</v>
      </c>
      <c r="Y5057">
        <v>-5.4302690000000001E-2</v>
      </c>
      <c r="Z5057">
        <v>4.9039579999999999E-2</v>
      </c>
      <c r="AA5057">
        <v>0.99731959999999997</v>
      </c>
      <c r="AB5057">
        <v>28</v>
      </c>
      <c r="AC5057">
        <v>-7.2000000000116398E-3</v>
      </c>
      <c r="AD5057">
        <v>-1.1210513229299901</v>
      </c>
      <c r="AE5057">
        <v>-19.00562</v>
      </c>
      <c r="AF5057">
        <v>-1.0419948718432701</v>
      </c>
      <c r="AG5057">
        <v>-1.1210513229299901</v>
      </c>
      <c r="AH5057">
        <v>18.911040032915398</v>
      </c>
      <c r="AI5057">
        <v>93.387412133507496</v>
      </c>
      <c r="AJ5057">
        <v>93.153797993879493</v>
      </c>
      <c r="AK5057">
        <v>18.972873912723902</v>
      </c>
      <c r="AL5057">
        <v>77.115624137013896</v>
      </c>
      <c r="AM5057">
        <v>94.217331516061705</v>
      </c>
      <c r="AN5057">
        <v>1.0000000111379299</v>
      </c>
    </row>
    <row r="5058" spans="1:40" x14ac:dyDescent="0.25">
      <c r="A5058" t="str">
        <f>"20190303170638667"</f>
        <v>20190303170638667</v>
      </c>
      <c r="B5058" t="str">
        <f>"1551603998660148"</f>
        <v>1551603998660148</v>
      </c>
      <c r="C5058" t="s">
        <v>40</v>
      </c>
      <c r="D5058">
        <v>5.6845780000000001</v>
      </c>
      <c r="E5058">
        <v>0.51031680000000001</v>
      </c>
      <c r="F5058" t="s">
        <v>71</v>
      </c>
      <c r="G5058">
        <v>-302.98590000000002</v>
      </c>
      <c r="H5058" s="1">
        <v>-3.3175439999999999E-6</v>
      </c>
      <c r="I5058">
        <v>-44.942129999999999</v>
      </c>
      <c r="J5058">
        <v>-302.94200000000001</v>
      </c>
      <c r="K5058">
        <v>1.1211059999999999</v>
      </c>
      <c r="L5058">
        <v>-26.223210000000002</v>
      </c>
      <c r="M5058">
        <v>-5.5056300000000002E-2</v>
      </c>
      <c r="N5058">
        <v>-8.9217489999999997E-3</v>
      </c>
      <c r="O5058">
        <v>-0.99844350000000004</v>
      </c>
      <c r="P5058">
        <v>1.4163999999999901E-2</v>
      </c>
      <c r="Q5058">
        <v>0.21349170000000001</v>
      </c>
      <c r="R5058">
        <v>-0.97684260000000001</v>
      </c>
      <c r="S5058">
        <v>-9.5825200000000006E-3</v>
      </c>
      <c r="T5058">
        <v>-0.1837741</v>
      </c>
      <c r="U5058">
        <v>-3.1123660000000002</v>
      </c>
      <c r="V5058">
        <v>-6.8042679999999994E-2</v>
      </c>
      <c r="W5058">
        <v>0.22214239999999999</v>
      </c>
      <c r="X5058">
        <v>0.97263710000000003</v>
      </c>
      <c r="Y5058">
        <v>-5.1972070000000002E-2</v>
      </c>
      <c r="Z5058">
        <v>4.9861959999999997E-2</v>
      </c>
      <c r="AA5058">
        <v>0.99740300000000004</v>
      </c>
      <c r="AB5058">
        <v>28</v>
      </c>
      <c r="AC5058">
        <v>-4.3900000000007801E-2</v>
      </c>
      <c r="AD5058">
        <v>-1.1211093175439999</v>
      </c>
      <c r="AE5058">
        <v>-18.718920000000001</v>
      </c>
      <c r="AF5058">
        <v>-0.98327496104133905</v>
      </c>
      <c r="AG5058">
        <v>-1.1211093175439999</v>
      </c>
      <c r="AH5058">
        <v>18.626130899745998</v>
      </c>
      <c r="AI5058">
        <v>93.439707029006698</v>
      </c>
      <c r="AJ5058">
        <v>93.021843846938907</v>
      </c>
      <c r="AK5058">
        <v>18.685728994218199</v>
      </c>
      <c r="AL5058">
        <v>77.165102186011595</v>
      </c>
      <c r="AM5058">
        <v>94.001715741023304</v>
      </c>
      <c r="AN5058">
        <v>0.999999990237876</v>
      </c>
    </row>
    <row r="5059" spans="1:40" x14ac:dyDescent="0.25">
      <c r="A5059" t="str">
        <f>"20190303170638689"</f>
        <v>20190303170638689</v>
      </c>
      <c r="B5059" t="str">
        <f>"1551603998679668"</f>
        <v>1551603998679668</v>
      </c>
      <c r="C5059" t="s">
        <v>40</v>
      </c>
      <c r="D5059">
        <v>5.6967119999999998</v>
      </c>
      <c r="E5059">
        <v>0.51007559999999996</v>
      </c>
      <c r="F5059" t="s">
        <v>71</v>
      </c>
      <c r="G5059">
        <v>-303.03859999999997</v>
      </c>
      <c r="H5059" s="1">
        <v>-3.3057369999999999E-6</v>
      </c>
      <c r="I5059">
        <v>-44.912019999999998</v>
      </c>
      <c r="J5059">
        <v>-302.9563</v>
      </c>
      <c r="K5059">
        <v>1.1211610000000001</v>
      </c>
      <c r="L5059">
        <v>-26.488800000000001</v>
      </c>
      <c r="M5059">
        <v>-5.4661759999999997E-2</v>
      </c>
      <c r="N5059">
        <v>-8.91868E-3</v>
      </c>
      <c r="O5059">
        <v>-0.99846500000000005</v>
      </c>
      <c r="P5059">
        <v>1.178626E-2</v>
      </c>
      <c r="Q5059">
        <v>0.21315899999999999</v>
      </c>
      <c r="R5059">
        <v>-0.97694639999999999</v>
      </c>
      <c r="S5059">
        <v>-1.6082760000000001E-2</v>
      </c>
      <c r="T5059">
        <v>-0.18669259999999999</v>
      </c>
      <c r="U5059">
        <v>-3.112152</v>
      </c>
      <c r="V5059">
        <v>-6.5316830000000006E-2</v>
      </c>
      <c r="W5059">
        <v>0.2218021</v>
      </c>
      <c r="X5059">
        <v>0.97290160000000003</v>
      </c>
      <c r="Y5059">
        <v>-4.9494690000000001E-2</v>
      </c>
      <c r="Z5059">
        <v>5.0805530000000002E-2</v>
      </c>
      <c r="AA5059">
        <v>0.99748130000000002</v>
      </c>
      <c r="AB5059">
        <v>28</v>
      </c>
      <c r="AC5059">
        <v>-8.2299999999975101E-2</v>
      </c>
      <c r="AD5059">
        <v>-1.121164305737</v>
      </c>
      <c r="AE5059">
        <v>-18.423220000000001</v>
      </c>
      <c r="AF5059">
        <v>-0.92149618096102104</v>
      </c>
      <c r="AG5059">
        <v>-1.121164305737</v>
      </c>
      <c r="AH5059">
        <v>18.332281128398598</v>
      </c>
      <c r="AI5059">
        <v>93.495330006417703</v>
      </c>
      <c r="AJ5059">
        <v>92.877625582363095</v>
      </c>
      <c r="AK5059">
        <v>18.389635558722301</v>
      </c>
      <c r="AL5059">
        <v>77.185098813139007</v>
      </c>
      <c r="AM5059">
        <v>93.8408521741258</v>
      </c>
      <c r="AN5059">
        <v>0.99999999156410901</v>
      </c>
    </row>
    <row r="5060" spans="1:40" x14ac:dyDescent="0.25">
      <c r="A5060" t="str">
        <f>"20190303170638712"</f>
        <v>20190303170638712</v>
      </c>
      <c r="B5060" t="str">
        <f>"1551603998700164"</f>
        <v>1551603998700164</v>
      </c>
      <c r="C5060" t="s">
        <v>40</v>
      </c>
      <c r="D5060">
        <v>5.6590400000000001</v>
      </c>
      <c r="E5060">
        <v>0.50984209999999996</v>
      </c>
      <c r="F5060" t="s">
        <v>71</v>
      </c>
      <c r="G5060">
        <v>-303.07670000000002</v>
      </c>
      <c r="H5060" s="1">
        <v>-3.3688069999999998E-6</v>
      </c>
      <c r="I5060">
        <v>-45.00291</v>
      </c>
      <c r="J5060">
        <v>-302.971</v>
      </c>
      <c r="K5060">
        <v>1.1211899999999999</v>
      </c>
      <c r="L5060">
        <v>-26.765560000000001</v>
      </c>
      <c r="M5060">
        <v>-5.4206110000000002E-2</v>
      </c>
      <c r="N5060">
        <v>-8.9159169999999902E-3</v>
      </c>
      <c r="O5060">
        <v>-0.99849010000000005</v>
      </c>
      <c r="P5060">
        <v>1.048956E-2</v>
      </c>
      <c r="Q5060">
        <v>0.213643</v>
      </c>
      <c r="R5060">
        <v>-0.97685560000000005</v>
      </c>
      <c r="S5060">
        <v>-2.0233149999999998E-2</v>
      </c>
      <c r="T5060">
        <v>-0.18846360000000001</v>
      </c>
      <c r="U5060">
        <v>-3.112152</v>
      </c>
      <c r="V5060">
        <v>-6.3591750000000002E-2</v>
      </c>
      <c r="W5060">
        <v>0.22227959999999999</v>
      </c>
      <c r="X5060">
        <v>0.97290690000000002</v>
      </c>
      <c r="Y5060">
        <v>-4.7709250000000002E-2</v>
      </c>
      <c r="Z5060">
        <v>5.1377869999999999E-2</v>
      </c>
      <c r="AA5060">
        <v>0.99753899999999995</v>
      </c>
      <c r="AB5060">
        <v>28</v>
      </c>
      <c r="AC5060">
        <v>-0.10570000000001301</v>
      </c>
      <c r="AD5060">
        <v>-1.1211933688069999</v>
      </c>
      <c r="AE5060">
        <v>-18.237349999999999</v>
      </c>
      <c r="AF5060">
        <v>-0.87974546380782104</v>
      </c>
      <c r="AG5060">
        <v>-1.1211933688069999</v>
      </c>
      <c r="AH5060">
        <v>18.147677200462901</v>
      </c>
      <c r="AI5060">
        <v>93.531197796439201</v>
      </c>
      <c r="AJ5060">
        <v>92.775356443987903</v>
      </c>
      <c r="AK5060">
        <v>18.203549500675699</v>
      </c>
      <c r="AL5060">
        <v>77.157039543810399</v>
      </c>
      <c r="AM5060">
        <v>93.739683022277504</v>
      </c>
      <c r="AN5060">
        <v>0.99999998365591602</v>
      </c>
    </row>
    <row r="5061" spans="1:40" x14ac:dyDescent="0.25">
      <c r="A5061" t="str">
        <f>"20190303170638735"</f>
        <v>20190303170638735</v>
      </c>
      <c r="B5061" t="str">
        <f>"1551603998729467"</f>
        <v>1551603998729467</v>
      </c>
      <c r="C5061" t="s">
        <v>40</v>
      </c>
      <c r="D5061">
        <v>5.6808199999999998</v>
      </c>
      <c r="E5061">
        <v>0.50952889999999995</v>
      </c>
      <c r="F5061" t="s">
        <v>71</v>
      </c>
      <c r="G5061">
        <v>-303.10059999999999</v>
      </c>
      <c r="H5061" s="1">
        <v>-3.621479E-6</v>
      </c>
      <c r="I5061">
        <v>-45.40475</v>
      </c>
      <c r="J5061">
        <v>-302.98590000000002</v>
      </c>
      <c r="K5061">
        <v>1.121205</v>
      </c>
      <c r="L5061">
        <v>-27.048069999999999</v>
      </c>
      <c r="M5061">
        <v>-5.371546E-2</v>
      </c>
      <c r="N5061">
        <v>-8.9135869999999902E-3</v>
      </c>
      <c r="O5061">
        <v>-0.99851659999999998</v>
      </c>
      <c r="P5061">
        <v>9.0221380000000007E-3</v>
      </c>
      <c r="Q5061">
        <v>0.21426419999999999</v>
      </c>
      <c r="R5061">
        <v>-0.9767342</v>
      </c>
      <c r="S5061">
        <v>-2.163696E-2</v>
      </c>
      <c r="T5061">
        <v>-0.18720919999999999</v>
      </c>
      <c r="U5061">
        <v>-3.112244</v>
      </c>
      <c r="V5061">
        <v>-6.1652350000000002E-2</v>
      </c>
      <c r="W5061">
        <v>0.2228965</v>
      </c>
      <c r="X5061">
        <v>0.97289060000000005</v>
      </c>
      <c r="Y5061">
        <v>-4.676889E-2</v>
      </c>
      <c r="Z5061">
        <v>5.0982230000000003E-2</v>
      </c>
      <c r="AA5061">
        <v>0.99760389999999999</v>
      </c>
      <c r="AB5061">
        <v>28</v>
      </c>
      <c r="AC5061">
        <v>-0.11469999999997001</v>
      </c>
      <c r="AD5061">
        <v>-1.121208621479</v>
      </c>
      <c r="AE5061">
        <v>-18.356680000000001</v>
      </c>
      <c r="AF5061">
        <v>-0.868302982685349</v>
      </c>
      <c r="AG5061">
        <v>-1.121208621479</v>
      </c>
      <c r="AH5061">
        <v>18.268187879327801</v>
      </c>
      <c r="AI5061">
        <v>93.508167901434305</v>
      </c>
      <c r="AJ5061">
        <v>92.721270571529303</v>
      </c>
      <c r="AK5061">
        <v>18.323147852840101</v>
      </c>
      <c r="AL5061">
        <v>77.120784317309699</v>
      </c>
      <c r="AM5061">
        <v>93.626001037427898</v>
      </c>
      <c r="AN5061">
        <v>0.99999999077056601</v>
      </c>
    </row>
    <row r="5062" spans="1:40" x14ac:dyDescent="0.25">
      <c r="A5062" t="str">
        <f>"20190303170638756"</f>
        <v>20190303170638756</v>
      </c>
      <c r="B5062" t="str">
        <f>"1551603998749960"</f>
        <v>1551603998749960</v>
      </c>
      <c r="C5062" t="s">
        <v>40</v>
      </c>
      <c r="D5062">
        <v>5.6487610000000004</v>
      </c>
      <c r="E5062">
        <v>0.50921359999999904</v>
      </c>
      <c r="F5062" t="s">
        <v>71</v>
      </c>
      <c r="G5062">
        <v>-303.12290000000002</v>
      </c>
      <c r="H5062" s="1">
        <v>-3.74337E-6</v>
      </c>
      <c r="I5062">
        <v>-45.746949999999998</v>
      </c>
      <c r="J5062">
        <v>-303.00049999999999</v>
      </c>
      <c r="K5062">
        <v>1.1212120000000001</v>
      </c>
      <c r="L5062">
        <v>-27.329280000000001</v>
      </c>
      <c r="M5062">
        <v>-5.3219320000000001E-2</v>
      </c>
      <c r="N5062">
        <v>-8.9116860000000003E-3</v>
      </c>
      <c r="O5062">
        <v>-0.99854310000000002</v>
      </c>
      <c r="P5062">
        <v>7.3441540000000003E-3</v>
      </c>
      <c r="Q5062">
        <v>0.21509420000000001</v>
      </c>
      <c r="R5062">
        <v>-0.97656609999999999</v>
      </c>
      <c r="S5062">
        <v>-2.2796629999999998E-2</v>
      </c>
      <c r="T5062">
        <v>-0.1866361</v>
      </c>
      <c r="U5062">
        <v>-3.1126100000000001</v>
      </c>
      <c r="V5062">
        <v>-5.9489470000000003E-2</v>
      </c>
      <c r="W5062">
        <v>0.2237248</v>
      </c>
      <c r="X5062">
        <v>0.97283520000000001</v>
      </c>
      <c r="Y5062">
        <v>-4.5901949999999997E-2</v>
      </c>
      <c r="Z5062">
        <v>5.079794E-2</v>
      </c>
      <c r="AA5062">
        <v>0.99765349999999997</v>
      </c>
      <c r="AB5062">
        <v>28</v>
      </c>
      <c r="AC5062">
        <v>-0.122400000000027</v>
      </c>
      <c r="AD5062">
        <v>-1.1212157433700001</v>
      </c>
      <c r="AE5062">
        <v>-18.417670000000001</v>
      </c>
      <c r="AF5062">
        <v>-0.85482040213518395</v>
      </c>
      <c r="AG5062">
        <v>-1.1212157433700001</v>
      </c>
      <c r="AH5062">
        <v>18.330152483093801</v>
      </c>
      <c r="AI5062">
        <v>93.496507098564194</v>
      </c>
      <c r="AJ5062">
        <v>92.670034645503705</v>
      </c>
      <c r="AK5062">
        <v>18.384295817804801</v>
      </c>
      <c r="AL5062">
        <v>77.072097571017807</v>
      </c>
      <c r="AM5062">
        <v>93.499314673192899</v>
      </c>
      <c r="AN5062">
        <v>1.0000000547674699</v>
      </c>
    </row>
    <row r="5063" spans="1:40" x14ac:dyDescent="0.25">
      <c r="A5063" t="str">
        <f>"20190303170638781"</f>
        <v>20190303170638781</v>
      </c>
      <c r="B5063" t="str">
        <f>"1551603998769480"</f>
        <v>1551603998769480</v>
      </c>
      <c r="C5063" t="s">
        <v>40</v>
      </c>
      <c r="D5063">
        <v>5.6455149999999996</v>
      </c>
      <c r="E5063">
        <v>0.50908819999999999</v>
      </c>
      <c r="F5063" t="s">
        <v>71</v>
      </c>
      <c r="G5063">
        <v>-303.14420000000001</v>
      </c>
      <c r="H5063" s="1">
        <v>-3.9088830000000001E-6</v>
      </c>
      <c r="I5063">
        <v>-46.215159999999997</v>
      </c>
      <c r="J5063">
        <v>-303.0154</v>
      </c>
      <c r="K5063">
        <v>1.1212200000000001</v>
      </c>
      <c r="L5063">
        <v>-27.617550000000001</v>
      </c>
      <c r="M5063">
        <v>-5.2715619999999998E-2</v>
      </c>
      <c r="N5063">
        <v>-8.9101289999999993E-3</v>
      </c>
      <c r="O5063">
        <v>-0.99856979999999995</v>
      </c>
      <c r="P5063">
        <v>5.972275E-3</v>
      </c>
      <c r="Q5063">
        <v>0.21479019999999999</v>
      </c>
      <c r="R5063">
        <v>-0.97664220000000002</v>
      </c>
      <c r="S5063">
        <v>-2.368164E-2</v>
      </c>
      <c r="T5063">
        <v>-0.18480559999999999</v>
      </c>
      <c r="U5063">
        <v>-3.1128849999999999</v>
      </c>
      <c r="V5063">
        <v>-5.7633770000000001E-2</v>
      </c>
      <c r="W5063">
        <v>0.22342129999999999</v>
      </c>
      <c r="X5063">
        <v>0.97301660000000001</v>
      </c>
      <c r="Y5063">
        <v>-4.5115219999999998E-2</v>
      </c>
      <c r="Z5063">
        <v>5.0214050000000003E-2</v>
      </c>
      <c r="AA5063">
        <v>0.99771900000000002</v>
      </c>
      <c r="AB5063">
        <v>28</v>
      </c>
      <c r="AC5063">
        <v>-0.12880000000001199</v>
      </c>
      <c r="AD5063">
        <v>-1.1212239088830001</v>
      </c>
      <c r="AE5063">
        <v>-18.59761</v>
      </c>
      <c r="AF5063">
        <v>-0.84871787620216699</v>
      </c>
      <c r="AG5063">
        <v>-1.1212239088830001</v>
      </c>
      <c r="AH5063">
        <v>18.511259284536099</v>
      </c>
      <c r="AI5063">
        <v>93.462532707439195</v>
      </c>
      <c r="AJ5063">
        <v>92.625100796889697</v>
      </c>
      <c r="AK5063">
        <v>18.564594942701</v>
      </c>
      <c r="AL5063">
        <v>77.0899379368973</v>
      </c>
      <c r="AM5063">
        <v>93.3897860201225</v>
      </c>
      <c r="AN5063">
        <v>1.0000000163068301</v>
      </c>
    </row>
    <row r="5064" spans="1:40" x14ac:dyDescent="0.25">
      <c r="A5064" t="str">
        <f>"20190303170638807"</f>
        <v>20190303170638807</v>
      </c>
      <c r="B5064" t="str">
        <f>"1551603998799736"</f>
        <v>1551603998799736</v>
      </c>
      <c r="C5064" t="s">
        <v>40</v>
      </c>
      <c r="D5064">
        <v>5.6747680000000003</v>
      </c>
      <c r="E5064">
        <v>0.49970130000000001</v>
      </c>
      <c r="F5064" t="s">
        <v>71</v>
      </c>
      <c r="G5064">
        <v>-303.16460000000001</v>
      </c>
      <c r="H5064" s="1">
        <v>-3.9602989999999998E-6</v>
      </c>
      <c r="I5064">
        <v>-46.3551</v>
      </c>
      <c r="J5064">
        <v>-303.0317</v>
      </c>
      <c r="K5064">
        <v>1.1212200000000001</v>
      </c>
      <c r="L5064">
        <v>-27.93741</v>
      </c>
      <c r="M5064">
        <v>-5.2170899999999999E-2</v>
      </c>
      <c r="N5064">
        <v>-8.9088209999999904E-3</v>
      </c>
      <c r="O5064">
        <v>-0.9985984</v>
      </c>
      <c r="P5064">
        <v>6.0441840000000002E-3</v>
      </c>
      <c r="Q5064">
        <v>0.21228030000000001</v>
      </c>
      <c r="R5064">
        <v>-0.97719029999999996</v>
      </c>
      <c r="S5064">
        <v>-2.478027E-2</v>
      </c>
      <c r="T5064">
        <v>-0.18626799999999999</v>
      </c>
      <c r="U5064">
        <v>-3.112854</v>
      </c>
      <c r="V5064">
        <v>-5.720095E-2</v>
      </c>
      <c r="W5064">
        <v>0.2209158</v>
      </c>
      <c r="X5064">
        <v>0.97361399999999998</v>
      </c>
      <c r="Y5064">
        <v>-4.4218439999999998E-2</v>
      </c>
      <c r="Z5064">
        <v>5.0685960000000002E-2</v>
      </c>
      <c r="AA5064">
        <v>0.99773529999999999</v>
      </c>
      <c r="AB5064">
        <v>28</v>
      </c>
      <c r="AC5064">
        <v>-0.13290000000000601</v>
      </c>
      <c r="AD5064">
        <v>-1.121223960299</v>
      </c>
      <c r="AE5064">
        <v>-18.41769</v>
      </c>
      <c r="AF5064">
        <v>-0.82512879754082602</v>
      </c>
      <c r="AG5064">
        <v>-1.121223960299</v>
      </c>
      <c r="AH5064">
        <v>18.3316052546792</v>
      </c>
      <c r="AI5064">
        <v>93.496515150272103</v>
      </c>
      <c r="AJ5064">
        <v>92.577216135792995</v>
      </c>
      <c r="AK5064">
        <v>18.384388266000599</v>
      </c>
      <c r="AL5064">
        <v>77.237171724965606</v>
      </c>
      <c r="AM5064">
        <v>93.362328371218595</v>
      </c>
      <c r="AN5064">
        <v>0.99999998018327096</v>
      </c>
    </row>
    <row r="5065" spans="1:40" x14ac:dyDescent="0.25">
      <c r="A5065" t="str">
        <f>"20190303170638846"</f>
        <v>20190303170638846</v>
      </c>
      <c r="B5065" t="str">
        <f>"1551603998839751"</f>
        <v>1551603998839751</v>
      </c>
      <c r="C5065" t="s">
        <v>40</v>
      </c>
      <c r="D5065">
        <v>5.6509749999999999</v>
      </c>
      <c r="E5065">
        <v>0.4990887</v>
      </c>
      <c r="F5065" t="s">
        <v>71</v>
      </c>
      <c r="G5065">
        <v>-302.74360000000001</v>
      </c>
      <c r="H5065" s="1">
        <v>-3.5167210000000001E-6</v>
      </c>
      <c r="I5065">
        <v>-45.308570000000003</v>
      </c>
      <c r="J5065">
        <v>-303.0573</v>
      </c>
      <c r="K5065">
        <v>1.121194</v>
      </c>
      <c r="L5065">
        <v>-28.44708</v>
      </c>
      <c r="M5065">
        <v>-5.1331740000000001E-2</v>
      </c>
      <c r="N5065">
        <v>-8.907524E-3</v>
      </c>
      <c r="O5065">
        <v>-0.99864200000000003</v>
      </c>
      <c r="P5065">
        <v>6.9630539999999998E-3</v>
      </c>
      <c r="Q5065">
        <v>0.20991029999999999</v>
      </c>
      <c r="R5065">
        <v>-0.97769600000000001</v>
      </c>
      <c r="S5065">
        <v>5.1635739999999999E-2</v>
      </c>
      <c r="T5065">
        <v>-0.20095299999999999</v>
      </c>
      <c r="U5065">
        <v>-3.1133730000000002</v>
      </c>
      <c r="V5065">
        <v>-5.7323260000000001E-2</v>
      </c>
      <c r="W5065">
        <v>0.21854889999999999</v>
      </c>
      <c r="X5065">
        <v>0.97414089999999998</v>
      </c>
      <c r="Y5065">
        <v>-6.7839969999999999E-2</v>
      </c>
      <c r="Z5065">
        <v>5.5309799999999999E-2</v>
      </c>
      <c r="AA5065">
        <v>0.99616190000000004</v>
      </c>
      <c r="AB5065">
        <v>28</v>
      </c>
      <c r="AC5065">
        <v>0.31369999999998299</v>
      </c>
      <c r="AD5065">
        <v>-1.121197516721</v>
      </c>
      <c r="AE5065">
        <v>-16.86149</v>
      </c>
      <c r="AF5065">
        <v>-1.17366271767061</v>
      </c>
      <c r="AG5065">
        <v>-1.121197516721</v>
      </c>
      <c r="AH5065">
        <v>16.749124515053399</v>
      </c>
      <c r="AI5065">
        <v>93.820363861544706</v>
      </c>
      <c r="AJ5065">
        <v>94.0083395948716</v>
      </c>
      <c r="AK5065">
        <v>16.827588658720899</v>
      </c>
      <c r="AL5065">
        <v>77.376183252998601</v>
      </c>
      <c r="AM5065">
        <v>93.367683003288107</v>
      </c>
      <c r="AN5065">
        <v>1.0000000354405201</v>
      </c>
    </row>
    <row r="5066" spans="1:40" x14ac:dyDescent="0.25">
      <c r="A5066" t="str">
        <f>"20190303170638868"</f>
        <v>20190303170638868</v>
      </c>
      <c r="B5066" t="str">
        <f>"1551603998860248"</f>
        <v>1551603998860248</v>
      </c>
      <c r="C5066" t="s">
        <v>40</v>
      </c>
      <c r="D5066">
        <v>5.629524</v>
      </c>
      <c r="E5066">
        <v>0.49835930000000001</v>
      </c>
      <c r="F5066" t="s">
        <v>71</v>
      </c>
      <c r="G5066">
        <v>-302.72859999999997</v>
      </c>
      <c r="H5066" s="1">
        <v>-3.656466E-6</v>
      </c>
      <c r="I5066">
        <v>-45.65475</v>
      </c>
      <c r="J5066">
        <v>-303.07089999999999</v>
      </c>
      <c r="K5066">
        <v>1.1211899999999999</v>
      </c>
      <c r="L5066">
        <v>-28.720310000000001</v>
      </c>
      <c r="M5066">
        <v>-5.0892920000000001E-2</v>
      </c>
      <c r="N5066">
        <v>-8.9071610000000002E-3</v>
      </c>
      <c r="O5066">
        <v>-0.99866440000000001</v>
      </c>
      <c r="P5066">
        <v>6.3401940000000004E-3</v>
      </c>
      <c r="Q5066">
        <v>0.20934340000000001</v>
      </c>
      <c r="R5066">
        <v>-0.97782179999999996</v>
      </c>
      <c r="S5066">
        <v>5.9448239999999999E-2</v>
      </c>
      <c r="T5066">
        <v>-0.20273830000000001</v>
      </c>
      <c r="U5066">
        <v>-3.111542</v>
      </c>
      <c r="V5066">
        <v>-5.6277010000000002E-2</v>
      </c>
      <c r="W5066">
        <v>0.2179845</v>
      </c>
      <c r="X5066">
        <v>0.97432830000000004</v>
      </c>
      <c r="Y5066">
        <v>-6.9910020000000003E-2</v>
      </c>
      <c r="Z5066">
        <v>5.5912000000000003E-2</v>
      </c>
      <c r="AA5066">
        <v>0.99598520000000001</v>
      </c>
      <c r="AB5066">
        <v>28</v>
      </c>
      <c r="AC5066">
        <v>0.34230000000002198</v>
      </c>
      <c r="AD5066">
        <v>-1.1211936564660001</v>
      </c>
      <c r="AE5066">
        <v>-16.934439999999999</v>
      </c>
      <c r="AF5066">
        <v>-1.1984822851849</v>
      </c>
      <c r="AG5066">
        <v>-1.1211936564660001</v>
      </c>
      <c r="AH5066">
        <v>16.8213657451868</v>
      </c>
      <c r="AI5066">
        <v>93.803678896380802</v>
      </c>
      <c r="AJ5066">
        <v>94.075301558702293</v>
      </c>
      <c r="AK5066">
        <v>16.901236065345799</v>
      </c>
      <c r="AL5066">
        <v>77.409319364050802</v>
      </c>
      <c r="AM5066">
        <v>93.305719987857799</v>
      </c>
      <c r="AN5066">
        <v>0.99999999013784002</v>
      </c>
    </row>
    <row r="5067" spans="1:40" x14ac:dyDescent="0.25">
      <c r="A5067" t="str">
        <f>"20190303170638890"</f>
        <v>20190303170638890</v>
      </c>
      <c r="B5067" t="str">
        <f>"1551603998879768"</f>
        <v>1551603998879768</v>
      </c>
      <c r="C5067" t="s">
        <v>40</v>
      </c>
      <c r="D5067">
        <v>5.630897</v>
      </c>
      <c r="E5067">
        <v>0.49809930000000002</v>
      </c>
      <c r="F5067" t="s">
        <v>71</v>
      </c>
      <c r="G5067">
        <v>-302.71280000000002</v>
      </c>
      <c r="H5067" s="1">
        <v>-3.7673310000000001E-6</v>
      </c>
      <c r="I5067">
        <v>-45.980449999999998</v>
      </c>
      <c r="J5067">
        <v>-303.0847</v>
      </c>
      <c r="K5067">
        <v>1.121184</v>
      </c>
      <c r="L5067">
        <v>-29.00037</v>
      </c>
      <c r="M5067">
        <v>-5.0447190000000003E-2</v>
      </c>
      <c r="N5067">
        <v>-8.9070090000000005E-3</v>
      </c>
      <c r="O5067">
        <v>-0.99868710000000005</v>
      </c>
      <c r="P5067">
        <v>7.371196E-3</v>
      </c>
      <c r="Q5067">
        <v>0.2072184</v>
      </c>
      <c r="R5067">
        <v>-0.978267</v>
      </c>
      <c r="S5067">
        <v>6.4544679999999993E-2</v>
      </c>
      <c r="T5067">
        <v>-0.2020797</v>
      </c>
      <c r="U5067">
        <v>-3.1109010000000001</v>
      </c>
      <c r="V5067">
        <v>-5.6889849999999999E-2</v>
      </c>
      <c r="W5067">
        <v>0.21586279999999999</v>
      </c>
      <c r="X5067">
        <v>0.97476499999999999</v>
      </c>
      <c r="Y5067">
        <v>-7.1099579999999996E-2</v>
      </c>
      <c r="Z5067">
        <v>5.5713739999999998E-2</v>
      </c>
      <c r="AA5067">
        <v>0.99591209999999997</v>
      </c>
      <c r="AB5067">
        <v>28</v>
      </c>
      <c r="AC5067">
        <v>0.37189999999998202</v>
      </c>
      <c r="AD5067">
        <v>-1.121187767331</v>
      </c>
      <c r="AE5067">
        <v>-16.980079999999901</v>
      </c>
      <c r="AF5067">
        <v>-1.22272923048993</v>
      </c>
      <c r="AG5067">
        <v>-1.121187767331</v>
      </c>
      <c r="AH5067">
        <v>16.86619621585</v>
      </c>
      <c r="AI5067">
        <v>93.793240805399506</v>
      </c>
      <c r="AJ5067">
        <v>94.1464522901896</v>
      </c>
      <c r="AK5067">
        <v>16.947586954261698</v>
      </c>
      <c r="AL5067">
        <v>77.533849258280597</v>
      </c>
      <c r="AM5067">
        <v>93.340143480527601</v>
      </c>
      <c r="AN5067">
        <v>1.0000000043409301</v>
      </c>
    </row>
    <row r="5068" spans="1:40" x14ac:dyDescent="0.25">
      <c r="A5068" t="str">
        <f>"20190303170638913"</f>
        <v>20190303170638913</v>
      </c>
      <c r="B5068" t="str">
        <f>"1551603998900264"</f>
        <v>1551603998900264</v>
      </c>
      <c r="C5068" t="s">
        <v>40</v>
      </c>
      <c r="D5068">
        <v>5.6279960000000004</v>
      </c>
      <c r="E5068">
        <v>0.4980541</v>
      </c>
      <c r="F5068" t="s">
        <v>71</v>
      </c>
      <c r="G5068">
        <v>-302.72059999999999</v>
      </c>
      <c r="H5068" s="1">
        <v>-3.6214190000000001E-6</v>
      </c>
      <c r="I5068">
        <v>-45.55697</v>
      </c>
      <c r="J5068">
        <v>-303.09840000000003</v>
      </c>
      <c r="K5068">
        <v>1.121159</v>
      </c>
      <c r="L5068">
        <v>-29.283049999999999</v>
      </c>
      <c r="M5068">
        <v>-4.9999839999999997E-2</v>
      </c>
      <c r="N5068">
        <v>-8.9069519999999992E-3</v>
      </c>
      <c r="O5068">
        <v>-0.99870970000000003</v>
      </c>
      <c r="P5068">
        <v>1.014514E-2</v>
      </c>
      <c r="Q5068">
        <v>0.2034</v>
      </c>
      <c r="R5068">
        <v>-0.97904329999999995</v>
      </c>
      <c r="S5068">
        <v>6.8389889999999995E-2</v>
      </c>
      <c r="T5068">
        <v>-0.21065510000000001</v>
      </c>
      <c r="U5068">
        <v>-3.1107480000000001</v>
      </c>
      <c r="V5068">
        <v>-5.9256919999999998E-2</v>
      </c>
      <c r="W5068">
        <v>0.2120494</v>
      </c>
      <c r="X5068">
        <v>0.97546080000000002</v>
      </c>
      <c r="Y5068">
        <v>-7.1879680000000001E-2</v>
      </c>
      <c r="Z5068">
        <v>5.8447359999999997E-2</v>
      </c>
      <c r="AA5068">
        <v>0.99569929999999995</v>
      </c>
      <c r="AB5068">
        <v>28</v>
      </c>
      <c r="AC5068">
        <v>0.377800000000036</v>
      </c>
      <c r="AD5068">
        <v>-1.121162621419</v>
      </c>
      <c r="AE5068">
        <v>-16.27392</v>
      </c>
      <c r="AF5068">
        <v>-1.18542959542753</v>
      </c>
      <c r="AG5068">
        <v>-1.121162621419</v>
      </c>
      <c r="AH5068">
        <v>16.1580235980928</v>
      </c>
      <c r="AI5068">
        <v>93.958635802360305</v>
      </c>
      <c r="AJ5068">
        <v>94.195974022357504</v>
      </c>
      <c r="AK5068">
        <v>16.240196290251699</v>
      </c>
      <c r="AL5068">
        <v>77.757521223781495</v>
      </c>
      <c r="AM5068">
        <v>93.476310145828904</v>
      </c>
      <c r="AN5068">
        <v>1.0000000514724401</v>
      </c>
    </row>
    <row r="5069" spans="1:40" x14ac:dyDescent="0.25">
      <c r="A5069" t="str">
        <f>"20190303170638936"</f>
        <v>20190303170638936</v>
      </c>
      <c r="B5069" t="str">
        <f>"1551603998929839"</f>
        <v>1551603998929839</v>
      </c>
      <c r="C5069" t="s">
        <v>40</v>
      </c>
      <c r="D5069">
        <v>5.6803439999999998</v>
      </c>
      <c r="E5069">
        <v>0.49777900000000003</v>
      </c>
      <c r="F5069" t="s">
        <v>71</v>
      </c>
      <c r="G5069">
        <v>-302.71800000000002</v>
      </c>
      <c r="H5069" s="1">
        <v>-3.4403290000000001E-6</v>
      </c>
      <c r="I5069">
        <v>-45.194000000000003</v>
      </c>
      <c r="J5069">
        <v>-303.11239999999998</v>
      </c>
      <c r="K5069">
        <v>1.1211390000000001</v>
      </c>
      <c r="L5069">
        <v>-29.57339</v>
      </c>
      <c r="M5069">
        <v>-4.9541769999999999E-2</v>
      </c>
      <c r="N5069">
        <v>-8.9105239999999995E-3</v>
      </c>
      <c r="O5069">
        <v>-0.99873239999999996</v>
      </c>
      <c r="P5069">
        <v>1.246539E-2</v>
      </c>
      <c r="Q5069">
        <v>0.20175679999999999</v>
      </c>
      <c r="R5069">
        <v>-0.97935640000000002</v>
      </c>
      <c r="S5069">
        <v>7.4340820000000002E-2</v>
      </c>
      <c r="T5069">
        <v>-0.2190715</v>
      </c>
      <c r="U5069">
        <v>-3.1089479999999998</v>
      </c>
      <c r="V5069">
        <v>-6.113905E-2</v>
      </c>
      <c r="W5069">
        <v>0.21041009999999999</v>
      </c>
      <c r="X5069">
        <v>0.97569950000000005</v>
      </c>
      <c r="Y5069">
        <v>-7.3334380000000005E-2</v>
      </c>
      <c r="Z5069">
        <v>6.1159980000000003E-2</v>
      </c>
      <c r="AA5069">
        <v>0.99543040000000005</v>
      </c>
      <c r="AB5069">
        <v>28</v>
      </c>
      <c r="AC5069">
        <v>0.394399999999961</v>
      </c>
      <c r="AD5069">
        <v>-1.12114244032899</v>
      </c>
      <c r="AE5069">
        <v>-15.6206099999999</v>
      </c>
      <c r="AF5069">
        <v>-1.16183769437269</v>
      </c>
      <c r="AG5069">
        <v>-1.12114244032899</v>
      </c>
      <c r="AH5069">
        <v>15.502080541519399</v>
      </c>
      <c r="AI5069">
        <v>94.125017984727506</v>
      </c>
      <c r="AJ5069">
        <v>94.286145622810096</v>
      </c>
      <c r="AK5069">
        <v>15.5859336683859</v>
      </c>
      <c r="AL5069">
        <v>77.853613204498103</v>
      </c>
      <c r="AM5069">
        <v>93.585566507108993</v>
      </c>
      <c r="AN5069">
        <v>0.99999995395857999</v>
      </c>
    </row>
    <row r="5070" spans="1:40" x14ac:dyDescent="0.25">
      <c r="A5070" t="str">
        <f>"20190303170638958"</f>
        <v>20190303170638958</v>
      </c>
      <c r="B5070" t="str">
        <f>"1551603998950336"</f>
        <v>1551603998950336</v>
      </c>
      <c r="C5070" t="s">
        <v>40</v>
      </c>
      <c r="D5070">
        <v>5.5603819999999997</v>
      </c>
      <c r="E5070">
        <v>0.49769970000000002</v>
      </c>
      <c r="F5070" t="s">
        <v>71</v>
      </c>
      <c r="G5070">
        <v>-302.69040000000001</v>
      </c>
      <c r="H5070" s="1">
        <v>-3.553516E-6</v>
      </c>
      <c r="I5070">
        <v>-45.37811</v>
      </c>
      <c r="J5070">
        <v>-303.12569999999999</v>
      </c>
      <c r="K5070">
        <v>1.121148</v>
      </c>
      <c r="L5070">
        <v>-29.85022</v>
      </c>
      <c r="M5070">
        <v>-4.9106129999999998E-2</v>
      </c>
      <c r="N5070">
        <v>-8.9223089999999998E-3</v>
      </c>
      <c r="O5070">
        <v>-0.99875380000000002</v>
      </c>
      <c r="P5070">
        <v>1.4326469999999999E-2</v>
      </c>
      <c r="Q5070">
        <v>0.20278840000000001</v>
      </c>
      <c r="R5070">
        <v>-0.97911789999999999</v>
      </c>
      <c r="S5070">
        <v>8.2977289999999995E-2</v>
      </c>
      <c r="T5070">
        <v>-0.2204449</v>
      </c>
      <c r="U5070">
        <v>-3.107605</v>
      </c>
      <c r="V5070">
        <v>-6.2559909999999996E-2</v>
      </c>
      <c r="W5070">
        <v>0.21145</v>
      </c>
      <c r="X5070">
        <v>0.97538460000000005</v>
      </c>
      <c r="Y5070">
        <v>-7.5672340000000005E-2</v>
      </c>
      <c r="Z5070">
        <v>6.1608870000000003E-2</v>
      </c>
      <c r="AA5070">
        <v>0.99522759999999999</v>
      </c>
      <c r="AB5070">
        <v>28</v>
      </c>
      <c r="AC5070">
        <v>0.43529999999998298</v>
      </c>
      <c r="AD5070">
        <v>-1.1211515535159999</v>
      </c>
      <c r="AE5070">
        <v>-15.527889999999999</v>
      </c>
      <c r="AF5070">
        <v>-1.1911150337846701</v>
      </c>
      <c r="AG5070">
        <v>-1.1211515535159999</v>
      </c>
      <c r="AH5070">
        <v>15.407519104950399</v>
      </c>
      <c r="AI5070">
        <v>94.149541369856493</v>
      </c>
      <c r="AJ5070">
        <v>94.420594499566405</v>
      </c>
      <c r="AK5070">
        <v>15.494107938150901</v>
      </c>
      <c r="AL5070">
        <v>77.792660279311704</v>
      </c>
      <c r="AM5070">
        <v>93.669850583035</v>
      </c>
      <c r="AN5070">
        <v>0.99999998137818302</v>
      </c>
    </row>
    <row r="5071" spans="1:40" x14ac:dyDescent="0.25">
      <c r="A5071" t="str">
        <f>"20190303170638980"</f>
        <v>20190303170638980</v>
      </c>
      <c r="B5071" t="str">
        <f>"1551603998969856"</f>
        <v>1551603998969856</v>
      </c>
      <c r="C5071" t="s">
        <v>40</v>
      </c>
      <c r="D5071">
        <v>5.5909329999999997</v>
      </c>
      <c r="E5071">
        <v>0.49782209999999899</v>
      </c>
      <c r="F5071" t="s">
        <v>71</v>
      </c>
      <c r="G5071">
        <v>-302.65910000000002</v>
      </c>
      <c r="H5071" s="1">
        <v>-3.7954679999999999E-6</v>
      </c>
      <c r="I5071">
        <v>-46.083010000000002</v>
      </c>
      <c r="J5071">
        <v>-303.13920000000002</v>
      </c>
      <c r="K5071">
        <v>1.1211599999999999</v>
      </c>
      <c r="L5071">
        <v>-30.135349999999999</v>
      </c>
      <c r="M5071">
        <v>-4.8657899999999997E-2</v>
      </c>
      <c r="N5071">
        <v>-8.9475179999999998E-3</v>
      </c>
      <c r="O5071">
        <v>-0.99877550000000004</v>
      </c>
      <c r="P5071">
        <v>1.7976329999999999E-2</v>
      </c>
      <c r="Q5071">
        <v>0.20297599999999999</v>
      </c>
      <c r="R5071">
        <v>-0.97901899999999997</v>
      </c>
      <c r="S5071">
        <v>8.9294429999999994E-2</v>
      </c>
      <c r="T5071">
        <v>-0.2145995</v>
      </c>
      <c r="U5071">
        <v>-3.1071170000000001</v>
      </c>
      <c r="V5071">
        <v>-6.5762959999999995E-2</v>
      </c>
      <c r="W5071">
        <v>0.21165700000000001</v>
      </c>
      <c r="X5071">
        <v>0.97512900000000002</v>
      </c>
      <c r="Y5071">
        <v>-7.7254059999999999E-2</v>
      </c>
      <c r="Z5071">
        <v>5.9728219999999999E-2</v>
      </c>
      <c r="AA5071">
        <v>0.99522080000000002</v>
      </c>
      <c r="AB5071">
        <v>28</v>
      </c>
      <c r="AC5071">
        <v>0.48009999999999298</v>
      </c>
      <c r="AD5071">
        <v>-1.1211637954679901</v>
      </c>
      <c r="AE5071">
        <v>-15.9476599999999</v>
      </c>
      <c r="AF5071">
        <v>-1.24937253171768</v>
      </c>
      <c r="AG5071">
        <v>-1.1211637954679901</v>
      </c>
      <c r="AH5071">
        <v>15.8272520263844</v>
      </c>
      <c r="AI5071">
        <v>94.039400511568999</v>
      </c>
      <c r="AJ5071">
        <v>94.513458289819098</v>
      </c>
      <c r="AK5071">
        <v>15.9160248393237</v>
      </c>
      <c r="AL5071">
        <v>77.780525747017194</v>
      </c>
      <c r="AM5071">
        <v>93.858200463027202</v>
      </c>
      <c r="AN5071">
        <v>1.0000000095989801</v>
      </c>
    </row>
    <row r="5072" spans="1:40" x14ac:dyDescent="0.25">
      <c r="A5072" t="str">
        <f>"20190303170639007"</f>
        <v>20190303170639007</v>
      </c>
      <c r="B5072" t="str">
        <f>"1551603999000111"</f>
        <v>1551603999000111</v>
      </c>
      <c r="C5072" t="s">
        <v>40</v>
      </c>
      <c r="D5072">
        <v>5.5836420000000002</v>
      </c>
      <c r="E5072">
        <v>0.49793779999999999</v>
      </c>
      <c r="F5072" t="s">
        <v>71</v>
      </c>
      <c r="G5072">
        <v>-302.62459999999999</v>
      </c>
      <c r="H5072" s="1">
        <v>-3.9596670000000001E-6</v>
      </c>
      <c r="I5072">
        <v>-46.569870000000002</v>
      </c>
      <c r="J5072">
        <v>-303.1549</v>
      </c>
      <c r="K5072">
        <v>1.1211610000000001</v>
      </c>
      <c r="L5072">
        <v>-30.470549999999999</v>
      </c>
      <c r="M5072">
        <v>-4.813158E-2</v>
      </c>
      <c r="N5072">
        <v>-8.9902650000000008E-3</v>
      </c>
      <c r="O5072">
        <v>-0.99880060000000004</v>
      </c>
      <c r="P5072">
        <v>2.0777460000000001E-2</v>
      </c>
      <c r="Q5072">
        <v>0.20211799999999999</v>
      </c>
      <c r="R5072">
        <v>-0.97914080000000003</v>
      </c>
      <c r="S5072">
        <v>9.7259520000000002E-2</v>
      </c>
      <c r="T5072">
        <v>-0.21192179999999999</v>
      </c>
      <c r="U5072">
        <v>-3.1064449999999999</v>
      </c>
      <c r="V5072">
        <v>-6.8051139999999996E-2</v>
      </c>
      <c r="W5072">
        <v>0.21083950000000001</v>
      </c>
      <c r="X5072">
        <v>0.97514909999999999</v>
      </c>
      <c r="Y5072">
        <v>-7.9285330000000001E-2</v>
      </c>
      <c r="Z5072">
        <v>5.884093E-2</v>
      </c>
      <c r="AA5072">
        <v>0.99511380000000005</v>
      </c>
      <c r="AB5072">
        <v>28</v>
      </c>
      <c r="AC5072">
        <v>0.53030000000001098</v>
      </c>
      <c r="AD5072">
        <v>-1.1211649596669999</v>
      </c>
      <c r="AE5072">
        <v>-16.099319999999999</v>
      </c>
      <c r="AF5072">
        <v>-1.29831258257189</v>
      </c>
      <c r="AG5072">
        <v>-1.1211649596669999</v>
      </c>
      <c r="AH5072">
        <v>15.977729403733999</v>
      </c>
      <c r="AI5072">
        <v>94.000749724350499</v>
      </c>
      <c r="AJ5072">
        <v>94.645513289811504</v>
      </c>
      <c r="AK5072">
        <v>16.0695508128819</v>
      </c>
      <c r="AL5072">
        <v>77.828446505094703</v>
      </c>
      <c r="AM5072">
        <v>93.991935284406296</v>
      </c>
      <c r="AN5072">
        <v>1.0000000098231701</v>
      </c>
    </row>
    <row r="5073" spans="1:40" x14ac:dyDescent="0.25">
      <c r="A5073" t="str">
        <f>"20190303170639028"</f>
        <v>20190303170639028</v>
      </c>
      <c r="B5073" t="str">
        <f>"1551603999019631"</f>
        <v>1551603999019631</v>
      </c>
      <c r="C5073" t="s">
        <v>40</v>
      </c>
      <c r="D5073">
        <v>5.5940370000000001</v>
      </c>
      <c r="E5073">
        <v>0.4980947</v>
      </c>
      <c r="F5073" t="s">
        <v>71</v>
      </c>
      <c r="G5073">
        <v>-302.6121</v>
      </c>
      <c r="H5073" s="1">
        <v>-4.110819E-6</v>
      </c>
      <c r="I5073">
        <v>-46.914859999999997</v>
      </c>
      <c r="J5073">
        <v>-303.16789999999997</v>
      </c>
      <c r="K5073">
        <v>1.121159</v>
      </c>
      <c r="L5073">
        <v>-30.751460000000002</v>
      </c>
      <c r="M5073">
        <v>-4.7689530000000001E-2</v>
      </c>
      <c r="N5073">
        <v>-9.0263229999999993E-3</v>
      </c>
      <c r="O5073">
        <v>-0.99882139999999997</v>
      </c>
      <c r="P5073">
        <v>2.2944249999999999E-2</v>
      </c>
      <c r="Q5073">
        <v>0.20042260000000001</v>
      </c>
      <c r="R5073">
        <v>-0.97944089999999995</v>
      </c>
      <c r="S5073">
        <v>0.1025085</v>
      </c>
      <c r="T5073">
        <v>-0.21172730000000001</v>
      </c>
      <c r="U5073">
        <v>-3.1054379999999999</v>
      </c>
      <c r="V5073">
        <v>-6.9796469999999999E-2</v>
      </c>
      <c r="W5073">
        <v>0.2091798</v>
      </c>
      <c r="X5073">
        <v>0.97538320000000001</v>
      </c>
      <c r="Y5073">
        <v>-8.0534060000000005E-2</v>
      </c>
      <c r="Z5073">
        <v>5.8761389999999997E-2</v>
      </c>
      <c r="AA5073">
        <v>0.99501819999999996</v>
      </c>
      <c r="AB5073">
        <v>29</v>
      </c>
      <c r="AC5073">
        <v>0.55579999999997598</v>
      </c>
      <c r="AD5073">
        <v>-1.1211631108190001</v>
      </c>
      <c r="AE5073">
        <v>-16.163399999999999</v>
      </c>
      <c r="AF5073">
        <v>-1.3196819041841299</v>
      </c>
      <c r="AG5073">
        <v>-1.1211631108190001</v>
      </c>
      <c r="AH5073">
        <v>16.041410364677901</v>
      </c>
      <c r="AI5073">
        <v>93.984586643455202</v>
      </c>
      <c r="AJ5073">
        <v>94.702972658025601</v>
      </c>
      <c r="AK5073">
        <v>16.134602986664699</v>
      </c>
      <c r="AL5073">
        <v>77.925709982742404</v>
      </c>
      <c r="AM5073">
        <v>94.092994719821505</v>
      </c>
      <c r="AN5073">
        <v>1.0000000613973601</v>
      </c>
    </row>
    <row r="5074" spans="1:40" x14ac:dyDescent="0.25">
      <c r="A5074" t="str">
        <f>"20190303170639048"</f>
        <v>20190303170639048</v>
      </c>
      <c r="B5074" t="str">
        <f>"1551603999039657"</f>
        <v>1551603999039657</v>
      </c>
      <c r="C5074" t="s">
        <v>40</v>
      </c>
      <c r="D5074">
        <v>5.596546</v>
      </c>
      <c r="E5074">
        <v>0.49827949999999999</v>
      </c>
      <c r="F5074" t="s">
        <v>71</v>
      </c>
      <c r="G5074">
        <v>-302.6069</v>
      </c>
      <c r="H5074" s="1">
        <v>-4.1378060000000002E-6</v>
      </c>
      <c r="I5074">
        <v>-46.968409999999999</v>
      </c>
      <c r="J5074">
        <v>-303.17939999999999</v>
      </c>
      <c r="K5074">
        <v>1.121162</v>
      </c>
      <c r="L5074">
        <v>-31.000060000000001</v>
      </c>
      <c r="M5074">
        <v>-4.7298279999999998E-2</v>
      </c>
      <c r="N5074">
        <v>-9.0594390000000007E-3</v>
      </c>
      <c r="O5074">
        <v>-0.99883980000000006</v>
      </c>
      <c r="P5074">
        <v>2.5398799999999999E-2</v>
      </c>
      <c r="Q5074">
        <v>0.1995538</v>
      </c>
      <c r="R5074">
        <v>-0.97955780000000003</v>
      </c>
      <c r="S5074">
        <v>0.1073914</v>
      </c>
      <c r="T5074">
        <v>-0.21462139999999999</v>
      </c>
      <c r="U5074">
        <v>-3.1043699999999999</v>
      </c>
      <c r="V5074">
        <v>-7.187077E-2</v>
      </c>
      <c r="W5074">
        <v>0.20834130000000001</v>
      </c>
      <c r="X5074">
        <v>0.97541199999999995</v>
      </c>
      <c r="Y5074">
        <v>-8.1715380000000004E-2</v>
      </c>
      <c r="Z5074">
        <v>5.9670969999999997E-2</v>
      </c>
      <c r="AA5074">
        <v>0.99486779999999997</v>
      </c>
      <c r="AB5074">
        <v>29</v>
      </c>
      <c r="AC5074">
        <v>0.57249999999999002</v>
      </c>
      <c r="AD5074">
        <v>-1.1211661378060001</v>
      </c>
      <c r="AE5074">
        <v>-15.968349999999999</v>
      </c>
      <c r="AF5074">
        <v>-1.3206635332880901</v>
      </c>
      <c r="AG5074">
        <v>-1.1211661378060001</v>
      </c>
      <c r="AH5074">
        <v>15.8453849389055</v>
      </c>
      <c r="AI5074">
        <v>94.0333726502774</v>
      </c>
      <c r="AJ5074">
        <v>94.764412993018098</v>
      </c>
      <c r="AK5074">
        <v>15.939805191369601</v>
      </c>
      <c r="AL5074">
        <v>77.974834577643307</v>
      </c>
      <c r="AM5074">
        <v>94.214079603558204</v>
      </c>
      <c r="AN5074">
        <v>1.0000000373050399</v>
      </c>
    </row>
    <row r="5075" spans="1:40" x14ac:dyDescent="0.25">
      <c r="A5075" t="str">
        <f>"20190303170639069"</f>
        <v>20190303170639069</v>
      </c>
      <c r="B5075" t="str">
        <f>"1551603999060154"</f>
        <v>1551603999060154</v>
      </c>
      <c r="C5075" t="s">
        <v>40</v>
      </c>
      <c r="D5075">
        <v>5.5718350000000001</v>
      </c>
      <c r="E5075">
        <v>0.4984074</v>
      </c>
      <c r="F5075" t="s">
        <v>71</v>
      </c>
      <c r="G5075">
        <v>-302.59160000000003</v>
      </c>
      <c r="H5075" s="1">
        <v>-4.2144590000000004E-6</v>
      </c>
      <c r="I5075">
        <v>-47.12059</v>
      </c>
      <c r="J5075">
        <v>-303.1918</v>
      </c>
      <c r="K5075">
        <v>1.1211660000000001</v>
      </c>
      <c r="L5075">
        <v>-31.27328</v>
      </c>
      <c r="M5075">
        <v>-4.6868229999999997E-2</v>
      </c>
      <c r="N5075">
        <v>-9.1064979999999993E-3</v>
      </c>
      <c r="O5075">
        <v>-0.99885959999999996</v>
      </c>
      <c r="P5075">
        <v>2.9240450000000001E-2</v>
      </c>
      <c r="Q5075">
        <v>0.19871649999999999</v>
      </c>
      <c r="R5075">
        <v>-0.97962090000000002</v>
      </c>
      <c r="S5075">
        <v>0.1131592</v>
      </c>
      <c r="T5075">
        <v>-0.21585489999999999</v>
      </c>
      <c r="U5075">
        <v>-3.1036380000000001</v>
      </c>
      <c r="V5075">
        <v>-7.5290289999999996E-2</v>
      </c>
      <c r="W5075">
        <v>0.20754649999999999</v>
      </c>
      <c r="X5075">
        <v>0.97532339999999995</v>
      </c>
      <c r="Y5075">
        <v>-8.3139260000000006E-2</v>
      </c>
      <c r="Z5075">
        <v>6.002888E-2</v>
      </c>
      <c r="AA5075">
        <v>0.99472830000000001</v>
      </c>
      <c r="AB5075">
        <v>29</v>
      </c>
      <c r="AC5075">
        <v>0.60019999999997198</v>
      </c>
      <c r="AD5075">
        <v>-1.1211702144589999</v>
      </c>
      <c r="AE5075">
        <v>-15.84731</v>
      </c>
      <c r="AF5075">
        <v>-1.33563083433172</v>
      </c>
      <c r="AG5075">
        <v>-1.1211702144589999</v>
      </c>
      <c r="AH5075">
        <v>15.723175340659299</v>
      </c>
      <c r="AI5075">
        <v>94.064090959391606</v>
      </c>
      <c r="AJ5075">
        <v>94.855427240128904</v>
      </c>
      <c r="AK5075">
        <v>15.8195820162394</v>
      </c>
      <c r="AL5075">
        <v>78.021389961795407</v>
      </c>
      <c r="AM5075">
        <v>94.414205117380504</v>
      </c>
      <c r="AN5075">
        <v>0.99999995600904601</v>
      </c>
    </row>
    <row r="5076" spans="1:40" x14ac:dyDescent="0.25">
      <c r="A5076" t="str">
        <f>"20190303170639092"</f>
        <v>20190303170639092</v>
      </c>
      <c r="B5076" t="str">
        <f>"1551603999079675"</f>
        <v>1551603999079675</v>
      </c>
      <c r="C5076" t="s">
        <v>40</v>
      </c>
      <c r="D5076">
        <v>5.5849149999999996</v>
      </c>
      <c r="E5076">
        <v>0.49850610000000001</v>
      </c>
      <c r="F5076" t="s">
        <v>71</v>
      </c>
      <c r="G5076">
        <v>-302.56990000000002</v>
      </c>
      <c r="H5076" s="1">
        <v>-4.2691450000000001E-6</v>
      </c>
      <c r="I5076">
        <v>-47.23039</v>
      </c>
      <c r="J5076">
        <v>-303.20490000000001</v>
      </c>
      <c r="K5076">
        <v>1.121175</v>
      </c>
      <c r="L5076">
        <v>-31.561859999999999</v>
      </c>
      <c r="M5076">
        <v>-4.6414299999999999E-2</v>
      </c>
      <c r="N5076">
        <v>-9.1666769999999998E-3</v>
      </c>
      <c r="O5076">
        <v>-0.99888030000000005</v>
      </c>
      <c r="P5076">
        <v>3.197382E-2</v>
      </c>
      <c r="Q5076">
        <v>0.19879749999999999</v>
      </c>
      <c r="R5076">
        <v>-0.97951940000000004</v>
      </c>
      <c r="S5076">
        <v>0.1209412</v>
      </c>
      <c r="T5076">
        <v>-0.21802340000000001</v>
      </c>
      <c r="U5076">
        <v>-3.103027</v>
      </c>
      <c r="V5076">
        <v>-7.757269E-2</v>
      </c>
      <c r="W5076">
        <v>0.20768229999999999</v>
      </c>
      <c r="X5076">
        <v>0.97511570000000003</v>
      </c>
      <c r="Y5076">
        <v>-8.5181709999999994E-2</v>
      </c>
      <c r="Z5076">
        <v>6.0666339999999999E-2</v>
      </c>
      <c r="AA5076">
        <v>0.99451679999999998</v>
      </c>
      <c r="AB5076">
        <v>29</v>
      </c>
      <c r="AC5076">
        <v>0.63499999999999002</v>
      </c>
      <c r="AD5076">
        <v>-1.121179269145</v>
      </c>
      <c r="AE5076">
        <v>-15.668529999999899</v>
      </c>
      <c r="AF5076">
        <v>-1.3546650454870299</v>
      </c>
      <c r="AG5076">
        <v>-1.121179269145</v>
      </c>
      <c r="AH5076">
        <v>15.5427153701909</v>
      </c>
      <c r="AI5076">
        <v>94.110375962652896</v>
      </c>
      <c r="AJ5076">
        <v>94.981172356619496</v>
      </c>
      <c r="AK5076">
        <v>15.6418720560485</v>
      </c>
      <c r="AL5076">
        <v>78.013436953598003</v>
      </c>
      <c r="AM5076">
        <v>94.548431767169504</v>
      </c>
      <c r="AN5076">
        <v>1.0000000441768</v>
      </c>
    </row>
    <row r="5077" spans="1:40" x14ac:dyDescent="0.25">
      <c r="A5077" t="str">
        <f>"20190303170639114"</f>
        <v>20190303170639114</v>
      </c>
      <c r="B5077" t="str">
        <f>"1551603999100170"</f>
        <v>1551603999100170</v>
      </c>
      <c r="C5077" t="s">
        <v>40</v>
      </c>
      <c r="D5077">
        <v>5.5390639999999998</v>
      </c>
      <c r="E5077">
        <v>0.49859320000000001</v>
      </c>
      <c r="F5077" t="s">
        <v>71</v>
      </c>
      <c r="G5077">
        <v>-302.55220000000003</v>
      </c>
      <c r="H5077" s="1">
        <v>-4.46256E-6</v>
      </c>
      <c r="I5077">
        <v>-47.612000000000002</v>
      </c>
      <c r="J5077">
        <v>-303.21789999999999</v>
      </c>
      <c r="K5077">
        <v>1.121181</v>
      </c>
      <c r="L5077">
        <v>-31.851959999999998</v>
      </c>
      <c r="M5077">
        <v>-4.5958020000000002E-2</v>
      </c>
      <c r="N5077">
        <v>-9.2363010000000006E-3</v>
      </c>
      <c r="O5077">
        <v>-0.99890080000000003</v>
      </c>
      <c r="P5077">
        <v>3.2855740000000001E-2</v>
      </c>
      <c r="Q5077">
        <v>0.19866349999999999</v>
      </c>
      <c r="R5077">
        <v>-0.97951710000000003</v>
      </c>
      <c r="S5077">
        <v>0.12615970000000001</v>
      </c>
      <c r="T5077">
        <v>-0.21673149999999999</v>
      </c>
      <c r="U5077">
        <v>-3.1025999999999998</v>
      </c>
      <c r="V5077">
        <v>-7.8008090000000002E-2</v>
      </c>
      <c r="W5077">
        <v>0.20761560000000001</v>
      </c>
      <c r="X5077">
        <v>0.97509520000000005</v>
      </c>
      <c r="Y5077">
        <v>-8.6402580000000007E-2</v>
      </c>
      <c r="Z5077">
        <v>6.0190269999999997E-2</v>
      </c>
      <c r="AA5077">
        <v>0.9944404</v>
      </c>
      <c r="AB5077">
        <v>29</v>
      </c>
      <c r="AC5077">
        <v>0.66569999999995799</v>
      </c>
      <c r="AD5077">
        <v>-1.12118546256</v>
      </c>
      <c r="AE5077">
        <v>-15.760039999999901</v>
      </c>
      <c r="AF5077">
        <v>-1.3823439339360699</v>
      </c>
      <c r="AG5077">
        <v>-1.12118546256</v>
      </c>
      <c r="AH5077">
        <v>15.633808026256901</v>
      </c>
      <c r="AI5077">
        <v>94.086082178031305</v>
      </c>
      <c r="AJ5077">
        <v>95.052961568161095</v>
      </c>
      <c r="AK5077">
        <v>15.734798536841801</v>
      </c>
      <c r="AL5077">
        <v>78.017344102353306</v>
      </c>
      <c r="AM5077">
        <v>94.573948934625605</v>
      </c>
      <c r="AN5077">
        <v>1.0000000742659201</v>
      </c>
    </row>
    <row r="5078" spans="1:40" x14ac:dyDescent="0.25">
      <c r="A5078" t="str">
        <f>"20190303170639136"</f>
        <v>20190303170639136</v>
      </c>
      <c r="B5078" t="str">
        <f>"1551603999129957"</f>
        <v>1551603999129957</v>
      </c>
      <c r="C5078" t="s">
        <v>40</v>
      </c>
      <c r="D5078">
        <v>5.6254989999999996</v>
      </c>
      <c r="E5078">
        <v>0.4988747</v>
      </c>
      <c r="F5078" t="s">
        <v>71</v>
      </c>
      <c r="G5078">
        <v>-302.55790000000002</v>
      </c>
      <c r="H5078" s="1">
        <v>-4.6037090000000001E-6</v>
      </c>
      <c r="I5078">
        <v>-47.888370000000002</v>
      </c>
      <c r="J5078">
        <v>-303.23059999999998</v>
      </c>
      <c r="K5078">
        <v>1.121181</v>
      </c>
      <c r="L5078">
        <v>-32.139800000000001</v>
      </c>
      <c r="M5078">
        <v>-4.5505820000000002E-2</v>
      </c>
      <c r="N5078">
        <v>-9.3104079999999992E-3</v>
      </c>
      <c r="O5078">
        <v>-0.9989209</v>
      </c>
      <c r="P5078">
        <v>3.3466030000000001E-2</v>
      </c>
      <c r="Q5078">
        <v>0.1981647</v>
      </c>
      <c r="R5078">
        <v>-0.97959770000000002</v>
      </c>
      <c r="S5078">
        <v>0.12768550000000001</v>
      </c>
      <c r="T5078">
        <v>-0.2169075</v>
      </c>
      <c r="U5078">
        <v>-3.1024479999999999</v>
      </c>
      <c r="V5078">
        <v>-7.817897E-2</v>
      </c>
      <c r="W5078">
        <v>0.2071897</v>
      </c>
      <c r="X5078">
        <v>0.97517200000000004</v>
      </c>
      <c r="Y5078">
        <v>-8.6441610000000002E-2</v>
      </c>
      <c r="Z5078">
        <v>6.0177080000000001E-2</v>
      </c>
      <c r="AA5078">
        <v>0.99443780000000004</v>
      </c>
      <c r="AB5078">
        <v>29</v>
      </c>
      <c r="AC5078">
        <v>0.67269999999996299</v>
      </c>
      <c r="AD5078">
        <v>-1.121185603709</v>
      </c>
      <c r="AE5078">
        <v>-15.748570000000001</v>
      </c>
      <c r="AF5078">
        <v>-1.3816953127313301</v>
      </c>
      <c r="AG5078">
        <v>-1.121185603709</v>
      </c>
      <c r="AH5078">
        <v>15.6226034088051</v>
      </c>
      <c r="AI5078">
        <v>94.088995484982107</v>
      </c>
      <c r="AJ5078">
        <v>95.054206456371702</v>
      </c>
      <c r="AK5078">
        <v>15.7236088848584</v>
      </c>
      <c r="AL5078">
        <v>78.042287590610897</v>
      </c>
      <c r="AM5078">
        <v>94.583566238310496</v>
      </c>
      <c r="AN5078">
        <v>0.99999997636017501</v>
      </c>
    </row>
    <row r="5079" spans="1:40" x14ac:dyDescent="0.25">
      <c r="A5079" t="str">
        <f>"20190303170639158"</f>
        <v>20190303170639158</v>
      </c>
      <c r="B5079" t="str">
        <f>"1551603999150452"</f>
        <v>1551603999150452</v>
      </c>
      <c r="C5079" t="s">
        <v>40</v>
      </c>
      <c r="D5079">
        <v>5.5882180000000004</v>
      </c>
      <c r="E5079">
        <v>0.49901859999999998</v>
      </c>
      <c r="F5079" t="s">
        <v>71</v>
      </c>
      <c r="G5079">
        <v>-302.57900000000001</v>
      </c>
      <c r="H5079" s="1">
        <v>-4.6768569999999999E-6</v>
      </c>
      <c r="I5079">
        <v>-48.029530000000001</v>
      </c>
      <c r="J5079">
        <v>-303.24279999999999</v>
      </c>
      <c r="K5079">
        <v>1.1211880000000001</v>
      </c>
      <c r="L5079">
        <v>-32.417909999999999</v>
      </c>
      <c r="M5079">
        <v>-4.5069249999999998E-2</v>
      </c>
      <c r="N5079">
        <v>-9.3857609999999994E-3</v>
      </c>
      <c r="O5079">
        <v>-0.99893969999999999</v>
      </c>
      <c r="P5079">
        <v>3.5333410000000003E-2</v>
      </c>
      <c r="Q5079">
        <v>0.1958898</v>
      </c>
      <c r="R5079">
        <v>-0.97998909999999995</v>
      </c>
      <c r="S5079">
        <v>0.1272278</v>
      </c>
      <c r="T5079">
        <v>-0.21890799999999999</v>
      </c>
      <c r="U5079">
        <v>-3.102417</v>
      </c>
      <c r="V5079">
        <v>-7.9633430000000005E-2</v>
      </c>
      <c r="W5079">
        <v>0.20499010000000001</v>
      </c>
      <c r="X5079">
        <v>0.97551909999999997</v>
      </c>
      <c r="Y5079">
        <v>-8.5858429999999999E-2</v>
      </c>
      <c r="Z5079">
        <v>6.0744649999999997E-2</v>
      </c>
      <c r="AA5079">
        <v>0.99445380000000005</v>
      </c>
      <c r="AB5079">
        <v>29</v>
      </c>
      <c r="AC5079">
        <v>0.66379999999997996</v>
      </c>
      <c r="AD5079">
        <v>-1.12119267685699</v>
      </c>
      <c r="AE5079">
        <v>-15.61162</v>
      </c>
      <c r="AF5079">
        <v>-1.3597597660590299</v>
      </c>
      <c r="AG5079">
        <v>-1.12119267685699</v>
      </c>
      <c r="AH5079">
        <v>15.486106691716399</v>
      </c>
      <c r="AI5079">
        <v>94.125167487038496</v>
      </c>
      <c r="AJ5079">
        <v>95.017994532278394</v>
      </c>
      <c r="AK5079">
        <v>15.5860681413644</v>
      </c>
      <c r="AL5079">
        <v>78.171080119555597</v>
      </c>
      <c r="AM5079">
        <v>94.666812731491802</v>
      </c>
      <c r="AN5079">
        <v>0.99999996936819102</v>
      </c>
    </row>
    <row r="5080" spans="1:40" x14ac:dyDescent="0.25">
      <c r="A5080" t="str">
        <f>"20190303170639181"</f>
        <v>20190303170639181</v>
      </c>
      <c r="B5080" t="str">
        <f>"1551603999169972"</f>
        <v>1551603999169972</v>
      </c>
      <c r="C5080" t="s">
        <v>40</v>
      </c>
      <c r="D5080">
        <v>5.5454309999999998</v>
      </c>
      <c r="E5080">
        <v>0.49922260000000002</v>
      </c>
      <c r="F5080" t="s">
        <v>71</v>
      </c>
      <c r="G5080">
        <v>-302.60000000000002</v>
      </c>
      <c r="H5080" s="1">
        <v>-4.5326140000000004E-6</v>
      </c>
      <c r="I5080">
        <v>-47.744039999999998</v>
      </c>
      <c r="J5080">
        <v>-303.25540000000001</v>
      </c>
      <c r="K5080">
        <v>1.121192</v>
      </c>
      <c r="L5080">
        <v>-32.706850000000003</v>
      </c>
      <c r="M5080">
        <v>-4.4616400000000001E-2</v>
      </c>
      <c r="N5080">
        <v>-9.4678639999999994E-3</v>
      </c>
      <c r="O5080">
        <v>-0.9989595</v>
      </c>
      <c r="P5080">
        <v>3.7553780000000002E-2</v>
      </c>
      <c r="Q5080">
        <v>0.1930615</v>
      </c>
      <c r="R5080">
        <v>-0.98046809999999995</v>
      </c>
      <c r="S5080">
        <v>0.1300964</v>
      </c>
      <c r="T5080">
        <v>-0.2269235</v>
      </c>
      <c r="U5080">
        <v>-3.1019290000000002</v>
      </c>
      <c r="V5080">
        <v>-8.1427940000000004E-2</v>
      </c>
      <c r="W5080">
        <v>0.2022446</v>
      </c>
      <c r="X5080">
        <v>0.97594400000000003</v>
      </c>
      <c r="Y5080">
        <v>-8.6323250000000004E-2</v>
      </c>
      <c r="Z5080">
        <v>6.3228939999999997E-2</v>
      </c>
      <c r="AA5080">
        <v>0.99425870000000005</v>
      </c>
      <c r="AB5080">
        <v>29</v>
      </c>
      <c r="AC5080">
        <v>0.65539999999998599</v>
      </c>
      <c r="AD5080">
        <v>-1.1211965326140001</v>
      </c>
      <c r="AE5080">
        <v>-15.037190000000001</v>
      </c>
      <c r="AF5080">
        <v>-1.3183670595744601</v>
      </c>
      <c r="AG5080">
        <v>-1.1211965326140001</v>
      </c>
      <c r="AH5080">
        <v>14.9102364058737</v>
      </c>
      <c r="AI5080">
        <v>94.283694667600301</v>
      </c>
      <c r="AJ5080">
        <v>95.052967096700499</v>
      </c>
      <c r="AK5080">
        <v>15.0103405373615</v>
      </c>
      <c r="AL5080">
        <v>78.331752556175104</v>
      </c>
      <c r="AM5080">
        <v>94.769429592751194</v>
      </c>
      <c r="AN5080">
        <v>1.0000000393888999</v>
      </c>
    </row>
    <row r="5081" spans="1:40" x14ac:dyDescent="0.25">
      <c r="A5081" t="str">
        <f>"20190303170639207"</f>
        <v>20190303170639207</v>
      </c>
      <c r="B5081" t="str">
        <f>"1551603999200229"</f>
        <v>1551603999200229</v>
      </c>
      <c r="C5081" t="s">
        <v>40</v>
      </c>
      <c r="D5081">
        <v>5.5715029999999999</v>
      </c>
      <c r="E5081">
        <v>0.49950729999999999</v>
      </c>
      <c r="F5081" t="s">
        <v>71</v>
      </c>
      <c r="G5081">
        <v>-302.62259999999998</v>
      </c>
      <c r="H5081" s="1">
        <v>-4.3683689999999997E-6</v>
      </c>
      <c r="I5081">
        <v>-47.419130000000003</v>
      </c>
      <c r="J5081">
        <v>-303.26900000000001</v>
      </c>
      <c r="K5081">
        <v>1.121192</v>
      </c>
      <c r="L5081">
        <v>-33.023499999999999</v>
      </c>
      <c r="M5081">
        <v>-4.4120550000000001E-2</v>
      </c>
      <c r="N5081">
        <v>-9.5549510000000008E-3</v>
      </c>
      <c r="O5081">
        <v>-0.99898050000000005</v>
      </c>
      <c r="P5081">
        <v>3.8928999999999998E-2</v>
      </c>
      <c r="Q5081">
        <v>0.19172210000000001</v>
      </c>
      <c r="R5081">
        <v>-0.98067689999999996</v>
      </c>
      <c r="S5081">
        <v>0.13339229999999899</v>
      </c>
      <c r="T5081">
        <v>-0.2363365</v>
      </c>
      <c r="U5081">
        <v>-3.1011959999999998</v>
      </c>
      <c r="V5081">
        <v>-8.2325410000000002E-2</v>
      </c>
      <c r="W5081">
        <v>0.200991</v>
      </c>
      <c r="X5081">
        <v>0.97612759999999998</v>
      </c>
      <c r="Y5081">
        <v>-8.6883370000000001E-2</v>
      </c>
      <c r="Z5081">
        <v>6.6158529999999993E-2</v>
      </c>
      <c r="AA5081">
        <v>0.99401930000000005</v>
      </c>
      <c r="AB5081">
        <v>29</v>
      </c>
      <c r="AC5081">
        <v>0.64640000000002795</v>
      </c>
      <c r="AD5081">
        <v>-1.1211963683690001</v>
      </c>
      <c r="AE5081">
        <v>-14.395629999999899</v>
      </c>
      <c r="AF5081">
        <v>-1.2732347150362</v>
      </c>
      <c r="AG5081">
        <v>-1.1211963683690001</v>
      </c>
      <c r="AH5081">
        <v>14.266721916490001</v>
      </c>
      <c r="AI5081">
        <v>94.475821812179404</v>
      </c>
      <c r="AJ5081">
        <v>95.099855389652205</v>
      </c>
      <c r="AK5081">
        <v>14.3672391982062</v>
      </c>
      <c r="AL5081">
        <v>78.405083695756502</v>
      </c>
      <c r="AM5081">
        <v>94.820847413723797</v>
      </c>
      <c r="AN5081">
        <v>0.99999997334721302</v>
      </c>
    </row>
    <row r="5082" spans="1:40" x14ac:dyDescent="0.25">
      <c r="A5082" t="str">
        <f>"20190303170639249"</f>
        <v>20190303170639249</v>
      </c>
      <c r="B5082" t="str">
        <f>"1551603999239776"</f>
        <v>1551603999239776</v>
      </c>
      <c r="C5082" t="s">
        <v>40</v>
      </c>
      <c r="D5082">
        <v>5.583075</v>
      </c>
      <c r="E5082">
        <v>0.49984489999999998</v>
      </c>
      <c r="F5082" t="s">
        <v>71</v>
      </c>
      <c r="G5082">
        <v>-302.63499999999999</v>
      </c>
      <c r="H5082" s="1">
        <v>-4.4613230000000004E-6</v>
      </c>
      <c r="I5082">
        <v>-47.600140000000003</v>
      </c>
      <c r="J5082">
        <v>-303.29250000000002</v>
      </c>
      <c r="K5082">
        <v>1.1212029999999999</v>
      </c>
      <c r="L5082">
        <v>-33.578769999999999</v>
      </c>
      <c r="M5082">
        <v>-4.3251350000000001E-2</v>
      </c>
      <c r="N5082">
        <v>-9.7015250000000008E-3</v>
      </c>
      <c r="O5082">
        <v>-0.99901740000000006</v>
      </c>
      <c r="P5082">
        <v>3.5560540000000002E-2</v>
      </c>
      <c r="Q5082">
        <v>0.19259580000000001</v>
      </c>
      <c r="R5082">
        <v>-0.98063409999999995</v>
      </c>
      <c r="S5082">
        <v>0.13485720000000001</v>
      </c>
      <c r="T5082">
        <v>-0.2384723</v>
      </c>
      <c r="U5082">
        <v>-3.1003720000000001</v>
      </c>
      <c r="V5082">
        <v>-7.8108109999999994E-2</v>
      </c>
      <c r="W5082">
        <v>0.20201250000000001</v>
      </c>
      <c r="X5082">
        <v>0.97626329999999995</v>
      </c>
      <c r="Y5082">
        <v>-8.6494390000000004E-2</v>
      </c>
      <c r="Z5082">
        <v>6.6717860000000004E-2</v>
      </c>
      <c r="AA5082">
        <v>0.9940158</v>
      </c>
      <c r="AB5082">
        <v>29</v>
      </c>
      <c r="AC5082">
        <v>0.65750000000002695</v>
      </c>
      <c r="AD5082">
        <v>-1.1212074613230001</v>
      </c>
      <c r="AE5082">
        <v>-14.021369999999999</v>
      </c>
      <c r="AF5082">
        <v>-1.2553468040871301</v>
      </c>
      <c r="AG5082">
        <v>-1.1212074613230001</v>
      </c>
      <c r="AH5082">
        <v>13.891179713568199</v>
      </c>
      <c r="AI5082">
        <v>94.595898702558301</v>
      </c>
      <c r="AJ5082">
        <v>95.1637966199755</v>
      </c>
      <c r="AK5082">
        <v>13.9927794095564</v>
      </c>
      <c r="AL5082">
        <v>78.345330468435293</v>
      </c>
      <c r="AM5082">
        <v>94.574332151659405</v>
      </c>
      <c r="AN5082">
        <v>0.99999997896545501</v>
      </c>
    </row>
    <row r="5083" spans="1:40" x14ac:dyDescent="0.25">
      <c r="A5083" t="str">
        <f>"20190303170639271"</f>
        <v>20190303170639271</v>
      </c>
      <c r="B5083" t="str">
        <f>"1551603999260272"</f>
        <v>1551603999260272</v>
      </c>
      <c r="C5083" t="s">
        <v>40</v>
      </c>
      <c r="D5083">
        <v>5.5726009999999997</v>
      </c>
      <c r="E5083">
        <v>0.49999310000000002</v>
      </c>
      <c r="F5083" t="s">
        <v>71</v>
      </c>
      <c r="G5083">
        <v>-302.69159999999999</v>
      </c>
      <c r="H5083" s="1">
        <v>-4.8726830000000001E-6</v>
      </c>
      <c r="I5083">
        <v>-48.401020000000003</v>
      </c>
      <c r="J5083">
        <v>-303.30410000000001</v>
      </c>
      <c r="K5083">
        <v>1.121202</v>
      </c>
      <c r="L5083">
        <v>-33.857239999999997</v>
      </c>
      <c r="M5083">
        <v>-4.2815400000000003E-2</v>
      </c>
      <c r="N5083">
        <v>-9.7664440000000009E-3</v>
      </c>
      <c r="O5083">
        <v>-0.99903549999999997</v>
      </c>
      <c r="P5083">
        <v>3.5407040000000001E-2</v>
      </c>
      <c r="Q5083">
        <v>0.1904873</v>
      </c>
      <c r="R5083">
        <v>-0.98105140000000002</v>
      </c>
      <c r="S5083">
        <v>0.12570190000000001</v>
      </c>
      <c r="T5083">
        <v>-0.23455309999999999</v>
      </c>
      <c r="U5083">
        <v>-3.1007690000000001</v>
      </c>
      <c r="V5083">
        <v>-7.7544429999999998E-2</v>
      </c>
      <c r="W5083">
        <v>0.19997219999999999</v>
      </c>
      <c r="X5083">
        <v>0.97672820000000005</v>
      </c>
      <c r="Y5083">
        <v>-8.3129140000000004E-2</v>
      </c>
      <c r="Z5083">
        <v>6.5412399999999996E-2</v>
      </c>
      <c r="AA5083">
        <v>0.99438970000000004</v>
      </c>
      <c r="AB5083">
        <v>29</v>
      </c>
      <c r="AC5083">
        <v>0.61250000000001104</v>
      </c>
      <c r="AD5083">
        <v>-1.121206872683</v>
      </c>
      <c r="AE5083">
        <v>-14.5437799999999</v>
      </c>
      <c r="AF5083">
        <v>-1.2273839791638399</v>
      </c>
      <c r="AG5083">
        <v>-1.121206872683</v>
      </c>
      <c r="AH5083">
        <v>14.4186757347103</v>
      </c>
      <c r="AI5083">
        <v>94.4304555741314</v>
      </c>
      <c r="AJ5083">
        <v>94.865550589176095</v>
      </c>
      <c r="AK5083">
        <v>14.514192579209601</v>
      </c>
      <c r="AL5083">
        <v>78.464666607341698</v>
      </c>
      <c r="AM5083">
        <v>94.539306731197797</v>
      </c>
      <c r="AN5083">
        <v>0.999999998036052</v>
      </c>
    </row>
    <row r="5084" spans="1:40" x14ac:dyDescent="0.25">
      <c r="A5084" t="str">
        <f>"20190303170639294"</f>
        <v>20190303170639294</v>
      </c>
      <c r="B5084" t="str">
        <f>"1551603999279792"</f>
        <v>1551603999279792</v>
      </c>
      <c r="C5084" t="s">
        <v>40</v>
      </c>
      <c r="D5084">
        <v>5.5943490000000002</v>
      </c>
      <c r="E5084">
        <v>0.5001312</v>
      </c>
      <c r="F5084" t="s">
        <v>71</v>
      </c>
      <c r="G5084">
        <v>-302.7287</v>
      </c>
      <c r="H5084" s="1">
        <v>-4.813133E-6</v>
      </c>
      <c r="I5084">
        <v>-48.27993</v>
      </c>
      <c r="J5084">
        <v>-303.31670000000003</v>
      </c>
      <c r="K5084">
        <v>1.1211990000000001</v>
      </c>
      <c r="L5084">
        <v>-34.162170000000003</v>
      </c>
      <c r="M5084">
        <v>-4.2322770000000003E-2</v>
      </c>
      <c r="N5084">
        <v>-9.8337070000000006E-3</v>
      </c>
      <c r="O5084">
        <v>-0.99905560000000004</v>
      </c>
      <c r="P5084">
        <v>3.6293390000000002E-2</v>
      </c>
      <c r="Q5084">
        <v>0.18825620000000001</v>
      </c>
      <c r="R5084">
        <v>-0.98144920000000002</v>
      </c>
      <c r="S5084">
        <v>0.1236877</v>
      </c>
      <c r="T5084">
        <v>-0.24101320000000001</v>
      </c>
      <c r="U5084">
        <v>-3.1002809999999998</v>
      </c>
      <c r="V5084">
        <v>-7.7966380000000002E-2</v>
      </c>
      <c r="W5084">
        <v>0.19780900000000001</v>
      </c>
      <c r="X5084">
        <v>0.97713499999999998</v>
      </c>
      <c r="Y5084">
        <v>-8.1993099999999999E-2</v>
      </c>
      <c r="Z5084">
        <v>6.7423949999999996E-2</v>
      </c>
      <c r="AA5084">
        <v>0.99434959999999994</v>
      </c>
      <c r="AB5084">
        <v>29</v>
      </c>
      <c r="AC5084">
        <v>0.58800000000002195</v>
      </c>
      <c r="AD5084">
        <v>-1.121203813133</v>
      </c>
      <c r="AE5084">
        <v>-14.117759999999899</v>
      </c>
      <c r="AF5084">
        <v>-1.17759024192767</v>
      </c>
      <c r="AG5084">
        <v>-1.121203813133</v>
      </c>
      <c r="AH5084">
        <v>13.992123642961101</v>
      </c>
      <c r="AI5084">
        <v>94.565311995574305</v>
      </c>
      <c r="AJ5084">
        <v>94.810729652597203</v>
      </c>
      <c r="AK5084">
        <v>14.0862820079813</v>
      </c>
      <c r="AL5084">
        <v>78.591135320834198</v>
      </c>
      <c r="AM5084">
        <v>94.562010813617704</v>
      </c>
      <c r="AN5084">
        <v>0.99999998255815203</v>
      </c>
    </row>
    <row r="5085" spans="1:40" x14ac:dyDescent="0.25">
      <c r="A5085" t="str">
        <f>"20190303170639317"</f>
        <v>20190303170639317</v>
      </c>
      <c r="B5085" t="str">
        <f>"1551603999310048"</f>
        <v>1551603999310048</v>
      </c>
      <c r="C5085" t="s">
        <v>40</v>
      </c>
      <c r="D5085">
        <v>5.5587099999999996</v>
      </c>
      <c r="E5085">
        <v>0.5002972</v>
      </c>
      <c r="F5085" t="s">
        <v>71</v>
      </c>
      <c r="G5085">
        <v>-302.74829999999997</v>
      </c>
      <c r="H5085" s="1">
        <v>-4.7836509999999997E-6</v>
      </c>
      <c r="I5085">
        <v>-48.219830000000002</v>
      </c>
      <c r="J5085">
        <v>-303.3288</v>
      </c>
      <c r="K5085">
        <v>1.121218</v>
      </c>
      <c r="L5085">
        <v>-34.463169999999998</v>
      </c>
      <c r="M5085">
        <v>-4.1776790000000001E-2</v>
      </c>
      <c r="N5085">
        <v>-9.898614E-3</v>
      </c>
      <c r="O5085">
        <v>-0.99907809999999997</v>
      </c>
      <c r="P5085">
        <v>3.6071649999999997E-2</v>
      </c>
      <c r="Q5085">
        <v>0.18790589999999999</v>
      </c>
      <c r="R5085">
        <v>-0.98152459999999997</v>
      </c>
      <c r="S5085">
        <v>0.12530519999999901</v>
      </c>
      <c r="T5085">
        <v>-0.2472075</v>
      </c>
      <c r="U5085">
        <v>-3.0994869999999999</v>
      </c>
      <c r="V5085">
        <v>-7.7227790000000004E-2</v>
      </c>
      <c r="W5085">
        <v>0.19751830000000001</v>
      </c>
      <c r="X5085">
        <v>0.97725249999999997</v>
      </c>
      <c r="Y5085">
        <v>-8.1970269999999998E-2</v>
      </c>
      <c r="Z5085">
        <v>6.9355529999999999E-2</v>
      </c>
      <c r="AA5085">
        <v>0.99421859999999995</v>
      </c>
      <c r="AB5085">
        <v>29</v>
      </c>
      <c r="AC5085">
        <v>0.58050000000002899</v>
      </c>
      <c r="AD5085">
        <v>-1.121222783651</v>
      </c>
      <c r="AE5085">
        <v>-13.75666</v>
      </c>
      <c r="AF5085">
        <v>-1.1471236294248801</v>
      </c>
      <c r="AG5085">
        <v>-1.121222783651</v>
      </c>
      <c r="AH5085">
        <v>13.630014316925299</v>
      </c>
      <c r="AI5085">
        <v>94.686144359330001</v>
      </c>
      <c r="AJ5085">
        <v>94.810766584107199</v>
      </c>
      <c r="AK5085">
        <v>13.7240782361276</v>
      </c>
      <c r="AL5085">
        <v>78.608126983484894</v>
      </c>
      <c r="AM5085">
        <v>94.518432799942801</v>
      </c>
      <c r="AN5085">
        <v>1.00000002956971</v>
      </c>
    </row>
    <row r="5086" spans="1:40" x14ac:dyDescent="0.25">
      <c r="A5086" t="str">
        <f>"20190303170639342"</f>
        <v>20190303170639342</v>
      </c>
      <c r="B5086" t="str">
        <f>"1551603999330076"</f>
        <v>1551603999330076</v>
      </c>
      <c r="C5086" t="s">
        <v>40</v>
      </c>
      <c r="D5086">
        <v>5.5680740000000002</v>
      </c>
      <c r="E5086">
        <v>0.50033709999999998</v>
      </c>
      <c r="F5086" t="s">
        <v>71</v>
      </c>
      <c r="G5086">
        <v>-302.76</v>
      </c>
      <c r="H5086" s="1">
        <v>-4.9374130000000001E-6</v>
      </c>
      <c r="I5086">
        <v>-48.52026</v>
      </c>
      <c r="J5086">
        <v>-303.34160000000003</v>
      </c>
      <c r="K5086">
        <v>1.1212959999999901</v>
      </c>
      <c r="L5086">
        <v>-34.785550000000001</v>
      </c>
      <c r="M5086">
        <v>-4.1074640000000003E-2</v>
      </c>
      <c r="N5086">
        <v>-9.9616740000000002E-3</v>
      </c>
      <c r="O5086">
        <v>-0.99910639999999995</v>
      </c>
      <c r="P5086">
        <v>3.5649489999999999E-2</v>
      </c>
      <c r="Q5086">
        <v>0.1884516</v>
      </c>
      <c r="R5086">
        <v>-0.98143539999999996</v>
      </c>
      <c r="S5086">
        <v>0.1253967</v>
      </c>
      <c r="T5086">
        <v>-0.247197</v>
      </c>
      <c r="U5086">
        <v>-3.0991819999999999</v>
      </c>
      <c r="V5086">
        <v>-7.6150850000000006E-2</v>
      </c>
      <c r="W5086">
        <v>0.19811239999999999</v>
      </c>
      <c r="X5086">
        <v>0.97721670000000005</v>
      </c>
      <c r="Y5086">
        <v>-8.1303319999999998E-2</v>
      </c>
      <c r="Z5086">
        <v>6.930269E-2</v>
      </c>
      <c r="AA5086">
        <v>0.99427710000000002</v>
      </c>
      <c r="AB5086">
        <v>29</v>
      </c>
      <c r="AC5086">
        <v>0.58160000000003698</v>
      </c>
      <c r="AD5086">
        <v>-1.1213009374130001</v>
      </c>
      <c r="AE5086">
        <v>-13.73471</v>
      </c>
      <c r="AF5086">
        <v>-1.1377160061275</v>
      </c>
      <c r="AG5086">
        <v>-1.1213009374130001</v>
      </c>
      <c r="AH5086">
        <v>13.608687027091101</v>
      </c>
      <c r="AI5086">
        <v>94.693999044815598</v>
      </c>
      <c r="AJ5086">
        <v>94.778939330059998</v>
      </c>
      <c r="AK5086">
        <v>13.7021194019086</v>
      </c>
      <c r="AL5086">
        <v>78.573400748479401</v>
      </c>
      <c r="AM5086">
        <v>94.4558414314278</v>
      </c>
      <c r="AN5086">
        <v>0.99999997687418596</v>
      </c>
    </row>
    <row r="5087" spans="1:40" x14ac:dyDescent="0.25">
      <c r="A5087" t="str">
        <f>"20190303170639363"</f>
        <v>20190303170639363</v>
      </c>
      <c r="B5087" t="str">
        <f>"1551603999350572"</f>
        <v>1551603999350572</v>
      </c>
      <c r="C5087" t="s">
        <v>40</v>
      </c>
      <c r="D5087">
        <v>5.8955570000000002</v>
      </c>
      <c r="E5087">
        <v>0.50037860000000001</v>
      </c>
      <c r="F5087" t="s">
        <v>71</v>
      </c>
      <c r="G5087">
        <v>-302.76929999999999</v>
      </c>
      <c r="H5087" s="1">
        <v>-5.1621930000000003E-6</v>
      </c>
      <c r="I5087">
        <v>-48.960349999999998</v>
      </c>
      <c r="J5087">
        <v>-303.3519</v>
      </c>
      <c r="K5087">
        <v>1.12141</v>
      </c>
      <c r="L5087">
        <v>-35.052489999999999</v>
      </c>
      <c r="M5087">
        <v>-4.0344280000000003E-2</v>
      </c>
      <c r="N5087">
        <v>-1.0013879999999999E-2</v>
      </c>
      <c r="O5087">
        <v>-0.99913589999999997</v>
      </c>
      <c r="P5087">
        <v>3.6860780000000003E-2</v>
      </c>
      <c r="Q5087">
        <v>0.1882442</v>
      </c>
      <c r="R5087">
        <v>-0.98143049999999998</v>
      </c>
      <c r="S5087">
        <v>0.12512210000000001</v>
      </c>
      <c r="T5087">
        <v>-0.2451689</v>
      </c>
      <c r="U5087">
        <v>-3.0992739999999999</v>
      </c>
      <c r="V5087">
        <v>-7.6694620000000005E-2</v>
      </c>
      <c r="W5087">
        <v>0.19793659999999999</v>
      </c>
      <c r="X5087">
        <v>0.97720980000000002</v>
      </c>
      <c r="Y5087">
        <v>-8.0487950000000003E-2</v>
      </c>
      <c r="Z5087">
        <v>6.8608100000000005E-2</v>
      </c>
      <c r="AA5087">
        <v>0.99439160000000004</v>
      </c>
      <c r="AB5087">
        <v>29</v>
      </c>
      <c r="AC5087">
        <v>0.582600000000013</v>
      </c>
      <c r="AD5087">
        <v>-1.121415162193</v>
      </c>
      <c r="AE5087">
        <v>-13.907859999999999</v>
      </c>
      <c r="AF5087">
        <v>-1.13588422658968</v>
      </c>
      <c r="AG5087">
        <v>-1.121415162193</v>
      </c>
      <c r="AH5087">
        <v>13.7835732205232</v>
      </c>
      <c r="AI5087">
        <v>94.635626839581107</v>
      </c>
      <c r="AJ5087">
        <v>94.711016685345896</v>
      </c>
      <c r="AK5087">
        <v>13.8756872142513</v>
      </c>
      <c r="AL5087">
        <v>78.583676854112497</v>
      </c>
      <c r="AM5087">
        <v>94.487561289068907</v>
      </c>
      <c r="AN5087">
        <v>0.99999997778627103</v>
      </c>
    </row>
    <row r="5088" spans="1:40" x14ac:dyDescent="0.25">
      <c r="A5088" t="str">
        <f>"20190303170639384"</f>
        <v>20190303170639384</v>
      </c>
      <c r="B5088" t="str">
        <f>"1551603999379852"</f>
        <v>1551603999379852</v>
      </c>
      <c r="C5088" t="s">
        <v>40</v>
      </c>
      <c r="D5088">
        <v>5.6352099999999998</v>
      </c>
      <c r="E5088">
        <v>0.47644429999999999</v>
      </c>
      <c r="F5088" t="s">
        <v>71</v>
      </c>
      <c r="G5088">
        <v>-302.76350000000002</v>
      </c>
      <c r="H5088" s="1">
        <v>-5.295311E-6</v>
      </c>
      <c r="I5088">
        <v>-49.222270000000002</v>
      </c>
      <c r="J5088">
        <v>-303.3623</v>
      </c>
      <c r="K5088">
        <v>1.121564</v>
      </c>
      <c r="L5088">
        <v>-35.333309999999997</v>
      </c>
      <c r="M5088">
        <v>-3.9365650000000002E-2</v>
      </c>
      <c r="N5088">
        <v>-1.006747E-2</v>
      </c>
      <c r="O5088">
        <v>-0.99917420000000001</v>
      </c>
      <c r="P5088">
        <v>3.8148700000000001E-2</v>
      </c>
      <c r="Q5088">
        <v>0.1890848</v>
      </c>
      <c r="R5088">
        <v>-0.98121939999999996</v>
      </c>
      <c r="S5088">
        <v>0.12869259999999999</v>
      </c>
      <c r="T5088">
        <v>-0.24525640000000001</v>
      </c>
      <c r="U5088">
        <v>-3.0989689999999999</v>
      </c>
      <c r="V5088">
        <v>-7.7089560000000001E-2</v>
      </c>
      <c r="W5088">
        <v>0.19879849999999999</v>
      </c>
      <c r="X5088">
        <v>0.97700379999999998</v>
      </c>
      <c r="Y5088">
        <v>-8.0659209999999995E-2</v>
      </c>
      <c r="Z5088">
        <v>6.8592399999999998E-2</v>
      </c>
      <c r="AA5088">
        <v>0.99437880000000001</v>
      </c>
      <c r="AB5088">
        <v>29</v>
      </c>
      <c r="AC5088">
        <v>0.59879999999998201</v>
      </c>
      <c r="AD5088">
        <v>-1.1215692953109999</v>
      </c>
      <c r="AE5088">
        <v>-13.888960000000001</v>
      </c>
      <c r="AF5088">
        <v>-1.13770623633266</v>
      </c>
      <c r="AG5088">
        <v>-1.1215692953109999</v>
      </c>
      <c r="AH5088">
        <v>13.765024952048099</v>
      </c>
      <c r="AI5088">
        <v>94.642389019917104</v>
      </c>
      <c r="AJ5088">
        <v>94.724868705060999</v>
      </c>
      <c r="AK5088">
        <v>13.8574241868711</v>
      </c>
      <c r="AL5088">
        <v>78.533293022874005</v>
      </c>
      <c r="AM5088">
        <v>94.511522053577096</v>
      </c>
      <c r="AN5088">
        <v>1.00000003453884</v>
      </c>
    </row>
    <row r="5089" spans="1:40" x14ac:dyDescent="0.25">
      <c r="A5089" t="str">
        <f>"20190303170639410"</f>
        <v>20190303170639410</v>
      </c>
      <c r="B5089" t="str">
        <f>"1551603999400347"</f>
        <v>1551603999400347</v>
      </c>
      <c r="C5089" t="s">
        <v>40</v>
      </c>
      <c r="D5089">
        <v>5.6686920000000001</v>
      </c>
      <c r="E5089">
        <v>0.42520619999999998</v>
      </c>
      <c r="F5089" t="s">
        <v>71</v>
      </c>
      <c r="G5089">
        <v>-301.52350000000001</v>
      </c>
      <c r="H5089" s="1">
        <v>-6.8331020000000003E-6</v>
      </c>
      <c r="I5089">
        <v>-52.883029999999998</v>
      </c>
      <c r="J5089">
        <v>-303.3734</v>
      </c>
      <c r="K5089">
        <v>1.1217839999999999</v>
      </c>
      <c r="L5089">
        <v>-35.653019999999998</v>
      </c>
      <c r="M5089">
        <v>-3.7930190000000003E-2</v>
      </c>
      <c r="N5089">
        <v>-1.012331E-2</v>
      </c>
      <c r="O5089">
        <v>-0.99922940000000005</v>
      </c>
      <c r="P5089">
        <v>3.8588299999999999E-2</v>
      </c>
      <c r="Q5089">
        <v>0.190798</v>
      </c>
      <c r="R5089">
        <v>-0.98087080000000004</v>
      </c>
      <c r="S5089">
        <v>0.32299800000000001</v>
      </c>
      <c r="T5089">
        <v>-0.1970179</v>
      </c>
      <c r="U5089">
        <v>-3.0828250000000001</v>
      </c>
      <c r="V5089">
        <v>-7.6218930000000004E-2</v>
      </c>
      <c r="W5089">
        <v>0.20052490000000001</v>
      </c>
      <c r="X5089">
        <v>0.97671920000000001</v>
      </c>
      <c r="Y5089">
        <v>-0.14165349999999999</v>
      </c>
      <c r="Z5089">
        <v>5.3089289999999997E-2</v>
      </c>
      <c r="AA5089">
        <v>0.98849169999999997</v>
      </c>
      <c r="AB5089">
        <v>29</v>
      </c>
      <c r="AC5089">
        <v>1.8498999999999901</v>
      </c>
      <c r="AD5089">
        <v>-1.1217908331019999</v>
      </c>
      <c r="AE5089">
        <v>-17.23001</v>
      </c>
      <c r="AF5089">
        <v>-2.4916978328832098</v>
      </c>
      <c r="AG5089">
        <v>-1.1217908331019999</v>
      </c>
      <c r="AH5089">
        <v>17.075881228680299</v>
      </c>
      <c r="AI5089">
        <v>93.719338599002</v>
      </c>
      <c r="AJ5089">
        <v>98.301958657624795</v>
      </c>
      <c r="AK5089">
        <v>17.293140041635699</v>
      </c>
      <c r="AL5089">
        <v>78.432344318100306</v>
      </c>
      <c r="AM5089">
        <v>94.462071425545204</v>
      </c>
      <c r="AN5089">
        <v>0.99999997822949704</v>
      </c>
    </row>
    <row r="5090" spans="1:40" x14ac:dyDescent="0.25">
      <c r="A5090" t="str">
        <f>"20190303170639434"</f>
        <v>20190303170639434</v>
      </c>
      <c r="B5090" t="str">
        <f>"1551603999419867"</f>
        <v>1551603999419867</v>
      </c>
      <c r="C5090" t="s">
        <v>40</v>
      </c>
      <c r="D5090">
        <v>5.6807109999999996</v>
      </c>
      <c r="E5090">
        <v>0.4212861</v>
      </c>
      <c r="F5090" t="s">
        <v>105</v>
      </c>
      <c r="G5090">
        <v>-289.92469999999997</v>
      </c>
      <c r="H5090">
        <v>0.37798019999999999</v>
      </c>
      <c r="I5090">
        <v>-91.564989999999995</v>
      </c>
      <c r="J5090">
        <v>-303.38389999999998</v>
      </c>
      <c r="K5090">
        <v>1.122012</v>
      </c>
      <c r="L5090">
        <v>-35.97766</v>
      </c>
      <c r="M5090">
        <v>-3.6170519999999998E-2</v>
      </c>
      <c r="N5090">
        <v>-1.0174910000000001E-2</v>
      </c>
      <c r="O5090">
        <v>-0.99929389999999996</v>
      </c>
      <c r="P5090">
        <v>3.8783129999999999E-2</v>
      </c>
      <c r="Q5090">
        <v>0.1918858</v>
      </c>
      <c r="R5090">
        <v>-0.98065089999999999</v>
      </c>
      <c r="S5090">
        <v>0.73065190000000002</v>
      </c>
      <c r="T5090">
        <v>-4.040933E-2</v>
      </c>
      <c r="U5090">
        <v>-3.0376280000000002</v>
      </c>
      <c r="V5090">
        <v>-7.4794150000000004E-2</v>
      </c>
      <c r="W5090">
        <v>0.2016249</v>
      </c>
      <c r="X5090">
        <v>0.97660290000000005</v>
      </c>
      <c r="Y5090">
        <v>-0.26884789999999997</v>
      </c>
      <c r="Z5090">
        <v>2.6419849999999999E-3</v>
      </c>
      <c r="AA5090">
        <v>0.96317909999999995</v>
      </c>
      <c r="AB5090">
        <v>29</v>
      </c>
      <c r="AC5090">
        <v>13.459199999999999</v>
      </c>
      <c r="AD5090">
        <v>-0.74403180000000002</v>
      </c>
      <c r="AE5090">
        <v>-55.587330000000001</v>
      </c>
      <c r="AF5090">
        <v>-15.458502299005801</v>
      </c>
      <c r="AG5090">
        <v>-0.74403180000000002</v>
      </c>
      <c r="AH5090">
        <v>55.054783100059097</v>
      </c>
      <c r="AI5090">
        <v>90.7454458780051</v>
      </c>
      <c r="AJ5090">
        <v>105.683892252333</v>
      </c>
      <c r="AK5090">
        <v>57.188705343296</v>
      </c>
      <c r="AL5090">
        <v>78.368005073009101</v>
      </c>
      <c r="AM5090">
        <v>94.379507732712398</v>
      </c>
      <c r="AN5090">
        <v>0.99999999473132095</v>
      </c>
    </row>
    <row r="5091" spans="1:40" x14ac:dyDescent="0.25">
      <c r="A5091" t="str">
        <f>"20190303170639460"</f>
        <v>20190303170639460</v>
      </c>
      <c r="B5091" t="str">
        <f>"1551603999450630"</f>
        <v>1551603999450630</v>
      </c>
      <c r="C5091" t="s">
        <v>40</v>
      </c>
      <c r="D5091">
        <v>5.6592919999999998</v>
      </c>
      <c r="E5091">
        <v>0.41915289999999999</v>
      </c>
      <c r="F5091" t="s">
        <v>105</v>
      </c>
      <c r="G5091">
        <v>-289.37889999999999</v>
      </c>
      <c r="H5091">
        <v>0.65094569999999996</v>
      </c>
      <c r="I5091">
        <v>-91.564989999999995</v>
      </c>
      <c r="J5091">
        <v>-303.39420000000001</v>
      </c>
      <c r="K5091">
        <v>1.12226</v>
      </c>
      <c r="L5091">
        <v>-36.325290000000003</v>
      </c>
      <c r="M5091">
        <v>-3.3890780000000002E-2</v>
      </c>
      <c r="N5091">
        <v>-1.022503E-2</v>
      </c>
      <c r="O5091">
        <v>-0.99937339999999997</v>
      </c>
      <c r="P5091">
        <v>4.2515049999999999E-2</v>
      </c>
      <c r="Q5091">
        <v>0.18784870000000001</v>
      </c>
      <c r="R5091">
        <v>-0.98127759999999997</v>
      </c>
      <c r="S5091">
        <v>0.76440430000000004</v>
      </c>
      <c r="T5091">
        <v>-2.5710340000000002E-2</v>
      </c>
      <c r="U5091">
        <v>-3.0339969999999998</v>
      </c>
      <c r="V5091">
        <v>-7.6421370000000002E-2</v>
      </c>
      <c r="W5091">
        <v>0.19759299999999999</v>
      </c>
      <c r="X5091">
        <v>0.97730079999999997</v>
      </c>
      <c r="Y5091">
        <v>-0.27701049999999999</v>
      </c>
      <c r="Z5091">
        <v>-2.0952200000000001E-3</v>
      </c>
      <c r="AA5091">
        <v>0.96086459999999996</v>
      </c>
      <c r="AB5091">
        <v>29</v>
      </c>
      <c r="AC5091">
        <v>14.0153</v>
      </c>
      <c r="AD5091">
        <v>-0.47131430000000002</v>
      </c>
      <c r="AE5091">
        <v>-55.239699999999999</v>
      </c>
      <c r="AF5091">
        <v>-15.8783760496105</v>
      </c>
      <c r="AG5091">
        <v>-0.47131430000000002</v>
      </c>
      <c r="AH5091">
        <v>54.7292064207357</v>
      </c>
      <c r="AI5091">
        <v>90.473865249420101</v>
      </c>
      <c r="AJ5091">
        <v>106.17882797169899</v>
      </c>
      <c r="AK5091">
        <v>56.987989950389697</v>
      </c>
      <c r="AL5091">
        <v>78.603761022248804</v>
      </c>
      <c r="AM5091">
        <v>94.471223142647801</v>
      </c>
      <c r="AN5091">
        <v>1.0000000365611501</v>
      </c>
    </row>
    <row r="5092" spans="1:40" x14ac:dyDescent="0.25">
      <c r="A5092" t="str">
        <f>"20190303170639482"</f>
        <v>20190303170639482</v>
      </c>
      <c r="B5092" t="str">
        <f>"1551603999470149"</f>
        <v>1551603999470149</v>
      </c>
      <c r="C5092" t="s">
        <v>40</v>
      </c>
      <c r="D5092">
        <v>5.6310729999999998</v>
      </c>
      <c r="E5092">
        <v>0.41840179999999999</v>
      </c>
      <c r="F5092" t="s">
        <v>105</v>
      </c>
      <c r="G5092">
        <v>-288.92700000000002</v>
      </c>
      <c r="H5092">
        <v>0.46532440000000003</v>
      </c>
      <c r="I5092">
        <v>-91.564989999999995</v>
      </c>
      <c r="J5092">
        <v>-303.40190000000001</v>
      </c>
      <c r="K5092">
        <v>1.1224970000000001</v>
      </c>
      <c r="L5092">
        <v>-36.618409999999997</v>
      </c>
      <c r="M5092">
        <v>-3.1579530000000001E-2</v>
      </c>
      <c r="N5092">
        <v>-1.0265E-2</v>
      </c>
      <c r="O5092">
        <v>-0.99944849999999996</v>
      </c>
      <c r="P5092">
        <v>4.7183799999999998E-2</v>
      </c>
      <c r="Q5092">
        <v>0.18576509999999999</v>
      </c>
      <c r="R5092">
        <v>-0.98146080000000002</v>
      </c>
      <c r="S5092">
        <v>0.79348750000000001</v>
      </c>
      <c r="T5092">
        <v>-3.6030529999999998E-2</v>
      </c>
      <c r="U5092">
        <v>-3.0297550000000002</v>
      </c>
      <c r="V5092">
        <v>-7.8935530000000004E-2</v>
      </c>
      <c r="W5092">
        <v>0.19549659999999999</v>
      </c>
      <c r="X5092">
        <v>0.97752249999999996</v>
      </c>
      <c r="Y5092">
        <v>-0.28374670000000002</v>
      </c>
      <c r="Z5092">
        <v>1.1383879999999999E-3</v>
      </c>
      <c r="AA5092">
        <v>0.95889860000000005</v>
      </c>
      <c r="AB5092">
        <v>29</v>
      </c>
      <c r="AC5092">
        <v>14.4748999999999</v>
      </c>
      <c r="AD5092">
        <v>-0.657172599999999</v>
      </c>
      <c r="AE5092">
        <v>-54.946579999999997</v>
      </c>
      <c r="AF5092">
        <v>-16.200791342116698</v>
      </c>
      <c r="AG5092">
        <v>-0.657172599999999</v>
      </c>
      <c r="AH5092">
        <v>54.454753375808501</v>
      </c>
      <c r="AI5092">
        <v>90.662720428715602</v>
      </c>
      <c r="AJ5092">
        <v>106.56822709085</v>
      </c>
      <c r="AK5092">
        <v>56.817406497983697</v>
      </c>
      <c r="AL5092">
        <v>78.726264830275994</v>
      </c>
      <c r="AM5092">
        <v>94.616651518955194</v>
      </c>
      <c r="AN5092">
        <v>0.99999998825709502</v>
      </c>
    </row>
    <row r="5093" spans="1:40" x14ac:dyDescent="0.25">
      <c r="A5093" t="str">
        <f>"20190303170639506"</f>
        <v>20190303170639506</v>
      </c>
      <c r="B5093" t="str">
        <f>"1551603999500405"</f>
        <v>1551603999500405</v>
      </c>
      <c r="C5093" t="s">
        <v>40</v>
      </c>
      <c r="D5093">
        <v>5.6299219999999996</v>
      </c>
      <c r="E5093">
        <v>0.41795909999999897</v>
      </c>
      <c r="F5093" t="s">
        <v>105</v>
      </c>
      <c r="G5093">
        <v>-288.63420000000002</v>
      </c>
      <c r="H5093">
        <v>0.34436609999999901</v>
      </c>
      <c r="I5093">
        <v>-91.564989999999995</v>
      </c>
      <c r="J5093">
        <v>-303.40859999999998</v>
      </c>
      <c r="K5093">
        <v>1.122773</v>
      </c>
      <c r="L5093">
        <v>-36.919919999999998</v>
      </c>
      <c r="M5093">
        <v>-2.878149E-2</v>
      </c>
      <c r="N5093">
        <v>-1.0305129999999999E-2</v>
      </c>
      <c r="O5093">
        <v>-0.9995328</v>
      </c>
      <c r="P5093">
        <v>5.1179620000000002E-2</v>
      </c>
      <c r="Q5093">
        <v>0.18955759999999999</v>
      </c>
      <c r="R5093">
        <v>-0.98053539999999995</v>
      </c>
      <c r="S5093">
        <v>0.81320190000000003</v>
      </c>
      <c r="T5093">
        <v>-4.2847870000000003E-2</v>
      </c>
      <c r="U5093">
        <v>-3.0256959999999999</v>
      </c>
      <c r="V5093">
        <v>-8.0311800000000003E-2</v>
      </c>
      <c r="W5093">
        <v>0.1992601</v>
      </c>
      <c r="X5093">
        <v>0.97665009999999997</v>
      </c>
      <c r="Y5093">
        <v>-0.28720709999999999</v>
      </c>
      <c r="Z5093">
        <v>3.2672439999999999E-3</v>
      </c>
      <c r="AA5093">
        <v>0.95786289999999996</v>
      </c>
      <c r="AB5093">
        <v>29</v>
      </c>
      <c r="AC5093">
        <v>14.774399999999901</v>
      </c>
      <c r="AD5093">
        <v>-0.77840690000000001</v>
      </c>
      <c r="AE5093">
        <v>-54.645069999999997</v>
      </c>
      <c r="AF5093">
        <v>-16.3380390880838</v>
      </c>
      <c r="AG5093">
        <v>-0.77840690000000001</v>
      </c>
      <c r="AH5093">
        <v>54.186931620560799</v>
      </c>
      <c r="AI5093">
        <v>90.787975917967898</v>
      </c>
      <c r="AJ5093">
        <v>106.778717375441</v>
      </c>
      <c r="AK5093">
        <v>56.601775563996704</v>
      </c>
      <c r="AL5093">
        <v>78.506304906480807</v>
      </c>
      <c r="AM5093">
        <v>94.700964132060307</v>
      </c>
      <c r="AN5093">
        <v>0.99999999525062999</v>
      </c>
    </row>
    <row r="5094" spans="1:40" x14ac:dyDescent="0.25">
      <c r="A5094" t="str">
        <f>"20190303170639527"</f>
        <v>20190303170639527</v>
      </c>
      <c r="B5094" t="str">
        <f>"1551603999519926"</f>
        <v>1551603999519926</v>
      </c>
      <c r="C5094" t="s">
        <v>40</v>
      </c>
      <c r="D5094">
        <v>5.629035</v>
      </c>
      <c r="E5094">
        <v>0.41767789999999999</v>
      </c>
      <c r="F5094" t="s">
        <v>105</v>
      </c>
      <c r="G5094">
        <v>-288.39679999999998</v>
      </c>
      <c r="H5094">
        <v>0.57822700000000005</v>
      </c>
      <c r="I5094">
        <v>-91.564989999999995</v>
      </c>
      <c r="J5094">
        <v>-303.41379999999998</v>
      </c>
      <c r="K5094">
        <v>1.123046</v>
      </c>
      <c r="L5094">
        <v>-37.200620000000001</v>
      </c>
      <c r="M5094">
        <v>-2.584357E-2</v>
      </c>
      <c r="N5094">
        <v>-1.0341009999999999E-2</v>
      </c>
      <c r="O5094">
        <v>-0.99961270000000002</v>
      </c>
      <c r="P5094">
        <v>5.3170389999999998E-2</v>
      </c>
      <c r="Q5094">
        <v>0.1921996</v>
      </c>
      <c r="R5094">
        <v>-0.97991450000000002</v>
      </c>
      <c r="S5094">
        <v>0.83020020000000005</v>
      </c>
      <c r="T5094">
        <v>-3.0114169999999999E-2</v>
      </c>
      <c r="U5094">
        <v>-3.0220340000000001</v>
      </c>
      <c r="V5094">
        <v>-7.9555619999999994E-2</v>
      </c>
      <c r="W5094">
        <v>0.20188410000000001</v>
      </c>
      <c r="X5094">
        <v>0.97617299999999996</v>
      </c>
      <c r="Y5094">
        <v>-0.2897054</v>
      </c>
      <c r="Z5094">
        <v>-8.0864119999999999E-4</v>
      </c>
      <c r="AA5094">
        <v>0.95711550000000001</v>
      </c>
      <c r="AB5094">
        <v>29</v>
      </c>
      <c r="AC5094">
        <v>15.0169999999999</v>
      </c>
      <c r="AD5094">
        <v>-0.54481899999999905</v>
      </c>
      <c r="AE5094">
        <v>-54.364370000000001</v>
      </c>
      <c r="AF5094">
        <v>-16.415496262235401</v>
      </c>
      <c r="AG5094">
        <v>-0.54481899999999905</v>
      </c>
      <c r="AH5094">
        <v>53.953062235234697</v>
      </c>
      <c r="AI5094">
        <v>90.553503531197094</v>
      </c>
      <c r="AJ5094">
        <v>106.922652382195</v>
      </c>
      <c r="AK5094">
        <v>56.397679649408801</v>
      </c>
      <c r="AL5094">
        <v>78.352842335038901</v>
      </c>
      <c r="AM5094">
        <v>94.659163570833996</v>
      </c>
      <c r="AN5094">
        <v>1.0000000062176899</v>
      </c>
    </row>
    <row r="5095" spans="1:40" x14ac:dyDescent="0.25">
      <c r="A5095" t="str">
        <f>"20190303170639550"</f>
        <v>20190303170639550</v>
      </c>
      <c r="B5095" t="str">
        <f>"1551603999540421"</f>
        <v>1551603999540421</v>
      </c>
      <c r="C5095" t="s">
        <v>40</v>
      </c>
      <c r="D5095">
        <v>5.6205990000000003</v>
      </c>
      <c r="E5095">
        <v>0.41752699999999998</v>
      </c>
      <c r="F5095" t="s">
        <v>105</v>
      </c>
      <c r="G5095">
        <v>-288.27719999999999</v>
      </c>
      <c r="H5095">
        <v>0.77728269999999899</v>
      </c>
      <c r="I5095">
        <v>-91.564989999999995</v>
      </c>
      <c r="J5095">
        <v>-303.41800000000001</v>
      </c>
      <c r="K5095">
        <v>1.1233120000000001</v>
      </c>
      <c r="L5095">
        <v>-37.493009999999998</v>
      </c>
      <c r="M5095">
        <v>-2.2490369999999999E-2</v>
      </c>
      <c r="N5095">
        <v>-1.0374929999999999E-2</v>
      </c>
      <c r="O5095">
        <v>-0.99969330000000001</v>
      </c>
      <c r="P5095">
        <v>5.5476600000000001E-2</v>
      </c>
      <c r="Q5095">
        <v>0.19153780000000001</v>
      </c>
      <c r="R5095">
        <v>-0.97991640000000002</v>
      </c>
      <c r="S5095">
        <v>0.84075929999999999</v>
      </c>
      <c r="T5095">
        <v>-1.9204619999999999E-2</v>
      </c>
      <c r="U5095">
        <v>-3.0196529999999999</v>
      </c>
      <c r="V5095">
        <v>-7.8703690000000007E-2</v>
      </c>
      <c r="W5095">
        <v>0.20121249999999999</v>
      </c>
      <c r="X5095">
        <v>0.97638069999999999</v>
      </c>
      <c r="Y5095">
        <v>-0.28979899999999997</v>
      </c>
      <c r="Z5095">
        <v>-4.3022099999999999E-3</v>
      </c>
      <c r="AA5095">
        <v>0.95707790000000004</v>
      </c>
      <c r="AB5095">
        <v>29</v>
      </c>
      <c r="AC5095">
        <v>15.1408</v>
      </c>
      <c r="AD5095">
        <v>-0.34602929999999998</v>
      </c>
      <c r="AE5095">
        <v>-54.071980000000003</v>
      </c>
      <c r="AF5095">
        <v>-16.3525130817814</v>
      </c>
      <c r="AG5095">
        <v>-0.34602929999999998</v>
      </c>
      <c r="AH5095">
        <v>53.7157211881023</v>
      </c>
      <c r="AI5095">
        <v>90.353087987135495</v>
      </c>
      <c r="AJ5095">
        <v>106.93166202947501</v>
      </c>
      <c r="AK5095">
        <v>56.150717921717003</v>
      </c>
      <c r="AL5095">
        <v>78.392128386100396</v>
      </c>
      <c r="AM5095">
        <v>94.608510245397198</v>
      </c>
      <c r="AN5095">
        <v>1.0000000061541701</v>
      </c>
    </row>
    <row r="5096" spans="1:40" x14ac:dyDescent="0.25">
      <c r="A5096" t="str">
        <f>"20190303170639572"</f>
        <v>20190303170639572</v>
      </c>
      <c r="B5096" t="str">
        <f>"1551603999559941"</f>
        <v>1551603999559941</v>
      </c>
      <c r="C5096" t="s">
        <v>40</v>
      </c>
      <c r="D5096">
        <v>5.5992449999999998</v>
      </c>
      <c r="E5096">
        <v>0.41736600000000001</v>
      </c>
      <c r="F5096" t="s">
        <v>105</v>
      </c>
      <c r="G5096">
        <v>-288.1934</v>
      </c>
      <c r="H5096">
        <v>0.74818989999999996</v>
      </c>
      <c r="I5096">
        <v>-91.564989999999995</v>
      </c>
      <c r="J5096">
        <v>-303.42090000000002</v>
      </c>
      <c r="K5096">
        <v>1.1235470000000001</v>
      </c>
      <c r="L5096">
        <v>-37.78351</v>
      </c>
      <c r="M5096">
        <v>-1.8863870000000001E-2</v>
      </c>
      <c r="N5096">
        <v>-1.0404770000000001E-2</v>
      </c>
      <c r="O5096">
        <v>-0.99976779999999998</v>
      </c>
      <c r="P5096">
        <v>6.0407750000000003E-2</v>
      </c>
      <c r="Q5096">
        <v>0.1895493</v>
      </c>
      <c r="R5096">
        <v>-0.98001119999999997</v>
      </c>
      <c r="S5096">
        <v>0.84960939999999996</v>
      </c>
      <c r="T5096">
        <v>-2.0932909999999999E-2</v>
      </c>
      <c r="U5096">
        <v>-3.017487</v>
      </c>
      <c r="V5096">
        <v>-8.0188880000000004E-2</v>
      </c>
      <c r="W5096">
        <v>0.1992022</v>
      </c>
      <c r="X5096">
        <v>0.97667210000000004</v>
      </c>
      <c r="Y5096">
        <v>-0.28910730000000001</v>
      </c>
      <c r="Z5096">
        <v>-3.7743960000000002E-3</v>
      </c>
      <c r="AA5096">
        <v>0.95728930000000001</v>
      </c>
      <c r="AB5096">
        <v>29</v>
      </c>
      <c r="AC5096">
        <v>15.227499999999999</v>
      </c>
      <c r="AD5096">
        <v>-0.375357099999999</v>
      </c>
      <c r="AE5096">
        <v>-53.781480000000002</v>
      </c>
      <c r="AF5096">
        <v>-16.238639745956799</v>
      </c>
      <c r="AG5096">
        <v>-0.375357099999999</v>
      </c>
      <c r="AH5096">
        <v>53.4822321859901</v>
      </c>
      <c r="AI5096">
        <v>90.384770941923605</v>
      </c>
      <c r="AJ5096">
        <v>106.88969664658801</v>
      </c>
      <c r="AK5096">
        <v>55.894395723968998</v>
      </c>
      <c r="AL5096">
        <v>78.509691208349807</v>
      </c>
      <c r="AM5096">
        <v>94.693696058370307</v>
      </c>
      <c r="AN5096">
        <v>1.0000000819394399</v>
      </c>
    </row>
    <row r="5097" spans="1:40" x14ac:dyDescent="0.25">
      <c r="A5097" t="str">
        <f>"20190303170639596"</f>
        <v>20190303170639596</v>
      </c>
      <c r="B5097" t="str">
        <f>"1551603999590197"</f>
        <v>1551603999590197</v>
      </c>
      <c r="C5097" t="s">
        <v>40</v>
      </c>
      <c r="D5097">
        <v>5.5861499999999999</v>
      </c>
      <c r="E5097">
        <v>0.41698570000000001</v>
      </c>
      <c r="F5097" t="s">
        <v>105</v>
      </c>
      <c r="G5097">
        <v>-287.9853</v>
      </c>
      <c r="H5097">
        <v>0.61047079999999998</v>
      </c>
      <c r="I5097">
        <v>-91.564989999999995</v>
      </c>
      <c r="J5097">
        <v>-303.42250000000001</v>
      </c>
      <c r="K5097">
        <v>1.123775</v>
      </c>
      <c r="L5097">
        <v>-38.080509999999997</v>
      </c>
      <c r="M5097">
        <v>-1.4859549999999999E-2</v>
      </c>
      <c r="N5097">
        <v>-1.043356E-2</v>
      </c>
      <c r="O5097">
        <v>-0.99983509999999998</v>
      </c>
      <c r="P5097">
        <v>6.647132E-2</v>
      </c>
      <c r="Q5097">
        <v>0.18922659999999999</v>
      </c>
      <c r="R5097">
        <v>-0.97968109999999997</v>
      </c>
      <c r="S5097">
        <v>0.86486819999999898</v>
      </c>
      <c r="T5097">
        <v>-2.8747439999999999E-2</v>
      </c>
      <c r="U5097">
        <v>-3.0134280000000002</v>
      </c>
      <c r="V5097">
        <v>-8.2433409999999999E-2</v>
      </c>
      <c r="W5097">
        <v>0.19884750000000001</v>
      </c>
      <c r="X5097">
        <v>0.97655740000000002</v>
      </c>
      <c r="Y5097">
        <v>-0.29009170000000001</v>
      </c>
      <c r="Z5097">
        <v>-1.30741E-3</v>
      </c>
      <c r="AA5097">
        <v>0.95699800000000002</v>
      </c>
      <c r="AB5097">
        <v>29</v>
      </c>
      <c r="AC5097">
        <v>15.437200000000001</v>
      </c>
      <c r="AD5097">
        <v>-0.51330419999999899</v>
      </c>
      <c r="AE5097">
        <v>-53.484479999999998</v>
      </c>
      <c r="AF5097">
        <v>-16.2289141640588</v>
      </c>
      <c r="AG5097">
        <v>-0.51330419999999899</v>
      </c>
      <c r="AH5097">
        <v>53.244644750075501</v>
      </c>
      <c r="AI5097">
        <v>90.528346106222799</v>
      </c>
      <c r="AJ5097">
        <v>106.95116867801001</v>
      </c>
      <c r="AK5097">
        <v>55.665369222775098</v>
      </c>
      <c r="AL5097">
        <v>78.530427650223999</v>
      </c>
      <c r="AM5097">
        <v>94.825027383045907</v>
      </c>
      <c r="AN5097">
        <v>0.99999997541761798</v>
      </c>
    </row>
    <row r="5098" spans="1:40" x14ac:dyDescent="0.25">
      <c r="A5098" t="str">
        <f>"20190303170639621"</f>
        <v>20190303170639621</v>
      </c>
      <c r="B5098" t="str">
        <f>"1551603999609717"</f>
        <v>1551603999609717</v>
      </c>
      <c r="C5098" t="s">
        <v>40</v>
      </c>
      <c r="D5098">
        <v>5.5926400000000003</v>
      </c>
      <c r="E5098">
        <v>0.41677399999999998</v>
      </c>
      <c r="F5098" t="s">
        <v>105</v>
      </c>
      <c r="G5098">
        <v>-287.71690000000001</v>
      </c>
      <c r="H5098">
        <v>0.4685917</v>
      </c>
      <c r="I5098">
        <v>-91.564989999999995</v>
      </c>
      <c r="J5098">
        <v>-303.42259999999999</v>
      </c>
      <c r="K5098">
        <v>1.1240380000000001</v>
      </c>
      <c r="L5098">
        <v>-38.423070000000003</v>
      </c>
      <c r="M5098">
        <v>-9.9112160000000005E-3</v>
      </c>
      <c r="N5098">
        <v>-1.046556E-2</v>
      </c>
      <c r="O5098">
        <v>-0.99989620000000001</v>
      </c>
      <c r="P5098">
        <v>7.1949269999999996E-2</v>
      </c>
      <c r="Q5098">
        <v>0.19277820000000001</v>
      </c>
      <c r="R5098">
        <v>-0.97860100000000005</v>
      </c>
      <c r="S5098">
        <v>0.88369750000000002</v>
      </c>
      <c r="T5098">
        <v>-3.6863920000000001E-2</v>
      </c>
      <c r="U5098">
        <v>-3.009369</v>
      </c>
      <c r="V5098">
        <v>-8.3203330000000006E-2</v>
      </c>
      <c r="W5098">
        <v>0.2023684</v>
      </c>
      <c r="X5098">
        <v>0.97576859999999999</v>
      </c>
      <c r="Y5098">
        <v>-0.29121520000000001</v>
      </c>
      <c r="Z5098">
        <v>1.254376E-3</v>
      </c>
      <c r="AA5098">
        <v>0.95665679999999997</v>
      </c>
      <c r="AB5098">
        <v>29</v>
      </c>
      <c r="AC5098">
        <v>15.705699999999901</v>
      </c>
      <c r="AD5098">
        <v>-0.65544629999999904</v>
      </c>
      <c r="AE5098">
        <v>-53.141919999999999</v>
      </c>
      <c r="AF5098">
        <v>-16.229387776099099</v>
      </c>
      <c r="AG5098">
        <v>-0.65544629999999904</v>
      </c>
      <c r="AH5098">
        <v>52.976226807547199</v>
      </c>
      <c r="AI5098">
        <v>90.677765161476501</v>
      </c>
      <c r="AJ5098">
        <v>107.032564807521</v>
      </c>
      <c r="AK5098">
        <v>55.410317127804497</v>
      </c>
      <c r="AL5098">
        <v>78.324509839168797</v>
      </c>
      <c r="AM5098">
        <v>94.873794731758295</v>
      </c>
      <c r="AN5098">
        <v>1.0000000620938001</v>
      </c>
    </row>
    <row r="5099" spans="1:40" x14ac:dyDescent="0.25">
      <c r="A5099" t="str">
        <f>"20190303170639643"</f>
        <v>20190303170639643</v>
      </c>
      <c r="B5099" t="str">
        <f>"1551603999630214"</f>
        <v>1551603999630214</v>
      </c>
      <c r="C5099" t="s">
        <v>40</v>
      </c>
      <c r="D5099">
        <v>5.5709970000000002</v>
      </c>
      <c r="E5099">
        <v>0.41659099999999999</v>
      </c>
      <c r="F5099" t="s">
        <v>105</v>
      </c>
      <c r="G5099">
        <v>-287.46080000000001</v>
      </c>
      <c r="H5099">
        <v>0.63488009999999995</v>
      </c>
      <c r="I5099">
        <v>-91.564989999999995</v>
      </c>
      <c r="J5099">
        <v>-303.42110000000002</v>
      </c>
      <c r="K5099">
        <v>1.124247</v>
      </c>
      <c r="L5099">
        <v>-38.714480000000002</v>
      </c>
      <c r="M5099">
        <v>-5.4404529999999996E-3</v>
      </c>
      <c r="N5099">
        <v>-1.049136E-2</v>
      </c>
      <c r="O5099">
        <v>-0.99993010000000004</v>
      </c>
      <c r="P5099">
        <v>7.5423270000000001E-2</v>
      </c>
      <c r="Q5099">
        <v>0.19612070000000001</v>
      </c>
      <c r="R5099">
        <v>-0.97767479999999995</v>
      </c>
      <c r="S5099">
        <v>0.90249630000000003</v>
      </c>
      <c r="T5099">
        <v>-2.7656790000000001E-2</v>
      </c>
      <c r="U5099">
        <v>-3.0047000000000001</v>
      </c>
      <c r="V5099">
        <v>-8.2426029999999997E-2</v>
      </c>
      <c r="W5099">
        <v>0.20569570000000001</v>
      </c>
      <c r="X5099">
        <v>0.97513850000000002</v>
      </c>
      <c r="Y5099">
        <v>-0.29284270000000001</v>
      </c>
      <c r="Z5099">
        <v>-1.6919940000000001E-3</v>
      </c>
      <c r="AA5099">
        <v>0.95615919999999999</v>
      </c>
      <c r="AB5099">
        <v>29</v>
      </c>
      <c r="AC5099">
        <v>15.9603</v>
      </c>
      <c r="AD5099">
        <v>-0.48936689999999999</v>
      </c>
      <c r="AE5099">
        <v>-52.85051</v>
      </c>
      <c r="AF5099">
        <v>-16.246333825256801</v>
      </c>
      <c r="AG5099">
        <v>-0.48936689999999999</v>
      </c>
      <c r="AH5099">
        <v>52.758746356467498</v>
      </c>
      <c r="AI5099">
        <v>90.507901005199997</v>
      </c>
      <c r="AJ5099">
        <v>107.11549943897499</v>
      </c>
      <c r="AK5099">
        <v>55.205689560321296</v>
      </c>
      <c r="AL5099">
        <v>78.129771501341594</v>
      </c>
      <c r="AM5099">
        <v>94.831584396533003</v>
      </c>
      <c r="AN5099">
        <v>0.99999993280114796</v>
      </c>
    </row>
    <row r="5100" spans="1:40" x14ac:dyDescent="0.25">
      <c r="A5100" t="str">
        <f>"20190303170639662"</f>
        <v>20190303170639662</v>
      </c>
      <c r="B5100" t="str">
        <f>"1551603999649733"</f>
        <v>1551603999649733</v>
      </c>
      <c r="C5100" t="s">
        <v>40</v>
      </c>
      <c r="D5100">
        <v>5.5646589999999998</v>
      </c>
      <c r="E5100">
        <v>0.4164602</v>
      </c>
      <c r="F5100" t="s">
        <v>105</v>
      </c>
      <c r="G5100">
        <v>-287.29430000000002</v>
      </c>
      <c r="H5100">
        <v>0.81868929999999995</v>
      </c>
      <c r="I5100">
        <v>-91.564989999999995</v>
      </c>
      <c r="J5100">
        <v>-303.41840000000002</v>
      </c>
      <c r="K5100">
        <v>1.1244149999999999</v>
      </c>
      <c r="L5100">
        <v>-38.965969999999999</v>
      </c>
      <c r="M5100">
        <v>-1.3926050000000001E-3</v>
      </c>
      <c r="N5100">
        <v>-1.051266E-2</v>
      </c>
      <c r="O5100">
        <v>-0.9999439</v>
      </c>
      <c r="P5100">
        <v>7.9514950000000001E-2</v>
      </c>
      <c r="Q5100">
        <v>0.19608600000000001</v>
      </c>
      <c r="R5100">
        <v>-0.97735749999999999</v>
      </c>
      <c r="S5100">
        <v>0.91583250000000005</v>
      </c>
      <c r="T5100">
        <v>-1.735163E-2</v>
      </c>
      <c r="U5100">
        <v>-3.0013429999999999</v>
      </c>
      <c r="V5100">
        <v>-8.2644980000000007E-2</v>
      </c>
      <c r="W5100">
        <v>0.2056463</v>
      </c>
      <c r="X5100">
        <v>0.97513039999999995</v>
      </c>
      <c r="Y5100">
        <v>-0.29315980000000003</v>
      </c>
      <c r="Z5100">
        <v>-4.9866190000000003E-3</v>
      </c>
      <c r="AA5100">
        <v>0.95605050000000003</v>
      </c>
      <c r="AB5100">
        <v>29</v>
      </c>
      <c r="AC5100">
        <v>16.124099999999999</v>
      </c>
      <c r="AD5100">
        <v>-0.30572569999999999</v>
      </c>
      <c r="AE5100">
        <v>-52.599020000000003</v>
      </c>
      <c r="AF5100">
        <v>-16.196837872355101</v>
      </c>
      <c r="AG5100">
        <v>-0.30572569999999999</v>
      </c>
      <c r="AH5100">
        <v>52.574889642858999</v>
      </c>
      <c r="AI5100">
        <v>90.318407204634696</v>
      </c>
      <c r="AJ5100">
        <v>107.122586654426</v>
      </c>
      <c r="AK5100">
        <v>55.014089524646302</v>
      </c>
      <c r="AL5100">
        <v>78.132663895228802</v>
      </c>
      <c r="AM5100">
        <v>94.844397686758796</v>
      </c>
      <c r="AN5100">
        <v>0.99999994521352298</v>
      </c>
    </row>
    <row r="5101" spans="1:40" x14ac:dyDescent="0.25">
      <c r="A5101" t="str">
        <f>"20190303170639683"</f>
        <v>20190303170639683</v>
      </c>
      <c r="B5101" t="str">
        <f>"1551603999670230"</f>
        <v>1551603999670230</v>
      </c>
      <c r="C5101" t="s">
        <v>40</v>
      </c>
      <c r="D5101">
        <v>5.5577690000000004</v>
      </c>
      <c r="E5101">
        <v>0.416327</v>
      </c>
      <c r="F5101" t="s">
        <v>105</v>
      </c>
      <c r="G5101">
        <v>-287.11360000000002</v>
      </c>
      <c r="H5101">
        <v>0.78543660000000004</v>
      </c>
      <c r="I5101">
        <v>-91.564989999999995</v>
      </c>
      <c r="J5101">
        <v>-303.41419999999999</v>
      </c>
      <c r="K5101">
        <v>1.1245860000000001</v>
      </c>
      <c r="L5101">
        <v>-39.245449999999998</v>
      </c>
      <c r="M5101">
        <v>3.2595189999999998E-3</v>
      </c>
      <c r="N5101">
        <v>-1.0534969999999999E-2</v>
      </c>
      <c r="O5101">
        <v>-0.99993920000000003</v>
      </c>
      <c r="P5101">
        <v>8.5892640000000006E-2</v>
      </c>
      <c r="Q5101">
        <v>0.19445960000000001</v>
      </c>
      <c r="R5101">
        <v>-0.97714290000000004</v>
      </c>
      <c r="S5101">
        <v>0.92926030000000004</v>
      </c>
      <c r="T5101">
        <v>-1.9318579999999998E-2</v>
      </c>
      <c r="U5101">
        <v>-2.9977719999999999</v>
      </c>
      <c r="V5101">
        <v>-8.4545309999999999E-2</v>
      </c>
      <c r="W5101">
        <v>0.2039936</v>
      </c>
      <c r="X5101">
        <v>0.97531469999999998</v>
      </c>
      <c r="Y5101">
        <v>-0.29294140000000002</v>
      </c>
      <c r="Z5101">
        <v>-4.3716639999999999E-3</v>
      </c>
      <c r="AA5101">
        <v>0.95612039999999998</v>
      </c>
      <c r="AB5101">
        <v>29</v>
      </c>
      <c r="AC5101">
        <v>16.3005999999999</v>
      </c>
      <c r="AD5101">
        <v>-0.33914939999999999</v>
      </c>
      <c r="AE5101">
        <v>-52.319540000000003</v>
      </c>
      <c r="AF5101">
        <v>-16.129349614820701</v>
      </c>
      <c r="AG5101">
        <v>-0.33914939999999999</v>
      </c>
      <c r="AH5101">
        <v>52.370391212587698</v>
      </c>
      <c r="AI5101">
        <v>90.354604252305904</v>
      </c>
      <c r="AJ5101">
        <v>107.118101998014</v>
      </c>
      <c r="AK5101">
        <v>54.798985547837702</v>
      </c>
      <c r="AL5101">
        <v>78.229408674064004</v>
      </c>
      <c r="AM5101">
        <v>94.954309118949396</v>
      </c>
      <c r="AN5101">
        <v>1.0000000311600199</v>
      </c>
    </row>
    <row r="5102" spans="1:40" x14ac:dyDescent="0.25">
      <c r="A5102" t="str">
        <f>"20190303170639706"</f>
        <v>20190303170639706</v>
      </c>
      <c r="B5102" t="str">
        <f>"1551603999700486"</f>
        <v>1551603999700486</v>
      </c>
      <c r="C5102" t="s">
        <v>40</v>
      </c>
      <c r="D5102">
        <v>5.5517029999999998</v>
      </c>
      <c r="E5102">
        <v>0.41620940000000001</v>
      </c>
      <c r="F5102" t="s">
        <v>105</v>
      </c>
      <c r="G5102">
        <v>-286.82900000000001</v>
      </c>
      <c r="H5102">
        <v>0.65022089999999999</v>
      </c>
      <c r="I5102">
        <v>-91.564989999999995</v>
      </c>
      <c r="J5102">
        <v>-303.40809999999999</v>
      </c>
      <c r="K5102">
        <v>1.1247400000000001</v>
      </c>
      <c r="L5102">
        <v>-39.537689999999998</v>
      </c>
      <c r="M5102">
        <v>8.3228940000000008E-3</v>
      </c>
      <c r="N5102">
        <v>-1.0556599999999999E-2</v>
      </c>
      <c r="O5102">
        <v>-0.99990979999999996</v>
      </c>
      <c r="P5102">
        <v>9.3066689999999994E-2</v>
      </c>
      <c r="Q5102">
        <v>0.19222980000000001</v>
      </c>
      <c r="R5102">
        <v>-0.97692730000000005</v>
      </c>
      <c r="S5102">
        <v>0.94851680000000005</v>
      </c>
      <c r="T5102">
        <v>-2.712846E-2</v>
      </c>
      <c r="U5102">
        <v>-2.9921880000000001</v>
      </c>
      <c r="V5102">
        <v>-8.6831480000000003E-2</v>
      </c>
      <c r="W5102">
        <v>0.20173279999999999</v>
      </c>
      <c r="X5102">
        <v>0.97558400000000001</v>
      </c>
      <c r="Y5102">
        <v>-0.29420420000000003</v>
      </c>
      <c r="Z5102">
        <v>-1.8902700000000001E-3</v>
      </c>
      <c r="AA5102">
        <v>0.9557407</v>
      </c>
      <c r="AB5102">
        <v>29</v>
      </c>
      <c r="AC5102">
        <v>16.579099999999901</v>
      </c>
      <c r="AD5102">
        <v>-0.47451910000000003</v>
      </c>
      <c r="AE5102">
        <v>-52.027299999999997</v>
      </c>
      <c r="AF5102">
        <v>-16.144264780476199</v>
      </c>
      <c r="AG5102">
        <v>-0.47451910000000003</v>
      </c>
      <c r="AH5102">
        <v>52.159552634700198</v>
      </c>
      <c r="AI5102">
        <v>90.4979270797526</v>
      </c>
      <c r="AJ5102">
        <v>107.198181692567</v>
      </c>
      <c r="AK5102">
        <v>54.602943004296499</v>
      </c>
      <c r="AL5102">
        <v>78.361693041921797</v>
      </c>
      <c r="AM5102">
        <v>95.0861865291062</v>
      </c>
      <c r="AN5102">
        <v>0.99999998478541496</v>
      </c>
    </row>
    <row r="5103" spans="1:40" x14ac:dyDescent="0.25">
      <c r="A5103" t="str">
        <f>"20190303170639728"</f>
        <v>20190303170639728</v>
      </c>
      <c r="B5103" t="str">
        <f>"1551603999720005"</f>
        <v>1551603999720005</v>
      </c>
      <c r="C5103" t="s">
        <v>40</v>
      </c>
      <c r="D5103">
        <v>5.5391430000000001</v>
      </c>
      <c r="E5103">
        <v>0.41625129999999999</v>
      </c>
      <c r="F5103" t="s">
        <v>105</v>
      </c>
      <c r="G5103">
        <v>-286.4898</v>
      </c>
      <c r="H5103">
        <v>0.48387619999999998</v>
      </c>
      <c r="I5103">
        <v>-91.564989999999995</v>
      </c>
      <c r="J5103">
        <v>-303.40010000000001</v>
      </c>
      <c r="K5103">
        <v>1.124887</v>
      </c>
      <c r="L5103">
        <v>-39.834499999999998</v>
      </c>
      <c r="M5103">
        <v>1.362943E-2</v>
      </c>
      <c r="N5103">
        <v>-1.0577659999999999E-2</v>
      </c>
      <c r="O5103">
        <v>-0.99985139999999995</v>
      </c>
      <c r="P5103">
        <v>9.9702689999999997E-2</v>
      </c>
      <c r="Q5103">
        <v>0.1915509</v>
      </c>
      <c r="R5103">
        <v>-0.97640570000000004</v>
      </c>
      <c r="S5103">
        <v>0.97085569999999999</v>
      </c>
      <c r="T5103">
        <v>-3.6775349999999998E-2</v>
      </c>
      <c r="U5103">
        <v>-2.9855960000000001</v>
      </c>
      <c r="V5103">
        <v>-8.8350730000000002E-2</v>
      </c>
      <c r="W5103">
        <v>0.20102890000000001</v>
      </c>
      <c r="X5103">
        <v>0.97559289999999999</v>
      </c>
      <c r="Y5103">
        <v>-0.29621570000000003</v>
      </c>
      <c r="Z5103">
        <v>1.1814320000000001E-3</v>
      </c>
      <c r="AA5103">
        <v>0.95512030000000003</v>
      </c>
      <c r="AB5103">
        <v>30</v>
      </c>
      <c r="AC5103">
        <v>16.910299999999999</v>
      </c>
      <c r="AD5103">
        <v>-0.64101079999999999</v>
      </c>
      <c r="AE5103">
        <v>-51.730490000000003</v>
      </c>
      <c r="AF5103">
        <v>-16.201385250012301</v>
      </c>
      <c r="AG5103">
        <v>-0.64101079999999999</v>
      </c>
      <c r="AH5103">
        <v>51.948968603699797</v>
      </c>
      <c r="AI5103">
        <v>90.674893853110603</v>
      </c>
      <c r="AJ5103">
        <v>107.321194541002</v>
      </c>
      <c r="AK5103">
        <v>54.420502734293301</v>
      </c>
      <c r="AL5103">
        <v>78.402867116044106</v>
      </c>
      <c r="AM5103">
        <v>95.174651199914294</v>
      </c>
      <c r="AN5103">
        <v>0.99999998832857595</v>
      </c>
    </row>
    <row r="5104" spans="1:40" x14ac:dyDescent="0.25">
      <c r="A5104" t="str">
        <f>"20190303170639751"</f>
        <v>20190303170639751</v>
      </c>
      <c r="B5104" t="str">
        <f>"1551603999740502"</f>
        <v>1551603999740502</v>
      </c>
      <c r="C5104" t="s">
        <v>40</v>
      </c>
      <c r="D5104">
        <v>5.5198650000000002</v>
      </c>
      <c r="E5104">
        <v>0.41631210000000002</v>
      </c>
      <c r="F5104" t="s">
        <v>105</v>
      </c>
      <c r="G5104">
        <v>-286.19060000000002</v>
      </c>
      <c r="H5104">
        <v>0.44066050000000001</v>
      </c>
      <c r="I5104">
        <v>-91.564989999999995</v>
      </c>
      <c r="J5104">
        <v>-303.39089999999999</v>
      </c>
      <c r="K5104">
        <v>1.1250249999999999</v>
      </c>
      <c r="L5104">
        <v>-40.121549999999999</v>
      </c>
      <c r="M5104">
        <v>1.8908359999999999E-2</v>
      </c>
      <c r="N5104">
        <v>-1.059685E-2</v>
      </c>
      <c r="O5104">
        <v>-0.99976509999999996</v>
      </c>
      <c r="P5104">
        <v>0.105032</v>
      </c>
      <c r="Q5104">
        <v>0.1934082</v>
      </c>
      <c r="R5104">
        <v>-0.97548049999999997</v>
      </c>
      <c r="S5104">
        <v>0.99105829999999995</v>
      </c>
      <c r="T5104">
        <v>-3.940225E-2</v>
      </c>
      <c r="U5104">
        <v>-2.979034</v>
      </c>
      <c r="V5104">
        <v>-8.861687E-2</v>
      </c>
      <c r="W5104">
        <v>0.20287079999999999</v>
      </c>
      <c r="X5104">
        <v>0.97518740000000004</v>
      </c>
      <c r="Y5104">
        <v>-0.29763260000000002</v>
      </c>
      <c r="Z5104">
        <v>2.0189000000000001E-3</v>
      </c>
      <c r="AA5104">
        <v>0.95467840000000004</v>
      </c>
      <c r="AB5104">
        <v>30</v>
      </c>
      <c r="AC5104">
        <v>17.200299999999899</v>
      </c>
      <c r="AD5104">
        <v>-0.68436450000000004</v>
      </c>
      <c r="AE5104">
        <v>-51.443440000000002</v>
      </c>
      <c r="AF5104">
        <v>-16.221876721335398</v>
      </c>
      <c r="AG5104">
        <v>-0.68436450000000004</v>
      </c>
      <c r="AH5104">
        <v>51.751251857667803</v>
      </c>
      <c r="AI5104">
        <v>90.722960120635904</v>
      </c>
      <c r="AJ5104">
        <v>107.40405003263101</v>
      </c>
      <c r="AK5104">
        <v>54.238452300621901</v>
      </c>
      <c r="AL5104">
        <v>78.295113835362201</v>
      </c>
      <c r="AM5104">
        <v>95.192300223569404</v>
      </c>
      <c r="AN5104">
        <v>0.99999998812999802</v>
      </c>
    </row>
    <row r="5105" spans="1:40" x14ac:dyDescent="0.25">
      <c r="A5105" t="str">
        <f>"20190303170639773"</f>
        <v>20190303170639773</v>
      </c>
      <c r="B5105" t="str">
        <f>"1551603999760021"</f>
        <v>1551603999760021</v>
      </c>
      <c r="C5105" t="s">
        <v>40</v>
      </c>
      <c r="D5105">
        <v>5.5376570000000003</v>
      </c>
      <c r="E5105">
        <v>0.41649419999999998</v>
      </c>
      <c r="F5105" t="s">
        <v>105</v>
      </c>
      <c r="G5105">
        <v>-285.9588</v>
      </c>
      <c r="H5105">
        <v>0.55008029999999997</v>
      </c>
      <c r="I5105">
        <v>-91.564989999999995</v>
      </c>
      <c r="J5105">
        <v>-303.37959999999998</v>
      </c>
      <c r="K5105">
        <v>1.125167</v>
      </c>
      <c r="L5105">
        <v>-40.417050000000003</v>
      </c>
      <c r="M5105">
        <v>2.4497749999999999E-2</v>
      </c>
      <c r="N5105">
        <v>-1.0616189999999999E-2</v>
      </c>
      <c r="O5105">
        <v>-0.99964359999999997</v>
      </c>
      <c r="P5105">
        <v>0.1086466</v>
      </c>
      <c r="Q5105">
        <v>0.19627929999999999</v>
      </c>
      <c r="R5105">
        <v>-0.9745106</v>
      </c>
      <c r="S5105">
        <v>1.0075989999999999</v>
      </c>
      <c r="T5105">
        <v>-3.323197E-2</v>
      </c>
      <c r="U5105">
        <v>-2.9735109999999998</v>
      </c>
      <c r="V5105">
        <v>-8.6883859999999993E-2</v>
      </c>
      <c r="W5105">
        <v>0.2057466</v>
      </c>
      <c r="X5105">
        <v>0.97474070000000002</v>
      </c>
      <c r="Y5105">
        <v>-0.29760120000000001</v>
      </c>
      <c r="Z5105" s="1">
        <v>4.7182460000000002E-5</v>
      </c>
      <c r="AA5105">
        <v>0.95469029999999999</v>
      </c>
      <c r="AB5105">
        <v>30</v>
      </c>
      <c r="AC5105">
        <v>17.4207999999999</v>
      </c>
      <c r="AD5105">
        <v>-0.57508669999999995</v>
      </c>
      <c r="AE5105">
        <v>-51.147939999999998</v>
      </c>
      <c r="AF5105">
        <v>-16.160660573771501</v>
      </c>
      <c r="AG5105">
        <v>-0.57508669999999995</v>
      </c>
      <c r="AH5105">
        <v>51.553542571311198</v>
      </c>
      <c r="AI5105">
        <v>90.609856089764094</v>
      </c>
      <c r="AJ5105">
        <v>107.404816619644</v>
      </c>
      <c r="AK5105">
        <v>54.030226971068402</v>
      </c>
      <c r="AL5105">
        <v>78.126791615469301</v>
      </c>
      <c r="AM5105">
        <v>95.093618418351497</v>
      </c>
      <c r="AN5105">
        <v>0.99999995038827305</v>
      </c>
    </row>
    <row r="5106" spans="1:40" x14ac:dyDescent="0.25">
      <c r="A5106" t="str">
        <f>"20190303170639796"</f>
        <v>20190303170639796</v>
      </c>
      <c r="B5106" t="str">
        <f>"1551603999790277"</f>
        <v>1551603999790277</v>
      </c>
      <c r="C5106" t="s">
        <v>40</v>
      </c>
      <c r="D5106">
        <v>5.5234589999999999</v>
      </c>
      <c r="E5106">
        <v>0.41666199999999998</v>
      </c>
      <c r="F5106" t="s">
        <v>105</v>
      </c>
      <c r="G5106">
        <v>-285.85430000000002</v>
      </c>
      <c r="H5106">
        <v>0.70526789999999995</v>
      </c>
      <c r="I5106">
        <v>-91.564989999999995</v>
      </c>
      <c r="J5106">
        <v>-303.36649999999997</v>
      </c>
      <c r="K5106">
        <v>1.1253139999999999</v>
      </c>
      <c r="L5106">
        <v>-40.715179999999997</v>
      </c>
      <c r="M5106">
        <v>3.0307859999999999E-2</v>
      </c>
      <c r="N5106">
        <v>-1.0636349999999999E-2</v>
      </c>
      <c r="O5106">
        <v>-0.99948400000000004</v>
      </c>
      <c r="P5106">
        <v>0.11230179999999999</v>
      </c>
      <c r="Q5106">
        <v>0.19772989999999999</v>
      </c>
      <c r="R5106">
        <v>-0.9738021</v>
      </c>
      <c r="S5106">
        <v>1.017609</v>
      </c>
      <c r="T5106">
        <v>-2.4380800000000001E-2</v>
      </c>
      <c r="U5106">
        <v>-2.96991</v>
      </c>
      <c r="V5106">
        <v>-8.4966130000000001E-2</v>
      </c>
      <c r="W5106">
        <v>0.207207</v>
      </c>
      <c r="X5106">
        <v>0.97460040000000003</v>
      </c>
      <c r="Y5106">
        <v>-0.29528880000000002</v>
      </c>
      <c r="Z5106">
        <v>-2.7850599999999998E-3</v>
      </c>
      <c r="AA5106">
        <v>0.95540400000000003</v>
      </c>
      <c r="AB5106">
        <v>30</v>
      </c>
      <c r="AC5106">
        <v>17.512199999999901</v>
      </c>
      <c r="AD5106">
        <v>-0.42004609999999898</v>
      </c>
      <c r="AE5106">
        <v>-50.849809999999998</v>
      </c>
      <c r="AF5106">
        <v>-15.961944350480101</v>
      </c>
      <c r="AG5106">
        <v>-0.42004609999999898</v>
      </c>
      <c r="AH5106">
        <v>51.354102204812499</v>
      </c>
      <c r="AI5106">
        <v>90.447517012494401</v>
      </c>
      <c r="AJ5106">
        <v>107.266353002074</v>
      </c>
      <c r="AK5106">
        <v>53.779214566933497</v>
      </c>
      <c r="AL5106">
        <v>78.041274210376599</v>
      </c>
      <c r="AM5106">
        <v>94.982476006034403</v>
      </c>
      <c r="AN5106">
        <v>0.99999996188816698</v>
      </c>
    </row>
    <row r="5107" spans="1:40" x14ac:dyDescent="0.25">
      <c r="A5107" t="str">
        <f>"20190303170639821"</f>
        <v>20190303170639821</v>
      </c>
      <c r="B5107" t="str">
        <f>"1551603999810773"</f>
        <v>1551603999810773</v>
      </c>
      <c r="C5107" t="s">
        <v>40</v>
      </c>
      <c r="D5107">
        <v>5.5865090000000004</v>
      </c>
      <c r="E5107">
        <v>0.41684090000000001</v>
      </c>
      <c r="F5107" t="s">
        <v>105</v>
      </c>
      <c r="G5107">
        <v>-285.7509</v>
      </c>
      <c r="H5107">
        <v>0.76664540000000003</v>
      </c>
      <c r="I5107">
        <v>-91.564989999999995</v>
      </c>
      <c r="J5107">
        <v>-303.3494</v>
      </c>
      <c r="K5107">
        <v>1.125489</v>
      </c>
      <c r="L5107">
        <v>-41.051450000000003</v>
      </c>
      <c r="M5107">
        <v>3.7076060000000001E-2</v>
      </c>
      <c r="N5107">
        <v>-1.06552E-2</v>
      </c>
      <c r="O5107">
        <v>-0.99925560000000002</v>
      </c>
      <c r="P5107">
        <v>0.1171517</v>
      </c>
      <c r="Q5107">
        <v>0.19770670000000001</v>
      </c>
      <c r="R5107">
        <v>-0.97323579999999998</v>
      </c>
      <c r="S5107">
        <v>1.027649</v>
      </c>
      <c r="T5107">
        <v>-2.092314E-2</v>
      </c>
      <c r="U5107">
        <v>-2.9664609999999998</v>
      </c>
      <c r="V5107">
        <v>-8.3304530000000002E-2</v>
      </c>
      <c r="W5107">
        <v>0.20718690000000001</v>
      </c>
      <c r="X5107">
        <v>0.97474810000000001</v>
      </c>
      <c r="Y5107">
        <v>-0.29204809999999998</v>
      </c>
      <c r="Z5107">
        <v>-3.8921860000000002E-3</v>
      </c>
      <c r="AA5107">
        <v>0.95639569999999996</v>
      </c>
      <c r="AB5107">
        <v>30</v>
      </c>
      <c r="AC5107">
        <v>17.598500000000001</v>
      </c>
      <c r="AD5107">
        <v>-0.35884359999999899</v>
      </c>
      <c r="AE5107">
        <v>-50.513539999999999</v>
      </c>
      <c r="AF5107">
        <v>-15.712742154090099</v>
      </c>
      <c r="AG5107">
        <v>-0.35884359999999899</v>
      </c>
      <c r="AH5107">
        <v>51.129024433350203</v>
      </c>
      <c r="AI5107">
        <v>90.384376897618495</v>
      </c>
      <c r="AJ5107">
        <v>107.083005045973</v>
      </c>
      <c r="AK5107">
        <v>53.490150254381398</v>
      </c>
      <c r="AL5107">
        <v>78.042451346476199</v>
      </c>
      <c r="AM5107">
        <v>94.884778136178994</v>
      </c>
      <c r="AN5107">
        <v>0.99999995735186897</v>
      </c>
    </row>
    <row r="5108" spans="1:40" x14ac:dyDescent="0.25">
      <c r="A5108" t="str">
        <f>"20190303170639848"</f>
        <v>20190303170639848</v>
      </c>
      <c r="B5108" t="str">
        <f>"1551603999840054"</f>
        <v>1551603999840054</v>
      </c>
      <c r="C5108" t="s">
        <v>40</v>
      </c>
      <c r="D5108">
        <v>5.5739539999999996</v>
      </c>
      <c r="E5108">
        <v>0.41709970000000002</v>
      </c>
      <c r="F5108" t="s">
        <v>105</v>
      </c>
      <c r="G5108">
        <v>-285.57839999999999</v>
      </c>
      <c r="H5108">
        <v>0.77080349999999997</v>
      </c>
      <c r="I5108">
        <v>-91.564989999999995</v>
      </c>
      <c r="J5108">
        <v>-303.32979999999998</v>
      </c>
      <c r="K5108">
        <v>1.125672</v>
      </c>
      <c r="L5108">
        <v>-41.385069999999999</v>
      </c>
      <c r="M5108">
        <v>4.408186E-2</v>
      </c>
      <c r="N5108">
        <v>-1.066513E-2</v>
      </c>
      <c r="O5108">
        <v>-0.99897100000000005</v>
      </c>
      <c r="P5108">
        <v>0.1221285</v>
      </c>
      <c r="Q5108">
        <v>0.19695670000000001</v>
      </c>
      <c r="R5108">
        <v>-0.97277579999999997</v>
      </c>
      <c r="S5108">
        <v>1.041809</v>
      </c>
      <c r="T5108">
        <v>-2.0792250000000002E-2</v>
      </c>
      <c r="U5108">
        <v>-2.9613040000000002</v>
      </c>
      <c r="V5108">
        <v>-8.1534709999999996E-2</v>
      </c>
      <c r="W5108">
        <v>0.20643249999999999</v>
      </c>
      <c r="X5108">
        <v>0.97505779999999997</v>
      </c>
      <c r="Y5108">
        <v>-0.28993200000000002</v>
      </c>
      <c r="Z5108">
        <v>-3.9251440000000002E-3</v>
      </c>
      <c r="AA5108">
        <v>0.95703919999999998</v>
      </c>
      <c r="AB5108">
        <v>30</v>
      </c>
      <c r="AC5108">
        <v>17.751399999999901</v>
      </c>
      <c r="AD5108">
        <v>-0.35486849999999998</v>
      </c>
      <c r="AE5108">
        <v>-50.179920000000003</v>
      </c>
      <c r="AF5108">
        <v>-15.5213023754341</v>
      </c>
      <c r="AG5108">
        <v>-0.35486849999999998</v>
      </c>
      <c r="AH5108">
        <v>50.911431910956701</v>
      </c>
      <c r="AI5108">
        <v>90.382005131230002</v>
      </c>
      <c r="AJ5108">
        <v>106.954823282295</v>
      </c>
      <c r="AK5108">
        <v>53.226033651831798</v>
      </c>
      <c r="AL5108">
        <v>78.086630895507099</v>
      </c>
      <c r="AM5108">
        <v>94.779974804487793</v>
      </c>
      <c r="AN5108">
        <v>0.999999999665937</v>
      </c>
    </row>
    <row r="5109" spans="1:40" x14ac:dyDescent="0.25">
      <c r="A5109" t="str">
        <f>"20190303170639870"</f>
        <v>20190303170639870</v>
      </c>
      <c r="B5109" t="str">
        <f>"1551603999860549"</f>
        <v>1551603999860549</v>
      </c>
      <c r="C5109" t="s">
        <v>40</v>
      </c>
      <c r="D5109">
        <v>5.5513399999999997</v>
      </c>
      <c r="E5109">
        <v>0.41724549999999999</v>
      </c>
      <c r="F5109" t="s">
        <v>105</v>
      </c>
      <c r="G5109">
        <v>-285.4753</v>
      </c>
      <c r="H5109">
        <v>0.72992900000000005</v>
      </c>
      <c r="I5109">
        <v>-91.366039999999998</v>
      </c>
      <c r="J5109">
        <v>-303.30950000000001</v>
      </c>
      <c r="K5109">
        <v>1.1258520000000001</v>
      </c>
      <c r="L5109">
        <v>-41.689970000000002</v>
      </c>
      <c r="M5109">
        <v>5.074153E-2</v>
      </c>
      <c r="N5109">
        <v>-1.0674680000000001E-2</v>
      </c>
      <c r="O5109">
        <v>-0.99865479999999995</v>
      </c>
      <c r="P5109">
        <v>0.1267317</v>
      </c>
      <c r="Q5109">
        <v>0.19691239999999999</v>
      </c>
      <c r="R5109">
        <v>-0.97219560000000005</v>
      </c>
      <c r="S5109">
        <v>1.056</v>
      </c>
      <c r="T5109">
        <v>-2.3405309999999999E-2</v>
      </c>
      <c r="U5109">
        <v>-2.9561160000000002</v>
      </c>
      <c r="V5109">
        <v>-7.9741210000000007E-2</v>
      </c>
      <c r="W5109">
        <v>0.2063835</v>
      </c>
      <c r="X5109">
        <v>0.97521639999999998</v>
      </c>
      <c r="Y5109">
        <v>-0.28815639999999998</v>
      </c>
      <c r="Z5109">
        <v>-3.0792559999999998E-3</v>
      </c>
      <c r="AA5109">
        <v>0.95757840000000005</v>
      </c>
      <c r="AB5109">
        <v>30</v>
      </c>
      <c r="AC5109">
        <v>17.834199999999999</v>
      </c>
      <c r="AD5109">
        <v>-0.39592300000000002</v>
      </c>
      <c r="AE5109">
        <v>-49.676070000000003</v>
      </c>
      <c r="AF5109">
        <v>-15.289580015243599</v>
      </c>
      <c r="AG5109">
        <v>-0.39592300000000002</v>
      </c>
      <c r="AH5109">
        <v>50.5142146297285</v>
      </c>
      <c r="AI5109">
        <v>90.4298104570682</v>
      </c>
      <c r="AJ5109">
        <v>106.83994923451399</v>
      </c>
      <c r="AK5109">
        <v>52.778915219268598</v>
      </c>
      <c r="AL5109">
        <v>78.089499191670996</v>
      </c>
      <c r="AM5109">
        <v>94.674545150658901</v>
      </c>
      <c r="AN5109">
        <v>0.99999991823673295</v>
      </c>
    </row>
    <row r="5110" spans="1:40" x14ac:dyDescent="0.25">
      <c r="A5110" t="str">
        <f>"20190303170639889"</f>
        <v>20190303170639889</v>
      </c>
      <c r="B5110" t="str">
        <f>"1551603999880070"</f>
        <v>1551603999880070</v>
      </c>
      <c r="C5110" t="s">
        <v>40</v>
      </c>
      <c r="D5110">
        <v>5.5957980000000003</v>
      </c>
      <c r="E5110">
        <v>0.41741739999999999</v>
      </c>
      <c r="F5110" t="s">
        <v>105</v>
      </c>
      <c r="G5110">
        <v>-285.42079999999999</v>
      </c>
      <c r="H5110">
        <v>0.75525089999999995</v>
      </c>
      <c r="I5110">
        <v>-90.976820000000004</v>
      </c>
      <c r="J5110">
        <v>-303.29039999999998</v>
      </c>
      <c r="K5110">
        <v>1.126018</v>
      </c>
      <c r="L5110">
        <v>-41.951749999999997</v>
      </c>
      <c r="M5110">
        <v>5.663493E-2</v>
      </c>
      <c r="N5110">
        <v>-1.0683669999999999E-2</v>
      </c>
      <c r="O5110">
        <v>-0.9983379</v>
      </c>
      <c r="P5110">
        <v>0.13120370000000001</v>
      </c>
      <c r="Q5110">
        <v>0.19703950000000001</v>
      </c>
      <c r="R5110">
        <v>-0.97157680000000002</v>
      </c>
      <c r="S5110">
        <v>1.070953</v>
      </c>
      <c r="T5110">
        <v>-2.218616E-2</v>
      </c>
      <c r="U5110">
        <v>-2.9506839999999999</v>
      </c>
      <c r="V5110">
        <v>-7.8553750000000006E-2</v>
      </c>
      <c r="W5110">
        <v>0.20650489999999999</v>
      </c>
      <c r="X5110">
        <v>0.97528709999999996</v>
      </c>
      <c r="Y5110">
        <v>-0.287358</v>
      </c>
      <c r="Z5110">
        <v>-3.4627120000000002E-3</v>
      </c>
      <c r="AA5110">
        <v>0.95781700000000003</v>
      </c>
      <c r="AB5110">
        <v>30</v>
      </c>
      <c r="AC5110">
        <v>17.869599999999899</v>
      </c>
      <c r="AD5110">
        <v>-0.37076709999999902</v>
      </c>
      <c r="AE5110">
        <v>-49.0250699999999</v>
      </c>
      <c r="AF5110">
        <v>-15.063465101791801</v>
      </c>
      <c r="AG5110">
        <v>-0.37076709999999902</v>
      </c>
      <c r="AH5110">
        <v>49.955952559502599</v>
      </c>
      <c r="AI5110">
        <v>90.407129110033694</v>
      </c>
      <c r="AJ5110">
        <v>106.779894072396</v>
      </c>
      <c r="AK5110">
        <v>52.178948295673997</v>
      </c>
      <c r="AL5110">
        <v>78.082390687884498</v>
      </c>
      <c r="AM5110">
        <v>94.604903790032907</v>
      </c>
      <c r="AN5110">
        <v>0.99999994639473899</v>
      </c>
    </row>
    <row r="5111" spans="1:40" x14ac:dyDescent="0.25">
      <c r="A5111" t="str">
        <f>"20190303170639909"</f>
        <v>20190303170639909</v>
      </c>
      <c r="B5111" t="str">
        <f>"1551603999900566"</f>
        <v>1551603999900566</v>
      </c>
      <c r="C5111" t="s">
        <v>40</v>
      </c>
      <c r="D5111">
        <v>5.6097869999999999</v>
      </c>
      <c r="E5111">
        <v>0.41758020000000001</v>
      </c>
      <c r="F5111" t="s">
        <v>105</v>
      </c>
      <c r="G5111">
        <v>-288.13979999999998</v>
      </c>
      <c r="H5111">
        <v>0.82656289999999999</v>
      </c>
      <c r="I5111">
        <v>-83.101619999999997</v>
      </c>
      <c r="J5111">
        <v>-303.27019999999999</v>
      </c>
      <c r="K5111">
        <v>1.1261620000000001</v>
      </c>
      <c r="L5111">
        <v>-42.20514</v>
      </c>
      <c r="M5111">
        <v>6.2514539999999993E-2</v>
      </c>
      <c r="N5111">
        <v>-1.069224E-2</v>
      </c>
      <c r="O5111">
        <v>-0.99798690000000001</v>
      </c>
      <c r="P5111">
        <v>0.13608909999999999</v>
      </c>
      <c r="Q5111">
        <v>0.1972218</v>
      </c>
      <c r="R5111">
        <v>-0.97086729999999999</v>
      </c>
      <c r="S5111">
        <v>1.0845340000000001</v>
      </c>
      <c r="T5111">
        <v>-2.1435139999999998E-2</v>
      </c>
      <c r="U5111">
        <v>-2.9456479999999998</v>
      </c>
      <c r="V5111">
        <v>-7.7796069999999995E-2</v>
      </c>
      <c r="W5111">
        <v>0.206677</v>
      </c>
      <c r="X5111">
        <v>0.9753115</v>
      </c>
      <c r="Y5111">
        <v>-0.28613529999999998</v>
      </c>
      <c r="Z5111">
        <v>-3.6961260000000001E-3</v>
      </c>
      <c r="AA5111">
        <v>0.95818210000000004</v>
      </c>
      <c r="AB5111">
        <v>30</v>
      </c>
      <c r="AC5111">
        <v>15.1304</v>
      </c>
      <c r="AD5111">
        <v>-0.29959910000000001</v>
      </c>
      <c r="AE5111">
        <v>-40.896479999999997</v>
      </c>
      <c r="AF5111">
        <v>-12.5434397633749</v>
      </c>
      <c r="AG5111">
        <v>-0.29959910000000001</v>
      </c>
      <c r="AH5111">
        <v>41.760432144821898</v>
      </c>
      <c r="AI5111">
        <v>90.393671726615395</v>
      </c>
      <c r="AJ5111">
        <v>106.71851353259601</v>
      </c>
      <c r="AK5111">
        <v>43.604602207111299</v>
      </c>
      <c r="AL5111">
        <v>78.072314127572497</v>
      </c>
      <c r="AM5111">
        <v>94.560562453108801</v>
      </c>
      <c r="AN5111">
        <v>1.00000006643434</v>
      </c>
    </row>
    <row r="5112" spans="1:40" x14ac:dyDescent="0.25">
      <c r="A5112" t="str">
        <f>"20190303170639929"</f>
        <v>20190303170639929</v>
      </c>
      <c r="B5112" t="str">
        <f>"1551603999920086"</f>
        <v>1551603999920086</v>
      </c>
      <c r="C5112" t="s">
        <v>40</v>
      </c>
      <c r="D5112">
        <v>5.6032859999999998</v>
      </c>
      <c r="E5112">
        <v>0.41766209999999998</v>
      </c>
      <c r="F5112" t="s">
        <v>105</v>
      </c>
      <c r="G5112">
        <v>-288.13979999999998</v>
      </c>
      <c r="H5112">
        <v>0.83790779999999998</v>
      </c>
      <c r="I5112">
        <v>-82.675060000000002</v>
      </c>
      <c r="J5112">
        <v>-303.24709999999999</v>
      </c>
      <c r="K5112">
        <v>1.1263289999999999</v>
      </c>
      <c r="L5112">
        <v>-42.472050000000003</v>
      </c>
      <c r="M5112">
        <v>6.8913600000000005E-2</v>
      </c>
      <c r="N5112">
        <v>-1.0703010000000001E-2</v>
      </c>
      <c r="O5112">
        <v>-0.99756520000000004</v>
      </c>
      <c r="P5112">
        <v>0.14124629999999999</v>
      </c>
      <c r="Q5112">
        <v>0.19738439999999999</v>
      </c>
      <c r="R5112">
        <v>-0.97009749999999995</v>
      </c>
      <c r="S5112">
        <v>1.099243</v>
      </c>
      <c r="T5112">
        <v>-2.0941020000000001E-2</v>
      </c>
      <c r="U5112">
        <v>-2.9401860000000002</v>
      </c>
      <c r="V5112">
        <v>-7.6812160000000004E-2</v>
      </c>
      <c r="W5112">
        <v>0.2068323</v>
      </c>
      <c r="X5112">
        <v>0.97535649999999996</v>
      </c>
      <c r="Y5112">
        <v>-0.28477980000000003</v>
      </c>
      <c r="Z5112">
        <v>-3.8482289999999999E-3</v>
      </c>
      <c r="AA5112">
        <v>0.95858529999999997</v>
      </c>
      <c r="AB5112">
        <v>30</v>
      </c>
      <c r="AC5112">
        <v>15.1073</v>
      </c>
      <c r="AD5112">
        <v>-0.28842119999999999</v>
      </c>
      <c r="AE5112">
        <v>-40.203009999999999</v>
      </c>
      <c r="AF5112">
        <v>-12.3001326374842</v>
      </c>
      <c r="AG5112">
        <v>-0.28842119999999999</v>
      </c>
      <c r="AH5112">
        <v>41.146724063132602</v>
      </c>
      <c r="AI5112">
        <v>90.384788482414393</v>
      </c>
      <c r="AJ5112">
        <v>106.643165242468</v>
      </c>
      <c r="AK5112">
        <v>42.9468200314748</v>
      </c>
      <c r="AL5112">
        <v>78.063218844180398</v>
      </c>
      <c r="AM5112">
        <v>94.502915499215305</v>
      </c>
      <c r="AN5112">
        <v>1.0000000051697</v>
      </c>
    </row>
    <row r="5113" spans="1:40" x14ac:dyDescent="0.25">
      <c r="A5113" t="str">
        <f>"20190303170639952"</f>
        <v>20190303170639952</v>
      </c>
      <c r="B5113" t="str">
        <f>"1551603999940581"</f>
        <v>1551603999940581</v>
      </c>
      <c r="C5113" t="s">
        <v>40</v>
      </c>
      <c r="D5113">
        <v>5.6482159999999997</v>
      </c>
      <c r="E5113">
        <v>0.42260500000000001</v>
      </c>
      <c r="F5113" t="s">
        <v>105</v>
      </c>
      <c r="G5113">
        <v>-288.13979999999998</v>
      </c>
      <c r="H5113">
        <v>0.86979479999999998</v>
      </c>
      <c r="I5113">
        <v>-82.187709999999996</v>
      </c>
      <c r="J5113">
        <v>-303.21980000000002</v>
      </c>
      <c r="K5113">
        <v>1.126525</v>
      </c>
      <c r="L5113">
        <v>-42.76193</v>
      </c>
      <c r="M5113">
        <v>7.6107060000000004E-2</v>
      </c>
      <c r="N5113">
        <v>-1.0718180000000001E-2</v>
      </c>
      <c r="O5113">
        <v>-0.99704219999999999</v>
      </c>
      <c r="P5113">
        <v>0.14760210000000001</v>
      </c>
      <c r="Q5113">
        <v>0.1984409</v>
      </c>
      <c r="R5113">
        <v>-0.9689354</v>
      </c>
      <c r="S5113">
        <v>1.1159969999999999</v>
      </c>
      <c r="T5113">
        <v>-1.894939E-2</v>
      </c>
      <c r="U5113">
        <v>-2.9338380000000002</v>
      </c>
      <c r="V5113">
        <v>-7.6298229999999995E-2</v>
      </c>
      <c r="W5113">
        <v>0.20787359999999999</v>
      </c>
      <c r="X5113">
        <v>0.97517540000000003</v>
      </c>
      <c r="Y5113">
        <v>-0.2833367</v>
      </c>
      <c r="Z5113">
        <v>-4.4834690000000003E-3</v>
      </c>
      <c r="AA5113">
        <v>0.95901000000000003</v>
      </c>
      <c r="AB5113">
        <v>30</v>
      </c>
      <c r="AC5113">
        <v>15.08</v>
      </c>
      <c r="AD5113">
        <v>-0.25673020000000002</v>
      </c>
      <c r="AE5113">
        <v>-39.425780000000003</v>
      </c>
      <c r="AF5113">
        <v>-12.0350604384963</v>
      </c>
      <c r="AG5113">
        <v>-0.25673020000000002</v>
      </c>
      <c r="AH5113">
        <v>40.457682031634697</v>
      </c>
      <c r="AI5113">
        <v>90.348482523453598</v>
      </c>
      <c r="AJ5113">
        <v>106.56631053248999</v>
      </c>
      <c r="AK5113">
        <v>42.210574806874</v>
      </c>
      <c r="AL5113">
        <v>78.002230668840895</v>
      </c>
      <c r="AM5113">
        <v>94.473737635259496</v>
      </c>
      <c r="AN5113">
        <v>0.99999995712162504</v>
      </c>
    </row>
    <row r="5114" spans="1:40" x14ac:dyDescent="0.25">
      <c r="A5114" t="str">
        <f>"20190303170639975"</f>
        <v>20190303170639975</v>
      </c>
      <c r="B5114" t="str">
        <f>"1551603999969862"</f>
        <v>1551603999969862</v>
      </c>
      <c r="C5114" t="s">
        <v>40</v>
      </c>
      <c r="D5114">
        <v>5.6494730000000004</v>
      </c>
      <c r="E5114">
        <v>0.42309740000000001</v>
      </c>
      <c r="F5114" t="s">
        <v>105</v>
      </c>
      <c r="G5114">
        <v>-288.13979999999998</v>
      </c>
      <c r="H5114">
        <v>0.49383349999999998</v>
      </c>
      <c r="I5114">
        <v>-83.00018</v>
      </c>
      <c r="J5114">
        <v>-303.18740000000003</v>
      </c>
      <c r="K5114">
        <v>1.1267579999999999</v>
      </c>
      <c r="L5114">
        <v>-43.07864</v>
      </c>
      <c r="M5114">
        <v>8.4254010000000004E-2</v>
      </c>
      <c r="N5114">
        <v>-1.073442E-2</v>
      </c>
      <c r="O5114">
        <v>-0.99638649999999995</v>
      </c>
      <c r="P5114">
        <v>0.15599689999999999</v>
      </c>
      <c r="Q5114">
        <v>0.19901460000000001</v>
      </c>
      <c r="R5114">
        <v>-0.9675009</v>
      </c>
      <c r="S5114">
        <v>1.1010439999999999</v>
      </c>
      <c r="T5114">
        <v>-4.619384E-2</v>
      </c>
      <c r="U5114">
        <v>-2.9379270000000002</v>
      </c>
      <c r="V5114">
        <v>-7.6915079999999997E-2</v>
      </c>
      <c r="W5114">
        <v>0.20841219999999999</v>
      </c>
      <c r="X5114">
        <v>0.97501199999999999</v>
      </c>
      <c r="Y5114">
        <v>-0.27074670000000001</v>
      </c>
      <c r="Z5114">
        <v>4.2693699999999998E-3</v>
      </c>
      <c r="AA5114">
        <v>0.96264110000000003</v>
      </c>
      <c r="AB5114">
        <v>30</v>
      </c>
      <c r="AC5114">
        <v>15.047599999999999</v>
      </c>
      <c r="AD5114">
        <v>-0.632924499999999</v>
      </c>
      <c r="AE5114">
        <v>-39.92154</v>
      </c>
      <c r="AF5114">
        <v>-11.6277864955719</v>
      </c>
      <c r="AG5114">
        <v>-0.632924499999999</v>
      </c>
      <c r="AH5114">
        <v>41.038436623709003</v>
      </c>
      <c r="AI5114">
        <v>90.850126397756995</v>
      </c>
      <c r="AJ5114">
        <v>105.819490490685</v>
      </c>
      <c r="AK5114">
        <v>42.658636789371101</v>
      </c>
      <c r="AL5114">
        <v>77.970680523855606</v>
      </c>
      <c r="AM5114">
        <v>94.510510617890503</v>
      </c>
      <c r="AN5114">
        <v>0.99999998739212304</v>
      </c>
    </row>
    <row r="5115" spans="1:40" x14ac:dyDescent="0.25">
      <c r="A5115" t="str">
        <f>"20190303170640008"</f>
        <v>20190303170640008</v>
      </c>
      <c r="B5115" t="str">
        <f>"1551604000000118"</f>
        <v>1551604000000118</v>
      </c>
      <c r="C5115" t="s">
        <v>40</v>
      </c>
      <c r="D5115">
        <v>5.6808199999999998</v>
      </c>
      <c r="E5115">
        <v>0.4207111</v>
      </c>
      <c r="F5115" t="s">
        <v>105</v>
      </c>
      <c r="G5115">
        <v>-288.13979999999998</v>
      </c>
      <c r="H5115">
        <v>0.5019207</v>
      </c>
      <c r="I5115">
        <v>-82.259389999999996</v>
      </c>
      <c r="J5115">
        <v>-303.13920000000002</v>
      </c>
      <c r="K5115">
        <v>1.1270789999999999</v>
      </c>
      <c r="L5115">
        <v>-43.504910000000002</v>
      </c>
      <c r="M5115">
        <v>9.5728629999999995E-2</v>
      </c>
      <c r="N5115">
        <v>-1.0755249999999999E-2</v>
      </c>
      <c r="O5115">
        <v>-0.9953495</v>
      </c>
      <c r="P5115">
        <v>0.1690865</v>
      </c>
      <c r="Q5115">
        <v>0.19846359999999999</v>
      </c>
      <c r="R5115">
        <v>-0.96541299999999997</v>
      </c>
      <c r="S5115">
        <v>1.124908</v>
      </c>
      <c r="T5115">
        <v>-4.6709540000000001E-2</v>
      </c>
      <c r="U5115">
        <v>-2.9290159999999998</v>
      </c>
      <c r="V5115">
        <v>-7.9037720000000006E-2</v>
      </c>
      <c r="W5115">
        <v>0.207791</v>
      </c>
      <c r="X5115">
        <v>0.97497489999999998</v>
      </c>
      <c r="Y5115">
        <v>-0.26746900000000001</v>
      </c>
      <c r="Z5115">
        <v>4.4459209999999898E-3</v>
      </c>
      <c r="AA5115">
        <v>0.96355619999999997</v>
      </c>
      <c r="AB5115">
        <v>30</v>
      </c>
      <c r="AC5115">
        <v>14.9994</v>
      </c>
      <c r="AD5115">
        <v>-0.62515829999999994</v>
      </c>
      <c r="AE5115">
        <v>-38.754480000000001</v>
      </c>
      <c r="AF5115">
        <v>-11.217840686012901</v>
      </c>
      <c r="AG5115">
        <v>-0.62515829999999994</v>
      </c>
      <c r="AH5115">
        <v>40.003379735238298</v>
      </c>
      <c r="AI5115">
        <v>90.8620760557572</v>
      </c>
      <c r="AJ5115">
        <v>105.66468218565799</v>
      </c>
      <c r="AK5115">
        <v>41.5511872609977</v>
      </c>
      <c r="AL5115">
        <v>78.007070177610601</v>
      </c>
      <c r="AM5115">
        <v>94.634628617860798</v>
      </c>
      <c r="AN5115">
        <v>1.0000000582469</v>
      </c>
    </row>
    <row r="5116" spans="1:40" x14ac:dyDescent="0.25">
      <c r="A5116" t="str">
        <f>"20190303170640033"</f>
        <v>20190303170640033</v>
      </c>
      <c r="B5116" t="str">
        <f>"1551604000020614"</f>
        <v>1551604000020614</v>
      </c>
      <c r="C5116" t="s">
        <v>40</v>
      </c>
      <c r="D5116">
        <v>5.5893480000000002</v>
      </c>
      <c r="E5116">
        <v>0.3826196</v>
      </c>
      <c r="F5116" t="s">
        <v>105</v>
      </c>
      <c r="G5116">
        <v>-288.10019999999997</v>
      </c>
      <c r="H5116">
        <v>0.59402469999999996</v>
      </c>
      <c r="I5116">
        <v>-80.464519999999993</v>
      </c>
      <c r="J5116">
        <v>-303.09910000000002</v>
      </c>
      <c r="K5116">
        <v>1.127329</v>
      </c>
      <c r="L5116">
        <v>-43.824710000000003</v>
      </c>
      <c r="M5116">
        <v>0.10474219999999999</v>
      </c>
      <c r="N5116">
        <v>-1.077587E-2</v>
      </c>
      <c r="O5116">
        <v>-0.99444109999999997</v>
      </c>
      <c r="P5116">
        <v>0.17807229999999999</v>
      </c>
      <c r="Q5116">
        <v>0.1993907</v>
      </c>
      <c r="R5116">
        <v>-0.96360449999999997</v>
      </c>
      <c r="S5116">
        <v>1.183594</v>
      </c>
      <c r="T5116">
        <v>-4.1951179999999998E-2</v>
      </c>
      <c r="U5116">
        <v>-2.9087830000000001</v>
      </c>
      <c r="V5116">
        <v>-7.9450469999999995E-2</v>
      </c>
      <c r="W5116">
        <v>0.20868220000000001</v>
      </c>
      <c r="X5116">
        <v>0.97475089999999998</v>
      </c>
      <c r="Y5116">
        <v>-0.27776299999999998</v>
      </c>
      <c r="Z5116">
        <v>2.9258159999999999E-3</v>
      </c>
      <c r="AA5116">
        <v>0.96064510000000003</v>
      </c>
      <c r="AB5116">
        <v>30</v>
      </c>
      <c r="AC5116">
        <v>14.998900000000001</v>
      </c>
      <c r="AD5116">
        <v>-0.53330429999999995</v>
      </c>
      <c r="AE5116">
        <v>-36.639809999999997</v>
      </c>
      <c r="AF5116">
        <v>-11.0764208865257</v>
      </c>
      <c r="AG5116">
        <v>-0.53330429999999995</v>
      </c>
      <c r="AH5116">
        <v>38.002459212811601</v>
      </c>
      <c r="AI5116">
        <v>90.771888205225395</v>
      </c>
      <c r="AJ5116">
        <v>106.24960277003299</v>
      </c>
      <c r="AK5116">
        <v>39.587351759789001</v>
      </c>
      <c r="AL5116">
        <v>77.954862747364203</v>
      </c>
      <c r="AM5116">
        <v>94.659791141458598</v>
      </c>
      <c r="AN5116">
        <v>0.999999977415435</v>
      </c>
    </row>
    <row r="5117" spans="1:40" x14ac:dyDescent="0.25">
      <c r="A5117" t="str">
        <f>"20190303170640076"</f>
        <v>20190303170640076</v>
      </c>
      <c r="B5117" t="str">
        <f>"1551604000070390"</f>
        <v>1551604000070390</v>
      </c>
      <c r="C5117" t="s">
        <v>40</v>
      </c>
      <c r="D5117">
        <v>5.6309680000000002</v>
      </c>
      <c r="E5117">
        <v>0.36812080000000003</v>
      </c>
      <c r="F5117" t="s">
        <v>73</v>
      </c>
      <c r="G5117">
        <v>-277.63290000000001</v>
      </c>
      <c r="H5117">
        <v>2.3503759999999998</v>
      </c>
      <c r="I5117">
        <v>-91.657390000000007</v>
      </c>
      <c r="J5117">
        <v>-303.02050000000003</v>
      </c>
      <c r="K5117">
        <v>1.1277549999999901</v>
      </c>
      <c r="L5117">
        <v>-44.39011</v>
      </c>
      <c r="M5117">
        <v>0.1214513</v>
      </c>
      <c r="N5117">
        <v>-1.081527E-2</v>
      </c>
      <c r="O5117">
        <v>-0.99253849999999999</v>
      </c>
      <c r="P5117">
        <v>0.1932547</v>
      </c>
      <c r="Q5117">
        <v>0.20163880000000001</v>
      </c>
      <c r="R5117">
        <v>-0.96020559999999999</v>
      </c>
      <c r="S5117">
        <v>1.5018309999999999</v>
      </c>
      <c r="T5117">
        <v>7.212818E-2</v>
      </c>
      <c r="U5117">
        <v>-2.820862</v>
      </c>
      <c r="V5117">
        <v>-7.875124E-2</v>
      </c>
      <c r="W5117">
        <v>0.2108968</v>
      </c>
      <c r="X5117">
        <v>0.97433099999999995</v>
      </c>
      <c r="Y5117">
        <v>-0.35901609999999901</v>
      </c>
      <c r="Z5117">
        <v>-3.3393619999999999E-2</v>
      </c>
      <c r="AA5117">
        <v>0.93273379999999995</v>
      </c>
      <c r="AB5117">
        <v>30</v>
      </c>
      <c r="AC5117">
        <v>25.387599999999999</v>
      </c>
      <c r="AD5117">
        <v>1.222621</v>
      </c>
      <c r="AE5117">
        <v>-47.26728</v>
      </c>
      <c r="AF5117">
        <v>-19.448536472716501</v>
      </c>
      <c r="AG5117">
        <v>1.222621</v>
      </c>
      <c r="AH5117">
        <v>49.9749251541432</v>
      </c>
      <c r="AI5117">
        <v>88.693935756277</v>
      </c>
      <c r="AJ5117">
        <v>111.264290528364</v>
      </c>
      <c r="AK5117">
        <v>53.639850085570203</v>
      </c>
      <c r="AL5117">
        <v>77.825088531089804</v>
      </c>
      <c r="AM5117">
        <v>94.620941328107307</v>
      </c>
      <c r="AN5117">
        <v>1.0000000578063799</v>
      </c>
    </row>
    <row r="5118" spans="1:40" x14ac:dyDescent="0.25">
      <c r="A5118" t="str">
        <f>"20190303170640097"</f>
        <v>20190303170640097</v>
      </c>
      <c r="B5118" t="str">
        <f>"1551604000089909"</f>
        <v>1551604000089909</v>
      </c>
      <c r="C5118" t="s">
        <v>40</v>
      </c>
      <c r="D5118">
        <v>5.6258520000000001</v>
      </c>
      <c r="E5118">
        <v>0.36708350000000001</v>
      </c>
      <c r="F5118" t="s">
        <v>73</v>
      </c>
      <c r="G5118">
        <v>-275.02820000000003</v>
      </c>
      <c r="H5118">
        <v>3.797501</v>
      </c>
      <c r="I5118">
        <v>-90.976820000000004</v>
      </c>
      <c r="J5118">
        <v>-302.97640000000001</v>
      </c>
      <c r="K5118">
        <v>1.127961</v>
      </c>
      <c r="L5118">
        <v>-44.677489999999999</v>
      </c>
      <c r="M5118">
        <v>0.13032919999999901</v>
      </c>
      <c r="N5118">
        <v>-1.0839130000000001E-2</v>
      </c>
      <c r="O5118">
        <v>-0.99141159999999995</v>
      </c>
      <c r="P5118">
        <v>0.2029926</v>
      </c>
      <c r="Q5118">
        <v>0.20048879999999999</v>
      </c>
      <c r="R5118">
        <v>-0.9584357</v>
      </c>
      <c r="S5118">
        <v>1.656982</v>
      </c>
      <c r="T5118">
        <v>0.15803420000000001</v>
      </c>
      <c r="U5118">
        <v>-2.75766</v>
      </c>
      <c r="V5118">
        <v>-7.9983719999999994E-2</v>
      </c>
      <c r="W5118">
        <v>0.20971039999999999</v>
      </c>
      <c r="X5118">
        <v>0.97448659999999998</v>
      </c>
      <c r="Y5118">
        <v>-0.39806160000000002</v>
      </c>
      <c r="Z5118">
        <v>-6.041117E-2</v>
      </c>
      <c r="AA5118">
        <v>0.91536740000000005</v>
      </c>
      <c r="AB5118">
        <v>30</v>
      </c>
      <c r="AC5118">
        <v>27.9481999999999</v>
      </c>
      <c r="AD5118">
        <v>2.66954</v>
      </c>
      <c r="AE5118">
        <v>-46.299329999999898</v>
      </c>
      <c r="AF5118">
        <v>-21.622600778250501</v>
      </c>
      <c r="AG5118">
        <v>2.66954</v>
      </c>
      <c r="AH5118">
        <v>49.426632640162701</v>
      </c>
      <c r="AI5118">
        <v>87.167179694023503</v>
      </c>
      <c r="AJ5118">
        <v>113.627868627086</v>
      </c>
      <c r="AK5118">
        <v>54.015324884450997</v>
      </c>
      <c r="AL5118">
        <v>77.894618392426906</v>
      </c>
      <c r="AM5118">
        <v>94.692193876990203</v>
      </c>
      <c r="AN5118">
        <v>0.999999990456379</v>
      </c>
    </row>
    <row r="5119" spans="1:40" x14ac:dyDescent="0.25">
      <c r="A5119" t="str">
        <f>"20190303170640119"</f>
        <v>20190303170640119</v>
      </c>
      <c r="B5119" t="str">
        <f>"1551604000110406"</f>
        <v>1551604000110406</v>
      </c>
      <c r="C5119" t="s">
        <v>40</v>
      </c>
      <c r="D5119">
        <v>5.6274559999999996</v>
      </c>
      <c r="E5119">
        <v>0.3668168</v>
      </c>
      <c r="F5119" t="s">
        <v>73</v>
      </c>
      <c r="G5119">
        <v>-273.9862</v>
      </c>
      <c r="H5119">
        <v>3.8539650000000001</v>
      </c>
      <c r="I5119">
        <v>-91.564989999999995</v>
      </c>
      <c r="J5119">
        <v>-302.93029999999999</v>
      </c>
      <c r="K5119">
        <v>1.1281639999999999</v>
      </c>
      <c r="L5119">
        <v>-44.960479999999997</v>
      </c>
      <c r="M5119">
        <v>0.13932749999999999</v>
      </c>
      <c r="N5119">
        <v>-1.0864260000000001E-2</v>
      </c>
      <c r="O5119">
        <v>-0.99018689999999998</v>
      </c>
      <c r="P5119">
        <v>0.21357400000000001</v>
      </c>
      <c r="Q5119">
        <v>0.1991996</v>
      </c>
      <c r="R5119">
        <v>-0.9564028</v>
      </c>
      <c r="S5119">
        <v>1.6930240000000001</v>
      </c>
      <c r="T5119">
        <v>0.15919900000000001</v>
      </c>
      <c r="U5119">
        <v>-2.7382200000000001</v>
      </c>
      <c r="V5119">
        <v>-8.1958219999999998E-2</v>
      </c>
      <c r="W5119">
        <v>0.2083721</v>
      </c>
      <c r="X5119">
        <v>0.97460959999999996</v>
      </c>
      <c r="Y5119">
        <v>-0.40135159999999998</v>
      </c>
      <c r="Z5119">
        <v>-6.0777400000000002E-2</v>
      </c>
      <c r="AA5119">
        <v>0.91390539999999998</v>
      </c>
      <c r="AB5119">
        <v>30</v>
      </c>
      <c r="AC5119">
        <v>28.944099999999899</v>
      </c>
      <c r="AD5119">
        <v>2.7258009999999899</v>
      </c>
      <c r="AE5119">
        <v>-46.604509999999998</v>
      </c>
      <c r="AF5119">
        <v>-22.113493552093502</v>
      </c>
      <c r="AG5119">
        <v>2.7258009999999899</v>
      </c>
      <c r="AH5119">
        <v>50.059260316333301</v>
      </c>
      <c r="AI5119">
        <v>87.148559976701193</v>
      </c>
      <c r="AJ5119">
        <v>113.833267768487</v>
      </c>
      <c r="AK5119">
        <v>54.793851220629698</v>
      </c>
      <c r="AL5119">
        <v>77.973029534033003</v>
      </c>
      <c r="AM5119">
        <v>94.806886367235606</v>
      </c>
      <c r="AN5119">
        <v>0.99999997714806799</v>
      </c>
    </row>
    <row r="5120" spans="1:40" x14ac:dyDescent="0.25">
      <c r="A5120" t="str">
        <f>"20190303170640141"</f>
        <v>20190303170640141</v>
      </c>
      <c r="B5120" t="str">
        <f>"1551604000129926"</f>
        <v>1551604000129926</v>
      </c>
      <c r="C5120" t="s">
        <v>40</v>
      </c>
      <c r="D5120">
        <v>5.6243530000000002</v>
      </c>
      <c r="E5120">
        <v>0.36727320000000002</v>
      </c>
      <c r="F5120" t="s">
        <v>73</v>
      </c>
      <c r="G5120">
        <v>-273.35129999999998</v>
      </c>
      <c r="H5120">
        <v>3.8141759999999998</v>
      </c>
      <c r="I5120">
        <v>-91.564989999999995</v>
      </c>
      <c r="J5120">
        <v>-302.87939999999998</v>
      </c>
      <c r="K5120">
        <v>1.1283909999999999</v>
      </c>
      <c r="L5120">
        <v>-45.253630000000001</v>
      </c>
      <c r="M5120">
        <v>0.14892810000000001</v>
      </c>
      <c r="N5120">
        <v>-1.089408E-2</v>
      </c>
      <c r="O5120">
        <v>-0.98878820000000001</v>
      </c>
      <c r="P5120">
        <v>0.2236089</v>
      </c>
      <c r="Q5120">
        <v>0.19872609999999999</v>
      </c>
      <c r="R5120">
        <v>-0.95420539999999998</v>
      </c>
      <c r="S5120">
        <v>1.7255549999999999</v>
      </c>
      <c r="T5120">
        <v>0.15669539999999901</v>
      </c>
      <c r="U5120">
        <v>-2.7187809999999999</v>
      </c>
      <c r="V5120">
        <v>-8.2835850000000003E-2</v>
      </c>
      <c r="W5120">
        <v>0.20786789999999999</v>
      </c>
      <c r="X5120">
        <v>0.97464309999999998</v>
      </c>
      <c r="Y5120">
        <v>-0.40324589999999999</v>
      </c>
      <c r="Z5120">
        <v>-6.0003149999999998E-2</v>
      </c>
      <c r="AA5120">
        <v>0.91312230000000005</v>
      </c>
      <c r="AB5120">
        <v>30</v>
      </c>
      <c r="AC5120">
        <v>29.528099999999899</v>
      </c>
      <c r="AD5120">
        <v>2.6857849999999899</v>
      </c>
      <c r="AE5120">
        <v>-46.311360000000001</v>
      </c>
      <c r="AF5120">
        <v>-22.2480935091688</v>
      </c>
      <c r="AG5120">
        <v>2.6857849999999899</v>
      </c>
      <c r="AH5120">
        <v>50.072924717551899</v>
      </c>
      <c r="AI5120">
        <v>87.193783655492297</v>
      </c>
      <c r="AJ5120">
        <v>113.956239957047</v>
      </c>
      <c r="AK5120">
        <v>54.858808733224997</v>
      </c>
      <c r="AL5120">
        <v>78.002565156931496</v>
      </c>
      <c r="AM5120">
        <v>94.857948521043696</v>
      </c>
      <c r="AN5120">
        <v>1.00000000713662</v>
      </c>
    </row>
    <row r="5121" spans="1:40" x14ac:dyDescent="0.25">
      <c r="A5121" t="str">
        <f>"20190303170640167"</f>
        <v>20190303170640167</v>
      </c>
      <c r="B5121" t="str">
        <f>"1551604000160182"</f>
        <v>1551604000160182</v>
      </c>
      <c r="C5121" t="s">
        <v>40</v>
      </c>
      <c r="D5121">
        <v>5.682518</v>
      </c>
      <c r="E5121">
        <v>0.3688826</v>
      </c>
      <c r="F5121" t="s">
        <v>73</v>
      </c>
      <c r="G5121">
        <v>-272.84210000000002</v>
      </c>
      <c r="H5121">
        <v>3.7705350000000002</v>
      </c>
      <c r="I5121">
        <v>-91.564989999999995</v>
      </c>
      <c r="J5121">
        <v>-302.82089999999999</v>
      </c>
      <c r="K5121">
        <v>1.128641</v>
      </c>
      <c r="L5121">
        <v>-45.569270000000003</v>
      </c>
      <c r="M5121">
        <v>0.15959470000000001</v>
      </c>
      <c r="N5121">
        <v>-1.093122E-2</v>
      </c>
      <c r="O5121">
        <v>-0.98712219999999995</v>
      </c>
      <c r="P5121">
        <v>0.23450319999999999</v>
      </c>
      <c r="Q5121">
        <v>0.19987260000000001</v>
      </c>
      <c r="R5121">
        <v>-0.95134629999999998</v>
      </c>
      <c r="S5121">
        <v>1.7520450000000001</v>
      </c>
      <c r="T5121">
        <v>0.15411449999999999</v>
      </c>
      <c r="U5121">
        <v>-2.7012939999999999</v>
      </c>
      <c r="V5121">
        <v>-8.3646449999999997E-2</v>
      </c>
      <c r="W5121">
        <v>0.20898349999999999</v>
      </c>
      <c r="X5121">
        <v>0.97433530000000002</v>
      </c>
      <c r="Y5121">
        <v>-0.40239360000000002</v>
      </c>
      <c r="Z5121">
        <v>-5.9212800000000003E-2</v>
      </c>
      <c r="AA5121">
        <v>0.91354979999999997</v>
      </c>
      <c r="AB5121">
        <v>30</v>
      </c>
      <c r="AC5121">
        <v>29.9787999999999</v>
      </c>
      <c r="AD5121">
        <v>2.6418940000000002</v>
      </c>
      <c r="AE5121">
        <v>-45.995719999999999</v>
      </c>
      <c r="AF5121">
        <v>-22.201985214598501</v>
      </c>
      <c r="AG5121">
        <v>2.6418940000000002</v>
      </c>
      <c r="AH5121">
        <v>50.0749007630696</v>
      </c>
      <c r="AI5121">
        <v>87.238720912407302</v>
      </c>
      <c r="AJ5121">
        <v>113.91132612430999</v>
      </c>
      <c r="AK5121">
        <v>54.839797937335298</v>
      </c>
      <c r="AL5121">
        <v>77.937211258195703</v>
      </c>
      <c r="AM5121">
        <v>94.906797760770203</v>
      </c>
      <c r="AN5121">
        <v>1.0000000543479599</v>
      </c>
    </row>
    <row r="5122" spans="1:40" x14ac:dyDescent="0.25">
      <c r="A5122" t="str">
        <f>"20190303170640186"</f>
        <v>20190303170640186</v>
      </c>
      <c r="B5122" t="str">
        <f>"1551604000179702"</f>
        <v>1551604000179702</v>
      </c>
      <c r="C5122" t="s">
        <v>40</v>
      </c>
      <c r="D5122">
        <v>5.70303</v>
      </c>
      <c r="E5122">
        <v>0.37038280000000001</v>
      </c>
      <c r="F5122" t="s">
        <v>73</v>
      </c>
      <c r="G5122">
        <v>-272.45650000000001</v>
      </c>
      <c r="H5122">
        <v>3.6891349999999998</v>
      </c>
      <c r="I5122">
        <v>-91.564989999999995</v>
      </c>
      <c r="J5122">
        <v>-302.76749999999998</v>
      </c>
      <c r="K5122">
        <v>1.128852</v>
      </c>
      <c r="L5122">
        <v>-45.840969999999999</v>
      </c>
      <c r="M5122">
        <v>0.16902879999999901</v>
      </c>
      <c r="N5122">
        <v>-1.09646E-2</v>
      </c>
      <c r="O5122">
        <v>-0.98555029999999999</v>
      </c>
      <c r="P5122">
        <v>0.24687629999999999</v>
      </c>
      <c r="Q5122">
        <v>0.2003405</v>
      </c>
      <c r="R5122">
        <v>-0.94811199999999995</v>
      </c>
      <c r="S5122">
        <v>1.772583</v>
      </c>
      <c r="T5122">
        <v>0.14947439999999901</v>
      </c>
      <c r="U5122">
        <v>-2.6850890000000001</v>
      </c>
      <c r="V5122">
        <v>-8.7163459999999998E-2</v>
      </c>
      <c r="W5122">
        <v>0.20936859999999999</v>
      </c>
      <c r="X5122">
        <v>0.97394420000000004</v>
      </c>
      <c r="Y5122">
        <v>-0.40107939999999997</v>
      </c>
      <c r="Z5122">
        <v>-5.7788869999999999E-2</v>
      </c>
      <c r="AA5122">
        <v>0.91421870000000005</v>
      </c>
      <c r="AB5122">
        <v>30</v>
      </c>
      <c r="AC5122">
        <v>30.3109999999999</v>
      </c>
      <c r="AD5122">
        <v>2.5602830000000001</v>
      </c>
      <c r="AE5122">
        <v>-45.724020000000003</v>
      </c>
      <c r="AF5122">
        <v>-22.097534287599299</v>
      </c>
      <c r="AG5122">
        <v>2.5602830000000001</v>
      </c>
      <c r="AH5122">
        <v>50.080678071217498</v>
      </c>
      <c r="AI5122">
        <v>87.322089231187505</v>
      </c>
      <c r="AJ5122">
        <v>113.808928982727</v>
      </c>
      <c r="AK5122">
        <v>54.798999869565499</v>
      </c>
      <c r="AL5122">
        <v>77.914646735062902</v>
      </c>
      <c r="AM5122">
        <v>95.114080281381504</v>
      </c>
      <c r="AN5122">
        <v>0.99999999206938495</v>
      </c>
    </row>
    <row r="5123" spans="1:40" x14ac:dyDescent="0.25">
      <c r="A5123" t="str">
        <f>"20190303170640208"</f>
        <v>20190303170640208</v>
      </c>
      <c r="B5123" t="str">
        <f>"1551604000200197"</f>
        <v>1551604000200197</v>
      </c>
      <c r="C5123" t="s">
        <v>40</v>
      </c>
      <c r="D5123">
        <v>5.6878900000000003</v>
      </c>
      <c r="E5123">
        <v>0.3712626</v>
      </c>
      <c r="F5123" t="s">
        <v>73</v>
      </c>
      <c r="G5123">
        <v>-271.96260000000001</v>
      </c>
      <c r="H5123">
        <v>3.5266459999999999</v>
      </c>
      <c r="I5123">
        <v>-91.564989999999995</v>
      </c>
      <c r="J5123">
        <v>-302.70830000000001</v>
      </c>
      <c r="K5123">
        <v>1.129059</v>
      </c>
      <c r="L5123">
        <v>-46.125729999999997</v>
      </c>
      <c r="M5123">
        <v>0.17913380000000001</v>
      </c>
      <c r="N5123">
        <v>-1.099865E-2</v>
      </c>
      <c r="O5123">
        <v>-0.98376330000000001</v>
      </c>
      <c r="P5123">
        <v>0.26057069999999999</v>
      </c>
      <c r="Q5123">
        <v>0.1996628</v>
      </c>
      <c r="R5123">
        <v>-0.94458339999999996</v>
      </c>
      <c r="S5123">
        <v>1.7966610000000001</v>
      </c>
      <c r="T5123">
        <v>0.13984969999999999</v>
      </c>
      <c r="U5123">
        <v>-2.6668090000000002</v>
      </c>
      <c r="V5123">
        <v>-9.1338740000000002E-2</v>
      </c>
      <c r="W5123">
        <v>0.208596</v>
      </c>
      <c r="X5123">
        <v>0.97372729999999996</v>
      </c>
      <c r="Y5123">
        <v>-0.40034730000000002</v>
      </c>
      <c r="Z5123">
        <v>-5.4771979999999998E-2</v>
      </c>
      <c r="AA5123">
        <v>0.91472509999999996</v>
      </c>
      <c r="AB5123">
        <v>30</v>
      </c>
      <c r="AC5123">
        <v>30.745699999999999</v>
      </c>
      <c r="AD5123">
        <v>2.3975870000000001</v>
      </c>
      <c r="AE5123">
        <v>-45.439259999999997</v>
      </c>
      <c r="AF5123">
        <v>-22.0659791988782</v>
      </c>
      <c r="AG5123">
        <v>2.3975870000000001</v>
      </c>
      <c r="AH5123">
        <v>50.116394360003497</v>
      </c>
      <c r="AI5123">
        <v>87.492948169394595</v>
      </c>
      <c r="AJ5123">
        <v>113.763635824129</v>
      </c>
      <c r="AK5123">
        <v>54.811575830980097</v>
      </c>
      <c r="AL5123">
        <v>77.959912515939493</v>
      </c>
      <c r="AM5123">
        <v>95.358846800928106</v>
      </c>
      <c r="AN5123">
        <v>0.99999995570303701</v>
      </c>
    </row>
    <row r="5124" spans="1:40" x14ac:dyDescent="0.25">
      <c r="A5124" t="str">
        <f>"20190303170640232"</f>
        <v>20190303170640232</v>
      </c>
      <c r="B5124" t="str">
        <f>"1551604000220694"</f>
        <v>1551604000220694</v>
      </c>
      <c r="C5124" t="s">
        <v>40</v>
      </c>
      <c r="D5124">
        <v>5.6777369999999996</v>
      </c>
      <c r="E5124">
        <v>0.37200899999999998</v>
      </c>
      <c r="F5124" t="s">
        <v>73</v>
      </c>
      <c r="G5124">
        <v>-271.27629999999999</v>
      </c>
      <c r="H5124">
        <v>3.4162599999999999</v>
      </c>
      <c r="I5124">
        <v>-91.564989999999995</v>
      </c>
      <c r="J5124">
        <v>-302.6397</v>
      </c>
      <c r="K5124">
        <v>1.1292599999999999</v>
      </c>
      <c r="L5124">
        <v>-46.437559999999998</v>
      </c>
      <c r="M5124">
        <v>0.19045090000000001</v>
      </c>
      <c r="N5124">
        <v>-1.1034499999999999E-2</v>
      </c>
      <c r="O5124">
        <v>-0.98163489999999998</v>
      </c>
      <c r="P5124">
        <v>0.27546179999999998</v>
      </c>
      <c r="Q5124">
        <v>0.19955880000000001</v>
      </c>
      <c r="R5124">
        <v>-0.94037090000000001</v>
      </c>
      <c r="S5124">
        <v>1.8285830000000001</v>
      </c>
      <c r="T5124">
        <v>0.1330605</v>
      </c>
      <c r="U5124">
        <v>-2.6434630000000001</v>
      </c>
      <c r="V5124">
        <v>-9.5619369999999995E-2</v>
      </c>
      <c r="W5124">
        <v>0.20838979999999999</v>
      </c>
      <c r="X5124">
        <v>0.97336049999999996</v>
      </c>
      <c r="Y5124">
        <v>-0.4011052</v>
      </c>
      <c r="Z5124">
        <v>-5.2635990000000001E-2</v>
      </c>
      <c r="AA5124">
        <v>0.91451850000000001</v>
      </c>
      <c r="AB5124">
        <v>30</v>
      </c>
      <c r="AC5124">
        <v>31.363399999999999</v>
      </c>
      <c r="AD5124">
        <v>2.2869999999999999</v>
      </c>
      <c r="AE5124">
        <v>-45.127429999999997</v>
      </c>
      <c r="AF5124">
        <v>-22.155825323065699</v>
      </c>
      <c r="AG5124">
        <v>2.2869999999999999</v>
      </c>
      <c r="AH5124">
        <v>50.187982384884997</v>
      </c>
      <c r="AI5124">
        <v>87.612877077575902</v>
      </c>
      <c r="AJ5124">
        <v>113.819386216464</v>
      </c>
      <c r="AK5124">
        <v>54.908510639168902</v>
      </c>
      <c r="AL5124">
        <v>77.971993132882105</v>
      </c>
      <c r="AM5124">
        <v>95.610525812688294</v>
      </c>
      <c r="AN5124">
        <v>1.0000000178117401</v>
      </c>
    </row>
    <row r="5125" spans="1:40" x14ac:dyDescent="0.25">
      <c r="A5125" t="str">
        <f>"20190303170640255"</f>
        <v>20190303170640255</v>
      </c>
      <c r="B5125" t="str">
        <f>"1551604000240214"</f>
        <v>1551604000240214</v>
      </c>
      <c r="C5125" t="s">
        <v>40</v>
      </c>
      <c r="D5125">
        <v>5.7015129999999896</v>
      </c>
      <c r="E5125">
        <v>0.37241590000000002</v>
      </c>
      <c r="F5125" t="s">
        <v>73</v>
      </c>
      <c r="G5125">
        <v>-270.46390000000002</v>
      </c>
      <c r="H5125">
        <v>3.3725239999999999</v>
      </c>
      <c r="I5125">
        <v>-91.564989999999995</v>
      </c>
      <c r="J5125">
        <v>-302.57040000000001</v>
      </c>
      <c r="K5125">
        <v>1.1294519999999999</v>
      </c>
      <c r="L5125">
        <v>-46.736789999999999</v>
      </c>
      <c r="M5125">
        <v>0.20154910000000001</v>
      </c>
      <c r="N5125">
        <v>-1.1070170000000001E-2</v>
      </c>
      <c r="O5125">
        <v>-0.97941579999999995</v>
      </c>
      <c r="P5125">
        <v>0.28846280000000002</v>
      </c>
      <c r="Q5125">
        <v>0.20059150000000001</v>
      </c>
      <c r="R5125">
        <v>-0.93624359999999995</v>
      </c>
      <c r="S5125">
        <v>1.865356</v>
      </c>
      <c r="T5125">
        <v>0.13005149999999999</v>
      </c>
      <c r="U5125">
        <v>-2.6162109999999998</v>
      </c>
      <c r="V5125">
        <v>-9.8258269999999995E-2</v>
      </c>
      <c r="W5125">
        <v>0.2093537</v>
      </c>
      <c r="X5125">
        <v>0.9728907</v>
      </c>
      <c r="Y5125">
        <v>-0.40378619999999998</v>
      </c>
      <c r="Z5125">
        <v>-5.1694160000000003E-2</v>
      </c>
      <c r="AA5125">
        <v>0.91339170000000003</v>
      </c>
      <c r="AB5125">
        <v>30</v>
      </c>
      <c r="AC5125">
        <v>32.106499999999897</v>
      </c>
      <c r="AD5125">
        <v>2.2430720000000002</v>
      </c>
      <c r="AE5125">
        <v>-44.828200000000002</v>
      </c>
      <c r="AF5125">
        <v>-22.3748776024335</v>
      </c>
      <c r="AG5125">
        <v>2.2430720000000002</v>
      </c>
      <c r="AH5125">
        <v>50.296340713251197</v>
      </c>
      <c r="AI5125">
        <v>87.6666560417803</v>
      </c>
      <c r="AJ5125">
        <v>113.982413279048</v>
      </c>
      <c r="AK5125">
        <v>55.094359138341098</v>
      </c>
      <c r="AL5125">
        <v>77.915519725087904</v>
      </c>
      <c r="AM5125">
        <v>95.767100838320502</v>
      </c>
      <c r="AN5125">
        <v>0.99999998673678603</v>
      </c>
    </row>
    <row r="5126" spans="1:40" x14ac:dyDescent="0.25">
      <c r="A5126" t="str">
        <f>"20190303170640277"</f>
        <v>20190303170640277</v>
      </c>
      <c r="B5126" t="str">
        <f>"1551604000270470"</f>
        <v>1551604000270470</v>
      </c>
      <c r="C5126" t="s">
        <v>40</v>
      </c>
      <c r="D5126">
        <v>5.7424799999999996</v>
      </c>
      <c r="E5126">
        <v>0.38633800000000001</v>
      </c>
      <c r="F5126" t="s">
        <v>73</v>
      </c>
      <c r="G5126">
        <v>-269.70409999999998</v>
      </c>
      <c r="H5126">
        <v>3.4272840000000002</v>
      </c>
      <c r="I5126">
        <v>-91.564989999999995</v>
      </c>
      <c r="J5126">
        <v>-302.50099999999998</v>
      </c>
      <c r="K5126">
        <v>1.1296310000000001</v>
      </c>
      <c r="L5126">
        <v>-47.020690000000002</v>
      </c>
      <c r="M5126">
        <v>0.21229990000000001</v>
      </c>
      <c r="N5126">
        <v>-1.110629E-2</v>
      </c>
      <c r="O5126">
        <v>-0.9771417</v>
      </c>
      <c r="P5126">
        <v>0.30072710000000002</v>
      </c>
      <c r="Q5126">
        <v>0.20161209999999999</v>
      </c>
      <c r="R5126">
        <v>-0.93215689999999995</v>
      </c>
      <c r="S5126">
        <v>1.8993530000000001</v>
      </c>
      <c r="T5126">
        <v>0.1327933</v>
      </c>
      <c r="U5126">
        <v>-2.5906370000000001</v>
      </c>
      <c r="V5126">
        <v>-0.10050439999999999</v>
      </c>
      <c r="W5126">
        <v>0.21031459999999999</v>
      </c>
      <c r="X5126">
        <v>0.97245400000000004</v>
      </c>
      <c r="Y5126">
        <v>-0.40580149999999998</v>
      </c>
      <c r="Z5126">
        <v>-5.2564949999999999E-2</v>
      </c>
      <c r="AA5126">
        <v>0.91244840000000005</v>
      </c>
      <c r="AB5126">
        <v>30</v>
      </c>
      <c r="AC5126">
        <v>32.796899999999901</v>
      </c>
      <c r="AD5126">
        <v>2.2976529999999902</v>
      </c>
      <c r="AE5126">
        <v>-44.5443</v>
      </c>
      <c r="AF5126">
        <v>-22.552944736602999</v>
      </c>
      <c r="AG5126">
        <v>2.2976529999999902</v>
      </c>
      <c r="AH5126">
        <v>50.405008080073401</v>
      </c>
      <c r="AI5126">
        <v>87.617370341131306</v>
      </c>
      <c r="AJ5126">
        <v>114.105393973105</v>
      </c>
      <c r="AK5126">
        <v>55.268249159467203</v>
      </c>
      <c r="AL5126">
        <v>77.859211669370794</v>
      </c>
      <c r="AM5126">
        <v>95.900644452283998</v>
      </c>
      <c r="AN5126">
        <v>1.00000007375425</v>
      </c>
    </row>
    <row r="5127" spans="1:40" x14ac:dyDescent="0.25">
      <c r="A5127" t="str">
        <f>"20190303170640307"</f>
        <v>20190303170640307</v>
      </c>
      <c r="B5127" t="str">
        <f>"1551604000299750"</f>
        <v>1551604000299750</v>
      </c>
      <c r="C5127" t="s">
        <v>40</v>
      </c>
      <c r="D5127">
        <v>5.783442</v>
      </c>
      <c r="E5127">
        <v>0.3885459</v>
      </c>
      <c r="F5127" t="s">
        <v>73</v>
      </c>
      <c r="G5127">
        <v>-271.15730000000002</v>
      </c>
      <c r="H5127">
        <v>2.3098359999999998</v>
      </c>
      <c r="I5127">
        <v>-91.564989999999995</v>
      </c>
      <c r="J5127">
        <v>-302.4101</v>
      </c>
      <c r="K5127">
        <v>1.1298619999999999</v>
      </c>
      <c r="L5127">
        <v>-47.373139999999999</v>
      </c>
      <c r="M5127">
        <v>0.22593630000000001</v>
      </c>
      <c r="N5127">
        <v>-1.1153980000000001E-2</v>
      </c>
      <c r="O5127">
        <v>-0.97407829999999995</v>
      </c>
      <c r="P5127">
        <v>0.31671850000000001</v>
      </c>
      <c r="Q5127">
        <v>0.2014291</v>
      </c>
      <c r="R5127">
        <v>-0.92688510000000002</v>
      </c>
      <c r="S5127">
        <v>1.8370359999999999</v>
      </c>
      <c r="T5127">
        <v>6.9172020000000001E-2</v>
      </c>
      <c r="U5127">
        <v>-2.6107179999999999</v>
      </c>
      <c r="V5127">
        <v>-0.1037563</v>
      </c>
      <c r="W5127">
        <v>0.2100484</v>
      </c>
      <c r="X5127">
        <v>0.97216990000000003</v>
      </c>
      <c r="Y5127">
        <v>-0.3755057</v>
      </c>
      <c r="Z5127">
        <v>-3.2428129999999999E-2</v>
      </c>
      <c r="AA5127">
        <v>0.92625259999999998</v>
      </c>
      <c r="AB5127">
        <v>30</v>
      </c>
      <c r="AC5127">
        <v>31.252799999999901</v>
      </c>
      <c r="AD5127">
        <v>1.1799740000000001</v>
      </c>
      <c r="AE5127">
        <v>-44.191850000000002</v>
      </c>
      <c r="AF5127">
        <v>-20.4496834885509</v>
      </c>
      <c r="AG5127">
        <v>1.1799740000000001</v>
      </c>
      <c r="AH5127">
        <v>50.0867733647924</v>
      </c>
      <c r="AI5127">
        <v>88.750534772762606</v>
      </c>
      <c r="AJ5127">
        <v>112.209462228627</v>
      </c>
      <c r="AK5127">
        <v>54.113461906615001</v>
      </c>
      <c r="AL5127">
        <v>77.874811467293398</v>
      </c>
      <c r="AM5127">
        <v>96.091918298026499</v>
      </c>
      <c r="AN5127">
        <v>1.00000000729913</v>
      </c>
    </row>
    <row r="5128" spans="1:40" x14ac:dyDescent="0.25">
      <c r="A5128" t="str">
        <f>"20190303170640330"</f>
        <v>20190303170640330</v>
      </c>
      <c r="B5128" t="str">
        <f>"1551604000320247"</f>
        <v>1551604000320247</v>
      </c>
      <c r="C5128" t="s">
        <v>40</v>
      </c>
      <c r="D5128">
        <v>5.779318</v>
      </c>
      <c r="E5128">
        <v>0.3894435</v>
      </c>
      <c r="F5128" t="s">
        <v>73</v>
      </c>
      <c r="G5128">
        <v>-270.524</v>
      </c>
      <c r="H5128">
        <v>2.1826819999999998</v>
      </c>
      <c r="I5128">
        <v>-91.564989999999995</v>
      </c>
      <c r="J5128">
        <v>-302.31900000000002</v>
      </c>
      <c r="K5128">
        <v>1.130088</v>
      </c>
      <c r="L5128">
        <v>-47.705260000000003</v>
      </c>
      <c r="M5128">
        <v>0.23910899999999999</v>
      </c>
      <c r="N5128">
        <v>-1.120176E-2</v>
      </c>
      <c r="O5128">
        <v>-0.97092840000000002</v>
      </c>
      <c r="P5128">
        <v>0.33322010000000002</v>
      </c>
      <c r="Q5128">
        <v>0.20124800000000001</v>
      </c>
      <c r="R5128">
        <v>-0.92112110000000003</v>
      </c>
      <c r="S5128">
        <v>1.865723</v>
      </c>
      <c r="T5128">
        <v>6.1603430000000001E-2</v>
      </c>
      <c r="U5128">
        <v>-2.5857540000000001</v>
      </c>
      <c r="V5128">
        <v>-0.1080594</v>
      </c>
      <c r="W5128">
        <v>0.20975840000000001</v>
      </c>
      <c r="X5128">
        <v>0.97176359999999995</v>
      </c>
      <c r="Y5128">
        <v>-0.3739809</v>
      </c>
      <c r="Z5128">
        <v>-3.0006379999999999E-2</v>
      </c>
      <c r="AA5128">
        <v>0.92695090000000002</v>
      </c>
      <c r="AB5128">
        <v>30</v>
      </c>
      <c r="AC5128">
        <v>31.795000000000002</v>
      </c>
      <c r="AD5128">
        <v>1.05259399999999</v>
      </c>
      <c r="AE5128">
        <v>-43.859729999999999</v>
      </c>
      <c r="AF5128">
        <v>-20.376992337787701</v>
      </c>
      <c r="AG5128">
        <v>1.05259399999999</v>
      </c>
      <c r="AH5128">
        <v>50.1713211901981</v>
      </c>
      <c r="AI5128">
        <v>88.886427578811904</v>
      </c>
      <c r="AJ5128">
        <v>112.10444224961</v>
      </c>
      <c r="AK5128">
        <v>54.161713791506997</v>
      </c>
      <c r="AL5128">
        <v>77.891805227092505</v>
      </c>
      <c r="AM5128">
        <v>96.3451810599108</v>
      </c>
      <c r="AN5128">
        <v>0.99999995729193902</v>
      </c>
    </row>
    <row r="5129" spans="1:40" x14ac:dyDescent="0.25">
      <c r="A5129" t="str">
        <f>"20190303170640351"</f>
        <v>20190303170640351</v>
      </c>
      <c r="B5129" t="str">
        <f>"1551604000339767"</f>
        <v>1551604000339767</v>
      </c>
      <c r="C5129" t="s">
        <v>40</v>
      </c>
      <c r="D5129">
        <v>5.7807839999999997</v>
      </c>
      <c r="E5129">
        <v>0.3900208</v>
      </c>
      <c r="F5129" t="s">
        <v>73</v>
      </c>
      <c r="G5129">
        <v>-269.63369999999998</v>
      </c>
      <c r="H5129">
        <v>2.1421640000000002</v>
      </c>
      <c r="I5129">
        <v>-91.564989999999995</v>
      </c>
      <c r="J5129">
        <v>-302.24209999999999</v>
      </c>
      <c r="K5129">
        <v>1.130252</v>
      </c>
      <c r="L5129">
        <v>-47.972320000000003</v>
      </c>
      <c r="M5129">
        <v>0.24987380000000001</v>
      </c>
      <c r="N5129">
        <v>-1.1238939999999999E-2</v>
      </c>
      <c r="O5129">
        <v>-0.96821330000000005</v>
      </c>
      <c r="P5129">
        <v>0.3480258</v>
      </c>
      <c r="Q5129">
        <v>0.2014774</v>
      </c>
      <c r="R5129">
        <v>-0.91557909999999998</v>
      </c>
      <c r="S5129">
        <v>1.904175</v>
      </c>
      <c r="T5129">
        <v>5.8962229999999997E-2</v>
      </c>
      <c r="U5129">
        <v>-2.5551759999999999</v>
      </c>
      <c r="V5129">
        <v>-0.1130506</v>
      </c>
      <c r="W5129">
        <v>0.20986009999999999</v>
      </c>
      <c r="X5129">
        <v>0.97117370000000003</v>
      </c>
      <c r="Y5129">
        <v>-0.3779708</v>
      </c>
      <c r="Z5129">
        <v>-2.9148489999999999E-2</v>
      </c>
      <c r="AA5129">
        <v>0.92535860000000003</v>
      </c>
      <c r="AB5129">
        <v>30</v>
      </c>
      <c r="AC5129">
        <v>32.608400000000003</v>
      </c>
      <c r="AD5129">
        <v>1.0119119999999899</v>
      </c>
      <c r="AE5129">
        <v>-43.592669999999998</v>
      </c>
      <c r="AF5129">
        <v>-20.673381431186801</v>
      </c>
      <c r="AG5129">
        <v>1.0119119999999899</v>
      </c>
      <c r="AH5129">
        <v>50.340769338413601</v>
      </c>
      <c r="AI5129">
        <v>88.934745271835098</v>
      </c>
      <c r="AJ5129">
        <v>112.32642451432901</v>
      </c>
      <c r="AK5129">
        <v>54.429823840229702</v>
      </c>
      <c r="AL5129">
        <v>77.885846463939899</v>
      </c>
      <c r="AM5129">
        <v>96.639699038083293</v>
      </c>
      <c r="AN5129">
        <v>1.00000002765202</v>
      </c>
    </row>
    <row r="5130" spans="1:40" x14ac:dyDescent="0.25">
      <c r="A5130" t="str">
        <f>"20190303170640372"</f>
        <v>20190303170640372</v>
      </c>
      <c r="B5130" t="str">
        <f>"1551604000360262"</f>
        <v>1551604000360262</v>
      </c>
      <c r="C5130" t="s">
        <v>40</v>
      </c>
      <c r="D5130">
        <v>5.7685149999999998</v>
      </c>
      <c r="E5130">
        <v>0.39813209999999999</v>
      </c>
      <c r="F5130" t="s">
        <v>73</v>
      </c>
      <c r="G5130">
        <v>-268.74329999999998</v>
      </c>
      <c r="H5130">
        <v>2.1422889999999999</v>
      </c>
      <c r="I5130">
        <v>-91.564989999999995</v>
      </c>
      <c r="J5130">
        <v>-302.16289999999998</v>
      </c>
      <c r="K5130">
        <v>1.1304050000000001</v>
      </c>
      <c r="L5130">
        <v>-48.236020000000003</v>
      </c>
      <c r="M5130">
        <v>0.26067210000000002</v>
      </c>
      <c r="N5130">
        <v>-1.127483E-2</v>
      </c>
      <c r="O5130">
        <v>-0.96536169999999999</v>
      </c>
      <c r="P5130">
        <v>0.3617184</v>
      </c>
      <c r="Q5130">
        <v>0.20173569999999999</v>
      </c>
      <c r="R5130">
        <v>-0.91019930000000004</v>
      </c>
      <c r="S5130">
        <v>1.9410400000000001</v>
      </c>
      <c r="T5130">
        <v>5.864167E-2</v>
      </c>
      <c r="U5130">
        <v>-2.525909</v>
      </c>
      <c r="V5130">
        <v>-0.1168811</v>
      </c>
      <c r="W5130">
        <v>0.2100148</v>
      </c>
      <c r="X5130">
        <v>0.97068670000000001</v>
      </c>
      <c r="Y5130">
        <v>-0.38129740000000001</v>
      </c>
      <c r="Z5130">
        <v>-2.9019590000000001E-2</v>
      </c>
      <c r="AA5130">
        <v>0.92399690000000001</v>
      </c>
      <c r="AB5130">
        <v>30</v>
      </c>
      <c r="AC5130">
        <v>33.419600000000003</v>
      </c>
      <c r="AD5130">
        <v>1.011884</v>
      </c>
      <c r="AE5130">
        <v>-43.328969999999998</v>
      </c>
      <c r="AF5130">
        <v>-20.961510270702501</v>
      </c>
      <c r="AG5130">
        <v>1.011884</v>
      </c>
      <c r="AH5130">
        <v>50.5256135445292</v>
      </c>
      <c r="AI5130">
        <v>88.940241553466706</v>
      </c>
      <c r="AJ5130">
        <v>112.53204627323299</v>
      </c>
      <c r="AK5130">
        <v>54.710569784177302</v>
      </c>
      <c r="AL5130">
        <v>77.876780912048801</v>
      </c>
      <c r="AM5130">
        <v>96.865971654186694</v>
      </c>
      <c r="AN5130">
        <v>1.00000003865656</v>
      </c>
    </row>
    <row r="5131" spans="1:40" x14ac:dyDescent="0.25">
      <c r="A5131" t="str">
        <f>"20190303170640390"</f>
        <v>20190303170640390</v>
      </c>
      <c r="B5131" t="str">
        <f>"1551604000379781"</f>
        <v>1551604000379781</v>
      </c>
      <c r="C5131" t="s">
        <v>40</v>
      </c>
      <c r="D5131">
        <v>5.7802150000000001</v>
      </c>
      <c r="E5131">
        <v>0.39998030000000001</v>
      </c>
      <c r="F5131" t="s">
        <v>73</v>
      </c>
      <c r="G5131">
        <v>-269.17110000000002</v>
      </c>
      <c r="H5131">
        <v>1.8401730000000001</v>
      </c>
      <c r="I5131">
        <v>-91.564989999999995</v>
      </c>
      <c r="J5131">
        <v>-302.08859999999999</v>
      </c>
      <c r="K5131">
        <v>1.130536</v>
      </c>
      <c r="L5131">
        <v>-48.474179999999997</v>
      </c>
      <c r="M5131">
        <v>0.27057300000000001</v>
      </c>
      <c r="N5131">
        <v>-1.13083E-2</v>
      </c>
      <c r="O5131">
        <v>-0.96263319999999997</v>
      </c>
      <c r="P5131">
        <v>0.37416339999999998</v>
      </c>
      <c r="Q5131">
        <v>0.20211090000000001</v>
      </c>
      <c r="R5131">
        <v>-0.90507079999999995</v>
      </c>
      <c r="S5131">
        <v>1.921295</v>
      </c>
      <c r="T5131">
        <v>4.1334509999999998E-2</v>
      </c>
      <c r="U5131">
        <v>-2.523285</v>
      </c>
      <c r="V5131">
        <v>-0.1203332</v>
      </c>
      <c r="W5131">
        <v>0.21029600000000001</v>
      </c>
      <c r="X5131">
        <v>0.97020390000000001</v>
      </c>
      <c r="Y5131">
        <v>-0.36774630000000003</v>
      </c>
      <c r="Z5131">
        <v>-2.351953E-2</v>
      </c>
      <c r="AA5131">
        <v>0.92962869999999997</v>
      </c>
      <c r="AB5131">
        <v>30</v>
      </c>
      <c r="AC5131">
        <v>32.917499999999897</v>
      </c>
      <c r="AD5131">
        <v>0.70963699999999996</v>
      </c>
      <c r="AE5131">
        <v>-43.090809999999998</v>
      </c>
      <c r="AF5131">
        <v>-20.026116515051601</v>
      </c>
      <c r="AG5131">
        <v>0.70963699999999996</v>
      </c>
      <c r="AH5131">
        <v>50.381816753354798</v>
      </c>
      <c r="AI5131">
        <v>89.250094138577197</v>
      </c>
      <c r="AJ5131">
        <v>111.677176967655</v>
      </c>
      <c r="AK5131">
        <v>54.2206269487436</v>
      </c>
      <c r="AL5131">
        <v>77.860301421180296</v>
      </c>
      <c r="AM5131">
        <v>97.070218760243094</v>
      </c>
      <c r="AN5131">
        <v>1.0000000471067201</v>
      </c>
    </row>
    <row r="5132" spans="1:40" x14ac:dyDescent="0.25">
      <c r="A5132" t="str">
        <f>"20190303170640410"</f>
        <v>20190303170640410</v>
      </c>
      <c r="B5132" t="str">
        <f>"1551604000400279"</f>
        <v>1551604000400279</v>
      </c>
      <c r="C5132" t="s">
        <v>40</v>
      </c>
      <c r="D5132">
        <v>5.7858879999999999</v>
      </c>
      <c r="E5132">
        <v>0.40106710000000001</v>
      </c>
      <c r="F5132" t="s">
        <v>73</v>
      </c>
      <c r="G5132">
        <v>-268.64089999999999</v>
      </c>
      <c r="H5132">
        <v>1.722923</v>
      </c>
      <c r="I5132">
        <v>-91.564989999999995</v>
      </c>
      <c r="J5132">
        <v>-302.01029999999997</v>
      </c>
      <c r="K5132">
        <v>1.1306700000000001</v>
      </c>
      <c r="L5132">
        <v>-48.715519999999998</v>
      </c>
      <c r="M5132">
        <v>0.28074769999999999</v>
      </c>
      <c r="N5132">
        <v>-1.134372E-2</v>
      </c>
      <c r="O5132">
        <v>-0.95971470000000003</v>
      </c>
      <c r="P5132">
        <v>0.38755000000000001</v>
      </c>
      <c r="Q5132">
        <v>0.2016154</v>
      </c>
      <c r="R5132">
        <v>-0.89953150000000004</v>
      </c>
      <c r="S5132">
        <v>1.9433290000000001</v>
      </c>
      <c r="T5132">
        <v>3.4418820000000003E-2</v>
      </c>
      <c r="U5132">
        <v>-2.5036010000000002</v>
      </c>
      <c r="V5132">
        <v>-0.124498</v>
      </c>
      <c r="W5132">
        <v>0.20968800000000001</v>
      </c>
      <c r="X5132">
        <v>0.9698099</v>
      </c>
      <c r="Y5132">
        <v>-0.3665696</v>
      </c>
      <c r="Z5132">
        <v>-2.1282860000000001E-2</v>
      </c>
      <c r="AA5132">
        <v>0.93014719999999995</v>
      </c>
      <c r="AB5132">
        <v>30</v>
      </c>
      <c r="AC5132">
        <v>33.369399999999899</v>
      </c>
      <c r="AD5132">
        <v>0.59225299999999903</v>
      </c>
      <c r="AE5132">
        <v>-42.849469999999997</v>
      </c>
      <c r="AF5132">
        <v>-19.994119926737898</v>
      </c>
      <c r="AG5132">
        <v>0.59225299999999903</v>
      </c>
      <c r="AH5132">
        <v>50.488886914666097</v>
      </c>
      <c r="AI5132">
        <v>89.375139301118693</v>
      </c>
      <c r="AJ5132">
        <v>111.60407653582899</v>
      </c>
      <c r="AK5132">
        <v>54.306935994794699</v>
      </c>
      <c r="AL5132">
        <v>77.895931436125906</v>
      </c>
      <c r="AM5132">
        <v>97.3152566494214</v>
      </c>
      <c r="AN5132">
        <v>1.000000025743</v>
      </c>
    </row>
    <row r="5133" spans="1:40" x14ac:dyDescent="0.25">
      <c r="A5133" t="str">
        <f>"20190303170640435"</f>
        <v>20190303170640435</v>
      </c>
      <c r="B5133" t="str">
        <f>"1551604000430534"</f>
        <v>1551604000430534</v>
      </c>
      <c r="C5133" t="s">
        <v>40</v>
      </c>
      <c r="D5133">
        <v>5.5392530000000004</v>
      </c>
      <c r="E5133">
        <v>0.36722480000000002</v>
      </c>
      <c r="F5133" t="s">
        <v>73</v>
      </c>
      <c r="G5133">
        <v>-274.8399</v>
      </c>
      <c r="H5133">
        <v>1.499752</v>
      </c>
      <c r="I5133">
        <v>-82.872439999999997</v>
      </c>
      <c r="J5133">
        <v>-301.90649999999999</v>
      </c>
      <c r="K5133">
        <v>1.1308510000000001</v>
      </c>
      <c r="L5133">
        <v>-49.022190000000002</v>
      </c>
      <c r="M5133">
        <v>0.2938829</v>
      </c>
      <c r="N5133">
        <v>-1.138984E-2</v>
      </c>
      <c r="O5133">
        <v>-0.95577369999999995</v>
      </c>
      <c r="P5133">
        <v>0.4044392</v>
      </c>
      <c r="Q5133">
        <v>0.2013286</v>
      </c>
      <c r="R5133">
        <v>-0.89212990000000003</v>
      </c>
      <c r="S5133">
        <v>1.972229</v>
      </c>
      <c r="T5133">
        <v>2.679169E-2</v>
      </c>
      <c r="U5133">
        <v>-2.4793699999999999</v>
      </c>
      <c r="V5133">
        <v>-0.1295606</v>
      </c>
      <c r="W5133">
        <v>0.2092609</v>
      </c>
      <c r="X5133">
        <v>0.96923879999999996</v>
      </c>
      <c r="Y5133">
        <v>-0.3649019</v>
      </c>
      <c r="Z5133">
        <v>-1.8805800000000001E-2</v>
      </c>
      <c r="AA5133">
        <v>0.93085600000000002</v>
      </c>
      <c r="AB5133">
        <v>30</v>
      </c>
      <c r="AC5133">
        <v>27.066599999999902</v>
      </c>
      <c r="AD5133">
        <v>0.36890099999999898</v>
      </c>
      <c r="AE5133">
        <v>-33.850250000000003</v>
      </c>
      <c r="AF5133">
        <v>-15.9214121534279</v>
      </c>
      <c r="AG5133">
        <v>0.36890099999999898</v>
      </c>
      <c r="AH5133">
        <v>40.3072791111275</v>
      </c>
      <c r="AI5133">
        <v>89.512297766770999</v>
      </c>
      <c r="AJ5133">
        <v>111.55406529912</v>
      </c>
      <c r="AK5133">
        <v>43.339407036200399</v>
      </c>
      <c r="AL5133">
        <v>77.920956915754402</v>
      </c>
      <c r="AM5133">
        <v>97.6137374396653</v>
      </c>
      <c r="AN5133">
        <v>0.99999996238330402</v>
      </c>
    </row>
    <row r="5134" spans="1:40" x14ac:dyDescent="0.25">
      <c r="A5134" t="str">
        <f>"20190303170640458"</f>
        <v>20190303170640458</v>
      </c>
      <c r="B5134" t="str">
        <f>"1551604000450054"</f>
        <v>1551604000450054</v>
      </c>
      <c r="C5134" t="s">
        <v>40</v>
      </c>
      <c r="D5134">
        <v>5.7058280000000003</v>
      </c>
      <c r="E5134">
        <v>0.35984860000000002</v>
      </c>
      <c r="F5134" t="s">
        <v>73</v>
      </c>
      <c r="G5134">
        <v>-261.12169999999998</v>
      </c>
      <c r="H5134">
        <v>3.6074980000000001</v>
      </c>
      <c r="I5134">
        <v>-90.976820000000004</v>
      </c>
      <c r="J5134">
        <v>-301.79750000000001</v>
      </c>
      <c r="K5134">
        <v>1.1310309999999999</v>
      </c>
      <c r="L5134">
        <v>-49.330199999999998</v>
      </c>
      <c r="M5134">
        <v>0.30728309999999998</v>
      </c>
      <c r="N5134">
        <v>-1.143571E-2</v>
      </c>
      <c r="O5134">
        <v>-0.95154950000000005</v>
      </c>
      <c r="P5134">
        <v>0.42060629999999999</v>
      </c>
      <c r="Q5134">
        <v>0.2016704</v>
      </c>
      <c r="R5134">
        <v>-0.88454500000000003</v>
      </c>
      <c r="S5134">
        <v>2.24823</v>
      </c>
      <c r="T5134">
        <v>0.136523799999999</v>
      </c>
      <c r="U5134">
        <v>-2.3127140000000002</v>
      </c>
      <c r="V5134">
        <v>-0.13371340000000001</v>
      </c>
      <c r="W5134">
        <v>0.20948140000000001</v>
      </c>
      <c r="X5134">
        <v>0.96862700000000002</v>
      </c>
      <c r="Y5134">
        <v>-0.44200420000000001</v>
      </c>
      <c r="Z5134">
        <v>-5.3327439999999997E-2</v>
      </c>
      <c r="AA5134">
        <v>0.89542649999999901</v>
      </c>
      <c r="AB5134">
        <v>30</v>
      </c>
      <c r="AC5134">
        <v>40.675800000000002</v>
      </c>
      <c r="AD5134">
        <v>2.476467</v>
      </c>
      <c r="AE5134">
        <v>-41.646619999999899</v>
      </c>
      <c r="AF5134">
        <v>-25.862624471369401</v>
      </c>
      <c r="AG5134">
        <v>2.476467</v>
      </c>
      <c r="AH5134">
        <v>52.037042154583702</v>
      </c>
      <c r="AI5134">
        <v>87.559693655843105</v>
      </c>
      <c r="AJ5134">
        <v>116.427565773609</v>
      </c>
      <c r="AK5134">
        <v>58.162376065177099</v>
      </c>
      <c r="AL5134">
        <v>77.908037272004805</v>
      </c>
      <c r="AM5134">
        <v>97.859679580495694</v>
      </c>
      <c r="AN5134">
        <v>0.99999999770726</v>
      </c>
    </row>
    <row r="5135" spans="1:40" x14ac:dyDescent="0.25">
      <c r="A5135" t="str">
        <f>"20190303170640479"</f>
        <v>20190303170640479</v>
      </c>
      <c r="B5135" t="str">
        <f>"1551604000470550"</f>
        <v>1551604000470550</v>
      </c>
      <c r="C5135" t="s">
        <v>40</v>
      </c>
      <c r="D5135">
        <v>5.7148479999999999</v>
      </c>
      <c r="E5135">
        <v>0.35787329999999901</v>
      </c>
      <c r="F5135" t="s">
        <v>73</v>
      </c>
      <c r="G5135">
        <v>-258.32420000000002</v>
      </c>
      <c r="H5135">
        <v>3.9766330000000001</v>
      </c>
      <c r="I5135">
        <v>-90.976820000000004</v>
      </c>
      <c r="J5135">
        <v>-301.69979999999998</v>
      </c>
      <c r="K5135">
        <v>1.1311800000000001</v>
      </c>
      <c r="L5135">
        <v>-49.5946</v>
      </c>
      <c r="M5135">
        <v>0.3189534</v>
      </c>
      <c r="N5135">
        <v>-1.147449E-2</v>
      </c>
      <c r="O5135">
        <v>-0.94770100000000002</v>
      </c>
      <c r="P5135">
        <v>0.43554110000000001</v>
      </c>
      <c r="Q5135">
        <v>0.2017622</v>
      </c>
      <c r="R5135">
        <v>-0.87726630000000005</v>
      </c>
      <c r="S5135">
        <v>2.341583</v>
      </c>
      <c r="T5135">
        <v>0.1532722</v>
      </c>
      <c r="U5135">
        <v>-2.2431950000000001</v>
      </c>
      <c r="V5135">
        <v>-0.1383259</v>
      </c>
      <c r="W5135">
        <v>0.20943899999999999</v>
      </c>
      <c r="X5135">
        <v>0.96798830000000002</v>
      </c>
      <c r="Y5135">
        <v>-0.46253620000000001</v>
      </c>
      <c r="Z5135">
        <v>-5.8410160000000003E-2</v>
      </c>
      <c r="AA5135">
        <v>0.88467430000000002</v>
      </c>
      <c r="AB5135">
        <v>30</v>
      </c>
      <c r="AC5135">
        <v>43.375599999999899</v>
      </c>
      <c r="AD5135">
        <v>2.845453</v>
      </c>
      <c r="AE5135">
        <v>-41.382219999999897</v>
      </c>
      <c r="AF5135">
        <v>-27.847199782807401</v>
      </c>
      <c r="AG5135">
        <v>2.845453</v>
      </c>
      <c r="AH5135">
        <v>52.936996738431702</v>
      </c>
      <c r="AI5135">
        <v>87.276425806128898</v>
      </c>
      <c r="AJ5135">
        <v>117.746353510905</v>
      </c>
      <c r="AK5135">
        <v>59.882290889740702</v>
      </c>
      <c r="AL5135">
        <v>77.910522356378607</v>
      </c>
      <c r="AM5135">
        <v>98.132530336649396</v>
      </c>
      <c r="AN5135">
        <v>1.0000000491343399</v>
      </c>
    </row>
    <row r="5136" spans="1:40" x14ac:dyDescent="0.25">
      <c r="A5136" t="str">
        <f>"20190303170640498"</f>
        <v>20190303170640498</v>
      </c>
      <c r="B5136" t="str">
        <f>"1551604000490070"</f>
        <v>1551604000490070</v>
      </c>
      <c r="C5136" t="s">
        <v>40</v>
      </c>
      <c r="D5136">
        <v>5.5999559999999997</v>
      </c>
      <c r="E5136">
        <v>0.3559949</v>
      </c>
      <c r="F5136" t="s">
        <v>73</v>
      </c>
      <c r="G5136">
        <v>-255.95869999999999</v>
      </c>
      <c r="H5136">
        <v>4.1211529999999996</v>
      </c>
      <c r="I5136">
        <v>-91.564989999999995</v>
      </c>
      <c r="J5136">
        <v>-301.60390000000001</v>
      </c>
      <c r="K5136">
        <v>1.131302</v>
      </c>
      <c r="L5136">
        <v>-49.844360000000002</v>
      </c>
      <c r="M5136">
        <v>0.33011449999999998</v>
      </c>
      <c r="N5136">
        <v>-1.1510599999999999E-2</v>
      </c>
      <c r="O5136">
        <v>-0.94387069999999995</v>
      </c>
      <c r="P5136">
        <v>0.45106869999999999</v>
      </c>
      <c r="Q5136">
        <v>0.2006838</v>
      </c>
      <c r="R5136">
        <v>-0.86963380000000001</v>
      </c>
      <c r="S5136">
        <v>2.3929749999999999</v>
      </c>
      <c r="T5136">
        <v>0.15642310000000001</v>
      </c>
      <c r="U5136">
        <v>-2.1957089999999999</v>
      </c>
      <c r="V5136">
        <v>-0.14408370000000001</v>
      </c>
      <c r="W5136">
        <v>0.20819670000000001</v>
      </c>
      <c r="X5136">
        <v>0.96741619999999995</v>
      </c>
      <c r="Y5136">
        <v>-0.47104609999999902</v>
      </c>
      <c r="Z5136">
        <v>-5.9292869999999998E-2</v>
      </c>
      <c r="AA5136">
        <v>0.88011360000000005</v>
      </c>
      <c r="AB5136">
        <v>30</v>
      </c>
      <c r="AC5136">
        <v>45.645200000000003</v>
      </c>
      <c r="AD5136">
        <v>2.9898509999999998</v>
      </c>
      <c r="AE5136">
        <v>-41.72063</v>
      </c>
      <c r="AF5136">
        <v>-29.244163069018001</v>
      </c>
      <c r="AG5136">
        <v>2.9898509999999998</v>
      </c>
      <c r="AH5136">
        <v>54.323643592069303</v>
      </c>
      <c r="AI5136">
        <v>87.225516098923194</v>
      </c>
      <c r="AJ5136">
        <v>118.29500772113801</v>
      </c>
      <c r="AK5136">
        <v>61.7674553120629</v>
      </c>
      <c r="AL5136">
        <v>77.983305344721003</v>
      </c>
      <c r="AM5136">
        <v>98.471169904864496</v>
      </c>
      <c r="AN5136">
        <v>1.0000000412595</v>
      </c>
    </row>
    <row r="5137" spans="1:40" x14ac:dyDescent="0.25">
      <c r="A5137" t="str">
        <f>"20190303170640521"</f>
        <v>20190303170640521</v>
      </c>
      <c r="B5137" t="str">
        <f>"1551604000510566"</f>
        <v>1551604000510566</v>
      </c>
      <c r="C5137" t="s">
        <v>40</v>
      </c>
      <c r="D5137">
        <v>5.6414169999999997</v>
      </c>
      <c r="E5137">
        <v>0.35486499999999999</v>
      </c>
      <c r="F5137" t="s">
        <v>73</v>
      </c>
      <c r="G5137">
        <v>-254.10210000000001</v>
      </c>
      <c r="H5137">
        <v>4.1725079999999997</v>
      </c>
      <c r="I5137">
        <v>-91.564989999999995</v>
      </c>
      <c r="J5137">
        <v>-301.4941</v>
      </c>
      <c r="K5137">
        <v>1.1314249999999999</v>
      </c>
      <c r="L5137">
        <v>-50.120150000000002</v>
      </c>
      <c r="M5137">
        <v>0.34257159999999998</v>
      </c>
      <c r="N5137">
        <v>-1.15493E-2</v>
      </c>
      <c r="O5137">
        <v>-0.9394209</v>
      </c>
      <c r="P5137">
        <v>0.46620420000000001</v>
      </c>
      <c r="Q5137">
        <v>0.20058129999999999</v>
      </c>
      <c r="R5137">
        <v>-0.86163869999999898</v>
      </c>
      <c r="S5137">
        <v>2.4435730000000002</v>
      </c>
      <c r="T5137">
        <v>0.15644539999999901</v>
      </c>
      <c r="U5137">
        <v>-2.1461790000000001</v>
      </c>
      <c r="V5137">
        <v>-0.14827009999999999</v>
      </c>
      <c r="W5137">
        <v>0.20796729999999999</v>
      </c>
      <c r="X5137">
        <v>0.96683280000000005</v>
      </c>
      <c r="Y5137">
        <v>-0.4785065</v>
      </c>
      <c r="Z5137">
        <v>-5.9169619999999999E-2</v>
      </c>
      <c r="AA5137">
        <v>0.87608809999999904</v>
      </c>
      <c r="AB5137">
        <v>30</v>
      </c>
      <c r="AC5137">
        <v>47.392000000000003</v>
      </c>
      <c r="AD5137">
        <v>3.041083</v>
      </c>
      <c r="AE5137">
        <v>-41.444839999999999</v>
      </c>
      <c r="AF5137">
        <v>-30.254636765032998</v>
      </c>
      <c r="AG5137">
        <v>3.041083</v>
      </c>
      <c r="AH5137">
        <v>55.044541445694698</v>
      </c>
      <c r="AI5137">
        <v>87.228116741918797</v>
      </c>
      <c r="AJ5137">
        <v>118.794919297072</v>
      </c>
      <c r="AK5137">
        <v>62.884757887454498</v>
      </c>
      <c r="AL5137">
        <v>77.996743136987206</v>
      </c>
      <c r="AM5137">
        <v>98.718754152089005</v>
      </c>
      <c r="AN5137">
        <v>1.00000004178956</v>
      </c>
    </row>
    <row r="5138" spans="1:40" x14ac:dyDescent="0.25">
      <c r="A5138" t="str">
        <f>"20190303170640544"</f>
        <v>20190303170640544</v>
      </c>
      <c r="B5138" t="str">
        <f>"1551604000539846"</f>
        <v>1551604000539846</v>
      </c>
      <c r="C5138" t="s">
        <v>40</v>
      </c>
      <c r="D5138">
        <v>5.6166729999999996</v>
      </c>
      <c r="E5138">
        <v>0.35473179999999999</v>
      </c>
      <c r="F5138" t="s">
        <v>73</v>
      </c>
      <c r="G5138">
        <v>-252.36869999999999</v>
      </c>
      <c r="H5138">
        <v>4.2626089999999897</v>
      </c>
      <c r="I5138">
        <v>-91.564989999999995</v>
      </c>
      <c r="J5138">
        <v>-301.3766</v>
      </c>
      <c r="K5138">
        <v>1.1315500000000001</v>
      </c>
      <c r="L5138">
        <v>-50.403530000000003</v>
      </c>
      <c r="M5138">
        <v>0.35550490000000001</v>
      </c>
      <c r="N5138">
        <v>-1.158706E-2</v>
      </c>
      <c r="O5138">
        <v>-0.93460270000000001</v>
      </c>
      <c r="P5138">
        <v>0.480628</v>
      </c>
      <c r="Q5138">
        <v>0.20093349999999999</v>
      </c>
      <c r="R5138">
        <v>-0.85359379999999996</v>
      </c>
      <c r="S5138">
        <v>2.4877319999999998</v>
      </c>
      <c r="T5138">
        <v>0.15856519999999999</v>
      </c>
      <c r="U5138">
        <v>-2.0987849999999999</v>
      </c>
      <c r="V5138">
        <v>-0.15129629999999999</v>
      </c>
      <c r="W5138">
        <v>0.20822470000000001</v>
      </c>
      <c r="X5138">
        <v>0.96630839999999996</v>
      </c>
      <c r="Y5138">
        <v>-0.48378939999999998</v>
      </c>
      <c r="Z5138">
        <v>-5.9704409999999999E-2</v>
      </c>
      <c r="AA5138">
        <v>0.87314559999999997</v>
      </c>
      <c r="AB5138">
        <v>30</v>
      </c>
      <c r="AC5138">
        <v>49.007899999999999</v>
      </c>
      <c r="AD5138">
        <v>3.131059</v>
      </c>
      <c r="AE5138">
        <v>-41.161459999999998</v>
      </c>
      <c r="AF5138">
        <v>-31.0974752359196</v>
      </c>
      <c r="AG5138">
        <v>3.131059</v>
      </c>
      <c r="AH5138">
        <v>55.762444284692101</v>
      </c>
      <c r="AI5138">
        <v>87.192484185297801</v>
      </c>
      <c r="AJ5138">
        <v>119.147436229893</v>
      </c>
      <c r="AK5138">
        <v>63.924226151855002</v>
      </c>
      <c r="AL5138">
        <v>77.981664734368493</v>
      </c>
      <c r="AM5138">
        <v>98.8986366369097</v>
      </c>
      <c r="AN5138">
        <v>1.00000000999717</v>
      </c>
    </row>
    <row r="5139" spans="1:40" x14ac:dyDescent="0.25">
      <c r="A5139" t="str">
        <f>"20190303170640567"</f>
        <v>20190303170640567</v>
      </c>
      <c r="B5139" t="str">
        <f>"1551604000560342"</f>
        <v>1551604000560342</v>
      </c>
      <c r="C5139" t="s">
        <v>40</v>
      </c>
      <c r="D5139">
        <v>5.8276539999999999</v>
      </c>
      <c r="E5139">
        <v>0.35573379999999999</v>
      </c>
      <c r="F5139" t="s">
        <v>73</v>
      </c>
      <c r="G5139">
        <v>-250.84809999999999</v>
      </c>
      <c r="H5139">
        <v>4.3650989999999998</v>
      </c>
      <c r="I5139">
        <v>-91.564989999999995</v>
      </c>
      <c r="J5139">
        <v>-301.25729999999999</v>
      </c>
      <c r="K5139">
        <v>1.1316580000000001</v>
      </c>
      <c r="L5139">
        <v>-50.679780000000001</v>
      </c>
      <c r="M5139">
        <v>0.36822640000000001</v>
      </c>
      <c r="N5139">
        <v>-1.1620719999999999E-2</v>
      </c>
      <c r="O5139">
        <v>-0.92966340000000003</v>
      </c>
      <c r="P5139">
        <v>0.49510150000000003</v>
      </c>
      <c r="Q5139">
        <v>0.2015257</v>
      </c>
      <c r="R5139">
        <v>-0.84514</v>
      </c>
      <c r="S5139">
        <v>2.5234679999999998</v>
      </c>
      <c r="T5139">
        <v>0.16148879999999999</v>
      </c>
      <c r="U5139">
        <v>-2.0556640000000002</v>
      </c>
      <c r="V5139">
        <v>-0.15470329999999999</v>
      </c>
      <c r="W5139">
        <v>0.2087125</v>
      </c>
      <c r="X5139">
        <v>0.96566350000000001</v>
      </c>
      <c r="Y5139">
        <v>-0.4868345</v>
      </c>
      <c r="Z5139">
        <v>-6.0500440000000003E-2</v>
      </c>
      <c r="AA5139">
        <v>0.87139650000000002</v>
      </c>
      <c r="AB5139">
        <v>31</v>
      </c>
      <c r="AC5139">
        <v>50.409199999999998</v>
      </c>
      <c r="AD5139">
        <v>3.233441</v>
      </c>
      <c r="AE5139">
        <v>-40.885210000000001</v>
      </c>
      <c r="AF5139">
        <v>-31.731973234358801</v>
      </c>
      <c r="AG5139">
        <v>3.233441</v>
      </c>
      <c r="AH5139">
        <v>56.435246267135703</v>
      </c>
      <c r="AI5139">
        <v>87.140936748289704</v>
      </c>
      <c r="AJ5139">
        <v>119.347840157728</v>
      </c>
      <c r="AK5139">
        <v>64.8252287869376</v>
      </c>
      <c r="AL5139">
        <v>77.953087958132699</v>
      </c>
      <c r="AM5139">
        <v>99.101681511928106</v>
      </c>
      <c r="AN5139">
        <v>1.0000000069596899</v>
      </c>
    </row>
    <row r="5140" spans="1:40" x14ac:dyDescent="0.25">
      <c r="A5140" t="str">
        <f>"20190303170640588"</f>
        <v>20190303170640588</v>
      </c>
      <c r="B5140" t="str">
        <f>"1551604000579862"</f>
        <v>1551604000579862</v>
      </c>
      <c r="C5140" t="s">
        <v>40</v>
      </c>
      <c r="D5140">
        <v>5.6482640000000002</v>
      </c>
      <c r="E5140">
        <v>0.35619970000000001</v>
      </c>
      <c r="F5140" t="s">
        <v>73</v>
      </c>
      <c r="G5140">
        <v>-249.5266</v>
      </c>
      <c r="H5140">
        <v>4.3553730000000002</v>
      </c>
      <c r="I5140">
        <v>-91.564989999999995</v>
      </c>
      <c r="J5140">
        <v>-301.13760000000002</v>
      </c>
      <c r="K5140">
        <v>1.1317429999999999</v>
      </c>
      <c r="L5140">
        <v>-50.947240000000001</v>
      </c>
      <c r="M5140">
        <v>0.38061499999999998</v>
      </c>
      <c r="N5140">
        <v>-1.1649690000000001E-2</v>
      </c>
      <c r="O5140">
        <v>-0.92466029999999999</v>
      </c>
      <c r="P5140">
        <v>0.51107899999999995</v>
      </c>
      <c r="Q5140">
        <v>0.20045170000000001</v>
      </c>
      <c r="R5140">
        <v>-0.83583349999999901</v>
      </c>
      <c r="S5140">
        <v>2.5518489999999998</v>
      </c>
      <c r="T5140">
        <v>0.15902469999999999</v>
      </c>
      <c r="U5140">
        <v>-2.0168460000000001</v>
      </c>
      <c r="V5140">
        <v>-0.16008749999999999</v>
      </c>
      <c r="W5140">
        <v>0.20748130000000001</v>
      </c>
      <c r="X5140">
        <v>0.96505110000000005</v>
      </c>
      <c r="Y5140">
        <v>-0.4880755</v>
      </c>
      <c r="Z5140">
        <v>-5.961263E-2</v>
      </c>
      <c r="AA5140">
        <v>0.87076319999999996</v>
      </c>
      <c r="AB5140">
        <v>31</v>
      </c>
      <c r="AC5140">
        <v>51.610999999999997</v>
      </c>
      <c r="AD5140">
        <v>3.22363</v>
      </c>
      <c r="AE5140">
        <v>-40.617750000000001</v>
      </c>
      <c r="AF5140">
        <v>-32.1875605574239</v>
      </c>
      <c r="AG5140">
        <v>3.22363</v>
      </c>
      <c r="AH5140">
        <v>57.067934654905002</v>
      </c>
      <c r="AI5140">
        <v>87.183251859968493</v>
      </c>
      <c r="AJ5140">
        <v>119.423946901912</v>
      </c>
      <c r="AK5140">
        <v>65.598628116685802</v>
      </c>
      <c r="AL5140">
        <v>78.025210057105497</v>
      </c>
      <c r="AM5140">
        <v>99.418740829501203</v>
      </c>
      <c r="AN5140">
        <v>1.00000006155857</v>
      </c>
    </row>
    <row r="5141" spans="1:40" x14ac:dyDescent="0.25">
      <c r="A5141" t="str">
        <f>"20190303170640611"</f>
        <v>20190303170640611</v>
      </c>
      <c r="B5141" t="str">
        <f>"1551604000600358"</f>
        <v>1551604000600358</v>
      </c>
      <c r="C5141" t="s">
        <v>40</v>
      </c>
      <c r="D5141">
        <v>5.5651999999999999</v>
      </c>
      <c r="E5141">
        <v>0.3571377</v>
      </c>
      <c r="F5141" t="s">
        <v>73</v>
      </c>
      <c r="G5141">
        <v>-247.85480000000001</v>
      </c>
      <c r="H5141">
        <v>4.2650129999999997</v>
      </c>
      <c r="I5141">
        <v>-91.564989999999995</v>
      </c>
      <c r="J5141">
        <v>-301.01209999999998</v>
      </c>
      <c r="K5141">
        <v>1.1318189999999999</v>
      </c>
      <c r="L5141">
        <v>-51.217649999999999</v>
      </c>
      <c r="M5141">
        <v>0.39319860000000001</v>
      </c>
      <c r="N5141">
        <v>-1.1675690000000001E-2</v>
      </c>
      <c r="O5141">
        <v>-0.91937970000000002</v>
      </c>
      <c r="P5141">
        <v>0.52762140000000002</v>
      </c>
      <c r="Q5141">
        <v>0.19980519999999999</v>
      </c>
      <c r="R5141">
        <v>-0.82564789999999999</v>
      </c>
      <c r="S5141">
        <v>2.5861510000000001</v>
      </c>
      <c r="T5141">
        <v>0.152078399999999</v>
      </c>
      <c r="U5141">
        <v>-1.971436</v>
      </c>
      <c r="V5141">
        <v>-0.16610349999999999</v>
      </c>
      <c r="W5141">
        <v>0.20665929999999999</v>
      </c>
      <c r="X5141">
        <v>0.96421029999999996</v>
      </c>
      <c r="Y5141">
        <v>-0.49151020000000001</v>
      </c>
      <c r="Z5141">
        <v>-5.7301940000000003E-2</v>
      </c>
      <c r="AA5141">
        <v>0.8689846</v>
      </c>
      <c r="AB5141">
        <v>31</v>
      </c>
      <c r="AC5141">
        <v>53.1572999999999</v>
      </c>
      <c r="AD5141">
        <v>3.133194</v>
      </c>
      <c r="AE5141">
        <v>-40.347340000000003</v>
      </c>
      <c r="AF5141">
        <v>-32.936865407405598</v>
      </c>
      <c r="AG5141">
        <v>3.133194</v>
      </c>
      <c r="AH5141">
        <v>57.872274907489597</v>
      </c>
      <c r="AI5141">
        <v>87.306046800165404</v>
      </c>
      <c r="AJ5141">
        <v>119.64551578608</v>
      </c>
      <c r="AK5141">
        <v>66.662239764916706</v>
      </c>
      <c r="AL5141">
        <v>78.073349482691995</v>
      </c>
      <c r="AM5141">
        <v>99.774347746611198</v>
      </c>
      <c r="AN5141">
        <v>0.99999997080741398</v>
      </c>
    </row>
    <row r="5142" spans="1:40" x14ac:dyDescent="0.25">
      <c r="A5142" t="str">
        <f>"20190303170640634"</f>
        <v>20190303170640634</v>
      </c>
      <c r="B5142" t="str">
        <f>"1551604000619878"</f>
        <v>1551604000619878</v>
      </c>
      <c r="C5142" t="s">
        <v>40</v>
      </c>
      <c r="D5142">
        <v>5.5859990000000002</v>
      </c>
      <c r="E5142">
        <v>0.35777720000000002</v>
      </c>
      <c r="F5142" t="s">
        <v>73</v>
      </c>
      <c r="G5142">
        <v>-246.16030000000001</v>
      </c>
      <c r="H5142">
        <v>4.1084160000000001</v>
      </c>
      <c r="I5142">
        <v>-91.564989999999995</v>
      </c>
      <c r="J5142">
        <v>-300.8775</v>
      </c>
      <c r="K5142">
        <v>1.131869</v>
      </c>
      <c r="L5142">
        <v>-51.497500000000002</v>
      </c>
      <c r="M5142">
        <v>0.40626259999999997</v>
      </c>
      <c r="N5142">
        <v>-1.169973E-2</v>
      </c>
      <c r="O5142">
        <v>-0.91368139999999998</v>
      </c>
      <c r="P5142">
        <v>0.54191480000000003</v>
      </c>
      <c r="Q5142">
        <v>0.2005313</v>
      </c>
      <c r="R5142">
        <v>-0.81615909999999903</v>
      </c>
      <c r="S5142">
        <v>2.6182859999999999</v>
      </c>
      <c r="T5142">
        <v>0.14208509999999999</v>
      </c>
      <c r="U5142">
        <v>-1.925934</v>
      </c>
      <c r="V5142">
        <v>-0.16927719999999999</v>
      </c>
      <c r="W5142">
        <v>0.2072891</v>
      </c>
      <c r="X5142">
        <v>0.96352300000000002</v>
      </c>
      <c r="Y5142">
        <v>-0.49413289999999999</v>
      </c>
      <c r="Z5142">
        <v>-5.402506E-2</v>
      </c>
      <c r="AA5142">
        <v>0.86770609999999904</v>
      </c>
      <c r="AB5142">
        <v>31</v>
      </c>
      <c r="AC5142">
        <v>54.717199999999899</v>
      </c>
      <c r="AD5142">
        <v>2.9765470000000001</v>
      </c>
      <c r="AE5142">
        <v>-40.067489999999999</v>
      </c>
      <c r="AF5142">
        <v>-33.653647596601502</v>
      </c>
      <c r="AG5142">
        <v>2.9765470000000001</v>
      </c>
      <c r="AH5142">
        <v>58.729372032299104</v>
      </c>
      <c r="AI5142">
        <v>87.482079516539699</v>
      </c>
      <c r="AJ5142">
        <v>119.81397015607099</v>
      </c>
      <c r="AK5142">
        <v>67.7537229081004</v>
      </c>
      <c r="AL5142">
        <v>78.036466977484295</v>
      </c>
      <c r="AM5142">
        <v>99.964360611688804</v>
      </c>
      <c r="AN5142">
        <v>1.0000000564738201</v>
      </c>
    </row>
    <row r="5143" spans="1:40" x14ac:dyDescent="0.25">
      <c r="A5143" t="str">
        <f>"20190303170640656"</f>
        <v>20190303170640656</v>
      </c>
      <c r="B5143" t="str">
        <f>"1551604000650134"</f>
        <v>1551604000650134</v>
      </c>
      <c r="C5143" t="s">
        <v>40</v>
      </c>
      <c r="D5143">
        <v>5.5579070000000002</v>
      </c>
      <c r="E5143">
        <v>0.35917450000000001</v>
      </c>
      <c r="F5143" t="s">
        <v>73</v>
      </c>
      <c r="G5143">
        <v>-244.60300000000001</v>
      </c>
      <c r="H5143">
        <v>4.148415</v>
      </c>
      <c r="I5143">
        <v>-91.564989999999995</v>
      </c>
      <c r="J5143">
        <v>-300.74110000000002</v>
      </c>
      <c r="K5143">
        <v>1.131918</v>
      </c>
      <c r="L5143">
        <v>-51.771120000000003</v>
      </c>
      <c r="M5143">
        <v>0.4190662</v>
      </c>
      <c r="N5143">
        <v>-1.1720919999999999E-2</v>
      </c>
      <c r="O5143">
        <v>-0.90788009999999997</v>
      </c>
      <c r="P5143">
        <v>0.55482259999999906</v>
      </c>
      <c r="Q5143">
        <v>0.2021946</v>
      </c>
      <c r="R5143">
        <v>-0.80702499999999999</v>
      </c>
      <c r="S5143">
        <v>2.6460270000000001</v>
      </c>
      <c r="T5143">
        <v>0.14183860000000001</v>
      </c>
      <c r="U5143">
        <v>-1.883972</v>
      </c>
      <c r="V5143">
        <v>-0.17130209999999901</v>
      </c>
      <c r="W5143">
        <v>0.20888880000000001</v>
      </c>
      <c r="X5143">
        <v>0.96281930000000004</v>
      </c>
      <c r="Y5143">
        <v>-0.49534630000000002</v>
      </c>
      <c r="Z5143">
        <v>-5.3791350000000002E-2</v>
      </c>
      <c r="AA5143">
        <v>0.86702860000000004</v>
      </c>
      <c r="AB5143">
        <v>31</v>
      </c>
      <c r="AC5143">
        <v>56.138100000000001</v>
      </c>
      <c r="AD5143">
        <v>3.0164970000000002</v>
      </c>
      <c r="AE5143">
        <v>-39.793869999999998</v>
      </c>
      <c r="AF5143">
        <v>-34.226977792282703</v>
      </c>
      <c r="AG5143">
        <v>3.0164970000000002</v>
      </c>
      <c r="AH5143">
        <v>59.543313375356298</v>
      </c>
      <c r="AI5143">
        <v>87.485112708718304</v>
      </c>
      <c r="AJ5143">
        <v>119.89136059808401</v>
      </c>
      <c r="AK5143">
        <v>68.745846642981405</v>
      </c>
      <c r="AL5143">
        <v>77.942758620992606</v>
      </c>
      <c r="AM5143">
        <v>100.088340565942</v>
      </c>
      <c r="AN5143">
        <v>0.999999972341169</v>
      </c>
    </row>
    <row r="5144" spans="1:40" x14ac:dyDescent="0.25">
      <c r="A5144" t="str">
        <f>"20190303170640680"</f>
        <v>20190303170640680</v>
      </c>
      <c r="B5144" t="str">
        <f>"1551604000669654"</f>
        <v>1551604000669654</v>
      </c>
      <c r="C5144" t="s">
        <v>40</v>
      </c>
      <c r="D5144">
        <v>5.6233700000000004</v>
      </c>
      <c r="E5144">
        <v>0.36049059999999999</v>
      </c>
      <c r="F5144" t="s">
        <v>73</v>
      </c>
      <c r="G5144">
        <v>-244.15209999999999</v>
      </c>
      <c r="H5144">
        <v>4.2059610000000003</v>
      </c>
      <c r="I5144">
        <v>-90.976820000000004</v>
      </c>
      <c r="J5144">
        <v>-300.5917</v>
      </c>
      <c r="K5144">
        <v>1.1319709999999901</v>
      </c>
      <c r="L5144">
        <v>-52.06082</v>
      </c>
      <c r="M5144">
        <v>0.4326391</v>
      </c>
      <c r="N5144">
        <v>-1.174117E-2</v>
      </c>
      <c r="O5144">
        <v>-0.90149089999999998</v>
      </c>
      <c r="P5144">
        <v>0.56918199999999997</v>
      </c>
      <c r="Q5144">
        <v>0.20260990000000001</v>
      </c>
      <c r="R5144">
        <v>-0.79685719999999904</v>
      </c>
      <c r="S5144">
        <v>2.6668400000000001</v>
      </c>
      <c r="T5144">
        <v>0.14486940000000001</v>
      </c>
      <c r="U5144">
        <v>-1.847626</v>
      </c>
      <c r="V5144">
        <v>-0.174183</v>
      </c>
      <c r="W5144">
        <v>0.20921799999999999</v>
      </c>
      <c r="X5144">
        <v>0.96223080000000005</v>
      </c>
      <c r="Y5144">
        <v>-0.49341950000000001</v>
      </c>
      <c r="Z5144">
        <v>-5.4551330000000002E-2</v>
      </c>
      <c r="AA5144">
        <v>0.86807919999999905</v>
      </c>
      <c r="AB5144">
        <v>31</v>
      </c>
      <c r="AC5144">
        <v>56.439599999999999</v>
      </c>
      <c r="AD5144">
        <v>3.0739899999999998</v>
      </c>
      <c r="AE5144">
        <v>-38.915999999999897</v>
      </c>
      <c r="AF5144">
        <v>-33.977231042855898</v>
      </c>
      <c r="AG5144">
        <v>3.0739899999999998</v>
      </c>
      <c r="AH5144">
        <v>59.385093157431797</v>
      </c>
      <c r="AI5144">
        <v>87.4274616300915</v>
      </c>
      <c r="AJ5144">
        <v>119.776068040976</v>
      </c>
      <c r="AK5144">
        <v>68.487158892573106</v>
      </c>
      <c r="AL5144">
        <v>77.923471015615405</v>
      </c>
      <c r="AM5144">
        <v>100.260570127272</v>
      </c>
      <c r="AN5144">
        <v>1.0000000007408101</v>
      </c>
    </row>
    <row r="5145" spans="1:40" x14ac:dyDescent="0.25">
      <c r="A5145" t="str">
        <f>"20190303170640700"</f>
        <v>20190303170640700</v>
      </c>
      <c r="B5145" t="str">
        <f>"1551604000690150"</f>
        <v>1551604000690150</v>
      </c>
      <c r="C5145" t="s">
        <v>40</v>
      </c>
      <c r="D5145">
        <v>5.6030430000000004</v>
      </c>
      <c r="E5145">
        <v>0.361012</v>
      </c>
      <c r="F5145" t="s">
        <v>73</v>
      </c>
      <c r="G5145">
        <v>-242.6481</v>
      </c>
      <c r="H5145">
        <v>4.1363770000000004</v>
      </c>
      <c r="I5145">
        <v>-90.976830000000007</v>
      </c>
      <c r="J5145">
        <v>-300.46409999999997</v>
      </c>
      <c r="K5145">
        <v>1.1320049999999999</v>
      </c>
      <c r="L5145">
        <v>-52.299709999999997</v>
      </c>
      <c r="M5145">
        <v>0.44384800000000002</v>
      </c>
      <c r="N5145">
        <v>-1.1756300000000001E-2</v>
      </c>
      <c r="O5145">
        <v>-0.89602490000000001</v>
      </c>
      <c r="P5145">
        <v>0.58246309999999901</v>
      </c>
      <c r="Q5145">
        <v>0.20159289999999999</v>
      </c>
      <c r="R5145">
        <v>-0.78746249999999995</v>
      </c>
      <c r="S5145">
        <v>2.690887</v>
      </c>
      <c r="T5145">
        <v>0.1395247</v>
      </c>
      <c r="U5145">
        <v>-1.8072509999999999</v>
      </c>
      <c r="V5145">
        <v>-0.17819949999999901</v>
      </c>
      <c r="W5145">
        <v>0.2080844</v>
      </c>
      <c r="X5145">
        <v>0.96174099999999996</v>
      </c>
      <c r="Y5145">
        <v>-0.49521340000000003</v>
      </c>
      <c r="Z5145">
        <v>-5.2742219999999999E-2</v>
      </c>
      <c r="AA5145">
        <v>0.86716899999999997</v>
      </c>
      <c r="AB5145">
        <v>31</v>
      </c>
      <c r="AC5145">
        <v>57.815999999999903</v>
      </c>
      <c r="AD5145">
        <v>3.004372</v>
      </c>
      <c r="AE5145">
        <v>-38.677120000000002</v>
      </c>
      <c r="AF5145">
        <v>-34.575709522449202</v>
      </c>
      <c r="AG5145">
        <v>3.004372</v>
      </c>
      <c r="AH5145">
        <v>60.209033087811697</v>
      </c>
      <c r="AI5145">
        <v>87.522266365087603</v>
      </c>
      <c r="AJ5145">
        <v>119.867077991522</v>
      </c>
      <c r="AK5145">
        <v>69.495565365456002</v>
      </c>
      <c r="AL5145">
        <v>77.989882807201198</v>
      </c>
      <c r="AM5145">
        <v>100.497197416178</v>
      </c>
      <c r="AN5145">
        <v>0.99999996520230405</v>
      </c>
    </row>
    <row r="5146" spans="1:40" x14ac:dyDescent="0.25">
      <c r="A5146" t="str">
        <f>"20190303170640723"</f>
        <v>20190303170640723</v>
      </c>
      <c r="B5146" t="str">
        <f>"1551604000709670"</f>
        <v>1551604000709670</v>
      </c>
      <c r="C5146" t="s">
        <v>40</v>
      </c>
      <c r="D5146">
        <v>5.6015269999999999</v>
      </c>
      <c r="E5146">
        <v>0.38191310000000001</v>
      </c>
      <c r="F5146" t="s">
        <v>59</v>
      </c>
      <c r="G5146">
        <v>-233.52500000000001</v>
      </c>
      <c r="H5146">
        <v>4.4245619999999999</v>
      </c>
      <c r="I5146">
        <v>-95.808220000000006</v>
      </c>
      <c r="J5146">
        <v>-300.32220000000001</v>
      </c>
      <c r="K5146">
        <v>1.1320319999999999</v>
      </c>
      <c r="L5146">
        <v>-52.557560000000002</v>
      </c>
      <c r="M5146">
        <v>0.45594859999999998</v>
      </c>
      <c r="N5146">
        <v>-1.177137E-2</v>
      </c>
      <c r="O5146">
        <v>-0.88992850000000001</v>
      </c>
      <c r="P5146">
        <v>0.59549529999999995</v>
      </c>
      <c r="Q5146">
        <v>0.20148849999999999</v>
      </c>
      <c r="R5146">
        <v>-0.77768130000000002</v>
      </c>
      <c r="S5146">
        <v>2.716888</v>
      </c>
      <c r="T5146">
        <v>0.1336367</v>
      </c>
      <c r="U5146">
        <v>-1.7659</v>
      </c>
      <c r="V5146">
        <v>-0.18119179999999999</v>
      </c>
      <c r="W5146">
        <v>0.20789079999999999</v>
      </c>
      <c r="X5146">
        <v>0.96122370000000001</v>
      </c>
      <c r="Y5146">
        <v>-0.49660140000000003</v>
      </c>
      <c r="Z5146">
        <v>-5.0714759999999998E-2</v>
      </c>
      <c r="AA5146">
        <v>0.86649580000000004</v>
      </c>
      <c r="AB5146">
        <v>31</v>
      </c>
      <c r="AC5146">
        <v>66.797200000000004</v>
      </c>
      <c r="AD5146">
        <v>3.2925300000000002</v>
      </c>
      <c r="AE5146">
        <v>-43.250660000000003</v>
      </c>
      <c r="AF5146">
        <v>-39.6595039902246</v>
      </c>
      <c r="AG5146">
        <v>3.2925300000000002</v>
      </c>
      <c r="AH5146">
        <v>68.833010270164905</v>
      </c>
      <c r="AI5146">
        <v>87.626661828867199</v>
      </c>
      <c r="AJ5146">
        <v>119.949248536981</v>
      </c>
      <c r="AK5146">
        <v>79.509120944732999</v>
      </c>
      <c r="AL5146">
        <v>78.001224025770696</v>
      </c>
      <c r="AM5146">
        <v>100.675060311864</v>
      </c>
      <c r="AN5146">
        <v>1.0000000272767799</v>
      </c>
    </row>
    <row r="5147" spans="1:40" x14ac:dyDescent="0.25">
      <c r="A5147" t="str">
        <f>"20190303170640745"</f>
        <v>20190303170640745</v>
      </c>
      <c r="B5147" t="str">
        <f>"1551604000739926"</f>
        <v>1551604000739926</v>
      </c>
      <c r="C5147" t="s">
        <v>40</v>
      </c>
      <c r="D5147">
        <v>5.6389680000000002</v>
      </c>
      <c r="E5147">
        <v>0.38357010000000002</v>
      </c>
      <c r="F5147" t="s">
        <v>73</v>
      </c>
      <c r="G5147">
        <v>-244.4803</v>
      </c>
      <c r="H5147">
        <v>2.5450979999999999</v>
      </c>
      <c r="I5147">
        <v>-91.535740000000004</v>
      </c>
      <c r="J5147">
        <v>-300.16969999999998</v>
      </c>
      <c r="K5147">
        <v>1.132055</v>
      </c>
      <c r="L5147">
        <v>-52.825319999999998</v>
      </c>
      <c r="M5147">
        <v>0.4685279</v>
      </c>
      <c r="N5147">
        <v>-1.1785550000000001E-2</v>
      </c>
      <c r="O5147">
        <v>-0.88337009999999905</v>
      </c>
      <c r="P5147">
        <v>0.60759960000000002</v>
      </c>
      <c r="Q5147">
        <v>0.2018471</v>
      </c>
      <c r="R5147">
        <v>-0.76816709999999999</v>
      </c>
      <c r="S5147">
        <v>2.623688</v>
      </c>
      <c r="T5147">
        <v>6.6392419999999994E-2</v>
      </c>
      <c r="U5147">
        <v>-1.8313600000000001</v>
      </c>
      <c r="V5147">
        <v>-0.18268019999999999</v>
      </c>
      <c r="W5147">
        <v>0.20820330000000001</v>
      </c>
      <c r="X5147">
        <v>0.96087429999999996</v>
      </c>
      <c r="Y5147">
        <v>-0.45583649999999998</v>
      </c>
      <c r="Z5147">
        <v>-2.9749029999999999E-2</v>
      </c>
      <c r="AA5147">
        <v>0.88956619999999997</v>
      </c>
      <c r="AB5147">
        <v>31</v>
      </c>
      <c r="AC5147">
        <v>55.6893999999999</v>
      </c>
      <c r="AD5147">
        <v>1.4130429999999901</v>
      </c>
      <c r="AE5147">
        <v>-38.710419999999999</v>
      </c>
      <c r="AF5147">
        <v>-31.0461192609182</v>
      </c>
      <c r="AG5147">
        <v>1.4130429999999901</v>
      </c>
      <c r="AH5147">
        <v>60.265691611467702</v>
      </c>
      <c r="AI5147">
        <v>88.805918819179197</v>
      </c>
      <c r="AJ5147">
        <v>117.25544627034201</v>
      </c>
      <c r="AK5147">
        <v>67.807166266490796</v>
      </c>
      <c r="AL5147">
        <v>77.982918765850599</v>
      </c>
      <c r="AM5147">
        <v>100.76453255892601</v>
      </c>
      <c r="AN5147">
        <v>1.0000000450016999</v>
      </c>
    </row>
    <row r="5148" spans="1:40" x14ac:dyDescent="0.25">
      <c r="A5148" t="str">
        <f>"20190303170640767"</f>
        <v>20190303170640767</v>
      </c>
      <c r="B5148" t="str">
        <f>"1551604000760422"</f>
        <v>1551604000760422</v>
      </c>
      <c r="C5148" t="s">
        <v>40</v>
      </c>
      <c r="D5148">
        <v>5.6714789999999997</v>
      </c>
      <c r="E5148">
        <v>0.38525369999999998</v>
      </c>
      <c r="F5148" t="s">
        <v>73</v>
      </c>
      <c r="G5148">
        <v>-244.12790000000001</v>
      </c>
      <c r="H5148">
        <v>2.6426370000000001</v>
      </c>
      <c r="I5148">
        <v>-90.976820000000004</v>
      </c>
      <c r="J5148">
        <v>-300.01609999999999</v>
      </c>
      <c r="K5148">
        <v>1.1320870000000001</v>
      </c>
      <c r="L5148">
        <v>-53.086489999999998</v>
      </c>
      <c r="M5148">
        <v>0.4808018</v>
      </c>
      <c r="N5148">
        <v>-1.179824E-2</v>
      </c>
      <c r="O5148">
        <v>-0.87675009999999998</v>
      </c>
      <c r="P5148">
        <v>0.61907909999999999</v>
      </c>
      <c r="Q5148">
        <v>0.2018529</v>
      </c>
      <c r="R5148">
        <v>-0.75894450000000002</v>
      </c>
      <c r="S5148">
        <v>2.6408689999999999</v>
      </c>
      <c r="T5148">
        <v>7.1184040000000004E-2</v>
      </c>
      <c r="U5148">
        <v>-1.7978209999999999</v>
      </c>
      <c r="V5148">
        <v>-0.18374360000000001</v>
      </c>
      <c r="W5148">
        <v>0.2081771</v>
      </c>
      <c r="X5148">
        <v>0.96067709999999995</v>
      </c>
      <c r="Y5148">
        <v>-0.45378420000000003</v>
      </c>
      <c r="Z5148">
        <v>-3.1083079999999999E-2</v>
      </c>
      <c r="AA5148">
        <v>0.89056930000000001</v>
      </c>
      <c r="AB5148">
        <v>31</v>
      </c>
      <c r="AC5148">
        <v>55.888199999999898</v>
      </c>
      <c r="AD5148">
        <v>1.5105499999999901</v>
      </c>
      <c r="AE5148">
        <v>-37.890329999999899</v>
      </c>
      <c r="AF5148">
        <v>-30.768984800916002</v>
      </c>
      <c r="AG5148">
        <v>1.5105499999999901</v>
      </c>
      <c r="AH5148">
        <v>60.065609812031497</v>
      </c>
      <c r="AI5148">
        <v>88.717788312032994</v>
      </c>
      <c r="AJ5148">
        <v>117.124078418035</v>
      </c>
      <c r="AK5148">
        <v>67.504738123132697</v>
      </c>
      <c r="AL5148">
        <v>77.984452422594202</v>
      </c>
      <c r="AM5148">
        <v>100.827887078597</v>
      </c>
      <c r="AN5148">
        <v>0.99999995298488797</v>
      </c>
    </row>
    <row r="5149" spans="1:40" x14ac:dyDescent="0.25">
      <c r="A5149" t="str">
        <f>"20190303170640789"</f>
        <v>20190303170640789</v>
      </c>
      <c r="B5149" t="str">
        <f>"1551604000779942"</f>
        <v>1551604000779942</v>
      </c>
      <c r="C5149" t="s">
        <v>40</v>
      </c>
      <c r="D5149">
        <v>5.6828849999999997</v>
      </c>
      <c r="E5149">
        <v>0.38665670000000002</v>
      </c>
      <c r="F5149" t="s">
        <v>73</v>
      </c>
      <c r="G5149">
        <v>-243.0248</v>
      </c>
      <c r="H5149">
        <v>2.5263770000000001</v>
      </c>
      <c r="I5149">
        <v>-90.976820000000004</v>
      </c>
      <c r="J5149">
        <v>-299.86419999999998</v>
      </c>
      <c r="K5149">
        <v>1.1321019999999999</v>
      </c>
      <c r="L5149">
        <v>-53.336939999999998</v>
      </c>
      <c r="M5149">
        <v>0.4925737</v>
      </c>
      <c r="N5149">
        <v>-1.180936E-2</v>
      </c>
      <c r="O5149">
        <v>-0.87019059999999904</v>
      </c>
      <c r="P5149">
        <v>0.63039049999999996</v>
      </c>
      <c r="Q5149">
        <v>0.20041400000000001</v>
      </c>
      <c r="R5149">
        <v>-0.7499614</v>
      </c>
      <c r="S5149">
        <v>2.6581730000000001</v>
      </c>
      <c r="T5149">
        <v>6.5032839999999995E-2</v>
      </c>
      <c r="U5149">
        <v>-1.7672730000000001</v>
      </c>
      <c r="V5149">
        <v>-0.1849895</v>
      </c>
      <c r="W5149">
        <v>0.20670269999999999</v>
      </c>
      <c r="X5149">
        <v>0.96075639999999995</v>
      </c>
      <c r="Y5149">
        <v>-0.45158930000000003</v>
      </c>
      <c r="Z5149">
        <v>-2.9007370000000001E-2</v>
      </c>
      <c r="AA5149">
        <v>0.8917543</v>
      </c>
      <c r="AB5149">
        <v>31</v>
      </c>
      <c r="AC5149">
        <v>56.839399999999898</v>
      </c>
      <c r="AD5149">
        <v>1.3942749999999999</v>
      </c>
      <c r="AE5149">
        <v>-37.639879999999899</v>
      </c>
      <c r="AF5149">
        <v>-30.909923733496601</v>
      </c>
      <c r="AG5149">
        <v>1.3942749999999999</v>
      </c>
      <c r="AH5149">
        <v>60.730297266974198</v>
      </c>
      <c r="AI5149">
        <v>88.827849347522005</v>
      </c>
      <c r="AJ5149">
        <v>116.974746994695</v>
      </c>
      <c r="AK5149">
        <v>68.158171880716296</v>
      </c>
      <c r="AL5149">
        <v>78.070808211450995</v>
      </c>
      <c r="AM5149">
        <v>100.898676194983</v>
      </c>
      <c r="AN5149">
        <v>0.99999999071924905</v>
      </c>
    </row>
    <row r="5150" spans="1:40" x14ac:dyDescent="0.25">
      <c r="A5150" t="str">
        <f>"20190303170640813"</f>
        <v>20190303170640813</v>
      </c>
      <c r="B5150" t="str">
        <f>"1551604000800439"</f>
        <v>1551604000800439</v>
      </c>
      <c r="C5150" t="s">
        <v>40</v>
      </c>
      <c r="D5150">
        <v>5.6820139999999997</v>
      </c>
      <c r="E5150">
        <v>0.38785609999999998</v>
      </c>
      <c r="F5150" t="s">
        <v>73</v>
      </c>
      <c r="G5150">
        <v>-241.85079999999999</v>
      </c>
      <c r="H5150">
        <v>2.345005</v>
      </c>
      <c r="I5150">
        <v>-90.976820000000004</v>
      </c>
      <c r="J5150">
        <v>-299.69900000000001</v>
      </c>
      <c r="K5150">
        <v>1.132117</v>
      </c>
      <c r="L5150">
        <v>-53.601100000000002</v>
      </c>
      <c r="M5150">
        <v>0.50499139999999998</v>
      </c>
      <c r="N5150">
        <v>-1.182008E-2</v>
      </c>
      <c r="O5150">
        <v>-0.86304369999999997</v>
      </c>
      <c r="P5150">
        <v>0.64254180000000005</v>
      </c>
      <c r="Q5150">
        <v>0.19955210000000001</v>
      </c>
      <c r="R5150">
        <v>-0.73981019999999997</v>
      </c>
      <c r="S5150">
        <v>2.6757810000000002</v>
      </c>
      <c r="T5150">
        <v>5.5943970000000003E-2</v>
      </c>
      <c r="U5150">
        <v>-1.736084</v>
      </c>
      <c r="V5150">
        <v>-0.18677279999999999</v>
      </c>
      <c r="W5150">
        <v>0.20578859999999999</v>
      </c>
      <c r="X5150">
        <v>0.96060760000000001</v>
      </c>
      <c r="Y5150">
        <v>-0.44886150000000002</v>
      </c>
      <c r="Z5150">
        <v>-2.6020129999999999E-2</v>
      </c>
      <c r="AA5150">
        <v>0.89322239999999997</v>
      </c>
      <c r="AB5150">
        <v>31</v>
      </c>
      <c r="AC5150">
        <v>57.848199999999999</v>
      </c>
      <c r="AD5150">
        <v>1.212888</v>
      </c>
      <c r="AE5150">
        <v>-37.375719999999902</v>
      </c>
      <c r="AF5150">
        <v>-31.043641855107499</v>
      </c>
      <c r="AG5150">
        <v>1.212888</v>
      </c>
      <c r="AH5150">
        <v>61.454944168018599</v>
      </c>
      <c r="AI5150">
        <v>88.990770120653096</v>
      </c>
      <c r="AJ5150">
        <v>116.80038311916201</v>
      </c>
      <c r="AK5150">
        <v>68.861374947230203</v>
      </c>
      <c r="AL5150">
        <v>78.124333096025296</v>
      </c>
      <c r="AM5150">
        <v>101.002850542753</v>
      </c>
      <c r="AN5150">
        <v>0.99999999394378003</v>
      </c>
    </row>
    <row r="5151" spans="1:40" x14ac:dyDescent="0.25">
      <c r="A5151" t="str">
        <f>"20190303170640835"</f>
        <v>20190303170640835</v>
      </c>
      <c r="B5151" t="str">
        <f>"1551604000829718"</f>
        <v>1551604000829718</v>
      </c>
      <c r="C5151" t="s">
        <v>40</v>
      </c>
      <c r="D5151">
        <v>5.6926069999999998</v>
      </c>
      <c r="E5151">
        <v>0.39649830000000003</v>
      </c>
      <c r="F5151" t="s">
        <v>59</v>
      </c>
      <c r="G5151">
        <v>-233.52500000000001</v>
      </c>
      <c r="H5151">
        <v>2.3637060000000001</v>
      </c>
      <c r="I5151">
        <v>-95.339560000000006</v>
      </c>
      <c r="J5151">
        <v>-299.53370000000001</v>
      </c>
      <c r="K5151">
        <v>1.1321399999999999</v>
      </c>
      <c r="L5151">
        <v>-53.857239999999997</v>
      </c>
      <c r="M5151">
        <v>0.51703009999999905</v>
      </c>
      <c r="N5151">
        <v>-1.1829259999999999E-2</v>
      </c>
      <c r="O5151">
        <v>-0.85588539999999902</v>
      </c>
      <c r="P5151">
        <v>0.65247149999999998</v>
      </c>
      <c r="Q5151">
        <v>0.20121710000000001</v>
      </c>
      <c r="R5151">
        <v>-0.73061129999999996</v>
      </c>
      <c r="S5151">
        <v>2.6957089999999999</v>
      </c>
      <c r="T5151">
        <v>5.0171019999999997E-2</v>
      </c>
      <c r="U5151">
        <v>-1.7002870000000001</v>
      </c>
      <c r="V5151">
        <v>-0.18657779999999999</v>
      </c>
      <c r="W5151">
        <v>0.20745649999999999</v>
      </c>
      <c r="X5151">
        <v>0.96028670000000005</v>
      </c>
      <c r="Y5151">
        <v>-0.44784380000000001</v>
      </c>
      <c r="Z5151">
        <v>-2.4073850000000001E-2</v>
      </c>
      <c r="AA5151">
        <v>0.89378769999999996</v>
      </c>
      <c r="AB5151">
        <v>31</v>
      </c>
      <c r="AC5151">
        <v>66.008700000000005</v>
      </c>
      <c r="AD5151">
        <v>1.2315659999999999</v>
      </c>
      <c r="AE5151">
        <v>-41.482319999999902</v>
      </c>
      <c r="AF5151">
        <v>-35.041984426594603</v>
      </c>
      <c r="AG5151">
        <v>1.2315659999999999</v>
      </c>
      <c r="AH5151">
        <v>69.620099836469905</v>
      </c>
      <c r="AI5151">
        <v>89.094737244631204</v>
      </c>
      <c r="AJ5151">
        <v>116.717549117603</v>
      </c>
      <c r="AK5151">
        <v>77.951367714788006</v>
      </c>
      <c r="AL5151">
        <v>78.026661977131695</v>
      </c>
      <c r="AM5151">
        <v>100.995226532587</v>
      </c>
      <c r="AN5151">
        <v>1.0000000105209901</v>
      </c>
    </row>
    <row r="5152" spans="1:40" x14ac:dyDescent="0.25">
      <c r="A5152" t="str">
        <f>"20190303170640858"</f>
        <v>20190303170640858</v>
      </c>
      <c r="B5152" t="str">
        <f>"1551604000850214"</f>
        <v>1551604000850214</v>
      </c>
      <c r="C5152" t="s">
        <v>40</v>
      </c>
      <c r="D5152">
        <v>5.6969399999999997</v>
      </c>
      <c r="E5152">
        <v>0.39837070000000002</v>
      </c>
      <c r="F5152" t="s">
        <v>73</v>
      </c>
      <c r="G5152">
        <v>-241.5883</v>
      </c>
      <c r="H5152">
        <v>2.0589080000000002</v>
      </c>
      <c r="I5152">
        <v>-90.976820000000004</v>
      </c>
      <c r="J5152">
        <v>-299.36250000000001</v>
      </c>
      <c r="K5152">
        <v>1.1321570000000001</v>
      </c>
      <c r="L5152">
        <v>-54.114690000000003</v>
      </c>
      <c r="M5152">
        <v>0.52912230000000005</v>
      </c>
      <c r="N5152">
        <v>-1.183704E-2</v>
      </c>
      <c r="O5152">
        <v>-0.84846309999999903</v>
      </c>
      <c r="P5152">
        <v>0.66172469999999906</v>
      </c>
      <c r="Q5152">
        <v>0.20264589999999999</v>
      </c>
      <c r="R5152">
        <v>-0.72184190000000004</v>
      </c>
      <c r="S5152">
        <v>2.669708</v>
      </c>
      <c r="T5152">
        <v>4.2699340000000002E-2</v>
      </c>
      <c r="U5152">
        <v>-1.710205</v>
      </c>
      <c r="V5152">
        <v>-0.18543989999999999</v>
      </c>
      <c r="W5152">
        <v>0.2089182</v>
      </c>
      <c r="X5152">
        <v>0.96019019999999999</v>
      </c>
      <c r="Y5152">
        <v>-0.42883009999999999</v>
      </c>
      <c r="Z5152">
        <v>-2.1663229999999999E-2</v>
      </c>
      <c r="AA5152">
        <v>0.90312539999999997</v>
      </c>
      <c r="AB5152">
        <v>31</v>
      </c>
      <c r="AC5152">
        <v>57.7742</v>
      </c>
      <c r="AD5152">
        <v>0.92675099999999999</v>
      </c>
      <c r="AE5152">
        <v>-36.862129999999901</v>
      </c>
      <c r="AF5152">
        <v>-29.511370813497098</v>
      </c>
      <c r="AG5152">
        <v>0.92675099999999999</v>
      </c>
      <c r="AH5152">
        <v>61.838794803215201</v>
      </c>
      <c r="AI5152">
        <v>89.225104068883894</v>
      </c>
      <c r="AJ5152">
        <v>115.51190876818001</v>
      </c>
      <c r="AK5152">
        <v>68.526027299281594</v>
      </c>
      <c r="AL5152">
        <v>77.941036403558797</v>
      </c>
      <c r="AM5152">
        <v>100.930860650082</v>
      </c>
      <c r="AN5152">
        <v>0.99999999548964502</v>
      </c>
    </row>
    <row r="5153" spans="1:40" x14ac:dyDescent="0.25">
      <c r="A5153" t="str">
        <f>"20190303170640878"</f>
        <v>20190303170640878</v>
      </c>
      <c r="B5153" t="str">
        <f>"1551604000869734"</f>
        <v>1551604000869734</v>
      </c>
      <c r="C5153" t="s">
        <v>40</v>
      </c>
      <c r="D5153">
        <v>5.8805860000000001</v>
      </c>
      <c r="E5153">
        <v>0.39931499999999998</v>
      </c>
      <c r="F5153" t="s">
        <v>59</v>
      </c>
      <c r="G5153">
        <v>-233.52500000000001</v>
      </c>
      <c r="H5153">
        <v>2.1625130000000001</v>
      </c>
      <c r="I5153">
        <v>-95.494</v>
      </c>
      <c r="J5153">
        <v>-299.19959999999998</v>
      </c>
      <c r="K5153">
        <v>1.1321559999999999</v>
      </c>
      <c r="L5153">
        <v>-54.352690000000003</v>
      </c>
      <c r="M5153">
        <v>0.54028710000000002</v>
      </c>
      <c r="N5153">
        <v>-1.184252E-2</v>
      </c>
      <c r="O5153">
        <v>-0.84139759999999997</v>
      </c>
      <c r="P5153">
        <v>0.67144309999999996</v>
      </c>
      <c r="Q5153">
        <v>0.20142579999999999</v>
      </c>
      <c r="R5153">
        <v>-0.71315649999999997</v>
      </c>
      <c r="S5153">
        <v>2.6819760000000001</v>
      </c>
      <c r="T5153">
        <v>4.1972990000000002E-2</v>
      </c>
      <c r="U5153">
        <v>-1.685638</v>
      </c>
      <c r="V5153">
        <v>-0.18554409999999999</v>
      </c>
      <c r="W5153">
        <v>0.20769950000000001</v>
      </c>
      <c r="X5153">
        <v>0.96043440000000002</v>
      </c>
      <c r="Y5153">
        <v>-0.42468020000000001</v>
      </c>
      <c r="Z5153">
        <v>-2.1281370000000001E-2</v>
      </c>
      <c r="AA5153">
        <v>0.90509329999999999</v>
      </c>
      <c r="AB5153">
        <v>31</v>
      </c>
      <c r="AC5153">
        <v>65.674599999999899</v>
      </c>
      <c r="AD5153">
        <v>1.030357</v>
      </c>
      <c r="AE5153">
        <v>-41.141309999999997</v>
      </c>
      <c r="AF5153">
        <v>-33.026804799032298</v>
      </c>
      <c r="AG5153">
        <v>1.030357</v>
      </c>
      <c r="AH5153">
        <v>70.091853522429005</v>
      </c>
      <c r="AI5153">
        <v>89.238135880217399</v>
      </c>
      <c r="AJ5153">
        <v>115.229494669448</v>
      </c>
      <c r="AK5153">
        <v>77.489995489679004</v>
      </c>
      <c r="AL5153">
        <v>78.012428547398301</v>
      </c>
      <c r="AM5153">
        <v>100.934140932028</v>
      </c>
      <c r="AN5153">
        <v>0.99999996602420904</v>
      </c>
    </row>
    <row r="5154" spans="1:40" x14ac:dyDescent="0.25">
      <c r="A5154" t="str">
        <f>"20190303170640900"</f>
        <v>20190303170640900</v>
      </c>
      <c r="B5154" t="str">
        <f>"1551604000890231"</f>
        <v>1551604000890231</v>
      </c>
      <c r="C5154" t="s">
        <v>40</v>
      </c>
      <c r="D5154">
        <v>5.7460649999999998</v>
      </c>
      <c r="E5154">
        <v>0.40033750000000001</v>
      </c>
      <c r="F5154" t="s">
        <v>59</v>
      </c>
      <c r="G5154">
        <v>-233.52500000000001</v>
      </c>
      <c r="H5154">
        <v>1.8643240000000001</v>
      </c>
      <c r="I5154">
        <v>-94.636219999999994</v>
      </c>
      <c r="J5154">
        <v>-299.02550000000002</v>
      </c>
      <c r="K5154">
        <v>1.132145</v>
      </c>
      <c r="L5154">
        <v>-54.599910000000001</v>
      </c>
      <c r="M5154">
        <v>0.55186349999999995</v>
      </c>
      <c r="N5154">
        <v>-1.184648E-2</v>
      </c>
      <c r="O5154">
        <v>-0.83385030000000004</v>
      </c>
      <c r="P5154">
        <v>0.68293300000000001</v>
      </c>
      <c r="Q5154">
        <v>0.1989254</v>
      </c>
      <c r="R5154">
        <v>-0.70287349999999904</v>
      </c>
      <c r="S5154">
        <v>2.699951</v>
      </c>
      <c r="T5154">
        <v>3.0100350000000001E-2</v>
      </c>
      <c r="U5154">
        <v>-1.6560969999999999</v>
      </c>
      <c r="V5154">
        <v>-0.1874062</v>
      </c>
      <c r="W5154">
        <v>0.20515159999999999</v>
      </c>
      <c r="X5154">
        <v>0.96062049999999999</v>
      </c>
      <c r="Y5154">
        <v>-0.42211189999999998</v>
      </c>
      <c r="Z5154">
        <v>-1.751579E-2</v>
      </c>
      <c r="AA5154">
        <v>0.90637449999999997</v>
      </c>
      <c r="AB5154">
        <v>31</v>
      </c>
      <c r="AC5154">
        <v>65.500500000000002</v>
      </c>
      <c r="AD5154">
        <v>0.73217899999999903</v>
      </c>
      <c r="AE5154">
        <v>-40.03631</v>
      </c>
      <c r="AF5154">
        <v>-32.522357582796197</v>
      </c>
      <c r="AG5154">
        <v>0.73217899999999903</v>
      </c>
      <c r="AH5154">
        <v>69.530179418916603</v>
      </c>
      <c r="AI5154">
        <v>89.453500400416601</v>
      </c>
      <c r="AJ5154">
        <v>115.067583034484</v>
      </c>
      <c r="AK5154">
        <v>76.763830537942994</v>
      </c>
      <c r="AL5154">
        <v>78.161626336761699</v>
      </c>
      <c r="AM5154">
        <v>101.03910462741101</v>
      </c>
      <c r="AN5154">
        <v>1.00000000390062</v>
      </c>
    </row>
    <row r="5155" spans="1:40" x14ac:dyDescent="0.25">
      <c r="A5155" t="str">
        <f>"20190303170640924"</f>
        <v>20190303170640924</v>
      </c>
      <c r="B5155" t="str">
        <f>"1551604000909750"</f>
        <v>1551604000909750</v>
      </c>
      <c r="C5155" t="s">
        <v>40</v>
      </c>
      <c r="D5155">
        <v>5.8218829999999997</v>
      </c>
      <c r="E5155">
        <v>0.40079720000000002</v>
      </c>
      <c r="F5155" t="s">
        <v>59</v>
      </c>
      <c r="G5155">
        <v>-233.52500000000001</v>
      </c>
      <c r="H5155">
        <v>1.4190780000000001</v>
      </c>
      <c r="I5155">
        <v>-93.637360000000001</v>
      </c>
      <c r="J5155">
        <v>-298.84469999999999</v>
      </c>
      <c r="K5155">
        <v>1.132131</v>
      </c>
      <c r="L5155">
        <v>-54.849209999999999</v>
      </c>
      <c r="M5155">
        <v>0.56351189999999995</v>
      </c>
      <c r="N5155">
        <v>-1.1848549999999999E-2</v>
      </c>
      <c r="O5155">
        <v>-0.82602310000000001</v>
      </c>
      <c r="P5155">
        <v>0.69351649999999998</v>
      </c>
      <c r="Q5155">
        <v>0.19889419999999999</v>
      </c>
      <c r="R5155">
        <v>-0.69244229999999996</v>
      </c>
      <c r="S5155">
        <v>2.7205810000000001</v>
      </c>
      <c r="T5155">
        <v>1.191795E-2</v>
      </c>
      <c r="U5155">
        <v>-1.621429</v>
      </c>
      <c r="V5155">
        <v>-0.18848909999999999</v>
      </c>
      <c r="W5155">
        <v>0.20509279999999999</v>
      </c>
      <c r="X5155">
        <v>0.96042110000000003</v>
      </c>
      <c r="Y5155">
        <v>-0.42100539999999997</v>
      </c>
      <c r="Z5155">
        <v>-1.188988E-2</v>
      </c>
      <c r="AA5155">
        <v>0.90698020000000001</v>
      </c>
      <c r="AB5155">
        <v>31</v>
      </c>
      <c r="AC5155">
        <v>65.319699999999898</v>
      </c>
      <c r="AD5155">
        <v>0.28694700000000001</v>
      </c>
      <c r="AE5155">
        <v>-38.788150000000002</v>
      </c>
      <c r="AF5155">
        <v>-32.099788941461902</v>
      </c>
      <c r="AG5155">
        <v>0.28694700000000001</v>
      </c>
      <c r="AH5155">
        <v>68.8521798114528</v>
      </c>
      <c r="AI5155">
        <v>89.783580694423506</v>
      </c>
      <c r="AJ5155">
        <v>114.99555021782299</v>
      </c>
      <c r="AK5155">
        <v>75.967765884326496</v>
      </c>
      <c r="AL5155">
        <v>78.165067795287897</v>
      </c>
      <c r="AM5155">
        <v>101.103559958752</v>
      </c>
      <c r="AN5155">
        <v>0.99999994337792797</v>
      </c>
    </row>
    <row r="5156" spans="1:40" x14ac:dyDescent="0.25">
      <c r="A5156" t="str">
        <f>"20190303170640945"</f>
        <v>20190303170640945</v>
      </c>
      <c r="B5156" t="str">
        <f>"1551604000940132"</f>
        <v>1551604000940132</v>
      </c>
      <c r="C5156" t="s">
        <v>40</v>
      </c>
      <c r="D5156">
        <v>5.5738469999999998</v>
      </c>
      <c r="E5156">
        <v>0.35455120000000001</v>
      </c>
      <c r="F5156" t="s">
        <v>59</v>
      </c>
      <c r="G5156">
        <v>-233.52500000000001</v>
      </c>
      <c r="H5156">
        <v>1.3714740000000001</v>
      </c>
      <c r="I5156">
        <v>-92.556719999999999</v>
      </c>
      <c r="J5156">
        <v>-298.66039999999998</v>
      </c>
      <c r="K5156">
        <v>1.1321209999999999</v>
      </c>
      <c r="L5156">
        <v>-55.095610000000001</v>
      </c>
      <c r="M5156">
        <v>0.57499889999999998</v>
      </c>
      <c r="N5156">
        <v>-1.18491E-2</v>
      </c>
      <c r="O5156">
        <v>-0.81806859999999904</v>
      </c>
      <c r="P5156">
        <v>0.70290330000000001</v>
      </c>
      <c r="Q5156">
        <v>0.199986</v>
      </c>
      <c r="R5156">
        <v>-0.68259289999999995</v>
      </c>
      <c r="S5156">
        <v>2.7423099999999998</v>
      </c>
      <c r="T5156">
        <v>1.004851E-2</v>
      </c>
      <c r="U5156">
        <v>-1.5830690000000001</v>
      </c>
      <c r="V5156">
        <v>-0.18838450000000001</v>
      </c>
      <c r="W5156">
        <v>0.20619219999999999</v>
      </c>
      <c r="X5156">
        <v>0.96020629999999996</v>
      </c>
      <c r="Y5156">
        <v>-0.42096319999999998</v>
      </c>
      <c r="Z5156">
        <v>-1.118853E-2</v>
      </c>
      <c r="AA5156">
        <v>0.9070087</v>
      </c>
      <c r="AB5156">
        <v>31</v>
      </c>
      <c r="AC5156">
        <v>65.135399999999905</v>
      </c>
      <c r="AD5156">
        <v>0.23935300000000001</v>
      </c>
      <c r="AE5156">
        <v>-37.461109999999998</v>
      </c>
      <c r="AF5156">
        <v>-31.7470291861964</v>
      </c>
      <c r="AG5156">
        <v>0.23935300000000001</v>
      </c>
      <c r="AH5156">
        <v>68.102618565438505</v>
      </c>
      <c r="AI5156">
        <v>89.817486188134097</v>
      </c>
      <c r="AJ5156">
        <v>114.993266448513</v>
      </c>
      <c r="AK5156">
        <v>75.1391895582953</v>
      </c>
      <c r="AL5156">
        <v>78.100702287465893</v>
      </c>
      <c r="AM5156">
        <v>101.099972052946</v>
      </c>
      <c r="AN5156">
        <v>1.00000004087038</v>
      </c>
    </row>
    <row r="5157" spans="1:40" x14ac:dyDescent="0.25">
      <c r="A5157" t="str">
        <f>"20190303170640968"</f>
        <v>20190303170640968</v>
      </c>
      <c r="B5157" t="str">
        <f>"1551604000959652"</f>
        <v>1551604000959652</v>
      </c>
      <c r="C5157" t="s">
        <v>40</v>
      </c>
      <c r="D5157">
        <v>5.6474799999999998</v>
      </c>
      <c r="E5157">
        <v>0.34724919999999998</v>
      </c>
      <c r="F5157" t="s">
        <v>59</v>
      </c>
      <c r="G5157">
        <v>-234.75040000000001</v>
      </c>
      <c r="H5157">
        <v>4.4144500000000004</v>
      </c>
      <c r="I5157">
        <v>-82.044179999999997</v>
      </c>
      <c r="J5157">
        <v>-298.47980000000001</v>
      </c>
      <c r="K5157">
        <v>1.1321019999999999</v>
      </c>
      <c r="L5157">
        <v>-55.330570000000002</v>
      </c>
      <c r="M5157">
        <v>0.58591949999999904</v>
      </c>
      <c r="N5157">
        <v>-1.184876E-2</v>
      </c>
      <c r="O5157">
        <v>-0.81028279999999997</v>
      </c>
      <c r="P5157">
        <v>0.71172150000000001</v>
      </c>
      <c r="Q5157">
        <v>0.199852</v>
      </c>
      <c r="R5157">
        <v>-0.67343319999999995</v>
      </c>
      <c r="S5157">
        <v>2.9970089999999998</v>
      </c>
      <c r="T5157">
        <v>0.15392259999999999</v>
      </c>
      <c r="U5157">
        <v>-1.263733</v>
      </c>
      <c r="V5157">
        <v>-0.1879593</v>
      </c>
      <c r="W5157">
        <v>0.2060765</v>
      </c>
      <c r="X5157">
        <v>0.96031440000000001</v>
      </c>
      <c r="Y5157">
        <v>-0.51749709999999904</v>
      </c>
      <c r="Z5157">
        <v>-5.369939E-2</v>
      </c>
      <c r="AA5157">
        <v>0.85399829999999999</v>
      </c>
      <c r="AB5157">
        <v>31</v>
      </c>
      <c r="AC5157">
        <v>63.729399999999998</v>
      </c>
      <c r="AD5157">
        <v>3.2823479999999998</v>
      </c>
      <c r="AE5157">
        <v>-26.713609999999999</v>
      </c>
      <c r="AF5157">
        <v>-35.908314382038398</v>
      </c>
      <c r="AG5157">
        <v>3.2823479999999998</v>
      </c>
      <c r="AH5157">
        <v>58.857212235456899</v>
      </c>
      <c r="AI5157">
        <v>87.274355946155694</v>
      </c>
      <c r="AJ5157">
        <v>121.387032649204</v>
      </c>
      <c r="AK5157">
        <v>69.024287626038003</v>
      </c>
      <c r="AL5157">
        <v>78.107476223308296</v>
      </c>
      <c r="AM5157">
        <v>101.074322678748</v>
      </c>
      <c r="AN5157">
        <v>0.99999998457804995</v>
      </c>
    </row>
    <row r="5158" spans="1:40" x14ac:dyDescent="0.25">
      <c r="A5158" t="str">
        <f>"20190303170640990"</f>
        <v>20190303170640990</v>
      </c>
      <c r="B5158" t="str">
        <f>"1551604000980148"</f>
        <v>1551604000980148</v>
      </c>
      <c r="C5158" t="s">
        <v>40</v>
      </c>
      <c r="D5158">
        <v>5.6185419999999997</v>
      </c>
      <c r="E5158">
        <v>0.34345769999999998</v>
      </c>
      <c r="F5158" t="s">
        <v>59</v>
      </c>
      <c r="G5158">
        <v>-232.22190000000001</v>
      </c>
      <c r="H5158">
        <v>5.0656290000000004</v>
      </c>
      <c r="I5158">
        <v>-80.950310000000002</v>
      </c>
      <c r="J5158">
        <v>-298.29070000000002</v>
      </c>
      <c r="K5158">
        <v>1.1320709999999901</v>
      </c>
      <c r="L5158">
        <v>-55.569760000000002</v>
      </c>
      <c r="M5158">
        <v>0.59700319999999996</v>
      </c>
      <c r="N5158">
        <v>-1.1847720000000001E-2</v>
      </c>
      <c r="O5158">
        <v>-0.80215159999999996</v>
      </c>
      <c r="P5158">
        <v>0.72151949999999998</v>
      </c>
      <c r="Q5158">
        <v>0.1971416</v>
      </c>
      <c r="R5158">
        <v>-0.66373609999999905</v>
      </c>
      <c r="S5158">
        <v>3.0488590000000002</v>
      </c>
      <c r="T5158">
        <v>0.18100179999999999</v>
      </c>
      <c r="U5158">
        <v>-1.1788940000000001</v>
      </c>
      <c r="V5158">
        <v>-0.18827240000000001</v>
      </c>
      <c r="W5158">
        <v>0.20336850000000001</v>
      </c>
      <c r="X5158">
        <v>0.96083019999999997</v>
      </c>
      <c r="Y5158">
        <v>-0.53088639999999998</v>
      </c>
      <c r="Z5158">
        <v>-6.1320630000000001E-2</v>
      </c>
      <c r="AA5158">
        <v>0.84522149999999996</v>
      </c>
      <c r="AB5158">
        <v>31</v>
      </c>
      <c r="AC5158">
        <v>66.068799999999996</v>
      </c>
      <c r="AD5158">
        <v>3.9335580000000001</v>
      </c>
      <c r="AE5158">
        <v>-25.380549999999999</v>
      </c>
      <c r="AF5158">
        <v>-37.731027582123403</v>
      </c>
      <c r="AG5158">
        <v>3.9335580000000001</v>
      </c>
      <c r="AH5158">
        <v>59.622355241165202</v>
      </c>
      <c r="AI5158">
        <v>86.809112092929198</v>
      </c>
      <c r="AJ5158">
        <v>122.327001778341</v>
      </c>
      <c r="AK5158">
        <v>70.667733552492194</v>
      </c>
      <c r="AL5158">
        <v>78.265990265613397</v>
      </c>
      <c r="AM5158">
        <v>101.086505903115</v>
      </c>
      <c r="AN5158">
        <v>0.99999995831302402</v>
      </c>
    </row>
    <row r="5159" spans="1:40" x14ac:dyDescent="0.25">
      <c r="A5159" t="str">
        <f>"20190303170641014"</f>
        <v>20190303170641014</v>
      </c>
      <c r="B5159" t="str">
        <f>"1551604000999669"</f>
        <v>1551604000999669</v>
      </c>
      <c r="C5159" t="s">
        <v>40</v>
      </c>
      <c r="D5159">
        <v>5.6092250000000003</v>
      </c>
      <c r="E5159">
        <v>0.34379409999999999</v>
      </c>
      <c r="F5159" t="s">
        <v>59</v>
      </c>
      <c r="G5159">
        <v>-227.21860000000001</v>
      </c>
      <c r="H5159">
        <v>5.5252610000000004</v>
      </c>
      <c r="I5159">
        <v>-81.224170000000001</v>
      </c>
      <c r="J5159">
        <v>-298.09350000000001</v>
      </c>
      <c r="K5159">
        <v>1.132039</v>
      </c>
      <c r="L5159">
        <v>-55.812469999999998</v>
      </c>
      <c r="M5159">
        <v>0.60820819999999998</v>
      </c>
      <c r="N5159">
        <v>-1.1845090000000001E-2</v>
      </c>
      <c r="O5159">
        <v>-0.79368919999999998</v>
      </c>
      <c r="P5159">
        <v>0.73132619999999904</v>
      </c>
      <c r="Q5159">
        <v>0.1946668</v>
      </c>
      <c r="R5159">
        <v>-0.65365649999999997</v>
      </c>
      <c r="S5159">
        <v>3.0823360000000002</v>
      </c>
      <c r="T5159">
        <v>0.19052910000000001</v>
      </c>
      <c r="U5159">
        <v>-1.1126100000000001</v>
      </c>
      <c r="V5159">
        <v>-0.18856439999999999</v>
      </c>
      <c r="W5159">
        <v>0.2008972</v>
      </c>
      <c r="X5159">
        <v>0.9612927</v>
      </c>
      <c r="Y5159">
        <v>-0.53786849999999997</v>
      </c>
      <c r="Z5159">
        <v>-6.3690250000000004E-2</v>
      </c>
      <c r="AA5159">
        <v>0.84061939999999902</v>
      </c>
      <c r="AB5159">
        <v>31</v>
      </c>
      <c r="AC5159">
        <v>70.874899999999997</v>
      </c>
      <c r="AD5159">
        <v>4.3932219999999997</v>
      </c>
      <c r="AE5159">
        <v>-25.4117</v>
      </c>
      <c r="AF5159">
        <v>-40.661465452126201</v>
      </c>
      <c r="AG5159">
        <v>4.3932219999999997</v>
      </c>
      <c r="AH5159">
        <v>63.065415335446602</v>
      </c>
      <c r="AI5159">
        <v>86.649320365902696</v>
      </c>
      <c r="AJ5159">
        <v>122.811924295666</v>
      </c>
      <c r="AK5159">
        <v>75.165828563836996</v>
      </c>
      <c r="AL5159">
        <v>78.4105695116112</v>
      </c>
      <c r="AM5159">
        <v>101.098064121684</v>
      </c>
      <c r="AN5159">
        <v>0.99999993649424301</v>
      </c>
    </row>
    <row r="5160" spans="1:40" x14ac:dyDescent="0.25">
      <c r="A5160" t="str">
        <f>"20190303170641036"</f>
        <v>20190303170641036</v>
      </c>
      <c r="B5160" t="str">
        <f>"1551604001029924"</f>
        <v>1551604001029924</v>
      </c>
      <c r="C5160" t="s">
        <v>40</v>
      </c>
      <c r="D5160">
        <v>5.6466209999999997</v>
      </c>
      <c r="E5160">
        <v>0.34528409999999998</v>
      </c>
      <c r="F5160" t="s">
        <v>59</v>
      </c>
      <c r="G5160">
        <v>-222.96770000000001</v>
      </c>
      <c r="H5160">
        <v>5.3776440000000001</v>
      </c>
      <c r="I5160">
        <v>-81.816950000000006</v>
      </c>
      <c r="J5160">
        <v>-297.89389999999997</v>
      </c>
      <c r="K5160">
        <v>1.1320059999999901</v>
      </c>
      <c r="L5160">
        <v>-56.051389999999998</v>
      </c>
      <c r="M5160">
        <v>0.61919139999999995</v>
      </c>
      <c r="N5160">
        <v>-1.1841229999999999E-2</v>
      </c>
      <c r="O5160">
        <v>-0.78515080000000004</v>
      </c>
      <c r="P5160">
        <v>0.74012529999999999</v>
      </c>
      <c r="Q5160">
        <v>0.1944207</v>
      </c>
      <c r="R5160">
        <v>-0.64375090000000001</v>
      </c>
      <c r="S5160">
        <v>3.0972900000000001</v>
      </c>
      <c r="T5160">
        <v>0.1750381</v>
      </c>
      <c r="U5160">
        <v>-1.0721130000000001</v>
      </c>
      <c r="V5160">
        <v>-0.18816450000000001</v>
      </c>
      <c r="W5160">
        <v>0.20067019999999999</v>
      </c>
      <c r="X5160">
        <v>0.96141860000000001</v>
      </c>
      <c r="Y5160">
        <v>-0.537552699999999</v>
      </c>
      <c r="Z5160">
        <v>-5.8675480000000002E-2</v>
      </c>
      <c r="AA5160">
        <v>0.841186199999999</v>
      </c>
      <c r="AB5160">
        <v>31</v>
      </c>
      <c r="AC5160">
        <v>74.926199999999895</v>
      </c>
      <c r="AD5160">
        <v>4.2456379999999996</v>
      </c>
      <c r="AE5160">
        <v>-25.765560000000001</v>
      </c>
      <c r="AF5160">
        <v>-42.7547973747036</v>
      </c>
      <c r="AG5160">
        <v>4.2456379999999996</v>
      </c>
      <c r="AH5160">
        <v>66.437418846335703</v>
      </c>
      <c r="AI5160">
        <v>86.923977244600493</v>
      </c>
      <c r="AJ5160">
        <v>122.762694842741</v>
      </c>
      <c r="AK5160">
        <v>79.119711599211797</v>
      </c>
      <c r="AL5160">
        <v>78.423847546411395</v>
      </c>
      <c r="AM5160">
        <v>101.07369582008199</v>
      </c>
      <c r="AN5160">
        <v>1.00000006632712</v>
      </c>
    </row>
    <row r="5161" spans="1:40" x14ac:dyDescent="0.25">
      <c r="A5161" t="str">
        <f>"20190303170641058"</f>
        <v>20190303170641058</v>
      </c>
      <c r="B5161" t="str">
        <f>"1551604001049952"</f>
        <v>1551604001049952</v>
      </c>
      <c r="C5161" t="s">
        <v>40</v>
      </c>
      <c r="D5161">
        <v>5.6786459999999996</v>
      </c>
      <c r="E5161">
        <v>0.34638960000000002</v>
      </c>
      <c r="F5161" t="s">
        <v>59</v>
      </c>
      <c r="G5161">
        <v>-220.96559999999999</v>
      </c>
      <c r="H5161">
        <v>5.1988519999999996</v>
      </c>
      <c r="I5161">
        <v>-81.816890000000001</v>
      </c>
      <c r="J5161">
        <v>-297.69709999999998</v>
      </c>
      <c r="K5161">
        <v>1.1319859999999999</v>
      </c>
      <c r="L5161">
        <v>-56.280669999999901</v>
      </c>
      <c r="M5161">
        <v>0.62969459999999999</v>
      </c>
      <c r="N5161">
        <v>-1.183698E-2</v>
      </c>
      <c r="O5161">
        <v>-0.77675280000000002</v>
      </c>
      <c r="P5161">
        <v>0.74805259999999996</v>
      </c>
      <c r="Q5161">
        <v>0.19519729999999999</v>
      </c>
      <c r="R5161">
        <v>-0.6342835</v>
      </c>
      <c r="S5161">
        <v>3.1055299999999999</v>
      </c>
      <c r="T5161">
        <v>0.1641753</v>
      </c>
      <c r="U5161">
        <v>-1.0401309999999999</v>
      </c>
      <c r="V5161">
        <v>-0.18731719999999999</v>
      </c>
      <c r="W5161">
        <v>0.20147680000000001</v>
      </c>
      <c r="X5161">
        <v>0.96141529999999997</v>
      </c>
      <c r="Y5161">
        <v>-0.53489299999999995</v>
      </c>
      <c r="Z5161">
        <v>-5.5075329999999999E-2</v>
      </c>
      <c r="AA5161">
        <v>0.84312289999999901</v>
      </c>
      <c r="AB5161">
        <v>31</v>
      </c>
      <c r="AC5161">
        <v>76.731499999999897</v>
      </c>
      <c r="AD5161">
        <v>4.0668659999999903</v>
      </c>
      <c r="AE5161">
        <v>-25.53622</v>
      </c>
      <c r="AF5161">
        <v>-43.414633194642299</v>
      </c>
      <c r="AG5161">
        <v>4.0668659999999903</v>
      </c>
      <c r="AH5161">
        <v>67.985568429212407</v>
      </c>
      <c r="AI5161">
        <v>87.113783289638903</v>
      </c>
      <c r="AJ5161">
        <v>122.561732137508</v>
      </c>
      <c r="AK5161">
        <v>80.767612872551993</v>
      </c>
      <c r="AL5161">
        <v>78.376668506871795</v>
      </c>
      <c r="AM5161">
        <v>101.025092618805</v>
      </c>
      <c r="AN5161">
        <v>1.00000000671408</v>
      </c>
    </row>
    <row r="5162" spans="1:40" x14ac:dyDescent="0.25">
      <c r="A5162" t="str">
        <f>"20190303170641080"</f>
        <v>20190303170641080</v>
      </c>
      <c r="B5162" t="str">
        <f>"1551604001070448"</f>
        <v>1551604001070448</v>
      </c>
      <c r="C5162" t="s">
        <v>40</v>
      </c>
      <c r="D5162">
        <v>5.6917299999999997</v>
      </c>
      <c r="E5162">
        <v>0.34763349999999998</v>
      </c>
      <c r="F5162" t="s">
        <v>59</v>
      </c>
      <c r="G5162">
        <v>-218.77330000000001</v>
      </c>
      <c r="H5162">
        <v>5.2505559999999996</v>
      </c>
      <c r="I5162">
        <v>-81.816909999999993</v>
      </c>
      <c r="J5162">
        <v>-297.5027</v>
      </c>
      <c r="K5162">
        <v>1.131977</v>
      </c>
      <c r="L5162">
        <v>-56.501249999999999</v>
      </c>
      <c r="M5162">
        <v>0.63976480000000002</v>
      </c>
      <c r="N5162">
        <v>-1.183268E-2</v>
      </c>
      <c r="O5162">
        <v>-0.76847969999999999</v>
      </c>
      <c r="P5162">
        <v>0.75592369999999898</v>
      </c>
      <c r="Q5162">
        <v>0.19492219999999999</v>
      </c>
      <c r="R5162">
        <v>-0.62496809999999903</v>
      </c>
      <c r="S5162">
        <v>3.1137700000000001</v>
      </c>
      <c r="T5162">
        <v>0.16248940000000001</v>
      </c>
      <c r="U5162">
        <v>-1.007477</v>
      </c>
      <c r="V5162">
        <v>-0.18673149999999999</v>
      </c>
      <c r="W5162">
        <v>0.20122509999999999</v>
      </c>
      <c r="X5162">
        <v>0.96158189999999999</v>
      </c>
      <c r="Y5162">
        <v>-0.53258319999999904</v>
      </c>
      <c r="Z5162">
        <v>-5.418166E-2</v>
      </c>
      <c r="AA5162">
        <v>0.84464159999999899</v>
      </c>
      <c r="AB5162">
        <v>31</v>
      </c>
      <c r="AC5162">
        <v>78.729399999999998</v>
      </c>
      <c r="AD5162">
        <v>4.1185790000000004</v>
      </c>
      <c r="AE5162">
        <v>-25.315659999999902</v>
      </c>
      <c r="AF5162">
        <v>-44.199354269269897</v>
      </c>
      <c r="AG5162">
        <v>4.1185790000000004</v>
      </c>
      <c r="AH5162">
        <v>69.654996655880197</v>
      </c>
      <c r="AI5162">
        <v>87.141865149008794</v>
      </c>
      <c r="AJ5162">
        <v>122.397038134928</v>
      </c>
      <c r="AK5162">
        <v>82.597603899449496</v>
      </c>
      <c r="AL5162">
        <v>78.391390985075304</v>
      </c>
      <c r="AM5162">
        <v>100.98960242519099</v>
      </c>
      <c r="AN5162">
        <v>0.99999997218493397</v>
      </c>
    </row>
    <row r="5163" spans="1:40" x14ac:dyDescent="0.25">
      <c r="A5163" t="str">
        <f>"20190303170641103"</f>
        <v>20190303170641103</v>
      </c>
      <c r="B5163" t="str">
        <f>"1551604001089967"</f>
        <v>1551604001089967</v>
      </c>
      <c r="C5163" t="s">
        <v>40</v>
      </c>
      <c r="D5163">
        <v>5.7478069999999999</v>
      </c>
      <c r="E5163">
        <v>0.34890080000000001</v>
      </c>
      <c r="F5163" t="s">
        <v>59</v>
      </c>
      <c r="G5163">
        <v>-216.62809999999999</v>
      </c>
      <c r="H5163">
        <v>5.1635169999999997</v>
      </c>
      <c r="I5163">
        <v>-81.816879999999998</v>
      </c>
      <c r="J5163">
        <v>-297.2912</v>
      </c>
      <c r="K5163">
        <v>1.131948</v>
      </c>
      <c r="L5163">
        <v>-56.735080000000004</v>
      </c>
      <c r="M5163">
        <v>0.65040209999999998</v>
      </c>
      <c r="N5163">
        <v>-1.1828119999999999E-2</v>
      </c>
      <c r="O5163">
        <v>-0.75949789999999995</v>
      </c>
      <c r="P5163">
        <v>0.76490209999999903</v>
      </c>
      <c r="Q5163">
        <v>0.19408410000000001</v>
      </c>
      <c r="R5163">
        <v>-0.61421199999999998</v>
      </c>
      <c r="S5163">
        <v>3.1208499999999999</v>
      </c>
      <c r="T5163">
        <v>0.15557219999999999</v>
      </c>
      <c r="U5163">
        <v>-0.97689820000000005</v>
      </c>
      <c r="V5163">
        <v>-0.1870743</v>
      </c>
      <c r="W5163">
        <v>0.20038429999999999</v>
      </c>
      <c r="X5163">
        <v>0.96169090000000002</v>
      </c>
      <c r="Y5163">
        <v>-0.52901830000000005</v>
      </c>
      <c r="Z5163">
        <v>-5.1728799999999998E-2</v>
      </c>
      <c r="AA5163">
        <v>0.84703220000000001</v>
      </c>
      <c r="AB5163">
        <v>31</v>
      </c>
      <c r="AC5163">
        <v>80.6631</v>
      </c>
      <c r="AD5163">
        <v>4.0315689999999904</v>
      </c>
      <c r="AE5163">
        <v>-25.081799999999902</v>
      </c>
      <c r="AF5163">
        <v>-44.851185531194098</v>
      </c>
      <c r="AG5163">
        <v>4.0315689999999904</v>
      </c>
      <c r="AH5163">
        <v>71.355498616201402</v>
      </c>
      <c r="AI5163">
        <v>87.261342732466105</v>
      </c>
      <c r="AJ5163">
        <v>122.151810420651</v>
      </c>
      <c r="AK5163">
        <v>84.377067826051402</v>
      </c>
      <c r="AL5163">
        <v>78.440567540342002</v>
      </c>
      <c r="AM5163">
        <v>101.00806721671501</v>
      </c>
      <c r="AN5163">
        <v>1.0000000242748901</v>
      </c>
    </row>
    <row r="5164" spans="1:40" x14ac:dyDescent="0.25">
      <c r="A5164" t="str">
        <f>"20190303170641126"</f>
        <v>20190303170641126</v>
      </c>
      <c r="B5164" t="str">
        <f>"1551604001120223"</f>
        <v>1551604001120223</v>
      </c>
      <c r="C5164" t="s">
        <v>40</v>
      </c>
      <c r="D5164">
        <v>5.751728</v>
      </c>
      <c r="E5164">
        <v>0.34992180000000001</v>
      </c>
      <c r="F5164" t="s">
        <v>48</v>
      </c>
      <c r="G5164">
        <v>-240.07939999999999</v>
      </c>
      <c r="H5164">
        <v>3.7822580000000001</v>
      </c>
      <c r="I5164">
        <v>-73.949529999999996</v>
      </c>
      <c r="J5164">
        <v>-297.07940000000002</v>
      </c>
      <c r="K5164">
        <v>1.131928</v>
      </c>
      <c r="L5164">
        <v>-56.962339999999998</v>
      </c>
      <c r="M5164">
        <v>0.66071499999999905</v>
      </c>
      <c r="N5164">
        <v>-1.182361E-2</v>
      </c>
      <c r="O5164">
        <v>-0.75054359999999998</v>
      </c>
      <c r="P5164">
        <v>0.77303180000000005</v>
      </c>
      <c r="Q5164">
        <v>0.19400200000000001</v>
      </c>
      <c r="R5164">
        <v>-0.60397419999999902</v>
      </c>
      <c r="S5164">
        <v>3.1292420000000001</v>
      </c>
      <c r="T5164">
        <v>0.1449597</v>
      </c>
      <c r="U5164">
        <v>-0.94155880000000003</v>
      </c>
      <c r="V5164">
        <v>-0.18674499999999999</v>
      </c>
      <c r="W5164">
        <v>0.2003161</v>
      </c>
      <c r="X5164">
        <v>0.96176910000000004</v>
      </c>
      <c r="Y5164">
        <v>-0.52701769999999903</v>
      </c>
      <c r="Z5164">
        <v>-4.826076E-2</v>
      </c>
      <c r="AA5164">
        <v>0.84848299999999999</v>
      </c>
      <c r="AB5164">
        <v>31</v>
      </c>
      <c r="AC5164">
        <v>57</v>
      </c>
      <c r="AD5164">
        <v>2.6503299999999999</v>
      </c>
      <c r="AE5164">
        <v>-16.987189999999998</v>
      </c>
      <c r="AF5164">
        <v>-31.496962186174901</v>
      </c>
      <c r="AG5164">
        <v>2.6503299999999999</v>
      </c>
      <c r="AH5164">
        <v>50.314006308652601</v>
      </c>
      <c r="AI5164">
        <v>87.443513285223702</v>
      </c>
      <c r="AJ5164">
        <v>122.046888695242</v>
      </c>
      <c r="AK5164">
        <v>59.418701659438597</v>
      </c>
      <c r="AL5164">
        <v>78.444555910987305</v>
      </c>
      <c r="AM5164">
        <v>100.988290479675</v>
      </c>
      <c r="AN5164">
        <v>1.0000000183295099</v>
      </c>
    </row>
    <row r="5165" spans="1:40" x14ac:dyDescent="0.25">
      <c r="A5165" t="str">
        <f>"20190303170641147"</f>
        <v>20190303170641147</v>
      </c>
      <c r="B5165" t="str">
        <f>"1551604001139743"</f>
        <v>1551604001139743</v>
      </c>
      <c r="C5165" t="s">
        <v>40</v>
      </c>
      <c r="D5165">
        <v>5.5895729999999997</v>
      </c>
      <c r="E5165">
        <v>0.36164750000000001</v>
      </c>
      <c r="F5165" t="s">
        <v>59</v>
      </c>
      <c r="G5165">
        <v>-211.13229999999999</v>
      </c>
      <c r="H5165">
        <v>4.9312769999999997</v>
      </c>
      <c r="I5165">
        <v>-81.816800000000001</v>
      </c>
      <c r="J5165">
        <v>-296.87270000000001</v>
      </c>
      <c r="K5165">
        <v>1.13192</v>
      </c>
      <c r="L5165">
        <v>-57.178559999999997</v>
      </c>
      <c r="M5165">
        <v>0.67049689999999995</v>
      </c>
      <c r="N5165">
        <v>-1.181889E-2</v>
      </c>
      <c r="O5165">
        <v>-0.74181809999999904</v>
      </c>
      <c r="P5165">
        <v>0.78045989999999998</v>
      </c>
      <c r="Q5165">
        <v>0.19499059999999999</v>
      </c>
      <c r="R5165">
        <v>-0.59402100000000002</v>
      </c>
      <c r="S5165">
        <v>3.1372070000000001</v>
      </c>
      <c r="T5165">
        <v>0.13868239999999901</v>
      </c>
      <c r="U5165">
        <v>-0.90722659999999999</v>
      </c>
      <c r="V5165">
        <v>-0.1862935</v>
      </c>
      <c r="W5165">
        <v>0.20132040000000001</v>
      </c>
      <c r="X5165">
        <v>0.96164689999999997</v>
      </c>
      <c r="Y5165">
        <v>-0.52513330000000003</v>
      </c>
      <c r="Z5165">
        <v>-4.6071399999999998E-2</v>
      </c>
      <c r="AA5165">
        <v>0.84977199999999997</v>
      </c>
      <c r="AB5165">
        <v>31</v>
      </c>
      <c r="AC5165">
        <v>85.740399999999994</v>
      </c>
      <c r="AD5165">
        <v>3.7993570000000001</v>
      </c>
      <c r="AE5165">
        <v>-24.63824</v>
      </c>
      <c r="AF5165">
        <v>-47.001956404785801</v>
      </c>
      <c r="AG5165">
        <v>3.7993570000000001</v>
      </c>
      <c r="AH5165">
        <v>75.633876585691695</v>
      </c>
      <c r="AI5165">
        <v>87.556896116176006</v>
      </c>
      <c r="AJ5165">
        <v>121.858493210747</v>
      </c>
      <c r="AK5165">
        <v>89.1296937438387</v>
      </c>
      <c r="AL5165">
        <v>78.385816545494606</v>
      </c>
      <c r="AM5165">
        <v>100.96372734634301</v>
      </c>
      <c r="AN5165">
        <v>0.99999996593900897</v>
      </c>
    </row>
    <row r="5166" spans="1:40" x14ac:dyDescent="0.25">
      <c r="A5166" t="str">
        <f>"20190303170641169"</f>
        <v>20190303170641169</v>
      </c>
      <c r="B5166" t="str">
        <f>"1551604001160239"</f>
        <v>1551604001160239</v>
      </c>
      <c r="C5166" t="s">
        <v>40</v>
      </c>
      <c r="D5166">
        <v>5.6968779999999999</v>
      </c>
      <c r="E5166">
        <v>0.3549776</v>
      </c>
      <c r="F5166" t="s">
        <v>59</v>
      </c>
      <c r="G5166">
        <v>-216.0676</v>
      </c>
      <c r="H5166">
        <v>3.6631179999999999</v>
      </c>
      <c r="I5166">
        <v>-81.816379999999995</v>
      </c>
      <c r="J5166">
        <v>-296.65769999999998</v>
      </c>
      <c r="K5166">
        <v>1.1319060000000001</v>
      </c>
      <c r="L5166">
        <v>-57.397460000000002</v>
      </c>
      <c r="M5166">
        <v>0.68037380000000003</v>
      </c>
      <c r="N5166">
        <v>-1.1814E-2</v>
      </c>
      <c r="O5166">
        <v>-0.73277009999999998</v>
      </c>
      <c r="P5166">
        <v>0.78792259999999903</v>
      </c>
      <c r="Q5166">
        <v>0.19592490000000001</v>
      </c>
      <c r="R5166">
        <v>-0.58377369999999995</v>
      </c>
      <c r="S5166">
        <v>3.1001590000000001</v>
      </c>
      <c r="T5166">
        <v>9.7111699999999995E-2</v>
      </c>
      <c r="U5166">
        <v>-0.94525150000000002</v>
      </c>
      <c r="V5166">
        <v>-0.18582170000000001</v>
      </c>
      <c r="W5166">
        <v>0.2022698</v>
      </c>
      <c r="X5166">
        <v>0.96153900000000003</v>
      </c>
      <c r="Y5166">
        <v>-0.50182640000000001</v>
      </c>
      <c r="Z5166">
        <v>-3.3925280000000002E-2</v>
      </c>
      <c r="AA5166">
        <v>0.86430280000000004</v>
      </c>
      <c r="AB5166">
        <v>31</v>
      </c>
      <c r="AC5166">
        <v>80.590099999999893</v>
      </c>
      <c r="AD5166">
        <v>2.531212</v>
      </c>
      <c r="AE5166">
        <v>-24.41892</v>
      </c>
      <c r="AF5166">
        <v>-42.4046679214756</v>
      </c>
      <c r="AG5166">
        <v>2.531212</v>
      </c>
      <c r="AH5166">
        <v>72.6642641755477</v>
      </c>
      <c r="AI5166">
        <v>88.276714700119896</v>
      </c>
      <c r="AJ5166">
        <v>120.26654359139199</v>
      </c>
      <c r="AK5166">
        <v>84.170411570179198</v>
      </c>
      <c r="AL5166">
        <v>78.330277911953004</v>
      </c>
      <c r="AM5166">
        <v>100.93782905168</v>
      </c>
      <c r="AN5166">
        <v>1.0000000123519599</v>
      </c>
    </row>
    <row r="5167" spans="1:40" x14ac:dyDescent="0.25">
      <c r="A5167" t="str">
        <f>"20190303170641191"</f>
        <v>20190303170641191</v>
      </c>
      <c r="B5167" t="str">
        <f>"1551604001179760"</f>
        <v>1551604001179760</v>
      </c>
      <c r="C5167" t="s">
        <v>40</v>
      </c>
      <c r="D5167">
        <v>5.6378879999999896</v>
      </c>
      <c r="E5167">
        <v>0.3563849</v>
      </c>
      <c r="F5167" t="s">
        <v>59</v>
      </c>
      <c r="G5167">
        <v>-213.73849999999999</v>
      </c>
      <c r="H5167">
        <v>5.6863570000000001</v>
      </c>
      <c r="I5167">
        <v>-80.065609999999893</v>
      </c>
      <c r="J5167">
        <v>-296.44330000000002</v>
      </c>
      <c r="K5167">
        <v>1.1318919999999999</v>
      </c>
      <c r="L5167">
        <v>-57.610320000000002</v>
      </c>
      <c r="M5167">
        <v>0.68995329999999999</v>
      </c>
      <c r="N5167">
        <v>-1.180937E-2</v>
      </c>
      <c r="O5167">
        <v>-0.72375769999999995</v>
      </c>
      <c r="P5167">
        <v>0.79556539999999998</v>
      </c>
      <c r="Q5167">
        <v>0.1955375</v>
      </c>
      <c r="R5167">
        <v>-0.57344659999999903</v>
      </c>
      <c r="S5167">
        <v>3.1306150000000001</v>
      </c>
      <c r="T5167">
        <v>0.1719533</v>
      </c>
      <c r="U5167">
        <v>-0.85583500000000001</v>
      </c>
      <c r="V5167">
        <v>-0.1857665</v>
      </c>
      <c r="W5167">
        <v>0.20188780000000001</v>
      </c>
      <c r="X5167">
        <v>0.96162990000000004</v>
      </c>
      <c r="Y5167">
        <v>-0.51440779999999997</v>
      </c>
      <c r="Z5167">
        <v>-5.4710500000000002E-2</v>
      </c>
      <c r="AA5167">
        <v>0.85579869999999902</v>
      </c>
      <c r="AB5167">
        <v>31</v>
      </c>
      <c r="AC5167">
        <v>82.704800000000006</v>
      </c>
      <c r="AD5167">
        <v>4.5544650000000004</v>
      </c>
      <c r="AE5167">
        <v>-22.455290000000002</v>
      </c>
      <c r="AF5167">
        <v>-44.243263586229702</v>
      </c>
      <c r="AG5167">
        <v>4.5544650000000004</v>
      </c>
      <c r="AH5167">
        <v>73.113243782342906</v>
      </c>
      <c r="AI5167">
        <v>86.949308496835798</v>
      </c>
      <c r="AJ5167">
        <v>121.179531855905</v>
      </c>
      <c r="AK5167">
        <v>85.578945661728795</v>
      </c>
      <c r="AL5167">
        <v>78.352625461192204</v>
      </c>
      <c r="AM5167">
        <v>100.933649496353</v>
      </c>
      <c r="AN5167">
        <v>0.99999997044254896</v>
      </c>
    </row>
    <row r="5168" spans="1:40" x14ac:dyDescent="0.25">
      <c r="A5168" t="str">
        <f>"20190303170641214"</f>
        <v>20190303170641214</v>
      </c>
      <c r="B5168" t="str">
        <f>"1551604001210019"</f>
        <v>1551604001210019</v>
      </c>
      <c r="C5168" t="s">
        <v>40</v>
      </c>
      <c r="D5168">
        <v>5.7144909999999998</v>
      </c>
      <c r="E5168">
        <v>0.35914040000000003</v>
      </c>
      <c r="F5168" t="s">
        <v>59</v>
      </c>
      <c r="G5168">
        <v>-210.9829</v>
      </c>
      <c r="H5168">
        <v>5.7200059999999997</v>
      </c>
      <c r="I5168">
        <v>-80.065609999999893</v>
      </c>
      <c r="J5168">
        <v>-296.21460000000002</v>
      </c>
      <c r="K5168">
        <v>1.1318699999999999</v>
      </c>
      <c r="L5168">
        <v>-57.831359999999997</v>
      </c>
      <c r="M5168">
        <v>0.69987100000000002</v>
      </c>
      <c r="N5168">
        <v>-1.1804139999999999E-2</v>
      </c>
      <c r="O5168">
        <v>-0.71417189999999997</v>
      </c>
      <c r="P5168">
        <v>0.80352690000000004</v>
      </c>
      <c r="Q5168">
        <v>0.1956127</v>
      </c>
      <c r="R5168">
        <v>-0.56221019999999999</v>
      </c>
      <c r="S5168">
        <v>3.1356510000000002</v>
      </c>
      <c r="T5168">
        <v>0.16834399999999999</v>
      </c>
      <c r="U5168">
        <v>-0.82391360000000002</v>
      </c>
      <c r="V5168">
        <v>-0.1859952</v>
      </c>
      <c r="W5168">
        <v>0.20195969999999999</v>
      </c>
      <c r="X5168">
        <v>0.96157060000000005</v>
      </c>
      <c r="Y5168">
        <v>-0.51114879999999996</v>
      </c>
      <c r="Z5168">
        <v>-5.3185730000000001E-2</v>
      </c>
      <c r="AA5168">
        <v>0.85784509999999903</v>
      </c>
      <c r="AB5168">
        <v>31</v>
      </c>
      <c r="AC5168">
        <v>85.231700000000004</v>
      </c>
      <c r="AD5168">
        <v>4.5881360000000004</v>
      </c>
      <c r="AE5168">
        <v>-22.234249999999999</v>
      </c>
      <c r="AF5168">
        <v>-45.189522409032001</v>
      </c>
      <c r="AG5168">
        <v>4.5881360000000004</v>
      </c>
      <c r="AH5168">
        <v>75.331138089003503</v>
      </c>
      <c r="AI5168">
        <v>87.010188626423997</v>
      </c>
      <c r="AJ5168">
        <v>120.95863324094</v>
      </c>
      <c r="AK5168">
        <v>87.965472165477607</v>
      </c>
      <c r="AL5168">
        <v>78.348419327141002</v>
      </c>
      <c r="AM5168">
        <v>100.947443865919</v>
      </c>
      <c r="AN5168">
        <v>0.99999997681574404</v>
      </c>
    </row>
    <row r="5169" spans="1:40" x14ac:dyDescent="0.25">
      <c r="A5169" t="str">
        <f>"20190303170641238"</f>
        <v>20190303170641238</v>
      </c>
      <c r="B5169" t="str">
        <f>"1551604001230513"</f>
        <v>1551604001230513</v>
      </c>
      <c r="C5169" t="s">
        <v>40</v>
      </c>
      <c r="D5169">
        <v>5.7496809999999998</v>
      </c>
      <c r="E5169">
        <v>0.36079729999999999</v>
      </c>
      <c r="F5169" t="s">
        <v>59</v>
      </c>
      <c r="G5169">
        <v>-208.91030000000001</v>
      </c>
      <c r="H5169">
        <v>5.7321169999999997</v>
      </c>
      <c r="I5169">
        <v>-80.065619999999996</v>
      </c>
      <c r="J5169">
        <v>-295.98489999999998</v>
      </c>
      <c r="K5169">
        <v>1.13185</v>
      </c>
      <c r="L5169">
        <v>-58.047490000000003</v>
      </c>
      <c r="M5169">
        <v>0.70954010000000001</v>
      </c>
      <c r="N5169">
        <v>-1.179844E-2</v>
      </c>
      <c r="O5169">
        <v>-0.70456640000000004</v>
      </c>
      <c r="P5169">
        <v>0.81104529999999997</v>
      </c>
      <c r="Q5169">
        <v>0.19595480000000001</v>
      </c>
      <c r="R5169">
        <v>-0.55118730000000005</v>
      </c>
      <c r="S5169">
        <v>3.134735</v>
      </c>
      <c r="T5169">
        <v>0.16517589999999999</v>
      </c>
      <c r="U5169">
        <v>-0.79833980000000004</v>
      </c>
      <c r="V5169">
        <v>-0.18595829999999999</v>
      </c>
      <c r="W5169">
        <v>0.20230580000000001</v>
      </c>
      <c r="X5169">
        <v>0.96150500000000005</v>
      </c>
      <c r="Y5169">
        <v>-0.50600469999999997</v>
      </c>
      <c r="Z5169">
        <v>-5.1815060000000003E-2</v>
      </c>
      <c r="AA5169">
        <v>0.86097299999999999</v>
      </c>
      <c r="AB5169">
        <v>31</v>
      </c>
      <c r="AC5169">
        <v>87.074599999999904</v>
      </c>
      <c r="AD5169">
        <v>4.6002669999999997</v>
      </c>
      <c r="AE5169">
        <v>-22.0181299999999</v>
      </c>
      <c r="AF5169">
        <v>-45.610615243545901</v>
      </c>
      <c r="AG5169">
        <v>4.6002669999999997</v>
      </c>
      <c r="AH5169">
        <v>77.099266212731294</v>
      </c>
      <c r="AI5169">
        <v>87.060239437821295</v>
      </c>
      <c r="AJ5169">
        <v>120.607837557515</v>
      </c>
      <c r="AK5169">
        <v>89.698313974721302</v>
      </c>
      <c r="AL5169">
        <v>78.328171521768397</v>
      </c>
      <c r="AM5169">
        <v>100.94605316075599</v>
      </c>
      <c r="AN5169">
        <v>0.99999999553876495</v>
      </c>
    </row>
    <row r="5170" spans="1:40" x14ac:dyDescent="0.25">
      <c r="A5170" t="str">
        <f>"20190303170641259"</f>
        <v>20190303170641259</v>
      </c>
      <c r="B5170" t="str">
        <f>"1551604001250031"</f>
        <v>1551604001250031</v>
      </c>
      <c r="C5170" t="s">
        <v>40</v>
      </c>
      <c r="D5170">
        <v>5.6764539999999997</v>
      </c>
      <c r="E5170">
        <v>0.37107200000000001</v>
      </c>
      <c r="F5170" t="s">
        <v>59</v>
      </c>
      <c r="G5170">
        <v>-205.8484</v>
      </c>
      <c r="H5170">
        <v>5.7792570000000003</v>
      </c>
      <c r="I5170">
        <v>-80.065640000000002</v>
      </c>
      <c r="J5170">
        <v>-295.76400000000001</v>
      </c>
      <c r="K5170">
        <v>1.1318269999999999</v>
      </c>
      <c r="L5170">
        <v>-58.249940000000002</v>
      </c>
      <c r="M5170">
        <v>0.71857179999999998</v>
      </c>
      <c r="N5170">
        <v>-1.179271E-2</v>
      </c>
      <c r="O5170">
        <v>-0.695353</v>
      </c>
      <c r="P5170">
        <v>0.81760159999999904</v>
      </c>
      <c r="Q5170">
        <v>0.19623060000000001</v>
      </c>
      <c r="R5170">
        <v>-0.54131479999999998</v>
      </c>
      <c r="S5170">
        <v>3.138763</v>
      </c>
      <c r="T5170">
        <v>0.1618338</v>
      </c>
      <c r="U5170">
        <v>-0.76672359999999995</v>
      </c>
      <c r="V5170">
        <v>-0.1851583</v>
      </c>
      <c r="W5170">
        <v>0.20260800000000001</v>
      </c>
      <c r="X5170">
        <v>0.9615958</v>
      </c>
      <c r="Y5170">
        <v>-0.50338660000000002</v>
      </c>
      <c r="Z5170">
        <v>-5.0419140000000001E-2</v>
      </c>
      <c r="AA5170">
        <v>0.8625891</v>
      </c>
      <c r="AB5170">
        <v>31</v>
      </c>
      <c r="AC5170">
        <v>89.915599999999998</v>
      </c>
      <c r="AD5170">
        <v>4.6474299999999999</v>
      </c>
      <c r="AE5170">
        <v>-21.8157</v>
      </c>
      <c r="AF5170">
        <v>-46.7322815118725</v>
      </c>
      <c r="AG5170">
        <v>4.6474299999999999</v>
      </c>
      <c r="AH5170">
        <v>79.585171193526804</v>
      </c>
      <c r="AI5170">
        <v>87.117246588501999</v>
      </c>
      <c r="AJ5170">
        <v>120.42138569901699</v>
      </c>
      <c r="AK5170">
        <v>92.408355762954599</v>
      </c>
      <c r="AL5170">
        <v>78.310491114457193</v>
      </c>
      <c r="AM5170">
        <v>100.89908855057899</v>
      </c>
      <c r="AN5170">
        <v>1.00000004015026</v>
      </c>
    </row>
    <row r="5171" spans="1:40" x14ac:dyDescent="0.25">
      <c r="A5171" t="str">
        <f>"20190303170641282"</f>
        <v>20190303170641282</v>
      </c>
      <c r="B5171" t="str">
        <f>"1551604001270529"</f>
        <v>1551604001270529</v>
      </c>
      <c r="C5171" t="s">
        <v>40</v>
      </c>
      <c r="D5171">
        <v>5.7314749999999997</v>
      </c>
      <c r="E5171">
        <v>0.37218760000000001</v>
      </c>
      <c r="F5171" t="s">
        <v>59</v>
      </c>
      <c r="G5171">
        <v>-206.94280000000001</v>
      </c>
      <c r="H5171">
        <v>3.8179620000000001</v>
      </c>
      <c r="I5171">
        <v>-81.109250000000003</v>
      </c>
      <c r="J5171">
        <v>-295.53460000000001</v>
      </c>
      <c r="K5171">
        <v>1.1318029999999999</v>
      </c>
      <c r="L5171">
        <v>-58.454990000000002</v>
      </c>
      <c r="M5171">
        <v>0.72769329999999999</v>
      </c>
      <c r="N5171">
        <v>-1.17871E-2</v>
      </c>
      <c r="O5171">
        <v>-0.68580129999999995</v>
      </c>
      <c r="P5171">
        <v>0.82423989999999903</v>
      </c>
      <c r="Q5171">
        <v>0.19624079999999999</v>
      </c>
      <c r="R5171">
        <v>-0.53114810000000001</v>
      </c>
      <c r="S5171">
        <v>3.1157530000000002</v>
      </c>
      <c r="T5171">
        <v>9.422672E-2</v>
      </c>
      <c r="U5171">
        <v>-0.80187989999999998</v>
      </c>
      <c r="V5171">
        <v>-0.18435199999999999</v>
      </c>
      <c r="W5171">
        <v>0.20264570000000001</v>
      </c>
      <c r="X5171">
        <v>0.96174269999999995</v>
      </c>
      <c r="Y5171">
        <v>-0.48217900000000002</v>
      </c>
      <c r="Z5171">
        <v>-3.1433429999999998E-2</v>
      </c>
      <c r="AA5171">
        <v>0.87550869999999903</v>
      </c>
      <c r="AB5171">
        <v>31</v>
      </c>
      <c r="AC5171">
        <v>88.591800000000006</v>
      </c>
      <c r="AD5171">
        <v>2.686159</v>
      </c>
      <c r="AE5171">
        <v>-22.654260000000001</v>
      </c>
      <c r="AF5171">
        <v>-44.235924576829497</v>
      </c>
      <c r="AG5171">
        <v>2.686159</v>
      </c>
      <c r="AH5171">
        <v>79.940560777068299</v>
      </c>
      <c r="AI5171">
        <v>88.315946123593307</v>
      </c>
      <c r="AJ5171">
        <v>118.95839603027299</v>
      </c>
      <c r="AK5171">
        <v>91.403094754457697</v>
      </c>
      <c r="AL5171">
        <v>78.308284597012801</v>
      </c>
      <c r="AM5171">
        <v>100.851137971783</v>
      </c>
      <c r="AN5171">
        <v>0.99999998031788895</v>
      </c>
    </row>
    <row r="5172" spans="1:40" x14ac:dyDescent="0.25">
      <c r="A5172" t="str">
        <f>"20190303170641295"</f>
        <v>20190303170641295</v>
      </c>
      <c r="B5172" t="str">
        <f>"1551604001290048"</f>
        <v>1551604001290048</v>
      </c>
      <c r="C5172" t="s">
        <v>40</v>
      </c>
      <c r="D5172">
        <v>5.8350119999999999</v>
      </c>
      <c r="E5172">
        <v>0.38337929999999998</v>
      </c>
      <c r="F5172" t="s">
        <v>59</v>
      </c>
      <c r="G5172">
        <v>-204.37700000000001</v>
      </c>
      <c r="H5172">
        <v>3.7547030000000001</v>
      </c>
      <c r="I5172">
        <v>-80.949869999999905</v>
      </c>
      <c r="J5172">
        <v>-295.39049999999997</v>
      </c>
      <c r="K5172">
        <v>1.131791</v>
      </c>
      <c r="L5172">
        <v>-58.580539999999999</v>
      </c>
      <c r="M5172">
        <v>0.73327819999999899</v>
      </c>
      <c r="N5172">
        <v>-1.1783719999999999E-2</v>
      </c>
      <c r="O5172">
        <v>-0.67982699999999996</v>
      </c>
      <c r="P5172">
        <v>0.82836929999999998</v>
      </c>
      <c r="Q5172">
        <v>0.1964496</v>
      </c>
      <c r="R5172">
        <v>-0.52460680000000004</v>
      </c>
      <c r="S5172">
        <v>3.1218870000000001</v>
      </c>
      <c r="T5172">
        <v>8.9826939999999994E-2</v>
      </c>
      <c r="U5172">
        <v>-0.77038569999999995</v>
      </c>
      <c r="V5172">
        <v>-0.1840647</v>
      </c>
      <c r="W5172">
        <v>0.2028643</v>
      </c>
      <c r="X5172">
        <v>0.96175169999999999</v>
      </c>
      <c r="Y5172">
        <v>-0.48378700000000002</v>
      </c>
      <c r="Z5172">
        <v>-3.005002E-2</v>
      </c>
      <c r="AA5172">
        <v>0.87466969999999999</v>
      </c>
      <c r="AB5172">
        <v>31</v>
      </c>
      <c r="AC5172">
        <v>91.013499999999894</v>
      </c>
      <c r="AD5172">
        <v>2.6229119999999901</v>
      </c>
      <c r="AE5172">
        <v>-22.369329999999898</v>
      </c>
      <c r="AF5172">
        <v>-45.438050041547498</v>
      </c>
      <c r="AG5172">
        <v>2.6229119999999901</v>
      </c>
      <c r="AH5172">
        <v>81.887022955904598</v>
      </c>
      <c r="AI5172">
        <v>88.395681707319696</v>
      </c>
      <c r="AJ5172">
        <v>119.02532763590401</v>
      </c>
      <c r="AK5172">
        <v>93.685540973614295</v>
      </c>
      <c r="AL5172">
        <v>78.295494725509599</v>
      </c>
      <c r="AM5172">
        <v>100.834528790573</v>
      </c>
      <c r="AN5172">
        <v>1.00000003522673</v>
      </c>
    </row>
    <row r="5173" spans="1:40" x14ac:dyDescent="0.25">
      <c r="A5173" t="str">
        <f>"20190303170641316"</f>
        <v>20190303170641316</v>
      </c>
      <c r="B5173" t="str">
        <f>"1551604001310545"</f>
        <v>1551604001310545</v>
      </c>
      <c r="C5173" t="s">
        <v>40</v>
      </c>
      <c r="D5173">
        <v>5.7991469999999996</v>
      </c>
      <c r="E5173">
        <v>0.38483719999999999</v>
      </c>
      <c r="F5173" t="s">
        <v>59</v>
      </c>
      <c r="G5173">
        <v>-208.38460000000001</v>
      </c>
      <c r="H5173">
        <v>1.6083149999999999</v>
      </c>
      <c r="I5173">
        <v>-81.815700000000007</v>
      </c>
      <c r="J5173">
        <v>-295.17570000000001</v>
      </c>
      <c r="K5173">
        <v>1.1317790000000001</v>
      </c>
      <c r="L5173">
        <v>-58.764499999999998</v>
      </c>
      <c r="M5173">
        <v>0.74143819999999905</v>
      </c>
      <c r="N5173">
        <v>-1.1779090000000001E-2</v>
      </c>
      <c r="O5173">
        <v>-0.67091769999999995</v>
      </c>
      <c r="P5173">
        <v>0.83436730000000003</v>
      </c>
      <c r="Q5173">
        <v>0.19715269999999999</v>
      </c>
      <c r="R5173">
        <v>-0.51474449999999905</v>
      </c>
      <c r="S5173">
        <v>3.0942379999999998</v>
      </c>
      <c r="T5173">
        <v>1.6947029999999998E-2</v>
      </c>
      <c r="U5173">
        <v>-0.82632450000000002</v>
      </c>
      <c r="V5173">
        <v>-0.1837521</v>
      </c>
      <c r="W5173">
        <v>0.20357720000000001</v>
      </c>
      <c r="X5173">
        <v>0.96166079999999998</v>
      </c>
      <c r="Y5173">
        <v>-0.4568431</v>
      </c>
      <c r="Z5173">
        <v>-1.0289970000000001E-2</v>
      </c>
      <c r="AA5173">
        <v>0.88948780000000005</v>
      </c>
      <c r="AB5173">
        <v>31</v>
      </c>
      <c r="AC5173">
        <v>86.7911</v>
      </c>
      <c r="AD5173">
        <v>0.47653599999999902</v>
      </c>
      <c r="AE5173">
        <v>-23.051200000000001</v>
      </c>
      <c r="AF5173">
        <v>-41.140342477805703</v>
      </c>
      <c r="AG5173">
        <v>0.47653599999999902</v>
      </c>
      <c r="AH5173">
        <v>79.818988514789197</v>
      </c>
      <c r="AI5173">
        <v>89.695946632734305</v>
      </c>
      <c r="AJ5173">
        <v>117.26750625239001</v>
      </c>
      <c r="AK5173">
        <v>89.798807304298293</v>
      </c>
      <c r="AL5173">
        <v>78.253777670239103</v>
      </c>
      <c r="AM5173">
        <v>100.81756107958699</v>
      </c>
      <c r="AN5173">
        <v>1.0000000024354401</v>
      </c>
    </row>
    <row r="5174" spans="1:40" x14ac:dyDescent="0.25">
      <c r="A5174" t="str">
        <f>"20190303170641332"</f>
        <v>20190303170641332</v>
      </c>
      <c r="B5174" t="str">
        <f>"1551604001320304"</f>
        <v>1551604001320304</v>
      </c>
      <c r="C5174" t="s">
        <v>40</v>
      </c>
      <c r="D5174">
        <v>5.7659129999999896</v>
      </c>
      <c r="E5174">
        <v>0.38395499999999999</v>
      </c>
      <c r="F5174" t="s">
        <v>59</v>
      </c>
      <c r="G5174">
        <v>-206.94280000000001</v>
      </c>
      <c r="H5174">
        <v>1.478264</v>
      </c>
      <c r="I5174">
        <v>-81.557400000000001</v>
      </c>
      <c r="J5174">
        <v>-295.01319999999998</v>
      </c>
      <c r="K5174">
        <v>1.1317729999999999</v>
      </c>
      <c r="L5174">
        <v>-58.900730000000003</v>
      </c>
      <c r="M5174">
        <v>0.74747430000000004</v>
      </c>
      <c r="N5174">
        <v>-1.1776109999999999E-2</v>
      </c>
      <c r="O5174">
        <v>-0.66418639999999995</v>
      </c>
      <c r="P5174">
        <v>0.83863379999999998</v>
      </c>
      <c r="Q5174">
        <v>0.19759299999999999</v>
      </c>
      <c r="R5174">
        <v>-0.50759299999999996</v>
      </c>
      <c r="S5174">
        <v>3.0988159999999998</v>
      </c>
      <c r="T5174">
        <v>1.2168999999999999E-2</v>
      </c>
      <c r="U5174">
        <v>-0.80050659999999996</v>
      </c>
      <c r="V5174">
        <v>-0.1832162</v>
      </c>
      <c r="W5174">
        <v>0.20403279999999999</v>
      </c>
      <c r="X5174">
        <v>0.96166649999999998</v>
      </c>
      <c r="Y5174">
        <v>-0.45607609999999899</v>
      </c>
      <c r="Z5174">
        <v>-8.9085550000000003E-3</v>
      </c>
      <c r="AA5174">
        <v>0.88989619999999903</v>
      </c>
      <c r="AB5174">
        <v>31</v>
      </c>
      <c r="AC5174">
        <v>88.070399999999907</v>
      </c>
      <c r="AD5174">
        <v>0.34649099999999999</v>
      </c>
      <c r="AE5174">
        <v>-22.656669999999998</v>
      </c>
      <c r="AF5174">
        <v>-41.562160328340397</v>
      </c>
      <c r="AG5174">
        <v>0.34649099999999999</v>
      </c>
      <c r="AH5174">
        <v>80.883043795919903</v>
      </c>
      <c r="AI5174">
        <v>89.781690120454797</v>
      </c>
      <c r="AJ5174">
        <v>117.196594041718</v>
      </c>
      <c r="AK5174">
        <v>90.937341069906296</v>
      </c>
      <c r="AL5174">
        <v>78.227114154558294</v>
      </c>
      <c r="AM5174">
        <v>100.786691230635</v>
      </c>
      <c r="AN5174">
        <v>1.00000000832026</v>
      </c>
    </row>
    <row r="5175" spans="1:40" x14ac:dyDescent="0.25">
      <c r="A5175" t="str">
        <f>"20190303170641349"</f>
        <v>20190303170641349</v>
      </c>
      <c r="B5175" t="str">
        <f>"1551604001339824"</f>
        <v>1551604001339824</v>
      </c>
      <c r="C5175" t="s">
        <v>40</v>
      </c>
      <c r="D5175">
        <v>5.7220940000000002</v>
      </c>
      <c r="E5175">
        <v>0.38278390000000001</v>
      </c>
      <c r="F5175" t="s">
        <v>59</v>
      </c>
      <c r="G5175">
        <v>-205.65010000000001</v>
      </c>
      <c r="H5175">
        <v>1.8514360000000001</v>
      </c>
      <c r="I5175">
        <v>-80.949250000000006</v>
      </c>
      <c r="J5175">
        <v>-294.81670000000003</v>
      </c>
      <c r="K5175">
        <v>1.1317740000000001</v>
      </c>
      <c r="L5175">
        <v>-59.062289999999997</v>
      </c>
      <c r="M5175">
        <v>0.75462269999999998</v>
      </c>
      <c r="N5175">
        <v>-1.177313E-2</v>
      </c>
      <c r="O5175">
        <v>-0.65605340000000001</v>
      </c>
      <c r="P5175">
        <v>0.84333169999999902</v>
      </c>
      <c r="Q5175">
        <v>0.19844029999999999</v>
      </c>
      <c r="R5175">
        <v>-0.49941279999999999</v>
      </c>
      <c r="S5175">
        <v>3.1073</v>
      </c>
      <c r="T5175">
        <v>2.5023940000000001E-2</v>
      </c>
      <c r="U5175">
        <v>-0.76666259999999997</v>
      </c>
      <c r="V5175">
        <v>-0.18204190000000001</v>
      </c>
      <c r="W5175">
        <v>0.20491319999999999</v>
      </c>
      <c r="X5175">
        <v>0.96170230000000001</v>
      </c>
      <c r="Y5175">
        <v>-0.45609870000000002</v>
      </c>
      <c r="Z5175">
        <v>-1.2133E-2</v>
      </c>
      <c r="AA5175">
        <v>0.88984649999999998</v>
      </c>
      <c r="AB5175">
        <v>31</v>
      </c>
      <c r="AC5175">
        <v>89.166600000000003</v>
      </c>
      <c r="AD5175">
        <v>0.71966200000000002</v>
      </c>
      <c r="AE5175">
        <v>-21.886959999999998</v>
      </c>
      <c r="AF5175">
        <v>-41.981982805103002</v>
      </c>
      <c r="AG5175">
        <v>0.71966200000000002</v>
      </c>
      <c r="AH5175">
        <v>81.646793948185902</v>
      </c>
      <c r="AI5175">
        <v>89.550880020650993</v>
      </c>
      <c r="AJ5175">
        <v>117.211784334981</v>
      </c>
      <c r="AK5175">
        <v>91.810695213900502</v>
      </c>
      <c r="AL5175">
        <v>78.175582012530995</v>
      </c>
      <c r="AM5175">
        <v>100.718772499102</v>
      </c>
      <c r="AN5175">
        <v>0.99999999335756995</v>
      </c>
    </row>
    <row r="5176" spans="1:40" x14ac:dyDescent="0.25">
      <c r="A5176" t="str">
        <f>"20190303170641370"</f>
        <v>20190303170641370</v>
      </c>
      <c r="B5176" t="str">
        <f>"1551604001360320"</f>
        <v>1551604001360320</v>
      </c>
      <c r="C5176" t="s">
        <v>40</v>
      </c>
      <c r="D5176">
        <v>5.7674989999999999</v>
      </c>
      <c r="E5176">
        <v>0.38298529999999997</v>
      </c>
      <c r="F5176" t="s">
        <v>59</v>
      </c>
      <c r="G5176">
        <v>-197.21899999999999</v>
      </c>
      <c r="H5176">
        <v>2.405678</v>
      </c>
      <c r="I5176">
        <v>-81.815960000000004</v>
      </c>
      <c r="J5176">
        <v>-294.59120000000001</v>
      </c>
      <c r="K5176">
        <v>1.1317649999999999</v>
      </c>
      <c r="L5176">
        <v>-59.243229999999997</v>
      </c>
      <c r="M5176">
        <v>0.76262769999999902</v>
      </c>
      <c r="N5176">
        <v>-1.177047E-2</v>
      </c>
      <c r="O5176">
        <v>-0.64673049999999999</v>
      </c>
      <c r="P5176">
        <v>0.84858630000000002</v>
      </c>
      <c r="Q5176">
        <v>0.19823679999999999</v>
      </c>
      <c r="R5176">
        <v>-0.4905137</v>
      </c>
      <c r="S5176">
        <v>3.1173709999999999</v>
      </c>
      <c r="T5176">
        <v>4.0689950000000003E-2</v>
      </c>
      <c r="U5176">
        <v>-0.72677609999999904</v>
      </c>
      <c r="V5176">
        <v>-0.18036050000000001</v>
      </c>
      <c r="W5176">
        <v>0.2047582</v>
      </c>
      <c r="X5176">
        <v>0.96205200000000002</v>
      </c>
      <c r="Y5176">
        <v>-0.45652759999999998</v>
      </c>
      <c r="Z5176">
        <v>-1.6005990000000001E-2</v>
      </c>
      <c r="AA5176">
        <v>0.8895653</v>
      </c>
      <c r="AB5176">
        <v>31</v>
      </c>
      <c r="AC5176">
        <v>97.372200000000007</v>
      </c>
      <c r="AD5176">
        <v>1.2739129999999901</v>
      </c>
      <c r="AE5176">
        <v>-22.57273</v>
      </c>
      <c r="AF5176">
        <v>-45.75472292864</v>
      </c>
      <c r="AG5176">
        <v>1.2739129999999901</v>
      </c>
      <c r="AH5176">
        <v>88.848938565412794</v>
      </c>
      <c r="AI5176">
        <v>89.269689255558106</v>
      </c>
      <c r="AJ5176">
        <v>117.24720317077001</v>
      </c>
      <c r="AK5176">
        <v>99.946242594750302</v>
      </c>
      <c r="AL5176">
        <v>78.184654611109394</v>
      </c>
      <c r="AM5176">
        <v>100.61826009081901</v>
      </c>
      <c r="AN5176">
        <v>0.99999994056574304</v>
      </c>
    </row>
    <row r="5177" spans="1:40" x14ac:dyDescent="0.25">
      <c r="A5177" t="str">
        <f>"20190303170641393"</f>
        <v>20190303170641393</v>
      </c>
      <c r="B5177" t="str">
        <f>"1551604001379840"</f>
        <v>1551604001379840</v>
      </c>
      <c r="C5177" t="s">
        <v>40</v>
      </c>
      <c r="D5177">
        <v>5.8048789999999997</v>
      </c>
      <c r="E5177">
        <v>0.38348290000000002</v>
      </c>
      <c r="F5177" t="s">
        <v>59</v>
      </c>
      <c r="G5177">
        <v>-192.99270000000001</v>
      </c>
      <c r="H5177">
        <v>2.6140219999999998</v>
      </c>
      <c r="I5177">
        <v>-81.816029999999998</v>
      </c>
      <c r="J5177">
        <v>-294.34649999999999</v>
      </c>
      <c r="K5177">
        <v>1.1317619999999999</v>
      </c>
      <c r="L5177">
        <v>-59.434570000000001</v>
      </c>
      <c r="M5177">
        <v>0.77108889999999997</v>
      </c>
      <c r="N5177">
        <v>-1.1768290000000001E-2</v>
      </c>
      <c r="O5177">
        <v>-0.63661869999999998</v>
      </c>
      <c r="P5177">
        <v>0.85449249999999899</v>
      </c>
      <c r="Q5177">
        <v>0.19833219999999999</v>
      </c>
      <c r="R5177">
        <v>-0.48011130000000002</v>
      </c>
      <c r="S5177">
        <v>3.1235050000000002</v>
      </c>
      <c r="T5177">
        <v>4.5570020000000003E-2</v>
      </c>
      <c r="U5177">
        <v>-0.69396969999999902</v>
      </c>
      <c r="V5177">
        <v>-0.1794135</v>
      </c>
      <c r="W5177">
        <v>0.20487859999999999</v>
      </c>
      <c r="X5177">
        <v>0.96220349999999999</v>
      </c>
      <c r="Y5177">
        <v>-0.45404090000000003</v>
      </c>
      <c r="Z5177">
        <v>-1.7015599999999999E-2</v>
      </c>
      <c r="AA5177">
        <v>0.89081840000000001</v>
      </c>
      <c r="AB5177">
        <v>31</v>
      </c>
      <c r="AC5177">
        <v>101.353799999999</v>
      </c>
      <c r="AD5177">
        <v>1.4822599999999999</v>
      </c>
      <c r="AE5177">
        <v>-22.381460000000001</v>
      </c>
      <c r="AF5177">
        <v>-47.259265631009796</v>
      </c>
      <c r="AG5177">
        <v>1.4822599999999999</v>
      </c>
      <c r="AH5177">
        <v>92.388806100089596</v>
      </c>
      <c r="AI5177">
        <v>89.181672424468601</v>
      </c>
      <c r="AJ5177">
        <v>117.090919470331</v>
      </c>
      <c r="AK5177">
        <v>103.785002651105</v>
      </c>
      <c r="AL5177">
        <v>78.177607618370402</v>
      </c>
      <c r="AM5177">
        <v>100.56214015148601</v>
      </c>
      <c r="AN5177">
        <v>1.0000000100662301</v>
      </c>
    </row>
    <row r="5178" spans="1:40" x14ac:dyDescent="0.25">
      <c r="A5178" t="str">
        <f>"20190303170641405"</f>
        <v>20190303170641405</v>
      </c>
      <c r="B5178" t="str">
        <f>"1551604001400336"</f>
        <v>1551604001400336</v>
      </c>
      <c r="C5178" t="s">
        <v>40</v>
      </c>
      <c r="D5178">
        <v>5.8194249999999998</v>
      </c>
      <c r="E5178">
        <v>0.38406940000000001</v>
      </c>
      <c r="F5178" t="s">
        <v>59</v>
      </c>
      <c r="G5178">
        <v>-188.02070000000001</v>
      </c>
      <c r="H5178">
        <v>2.7056260000000001</v>
      </c>
      <c r="I5178">
        <v>-81.816059999999993</v>
      </c>
      <c r="J5178">
        <v>-294.2122</v>
      </c>
      <c r="K5178">
        <v>1.1317699999999999</v>
      </c>
      <c r="L5178">
        <v>-59.537750000000003</v>
      </c>
      <c r="M5178">
        <v>0.77564339999999998</v>
      </c>
      <c r="N5178">
        <v>-1.1767299999999901E-2</v>
      </c>
      <c r="O5178">
        <v>-0.63106189999999995</v>
      </c>
      <c r="P5178">
        <v>0.85742469999999904</v>
      </c>
      <c r="Q5178">
        <v>0.19860710000000001</v>
      </c>
      <c r="R5178">
        <v>-0.4747403</v>
      </c>
      <c r="S5178">
        <v>3.1299130000000002</v>
      </c>
      <c r="T5178">
        <v>4.632998E-2</v>
      </c>
      <c r="U5178">
        <v>-0.65884399999999999</v>
      </c>
      <c r="V5178">
        <v>-0.17850360000000001</v>
      </c>
      <c r="W5178">
        <v>0.20517769999999999</v>
      </c>
      <c r="X5178">
        <v>0.96230890000000002</v>
      </c>
      <c r="Y5178">
        <v>-0.4575708</v>
      </c>
      <c r="Z5178">
        <v>-1.7076129999999998E-2</v>
      </c>
      <c r="AA5178">
        <v>0.88900919999999894</v>
      </c>
      <c r="AB5178">
        <v>32</v>
      </c>
      <c r="AC5178">
        <v>106.1915</v>
      </c>
      <c r="AD5178">
        <v>1.5738559999999899</v>
      </c>
      <c r="AE5178">
        <v>-22.278309999999902</v>
      </c>
      <c r="AF5178">
        <v>-49.726360039196599</v>
      </c>
      <c r="AG5178">
        <v>1.5738559999999899</v>
      </c>
      <c r="AH5178">
        <v>96.412107142175103</v>
      </c>
      <c r="AI5178">
        <v>89.168799624789301</v>
      </c>
      <c r="AJ5178">
        <v>117.28327319626</v>
      </c>
      <c r="AK5178">
        <v>108.491853652939</v>
      </c>
      <c r="AL5178">
        <v>78.160097423259202</v>
      </c>
      <c r="AM5178">
        <v>100.508644943218</v>
      </c>
      <c r="AN5178">
        <v>0.99999992140472704</v>
      </c>
    </row>
    <row r="5179" spans="1:40" x14ac:dyDescent="0.25">
      <c r="A5179" t="str">
        <f>"20190303170641416"</f>
        <v>20190303170641416</v>
      </c>
      <c r="B5179" t="str">
        <f>"1551604001410096"</f>
        <v>1551604001410096</v>
      </c>
      <c r="C5179" t="s">
        <v>40</v>
      </c>
      <c r="D5179">
        <v>5.8195699999999997</v>
      </c>
      <c r="E5179">
        <v>0.38439679999999998</v>
      </c>
      <c r="F5179" t="s">
        <v>59</v>
      </c>
      <c r="G5179">
        <v>-185.8152</v>
      </c>
      <c r="H5179">
        <v>2.7398980000000002</v>
      </c>
      <c r="I5179">
        <v>-81.816069999999996</v>
      </c>
      <c r="J5179">
        <v>-294.07260000000002</v>
      </c>
      <c r="K5179">
        <v>1.131775</v>
      </c>
      <c r="L5179">
        <v>-59.642819999999901</v>
      </c>
      <c r="M5179">
        <v>0.78029559999999998</v>
      </c>
      <c r="N5179">
        <v>-1.1766520000000001E-2</v>
      </c>
      <c r="O5179">
        <v>-0.62530019999999997</v>
      </c>
      <c r="P5179">
        <v>0.86060569999999903</v>
      </c>
      <c r="Q5179">
        <v>0.1992823</v>
      </c>
      <c r="R5179">
        <v>-0.46866259999999998</v>
      </c>
      <c r="S5179">
        <v>3.1317140000000001</v>
      </c>
      <c r="T5179">
        <v>4.6460750000000002E-2</v>
      </c>
      <c r="U5179">
        <v>-0.64364619999999995</v>
      </c>
      <c r="V5179">
        <v>-0.17810580000000001</v>
      </c>
      <c r="W5179">
        <v>0.20586189999999999</v>
      </c>
      <c r="X5179">
        <v>0.9622366</v>
      </c>
      <c r="Y5179">
        <v>-0.45522420000000002</v>
      </c>
      <c r="Z5179">
        <v>-1.69628E-2</v>
      </c>
      <c r="AA5179">
        <v>0.89021519999999998</v>
      </c>
      <c r="AB5179">
        <v>32</v>
      </c>
      <c r="AC5179">
        <v>108.2574</v>
      </c>
      <c r="AD5179">
        <v>1.608123</v>
      </c>
      <c r="AE5179">
        <v>-22.173249999999999</v>
      </c>
      <c r="AF5179">
        <v>-50.3845026350414</v>
      </c>
      <c r="AG5179">
        <v>1.608123</v>
      </c>
      <c r="AH5179">
        <v>98.323695454886007</v>
      </c>
      <c r="AI5179">
        <v>89.166084729548899</v>
      </c>
      <c r="AJ5179">
        <v>117.13218991433</v>
      </c>
      <c r="AK5179">
        <v>110.493136679473</v>
      </c>
      <c r="AL5179">
        <v>78.120041933767396</v>
      </c>
      <c r="AM5179">
        <v>100.486516522887</v>
      </c>
      <c r="AN5179">
        <v>1.0000000361224</v>
      </c>
    </row>
    <row r="5180" spans="1:40" x14ac:dyDescent="0.25">
      <c r="A5180" t="str">
        <f>"20190303170641438"</f>
        <v>20190303170641438</v>
      </c>
      <c r="B5180" t="str">
        <f>"1551604001430593"</f>
        <v>1551604001430593</v>
      </c>
      <c r="C5180" t="s">
        <v>40</v>
      </c>
      <c r="D5180">
        <v>5.8238099999999999</v>
      </c>
      <c r="E5180">
        <v>0.38489960000000001</v>
      </c>
      <c r="F5180" t="s">
        <v>59</v>
      </c>
      <c r="G5180">
        <v>-182.7021</v>
      </c>
      <c r="H5180">
        <v>2.805936</v>
      </c>
      <c r="I5180">
        <v>-81.816090000000003</v>
      </c>
      <c r="J5180">
        <v>-293.84390000000002</v>
      </c>
      <c r="K5180">
        <v>1.131785</v>
      </c>
      <c r="L5180">
        <v>-59.811919999999901</v>
      </c>
      <c r="M5180">
        <v>0.78777559999999902</v>
      </c>
      <c r="N5180">
        <v>-1.176548E-2</v>
      </c>
      <c r="O5180">
        <v>-0.61585029999999996</v>
      </c>
      <c r="P5180">
        <v>0.86556139999999904</v>
      </c>
      <c r="Q5180">
        <v>0.20081199999999999</v>
      </c>
      <c r="R5180">
        <v>-0.4587792</v>
      </c>
      <c r="S5180">
        <v>3.1350709999999999</v>
      </c>
      <c r="T5180">
        <v>4.7127599999999999E-2</v>
      </c>
      <c r="U5180">
        <v>-0.62417599999999995</v>
      </c>
      <c r="V5180">
        <v>-0.1773496</v>
      </c>
      <c r="W5180">
        <v>0.20740710000000001</v>
      </c>
      <c r="X5180">
        <v>0.96204440000000002</v>
      </c>
      <c r="Y5180">
        <v>-0.44998480000000002</v>
      </c>
      <c r="Z5180">
        <v>-1.6881650000000002E-2</v>
      </c>
      <c r="AA5180">
        <v>0.89287659999999902</v>
      </c>
      <c r="AB5180">
        <v>32</v>
      </c>
      <c r="AC5180">
        <v>111.1418</v>
      </c>
      <c r="AD5180">
        <v>1.6741509999999999</v>
      </c>
      <c r="AE5180">
        <v>-22.004169999999998</v>
      </c>
      <c r="AF5180">
        <v>-51.104731786594598</v>
      </c>
      <c r="AG5180">
        <v>1.6741509999999999</v>
      </c>
      <c r="AH5180">
        <v>101.09097816256499</v>
      </c>
      <c r="AI5180">
        <v>89.153252267160397</v>
      </c>
      <c r="AJ5180">
        <v>116.81806122434</v>
      </c>
      <c r="AK5180">
        <v>113.28672587030999</v>
      </c>
      <c r="AL5180">
        <v>78.029555273432607</v>
      </c>
      <c r="AM5180">
        <v>100.445014920745</v>
      </c>
      <c r="AN5180">
        <v>1.00000000666096</v>
      </c>
    </row>
    <row r="5181" spans="1:40" x14ac:dyDescent="0.25">
      <c r="A5181" t="str">
        <f>"20190303170641453"</f>
        <v>20190303170641453</v>
      </c>
      <c r="B5181" t="str">
        <f>"1551604001440352"</f>
        <v>1551604001440352</v>
      </c>
      <c r="C5181" t="s">
        <v>40</v>
      </c>
      <c r="D5181">
        <v>5.8479479999999997</v>
      </c>
      <c r="E5181">
        <v>0.39218639999999999</v>
      </c>
      <c r="F5181" t="s">
        <v>59</v>
      </c>
      <c r="G5181">
        <v>-177.92099999999999</v>
      </c>
      <c r="H5181">
        <v>2.9901460000000002</v>
      </c>
      <c r="I5181">
        <v>-81.68674</v>
      </c>
      <c r="J5181">
        <v>-293.68439999999998</v>
      </c>
      <c r="K5181">
        <v>1.131791</v>
      </c>
      <c r="L5181">
        <v>-59.927190000000003</v>
      </c>
      <c r="M5181">
        <v>0.79288080000000005</v>
      </c>
      <c r="N5181">
        <v>-1.1765060000000001E-2</v>
      </c>
      <c r="O5181">
        <v>-0.60926340000000001</v>
      </c>
      <c r="P5181">
        <v>0.86912630000000002</v>
      </c>
      <c r="Q5181">
        <v>0.20123849999999999</v>
      </c>
      <c r="R5181">
        <v>-0.45179930000000001</v>
      </c>
      <c r="S5181">
        <v>3.1401979999999998</v>
      </c>
      <c r="T5181">
        <v>5.0340650000000001E-2</v>
      </c>
      <c r="U5181">
        <v>-0.59255979999999997</v>
      </c>
      <c r="V5181">
        <v>-0.17702660000000001</v>
      </c>
      <c r="W5181">
        <v>0.20784</v>
      </c>
      <c r="X5181">
        <v>0.96201049999999999</v>
      </c>
      <c r="Y5181">
        <v>-0.4514686</v>
      </c>
      <c r="Z5181">
        <v>-1.751875E-2</v>
      </c>
      <c r="AA5181">
        <v>0.89211499999999999</v>
      </c>
      <c r="AB5181">
        <v>32</v>
      </c>
      <c r="AC5181">
        <v>115.7634</v>
      </c>
      <c r="AD5181">
        <v>1.858355</v>
      </c>
      <c r="AE5181">
        <v>-21.759550000000001</v>
      </c>
      <c r="AF5181">
        <v>-53.268094954877299</v>
      </c>
      <c r="AG5181">
        <v>1.858355</v>
      </c>
      <c r="AH5181">
        <v>105.024989726028</v>
      </c>
      <c r="AI5181">
        <v>89.095908376225196</v>
      </c>
      <c r="AJ5181">
        <v>116.893871908897</v>
      </c>
      <c r="AK5181">
        <v>117.77602425952399</v>
      </c>
      <c r="AL5181">
        <v>78.004199830685394</v>
      </c>
      <c r="AM5181">
        <v>100.426768733</v>
      </c>
      <c r="AN5181">
        <v>1.0000000424088999</v>
      </c>
    </row>
    <row r="5182" spans="1:40" x14ac:dyDescent="0.25">
      <c r="A5182" t="str">
        <f>"20190303170641467"</f>
        <v>20190303170641467</v>
      </c>
      <c r="B5182" t="str">
        <f>"1551604001459872"</f>
        <v>1551604001459872</v>
      </c>
      <c r="C5182" t="s">
        <v>40</v>
      </c>
      <c r="D5182">
        <v>5.8479239999999999</v>
      </c>
      <c r="E5182">
        <v>0.39265169999999999</v>
      </c>
      <c r="F5182" t="s">
        <v>59</v>
      </c>
      <c r="G5182">
        <v>-183.50190000000001</v>
      </c>
      <c r="H5182">
        <v>1.9114660000000001</v>
      </c>
      <c r="I5182">
        <v>-81.815799999999996</v>
      </c>
      <c r="J5182">
        <v>-293.51920000000001</v>
      </c>
      <c r="K5182">
        <v>1.13179599999999</v>
      </c>
      <c r="L5182">
        <v>-60.044829999999997</v>
      </c>
      <c r="M5182">
        <v>0.7980834</v>
      </c>
      <c r="N5182">
        <v>-1.1764810000000001E-2</v>
      </c>
      <c r="O5182">
        <v>-0.60243239999999998</v>
      </c>
      <c r="P5182">
        <v>0.87263630000000003</v>
      </c>
      <c r="Q5182">
        <v>0.20155809999999999</v>
      </c>
      <c r="R5182">
        <v>-0.4448375</v>
      </c>
      <c r="S5182">
        <v>3.123993</v>
      </c>
      <c r="T5182">
        <v>2.2106170000000001E-2</v>
      </c>
      <c r="U5182">
        <v>-0.62060550000000003</v>
      </c>
      <c r="V5182">
        <v>-0.17642060000000001</v>
      </c>
      <c r="W5182">
        <v>0.2081739</v>
      </c>
      <c r="X5182">
        <v>0.96204959999999995</v>
      </c>
      <c r="Y5182">
        <v>-0.43531019999999998</v>
      </c>
      <c r="Z5182">
        <v>-1.0386630000000001E-2</v>
      </c>
      <c r="AA5182">
        <v>0.90022060000000004</v>
      </c>
      <c r="AB5182">
        <v>32</v>
      </c>
      <c r="AC5182">
        <v>110.01730000000001</v>
      </c>
      <c r="AD5182">
        <v>0.77966999999999997</v>
      </c>
      <c r="AE5182">
        <v>-21.770969999999899</v>
      </c>
      <c r="AF5182">
        <v>-48.903949644134499</v>
      </c>
      <c r="AG5182">
        <v>0.77966999999999997</v>
      </c>
      <c r="AH5182">
        <v>100.92060969271201</v>
      </c>
      <c r="AI5182">
        <v>89.601667789486797</v>
      </c>
      <c r="AJ5182">
        <v>115.853827071114</v>
      </c>
      <c r="AK5182">
        <v>112.147998808956</v>
      </c>
      <c r="AL5182">
        <v>77.984640654158596</v>
      </c>
      <c r="AM5182">
        <v>100.391441443651</v>
      </c>
      <c r="AN5182">
        <v>1.00000001680286</v>
      </c>
    </row>
    <row r="5183" spans="1:40" x14ac:dyDescent="0.25">
      <c r="A5183" t="str">
        <f>"20190303170641482"</f>
        <v>20190303170641482</v>
      </c>
      <c r="B5183" t="str">
        <f>"1551604001470608"</f>
        <v>1551604001470608</v>
      </c>
      <c r="C5183" t="s">
        <v>40</v>
      </c>
      <c r="D5183">
        <v>5.8684539999999998</v>
      </c>
      <c r="E5183">
        <v>0.3923374</v>
      </c>
      <c r="F5183" t="s">
        <v>59</v>
      </c>
      <c r="G5183">
        <v>-179.81599999999901</v>
      </c>
      <c r="H5183">
        <v>1.911643</v>
      </c>
      <c r="I5183">
        <v>-81.815799999999996</v>
      </c>
      <c r="J5183">
        <v>-293.34210000000002</v>
      </c>
      <c r="K5183">
        <v>1.131802</v>
      </c>
      <c r="L5183">
        <v>-60.168640000000003</v>
      </c>
      <c r="M5183">
        <v>0.80356079999999996</v>
      </c>
      <c r="N5183">
        <v>-1.176468E-2</v>
      </c>
      <c r="O5183">
        <v>-0.59510669999999899</v>
      </c>
      <c r="P5183">
        <v>0.8766389</v>
      </c>
      <c r="Q5183">
        <v>0.2009773</v>
      </c>
      <c r="R5183">
        <v>-0.4371642</v>
      </c>
      <c r="S5183">
        <v>3.1275940000000002</v>
      </c>
      <c r="T5183">
        <v>2.1451000000000001E-2</v>
      </c>
      <c r="U5183">
        <v>-0.5988464</v>
      </c>
      <c r="V5183">
        <v>-0.17612639999999999</v>
      </c>
      <c r="W5183">
        <v>0.2076007</v>
      </c>
      <c r="X5183">
        <v>0.96222730000000001</v>
      </c>
      <c r="Y5183">
        <v>-0.43330940000000001</v>
      </c>
      <c r="Z5183">
        <v>-1.0088990000000001E-2</v>
      </c>
      <c r="AA5183">
        <v>0.90118869999999895</v>
      </c>
      <c r="AB5183">
        <v>32</v>
      </c>
      <c r="AC5183">
        <v>113.5261</v>
      </c>
      <c r="AD5183">
        <v>0.77984100000000001</v>
      </c>
      <c r="AE5183">
        <v>-21.6471599999999</v>
      </c>
      <c r="AF5183">
        <v>-50.1665125577521</v>
      </c>
      <c r="AG5183">
        <v>0.77984100000000001</v>
      </c>
      <c r="AH5183">
        <v>104.109940515605</v>
      </c>
      <c r="AI5183">
        <v>89.613373983511707</v>
      </c>
      <c r="AJ5183">
        <v>115.727600340576</v>
      </c>
      <c r="AK5183">
        <v>115.568883564544</v>
      </c>
      <c r="AL5183">
        <v>78.018215533776001</v>
      </c>
      <c r="AM5183">
        <v>100.372614881586</v>
      </c>
      <c r="AN5183">
        <v>0.99999996814136904</v>
      </c>
    </row>
    <row r="5184" spans="1:40" x14ac:dyDescent="0.25">
      <c r="A5184" t="str">
        <f>"20190303170641505"</f>
        <v>20190303170641505</v>
      </c>
      <c r="B5184" t="str">
        <f>"1551604001499888"</f>
        <v>1551604001499888</v>
      </c>
      <c r="C5184" t="s">
        <v>40</v>
      </c>
      <c r="D5184">
        <v>5.898847</v>
      </c>
      <c r="E5184">
        <v>0.39331719999999998</v>
      </c>
      <c r="F5184" t="s">
        <v>59</v>
      </c>
      <c r="G5184">
        <v>-177.92099999999999</v>
      </c>
      <c r="H5184">
        <v>2.0675330000000001</v>
      </c>
      <c r="I5184">
        <v>-81.092259999999996</v>
      </c>
      <c r="J5184">
        <v>-293.08210000000003</v>
      </c>
      <c r="K5184">
        <v>1.1318060000000001</v>
      </c>
      <c r="L5184">
        <v>-60.345610000000001</v>
      </c>
      <c r="M5184">
        <v>0.81140999999999996</v>
      </c>
      <c r="N5184">
        <v>-1.176468E-2</v>
      </c>
      <c r="O5184">
        <v>-0.58435890000000001</v>
      </c>
      <c r="P5184">
        <v>0.88233320000000004</v>
      </c>
      <c r="Q5184">
        <v>0.2001117</v>
      </c>
      <c r="R5184">
        <v>-0.42596210000000001</v>
      </c>
      <c r="S5184">
        <v>3.133057</v>
      </c>
      <c r="T5184">
        <v>2.5400160000000001E-2</v>
      </c>
      <c r="U5184">
        <v>-0.56796259999999998</v>
      </c>
      <c r="V5184">
        <v>-0.1756721</v>
      </c>
      <c r="W5184">
        <v>0.20674600000000001</v>
      </c>
      <c r="X5184">
        <v>0.96249439999999997</v>
      </c>
      <c r="Y5184">
        <v>-0.43017559999999999</v>
      </c>
      <c r="Z5184">
        <v>-1.084127E-2</v>
      </c>
      <c r="AA5184">
        <v>0.90268009999999999</v>
      </c>
      <c r="AB5184">
        <v>32</v>
      </c>
      <c r="AC5184">
        <v>115.1611</v>
      </c>
      <c r="AD5184">
        <v>0.93572699999999998</v>
      </c>
      <c r="AE5184">
        <v>-20.746649999999899</v>
      </c>
      <c r="AF5184">
        <v>-50.461642114053703</v>
      </c>
      <c r="AG5184">
        <v>0.93572699999999998</v>
      </c>
      <c r="AH5184">
        <v>105.56691769918</v>
      </c>
      <c r="AI5184">
        <v>89.541806533163495</v>
      </c>
      <c r="AJ5184">
        <v>115.54808918053099</v>
      </c>
      <c r="AK5184">
        <v>117.01122605276301</v>
      </c>
      <c r="AL5184">
        <v>78.068273038980706</v>
      </c>
      <c r="AM5184">
        <v>100.34362912776599</v>
      </c>
      <c r="AN5184">
        <v>1.00000003263288</v>
      </c>
    </row>
    <row r="5185" spans="1:40" x14ac:dyDescent="0.25">
      <c r="A5185" t="str">
        <f>"20190303170641516"</f>
        <v>20190303170641516</v>
      </c>
      <c r="B5185" t="str">
        <f>"1551604001510624"</f>
        <v>1551604001510624</v>
      </c>
      <c r="C5185" t="s">
        <v>40</v>
      </c>
      <c r="D5185">
        <v>5.9034500000000003</v>
      </c>
      <c r="E5185">
        <v>0.39378340000000001</v>
      </c>
      <c r="F5185" t="s">
        <v>46</v>
      </c>
      <c r="G5185">
        <v>0</v>
      </c>
      <c r="H5185">
        <v>0</v>
      </c>
      <c r="I5185">
        <v>0</v>
      </c>
      <c r="J5185">
        <v>-292.9452</v>
      </c>
      <c r="K5185">
        <v>1.131812</v>
      </c>
      <c r="L5185">
        <v>-60.436610000000002</v>
      </c>
      <c r="M5185">
        <v>0.81545489999999998</v>
      </c>
      <c r="N5185">
        <v>-1.176494E-2</v>
      </c>
      <c r="O5185">
        <v>-0.57870100000000002</v>
      </c>
      <c r="P5185">
        <v>0.88511130000000005</v>
      </c>
      <c r="Q5185">
        <v>0.2001259</v>
      </c>
      <c r="R5185">
        <v>-0.42015190000000002</v>
      </c>
      <c r="S5185">
        <v>3.1364749999999999</v>
      </c>
      <c r="T5185">
        <v>2.416861E-2</v>
      </c>
      <c r="U5185">
        <v>-0.5346069</v>
      </c>
      <c r="V5185">
        <v>-0.17530589999999999</v>
      </c>
      <c r="W5185">
        <v>0.20676890000000001</v>
      </c>
      <c r="X5185">
        <v>0.96255619999999997</v>
      </c>
      <c r="Y5185">
        <v>-0.43338450000000001</v>
      </c>
      <c r="Z5185">
        <v>-1.042913E-2</v>
      </c>
      <c r="AA5185">
        <v>0.90114879999999997</v>
      </c>
      <c r="AB5185">
        <v>32</v>
      </c>
      <c r="AC5185">
        <v>3.1364749999999999</v>
      </c>
      <c r="AD5185">
        <v>2.416861E-2</v>
      </c>
      <c r="AE5185">
        <v>-0.5346069</v>
      </c>
      <c r="AF5185">
        <v>-1.3791493111297</v>
      </c>
      <c r="AG5185">
        <v>2.416861E-2</v>
      </c>
      <c r="AH5185">
        <v>2.867064526384</v>
      </c>
      <c r="AI5185">
        <v>89.564758411222499</v>
      </c>
      <c r="AJ5185">
        <v>115.689035739198</v>
      </c>
      <c r="AK5185">
        <v>3.1816184470405</v>
      </c>
      <c r="AL5185">
        <v>78.066931440496603</v>
      </c>
      <c r="AM5185">
        <v>100.321882680225</v>
      </c>
      <c r="AN5185">
        <v>0.99999998737022899</v>
      </c>
    </row>
    <row r="5186" spans="1:40" x14ac:dyDescent="0.25">
      <c r="A5186" t="str">
        <f>"20190303170641528"</f>
        <v>20190303170641528</v>
      </c>
      <c r="B5186" t="str">
        <f>"1551604001520384"</f>
        <v>1551604001520384</v>
      </c>
      <c r="C5186" t="s">
        <v>40</v>
      </c>
      <c r="D5186">
        <v>5.8983790000000003</v>
      </c>
      <c r="E5186">
        <v>0.39431549999999999</v>
      </c>
      <c r="F5186" t="s">
        <v>46</v>
      </c>
      <c r="G5186">
        <v>0</v>
      </c>
      <c r="H5186">
        <v>0</v>
      </c>
      <c r="I5186">
        <v>0</v>
      </c>
      <c r="J5186">
        <v>-292.81029999999998</v>
      </c>
      <c r="K5186">
        <v>1.131818</v>
      </c>
      <c r="L5186">
        <v>-60.525210000000001</v>
      </c>
      <c r="M5186">
        <v>0.81938599999999995</v>
      </c>
      <c r="N5186">
        <v>-1.176527E-2</v>
      </c>
      <c r="O5186">
        <v>-0.57312169999999996</v>
      </c>
      <c r="P5186">
        <v>0.88782569999999905</v>
      </c>
      <c r="Q5186">
        <v>0.20053399999999999</v>
      </c>
      <c r="R5186">
        <v>-0.41418850000000001</v>
      </c>
      <c r="S5186">
        <v>3.13855</v>
      </c>
      <c r="T5186">
        <v>2.2653340000000001E-2</v>
      </c>
      <c r="U5186">
        <v>-0.51766970000000001</v>
      </c>
      <c r="V5186">
        <v>-0.17517149999999901</v>
      </c>
      <c r="W5186">
        <v>0.20717849999999999</v>
      </c>
      <c r="X5186">
        <v>0.96249260000000003</v>
      </c>
      <c r="Y5186">
        <v>-0.43206820000000001</v>
      </c>
      <c r="Z5186">
        <v>-9.9598389999999998E-3</v>
      </c>
      <c r="AA5186">
        <v>0.90178590000000003</v>
      </c>
      <c r="AB5186">
        <v>32</v>
      </c>
      <c r="AC5186">
        <v>3.13855</v>
      </c>
      <c r="AD5186">
        <v>2.2653340000000001E-2</v>
      </c>
      <c r="AE5186">
        <v>-0.51766970000000001</v>
      </c>
      <c r="AF5186">
        <v>-1.3746250165020599</v>
      </c>
      <c r="AG5186">
        <v>2.2653340000000001E-2</v>
      </c>
      <c r="AH5186">
        <v>2.8684242739267698</v>
      </c>
      <c r="AI5186">
        <v>89.591951334219104</v>
      </c>
      <c r="AJ5186">
        <v>115.604977025309</v>
      </c>
      <c r="AK5186">
        <v>3.1808748678718501</v>
      </c>
      <c r="AL5186">
        <v>78.042943764248307</v>
      </c>
      <c r="AM5186">
        <v>100.314806135878</v>
      </c>
      <c r="AN5186">
        <v>0.99999999516463001</v>
      </c>
    </row>
    <row r="5187" spans="1:40" x14ac:dyDescent="0.25">
      <c r="A5187" t="str">
        <f>"20190303170641549"</f>
        <v>20190303170641549</v>
      </c>
      <c r="B5187" t="str">
        <f>"1551604001539904"</f>
        <v>1551604001539904</v>
      </c>
      <c r="C5187" t="s">
        <v>40</v>
      </c>
      <c r="D5187">
        <v>5.9231150000000001</v>
      </c>
      <c r="E5187">
        <v>0.3952291</v>
      </c>
      <c r="F5187" t="s">
        <v>46</v>
      </c>
      <c r="G5187">
        <v>0</v>
      </c>
      <c r="H5187">
        <v>0</v>
      </c>
      <c r="I5187">
        <v>0</v>
      </c>
      <c r="J5187">
        <v>-292.56360000000001</v>
      </c>
      <c r="K5187">
        <v>1.1318349999999999</v>
      </c>
      <c r="L5187">
        <v>-60.683779999999999</v>
      </c>
      <c r="M5187">
        <v>0.82643169999999899</v>
      </c>
      <c r="N5187">
        <v>-1.176609E-2</v>
      </c>
      <c r="O5187">
        <v>-0.56291400000000003</v>
      </c>
      <c r="P5187">
        <v>0.89248729999999998</v>
      </c>
      <c r="Q5187">
        <v>0.20167689999999999</v>
      </c>
      <c r="R5187">
        <v>-0.40347630000000001</v>
      </c>
      <c r="S5187">
        <v>3.1403810000000001</v>
      </c>
      <c r="T5187">
        <v>2.2419930000000001E-2</v>
      </c>
      <c r="U5187">
        <v>-0.50073239999999997</v>
      </c>
      <c r="V5187">
        <v>-0.1747042</v>
      </c>
      <c r="W5187">
        <v>0.20832970000000001</v>
      </c>
      <c r="X5187">
        <v>0.96232899999999999</v>
      </c>
      <c r="Y5187">
        <v>-0.42569760000000001</v>
      </c>
      <c r="Z5187">
        <v>-9.7207930000000001E-3</v>
      </c>
      <c r="AA5187">
        <v>0.90481330000000004</v>
      </c>
      <c r="AB5187">
        <v>32</v>
      </c>
      <c r="AC5187">
        <v>3.1403810000000001</v>
      </c>
      <c r="AD5187">
        <v>2.2419930000000001E-2</v>
      </c>
      <c r="AE5187">
        <v>-0.50073239999999997</v>
      </c>
      <c r="AF5187">
        <v>-1.3539697551601</v>
      </c>
      <c r="AG5187">
        <v>2.2419930000000001E-2</v>
      </c>
      <c r="AH5187">
        <v>2.8772359013657902</v>
      </c>
      <c r="AI5187">
        <v>89.596041119817002</v>
      </c>
      <c r="AJ5187">
        <v>115.200738724899</v>
      </c>
      <c r="AK5187">
        <v>3.1799721985038998</v>
      </c>
      <c r="AL5187">
        <v>77.975513210536604</v>
      </c>
      <c r="AM5187">
        <v>100.289589639428</v>
      </c>
      <c r="AN5187">
        <v>0.99999996282036396</v>
      </c>
    </row>
    <row r="5188" spans="1:40" x14ac:dyDescent="0.25">
      <c r="A5188" t="str">
        <f>"20190303170641561"</f>
        <v>20190303170641561</v>
      </c>
      <c r="B5188" t="str">
        <f>"1551604001550640"</f>
        <v>1551604001550640</v>
      </c>
      <c r="C5188" t="s">
        <v>40</v>
      </c>
      <c r="D5188">
        <v>5.9209459999999998</v>
      </c>
      <c r="E5188">
        <v>0.3952291</v>
      </c>
      <c r="F5188" t="s">
        <v>46</v>
      </c>
      <c r="G5188">
        <v>0</v>
      </c>
      <c r="H5188">
        <v>0</v>
      </c>
      <c r="I5188">
        <v>0</v>
      </c>
      <c r="J5188">
        <v>-292.4237</v>
      </c>
      <c r="K5188">
        <v>1.1318429999999999</v>
      </c>
      <c r="L5188">
        <v>-60.772129999999997</v>
      </c>
      <c r="M5188">
        <v>0.83035049999999899</v>
      </c>
      <c r="N5188">
        <v>-1.176661E-2</v>
      </c>
      <c r="O5188">
        <v>-0.55711750000000004</v>
      </c>
      <c r="P5188">
        <v>0.89506960000000002</v>
      </c>
      <c r="Q5188">
        <v>0.20228650000000001</v>
      </c>
      <c r="R5188">
        <v>-0.39740510000000001</v>
      </c>
      <c r="S5188">
        <v>3.143494</v>
      </c>
      <c r="T5188">
        <v>2.389109E-2</v>
      </c>
      <c r="U5188">
        <v>-0.47006229999999899</v>
      </c>
      <c r="V5188">
        <v>-0.17444860000000001</v>
      </c>
      <c r="W5188">
        <v>0.2089434</v>
      </c>
      <c r="X5188">
        <v>0.96224240000000005</v>
      </c>
      <c r="Y5188">
        <v>-0.42812240000000001</v>
      </c>
      <c r="Z5188">
        <v>-9.9491860000000005E-3</v>
      </c>
      <c r="AA5188">
        <v>0.90366599999999997</v>
      </c>
      <c r="AB5188">
        <v>32</v>
      </c>
      <c r="AC5188">
        <v>3.143494</v>
      </c>
      <c r="AD5188">
        <v>2.389109E-2</v>
      </c>
      <c r="AE5188">
        <v>-0.47006229999999899</v>
      </c>
      <c r="AF5188">
        <v>-1.3609961689132299</v>
      </c>
      <c r="AG5188">
        <v>2.389109E-2</v>
      </c>
      <c r="AH5188">
        <v>2.8721178684896098</v>
      </c>
      <c r="AI5188">
        <v>89.569314507922698</v>
      </c>
      <c r="AJ5188">
        <v>115.354636124471</v>
      </c>
      <c r="AK5188">
        <v>3.1783552989675599</v>
      </c>
      <c r="AL5188">
        <v>77.939560601047603</v>
      </c>
      <c r="AM5188">
        <v>100.275761440336</v>
      </c>
      <c r="AN5188">
        <v>1.00000004740163</v>
      </c>
    </row>
    <row r="5189" spans="1:40" x14ac:dyDescent="0.25">
      <c r="A5189" t="str">
        <f>"20190303170641573"</f>
        <v>20190303170641573</v>
      </c>
      <c r="B5189" t="str">
        <f>"1551604001560401"</f>
        <v>1551604001560401</v>
      </c>
      <c r="C5189" t="s">
        <v>40</v>
      </c>
      <c r="D5189">
        <v>5.9813020000000003</v>
      </c>
      <c r="E5189">
        <v>0.39653040000000001</v>
      </c>
      <c r="F5189" t="s">
        <v>46</v>
      </c>
      <c r="G5189">
        <v>0</v>
      </c>
      <c r="H5189">
        <v>0</v>
      </c>
      <c r="I5189">
        <v>0</v>
      </c>
      <c r="J5189">
        <v>-292.28429999999997</v>
      </c>
      <c r="K5189">
        <v>1.1318490000000001</v>
      </c>
      <c r="L5189">
        <v>-60.858179999999997</v>
      </c>
      <c r="M5189">
        <v>0.83418809999999999</v>
      </c>
      <c r="N5189">
        <v>-1.176725E-2</v>
      </c>
      <c r="O5189">
        <v>-0.55135449999999997</v>
      </c>
      <c r="P5189">
        <v>0.89757149999999997</v>
      </c>
      <c r="Q5189">
        <v>0.20264099999999999</v>
      </c>
      <c r="R5189">
        <v>-0.3915381</v>
      </c>
      <c r="S5189">
        <v>3.1466370000000001</v>
      </c>
      <c r="T5189">
        <v>2.6336430000000001E-2</v>
      </c>
      <c r="U5189">
        <v>-0.4484863</v>
      </c>
      <c r="V5189">
        <v>-0.1740517</v>
      </c>
      <c r="W5189">
        <v>0.20930699999999999</v>
      </c>
      <c r="X5189">
        <v>0.96223519999999896</v>
      </c>
      <c r="Y5189">
        <v>-0.42805650000000001</v>
      </c>
      <c r="Z5189">
        <v>-1.040321E-2</v>
      </c>
      <c r="AA5189">
        <v>0.9036921</v>
      </c>
      <c r="AB5189">
        <v>32</v>
      </c>
      <c r="AC5189">
        <v>3.1466370000000001</v>
      </c>
      <c r="AD5189">
        <v>2.6336430000000001E-2</v>
      </c>
      <c r="AE5189">
        <v>-0.4484863</v>
      </c>
      <c r="AF5189">
        <v>-1.3607913034551999</v>
      </c>
      <c r="AG5189">
        <v>2.6336430000000001E-2</v>
      </c>
      <c r="AH5189">
        <v>2.87216370133347</v>
      </c>
      <c r="AI5189">
        <v>89.525227288247294</v>
      </c>
      <c r="AJ5189">
        <v>115.35094481731799</v>
      </c>
      <c r="AK5189">
        <v>3.1783283194726799</v>
      </c>
      <c r="AL5189">
        <v>77.918256191418493</v>
      </c>
      <c r="AM5189">
        <v>100.252953893951</v>
      </c>
      <c r="AN5189">
        <v>0.99999999732046496</v>
      </c>
    </row>
    <row r="5190" spans="1:40" x14ac:dyDescent="0.25">
      <c r="A5190" t="str">
        <f>"20190303170641594"</f>
        <v>20190303170641594</v>
      </c>
      <c r="B5190" t="str">
        <f>"1551604001590656"</f>
        <v>1551604001590656</v>
      </c>
      <c r="C5190" t="s">
        <v>40</v>
      </c>
      <c r="D5190">
        <v>5.9190670000000001</v>
      </c>
      <c r="E5190">
        <v>0.39832780000000001</v>
      </c>
      <c r="F5190" t="s">
        <v>46</v>
      </c>
      <c r="G5190">
        <v>0</v>
      </c>
      <c r="H5190">
        <v>0</v>
      </c>
      <c r="I5190">
        <v>0</v>
      </c>
      <c r="J5190">
        <v>-292.03179999999998</v>
      </c>
      <c r="K5190">
        <v>1.131858</v>
      </c>
      <c r="L5190">
        <v>-61.011319999999998</v>
      </c>
      <c r="M5190">
        <v>0.84100379999999997</v>
      </c>
      <c r="N5190">
        <v>-1.176834E-2</v>
      </c>
      <c r="O5190">
        <v>-0.54090119999999997</v>
      </c>
      <c r="P5190">
        <v>0.90234579999999998</v>
      </c>
      <c r="Q5190">
        <v>0.20190640000000001</v>
      </c>
      <c r="R5190">
        <v>-0.38079610000000003</v>
      </c>
      <c r="S5190">
        <v>3.1463009999999998</v>
      </c>
      <c r="T5190">
        <v>2.3274300000000001E-2</v>
      </c>
      <c r="U5190">
        <v>-0.43737789999999999</v>
      </c>
      <c r="V5190">
        <v>-0.173602799999999</v>
      </c>
      <c r="W5190">
        <v>0.20858380000000001</v>
      </c>
      <c r="X5190">
        <v>0.96247329999999998</v>
      </c>
      <c r="Y5190">
        <v>-0.4198887</v>
      </c>
      <c r="Z5190">
        <v>-9.5062570000000006E-3</v>
      </c>
      <c r="AA5190">
        <v>0.90752580000000005</v>
      </c>
      <c r="AB5190">
        <v>32</v>
      </c>
      <c r="AC5190">
        <v>3.1463009999999998</v>
      </c>
      <c r="AD5190">
        <v>2.3274300000000001E-2</v>
      </c>
      <c r="AE5190">
        <v>-0.43737789999999999</v>
      </c>
      <c r="AF5190">
        <v>-1.3340222849996</v>
      </c>
      <c r="AG5190">
        <v>2.3274300000000001E-2</v>
      </c>
      <c r="AH5190">
        <v>2.8826742192426802</v>
      </c>
      <c r="AI5190">
        <v>89.580184705852901</v>
      </c>
      <c r="AJ5190">
        <v>114.833400718427</v>
      </c>
      <c r="AK5190">
        <v>3.17647096700134</v>
      </c>
      <c r="AL5190">
        <v>77.960627708152799</v>
      </c>
      <c r="AM5190">
        <v>100.224592484006</v>
      </c>
      <c r="AN5190">
        <v>0.99999999350158397</v>
      </c>
    </row>
    <row r="5191" spans="1:40" x14ac:dyDescent="0.25">
      <c r="A5191" t="str">
        <f>"20190303170641606"</f>
        <v>20190303170641606</v>
      </c>
      <c r="B5191" t="str">
        <f>"1551604001600416"</f>
        <v>1551604001600416</v>
      </c>
      <c r="C5191" t="s">
        <v>40</v>
      </c>
      <c r="D5191">
        <v>5.9125819999999996</v>
      </c>
      <c r="E5191">
        <v>0.39880359999999998</v>
      </c>
      <c r="F5191" t="s">
        <v>46</v>
      </c>
      <c r="G5191">
        <v>0</v>
      </c>
      <c r="H5191">
        <v>0</v>
      </c>
      <c r="I5191">
        <v>0</v>
      </c>
      <c r="J5191">
        <v>-291.88810000000001</v>
      </c>
      <c r="K5191">
        <v>1.131869</v>
      </c>
      <c r="L5191">
        <v>-61.0967699999999</v>
      </c>
      <c r="M5191">
        <v>0.84480319999999998</v>
      </c>
      <c r="N5191">
        <v>-1.1768890000000001E-2</v>
      </c>
      <c r="O5191">
        <v>-0.53494809999999904</v>
      </c>
      <c r="P5191">
        <v>0.905053</v>
      </c>
      <c r="Q5191">
        <v>0.20135400000000001</v>
      </c>
      <c r="R5191">
        <v>-0.37461410000000001</v>
      </c>
      <c r="S5191">
        <v>3.1473689999999999</v>
      </c>
      <c r="T5191">
        <v>1.4476060000000001E-2</v>
      </c>
      <c r="U5191">
        <v>-0.4124756</v>
      </c>
      <c r="V5191">
        <v>-0.17344270000000001</v>
      </c>
      <c r="W5191">
        <v>0.20803579999999999</v>
      </c>
      <c r="X5191">
        <v>0.9626207</v>
      </c>
      <c r="Y5191">
        <v>-0.42059960000000002</v>
      </c>
      <c r="Z5191">
        <v>-7.3923069999999999E-3</v>
      </c>
      <c r="AA5191">
        <v>0.90721629999999998</v>
      </c>
      <c r="AB5191">
        <v>32</v>
      </c>
      <c r="AC5191">
        <v>3.1473689999999999</v>
      </c>
      <c r="AD5191">
        <v>1.4476060000000001E-2</v>
      </c>
      <c r="AE5191">
        <v>-0.4124756</v>
      </c>
      <c r="AF5191">
        <v>-1.33528278470793</v>
      </c>
      <c r="AG5191">
        <v>1.4476060000000001E-2</v>
      </c>
      <c r="AH5191">
        <v>2.8796993815443699</v>
      </c>
      <c r="AI5191">
        <v>89.738703562360598</v>
      </c>
      <c r="AJ5191">
        <v>114.876601049193</v>
      </c>
      <c r="AK5191">
        <v>3.1742492339949502</v>
      </c>
      <c r="AL5191">
        <v>77.992729353634004</v>
      </c>
      <c r="AM5191">
        <v>100.21383052434</v>
      </c>
      <c r="AN5191">
        <v>0.99999993816670796</v>
      </c>
    </row>
    <row r="5192" spans="1:40" x14ac:dyDescent="0.25">
      <c r="A5192" t="str">
        <f>"20190303170641616"</f>
        <v>20190303170641616</v>
      </c>
      <c r="B5192" t="str">
        <f>"1551604001610176"</f>
        <v>1551604001610176</v>
      </c>
      <c r="C5192" t="s">
        <v>40</v>
      </c>
      <c r="D5192">
        <v>5.9169489999999998</v>
      </c>
      <c r="E5192">
        <v>0.39928239999999998</v>
      </c>
      <c r="F5192" t="s">
        <v>46</v>
      </c>
      <c r="G5192">
        <v>0</v>
      </c>
      <c r="H5192">
        <v>0</v>
      </c>
      <c r="I5192">
        <v>0</v>
      </c>
      <c r="J5192">
        <v>-291.7561</v>
      </c>
      <c r="K5192">
        <v>1.1318729999999999</v>
      </c>
      <c r="L5192">
        <v>-61.173740000000002</v>
      </c>
      <c r="M5192">
        <v>0.84823769999999998</v>
      </c>
      <c r="N5192">
        <v>-1.1769369999999999E-2</v>
      </c>
      <c r="O5192">
        <v>-0.52948509999999904</v>
      </c>
      <c r="P5192">
        <v>0.90737889999999999</v>
      </c>
      <c r="Q5192">
        <v>0.20143620000000001</v>
      </c>
      <c r="R5192">
        <v>-0.36890030000000001</v>
      </c>
      <c r="S5192">
        <v>3.1490170000000002</v>
      </c>
      <c r="T5192">
        <v>1.075137E-2</v>
      </c>
      <c r="U5192">
        <v>-0.39456180000000002</v>
      </c>
      <c r="V5192">
        <v>-0.173294899999999</v>
      </c>
      <c r="W5192">
        <v>0.20812020000000001</v>
      </c>
      <c r="X5192">
        <v>0.96262910000000002</v>
      </c>
      <c r="Y5192">
        <v>-0.41989300000000002</v>
      </c>
      <c r="Z5192">
        <v>-6.4604320000000003E-3</v>
      </c>
      <c r="AA5192">
        <v>0.90755059999999999</v>
      </c>
      <c r="AB5192">
        <v>32</v>
      </c>
      <c r="AC5192">
        <v>3.1490170000000002</v>
      </c>
      <c r="AD5192">
        <v>1.075137E-2</v>
      </c>
      <c r="AE5192">
        <v>-0.39456180000000002</v>
      </c>
      <c r="AF5192">
        <v>-1.3327522781441701</v>
      </c>
      <c r="AG5192">
        <v>1.075137E-2</v>
      </c>
      <c r="AH5192">
        <v>2.88019569916277</v>
      </c>
      <c r="AI5192">
        <v>89.805897028870206</v>
      </c>
      <c r="AJ5192">
        <v>114.831385166893</v>
      </c>
      <c r="AK5192">
        <v>3.1736211954691602</v>
      </c>
      <c r="AL5192">
        <v>77.987785668595606</v>
      </c>
      <c r="AM5192">
        <v>100.205222578114</v>
      </c>
      <c r="AN5192">
        <v>0.99999996209042896</v>
      </c>
    </row>
    <row r="5193" spans="1:40" x14ac:dyDescent="0.25">
      <c r="A5193" t="str">
        <f>"20190303170641628"</f>
        <v>20190303170641628</v>
      </c>
      <c r="B5193" t="str">
        <f>"1551604001619936"</f>
        <v>1551604001619936</v>
      </c>
      <c r="C5193" t="s">
        <v>40</v>
      </c>
      <c r="D5193">
        <v>5.9413830000000001</v>
      </c>
      <c r="E5193">
        <v>0.3997329</v>
      </c>
      <c r="F5193" t="s">
        <v>46</v>
      </c>
      <c r="G5193">
        <v>0</v>
      </c>
      <c r="H5193">
        <v>0</v>
      </c>
      <c r="I5193">
        <v>0</v>
      </c>
      <c r="J5193">
        <v>-291.61759999999998</v>
      </c>
      <c r="K5193">
        <v>1.1318760000000001</v>
      </c>
      <c r="L5193">
        <v>-61.253450000000001</v>
      </c>
      <c r="M5193">
        <v>0.85178909999999997</v>
      </c>
      <c r="N5193">
        <v>-1.1768610000000001E-2</v>
      </c>
      <c r="O5193">
        <v>-0.52375260000000001</v>
      </c>
      <c r="P5193">
        <v>0.90963609999999995</v>
      </c>
      <c r="Q5193">
        <v>0.20168140000000001</v>
      </c>
      <c r="R5193">
        <v>-0.36316219999999999</v>
      </c>
      <c r="S5193">
        <v>3.1503909999999999</v>
      </c>
      <c r="T5193">
        <v>8.8094469999999998E-3</v>
      </c>
      <c r="U5193">
        <v>-0.37860110000000002</v>
      </c>
      <c r="V5193">
        <v>-0.17286299999999999</v>
      </c>
      <c r="W5193">
        <v>0.2083749</v>
      </c>
      <c r="X5193">
        <v>0.9626517</v>
      </c>
      <c r="Y5193">
        <v>-0.41835519999999998</v>
      </c>
      <c r="Z5193">
        <v>-5.9387019999999997E-3</v>
      </c>
      <c r="AA5193">
        <v>0.90826410000000002</v>
      </c>
      <c r="AB5193">
        <v>32</v>
      </c>
      <c r="AC5193">
        <v>3.1503909999999999</v>
      </c>
      <c r="AD5193">
        <v>8.8094469999999998E-3</v>
      </c>
      <c r="AE5193">
        <v>-0.37860110000000002</v>
      </c>
      <c r="AF5193">
        <v>-1.3276189238920699</v>
      </c>
      <c r="AG5193">
        <v>8.8094469999999998E-3</v>
      </c>
      <c r="AH5193">
        <v>2.8819394559579998</v>
      </c>
      <c r="AI5193">
        <v>89.840927396560303</v>
      </c>
      <c r="AJ5193">
        <v>114.734038376401</v>
      </c>
      <c r="AK5193">
        <v>3.1730465866797899</v>
      </c>
      <c r="AL5193">
        <v>77.972865852811594</v>
      </c>
      <c r="AM5193">
        <v>100.180086851976</v>
      </c>
      <c r="AN5193">
        <v>1.0000000056159499</v>
      </c>
    </row>
    <row r="5194" spans="1:40" x14ac:dyDescent="0.25">
      <c r="A5194" t="str">
        <f>"20190303170641640"</f>
        <v>20190303170641640</v>
      </c>
      <c r="B5194" t="str">
        <f>"1551604001630673"</f>
        <v>1551604001630673</v>
      </c>
      <c r="C5194" t="s">
        <v>40</v>
      </c>
      <c r="D5194">
        <v>5.9165900000000002</v>
      </c>
      <c r="E5194">
        <v>0.40015659999999997</v>
      </c>
      <c r="F5194" t="s">
        <v>46</v>
      </c>
      <c r="G5194">
        <v>0</v>
      </c>
      <c r="H5194">
        <v>0</v>
      </c>
      <c r="I5194">
        <v>0</v>
      </c>
      <c r="J5194">
        <v>-291.46719999999999</v>
      </c>
      <c r="K5194">
        <v>1.1318729999999999</v>
      </c>
      <c r="L5194">
        <v>-61.338810000000002</v>
      </c>
      <c r="M5194">
        <v>0.85558969999999901</v>
      </c>
      <c r="N5194">
        <v>-1.1766260000000001E-2</v>
      </c>
      <c r="O5194">
        <v>-0.51752100000000001</v>
      </c>
      <c r="P5194">
        <v>0.91204450000000004</v>
      </c>
      <c r="Q5194">
        <v>0.20212930000000001</v>
      </c>
      <c r="R5194">
        <v>-0.35681760000000001</v>
      </c>
      <c r="S5194">
        <v>3.1517940000000002</v>
      </c>
      <c r="T5194">
        <v>7.1887969999999898E-3</v>
      </c>
      <c r="U5194">
        <v>-0.36227419999999999</v>
      </c>
      <c r="V5194">
        <v>-0.17250389999999999</v>
      </c>
      <c r="W5194">
        <v>0.2088277</v>
      </c>
      <c r="X5194">
        <v>0.96261799999999997</v>
      </c>
      <c r="Y5194">
        <v>-0.41641660000000003</v>
      </c>
      <c r="Z5194">
        <v>-5.4890090000000004E-3</v>
      </c>
      <c r="AA5194">
        <v>0.90915729999999995</v>
      </c>
      <c r="AB5194">
        <v>32</v>
      </c>
      <c r="AC5194">
        <v>3.1517940000000002</v>
      </c>
      <c r="AD5194">
        <v>7.1887969999999898E-3</v>
      </c>
      <c r="AE5194">
        <v>-0.36227419999999999</v>
      </c>
      <c r="AF5194">
        <v>-1.3212460791223599</v>
      </c>
      <c r="AG5194">
        <v>7.1887969999999898E-3</v>
      </c>
      <c r="AH5194">
        <v>2.8843116086887699</v>
      </c>
      <c r="AI5194">
        <v>89.870170790287006</v>
      </c>
      <c r="AJ5194">
        <v>114.611578650567</v>
      </c>
      <c r="AK5194">
        <v>3.1725378384528899</v>
      </c>
      <c r="AL5194">
        <v>77.946338787466004</v>
      </c>
      <c r="AM5194">
        <v>100.15972825578901</v>
      </c>
      <c r="AN5194">
        <v>1.0000000088632499</v>
      </c>
    </row>
    <row r="5195" spans="1:40" x14ac:dyDescent="0.25">
      <c r="A5195" t="str">
        <f>"20190303170641655"</f>
        <v>20190303170641655</v>
      </c>
      <c r="B5195" t="str">
        <f>"1551604001640433"</f>
        <v>1551604001640433</v>
      </c>
      <c r="C5195" t="s">
        <v>40</v>
      </c>
      <c r="D5195">
        <v>5.943943</v>
      </c>
      <c r="E5195">
        <v>0.40061360000000001</v>
      </c>
      <c r="F5195" t="s">
        <v>46</v>
      </c>
      <c r="G5195">
        <v>0</v>
      </c>
      <c r="H5195">
        <v>0</v>
      </c>
      <c r="I5195">
        <v>0</v>
      </c>
      <c r="J5195">
        <v>-291.31740000000002</v>
      </c>
      <c r="K5195">
        <v>1.131877</v>
      </c>
      <c r="L5195">
        <v>-61.421880000000002</v>
      </c>
      <c r="M5195">
        <v>0.85930569999999895</v>
      </c>
      <c r="N5195">
        <v>-1.176264E-2</v>
      </c>
      <c r="O5195">
        <v>-0.51132709999999904</v>
      </c>
      <c r="P5195">
        <v>0.91443249999999998</v>
      </c>
      <c r="Q5195">
        <v>0.20247560000000001</v>
      </c>
      <c r="R5195">
        <v>-0.35045279999999901</v>
      </c>
      <c r="S5195">
        <v>3.1534119999999999</v>
      </c>
      <c r="T5195">
        <v>6.2193869999999998E-3</v>
      </c>
      <c r="U5195">
        <v>-0.34387210000000001</v>
      </c>
      <c r="V5195">
        <v>-0.17223150000000001</v>
      </c>
      <c r="W5195">
        <v>0.2091761</v>
      </c>
      <c r="X5195">
        <v>0.96259110000000003</v>
      </c>
      <c r="Y5195">
        <v>-0.41514410000000002</v>
      </c>
      <c r="Z5195">
        <v>-5.1860760000000004E-3</v>
      </c>
      <c r="AA5195">
        <v>0.90974089999999996</v>
      </c>
      <c r="AB5195">
        <v>32</v>
      </c>
      <c r="AC5195">
        <v>3.1534119999999999</v>
      </c>
      <c r="AD5195">
        <v>6.2193869999999998E-3</v>
      </c>
      <c r="AE5195">
        <v>-0.34387210000000001</v>
      </c>
      <c r="AF5195">
        <v>-1.3170197771466601</v>
      </c>
      <c r="AG5195">
        <v>6.2193869999999998E-3</v>
      </c>
      <c r="AH5195">
        <v>2.8857645102128</v>
      </c>
      <c r="AI5195">
        <v>89.887662782722799</v>
      </c>
      <c r="AJ5195">
        <v>114.53124709745801</v>
      </c>
      <c r="AK5195">
        <v>3.1720997119532401</v>
      </c>
      <c r="AL5195">
        <v>77.925925752157198</v>
      </c>
      <c r="AM5195">
        <v>100.144296087217</v>
      </c>
      <c r="AN5195">
        <v>0.99999997810133401</v>
      </c>
    </row>
    <row r="5196" spans="1:40" x14ac:dyDescent="0.25">
      <c r="A5196" t="str">
        <f>"20190303170641673"</f>
        <v>20190303170641673</v>
      </c>
      <c r="B5196" t="str">
        <f>"1551604001659952"</f>
        <v>1551604001659952</v>
      </c>
      <c r="C5196" t="s">
        <v>40</v>
      </c>
      <c r="D5196">
        <v>5.9549849999999998</v>
      </c>
      <c r="E5196">
        <v>0.4015918</v>
      </c>
      <c r="F5196" t="s">
        <v>46</v>
      </c>
      <c r="G5196">
        <v>0</v>
      </c>
      <c r="H5196">
        <v>0</v>
      </c>
      <c r="I5196">
        <v>0</v>
      </c>
      <c r="J5196">
        <v>-291.07279999999997</v>
      </c>
      <c r="K5196">
        <v>1.1318859999999999</v>
      </c>
      <c r="L5196">
        <v>-61.555050000000001</v>
      </c>
      <c r="M5196">
        <v>0.86524599999999996</v>
      </c>
      <c r="N5196">
        <v>-1.175606E-2</v>
      </c>
      <c r="O5196">
        <v>-0.50120969999999998</v>
      </c>
      <c r="P5196">
        <v>0.91831339999999995</v>
      </c>
      <c r="Q5196">
        <v>0.20272190000000001</v>
      </c>
      <c r="R5196">
        <v>-0.34000560000000002</v>
      </c>
      <c r="S5196">
        <v>3.154938</v>
      </c>
      <c r="T5196">
        <v>4.8935410000000004E-3</v>
      </c>
      <c r="U5196">
        <v>-0.3254089</v>
      </c>
      <c r="V5196">
        <v>-0.17189170000000001</v>
      </c>
      <c r="W5196">
        <v>0.20942359999999999</v>
      </c>
      <c r="X5196">
        <v>0.96259799999999995</v>
      </c>
      <c r="Y5196">
        <v>-0.40977780000000003</v>
      </c>
      <c r="Z5196">
        <v>-4.7717899999999997E-3</v>
      </c>
      <c r="AA5196">
        <v>0.91217289999999995</v>
      </c>
      <c r="AB5196">
        <v>32</v>
      </c>
      <c r="AC5196">
        <v>3.154938</v>
      </c>
      <c r="AD5196">
        <v>4.8935410000000004E-3</v>
      </c>
      <c r="AE5196">
        <v>-0.3254089</v>
      </c>
      <c r="AF5196">
        <v>-1.2998135030992499</v>
      </c>
      <c r="AG5196">
        <v>4.8935410000000004E-3</v>
      </c>
      <c r="AH5196">
        <v>2.89308860906264</v>
      </c>
      <c r="AI5196">
        <v>89.911598868968198</v>
      </c>
      <c r="AJ5196">
        <v>114.193539705707</v>
      </c>
      <c r="AK5196">
        <v>3.1716716080752598</v>
      </c>
      <c r="AL5196">
        <v>77.911423569917105</v>
      </c>
      <c r="AM5196">
        <v>100.12462550926899</v>
      </c>
      <c r="AN5196">
        <v>0.99999995518492402</v>
      </c>
    </row>
    <row r="5197" spans="1:40" x14ac:dyDescent="0.25">
      <c r="A5197" t="str">
        <f>"20190303170641686"</f>
        <v>20190303170641686</v>
      </c>
      <c r="B5197" t="str">
        <f>"1551604001680449"</f>
        <v>1551604001680449</v>
      </c>
      <c r="C5197" t="s">
        <v>40</v>
      </c>
      <c r="D5197">
        <v>5.939419</v>
      </c>
      <c r="E5197">
        <v>0.41718070000000002</v>
      </c>
      <c r="F5197" t="s">
        <v>46</v>
      </c>
      <c r="G5197">
        <v>0</v>
      </c>
      <c r="H5197">
        <v>0</v>
      </c>
      <c r="I5197">
        <v>0</v>
      </c>
      <c r="J5197">
        <v>-290.91759999999999</v>
      </c>
      <c r="K5197">
        <v>1.1318859999999999</v>
      </c>
      <c r="L5197">
        <v>-61.63794</v>
      </c>
      <c r="M5197">
        <v>0.86893529999999997</v>
      </c>
      <c r="N5197">
        <v>-1.175176E-2</v>
      </c>
      <c r="O5197">
        <v>-0.49478640000000002</v>
      </c>
      <c r="P5197">
        <v>0.92086480000000004</v>
      </c>
      <c r="Q5197">
        <v>0.2025477</v>
      </c>
      <c r="R5197">
        <v>-0.33314070000000001</v>
      </c>
      <c r="S5197">
        <v>3.1567080000000001</v>
      </c>
      <c r="T5197">
        <v>8.8906289999999904E-4</v>
      </c>
      <c r="U5197">
        <v>-0.29696660000000002</v>
      </c>
      <c r="V5197">
        <v>-0.1719628</v>
      </c>
      <c r="W5197">
        <v>0.20924219999999999</v>
      </c>
      <c r="X5197">
        <v>0.96262479999999995</v>
      </c>
      <c r="Y5197">
        <v>-0.41121799999999997</v>
      </c>
      <c r="Z5197">
        <v>-3.808975E-3</v>
      </c>
      <c r="AA5197">
        <v>0.91152909999999998</v>
      </c>
      <c r="AB5197">
        <v>32</v>
      </c>
      <c r="AC5197">
        <v>3.1567080000000001</v>
      </c>
      <c r="AD5197">
        <v>8.8906289999999904E-4</v>
      </c>
      <c r="AE5197">
        <v>-0.29696660000000002</v>
      </c>
      <c r="AF5197">
        <v>-1.3039412085767099</v>
      </c>
      <c r="AG5197">
        <v>8.8906289999999904E-4</v>
      </c>
      <c r="AH5197">
        <v>2.89010904681632</v>
      </c>
      <c r="AI5197">
        <v>89.983934012703202</v>
      </c>
      <c r="AJ5197">
        <v>114.28364455989799</v>
      </c>
      <c r="AK5197">
        <v>3.1706456390373998</v>
      </c>
      <c r="AL5197">
        <v>77.922053116172506</v>
      </c>
      <c r="AM5197">
        <v>100.128450543413</v>
      </c>
      <c r="AN5197">
        <v>1.00000000420985</v>
      </c>
    </row>
    <row r="5198" spans="1:40" x14ac:dyDescent="0.25">
      <c r="A5198" t="str">
        <f>"20190303170641698"</f>
        <v>20190303170641698</v>
      </c>
      <c r="B5198" t="str">
        <f>"1551604001690208"</f>
        <v>1551604001690208</v>
      </c>
      <c r="C5198" t="s">
        <v>40</v>
      </c>
      <c r="D5198">
        <v>5.9457009999999997</v>
      </c>
      <c r="E5198">
        <v>0.41654540000000001</v>
      </c>
      <c r="F5198" t="s">
        <v>106</v>
      </c>
      <c r="G5198">
        <v>-220.9982</v>
      </c>
      <c r="H5198">
        <v>1.082864E-2</v>
      </c>
      <c r="I5198">
        <v>-70.383669999999995</v>
      </c>
      <c r="J5198">
        <v>-290.7647</v>
      </c>
      <c r="K5198">
        <v>1.1318859999999999</v>
      </c>
      <c r="L5198">
        <v>-61.717680000000001</v>
      </c>
      <c r="M5198">
        <v>0.87249959999999904</v>
      </c>
      <c r="N5198">
        <v>-1.174741E-2</v>
      </c>
      <c r="O5198">
        <v>-0.48847370000000001</v>
      </c>
      <c r="P5198">
        <v>0.92339269999999996</v>
      </c>
      <c r="Q5198">
        <v>0.2021126</v>
      </c>
      <c r="R5198">
        <v>-0.32633800000000002</v>
      </c>
      <c r="S5198">
        <v>3.127319</v>
      </c>
      <c r="T5198">
        <v>-5.0142050000000001E-2</v>
      </c>
      <c r="U5198">
        <v>-0.39117429999999997</v>
      </c>
      <c r="V5198">
        <v>-0.17212089999999999</v>
      </c>
      <c r="W5198">
        <v>0.20879829999999999</v>
      </c>
      <c r="X5198">
        <v>0.96269289999999996</v>
      </c>
      <c r="Y5198">
        <v>-0.37635079999999999</v>
      </c>
      <c r="Z5198">
        <v>6.7471110000000001E-3</v>
      </c>
      <c r="AA5198">
        <v>0.92645259999999996</v>
      </c>
      <c r="AB5198">
        <v>32</v>
      </c>
      <c r="AC5198">
        <v>69.766499999999994</v>
      </c>
      <c r="AD5198">
        <v>-1.12105736</v>
      </c>
      <c r="AE5198">
        <v>-8.6659899999999901</v>
      </c>
      <c r="AF5198">
        <v>-26.513114334808801</v>
      </c>
      <c r="AG5198">
        <v>-1.12105736</v>
      </c>
      <c r="AH5198">
        <v>65.092289039330396</v>
      </c>
      <c r="AI5198">
        <v>90.913802425375906</v>
      </c>
      <c r="AJ5198">
        <v>112.161841526651</v>
      </c>
      <c r="AK5198">
        <v>70.2937272714627</v>
      </c>
      <c r="AL5198">
        <v>77.948060864416107</v>
      </c>
      <c r="AM5198">
        <v>100.136867192035</v>
      </c>
      <c r="AN5198">
        <v>0.99999997700505405</v>
      </c>
    </row>
    <row r="5199" spans="1:40" x14ac:dyDescent="0.25">
      <c r="A5199" t="str">
        <f>"20190303170641709"</f>
        <v>20190303170641709</v>
      </c>
      <c r="B5199" t="str">
        <f>"1551604001699968"</f>
        <v>1551604001699968</v>
      </c>
      <c r="C5199" t="s">
        <v>40</v>
      </c>
      <c r="D5199">
        <v>5.9653700000000001</v>
      </c>
      <c r="E5199">
        <v>0.4162032</v>
      </c>
      <c r="F5199" t="s">
        <v>106</v>
      </c>
      <c r="G5199">
        <v>-224.19479999999999</v>
      </c>
      <c r="H5199" s="1">
        <v>-2.6461649999999998E-6</v>
      </c>
      <c r="I5199">
        <v>-69.435329999999993</v>
      </c>
      <c r="J5199">
        <v>-290.62049999999999</v>
      </c>
      <c r="K5199">
        <v>1.131885</v>
      </c>
      <c r="L5199">
        <v>-61.79175</v>
      </c>
      <c r="M5199">
        <v>0.87580419999999903</v>
      </c>
      <c r="N5199">
        <v>-1.174333E-2</v>
      </c>
      <c r="O5199">
        <v>-0.4825236</v>
      </c>
      <c r="P5199">
        <v>0.92559720000000001</v>
      </c>
      <c r="Q5199">
        <v>0.20191799999999999</v>
      </c>
      <c r="R5199">
        <v>-0.32015450000000001</v>
      </c>
      <c r="S5199">
        <v>3.1322329999999998</v>
      </c>
      <c r="T5199">
        <v>-5.3257350000000002E-2</v>
      </c>
      <c r="U5199">
        <v>-0.36312870000000003</v>
      </c>
      <c r="V5199">
        <v>-0.17202210000000001</v>
      </c>
      <c r="W5199">
        <v>0.20860290000000001</v>
      </c>
      <c r="X5199">
        <v>0.96275290000000002</v>
      </c>
      <c r="Y5199">
        <v>-0.37838939999999999</v>
      </c>
      <c r="Z5199">
        <v>7.4108150000000003E-3</v>
      </c>
      <c r="AA5199">
        <v>0.92561689999999996</v>
      </c>
      <c r="AB5199">
        <v>32</v>
      </c>
      <c r="AC5199">
        <v>66.425700000000006</v>
      </c>
      <c r="AD5199">
        <v>-1.131887646165</v>
      </c>
      <c r="AE5199">
        <v>-7.64358</v>
      </c>
      <c r="AF5199">
        <v>-25.352173001492499</v>
      </c>
      <c r="AG5199">
        <v>-1.131887646165</v>
      </c>
      <c r="AH5199">
        <v>61.850659022456902</v>
      </c>
      <c r="AI5199">
        <v>90.970099685430398</v>
      </c>
      <c r="AJ5199">
        <v>112.288397083795</v>
      </c>
      <c r="AK5199">
        <v>66.854452858828907</v>
      </c>
      <c r="AL5199">
        <v>77.959508330212799</v>
      </c>
      <c r="AM5199">
        <v>100.130550729915</v>
      </c>
      <c r="AN5199">
        <v>0.99999995961761401</v>
      </c>
    </row>
    <row r="5200" spans="1:40" x14ac:dyDescent="0.25">
      <c r="A5200" t="str">
        <f>"20190303170641721"</f>
        <v>20190303170641721</v>
      </c>
      <c r="B5200" t="str">
        <f>"1551604001710705"</f>
        <v>1551604001710705</v>
      </c>
      <c r="C5200" t="s">
        <v>40</v>
      </c>
      <c r="D5200">
        <v>5.9347110000000001</v>
      </c>
      <c r="E5200">
        <v>0.4161454</v>
      </c>
      <c r="F5200" t="s">
        <v>106</v>
      </c>
      <c r="G5200">
        <v>-226.73099999999999</v>
      </c>
      <c r="H5200" s="1">
        <v>-3.4114660000000002E-6</v>
      </c>
      <c r="I5200">
        <v>-68.703710000000001</v>
      </c>
      <c r="J5200">
        <v>-290.46690000000001</v>
      </c>
      <c r="K5200">
        <v>1.131883</v>
      </c>
      <c r="L5200">
        <v>-61.869660000000003</v>
      </c>
      <c r="M5200">
        <v>0.87927099999999903</v>
      </c>
      <c r="N5200">
        <v>-1.1738989999999999E-2</v>
      </c>
      <c r="O5200">
        <v>-0.47617720000000002</v>
      </c>
      <c r="P5200">
        <v>0.92802770000000001</v>
      </c>
      <c r="Q5200">
        <v>0.20141809999999999</v>
      </c>
      <c r="R5200">
        <v>-0.31336209999999998</v>
      </c>
      <c r="S5200">
        <v>3.1359249999999999</v>
      </c>
      <c r="T5200">
        <v>-5.5557130000000003E-2</v>
      </c>
      <c r="U5200">
        <v>-0.33926390000000001</v>
      </c>
      <c r="V5200">
        <v>-0.17215449999999999</v>
      </c>
      <c r="W5200">
        <v>0.208096</v>
      </c>
      <c r="X5200">
        <v>0.96283890000000005</v>
      </c>
      <c r="Y5200">
        <v>-0.37876880000000002</v>
      </c>
      <c r="Z5200">
        <v>7.8740719999999993E-3</v>
      </c>
      <c r="AA5200">
        <v>0.9254578</v>
      </c>
      <c r="AB5200">
        <v>32</v>
      </c>
      <c r="AC5200">
        <v>63.735900000000001</v>
      </c>
      <c r="AD5200">
        <v>-1.1318864114660001</v>
      </c>
      <c r="AE5200">
        <v>-6.8340500000000004</v>
      </c>
      <c r="AF5200">
        <v>-24.334689956155799</v>
      </c>
      <c r="AG5200">
        <v>-1.1318864114660001</v>
      </c>
      <c r="AH5200">
        <v>59.280949023692898</v>
      </c>
      <c r="AI5200">
        <v>91.011927195587901</v>
      </c>
      <c r="AJ5200">
        <v>112.318034575219</v>
      </c>
      <c r="AK5200">
        <v>64.091256964272205</v>
      </c>
      <c r="AL5200">
        <v>77.989202899457098</v>
      </c>
      <c r="AM5200">
        <v>100.137299468542</v>
      </c>
      <c r="AN5200">
        <v>0.99999993221972705</v>
      </c>
    </row>
    <row r="5201" spans="1:40" x14ac:dyDescent="0.25">
      <c r="A5201" t="str">
        <f>"20190303170641733"</f>
        <v>20190303170641733</v>
      </c>
      <c r="B5201" t="str">
        <f>"1551604001720464"</f>
        <v>1551604001720464</v>
      </c>
      <c r="C5201" t="s">
        <v>40</v>
      </c>
      <c r="D5201">
        <v>5.9573070000000001</v>
      </c>
      <c r="E5201">
        <v>0.41652169999999999</v>
      </c>
      <c r="F5201" t="s">
        <v>107</v>
      </c>
      <c r="G5201">
        <v>-230.5515</v>
      </c>
      <c r="H5201" s="1">
        <v>-1.223799E-6</v>
      </c>
      <c r="I5201">
        <v>-67.900530000000003</v>
      </c>
      <c r="J5201">
        <v>-290.32350000000002</v>
      </c>
      <c r="K5201">
        <v>1.1318820000000001</v>
      </c>
      <c r="L5201">
        <v>-61.940550000000002</v>
      </c>
      <c r="M5201">
        <v>0.88244469999999997</v>
      </c>
      <c r="N5201">
        <v>-1.173517E-2</v>
      </c>
      <c r="O5201">
        <v>-0.47026990000000002</v>
      </c>
      <c r="P5201">
        <v>0.93010150000000003</v>
      </c>
      <c r="Q5201">
        <v>0.2009811</v>
      </c>
      <c r="R5201">
        <v>-0.30743769999999998</v>
      </c>
      <c r="S5201">
        <v>3.138855</v>
      </c>
      <c r="T5201">
        <v>-5.9297320000000001E-2</v>
      </c>
      <c r="U5201">
        <v>-0.31594850000000002</v>
      </c>
      <c r="V5201">
        <v>-0.17186899999999999</v>
      </c>
      <c r="W5201">
        <v>0.20766409999999999</v>
      </c>
      <c r="X5201">
        <v>0.96298320000000004</v>
      </c>
      <c r="Y5201">
        <v>-0.37944109999999998</v>
      </c>
      <c r="Z5201">
        <v>8.6304820000000001E-3</v>
      </c>
      <c r="AA5201">
        <v>0.92517570000000005</v>
      </c>
      <c r="AB5201">
        <v>32</v>
      </c>
      <c r="AC5201">
        <v>59.771999999999998</v>
      </c>
      <c r="AD5201">
        <v>-1.131883223799</v>
      </c>
      <c r="AE5201">
        <v>-5.9599799999999998</v>
      </c>
      <c r="AF5201">
        <v>-22.843080764899199</v>
      </c>
      <c r="AG5201">
        <v>-1.131883223799</v>
      </c>
      <c r="AH5201">
        <v>55.532387410889001</v>
      </c>
      <c r="AI5201">
        <v>91.079893427298799</v>
      </c>
      <c r="AJ5201">
        <v>112.359668628547</v>
      </c>
      <c r="AK5201">
        <v>60.057751789565799</v>
      </c>
      <c r="AL5201">
        <v>78.014502288972196</v>
      </c>
      <c r="AM5201">
        <v>100.11935041178199</v>
      </c>
      <c r="AN5201">
        <v>0.99999998753602404</v>
      </c>
    </row>
    <row r="5202" spans="1:40" x14ac:dyDescent="0.25">
      <c r="A5202" t="str">
        <f>"20190303170641745"</f>
        <v>20190303170641745</v>
      </c>
      <c r="B5202" t="str">
        <f>"1551604001739984"</f>
        <v>1551604001739984</v>
      </c>
      <c r="C5202" t="s">
        <v>40</v>
      </c>
      <c r="D5202">
        <v>6.0228919999999997</v>
      </c>
      <c r="E5202">
        <v>0.41743760000000002</v>
      </c>
      <c r="F5202" t="s">
        <v>107</v>
      </c>
      <c r="G5202">
        <v>-233.84180000000001</v>
      </c>
      <c r="H5202" s="1">
        <v>-2.4118119999999998E-6</v>
      </c>
      <c r="I5202">
        <v>-67.319789999999998</v>
      </c>
      <c r="J5202">
        <v>-290.16730000000001</v>
      </c>
      <c r="K5202">
        <v>1.1318809999999999</v>
      </c>
      <c r="L5202">
        <v>-62.017029999999998</v>
      </c>
      <c r="M5202">
        <v>0.88584850000000004</v>
      </c>
      <c r="N5202">
        <v>-1.17311E-2</v>
      </c>
      <c r="O5202">
        <v>-0.46382659999999998</v>
      </c>
      <c r="P5202">
        <v>0.93228129999999998</v>
      </c>
      <c r="Q5202">
        <v>0.20061970000000001</v>
      </c>
      <c r="R5202">
        <v>-0.3010042</v>
      </c>
      <c r="S5202">
        <v>3.1401979999999998</v>
      </c>
      <c r="T5202">
        <v>-6.2929150000000003E-2</v>
      </c>
      <c r="U5202">
        <v>-0.29907230000000001</v>
      </c>
      <c r="V5202">
        <v>-0.17152999999999999</v>
      </c>
      <c r="W5202">
        <v>0.20730960000000001</v>
      </c>
      <c r="X5202">
        <v>0.96311999999999998</v>
      </c>
      <c r="Y5202">
        <v>-0.3776486</v>
      </c>
      <c r="Z5202">
        <v>9.3145250000000006E-3</v>
      </c>
      <c r="AA5202">
        <v>0.92590209999999995</v>
      </c>
      <c r="AB5202">
        <v>32</v>
      </c>
      <c r="AC5202">
        <v>56.325499999999998</v>
      </c>
      <c r="AD5202">
        <v>-1.13188341181199</v>
      </c>
      <c r="AE5202">
        <v>-5.3027599999999904</v>
      </c>
      <c r="AF5202">
        <v>-21.420720325995902</v>
      </c>
      <c r="AG5202">
        <v>-1.13188341181199</v>
      </c>
      <c r="AH5202">
        <v>52.338066186136601</v>
      </c>
      <c r="AI5202">
        <v>91.146618483319003</v>
      </c>
      <c r="AJ5202">
        <v>112.258113222036</v>
      </c>
      <c r="AK5202">
        <v>56.563253013302599</v>
      </c>
      <c r="AL5202">
        <v>78.035265316909801</v>
      </c>
      <c r="AM5202">
        <v>100.09839694443301</v>
      </c>
      <c r="AN5202">
        <v>0.99999997277607899</v>
      </c>
    </row>
    <row r="5203" spans="1:40" x14ac:dyDescent="0.25">
      <c r="A5203" t="str">
        <f>"20190303170641757"</f>
        <v>20190303170641757</v>
      </c>
      <c r="B5203" t="str">
        <f>"1551604001750722"</f>
        <v>1551604001750722</v>
      </c>
      <c r="C5203" t="s">
        <v>40</v>
      </c>
      <c r="D5203">
        <v>6.1055859999999997</v>
      </c>
      <c r="E5203">
        <v>0.41743760000000002</v>
      </c>
      <c r="F5203" t="s">
        <v>107</v>
      </c>
      <c r="G5203">
        <v>-236.91290000000001</v>
      </c>
      <c r="H5203" s="1">
        <v>-3.3726609999999999E-6</v>
      </c>
      <c r="I5203">
        <v>-66.84487</v>
      </c>
      <c r="J5203">
        <v>-290.01069999999999</v>
      </c>
      <c r="K5203">
        <v>1.1318809999999999</v>
      </c>
      <c r="L5203">
        <v>-62.091889999999999</v>
      </c>
      <c r="M5203">
        <v>0.88919400000000004</v>
      </c>
      <c r="N5203">
        <v>-1.1727319999999999E-2</v>
      </c>
      <c r="O5203">
        <v>-0.45738030000000002</v>
      </c>
      <c r="P5203">
        <v>0.93446810000000002</v>
      </c>
      <c r="Q5203">
        <v>0.2000844</v>
      </c>
      <c r="R5203">
        <v>-0.29450969999999999</v>
      </c>
      <c r="S5203">
        <v>3.1403810000000001</v>
      </c>
      <c r="T5203">
        <v>-6.6746589999999995E-2</v>
      </c>
      <c r="U5203">
        <v>-0.28469850000000002</v>
      </c>
      <c r="V5203">
        <v>-0.1712746</v>
      </c>
      <c r="W5203">
        <v>0.2067792</v>
      </c>
      <c r="X5203">
        <v>0.96327949999999996</v>
      </c>
      <c r="Y5203">
        <v>-0.37511359999999999</v>
      </c>
      <c r="Z5203">
        <v>1.001111E-2</v>
      </c>
      <c r="AA5203">
        <v>0.92692479999999999</v>
      </c>
      <c r="AB5203">
        <v>32</v>
      </c>
      <c r="AC5203">
        <v>53.0977999999999</v>
      </c>
      <c r="AD5203">
        <v>-1.1318843726609999</v>
      </c>
      <c r="AE5203">
        <v>-4.75298</v>
      </c>
      <c r="AF5203">
        <v>-20.051904118810501</v>
      </c>
      <c r="AG5203">
        <v>-1.1318843726609999</v>
      </c>
      <c r="AH5203">
        <v>49.369299489377603</v>
      </c>
      <c r="AI5203">
        <v>91.216873958069698</v>
      </c>
      <c r="AJ5203">
        <v>112.105091245108</v>
      </c>
      <c r="AK5203">
        <v>53.298102715714997</v>
      </c>
      <c r="AL5203">
        <v>78.066328540193098</v>
      </c>
      <c r="AM5203">
        <v>100.08203429714899</v>
      </c>
      <c r="AN5203">
        <v>1.0000000106390201</v>
      </c>
    </row>
    <row r="5204" spans="1:40" x14ac:dyDescent="0.25">
      <c r="A5204" t="str">
        <f>"20190303170641768"</f>
        <v>20190303170641768</v>
      </c>
      <c r="B5204" t="str">
        <f>"1551604001760481"</f>
        <v>1551604001760481</v>
      </c>
      <c r="C5204" t="s">
        <v>40</v>
      </c>
      <c r="D5204">
        <v>5.9906090000000001</v>
      </c>
      <c r="E5204">
        <v>0.4180295</v>
      </c>
      <c r="F5204" t="s">
        <v>107</v>
      </c>
      <c r="G5204">
        <v>-238.25880000000001</v>
      </c>
      <c r="H5204" s="1">
        <v>-3.7559229999999999E-6</v>
      </c>
      <c r="I5204">
        <v>-66.423410000000004</v>
      </c>
      <c r="J5204">
        <v>-289.87090000000001</v>
      </c>
      <c r="K5204">
        <v>1.1318820000000001</v>
      </c>
      <c r="L5204">
        <v>-62.157679999999999</v>
      </c>
      <c r="M5204">
        <v>0.89213099999999901</v>
      </c>
      <c r="N5204">
        <v>-1.1724190000000001E-2</v>
      </c>
      <c r="O5204">
        <v>-0.45162469999999999</v>
      </c>
      <c r="P5204">
        <v>0.9363165</v>
      </c>
      <c r="Q5204">
        <v>0.199873</v>
      </c>
      <c r="R5204">
        <v>-0.28872540000000002</v>
      </c>
      <c r="S5204">
        <v>3.1422119999999998</v>
      </c>
      <c r="T5204">
        <v>-6.8724510000000003E-2</v>
      </c>
      <c r="U5204">
        <v>-0.26300050000000003</v>
      </c>
      <c r="V5204">
        <v>-0.17102129999999999</v>
      </c>
      <c r="W5204">
        <v>0.20657149999999999</v>
      </c>
      <c r="X5204">
        <v>0.96336900000000003</v>
      </c>
      <c r="Y5204">
        <v>-0.3755156</v>
      </c>
      <c r="Z5204">
        <v>1.03756E-2</v>
      </c>
      <c r="AA5204">
        <v>0.92675799999999997</v>
      </c>
      <c r="AB5204">
        <v>32</v>
      </c>
      <c r="AC5204">
        <v>51.612099999999998</v>
      </c>
      <c r="AD5204">
        <v>-1.131885755923</v>
      </c>
      <c r="AE5204">
        <v>-4.2657299999999898</v>
      </c>
      <c r="AF5204">
        <v>-19.495736435211899</v>
      </c>
      <c r="AG5204">
        <v>-1.131885755923</v>
      </c>
      <c r="AH5204">
        <v>47.9516536085167</v>
      </c>
      <c r="AI5204">
        <v>91.252661164883605</v>
      </c>
      <c r="AJ5204">
        <v>112.125217411782</v>
      </c>
      <c r="AK5204">
        <v>51.775727791184998</v>
      </c>
      <c r="AL5204">
        <v>78.078490741861998</v>
      </c>
      <c r="AM5204">
        <v>100.066512918157</v>
      </c>
      <c r="AN5204">
        <v>0.99999994991346797</v>
      </c>
    </row>
    <row r="5205" spans="1:40" x14ac:dyDescent="0.25">
      <c r="A5205" t="str">
        <f>"20190303170641779"</f>
        <v>20190303170641779</v>
      </c>
      <c r="B5205" t="str">
        <f>"1551604001770241"</f>
        <v>1551604001770241</v>
      </c>
      <c r="C5205" t="s">
        <v>40</v>
      </c>
      <c r="D5205">
        <v>5.9773370000000003</v>
      </c>
      <c r="E5205">
        <v>0.4185178</v>
      </c>
      <c r="F5205" t="s">
        <v>108</v>
      </c>
      <c r="G5205">
        <v>-240.27209999999999</v>
      </c>
      <c r="H5205" s="1">
        <v>-6.1850459999999899E-7</v>
      </c>
      <c r="I5205">
        <v>-66.076089999999994</v>
      </c>
      <c r="J5205">
        <v>-289.72640000000001</v>
      </c>
      <c r="K5205">
        <v>1.131877</v>
      </c>
      <c r="L5205">
        <v>-62.224670000000003</v>
      </c>
      <c r="M5205">
        <v>0.89511739999999995</v>
      </c>
      <c r="N5205">
        <v>-1.172117E-2</v>
      </c>
      <c r="O5205">
        <v>-0.44567659999999998</v>
      </c>
      <c r="P5205">
        <v>0.93821140000000003</v>
      </c>
      <c r="Q5205">
        <v>0.19973340000000001</v>
      </c>
      <c r="R5205">
        <v>-0.28260629999999998</v>
      </c>
      <c r="S5205">
        <v>3.142792</v>
      </c>
      <c r="T5205">
        <v>-7.172096E-2</v>
      </c>
      <c r="U5205">
        <v>-0.24829100000000001</v>
      </c>
      <c r="V5205">
        <v>-0.1709089</v>
      </c>
      <c r="W5205">
        <v>0.20643249999999999</v>
      </c>
      <c r="X5205">
        <v>0.96341880000000002</v>
      </c>
      <c r="Y5205">
        <v>-0.3736564</v>
      </c>
      <c r="Z5205">
        <v>1.089584E-2</v>
      </c>
      <c r="AA5205">
        <v>0.92750319999999997</v>
      </c>
      <c r="AB5205">
        <v>32</v>
      </c>
      <c r="AC5205">
        <v>49.454300000000003</v>
      </c>
      <c r="AD5205">
        <v>-1.1318776185046</v>
      </c>
      <c r="AE5205">
        <v>-3.8514200000000098</v>
      </c>
      <c r="AF5205">
        <v>-18.5847503512014</v>
      </c>
      <c r="AG5205">
        <v>-1.1318776185046</v>
      </c>
      <c r="AH5205">
        <v>45.963115481759303</v>
      </c>
      <c r="AI5205">
        <v>91.307843103893006</v>
      </c>
      <c r="AJ5205">
        <v>112.015479373129</v>
      </c>
      <c r="AK5205">
        <v>49.591149183592101</v>
      </c>
      <c r="AL5205">
        <v>78.086630980226602</v>
      </c>
      <c r="AM5205">
        <v>100.05952271349</v>
      </c>
      <c r="AN5205">
        <v>1.0000000066744399</v>
      </c>
    </row>
    <row r="5206" spans="1:40" x14ac:dyDescent="0.25">
      <c r="A5206" t="str">
        <f>"20190303170641791"</f>
        <v>20190303170641791</v>
      </c>
      <c r="B5206" t="str">
        <f>"1551604001780000"</f>
        <v>1551604001780000</v>
      </c>
      <c r="C5206" t="s">
        <v>40</v>
      </c>
      <c r="D5206">
        <v>5.9512980000000004</v>
      </c>
      <c r="E5206">
        <v>0.41913889999999998</v>
      </c>
      <c r="F5206" t="s">
        <v>108</v>
      </c>
      <c r="G5206">
        <v>-241.4188</v>
      </c>
      <c r="H5206" s="1">
        <v>-1.0328699999999999E-6</v>
      </c>
      <c r="I5206">
        <v>-65.784649999999999</v>
      </c>
      <c r="J5206">
        <v>-289.57979999999998</v>
      </c>
      <c r="K5206">
        <v>1.1318809999999999</v>
      </c>
      <c r="L5206">
        <v>-62.291110000000003</v>
      </c>
      <c r="M5206">
        <v>0.89809240000000001</v>
      </c>
      <c r="N5206">
        <v>-1.171846E-2</v>
      </c>
      <c r="O5206">
        <v>-0.4396505</v>
      </c>
      <c r="P5206">
        <v>0.94010260000000001</v>
      </c>
      <c r="Q5206">
        <v>0.19951920000000001</v>
      </c>
      <c r="R5206">
        <v>-0.27640409999999999</v>
      </c>
      <c r="S5206">
        <v>3.1434630000000001</v>
      </c>
      <c r="T5206">
        <v>-7.3653339999999998E-2</v>
      </c>
      <c r="U5206">
        <v>-0.2316589</v>
      </c>
      <c r="V5206">
        <v>-0.17081109999999999</v>
      </c>
      <c r="W5206">
        <v>0.20621700000000001</v>
      </c>
      <c r="X5206">
        <v>0.96348230000000001</v>
      </c>
      <c r="Y5206">
        <v>-0.37230819999999998</v>
      </c>
      <c r="Z5206">
        <v>1.1205059999999999E-2</v>
      </c>
      <c r="AA5206">
        <v>0.92804149999999996</v>
      </c>
      <c r="AB5206">
        <v>32</v>
      </c>
      <c r="AC5206">
        <v>48.160999999999902</v>
      </c>
      <c r="AD5206">
        <v>-1.1318820328700001</v>
      </c>
      <c r="AE5206">
        <v>-3.4935399999999999</v>
      </c>
      <c r="AF5206">
        <v>-18.0278204774134</v>
      </c>
      <c r="AG5206">
        <v>-1.1318820328700001</v>
      </c>
      <c r="AH5206">
        <v>44.767446073695801</v>
      </c>
      <c r="AI5206">
        <v>91.343530859998907</v>
      </c>
      <c r="AJ5206">
        <v>111.934612964099</v>
      </c>
      <c r="AK5206">
        <v>48.274296432609397</v>
      </c>
      <c r="AL5206">
        <v>78.099249803789505</v>
      </c>
      <c r="AM5206">
        <v>100.05323467403301</v>
      </c>
      <c r="AN5206">
        <v>1.00000001269275</v>
      </c>
    </row>
    <row r="5207" spans="1:40" x14ac:dyDescent="0.25">
      <c r="A5207" t="str">
        <f>"20190303170641803"</f>
        <v>20190303170641803</v>
      </c>
      <c r="B5207" t="str">
        <f>"1551604001800497"</f>
        <v>1551604001800497</v>
      </c>
      <c r="C5207" t="s">
        <v>40</v>
      </c>
      <c r="D5207">
        <v>5.9508419999999997</v>
      </c>
      <c r="E5207">
        <v>0.42037720000000001</v>
      </c>
      <c r="F5207" t="s">
        <v>108</v>
      </c>
      <c r="G5207">
        <v>-242.45910000000001</v>
      </c>
      <c r="H5207" s="1">
        <v>-1.4094720000000001E-6</v>
      </c>
      <c r="I5207">
        <v>-65.522649999999999</v>
      </c>
      <c r="J5207">
        <v>-289.42489999999998</v>
      </c>
      <c r="K5207">
        <v>1.131885</v>
      </c>
      <c r="L5207">
        <v>-62.360719999999901</v>
      </c>
      <c r="M5207">
        <v>0.90118770000000004</v>
      </c>
      <c r="N5207">
        <v>-1.1715720000000001E-2</v>
      </c>
      <c r="O5207">
        <v>-0.43327080000000001</v>
      </c>
      <c r="P5207">
        <v>0.94200240000000002</v>
      </c>
      <c r="Q5207">
        <v>0.19976869999999999</v>
      </c>
      <c r="R5207">
        <v>-0.26967400000000002</v>
      </c>
      <c r="S5207">
        <v>3.143799</v>
      </c>
      <c r="T5207">
        <v>-7.5516940000000005E-2</v>
      </c>
      <c r="U5207">
        <v>-0.21560670000000001</v>
      </c>
      <c r="V5207">
        <v>-0.17085500000000001</v>
      </c>
      <c r="W5207">
        <v>0.20646100000000001</v>
      </c>
      <c r="X5207">
        <v>0.96342220000000001</v>
      </c>
      <c r="Y5207">
        <v>-0.37043979999999999</v>
      </c>
      <c r="Z5207">
        <v>1.148157E-2</v>
      </c>
      <c r="AA5207">
        <v>0.92878550000000004</v>
      </c>
      <c r="AB5207">
        <v>32</v>
      </c>
      <c r="AC5207">
        <v>46.965799999999902</v>
      </c>
      <c r="AD5207">
        <v>-1.131886409472</v>
      </c>
      <c r="AE5207">
        <v>-3.1619299999999999</v>
      </c>
      <c r="AF5207">
        <v>-17.490504388097001</v>
      </c>
      <c r="AG5207">
        <v>-1.131886409472</v>
      </c>
      <c r="AH5207">
        <v>43.672718190281003</v>
      </c>
      <c r="AI5207">
        <v>91.378253194487698</v>
      </c>
      <c r="AJ5207">
        <v>111.825627686667</v>
      </c>
      <c r="AK5207">
        <v>47.058529776457</v>
      </c>
      <c r="AL5207">
        <v>78.084961480518601</v>
      </c>
      <c r="AM5207">
        <v>100.056380214317</v>
      </c>
      <c r="AN5207">
        <v>0.999999955499419</v>
      </c>
    </row>
    <row r="5208" spans="1:40" x14ac:dyDescent="0.25">
      <c r="A5208" t="str">
        <f>"20190303170641819"</f>
        <v>20190303170641819</v>
      </c>
      <c r="B5208" t="str">
        <f>"1551604001810256"</f>
        <v>1551604001810256</v>
      </c>
      <c r="C5208" t="s">
        <v>40</v>
      </c>
      <c r="D5208">
        <v>5.9679840000000004</v>
      </c>
      <c r="E5208">
        <v>0.42037720000000001</v>
      </c>
      <c r="F5208" t="s">
        <v>108</v>
      </c>
      <c r="G5208">
        <v>-243.64279999999999</v>
      </c>
      <c r="H5208" s="1">
        <v>-1.861351E-6</v>
      </c>
      <c r="I5208">
        <v>-65.312600000000003</v>
      </c>
      <c r="J5208">
        <v>-289.226</v>
      </c>
      <c r="K5208">
        <v>1.131896</v>
      </c>
      <c r="L5208">
        <v>-62.447299999999998</v>
      </c>
      <c r="M5208">
        <v>0.9050705</v>
      </c>
      <c r="N5208">
        <v>-1.171291E-2</v>
      </c>
      <c r="O5208">
        <v>-0.42510039999999999</v>
      </c>
      <c r="P5208">
        <v>0.94429050000000003</v>
      </c>
      <c r="Q5208">
        <v>0.20008799999999999</v>
      </c>
      <c r="R5208">
        <v>-0.26130510000000001</v>
      </c>
      <c r="S5208">
        <v>3.1431879999999999</v>
      </c>
      <c r="T5208">
        <v>-7.7710150000000006E-2</v>
      </c>
      <c r="U5208">
        <v>-0.20266719999999999</v>
      </c>
      <c r="V5208">
        <v>-0.17066999999999999</v>
      </c>
      <c r="W5208">
        <v>0.20678009999999999</v>
      </c>
      <c r="X5208">
        <v>0.96338659999999998</v>
      </c>
      <c r="Y5208">
        <v>-0.36581809999999998</v>
      </c>
      <c r="Z5208">
        <v>1.17476E-2</v>
      </c>
      <c r="AA5208">
        <v>0.9306122</v>
      </c>
      <c r="AB5208">
        <v>32</v>
      </c>
      <c r="AC5208">
        <v>45.583199999999998</v>
      </c>
      <c r="AD5208">
        <v>-1.131897861351</v>
      </c>
      <c r="AE5208">
        <v>-2.8653</v>
      </c>
      <c r="AF5208">
        <v>-16.774985437153401</v>
      </c>
      <c r="AG5208">
        <v>-1.131897861351</v>
      </c>
      <c r="AH5208">
        <v>42.450888130578797</v>
      </c>
      <c r="AI5208">
        <v>91.420516922007593</v>
      </c>
      <c r="AJ5208">
        <v>111.562057492601</v>
      </c>
      <c r="AK5208">
        <v>45.659163727122298</v>
      </c>
      <c r="AL5208">
        <v>78.066275704347305</v>
      </c>
      <c r="AM5208">
        <v>100.046076834313</v>
      </c>
      <c r="AN5208">
        <v>0.99999999985778498</v>
      </c>
    </row>
    <row r="5209" spans="1:40" x14ac:dyDescent="0.25">
      <c r="A5209" t="str">
        <f>"20190303170641830"</f>
        <v>20190303170641830</v>
      </c>
      <c r="B5209" t="str">
        <f>"1551604001820017"</f>
        <v>1551604001820017</v>
      </c>
      <c r="C5209" t="s">
        <v>40</v>
      </c>
      <c r="D5209">
        <v>5.9640089999999999</v>
      </c>
      <c r="E5209">
        <v>0.42979509999999999</v>
      </c>
      <c r="F5209" t="s">
        <v>108</v>
      </c>
      <c r="G5209">
        <v>-242.6677</v>
      </c>
      <c r="H5209" s="1">
        <v>-1.3681469999999999E-6</v>
      </c>
      <c r="I5209">
        <v>-65.031040000000004</v>
      </c>
      <c r="J5209">
        <v>-289.07319999999999</v>
      </c>
      <c r="K5209">
        <v>1.131899</v>
      </c>
      <c r="L5209">
        <v>-62.512479999999996</v>
      </c>
      <c r="M5209">
        <v>0.90799269999999999</v>
      </c>
      <c r="N5209">
        <v>-1.1710999999999999E-2</v>
      </c>
      <c r="O5209">
        <v>-0.4188228</v>
      </c>
      <c r="P5209">
        <v>0.94602160000000002</v>
      </c>
      <c r="Q5209">
        <v>0.1997176</v>
      </c>
      <c r="R5209">
        <v>-0.25525779999999998</v>
      </c>
      <c r="S5209">
        <v>3.1448969999999998</v>
      </c>
      <c r="T5209">
        <v>-7.6456899999999994E-2</v>
      </c>
      <c r="U5209">
        <v>-0.17452999999999999</v>
      </c>
      <c r="V5209">
        <v>-0.17018710000000001</v>
      </c>
      <c r="W5209">
        <v>0.2064204</v>
      </c>
      <c r="X5209">
        <v>0.96354910000000005</v>
      </c>
      <c r="Y5209">
        <v>-0.36770720000000001</v>
      </c>
      <c r="Z5209">
        <v>1.1486140000000001E-2</v>
      </c>
      <c r="AA5209">
        <v>0.92987070000000005</v>
      </c>
      <c r="AB5209">
        <v>32</v>
      </c>
      <c r="AC5209">
        <v>46.405499999999897</v>
      </c>
      <c r="AD5209">
        <v>-1.1319003681469999</v>
      </c>
      <c r="AE5209">
        <v>-2.5185599999999999</v>
      </c>
      <c r="AF5209">
        <v>-17.139852420388401</v>
      </c>
      <c r="AG5209">
        <v>-1.1319003681469999</v>
      </c>
      <c r="AH5209">
        <v>43.1680311695767</v>
      </c>
      <c r="AI5209">
        <v>91.396028526538302</v>
      </c>
      <c r="AJ5209">
        <v>111.655535875792</v>
      </c>
      <c r="AK5209">
        <v>46.460032872283399</v>
      </c>
      <c r="AL5209">
        <v>78.087338826407702</v>
      </c>
      <c r="AM5209">
        <v>100.016573373193</v>
      </c>
      <c r="AN5209">
        <v>0.99999994932668801</v>
      </c>
    </row>
    <row r="5210" spans="1:40" x14ac:dyDescent="0.25">
      <c r="A5210" t="str">
        <f>"20190303170641841"</f>
        <v>20190303170641841</v>
      </c>
      <c r="B5210" t="str">
        <f>"1551604001829776"</f>
        <v>1551604001829776</v>
      </c>
      <c r="C5210" t="s">
        <v>40</v>
      </c>
      <c r="D5210">
        <v>5.9319680000000004</v>
      </c>
      <c r="E5210">
        <v>0.43021379999999998</v>
      </c>
      <c r="F5210" t="s">
        <v>109</v>
      </c>
      <c r="G5210">
        <v>-254.9631</v>
      </c>
      <c r="H5210" s="1">
        <v>-2.2878910000000001E-6</v>
      </c>
      <c r="I5210">
        <v>-64.982299999999995</v>
      </c>
      <c r="J5210">
        <v>-288.93180000000001</v>
      </c>
      <c r="K5210">
        <v>1.131902</v>
      </c>
      <c r="L5210">
        <v>-62.572139999999997</v>
      </c>
      <c r="M5210">
        <v>0.91065309999999999</v>
      </c>
      <c r="N5210">
        <v>-1.170933E-2</v>
      </c>
      <c r="O5210">
        <v>-0.41300619999999999</v>
      </c>
      <c r="P5210">
        <v>0.94759150000000003</v>
      </c>
      <c r="Q5210">
        <v>0.1993511</v>
      </c>
      <c r="R5210">
        <v>-0.24965860000000001</v>
      </c>
      <c r="S5210">
        <v>3.131958</v>
      </c>
      <c r="T5210">
        <v>-0.1039302</v>
      </c>
      <c r="U5210">
        <v>-0.22677610000000001</v>
      </c>
      <c r="V5210">
        <v>-0.16974520000000001</v>
      </c>
      <c r="W5210">
        <v>0.20606440000000001</v>
      </c>
      <c r="X5210">
        <v>0.96370330000000004</v>
      </c>
      <c r="Y5210">
        <v>-0.34585070000000001</v>
      </c>
      <c r="Z5210">
        <v>1.6110630000000001E-2</v>
      </c>
      <c r="AA5210">
        <v>0.93815119999999996</v>
      </c>
      <c r="AB5210">
        <v>32</v>
      </c>
      <c r="AC5210">
        <v>33.968699999999998</v>
      </c>
      <c r="AD5210">
        <v>-1.1319042878909999</v>
      </c>
      <c r="AE5210">
        <v>-2.4101599999999901</v>
      </c>
      <c r="AF5210">
        <v>-11.822212560108101</v>
      </c>
      <c r="AG5210">
        <v>-1.1319042878909999</v>
      </c>
      <c r="AH5210">
        <v>31.896058794517099</v>
      </c>
      <c r="AI5210">
        <v>91.905821889574895</v>
      </c>
      <c r="AJ5210">
        <v>110.337127163589</v>
      </c>
      <c r="AK5210">
        <v>34.035341687084802</v>
      </c>
      <c r="AL5210">
        <v>78.108185016901999</v>
      </c>
      <c r="AM5210">
        <v>99.989523050596105</v>
      </c>
      <c r="AN5210">
        <v>1.0000000101506401</v>
      </c>
    </row>
    <row r="5211" spans="1:40" x14ac:dyDescent="0.25">
      <c r="A5211" t="str">
        <f>"20190303170641855"</f>
        <v>20190303170641855</v>
      </c>
      <c r="B5211" t="str">
        <f>"1551604001850430"</f>
        <v>1551604001850430</v>
      </c>
      <c r="C5211" t="s">
        <v>40</v>
      </c>
      <c r="D5211">
        <v>5.9588979999999996</v>
      </c>
      <c r="E5211">
        <v>0.41302359999999999</v>
      </c>
      <c r="F5211" t="s">
        <v>109</v>
      </c>
      <c r="G5211">
        <v>-256.87439999999998</v>
      </c>
      <c r="H5211" s="1">
        <v>-2.9439779999999999E-6</v>
      </c>
      <c r="I5211">
        <v>-64.733900000000006</v>
      </c>
      <c r="J5211">
        <v>-288.75459999999998</v>
      </c>
      <c r="K5211">
        <v>1.1319049999999999</v>
      </c>
      <c r="L5211">
        <v>-62.644680000000001</v>
      </c>
      <c r="M5211">
        <v>0.91391820000000001</v>
      </c>
      <c r="N5211">
        <v>-1.170771E-2</v>
      </c>
      <c r="O5211">
        <v>-0.40572960000000002</v>
      </c>
      <c r="P5211">
        <v>0.94965710000000003</v>
      </c>
      <c r="Q5211">
        <v>0.19873479999999999</v>
      </c>
      <c r="R5211">
        <v>-0.2421895</v>
      </c>
      <c r="S5211">
        <v>3.1334840000000002</v>
      </c>
      <c r="T5211">
        <v>-0.11063919999999999</v>
      </c>
      <c r="U5211">
        <v>-0.21130370000000001</v>
      </c>
      <c r="V5211">
        <v>-0.169686</v>
      </c>
      <c r="W5211">
        <v>0.20544660000000001</v>
      </c>
      <c r="X5211">
        <v>0.96384559999999997</v>
      </c>
      <c r="Y5211">
        <v>-0.34296500000000002</v>
      </c>
      <c r="Z5211">
        <v>1.7125169999999999E-2</v>
      </c>
      <c r="AA5211">
        <v>0.93919209999999997</v>
      </c>
      <c r="AB5211">
        <v>32</v>
      </c>
      <c r="AC5211">
        <v>31.880199999999999</v>
      </c>
      <c r="AD5211">
        <v>-1.131907943978</v>
      </c>
      <c r="AE5211">
        <v>-2.0892199999999899</v>
      </c>
      <c r="AF5211">
        <v>-11.0122971835179</v>
      </c>
      <c r="AG5211">
        <v>-1.131907943978</v>
      </c>
      <c r="AH5211">
        <v>29.9480164343803</v>
      </c>
      <c r="AI5211">
        <v>92.031631113948507</v>
      </c>
      <c r="AJ5211">
        <v>110.18916866517201</v>
      </c>
      <c r="AK5211">
        <v>31.9286014915415</v>
      </c>
      <c r="AL5211">
        <v>78.144356076773093</v>
      </c>
      <c r="AM5211">
        <v>99.984664606513405</v>
      </c>
      <c r="AN5211">
        <v>0.99999999234345904</v>
      </c>
    </row>
    <row r="5212" spans="1:40" x14ac:dyDescent="0.25">
      <c r="A5212" t="str">
        <f>"20190303170641869"</f>
        <v>20190303170641869</v>
      </c>
      <c r="B5212" t="str">
        <f>"1551604001860190"</f>
        <v>1551604001860190</v>
      </c>
      <c r="C5212" t="s">
        <v>40</v>
      </c>
      <c r="D5212">
        <v>5.9223410000000003</v>
      </c>
      <c r="E5212">
        <v>0.40994710000000001</v>
      </c>
      <c r="F5212" t="s">
        <v>71</v>
      </c>
      <c r="G5212">
        <v>-207.5138</v>
      </c>
      <c r="H5212" s="1">
        <v>-2.0598390000000002E-6</v>
      </c>
      <c r="I5212">
        <v>-64.03192</v>
      </c>
      <c r="J5212">
        <v>-288.5686</v>
      </c>
      <c r="K5212">
        <v>1.1319090000000001</v>
      </c>
      <c r="L5212">
        <v>-62.719479999999997</v>
      </c>
      <c r="M5212">
        <v>0.91727380000000003</v>
      </c>
      <c r="N5212">
        <v>-1.170622E-2</v>
      </c>
      <c r="O5212">
        <v>-0.39808539999999998</v>
      </c>
      <c r="P5212">
        <v>0.95177489999999998</v>
      </c>
      <c r="Q5212">
        <v>0.19832150000000001</v>
      </c>
      <c r="R5212">
        <v>-0.23407929999999999</v>
      </c>
      <c r="S5212">
        <v>3.15448</v>
      </c>
      <c r="T5212">
        <v>-4.395056E-2</v>
      </c>
      <c r="U5212">
        <v>-5.386353E-2</v>
      </c>
      <c r="V5212">
        <v>-0.16988839999999999</v>
      </c>
      <c r="W5212">
        <v>0.20502329999999999</v>
      </c>
      <c r="X5212">
        <v>0.96390010000000004</v>
      </c>
      <c r="Y5212">
        <v>-0.38232690000000003</v>
      </c>
      <c r="Z5212">
        <v>5.5585890000000001E-3</v>
      </c>
      <c r="AA5212">
        <v>0.92401049999999996</v>
      </c>
      <c r="AB5212">
        <v>32</v>
      </c>
      <c r="AC5212">
        <v>81.0548</v>
      </c>
      <c r="AD5212">
        <v>-1.1319110598389901</v>
      </c>
      <c r="AE5212">
        <v>-1.3124399999999901</v>
      </c>
      <c r="AF5212">
        <v>-31.058935060471001</v>
      </c>
      <c r="AG5212">
        <v>-1.1319110598389901</v>
      </c>
      <c r="AH5212">
        <v>74.862433560420797</v>
      </c>
      <c r="AI5212">
        <v>90.800121063792801</v>
      </c>
      <c r="AJ5212">
        <v>112.532590087321</v>
      </c>
      <c r="AK5212">
        <v>81.057526660553606</v>
      </c>
      <c r="AL5212">
        <v>78.169137137138094</v>
      </c>
      <c r="AM5212">
        <v>99.995780347873307</v>
      </c>
      <c r="AN5212">
        <v>1.00000001238873</v>
      </c>
    </row>
    <row r="5213" spans="1:40" x14ac:dyDescent="0.25">
      <c r="A5213" t="str">
        <f>"20190303170641881"</f>
        <v>20190303170641881</v>
      </c>
      <c r="B5213" t="str">
        <f>"1551604001869950"</f>
        <v>1551604001869950</v>
      </c>
      <c r="C5213" t="s">
        <v>40</v>
      </c>
      <c r="D5213">
        <v>5.9199250000000001</v>
      </c>
      <c r="E5213">
        <v>0.40857690000000002</v>
      </c>
      <c r="F5213" t="s">
        <v>54</v>
      </c>
      <c r="G5213">
        <v>-157.3501</v>
      </c>
      <c r="H5213">
        <v>0.16225149999999999</v>
      </c>
      <c r="I5213">
        <v>-62.866660000000003</v>
      </c>
      <c r="J5213">
        <v>-288.40359999999998</v>
      </c>
      <c r="K5213">
        <v>1.1319129999999999</v>
      </c>
      <c r="L5213">
        <v>-62.784579999999998</v>
      </c>
      <c r="M5213">
        <v>0.92018940000000005</v>
      </c>
      <c r="N5213">
        <v>-1.170508E-2</v>
      </c>
      <c r="O5213">
        <v>-0.3912987</v>
      </c>
      <c r="P5213">
        <v>0.95365520000000004</v>
      </c>
      <c r="Q5213">
        <v>0.19781670000000001</v>
      </c>
      <c r="R5213">
        <v>-0.226739</v>
      </c>
      <c r="S5213">
        <v>3.1560060000000001</v>
      </c>
      <c r="T5213">
        <v>-2.3322220000000001E-2</v>
      </c>
      <c r="U5213">
        <v>-3.540039E-3</v>
      </c>
      <c r="V5213">
        <v>-0.17022619999999999</v>
      </c>
      <c r="W5213">
        <v>0.2045061</v>
      </c>
      <c r="X5213">
        <v>0.96395030000000004</v>
      </c>
      <c r="Y5213">
        <v>-0.39026290000000002</v>
      </c>
      <c r="Z5213">
        <v>1.8817949999999999E-3</v>
      </c>
      <c r="AA5213">
        <v>0.92070160000000001</v>
      </c>
      <c r="AB5213">
        <v>32</v>
      </c>
      <c r="AC5213">
        <v>131.05350000000001</v>
      </c>
      <c r="AD5213">
        <v>-0.96966149999999995</v>
      </c>
      <c r="AE5213">
        <v>-8.2079999999990605E-2</v>
      </c>
      <c r="AF5213">
        <v>-51.206234462254699</v>
      </c>
      <c r="AG5213">
        <v>-0.96966149999999995</v>
      </c>
      <c r="AH5213">
        <v>120.627806989652</v>
      </c>
      <c r="AI5213">
        <v>90.423945397358906</v>
      </c>
      <c r="AJ5213">
        <v>113.001114116856</v>
      </c>
      <c r="AK5213">
        <v>131.04993899411301</v>
      </c>
      <c r="AL5213">
        <v>78.199411164797695</v>
      </c>
      <c r="AM5213">
        <v>100.01474258735399</v>
      </c>
      <c r="AN5213">
        <v>0.99999994248686797</v>
      </c>
    </row>
    <row r="5214" spans="1:40" x14ac:dyDescent="0.25">
      <c r="A5214" t="str">
        <f>"20190303170641898"</f>
        <v>20190303170641898</v>
      </c>
      <c r="B5214" t="str">
        <f>"1551604001890446"</f>
        <v>1551604001890446</v>
      </c>
      <c r="C5214" t="s">
        <v>40</v>
      </c>
      <c r="D5214">
        <v>5.9339709999999997</v>
      </c>
      <c r="E5214">
        <v>0.40783269999999999</v>
      </c>
      <c r="F5214" t="s">
        <v>54</v>
      </c>
      <c r="G5214">
        <v>-157.3501</v>
      </c>
      <c r="H5214">
        <v>0.66764829999999997</v>
      </c>
      <c r="I5214">
        <v>-61.499360000000003</v>
      </c>
      <c r="J5214">
        <v>-288.20119999999997</v>
      </c>
      <c r="K5214">
        <v>1.1319220000000001</v>
      </c>
      <c r="L5214">
        <v>-62.861849999999997</v>
      </c>
      <c r="M5214">
        <v>0.92368019999999995</v>
      </c>
      <c r="N5214">
        <v>-1.1704229999999999E-2</v>
      </c>
      <c r="O5214">
        <v>-0.38298569999999998</v>
      </c>
      <c r="P5214">
        <v>0.95585629999999999</v>
      </c>
      <c r="Q5214">
        <v>0.19712679999999999</v>
      </c>
      <c r="R5214">
        <v>-0.21789910000000001</v>
      </c>
      <c r="S5214">
        <v>3.1554570000000002</v>
      </c>
      <c r="T5214">
        <v>-1.1178850000000001E-2</v>
      </c>
      <c r="U5214">
        <v>3.0944820000000001E-2</v>
      </c>
      <c r="V5214">
        <v>-0.17050079999999901</v>
      </c>
      <c r="W5214">
        <v>0.20380499999999999</v>
      </c>
      <c r="X5214">
        <v>0.96405030000000003</v>
      </c>
      <c r="Y5214">
        <v>-0.39202920000000002</v>
      </c>
      <c r="Z5214">
        <v>-2.5008840000000001E-4</v>
      </c>
      <c r="AA5214">
        <v>0.91995280000000001</v>
      </c>
      <c r="AB5214">
        <v>32</v>
      </c>
      <c r="AC5214">
        <v>130.85109999999901</v>
      </c>
      <c r="AD5214">
        <v>-0.46427369999999901</v>
      </c>
      <c r="AE5214">
        <v>1.36249</v>
      </c>
      <c r="AF5214">
        <v>-51.375473784704297</v>
      </c>
      <c r="AG5214">
        <v>-0.46427369999999901</v>
      </c>
      <c r="AH5214">
        <v>120.349475909161</v>
      </c>
      <c r="AI5214">
        <v>90.203282240928601</v>
      </c>
      <c r="AJ5214">
        <v>113.116944367009</v>
      </c>
      <c r="AK5214">
        <v>130.857369713292</v>
      </c>
      <c r="AL5214">
        <v>78.240446062296797</v>
      </c>
      <c r="AM5214">
        <v>100.029550696559</v>
      </c>
      <c r="AN5214">
        <v>0.99999999087786495</v>
      </c>
    </row>
    <row r="5215" spans="1:40" x14ac:dyDescent="0.25">
      <c r="A5215" t="str">
        <f>"20190303170641908"</f>
        <v>20190303170641908</v>
      </c>
      <c r="B5215" t="str">
        <f>"1551604001900207"</f>
        <v>1551604001900207</v>
      </c>
      <c r="C5215" t="s">
        <v>40</v>
      </c>
      <c r="D5215">
        <v>5.9133060000000004</v>
      </c>
      <c r="E5215">
        <v>0.40783459999999999</v>
      </c>
      <c r="F5215" t="s">
        <v>54</v>
      </c>
      <c r="G5215">
        <v>-157.3501</v>
      </c>
      <c r="H5215">
        <v>1.1505609999999999</v>
      </c>
      <c r="I5215">
        <v>-60.155639999999998</v>
      </c>
      <c r="J5215">
        <v>-288.04050000000001</v>
      </c>
      <c r="K5215">
        <v>1.131926</v>
      </c>
      <c r="L5215">
        <v>-62.921939999999999</v>
      </c>
      <c r="M5215">
        <v>0.92638989999999999</v>
      </c>
      <c r="N5215">
        <v>-1.1703679999999999E-2</v>
      </c>
      <c r="O5215">
        <v>-0.37638389999999999</v>
      </c>
      <c r="P5215">
        <v>0.95742609999999995</v>
      </c>
      <c r="Q5215">
        <v>0.19665769999999999</v>
      </c>
      <c r="R5215">
        <v>-0.2113312</v>
      </c>
      <c r="S5215">
        <v>3.1533509999999998</v>
      </c>
      <c r="T5215">
        <v>4.4870380000000001E-4</v>
      </c>
      <c r="U5215">
        <v>6.5216060000000006E-2</v>
      </c>
      <c r="V5215">
        <v>-0.17026569999999999</v>
      </c>
      <c r="W5215">
        <v>0.20334050000000001</v>
      </c>
      <c r="X5215">
        <v>0.96418990000000004</v>
      </c>
      <c r="Y5215">
        <v>-0.39545970000000003</v>
      </c>
      <c r="Z5215">
        <v>-2.250784E-3</v>
      </c>
      <c r="AA5215">
        <v>0.91848059999999998</v>
      </c>
      <c r="AB5215">
        <v>32</v>
      </c>
      <c r="AC5215">
        <v>130.69040000000001</v>
      </c>
      <c r="AD5215">
        <v>1.8635000000000099E-2</v>
      </c>
      <c r="AE5215">
        <v>2.76629999999999</v>
      </c>
      <c r="AF5215">
        <v>-51.755976927474798</v>
      </c>
      <c r="AG5215">
        <v>1.8635000000000099E-2</v>
      </c>
      <c r="AH5215">
        <v>120.037290979121</v>
      </c>
      <c r="AI5215">
        <v>89.991832087426204</v>
      </c>
      <c r="AJ5215">
        <v>113.324054091511</v>
      </c>
      <c r="AK5215">
        <v>130.71967227845499</v>
      </c>
      <c r="AL5215">
        <v>78.267628868384406</v>
      </c>
      <c r="AM5215">
        <v>100.014580569025</v>
      </c>
      <c r="AN5215">
        <v>0.99999996539937397</v>
      </c>
    </row>
    <row r="5216" spans="1:40" x14ac:dyDescent="0.25">
      <c r="A5216" t="str">
        <f>"20190303170641919"</f>
        <v>20190303170641919</v>
      </c>
      <c r="B5216" t="str">
        <f>"1551604001909967"</f>
        <v>1551604001909967</v>
      </c>
      <c r="C5216" t="s">
        <v>40</v>
      </c>
      <c r="D5216">
        <v>5.932887</v>
      </c>
      <c r="E5216">
        <v>0.40796310000000002</v>
      </c>
      <c r="F5216" t="s">
        <v>54</v>
      </c>
      <c r="G5216">
        <v>-157.3501</v>
      </c>
      <c r="H5216">
        <v>1.198644</v>
      </c>
      <c r="I5216">
        <v>-59.323549999999997</v>
      </c>
      <c r="J5216">
        <v>-287.899</v>
      </c>
      <c r="K5216">
        <v>1.1319319999999999</v>
      </c>
      <c r="L5216">
        <v>-62.973939999999999</v>
      </c>
      <c r="M5216">
        <v>0.92873209999999995</v>
      </c>
      <c r="N5216">
        <v>-1.170329E-2</v>
      </c>
      <c r="O5216">
        <v>-0.37056670000000003</v>
      </c>
      <c r="P5216">
        <v>0.95869579999999999</v>
      </c>
      <c r="Q5216">
        <v>0.19633719999999999</v>
      </c>
      <c r="R5216">
        <v>-0.20580109999999999</v>
      </c>
      <c r="S5216">
        <v>3.1522220000000001</v>
      </c>
      <c r="T5216">
        <v>1.6087289999999999E-3</v>
      </c>
      <c r="U5216">
        <v>8.6791989999999999E-2</v>
      </c>
      <c r="V5216">
        <v>-0.169801799999999</v>
      </c>
      <c r="W5216">
        <v>0.2030314</v>
      </c>
      <c r="X5216">
        <v>0.96433690000000005</v>
      </c>
      <c r="Y5216">
        <v>-0.39598879999999997</v>
      </c>
      <c r="Z5216">
        <v>-2.3798550000000002E-3</v>
      </c>
      <c r="AA5216">
        <v>0.91825230000000002</v>
      </c>
      <c r="AB5216">
        <v>32</v>
      </c>
      <c r="AC5216">
        <v>130.5489</v>
      </c>
      <c r="AD5216">
        <v>6.6712000000000105E-2</v>
      </c>
      <c r="AE5216">
        <v>3.6503899999999998</v>
      </c>
      <c r="AF5216">
        <v>-51.7708425372291</v>
      </c>
      <c r="AG5216">
        <v>6.6712000000000105E-2</v>
      </c>
      <c r="AH5216">
        <v>119.900423687196</v>
      </c>
      <c r="AI5216">
        <v>89.970732627279901</v>
      </c>
      <c r="AJ5216">
        <v>113.35381668949699</v>
      </c>
      <c r="AK5216">
        <v>130.59990883562901</v>
      </c>
      <c r="AL5216">
        <v>78.285717047084802</v>
      </c>
      <c r="AM5216">
        <v>99.986353467908998</v>
      </c>
      <c r="AN5216">
        <v>1.0000000286854001</v>
      </c>
    </row>
    <row r="5217" spans="1:40" x14ac:dyDescent="0.25">
      <c r="A5217" t="str">
        <f>"20190303170641931"</f>
        <v>20190303170641931</v>
      </c>
      <c r="B5217" t="str">
        <f>"1551604001920703"</f>
        <v>1551604001920703</v>
      </c>
      <c r="C5217" t="s">
        <v>40</v>
      </c>
      <c r="D5217">
        <v>5.9517199999999999</v>
      </c>
      <c r="E5217">
        <v>0.40810299999999999</v>
      </c>
      <c r="F5217" t="s">
        <v>54</v>
      </c>
      <c r="G5217">
        <v>-157.3501</v>
      </c>
      <c r="H5217">
        <v>1.2340420000000001</v>
      </c>
      <c r="I5217">
        <v>-58.660020000000003</v>
      </c>
      <c r="J5217">
        <v>-287.75409999999999</v>
      </c>
      <c r="K5217">
        <v>1.131937</v>
      </c>
      <c r="L5217">
        <v>-63.025849999999998</v>
      </c>
      <c r="M5217">
        <v>0.931087</v>
      </c>
      <c r="N5217">
        <v>-1.1703119999999999E-2</v>
      </c>
      <c r="O5217">
        <v>-0.36460969999999998</v>
      </c>
      <c r="P5217">
        <v>0.9599453</v>
      </c>
      <c r="Q5217">
        <v>0.19619320000000001</v>
      </c>
      <c r="R5217">
        <v>-0.2000334</v>
      </c>
      <c r="S5217">
        <v>3.1510929999999999</v>
      </c>
      <c r="T5217">
        <v>2.4641749999999999E-3</v>
      </c>
      <c r="U5217">
        <v>0.104126</v>
      </c>
      <c r="V5217">
        <v>-0.1694319</v>
      </c>
      <c r="W5217">
        <v>0.20289599999999999</v>
      </c>
      <c r="X5217">
        <v>0.96443040000000002</v>
      </c>
      <c r="Y5217">
        <v>-0.3951617</v>
      </c>
      <c r="Z5217">
        <v>-2.4575370000000001E-3</v>
      </c>
      <c r="AA5217">
        <v>0.91860819999999999</v>
      </c>
      <c r="AB5217">
        <v>32</v>
      </c>
      <c r="AC5217">
        <v>130.404</v>
      </c>
      <c r="AD5217">
        <v>0.102105</v>
      </c>
      <c r="AE5217">
        <v>4.3658299999999999</v>
      </c>
      <c r="AF5217">
        <v>-51.615028957726601</v>
      </c>
      <c r="AG5217">
        <v>0.102105</v>
      </c>
      <c r="AH5217">
        <v>119.833766620427</v>
      </c>
      <c r="AI5217">
        <v>89.955163092505103</v>
      </c>
      <c r="AJ5217">
        <v>113.302603631404</v>
      </c>
      <c r="AK5217">
        <v>130.47702197006501</v>
      </c>
      <c r="AL5217">
        <v>78.293639171957594</v>
      </c>
      <c r="AM5217">
        <v>99.964088758966696</v>
      </c>
      <c r="AN5217">
        <v>0.99999997599888402</v>
      </c>
    </row>
    <row r="5218" spans="1:40" x14ac:dyDescent="0.25">
      <c r="A5218" t="str">
        <f>"20190303170641942"</f>
        <v>20190303170641942</v>
      </c>
      <c r="B5218" t="str">
        <f>"1551604001930462"</f>
        <v>1551604001930462</v>
      </c>
      <c r="C5218" t="s">
        <v>40</v>
      </c>
      <c r="D5218">
        <v>5.9417309999999999</v>
      </c>
      <c r="E5218">
        <v>0.4082711</v>
      </c>
      <c r="F5218" t="s">
        <v>54</v>
      </c>
      <c r="G5218">
        <v>-157.3501</v>
      </c>
      <c r="H5218">
        <v>1.2691190000000001</v>
      </c>
      <c r="I5218">
        <v>-57.952240000000003</v>
      </c>
      <c r="J5218">
        <v>-287.60160000000002</v>
      </c>
      <c r="K5218">
        <v>1.1319459999999999</v>
      </c>
      <c r="L5218">
        <v>-63.079900000000002</v>
      </c>
      <c r="M5218">
        <v>0.93352009999999996</v>
      </c>
      <c r="N5218">
        <v>-1.170297E-2</v>
      </c>
      <c r="O5218">
        <v>-0.35833419999999999</v>
      </c>
      <c r="P5218">
        <v>0.9613022</v>
      </c>
      <c r="Q5218">
        <v>0.1958481</v>
      </c>
      <c r="R5218">
        <v>-0.1937574</v>
      </c>
      <c r="S5218">
        <v>3.150055</v>
      </c>
      <c r="T5218">
        <v>3.3133030000000001E-3</v>
      </c>
      <c r="U5218">
        <v>0.1225586</v>
      </c>
      <c r="V5218">
        <v>-0.1692602</v>
      </c>
      <c r="W5218">
        <v>0.20255329999999999</v>
      </c>
      <c r="X5218">
        <v>0.96453259999999996</v>
      </c>
      <c r="Y5218">
        <v>-0.3943564</v>
      </c>
      <c r="Z5218">
        <v>-2.5265919999999998E-3</v>
      </c>
      <c r="AA5218">
        <v>0.9189541</v>
      </c>
      <c r="AB5218">
        <v>32</v>
      </c>
      <c r="AC5218">
        <v>130.25149999999999</v>
      </c>
      <c r="AD5218">
        <v>0.13717299999999999</v>
      </c>
      <c r="AE5218">
        <v>5.1276599999999899</v>
      </c>
      <c r="AF5218">
        <v>-51.463804603240199</v>
      </c>
      <c r="AG5218">
        <v>0.13717299999999999</v>
      </c>
      <c r="AH5218">
        <v>119.763038255898</v>
      </c>
      <c r="AI5218">
        <v>89.939706209963106</v>
      </c>
      <c r="AJ5218">
        <v>113.253853821671</v>
      </c>
      <c r="AK5218">
        <v>130.35232001370801</v>
      </c>
      <c r="AL5218">
        <v>78.313691024172698</v>
      </c>
      <c r="AM5218">
        <v>99.953159710956498</v>
      </c>
      <c r="AN5218">
        <v>0.999999995553844</v>
      </c>
    </row>
    <row r="5219" spans="1:40" x14ac:dyDescent="0.25">
      <c r="A5219" t="str">
        <f>"20190303170641953"</f>
        <v>20190303170641953</v>
      </c>
      <c r="B5219" t="str">
        <f>"1551604001940223"</f>
        <v>1551604001940223</v>
      </c>
      <c r="C5219" t="s">
        <v>40</v>
      </c>
      <c r="D5219">
        <v>5.9396690000000003</v>
      </c>
      <c r="E5219">
        <v>0.40849760000000002</v>
      </c>
      <c r="F5219" t="s">
        <v>54</v>
      </c>
      <c r="G5219">
        <v>-157.3501</v>
      </c>
      <c r="H5219">
        <v>1.2054510000000001</v>
      </c>
      <c r="I5219">
        <v>-57.206409999999998</v>
      </c>
      <c r="J5219">
        <v>-287.4597</v>
      </c>
      <c r="K5219">
        <v>1.131956</v>
      </c>
      <c r="L5219">
        <v>-63.128419999999998</v>
      </c>
      <c r="M5219">
        <v>0.93573819999999996</v>
      </c>
      <c r="N5219">
        <v>-1.1705749999999999E-2</v>
      </c>
      <c r="O5219">
        <v>-0.3525008</v>
      </c>
      <c r="P5219">
        <v>0.96246140000000002</v>
      </c>
      <c r="Q5219">
        <v>0.19548080000000001</v>
      </c>
      <c r="R5219">
        <v>-0.1882953</v>
      </c>
      <c r="S5219">
        <v>3.148987</v>
      </c>
      <c r="T5219">
        <v>1.776576E-3</v>
      </c>
      <c r="U5219">
        <v>0.14199829999999999</v>
      </c>
      <c r="V5219">
        <v>-0.1687369</v>
      </c>
      <c r="W5219">
        <v>0.20220160000000001</v>
      </c>
      <c r="X5219">
        <v>0.9646981</v>
      </c>
      <c r="Y5219">
        <v>-0.39429769999999997</v>
      </c>
      <c r="Z5219">
        <v>-2.1825740000000001E-3</v>
      </c>
      <c r="AA5219">
        <v>0.91898020000000002</v>
      </c>
      <c r="AB5219">
        <v>32</v>
      </c>
      <c r="AC5219">
        <v>130.1096</v>
      </c>
      <c r="AD5219">
        <v>7.3495000000000005E-2</v>
      </c>
      <c r="AE5219">
        <v>5.9220100000000002</v>
      </c>
      <c r="AF5219">
        <v>-51.408699636365597</v>
      </c>
      <c r="AG5219">
        <v>7.3495000000000005E-2</v>
      </c>
      <c r="AH5219">
        <v>119.66918155178099</v>
      </c>
      <c r="AI5219">
        <v>89.967668802833103</v>
      </c>
      <c r="AJ5219">
        <v>113.247882771555</v>
      </c>
      <c r="AK5219">
        <v>130.24428130666701</v>
      </c>
      <c r="AL5219">
        <v>78.334268095346502</v>
      </c>
      <c r="AM5219">
        <v>99.921331671496205</v>
      </c>
      <c r="AN5219">
        <v>1.00000002630388</v>
      </c>
    </row>
    <row r="5220" spans="1:40" x14ac:dyDescent="0.25">
      <c r="A5220" t="str">
        <f>"20190303170641964"</f>
        <v>20190303170641964</v>
      </c>
      <c r="B5220" t="str">
        <f>"1551604001950489"</f>
        <v>1551604001950489</v>
      </c>
      <c r="C5220" t="s">
        <v>40</v>
      </c>
      <c r="D5220">
        <v>5.954631</v>
      </c>
      <c r="E5220">
        <v>0.40888809999999998</v>
      </c>
      <c r="F5220" t="s">
        <v>54</v>
      </c>
      <c r="G5220">
        <v>-157.3501</v>
      </c>
      <c r="H5220">
        <v>1.130606</v>
      </c>
      <c r="I5220">
        <v>-56.608359999999998</v>
      </c>
      <c r="J5220">
        <v>-287.31220000000002</v>
      </c>
      <c r="K5220">
        <v>1.1319669999999999</v>
      </c>
      <c r="L5220">
        <v>-63.17859</v>
      </c>
      <c r="M5220">
        <v>0.93800430000000001</v>
      </c>
      <c r="N5220">
        <v>-1.170914E-2</v>
      </c>
      <c r="O5220">
        <v>-0.34642620000000002</v>
      </c>
      <c r="P5220">
        <v>0.96364749999999999</v>
      </c>
      <c r="Q5220">
        <v>0.19518920000000001</v>
      </c>
      <c r="R5220">
        <v>-0.18244170000000001</v>
      </c>
      <c r="S5220">
        <v>3.1478579999999998</v>
      </c>
      <c r="T5220" s="1">
        <v>-3.3140179999999997E-5</v>
      </c>
      <c r="U5220">
        <v>0.15774540000000001</v>
      </c>
      <c r="V5220">
        <v>-0.16836229999999999</v>
      </c>
      <c r="W5220">
        <v>0.20192099999999999</v>
      </c>
      <c r="X5220">
        <v>0.96482230000000002</v>
      </c>
      <c r="Y5220">
        <v>-0.39294190000000001</v>
      </c>
      <c r="Z5220">
        <v>-1.8022750000000001E-3</v>
      </c>
      <c r="AA5220">
        <v>0.91956159999999998</v>
      </c>
      <c r="AB5220">
        <v>32</v>
      </c>
      <c r="AC5220">
        <v>129.96209999999999</v>
      </c>
      <c r="AD5220">
        <v>-1.3609999999999399E-3</v>
      </c>
      <c r="AE5220">
        <v>6.5702299999999996</v>
      </c>
      <c r="AF5220">
        <v>-51.188682400014102</v>
      </c>
      <c r="AG5220">
        <v>-1.3609999999999399E-3</v>
      </c>
      <c r="AH5220">
        <v>119.637093533355</v>
      </c>
      <c r="AI5220">
        <v>90.000599252368701</v>
      </c>
      <c r="AJ5220">
        <v>113.164450761818</v>
      </c>
      <c r="AK5220">
        <v>130.128072900549</v>
      </c>
      <c r="AL5220">
        <v>78.350683737792494</v>
      </c>
      <c r="AM5220">
        <v>99.898493132836407</v>
      </c>
      <c r="AN5220">
        <v>1.0000000124397801</v>
      </c>
    </row>
    <row r="5221" spans="1:40" x14ac:dyDescent="0.25">
      <c r="A5221" t="str">
        <f>"20190303170641974"</f>
        <v>20190303170641974</v>
      </c>
      <c r="B5221" t="str">
        <f>"1551604001960249"</f>
        <v>1551604001960249</v>
      </c>
      <c r="C5221" t="s">
        <v>40</v>
      </c>
      <c r="D5221">
        <v>5.9699080000000002</v>
      </c>
      <c r="E5221">
        <v>0.4092906</v>
      </c>
      <c r="F5221" t="s">
        <v>54</v>
      </c>
      <c r="G5221">
        <v>-157.3501</v>
      </c>
      <c r="H5221">
        <v>1.068446</v>
      </c>
      <c r="I5221">
        <v>-56.028500000000001</v>
      </c>
      <c r="J5221">
        <v>-287.1687</v>
      </c>
      <c r="K5221">
        <v>1.1319859999999999</v>
      </c>
      <c r="L5221">
        <v>-63.225679999999997</v>
      </c>
      <c r="M5221">
        <v>0.94016650000000002</v>
      </c>
      <c r="N5221">
        <v>-1.1716900000000001E-2</v>
      </c>
      <c r="O5221">
        <v>-0.34051369999999997</v>
      </c>
      <c r="P5221">
        <v>0.96474280000000001</v>
      </c>
      <c r="Q5221">
        <v>0.19465650000000001</v>
      </c>
      <c r="R5221">
        <v>-0.17714369999999999</v>
      </c>
      <c r="S5221">
        <v>3.1462400000000001</v>
      </c>
      <c r="T5221">
        <v>-1.538277E-3</v>
      </c>
      <c r="U5221">
        <v>0.17309569999999999</v>
      </c>
      <c r="V5221">
        <v>-0.16761589999999901</v>
      </c>
      <c r="W5221">
        <v>0.20141419999999999</v>
      </c>
      <c r="X5221">
        <v>0.96505810000000003</v>
      </c>
      <c r="Y5221">
        <v>-0.39165100000000003</v>
      </c>
      <c r="Z5221">
        <v>-1.4828669999999999E-3</v>
      </c>
      <c r="AA5221">
        <v>0.92011270000000001</v>
      </c>
      <c r="AB5221">
        <v>32</v>
      </c>
      <c r="AC5221">
        <v>129.8186</v>
      </c>
      <c r="AD5221">
        <v>-6.3540000000000096E-2</v>
      </c>
      <c r="AE5221">
        <v>7.1971800000000004</v>
      </c>
      <c r="AF5221">
        <v>-50.975048574167701</v>
      </c>
      <c r="AG5221">
        <v>-6.3540000000000096E-2</v>
      </c>
      <c r="AH5221">
        <v>119.608547579649</v>
      </c>
      <c r="AI5221">
        <v>90.028000551492894</v>
      </c>
      <c r="AJ5221">
        <v>113.082845728436</v>
      </c>
      <c r="AK5221">
        <v>130.01793825693301</v>
      </c>
      <c r="AL5221">
        <v>78.380329658962907</v>
      </c>
      <c r="AM5221">
        <v>99.853111658979103</v>
      </c>
      <c r="AN5221">
        <v>0.99999995313502799</v>
      </c>
    </row>
    <row r="5222" spans="1:40" x14ac:dyDescent="0.25">
      <c r="A5222" t="str">
        <f>"20190303170641985"</f>
        <v>20190303170641985</v>
      </c>
      <c r="B5222" t="str">
        <f>"1551604001980746"</f>
        <v>1551604001980746</v>
      </c>
      <c r="C5222" t="s">
        <v>40</v>
      </c>
      <c r="D5222">
        <v>5.9322900000000001</v>
      </c>
      <c r="E5222">
        <v>0.41800850000000001</v>
      </c>
      <c r="F5222" t="s">
        <v>54</v>
      </c>
      <c r="G5222">
        <v>-157.3501</v>
      </c>
      <c r="H5222">
        <v>0.94432059999999995</v>
      </c>
      <c r="I5222">
        <v>-55.52955</v>
      </c>
      <c r="J5222">
        <v>-287.02</v>
      </c>
      <c r="K5222">
        <v>1.1319999999999999</v>
      </c>
      <c r="L5222">
        <v>-63.274019999999901</v>
      </c>
      <c r="M5222">
        <v>0.94236549999999997</v>
      </c>
      <c r="N5222">
        <v>-1.1725309999999999E-2</v>
      </c>
      <c r="O5222">
        <v>-0.3343796</v>
      </c>
      <c r="P5222">
        <v>0.96591360000000004</v>
      </c>
      <c r="Q5222">
        <v>0.1938569</v>
      </c>
      <c r="R5222">
        <v>-0.17155309999999999</v>
      </c>
      <c r="S5222">
        <v>3.1447449999999999</v>
      </c>
      <c r="T5222">
        <v>-4.5465230000000002E-3</v>
      </c>
      <c r="U5222">
        <v>0.18643190000000001</v>
      </c>
      <c r="V5222">
        <v>-0.16695360000000001</v>
      </c>
      <c r="W5222">
        <v>0.20063839999999999</v>
      </c>
      <c r="X5222">
        <v>0.96533449999999998</v>
      </c>
      <c r="Y5222">
        <v>-0.38956839999999998</v>
      </c>
      <c r="Z5222">
        <v>-9.2139930000000004E-4</v>
      </c>
      <c r="AA5222">
        <v>0.92099710000000001</v>
      </c>
      <c r="AB5222">
        <v>32</v>
      </c>
      <c r="AC5222">
        <v>129.66989999999899</v>
      </c>
      <c r="AD5222">
        <v>-0.1876794</v>
      </c>
      <c r="AE5222">
        <v>7.74446999999999</v>
      </c>
      <c r="AF5222">
        <v>-50.660469126351003</v>
      </c>
      <c r="AG5222">
        <v>-0.1876794</v>
      </c>
      <c r="AH5222">
        <v>119.614824342951</v>
      </c>
      <c r="AI5222">
        <v>90.082780391823604</v>
      </c>
      <c r="AJ5222">
        <v>112.954116159677</v>
      </c>
      <c r="AK5222">
        <v>129.90082585670601</v>
      </c>
      <c r="AL5222">
        <v>78.425706416903296</v>
      </c>
      <c r="AM5222">
        <v>99.812182105940593</v>
      </c>
      <c r="AN5222">
        <v>0.99999998449888405</v>
      </c>
    </row>
    <row r="5223" spans="1:40" x14ac:dyDescent="0.25">
      <c r="A5223" t="str">
        <f>"20190303170641997"</f>
        <v>20190303170641997</v>
      </c>
      <c r="B5223" t="str">
        <f>"1551604001990505"</f>
        <v>1551604001990505</v>
      </c>
      <c r="C5223" t="s">
        <v>40</v>
      </c>
      <c r="D5223">
        <v>5.9557690000000001</v>
      </c>
      <c r="E5223">
        <v>0.418929</v>
      </c>
      <c r="F5223" t="s">
        <v>54</v>
      </c>
      <c r="G5223">
        <v>-157.3501</v>
      </c>
      <c r="H5223">
        <v>0.20758299999999999</v>
      </c>
      <c r="I5223">
        <v>-57.64969</v>
      </c>
      <c r="J5223">
        <v>-286.86200000000002</v>
      </c>
      <c r="K5223">
        <v>1.1320159999999999</v>
      </c>
      <c r="L5223">
        <v>-63.32376</v>
      </c>
      <c r="M5223">
        <v>0.94465750000000004</v>
      </c>
      <c r="N5223">
        <v>-1.1736119999999999E-2</v>
      </c>
      <c r="O5223">
        <v>-0.32784829999999998</v>
      </c>
      <c r="P5223">
        <v>0.96695379999999997</v>
      </c>
      <c r="Q5223">
        <v>0.19345109999999999</v>
      </c>
      <c r="R5223">
        <v>-0.16606360000000001</v>
      </c>
      <c r="S5223">
        <v>3.1344910000000001</v>
      </c>
      <c r="T5223">
        <v>-2.234626E-2</v>
      </c>
      <c r="U5223">
        <v>0.13595579999999999</v>
      </c>
      <c r="V5223">
        <v>-0.16577729999999999</v>
      </c>
      <c r="W5223">
        <v>0.20027210000000001</v>
      </c>
      <c r="X5223">
        <v>0.96561319999999995</v>
      </c>
      <c r="Y5223">
        <v>-0.36847360000000001</v>
      </c>
      <c r="Z5223">
        <v>1.889448E-3</v>
      </c>
      <c r="AA5223">
        <v>0.92963629999999997</v>
      </c>
      <c r="AB5223">
        <v>32</v>
      </c>
      <c r="AC5223">
        <v>129.5119</v>
      </c>
      <c r="AD5223">
        <v>-0.92443299999999995</v>
      </c>
      <c r="AE5223">
        <v>5.6740699999999897</v>
      </c>
      <c r="AF5223">
        <v>-47.821170041231198</v>
      </c>
      <c r="AG5223">
        <v>-0.92443299999999995</v>
      </c>
      <c r="AH5223">
        <v>120.486322814993</v>
      </c>
      <c r="AI5223">
        <v>90.408589048948897</v>
      </c>
      <c r="AJ5223">
        <v>111.648188980996</v>
      </c>
      <c r="AK5223">
        <v>129.63283868666301</v>
      </c>
      <c r="AL5223">
        <v>78.447128146361194</v>
      </c>
      <c r="AM5223">
        <v>99.741620091703794</v>
      </c>
      <c r="AN5223">
        <v>0.99999993962396805</v>
      </c>
    </row>
    <row r="5224" spans="1:40" x14ac:dyDescent="0.25">
      <c r="A5224" t="str">
        <f>"20190303170642008"</f>
        <v>20190303170642008</v>
      </c>
      <c r="B5224" t="str">
        <f>"1551604002000265"</f>
        <v>1551604002000265</v>
      </c>
      <c r="C5224" t="s">
        <v>40</v>
      </c>
      <c r="D5224">
        <v>5.9348039999999997</v>
      </c>
      <c r="E5224">
        <v>0.41968660000000002</v>
      </c>
      <c r="F5224" t="s">
        <v>54</v>
      </c>
      <c r="G5224">
        <v>-157.3501</v>
      </c>
      <c r="H5224">
        <v>7.5678830000000002E-2</v>
      </c>
      <c r="I5224">
        <v>-57.261710000000001</v>
      </c>
      <c r="J5224">
        <v>-286.72039999999998</v>
      </c>
      <c r="K5224">
        <v>1.1320330000000001</v>
      </c>
      <c r="L5224">
        <v>-63.367550000000001</v>
      </c>
      <c r="M5224">
        <v>0.94667100000000004</v>
      </c>
      <c r="N5224">
        <v>-1.1746080000000001E-2</v>
      </c>
      <c r="O5224">
        <v>-0.3219881</v>
      </c>
      <c r="P5224">
        <v>0.96772650000000004</v>
      </c>
      <c r="Q5224">
        <v>0.1934506</v>
      </c>
      <c r="R5224">
        <v>-0.16150120000000001</v>
      </c>
      <c r="S5224">
        <v>3.1328130000000001</v>
      </c>
      <c r="T5224">
        <v>-2.555263E-2</v>
      </c>
      <c r="U5224">
        <v>0.14663699999999999</v>
      </c>
      <c r="V5224">
        <v>-0.16435369999999999</v>
      </c>
      <c r="W5224">
        <v>0.2003161</v>
      </c>
      <c r="X5224">
        <v>0.96584749999999997</v>
      </c>
      <c r="Y5224">
        <v>-0.36589260000000001</v>
      </c>
      <c r="Z5224">
        <v>2.410634E-3</v>
      </c>
      <c r="AA5224">
        <v>0.93065399999999998</v>
      </c>
      <c r="AB5224">
        <v>32</v>
      </c>
      <c r="AC5224">
        <v>129.37029999999999</v>
      </c>
      <c r="AD5224">
        <v>-1.0563541700000001</v>
      </c>
      <c r="AE5224">
        <v>6.1058399999999997</v>
      </c>
      <c r="AF5224">
        <v>-47.436028934273303</v>
      </c>
      <c r="AG5224">
        <v>-1.0563541700000001</v>
      </c>
      <c r="AH5224">
        <v>120.505383355099</v>
      </c>
      <c r="AI5224">
        <v>90.4673407973482</v>
      </c>
      <c r="AJ5224">
        <v>111.486702587533</v>
      </c>
      <c r="AK5224">
        <v>129.51000016502601</v>
      </c>
      <c r="AL5224">
        <v>78.444556117284094</v>
      </c>
      <c r="AM5224">
        <v>99.657248327344405</v>
      </c>
      <c r="AN5224">
        <v>1.00000003593957</v>
      </c>
    </row>
    <row r="5225" spans="1:40" x14ac:dyDescent="0.25">
      <c r="A5225" t="str">
        <f>"20190303170642018"</f>
        <v>20190303170642018</v>
      </c>
      <c r="B5225" t="str">
        <f>"1551604002010025"</f>
        <v>1551604002010025</v>
      </c>
      <c r="C5225" t="s">
        <v>40</v>
      </c>
      <c r="D5225">
        <v>5.9452509999999998</v>
      </c>
      <c r="E5225">
        <v>0.42030030000000002</v>
      </c>
      <c r="F5225" t="s">
        <v>54</v>
      </c>
      <c r="G5225">
        <v>-157.3501</v>
      </c>
      <c r="H5225">
        <v>5.9888839999999999E-2</v>
      </c>
      <c r="I5225">
        <v>-56.925820000000002</v>
      </c>
      <c r="J5225">
        <v>-286.57119999999998</v>
      </c>
      <c r="K5225">
        <v>1.1320600000000001</v>
      </c>
      <c r="L5225">
        <v>-63.412599999999998</v>
      </c>
      <c r="M5225">
        <v>0.94875410000000004</v>
      </c>
      <c r="N5225">
        <v>-1.175698E-2</v>
      </c>
      <c r="O5225">
        <v>-0.31579659999999998</v>
      </c>
      <c r="P5225">
        <v>0.96850290000000006</v>
      </c>
      <c r="Q5225">
        <v>0.1934524</v>
      </c>
      <c r="R5225">
        <v>-0.1567761</v>
      </c>
      <c r="S5225">
        <v>3.131256</v>
      </c>
      <c r="T5225">
        <v>-2.595043E-2</v>
      </c>
      <c r="U5225">
        <v>0.15591429999999901</v>
      </c>
      <c r="V5225">
        <v>-0.16276559999999901</v>
      </c>
      <c r="W5225">
        <v>0.2003675</v>
      </c>
      <c r="X5225">
        <v>0.96610569999999896</v>
      </c>
      <c r="Y5225">
        <v>-0.36258259999999998</v>
      </c>
      <c r="Z5225">
        <v>2.468619E-3</v>
      </c>
      <c r="AA5225">
        <v>0.93194840000000001</v>
      </c>
      <c r="AB5225">
        <v>32</v>
      </c>
      <c r="AC5225">
        <v>129.22109999999901</v>
      </c>
      <c r="AD5225">
        <v>-1.0721711599999999</v>
      </c>
      <c r="AE5225">
        <v>6.4867800000000004</v>
      </c>
      <c r="AF5225">
        <v>-46.961962849833498</v>
      </c>
      <c r="AG5225">
        <v>-1.0721711599999999</v>
      </c>
      <c r="AH5225">
        <v>120.550595934133</v>
      </c>
      <c r="AI5225">
        <v>90.474817468766801</v>
      </c>
      <c r="AJ5225">
        <v>111.28401098536401</v>
      </c>
      <c r="AK5225">
        <v>129.37937117554699</v>
      </c>
      <c r="AL5225">
        <v>78.441549746003801</v>
      </c>
      <c r="AM5225">
        <v>99.563156487607003</v>
      </c>
      <c r="AN5225">
        <v>0.99999999958604902</v>
      </c>
    </row>
    <row r="5226" spans="1:40" x14ac:dyDescent="0.25">
      <c r="A5226" t="str">
        <f>"20190303170642030"</f>
        <v>20190303170642030</v>
      </c>
      <c r="B5226" t="str">
        <f>"1551604002020762"</f>
        <v>1551604002020762</v>
      </c>
      <c r="C5226" t="s">
        <v>40</v>
      </c>
      <c r="D5226">
        <v>5.9355370000000001</v>
      </c>
      <c r="E5226">
        <v>0.42030030000000002</v>
      </c>
      <c r="F5226" t="s">
        <v>43</v>
      </c>
      <c r="G5226">
        <v>-148.05770000000001</v>
      </c>
      <c r="H5226">
        <v>-0.05</v>
      </c>
      <c r="I5226">
        <v>-56.0143699999999</v>
      </c>
      <c r="J5226">
        <v>-286.42129999999997</v>
      </c>
      <c r="K5226">
        <v>1.1320870000000001</v>
      </c>
      <c r="L5226">
        <v>-63.456699999999998</v>
      </c>
      <c r="M5226">
        <v>0.95080690000000001</v>
      </c>
      <c r="N5226">
        <v>-1.1768519999999999E-2</v>
      </c>
      <c r="O5226">
        <v>-0.30956090000000003</v>
      </c>
      <c r="P5226">
        <v>0.9690242</v>
      </c>
      <c r="Q5226">
        <v>0.19423789999999999</v>
      </c>
      <c r="R5226">
        <v>-0.1525253</v>
      </c>
      <c r="S5226">
        <v>3.1299440000000001</v>
      </c>
      <c r="T5226">
        <v>-2.6710629999999999E-2</v>
      </c>
      <c r="U5226">
        <v>0.1671753</v>
      </c>
      <c r="V5226">
        <v>-0.16064249999999999</v>
      </c>
      <c r="W5226">
        <v>0.20121620000000001</v>
      </c>
      <c r="X5226">
        <v>0.96628460000000005</v>
      </c>
      <c r="Y5226">
        <v>-0.35982520000000001</v>
      </c>
      <c r="Z5226">
        <v>2.5863050000000001E-3</v>
      </c>
      <c r="AA5226">
        <v>0.93301610000000001</v>
      </c>
      <c r="AB5226">
        <v>32</v>
      </c>
      <c r="AC5226">
        <v>138.363599999999</v>
      </c>
      <c r="AD5226">
        <v>-1.1820870000000001</v>
      </c>
      <c r="AE5226">
        <v>7.4423300000000001</v>
      </c>
      <c r="AF5226">
        <v>-49.907998263478497</v>
      </c>
      <c r="AG5226">
        <v>-1.1820870000000001</v>
      </c>
      <c r="AH5226">
        <v>129.25274246926199</v>
      </c>
      <c r="AI5226">
        <v>90.488814356240496</v>
      </c>
      <c r="AJ5226">
        <v>111.11293047292401</v>
      </c>
      <c r="AK5226">
        <v>138.558569046337</v>
      </c>
      <c r="AL5226">
        <v>78.391911305262099</v>
      </c>
      <c r="AM5226">
        <v>99.438959059527505</v>
      </c>
      <c r="AN5226">
        <v>0.99999995007292297</v>
      </c>
    </row>
    <row r="5227" spans="1:40" x14ac:dyDescent="0.25">
      <c r="A5227" t="str">
        <f>"20190303170642042"</f>
        <v>20190303170642042</v>
      </c>
      <c r="B5227" t="str">
        <f>"1551604002030522"</f>
        <v>1551604002030522</v>
      </c>
      <c r="C5227" t="s">
        <v>40</v>
      </c>
      <c r="D5227">
        <v>5.9365309999999996</v>
      </c>
      <c r="E5227">
        <v>0.4252898</v>
      </c>
      <c r="F5227" t="s">
        <v>54</v>
      </c>
      <c r="G5227">
        <v>-157.3501</v>
      </c>
      <c r="H5227">
        <v>0.16792799999999999</v>
      </c>
      <c r="I5227">
        <v>-55.963189999999997</v>
      </c>
      <c r="J5227">
        <v>-286.25549999999998</v>
      </c>
      <c r="K5227">
        <v>1.13212</v>
      </c>
      <c r="L5227">
        <v>-63.50461</v>
      </c>
      <c r="M5227">
        <v>0.95302969999999998</v>
      </c>
      <c r="N5227">
        <v>-1.178148E-2</v>
      </c>
      <c r="O5227">
        <v>-0.30264740000000001</v>
      </c>
      <c r="P5227">
        <v>0.9696456</v>
      </c>
      <c r="Q5227">
        <v>0.19494069999999999</v>
      </c>
      <c r="R5227">
        <v>-0.14759890000000001</v>
      </c>
      <c r="S5227">
        <v>3.129181</v>
      </c>
      <c r="T5227">
        <v>-2.3375389999999999E-2</v>
      </c>
      <c r="U5227">
        <v>0.1816711</v>
      </c>
      <c r="V5227">
        <v>-0.15852289999999999</v>
      </c>
      <c r="W5227">
        <v>0.2019822</v>
      </c>
      <c r="X5227">
        <v>0.96647490000000003</v>
      </c>
      <c r="Y5227">
        <v>-0.35737289999999999</v>
      </c>
      <c r="Z5227">
        <v>2.0797430000000002E-3</v>
      </c>
      <c r="AA5227">
        <v>0.9339594</v>
      </c>
      <c r="AB5227">
        <v>32</v>
      </c>
      <c r="AC5227">
        <v>128.90539999999999</v>
      </c>
      <c r="AD5227">
        <v>-0.96419200000000005</v>
      </c>
      <c r="AE5227">
        <v>7.5414199999999898</v>
      </c>
      <c r="AF5227">
        <v>-46.200715278591801</v>
      </c>
      <c r="AG5227">
        <v>-0.96419200000000005</v>
      </c>
      <c r="AH5227">
        <v>120.569937777177</v>
      </c>
      <c r="AI5227">
        <v>90.427847732512305</v>
      </c>
      <c r="AJ5227">
        <v>110.96613428560001</v>
      </c>
      <c r="AK5227">
        <v>129.122212086297</v>
      </c>
      <c r="AL5227">
        <v>78.347103622366404</v>
      </c>
      <c r="AM5227">
        <v>99.314812193130606</v>
      </c>
      <c r="AN5227">
        <v>1.0000000256356201</v>
      </c>
    </row>
    <row r="5228" spans="1:40" x14ac:dyDescent="0.25">
      <c r="A5228" t="str">
        <f>"20190303170642054"</f>
        <v>20190303170642054</v>
      </c>
      <c r="B5228" t="str">
        <f>"1551604002050042"</f>
        <v>1551604002050042</v>
      </c>
      <c r="C5228" t="s">
        <v>40</v>
      </c>
      <c r="D5228">
        <v>5.9284220000000003</v>
      </c>
      <c r="E5228">
        <v>0.4267301</v>
      </c>
      <c r="F5228" t="s">
        <v>54</v>
      </c>
      <c r="G5228">
        <v>-157.3501</v>
      </c>
      <c r="H5228">
        <v>0.124928</v>
      </c>
      <c r="I5228">
        <v>-56.951819999999998</v>
      </c>
      <c r="J5228">
        <v>-286.08390000000003</v>
      </c>
      <c r="K5228">
        <v>1.1321589999999999</v>
      </c>
      <c r="L5228">
        <v>-63.552120000000002</v>
      </c>
      <c r="M5228">
        <v>0.95528069999999998</v>
      </c>
      <c r="N5228">
        <v>-1.179644E-2</v>
      </c>
      <c r="O5228">
        <v>-0.29546529999999999</v>
      </c>
      <c r="P5228">
        <v>0.97028519999999896</v>
      </c>
      <c r="Q5228">
        <v>0.19553619999999999</v>
      </c>
      <c r="R5228">
        <v>-0.14252229999999999</v>
      </c>
      <c r="S5228">
        <v>3.1229550000000001</v>
      </c>
      <c r="T5228">
        <v>-2.4401430000000002E-2</v>
      </c>
      <c r="U5228">
        <v>0.15875239999999999</v>
      </c>
      <c r="V5228">
        <v>-0.15630239999999901</v>
      </c>
      <c r="W5228">
        <v>0.20264289999999999</v>
      </c>
      <c r="X5228">
        <v>0.96669819999999995</v>
      </c>
      <c r="Y5228">
        <v>-0.34357840000000001</v>
      </c>
      <c r="Z5228">
        <v>2.1378780000000002E-3</v>
      </c>
      <c r="AA5228">
        <v>0.93912150000000005</v>
      </c>
      <c r="AB5228">
        <v>32</v>
      </c>
      <c r="AC5228">
        <v>128.7338</v>
      </c>
      <c r="AD5228">
        <v>-1.007231</v>
      </c>
      <c r="AE5228">
        <v>6.6002999999999901</v>
      </c>
      <c r="AF5228">
        <v>-44.341885633962299</v>
      </c>
      <c r="AG5228">
        <v>-1.007231</v>
      </c>
      <c r="AH5228">
        <v>121.02778010933299</v>
      </c>
      <c r="AI5228">
        <v>90.447720248004401</v>
      </c>
      <c r="AJ5228">
        <v>110.12171010650501</v>
      </c>
      <c r="AK5228">
        <v>128.89895614028799</v>
      </c>
      <c r="AL5228">
        <v>78.308448628231901</v>
      </c>
      <c r="AM5228">
        <v>99.184489722676403</v>
      </c>
      <c r="AN5228">
        <v>0.99999999752470403</v>
      </c>
    </row>
    <row r="5229" spans="1:40" x14ac:dyDescent="0.25">
      <c r="A5229" t="str">
        <f>"20190303170642067"</f>
        <v>20190303170642067</v>
      </c>
      <c r="B5229" t="str">
        <f>"1551604002059801"</f>
        <v>1551604002059801</v>
      </c>
      <c r="C5229" t="s">
        <v>40</v>
      </c>
      <c r="D5229">
        <v>5.9209069999999997</v>
      </c>
      <c r="E5229">
        <v>0.42729430000000002</v>
      </c>
      <c r="F5229" t="s">
        <v>54</v>
      </c>
      <c r="G5229">
        <v>-157.3501</v>
      </c>
      <c r="H5229">
        <v>6.0851339999999997E-2</v>
      </c>
      <c r="I5229">
        <v>-56.777909999999999</v>
      </c>
      <c r="J5229">
        <v>-285.90910000000002</v>
      </c>
      <c r="K5229">
        <v>1.132204</v>
      </c>
      <c r="L5229">
        <v>-63.599580000000003</v>
      </c>
      <c r="M5229">
        <v>0.95752110000000001</v>
      </c>
      <c r="N5229">
        <v>-1.181305E-2</v>
      </c>
      <c r="O5229">
        <v>-0.28812189999999999</v>
      </c>
      <c r="P5229">
        <v>0.97113510000000003</v>
      </c>
      <c r="Q5229">
        <v>0.19509319999999999</v>
      </c>
      <c r="R5229">
        <v>-0.13724320000000001</v>
      </c>
      <c r="S5229">
        <v>3.1212460000000002</v>
      </c>
      <c r="T5229">
        <v>-2.5975109999999999E-2</v>
      </c>
      <c r="U5229">
        <v>0.16424559999999999</v>
      </c>
      <c r="V5229">
        <v>-0.1541672</v>
      </c>
      <c r="W5229">
        <v>0.20226559999999999</v>
      </c>
      <c r="X5229">
        <v>0.96711999999999998</v>
      </c>
      <c r="Y5229">
        <v>-0.33803490000000003</v>
      </c>
      <c r="Z5229">
        <v>2.3465650000000001E-3</v>
      </c>
      <c r="AA5229">
        <v>0.94113060000000004</v>
      </c>
      <c r="AB5229">
        <v>32</v>
      </c>
      <c r="AC5229">
        <v>128.559</v>
      </c>
      <c r="AD5229">
        <v>-1.0713526600000001</v>
      </c>
      <c r="AE5229">
        <v>6.8216700000000001</v>
      </c>
      <c r="AF5229">
        <v>-43.572569859543798</v>
      </c>
      <c r="AG5229">
        <v>-1.0713526600000001</v>
      </c>
      <c r="AH5229">
        <v>121.132520257043</v>
      </c>
      <c r="AI5229">
        <v>90.476828383747602</v>
      </c>
      <c r="AJ5229">
        <v>109.78416179158501</v>
      </c>
      <c r="AK5229">
        <v>128.735403461945</v>
      </c>
      <c r="AL5229">
        <v>78.330523445034501</v>
      </c>
      <c r="AM5229">
        <v>99.057232335197696</v>
      </c>
      <c r="AN5229">
        <v>0.99999999644960003</v>
      </c>
    </row>
    <row r="5230" spans="1:40" x14ac:dyDescent="0.25">
      <c r="A5230" t="str">
        <f>"20190303170642088"</f>
        <v>20190303170642088</v>
      </c>
      <c r="B5230" t="str">
        <f>"1551604002080297"</f>
        <v>1551604002080297</v>
      </c>
      <c r="C5230" t="s">
        <v>40</v>
      </c>
      <c r="D5230">
        <v>5.9297029999999999</v>
      </c>
      <c r="E5230">
        <v>0.42812709999999998</v>
      </c>
      <c r="F5230" t="s">
        <v>43</v>
      </c>
      <c r="G5230">
        <v>-155.5094</v>
      </c>
      <c r="H5230">
        <v>-0.05</v>
      </c>
      <c r="I5230">
        <v>-56.204149999999998</v>
      </c>
      <c r="J5230">
        <v>-285.63479999999998</v>
      </c>
      <c r="K5230">
        <v>1.1322730000000001</v>
      </c>
      <c r="L5230">
        <v>-63.670929999999998</v>
      </c>
      <c r="M5230">
        <v>0.96093620000000002</v>
      </c>
      <c r="N5230">
        <v>-1.184492E-2</v>
      </c>
      <c r="O5230">
        <v>-0.27651690000000001</v>
      </c>
      <c r="P5230">
        <v>0.97242850000000003</v>
      </c>
      <c r="Q5230">
        <v>0.19369059999999999</v>
      </c>
      <c r="R5230">
        <v>-0.1298735</v>
      </c>
      <c r="S5230">
        <v>3.119904</v>
      </c>
      <c r="T5230">
        <v>-2.8285029999999999E-2</v>
      </c>
      <c r="U5230">
        <v>0.17694089999999901</v>
      </c>
      <c r="V5230">
        <v>-0.1498688</v>
      </c>
      <c r="W5230">
        <v>0.20099900000000001</v>
      </c>
      <c r="X5230">
        <v>0.96805929999999996</v>
      </c>
      <c r="Y5230">
        <v>-0.33047559999999998</v>
      </c>
      <c r="Z5230">
        <v>2.6416539999999998E-3</v>
      </c>
      <c r="AA5230">
        <v>0.94381090000000001</v>
      </c>
      <c r="AB5230">
        <v>32</v>
      </c>
      <c r="AC5230">
        <v>130.12539999999899</v>
      </c>
      <c r="AD5230">
        <v>-1.1822729999999999</v>
      </c>
      <c r="AE5230">
        <v>7.46678</v>
      </c>
      <c r="AF5230">
        <v>-43.156442405982901</v>
      </c>
      <c r="AG5230">
        <v>-1.1822729999999999</v>
      </c>
      <c r="AH5230">
        <v>122.976009098009</v>
      </c>
      <c r="AI5230">
        <v>90.519742624326597</v>
      </c>
      <c r="AJ5230">
        <v>109.337698050044</v>
      </c>
      <c r="AK5230">
        <v>130.33409033810401</v>
      </c>
      <c r="AL5230">
        <v>78.404616467200299</v>
      </c>
      <c r="AM5230">
        <v>98.800306488897405</v>
      </c>
      <c r="AN5230">
        <v>1.00000003176546</v>
      </c>
    </row>
    <row r="5231" spans="1:40" x14ac:dyDescent="0.25">
      <c r="A5231" t="str">
        <f>"20190303170642099"</f>
        <v>20190303170642099</v>
      </c>
      <c r="B5231" t="str">
        <f>"1551604002090057"</f>
        <v>1551604002090057</v>
      </c>
      <c r="C5231" t="s">
        <v>40</v>
      </c>
      <c r="D5231">
        <v>5.9198740000000001</v>
      </c>
      <c r="E5231">
        <v>0.42855009999999999</v>
      </c>
      <c r="F5231" t="s">
        <v>71</v>
      </c>
      <c r="G5231">
        <v>-183.48089999999999</v>
      </c>
      <c r="H5231" s="1">
        <v>-1.335299E-5</v>
      </c>
      <c r="I5231">
        <v>-57.283940000000001</v>
      </c>
      <c r="J5231">
        <v>-285.45850000000002</v>
      </c>
      <c r="K5231">
        <v>1.1323240000000001</v>
      </c>
      <c r="L5231">
        <v>-63.7149</v>
      </c>
      <c r="M5231">
        <v>0.96306380000000003</v>
      </c>
      <c r="N5231">
        <v>-1.1867590000000001E-2</v>
      </c>
      <c r="O5231">
        <v>-0.26901190000000003</v>
      </c>
      <c r="P5231">
        <v>0.97331579999999995</v>
      </c>
      <c r="Q5231">
        <v>0.192522</v>
      </c>
      <c r="R5231">
        <v>-0.124867699999999</v>
      </c>
      <c r="S5231">
        <v>3.1179809999999999</v>
      </c>
      <c r="T5231">
        <v>-3.456008E-2</v>
      </c>
      <c r="U5231">
        <v>0.19494629999999999</v>
      </c>
      <c r="V5231">
        <v>-0.1473486</v>
      </c>
      <c r="W5231">
        <v>0.19991200000000001</v>
      </c>
      <c r="X5231">
        <v>0.96867110000000001</v>
      </c>
      <c r="Y5231">
        <v>-0.32856629999999998</v>
      </c>
      <c r="Z5231">
        <v>3.5151179999999998E-3</v>
      </c>
      <c r="AA5231">
        <v>0.94447440000000005</v>
      </c>
      <c r="AB5231">
        <v>32</v>
      </c>
      <c r="AC5231">
        <v>101.9776</v>
      </c>
      <c r="AD5231">
        <v>-1.1323373529899901</v>
      </c>
      <c r="AE5231">
        <v>6.43095999999999</v>
      </c>
      <c r="AF5231">
        <v>-33.624849517399198</v>
      </c>
      <c r="AG5231">
        <v>-1.1323373529899901</v>
      </c>
      <c r="AH5231">
        <v>96.475871282691003</v>
      </c>
      <c r="AI5231">
        <v>90.634990712994906</v>
      </c>
      <c r="AJ5231">
        <v>109.21503905137099</v>
      </c>
      <c r="AK5231">
        <v>102.17390289454001</v>
      </c>
      <c r="AL5231">
        <v>78.468187606526698</v>
      </c>
      <c r="AM5231">
        <v>98.649196187810105</v>
      </c>
      <c r="AN5231">
        <v>1.00000005882058</v>
      </c>
    </row>
    <row r="5232" spans="1:40" x14ac:dyDescent="0.25">
      <c r="A5232" t="str">
        <f>"20190303170642110"</f>
        <v>20190303170642110</v>
      </c>
      <c r="B5232" t="str">
        <f>"1551604002099818"</f>
        <v>1551604002099818</v>
      </c>
      <c r="C5232" t="s">
        <v>40</v>
      </c>
      <c r="D5232">
        <v>5.9020289999999997</v>
      </c>
      <c r="E5232">
        <v>0.42907679999999998</v>
      </c>
      <c r="F5232" t="s">
        <v>71</v>
      </c>
      <c r="G5232">
        <v>-196.17439999999999</v>
      </c>
      <c r="H5232" s="1">
        <v>-7.787254E-6</v>
      </c>
      <c r="I5232">
        <v>-57.745840000000001</v>
      </c>
      <c r="J5232">
        <v>-285.31639999999999</v>
      </c>
      <c r="K5232">
        <v>1.132366</v>
      </c>
      <c r="L5232">
        <v>-63.749079999999999</v>
      </c>
      <c r="M5232">
        <v>0.96474130000000002</v>
      </c>
      <c r="N5232">
        <v>-1.1886219999999999E-2</v>
      </c>
      <c r="O5232">
        <v>-0.26293159999999999</v>
      </c>
      <c r="P5232">
        <v>0.97395779999999998</v>
      </c>
      <c r="Q5232">
        <v>0.1915461</v>
      </c>
      <c r="R5232">
        <v>-0.12131210000000001</v>
      </c>
      <c r="S5232">
        <v>3.1168209999999998</v>
      </c>
      <c r="T5232">
        <v>-3.9528609999999999E-2</v>
      </c>
      <c r="U5232">
        <v>0.208374</v>
      </c>
      <c r="V5232">
        <v>-0.1448161</v>
      </c>
      <c r="W5232">
        <v>0.19901669999999999</v>
      </c>
      <c r="X5232">
        <v>0.96923709999999996</v>
      </c>
      <c r="Y5232">
        <v>-0.32667289999999999</v>
      </c>
      <c r="Z5232">
        <v>4.1781850000000001E-3</v>
      </c>
      <c r="AA5232">
        <v>0.94512819999999997</v>
      </c>
      <c r="AB5232">
        <v>32</v>
      </c>
      <c r="AC5232">
        <v>89.141999999999996</v>
      </c>
      <c r="AD5232">
        <v>-1.1323737872540001</v>
      </c>
      <c r="AE5232">
        <v>6.0032399999999999</v>
      </c>
      <c r="AF5232">
        <v>-29.2271910484396</v>
      </c>
      <c r="AG5232">
        <v>-1.1323737872540001</v>
      </c>
      <c r="AH5232">
        <v>84.412928126805099</v>
      </c>
      <c r="AI5232">
        <v>90.726263070698295</v>
      </c>
      <c r="AJ5232">
        <v>109.097935596204</v>
      </c>
      <c r="AK5232">
        <v>89.336741612380393</v>
      </c>
      <c r="AL5232">
        <v>78.520535229726406</v>
      </c>
      <c r="AM5232">
        <v>98.497840009058294</v>
      </c>
      <c r="AN5232">
        <v>0.99999995285725296</v>
      </c>
    </row>
    <row r="5233" spans="1:40" x14ac:dyDescent="0.25">
      <c r="A5233" t="str">
        <f>"20190303170642120"</f>
        <v>20190303170642120</v>
      </c>
      <c r="B5233" t="str">
        <f>"1551604002110554"</f>
        <v>1551604002110554</v>
      </c>
      <c r="C5233" t="s">
        <v>40</v>
      </c>
      <c r="D5233">
        <v>5.9009010000000002</v>
      </c>
      <c r="E5233">
        <v>0.4295388</v>
      </c>
      <c r="F5233" t="s">
        <v>71</v>
      </c>
      <c r="G5233">
        <v>-203.87530000000001</v>
      </c>
      <c r="H5233" s="1">
        <v>-4.2354280000000001E-6</v>
      </c>
      <c r="I5233">
        <v>-58.095730000000003</v>
      </c>
      <c r="J5233">
        <v>-285.16329999999999</v>
      </c>
      <c r="K5233">
        <v>1.1324099999999999</v>
      </c>
      <c r="L5233">
        <v>-63.78528</v>
      </c>
      <c r="M5233">
        <v>0.9665087</v>
      </c>
      <c r="N5233">
        <v>-1.190603E-2</v>
      </c>
      <c r="O5233">
        <v>-0.25635760000000002</v>
      </c>
      <c r="P5233">
        <v>0.97465659999999998</v>
      </c>
      <c r="Q5233">
        <v>0.1910365</v>
      </c>
      <c r="R5233">
        <v>-0.11640209999999999</v>
      </c>
      <c r="S5233">
        <v>3.1156619999999999</v>
      </c>
      <c r="T5233">
        <v>-4.3320659999999997E-2</v>
      </c>
      <c r="U5233">
        <v>0.2162781</v>
      </c>
      <c r="V5233">
        <v>-0.1431345</v>
      </c>
      <c r="W5233">
        <v>0.19856199999999999</v>
      </c>
      <c r="X5233">
        <v>0.96958009999999994</v>
      </c>
      <c r="Y5233">
        <v>-0.32263819999999999</v>
      </c>
      <c r="Z5233">
        <v>4.6333249999999998E-3</v>
      </c>
      <c r="AA5233">
        <v>0.94651099999999999</v>
      </c>
      <c r="AB5233">
        <v>32</v>
      </c>
      <c r="AC5233">
        <v>81.287999999999897</v>
      </c>
      <c r="AD5233">
        <v>-1.132414235428</v>
      </c>
      <c r="AE5233">
        <v>5.6895499999999997</v>
      </c>
      <c r="AF5233">
        <v>-26.334576746609699</v>
      </c>
      <c r="AG5233">
        <v>-1.132414235428</v>
      </c>
      <c r="AH5233">
        <v>77.0975746022538</v>
      </c>
      <c r="AI5233">
        <v>90.796335756580405</v>
      </c>
      <c r="AJ5233">
        <v>108.85886616408099</v>
      </c>
      <c r="AK5233">
        <v>81.479005295681901</v>
      </c>
      <c r="AL5233">
        <v>78.547118259660095</v>
      </c>
      <c r="AM5233">
        <v>98.397650108415206</v>
      </c>
      <c r="AN5233">
        <v>0.99999996162512905</v>
      </c>
    </row>
    <row r="5234" spans="1:40" x14ac:dyDescent="0.25">
      <c r="A5234" t="str">
        <f>"20190303170642131"</f>
        <v>20190303170642131</v>
      </c>
      <c r="B5234" t="str">
        <f>"1551604002120313"</f>
        <v>1551604002120313</v>
      </c>
      <c r="C5234" t="s">
        <v>40</v>
      </c>
      <c r="D5234">
        <v>5.8988550000000002</v>
      </c>
      <c r="E5234">
        <v>0.4295388</v>
      </c>
      <c r="F5234" t="s">
        <v>71</v>
      </c>
      <c r="G5234">
        <v>-207.00659999999999</v>
      </c>
      <c r="H5234" s="1">
        <v>-2.498566E-6</v>
      </c>
      <c r="I5234">
        <v>-58.037239999999997</v>
      </c>
      <c r="J5234">
        <v>-285.02800000000002</v>
      </c>
      <c r="K5234">
        <v>1.132452</v>
      </c>
      <c r="L5234">
        <v>-63.815769999999901</v>
      </c>
      <c r="M5234">
        <v>0.96804029999999996</v>
      </c>
      <c r="N5234">
        <v>-1.192407E-2</v>
      </c>
      <c r="O5234">
        <v>-0.2505115</v>
      </c>
      <c r="P5234">
        <v>0.97504950000000001</v>
      </c>
      <c r="Q5234">
        <v>0.1906101</v>
      </c>
      <c r="R5234">
        <v>-0.11378389999999999</v>
      </c>
      <c r="S5234">
        <v>3.1141969999999999</v>
      </c>
      <c r="T5234">
        <v>-4.5121670000000003E-2</v>
      </c>
      <c r="U5234">
        <v>0.2290344</v>
      </c>
      <c r="V5234">
        <v>-0.13990320000000001</v>
      </c>
      <c r="W5234">
        <v>0.19823669999999999</v>
      </c>
      <c r="X5234">
        <v>0.97011820000000004</v>
      </c>
      <c r="Y5234">
        <v>-0.32080150000000002</v>
      </c>
      <c r="Z5234">
        <v>4.8393539999999997E-3</v>
      </c>
      <c r="AA5234">
        <v>0.94713409999999998</v>
      </c>
      <c r="AB5234">
        <v>32</v>
      </c>
      <c r="AC5234">
        <v>78.0214</v>
      </c>
      <c r="AD5234">
        <v>-1.1324544985659999</v>
      </c>
      <c r="AE5234">
        <v>5.7785299999999804</v>
      </c>
      <c r="AF5234">
        <v>-25.1356259279477</v>
      </c>
      <c r="AG5234">
        <v>-1.1324544985659999</v>
      </c>
      <c r="AH5234">
        <v>74.070010636194198</v>
      </c>
      <c r="AI5234">
        <v>90.829473312770602</v>
      </c>
      <c r="AJ5234">
        <v>108.744621125854</v>
      </c>
      <c r="AK5234">
        <v>78.226904704372402</v>
      </c>
      <c r="AL5234">
        <v>78.566135138985601</v>
      </c>
      <c r="AM5234">
        <v>98.206192673373707</v>
      </c>
      <c r="AN5234">
        <v>1.00000000828418</v>
      </c>
    </row>
    <row r="5235" spans="1:40" x14ac:dyDescent="0.25">
      <c r="A5235" t="str">
        <f>"20190303170642141"</f>
        <v>20190303170642141</v>
      </c>
      <c r="B5235" t="str">
        <f>"1551604002130074"</f>
        <v>1551604002130074</v>
      </c>
      <c r="C5235" t="s">
        <v>40</v>
      </c>
      <c r="D5235">
        <v>5.8944799999999997</v>
      </c>
      <c r="E5235">
        <v>0.4361661</v>
      </c>
      <c r="F5235" t="s">
        <v>71</v>
      </c>
      <c r="G5235">
        <v>-207.82490000000001</v>
      </c>
      <c r="H5235" s="1">
        <v>-2.0130349999999999E-6</v>
      </c>
      <c r="I5235">
        <v>-57.907330000000002</v>
      </c>
      <c r="J5235">
        <v>-284.87920000000003</v>
      </c>
      <c r="K5235">
        <v>1.1325019999999999</v>
      </c>
      <c r="L5235">
        <v>-63.848999999999997</v>
      </c>
      <c r="M5235">
        <v>0.96968699999999997</v>
      </c>
      <c r="N5235">
        <v>-1.194342E-2</v>
      </c>
      <c r="O5235">
        <v>-0.2440581</v>
      </c>
      <c r="P5235">
        <v>0.97540039999999995</v>
      </c>
      <c r="Q5235">
        <v>0.19129550000000001</v>
      </c>
      <c r="R5235">
        <v>-0.109546</v>
      </c>
      <c r="S5235">
        <v>3.1135250000000001</v>
      </c>
      <c r="T5235">
        <v>-4.5670750000000003E-2</v>
      </c>
      <c r="U5235">
        <v>0.2382813</v>
      </c>
      <c r="V5235">
        <v>-0.1376655</v>
      </c>
      <c r="W5235">
        <v>0.198991</v>
      </c>
      <c r="X5235">
        <v>0.97028389999999998</v>
      </c>
      <c r="Y5235">
        <v>-0.31730209999999998</v>
      </c>
      <c r="Z5235">
        <v>4.8507020000000001E-3</v>
      </c>
      <c r="AA5235">
        <v>0.94831209999999999</v>
      </c>
      <c r="AB5235">
        <v>32</v>
      </c>
      <c r="AC5235">
        <v>77.054299999999998</v>
      </c>
      <c r="AD5235">
        <v>-1.1325040130349999</v>
      </c>
      <c r="AE5235">
        <v>5.9416699999999896</v>
      </c>
      <c r="AF5235">
        <v>-24.5637652844512</v>
      </c>
      <c r="AG5235">
        <v>-1.1325040130349999</v>
      </c>
      <c r="AH5235">
        <v>73.257939646596597</v>
      </c>
      <c r="AI5235">
        <v>90.839731270710601</v>
      </c>
      <c r="AJ5235">
        <v>108.53656829221801</v>
      </c>
      <c r="AK5235">
        <v>77.274749119964994</v>
      </c>
      <c r="AL5235">
        <v>78.522038650262104</v>
      </c>
      <c r="AM5235">
        <v>98.075322215399495</v>
      </c>
      <c r="AN5235">
        <v>1.0000000272852201</v>
      </c>
    </row>
    <row r="5236" spans="1:40" x14ac:dyDescent="0.25">
      <c r="A5236" t="str">
        <f>"20190303170642152"</f>
        <v>20190303170642152</v>
      </c>
      <c r="B5236" t="str">
        <f>"1551604002139834"</f>
        <v>1551604002139834</v>
      </c>
      <c r="C5236" t="s">
        <v>40</v>
      </c>
      <c r="D5236">
        <v>6.2306990000000004</v>
      </c>
      <c r="E5236">
        <v>0.43600280000000002</v>
      </c>
      <c r="F5236" t="s">
        <v>106</v>
      </c>
      <c r="G5236">
        <v>-226.59610000000001</v>
      </c>
      <c r="H5236" s="1">
        <v>-2.0124750000000002E-6</v>
      </c>
      <c r="I5236">
        <v>-60.091000000000001</v>
      </c>
      <c r="J5236">
        <v>-284.72750000000002</v>
      </c>
      <c r="K5236">
        <v>1.132552</v>
      </c>
      <c r="L5236">
        <v>-63.881039999999999</v>
      </c>
      <c r="M5236">
        <v>0.97133080000000005</v>
      </c>
      <c r="N5236">
        <v>-1.1964560000000001E-2</v>
      </c>
      <c r="O5236">
        <v>-0.23743069999999999</v>
      </c>
      <c r="P5236">
        <v>0.97574620000000001</v>
      </c>
      <c r="Q5236">
        <v>0.19202640000000001</v>
      </c>
      <c r="R5236">
        <v>-0.1050967</v>
      </c>
      <c r="S5236">
        <v>3.1100460000000001</v>
      </c>
      <c r="T5236">
        <v>-6.0431600000000002E-2</v>
      </c>
      <c r="U5236">
        <v>0.20053099999999999</v>
      </c>
      <c r="V5236">
        <v>-0.13547509999999999</v>
      </c>
      <c r="W5236">
        <v>0.19979040000000001</v>
      </c>
      <c r="X5236">
        <v>0.97042790000000001</v>
      </c>
      <c r="Y5236">
        <v>-0.29936360000000001</v>
      </c>
      <c r="Z5236">
        <v>6.4290170000000004E-3</v>
      </c>
      <c r="AA5236">
        <v>0.95411749999999995</v>
      </c>
      <c r="AB5236">
        <v>32</v>
      </c>
      <c r="AC5236">
        <v>58.131399999999999</v>
      </c>
      <c r="AD5236">
        <v>-1.132554012475</v>
      </c>
      <c r="AE5236">
        <v>3.7900399999999999</v>
      </c>
      <c r="AF5236">
        <v>-17.4782068202551</v>
      </c>
      <c r="AG5236">
        <v>-1.132554012475</v>
      </c>
      <c r="AH5236">
        <v>55.547929322579797</v>
      </c>
      <c r="AI5236">
        <v>91.114189494017893</v>
      </c>
      <c r="AJ5236">
        <v>107.466229898705</v>
      </c>
      <c r="AK5236">
        <v>58.243822370008601</v>
      </c>
      <c r="AL5236">
        <v>78.475297625402007</v>
      </c>
      <c r="AM5236">
        <v>97.9473262998211</v>
      </c>
      <c r="AN5236">
        <v>1.00000000787529</v>
      </c>
    </row>
    <row r="5237" spans="1:40" x14ac:dyDescent="0.25">
      <c r="A5237" t="str">
        <f>"20190303170642164"</f>
        <v>20190303170642164</v>
      </c>
      <c r="B5237" t="str">
        <f>"1551604002160329"</f>
        <v>1551604002160329</v>
      </c>
      <c r="C5237" t="s">
        <v>40</v>
      </c>
      <c r="D5237">
        <v>5.9050640000000003</v>
      </c>
      <c r="E5237">
        <v>0.43602000000000002</v>
      </c>
      <c r="F5237" t="s">
        <v>106</v>
      </c>
      <c r="G5237">
        <v>-228.32820000000001</v>
      </c>
      <c r="H5237" s="1">
        <v>-2.78845E-6</v>
      </c>
      <c r="I5237">
        <v>-59.942039999999999</v>
      </c>
      <c r="J5237">
        <v>-284.56799999999998</v>
      </c>
      <c r="K5237">
        <v>1.1326099999999999</v>
      </c>
      <c r="L5237">
        <v>-63.91431</v>
      </c>
      <c r="M5237">
        <v>0.97301300000000002</v>
      </c>
      <c r="N5237">
        <v>-1.19863E-2</v>
      </c>
      <c r="O5237">
        <v>-0.23043949999999999</v>
      </c>
      <c r="P5237">
        <v>0.97607630000000001</v>
      </c>
      <c r="Q5237">
        <v>0.19283059999999999</v>
      </c>
      <c r="R5237">
        <v>-0.1004574</v>
      </c>
      <c r="S5237">
        <v>3.1102599999999998</v>
      </c>
      <c r="T5237">
        <v>-6.2457079999999998E-2</v>
      </c>
      <c r="U5237">
        <v>0.2172241</v>
      </c>
      <c r="V5237">
        <v>-0.13312089999999999</v>
      </c>
      <c r="W5237">
        <v>0.20066780000000001</v>
      </c>
      <c r="X5237">
        <v>0.97057269999999896</v>
      </c>
      <c r="Y5237">
        <v>-0.29759000000000002</v>
      </c>
      <c r="Z5237">
        <v>6.597164E-3</v>
      </c>
      <c r="AA5237">
        <v>0.95467100000000005</v>
      </c>
      <c r="AB5237">
        <v>32</v>
      </c>
      <c r="AC5237">
        <v>56.239799999999903</v>
      </c>
      <c r="AD5237">
        <v>-1.1326127884499999</v>
      </c>
      <c r="AE5237">
        <v>3.9722699999999902</v>
      </c>
      <c r="AF5237">
        <v>-16.819359987677199</v>
      </c>
      <c r="AG5237">
        <v>-1.1326127884499999</v>
      </c>
      <c r="AH5237">
        <v>53.788837981515002</v>
      </c>
      <c r="AI5237">
        <v>91.151321200853602</v>
      </c>
      <c r="AJ5237">
        <v>107.364066208487</v>
      </c>
      <c r="AK5237">
        <v>56.368544184902497</v>
      </c>
      <c r="AL5237">
        <v>78.423987754773506</v>
      </c>
      <c r="AM5237">
        <v>97.809791312779694</v>
      </c>
      <c r="AN5237">
        <v>1.0000000529794599</v>
      </c>
    </row>
    <row r="5238" spans="1:40" x14ac:dyDescent="0.25">
      <c r="A5238" t="str">
        <f>"20190303170642187"</f>
        <v>20190303170642187</v>
      </c>
      <c r="B5238" t="str">
        <f>"1551604002179849"</f>
        <v>1551604002179849</v>
      </c>
      <c r="C5238" t="s">
        <v>40</v>
      </c>
      <c r="D5238">
        <v>5.8713959999999998</v>
      </c>
      <c r="E5238">
        <v>0.44152629999999998</v>
      </c>
      <c r="F5238" t="s">
        <v>106</v>
      </c>
      <c r="G5238">
        <v>-227.56139999999999</v>
      </c>
      <c r="H5238" s="1">
        <v>-2.5264769999999999E-6</v>
      </c>
      <c r="I5238">
        <v>-59.639090000000003</v>
      </c>
      <c r="J5238">
        <v>-284.24470000000002</v>
      </c>
      <c r="K5238">
        <v>1.1327389999999999</v>
      </c>
      <c r="L5238">
        <v>-63.976990000000001</v>
      </c>
      <c r="M5238">
        <v>0.97629089999999996</v>
      </c>
      <c r="N5238">
        <v>-1.203161E-2</v>
      </c>
      <c r="O5238">
        <v>-0.21612790000000001</v>
      </c>
      <c r="P5238">
        <v>0.97683710000000001</v>
      </c>
      <c r="Q5238">
        <v>0.19375890000000001</v>
      </c>
      <c r="R5238">
        <v>-9.0812370000000003E-2</v>
      </c>
      <c r="S5238">
        <v>3.1097410000000001</v>
      </c>
      <c r="T5238">
        <v>-6.178463E-2</v>
      </c>
      <c r="U5238">
        <v>0.23321529999999999</v>
      </c>
      <c r="V5238">
        <v>-0.1284952</v>
      </c>
      <c r="W5238">
        <v>0.20174400000000001</v>
      </c>
      <c r="X5238">
        <v>0.97097290000000003</v>
      </c>
      <c r="Y5238">
        <v>-0.28845859999999901</v>
      </c>
      <c r="Z5238">
        <v>6.2630209999999997E-3</v>
      </c>
      <c r="AA5238">
        <v>0.95747179999999998</v>
      </c>
      <c r="AB5238">
        <v>32</v>
      </c>
      <c r="AC5238">
        <v>56.683300000000003</v>
      </c>
      <c r="AD5238">
        <v>-1.132741526477</v>
      </c>
      <c r="AE5238">
        <v>4.3378999999999897</v>
      </c>
      <c r="AF5238">
        <v>-16.480545525116501</v>
      </c>
      <c r="AG5238">
        <v>-1.132741526477</v>
      </c>
      <c r="AH5238">
        <v>54.384196373741702</v>
      </c>
      <c r="AI5238">
        <v>91.141944938184494</v>
      </c>
      <c r="AJ5238">
        <v>106.85886773999199</v>
      </c>
      <c r="AK5238">
        <v>56.837771766572203</v>
      </c>
      <c r="AL5238">
        <v>78.361038217734702</v>
      </c>
      <c r="AM5238">
        <v>97.538521944092693</v>
      </c>
      <c r="AN5238">
        <v>1.0000000152467201</v>
      </c>
    </row>
    <row r="5239" spans="1:40" x14ac:dyDescent="0.25">
      <c r="A5239" t="str">
        <f>"20190303170642198"</f>
        <v>20190303170642198</v>
      </c>
      <c r="B5239" t="str">
        <f>"1551604002190584"</f>
        <v>1551604002190584</v>
      </c>
      <c r="C5239" t="s">
        <v>40</v>
      </c>
      <c r="D5239">
        <v>5.8911509999999998</v>
      </c>
      <c r="E5239">
        <v>0.44194699999999998</v>
      </c>
      <c r="F5239" t="s">
        <v>106</v>
      </c>
      <c r="G5239">
        <v>-223.19759999999999</v>
      </c>
      <c r="H5239" s="1">
        <v>-6.5876330000000001E-7</v>
      </c>
      <c r="I5239">
        <v>-59.61956</v>
      </c>
      <c r="J5239">
        <v>-284.0915</v>
      </c>
      <c r="K5239">
        <v>1.1328020000000001</v>
      </c>
      <c r="L5239">
        <v>-64.005069999999904</v>
      </c>
      <c r="M5239">
        <v>0.97777919999999996</v>
      </c>
      <c r="N5239">
        <v>-1.2052709999999999E-2</v>
      </c>
      <c r="O5239">
        <v>-0.20929139999999999</v>
      </c>
      <c r="P5239">
        <v>0.97730450000000002</v>
      </c>
      <c r="Q5239">
        <v>0.1933889</v>
      </c>
      <c r="R5239">
        <v>-8.6468799999999998E-2</v>
      </c>
      <c r="S5239">
        <v>3.1031490000000002</v>
      </c>
      <c r="T5239">
        <v>-5.7579520000000002E-2</v>
      </c>
      <c r="U5239">
        <v>0.22149659999999999</v>
      </c>
      <c r="V5239">
        <v>-0.12604589999999999</v>
      </c>
      <c r="W5239">
        <v>0.20145440000000001</v>
      </c>
      <c r="X5239">
        <v>0.97135400000000005</v>
      </c>
      <c r="Y5239">
        <v>-0.27831270000000002</v>
      </c>
      <c r="Z5239">
        <v>5.5931720000000004E-3</v>
      </c>
      <c r="AA5239">
        <v>0.9604743</v>
      </c>
      <c r="AB5239">
        <v>32</v>
      </c>
      <c r="AC5239">
        <v>60.893900000000002</v>
      </c>
      <c r="AD5239">
        <v>-1.1328026587633</v>
      </c>
      <c r="AE5239">
        <v>4.3855099999999796</v>
      </c>
      <c r="AF5239">
        <v>-17.028002148255599</v>
      </c>
      <c r="AG5239">
        <v>-1.1328026587633</v>
      </c>
      <c r="AH5239">
        <v>58.6070110060597</v>
      </c>
      <c r="AI5239">
        <v>91.063357647728495</v>
      </c>
      <c r="AJ5239">
        <v>106.20098397973</v>
      </c>
      <c r="AK5239">
        <v>61.041115963660999</v>
      </c>
      <c r="AL5239">
        <v>78.377978940937098</v>
      </c>
      <c r="AM5239">
        <v>97.393563570186799</v>
      </c>
      <c r="AN5239">
        <v>1.00000001875108</v>
      </c>
    </row>
    <row r="5240" spans="1:40" x14ac:dyDescent="0.25">
      <c r="A5240" t="str">
        <f>"20190303170642209"</f>
        <v>20190303170642209</v>
      </c>
      <c r="B5240" t="str">
        <f>"1551604002200345"</f>
        <v>1551604002200345</v>
      </c>
      <c r="C5240" t="s">
        <v>40</v>
      </c>
      <c r="D5240">
        <v>5.9065000000000003</v>
      </c>
      <c r="E5240">
        <v>0.44249169999999999</v>
      </c>
      <c r="F5240" t="s">
        <v>106</v>
      </c>
      <c r="G5240">
        <v>-227.191</v>
      </c>
      <c r="H5240" s="1">
        <v>-2.3432880000000002E-6</v>
      </c>
      <c r="I5240">
        <v>-59.748959999999997</v>
      </c>
      <c r="J5240">
        <v>-283.93939999999998</v>
      </c>
      <c r="K5240">
        <v>1.1328579999999999</v>
      </c>
      <c r="L5240">
        <v>-64.031769999999995</v>
      </c>
      <c r="M5240">
        <v>0.97921290000000005</v>
      </c>
      <c r="N5240">
        <v>-1.207279E-2</v>
      </c>
      <c r="O5240">
        <v>-0.20247609999999999</v>
      </c>
      <c r="P5240">
        <v>0.97792579999999996</v>
      </c>
      <c r="Q5240">
        <v>0.19320509999999999</v>
      </c>
      <c r="R5240">
        <v>-7.9580970000000001E-2</v>
      </c>
      <c r="S5240">
        <v>3.1023860000000001</v>
      </c>
      <c r="T5240">
        <v>-6.176388E-2</v>
      </c>
      <c r="U5240">
        <v>0.2320557</v>
      </c>
      <c r="V5240">
        <v>-0.1261535</v>
      </c>
      <c r="W5240">
        <v>0.20127039999999999</v>
      </c>
      <c r="X5240">
        <v>0.97137810000000002</v>
      </c>
      <c r="Y5240">
        <v>-0.2748794</v>
      </c>
      <c r="Z5240">
        <v>5.9564010000000001E-3</v>
      </c>
      <c r="AA5240">
        <v>0.96146019999999999</v>
      </c>
      <c r="AB5240">
        <v>32</v>
      </c>
      <c r="AC5240">
        <v>56.748399999999997</v>
      </c>
      <c r="AD5240">
        <v>-1.132860343288</v>
      </c>
      <c r="AE5240">
        <v>4.2828099999999898</v>
      </c>
      <c r="AF5240">
        <v>-15.6789059425451</v>
      </c>
      <c r="AG5240">
        <v>-1.132860343288</v>
      </c>
      <c r="AH5240">
        <v>54.683910359660501</v>
      </c>
      <c r="AI5240">
        <v>91.140845249856696</v>
      </c>
      <c r="AJ5240">
        <v>105.998593228747</v>
      </c>
      <c r="AK5240">
        <v>56.898519456449399</v>
      </c>
      <c r="AL5240">
        <v>78.3887409695744</v>
      </c>
      <c r="AM5240">
        <v>97.399623662723101</v>
      </c>
      <c r="AN5240">
        <v>0.99999994631900802</v>
      </c>
    </row>
    <row r="5241" spans="1:40" x14ac:dyDescent="0.25">
      <c r="A5241" t="str">
        <f>"20190303170642218"</f>
        <v>20190303170642218</v>
      </c>
      <c r="B5241" t="str">
        <f>"1551604002210106"</f>
        <v>1551604002210106</v>
      </c>
      <c r="C5241" t="s">
        <v>40</v>
      </c>
      <c r="D5241">
        <v>5.8762230000000004</v>
      </c>
      <c r="E5241">
        <v>0.44308350000000002</v>
      </c>
      <c r="F5241" t="s">
        <v>106</v>
      </c>
      <c r="G5241">
        <v>-227.14859999999999</v>
      </c>
      <c r="H5241" s="1">
        <v>-2.3858990000000001E-6</v>
      </c>
      <c r="I5241">
        <v>-59.4739</v>
      </c>
      <c r="J5241">
        <v>-283.79300000000001</v>
      </c>
      <c r="K5241">
        <v>1.132906</v>
      </c>
      <c r="L5241">
        <v>-64.056550000000001</v>
      </c>
      <c r="M5241">
        <v>0.98055079999999994</v>
      </c>
      <c r="N5241">
        <v>-1.2091319999999999E-2</v>
      </c>
      <c r="O5241">
        <v>-0.1958916</v>
      </c>
      <c r="P5241">
        <v>0.97828170000000003</v>
      </c>
      <c r="Q5241">
        <v>0.19300709999999999</v>
      </c>
      <c r="R5241">
        <v>-7.5582319999999995E-2</v>
      </c>
      <c r="S5241">
        <v>3.1001590000000001</v>
      </c>
      <c r="T5241">
        <v>-6.1841849999999997E-2</v>
      </c>
      <c r="U5241">
        <v>0.2488098</v>
      </c>
      <c r="V5241">
        <v>-0.1236201</v>
      </c>
      <c r="W5241">
        <v>0.201156</v>
      </c>
      <c r="X5241">
        <v>0.97172749999999997</v>
      </c>
      <c r="Y5241">
        <v>-0.27363530000000003</v>
      </c>
      <c r="Z5241">
        <v>5.8997349999999997E-3</v>
      </c>
      <c r="AA5241">
        <v>0.96181539999999999</v>
      </c>
      <c r="AB5241">
        <v>32</v>
      </c>
      <c r="AC5241">
        <v>56.644399999999997</v>
      </c>
      <c r="AD5241">
        <v>-1.1329083858989999</v>
      </c>
      <c r="AE5241">
        <v>4.5826500000000001</v>
      </c>
      <c r="AF5241">
        <v>-15.5846326556983</v>
      </c>
      <c r="AG5241">
        <v>-1.1329083858989999</v>
      </c>
      <c r="AH5241">
        <v>54.627305662598303</v>
      </c>
      <c r="AI5241">
        <v>91.142506832972799</v>
      </c>
      <c r="AJ5241">
        <v>105.922926666306</v>
      </c>
      <c r="AK5241">
        <v>56.818190576424101</v>
      </c>
      <c r="AL5241">
        <v>78.395433095063396</v>
      </c>
      <c r="AM5241">
        <v>97.250043418097604</v>
      </c>
      <c r="AN5241">
        <v>0.99999999985812904</v>
      </c>
    </row>
    <row r="5242" spans="1:40" x14ac:dyDescent="0.25">
      <c r="A5242" t="str">
        <f>"20190303170642230"</f>
        <v>20190303170642230</v>
      </c>
      <c r="B5242" t="str">
        <f>"1551604002219865"</f>
        <v>1551604002219865</v>
      </c>
      <c r="C5242" t="s">
        <v>40</v>
      </c>
      <c r="D5242">
        <v>5.8600240000000001</v>
      </c>
      <c r="E5242">
        <v>0.44352459999999999</v>
      </c>
      <c r="F5242" t="s">
        <v>106</v>
      </c>
      <c r="G5242">
        <v>-228.99440000000001</v>
      </c>
      <c r="H5242" s="1">
        <v>-3.1679210000000001E-6</v>
      </c>
      <c r="I5242">
        <v>-59.518279999999997</v>
      </c>
      <c r="J5242">
        <v>-283.63819999999998</v>
      </c>
      <c r="K5242">
        <v>1.132957</v>
      </c>
      <c r="L5242">
        <v>-64.081389999999999</v>
      </c>
      <c r="M5242">
        <v>0.98192159999999995</v>
      </c>
      <c r="N5242">
        <v>-1.2110040000000001E-2</v>
      </c>
      <c r="O5242">
        <v>-0.1889006</v>
      </c>
      <c r="P5242">
        <v>0.97868429999999995</v>
      </c>
      <c r="Q5242">
        <v>0.19272400000000001</v>
      </c>
      <c r="R5242">
        <v>-7.0956679999999994E-2</v>
      </c>
      <c r="S5242">
        <v>3.09903</v>
      </c>
      <c r="T5242">
        <v>-6.4069509999999996E-2</v>
      </c>
      <c r="U5242">
        <v>0.25665280000000001</v>
      </c>
      <c r="V5242">
        <v>-0.1213133</v>
      </c>
      <c r="W5242">
        <v>0.20094999999999999</v>
      </c>
      <c r="X5242">
        <v>0.97206079999999995</v>
      </c>
      <c r="Y5242">
        <v>-0.26922109999999999</v>
      </c>
      <c r="Z5242">
        <v>6.0097519999999897E-3</v>
      </c>
      <c r="AA5242">
        <v>0.96305969999999996</v>
      </c>
      <c r="AB5242">
        <v>32</v>
      </c>
      <c r="AC5242">
        <v>54.643799999999899</v>
      </c>
      <c r="AD5242">
        <v>-1.132960167921</v>
      </c>
      <c r="AE5242">
        <v>4.5631099999999902</v>
      </c>
      <c r="AF5242">
        <v>-14.7976304072383</v>
      </c>
      <c r="AG5242">
        <v>-1.132960167921</v>
      </c>
      <c r="AH5242">
        <v>52.775291862206998</v>
      </c>
      <c r="AI5242">
        <v>91.184161446248694</v>
      </c>
      <c r="AJ5242">
        <v>105.662931300721</v>
      </c>
      <c r="AK5242">
        <v>54.822302902673201</v>
      </c>
      <c r="AL5242">
        <v>78.4074821695108</v>
      </c>
      <c r="AM5242">
        <v>97.113739719725501</v>
      </c>
      <c r="AN5242">
        <v>1.00000000907676</v>
      </c>
    </row>
    <row r="5243" spans="1:40" x14ac:dyDescent="0.25">
      <c r="A5243" t="str">
        <f>"20190303170642241"</f>
        <v>20190303170642241</v>
      </c>
      <c r="B5243" t="str">
        <f>"1551604002230601"</f>
        <v>1551604002230601</v>
      </c>
      <c r="C5243" t="s">
        <v>40</v>
      </c>
      <c r="D5243">
        <v>5.8611430000000002</v>
      </c>
      <c r="E5243">
        <v>0.44375940000000003</v>
      </c>
      <c r="F5243" t="s">
        <v>106</v>
      </c>
      <c r="G5243">
        <v>-228.83539999999999</v>
      </c>
      <c r="H5243" s="1">
        <v>-3.138521E-6</v>
      </c>
      <c r="I5243">
        <v>-59.342779999999998</v>
      </c>
      <c r="J5243">
        <v>-283.47660000000002</v>
      </c>
      <c r="K5243">
        <v>1.1330009999999999</v>
      </c>
      <c r="L5243">
        <v>-64.106629999999996</v>
      </c>
      <c r="M5243">
        <v>0.98330220000000002</v>
      </c>
      <c r="N5243">
        <v>-1.2128679999999999E-2</v>
      </c>
      <c r="O5243">
        <v>-0.1815754</v>
      </c>
      <c r="P5243">
        <v>0.97901609999999994</v>
      </c>
      <c r="Q5243">
        <v>0.1928956</v>
      </c>
      <c r="R5243">
        <v>-6.5717709999999999E-2</v>
      </c>
      <c r="S5243">
        <v>3.0974119999999998</v>
      </c>
      <c r="T5243">
        <v>-6.4033989999999999E-2</v>
      </c>
      <c r="U5243">
        <v>0.26782230000000001</v>
      </c>
      <c r="V5243">
        <v>-0.1192899</v>
      </c>
      <c r="W5243">
        <v>0.2011887</v>
      </c>
      <c r="X5243">
        <v>0.97226179999999995</v>
      </c>
      <c r="Y5243">
        <v>-0.26553090000000001</v>
      </c>
      <c r="Z5243">
        <v>5.8878990000000003E-3</v>
      </c>
      <c r="AA5243">
        <v>0.96408439999999995</v>
      </c>
      <c r="AB5243">
        <v>32</v>
      </c>
      <c r="AC5243">
        <v>54.641199999999998</v>
      </c>
      <c r="AD5243">
        <v>-1.1330041385209999</v>
      </c>
      <c r="AE5243">
        <v>4.7638499999999997</v>
      </c>
      <c r="AF5243">
        <v>-14.6006464704266</v>
      </c>
      <c r="AG5243">
        <v>-1.1330041385209999</v>
      </c>
      <c r="AH5243">
        <v>52.845154674035797</v>
      </c>
      <c r="AI5243">
        <v>91.183894631309798</v>
      </c>
      <c r="AJ5243">
        <v>105.44500266084</v>
      </c>
      <c r="AK5243">
        <v>54.8367846272468</v>
      </c>
      <c r="AL5243">
        <v>78.393520309889993</v>
      </c>
      <c r="AM5243">
        <v>96.994842427310104</v>
      </c>
      <c r="AN5243">
        <v>0.99999999049446997</v>
      </c>
    </row>
    <row r="5244" spans="1:40" x14ac:dyDescent="0.25">
      <c r="A5244" t="str">
        <f>"20190303170642255"</f>
        <v>20190303170642255</v>
      </c>
      <c r="B5244" t="str">
        <f>"1551604002240361"</f>
        <v>1551604002240361</v>
      </c>
      <c r="C5244" t="s">
        <v>40</v>
      </c>
      <c r="D5244">
        <v>5.8573500000000003</v>
      </c>
      <c r="E5244">
        <v>0.44419730000000002</v>
      </c>
      <c r="F5244" t="s">
        <v>106</v>
      </c>
      <c r="G5244">
        <v>-227.5412</v>
      </c>
      <c r="H5244" s="1">
        <v>-2.6587679999999998E-6</v>
      </c>
      <c r="I5244">
        <v>-59.001480000000001</v>
      </c>
      <c r="J5244">
        <v>-283.29790000000003</v>
      </c>
      <c r="K5244">
        <v>1.133051</v>
      </c>
      <c r="L5244">
        <v>-64.132350000000002</v>
      </c>
      <c r="M5244">
        <v>0.98476929999999996</v>
      </c>
      <c r="N5244">
        <v>-1.2148020000000001E-2</v>
      </c>
      <c r="O5244">
        <v>-0.1734416</v>
      </c>
      <c r="P5244">
        <v>0.97930349999999999</v>
      </c>
      <c r="Q5244">
        <v>0.19340360000000001</v>
      </c>
      <c r="R5244">
        <v>-5.966569E-2</v>
      </c>
      <c r="S5244">
        <v>3.095612</v>
      </c>
      <c r="T5244">
        <v>-6.2703369999999994E-2</v>
      </c>
      <c r="U5244">
        <v>0.2825317</v>
      </c>
      <c r="V5244">
        <v>-0.11728189999999999</v>
      </c>
      <c r="W5244">
        <v>0.201764</v>
      </c>
      <c r="X5244">
        <v>0.97238690000000005</v>
      </c>
      <c r="Y5244">
        <v>-0.26215850000000002</v>
      </c>
      <c r="Z5244">
        <v>5.6378899999999996E-3</v>
      </c>
      <c r="AA5244">
        <v>0.96500839999999999</v>
      </c>
      <c r="AB5244">
        <v>32</v>
      </c>
      <c r="AC5244">
        <v>55.756700000000002</v>
      </c>
      <c r="AD5244">
        <v>-1.133053658768</v>
      </c>
      <c r="AE5244">
        <v>5.13086999999999</v>
      </c>
      <c r="AF5244">
        <v>-14.718312993793299</v>
      </c>
      <c r="AG5244">
        <v>-1.133053658768</v>
      </c>
      <c r="AH5244">
        <v>53.999450363345197</v>
      </c>
      <c r="AI5244">
        <v>91.159747494449604</v>
      </c>
      <c r="AJ5244">
        <v>105.246417867735</v>
      </c>
      <c r="AK5244">
        <v>55.9808287498524</v>
      </c>
      <c r="AL5244">
        <v>78.359868293596705</v>
      </c>
      <c r="AM5244">
        <v>96.877359714250204</v>
      </c>
      <c r="AN5244">
        <v>1.00000001952761</v>
      </c>
    </row>
    <row r="5245" spans="1:40" x14ac:dyDescent="0.25">
      <c r="A5245" t="str">
        <f>"20190303170642266"</f>
        <v>20190303170642266</v>
      </c>
      <c r="B5245" t="str">
        <f>"1551604002259881"</f>
        <v>1551604002259881</v>
      </c>
      <c r="C5245" t="s">
        <v>40</v>
      </c>
      <c r="D5245">
        <v>5.8698189999999997</v>
      </c>
      <c r="E5245">
        <v>0.4445365</v>
      </c>
      <c r="F5245" t="s">
        <v>106</v>
      </c>
      <c r="G5245">
        <v>-226.43020000000001</v>
      </c>
      <c r="H5245" s="1">
        <v>-2.2617369999999998E-6</v>
      </c>
      <c r="I5245">
        <v>-58.641689999999997</v>
      </c>
      <c r="J5245">
        <v>-283.12810000000002</v>
      </c>
      <c r="K5245">
        <v>1.1330990000000001</v>
      </c>
      <c r="L5245">
        <v>-64.155909999999906</v>
      </c>
      <c r="M5245">
        <v>0.98610220000000004</v>
      </c>
      <c r="N5245">
        <v>-1.2165270000000001E-2</v>
      </c>
      <c r="O5245">
        <v>-0.16569420000000001</v>
      </c>
      <c r="P5245">
        <v>0.97942019999999996</v>
      </c>
      <c r="Q5245">
        <v>0.1944476</v>
      </c>
      <c r="R5245">
        <v>-5.4093389999999998E-2</v>
      </c>
      <c r="S5245">
        <v>3.09375</v>
      </c>
      <c r="T5245">
        <v>-6.1641099999999997E-2</v>
      </c>
      <c r="U5245">
        <v>0.29870609999999997</v>
      </c>
      <c r="V5245">
        <v>-0.1151853</v>
      </c>
      <c r="W5245">
        <v>0.20287730000000001</v>
      </c>
      <c r="X5245">
        <v>0.97240590000000005</v>
      </c>
      <c r="Y5245">
        <v>-0.25962819999999998</v>
      </c>
      <c r="Z5245">
        <v>5.4378959999999898E-3</v>
      </c>
      <c r="AA5245">
        <v>0.96569340000000004</v>
      </c>
      <c r="AB5245">
        <v>32</v>
      </c>
      <c r="AC5245">
        <v>56.697899999999997</v>
      </c>
      <c r="AD5245">
        <v>-1.133101261737</v>
      </c>
      <c r="AE5245">
        <v>5.5142199999999804</v>
      </c>
      <c r="AF5245">
        <v>-14.8273280035102</v>
      </c>
      <c r="AG5245">
        <v>-1.133101261737</v>
      </c>
      <c r="AH5245">
        <v>54.9785641601583</v>
      </c>
      <c r="AI5245">
        <v>91.139973025894506</v>
      </c>
      <c r="AJ5245">
        <v>105.09317348838999</v>
      </c>
      <c r="AK5245">
        <v>56.954157805253097</v>
      </c>
      <c r="AL5245">
        <v>78.294734158330797</v>
      </c>
      <c r="AM5245">
        <v>96.755431687710697</v>
      </c>
      <c r="AN5245">
        <v>1.00000004327309</v>
      </c>
    </row>
    <row r="5246" spans="1:40" x14ac:dyDescent="0.25">
      <c r="A5246" t="str">
        <f>"20190303170642279"</f>
        <v>20190303170642279</v>
      </c>
      <c r="B5246" t="str">
        <f>"1551604002270617"</f>
        <v>1551604002270617</v>
      </c>
      <c r="C5246" t="s">
        <v>40</v>
      </c>
      <c r="D5246">
        <v>5.8846059999999998</v>
      </c>
      <c r="E5246">
        <v>0.44942189999999999</v>
      </c>
      <c r="F5246" t="s">
        <v>106</v>
      </c>
      <c r="G5246">
        <v>-224.72909999999999</v>
      </c>
      <c r="H5246" s="1">
        <v>-1.6249859999999999E-6</v>
      </c>
      <c r="I5246">
        <v>-58.220849999999999</v>
      </c>
      <c r="J5246">
        <v>-282.95100000000002</v>
      </c>
      <c r="K5246">
        <v>1.1331500000000001</v>
      </c>
      <c r="L5246">
        <v>-64.178799999999995</v>
      </c>
      <c r="M5246">
        <v>0.98742949999999996</v>
      </c>
      <c r="N5246">
        <v>-1.218195E-2</v>
      </c>
      <c r="O5246">
        <v>-0.15758939999999999</v>
      </c>
      <c r="P5246">
        <v>0.979522</v>
      </c>
      <c r="Q5246">
        <v>0.1955163</v>
      </c>
      <c r="R5246">
        <v>-4.806295E-2</v>
      </c>
      <c r="S5246">
        <v>3.0923159999999998</v>
      </c>
      <c r="T5246">
        <v>-5.999935E-2</v>
      </c>
      <c r="U5246">
        <v>0.31426999999999999</v>
      </c>
      <c r="V5246">
        <v>-0.113201</v>
      </c>
      <c r="W5246">
        <v>0.20401279999999999</v>
      </c>
      <c r="X5246">
        <v>0.97240130000000002</v>
      </c>
      <c r="Y5246">
        <v>-0.25655650000000002</v>
      </c>
      <c r="Z5246">
        <v>5.17835E-3</v>
      </c>
      <c r="AA5246">
        <v>0.96651540000000002</v>
      </c>
      <c r="AB5246">
        <v>32</v>
      </c>
      <c r="AC5246">
        <v>58.221899999999899</v>
      </c>
      <c r="AD5246">
        <v>-1.1331516249860001</v>
      </c>
      <c r="AE5246">
        <v>5.9579499999999896</v>
      </c>
      <c r="AF5246">
        <v>-15.053685397932201</v>
      </c>
      <c r="AG5246">
        <v>-1.1331516249860001</v>
      </c>
      <c r="AH5246">
        <v>56.534120156339199</v>
      </c>
      <c r="AI5246">
        <v>91.109610762818406</v>
      </c>
      <c r="AJ5246">
        <v>104.910523336428</v>
      </c>
      <c r="AK5246">
        <v>58.514991399781699</v>
      </c>
      <c r="AL5246">
        <v>78.228284455618095</v>
      </c>
      <c r="AM5246">
        <v>96.640135032589399</v>
      </c>
      <c r="AN5246">
        <v>0.999999988603265</v>
      </c>
    </row>
    <row r="5247" spans="1:40" x14ac:dyDescent="0.25">
      <c r="A5247" t="str">
        <f>"20190303170642292"</f>
        <v>20190303170642292</v>
      </c>
      <c r="B5247" t="str">
        <f>"1551604002280377"</f>
        <v>1551604002280377</v>
      </c>
      <c r="C5247" t="s">
        <v>40</v>
      </c>
      <c r="D5247">
        <v>5.8279420000000002</v>
      </c>
      <c r="E5247">
        <v>0.44973249999999998</v>
      </c>
      <c r="F5247" t="s">
        <v>107</v>
      </c>
      <c r="G5247">
        <v>-231.45849999999999</v>
      </c>
      <c r="H5247" s="1">
        <v>1.8751720000000001E-7</v>
      </c>
      <c r="I5247">
        <v>-59.258229999999998</v>
      </c>
      <c r="J5247">
        <v>-282.77170000000001</v>
      </c>
      <c r="K5247">
        <v>1.1331929999999999</v>
      </c>
      <c r="L5247">
        <v>-64.200379999999996</v>
      </c>
      <c r="M5247">
        <v>0.98870729999999996</v>
      </c>
      <c r="N5247">
        <v>-1.2197349999999999E-2</v>
      </c>
      <c r="O5247">
        <v>-0.14936259999999901</v>
      </c>
      <c r="P5247">
        <v>0.97956770000000004</v>
      </c>
      <c r="Q5247">
        <v>0.19660859999999999</v>
      </c>
      <c r="R5247">
        <v>-4.2334429999999999E-2</v>
      </c>
      <c r="S5247">
        <v>3.0907900000000001</v>
      </c>
      <c r="T5247">
        <v>-6.8016289999999993E-2</v>
      </c>
      <c r="U5247">
        <v>0.29534909999999998</v>
      </c>
      <c r="V5247">
        <v>-0.110805</v>
      </c>
      <c r="W5247">
        <v>0.2051848</v>
      </c>
      <c r="X5247">
        <v>0.97243069999999998</v>
      </c>
      <c r="Y5247">
        <v>-0.24265600000000001</v>
      </c>
      <c r="Z5247">
        <v>5.6032349999999998E-3</v>
      </c>
      <c r="AA5247">
        <v>0.97009619999999996</v>
      </c>
      <c r="AB5247">
        <v>32</v>
      </c>
      <c r="AC5247">
        <v>51.313200000000002</v>
      </c>
      <c r="AD5247">
        <v>-1.1331928124827999</v>
      </c>
      <c r="AE5247">
        <v>4.9421499999999998</v>
      </c>
      <c r="AF5247">
        <v>-12.545483768583001</v>
      </c>
      <c r="AG5247">
        <v>-1.1331928124827999</v>
      </c>
      <c r="AH5247">
        <v>49.975131678644303</v>
      </c>
      <c r="AI5247">
        <v>91.259888504544506</v>
      </c>
      <c r="AJ5247">
        <v>104.092017440769</v>
      </c>
      <c r="AK5247">
        <v>51.538209856725501</v>
      </c>
      <c r="AL5247">
        <v>78.159682823000395</v>
      </c>
      <c r="AM5247">
        <v>96.500611702162999</v>
      </c>
      <c r="AN5247">
        <v>1.0000000082392599</v>
      </c>
    </row>
    <row r="5248" spans="1:40" x14ac:dyDescent="0.25">
      <c r="A5248" t="str">
        <f>"20190303170642305"</f>
        <v>20190303170642305</v>
      </c>
      <c r="B5248" t="str">
        <f>"1551604002299898"</f>
        <v>1551604002299898</v>
      </c>
      <c r="C5248" t="s">
        <v>40</v>
      </c>
      <c r="D5248">
        <v>5.7989269999999999</v>
      </c>
      <c r="E5248">
        <v>0.44985429999999998</v>
      </c>
      <c r="F5248" t="s">
        <v>106</v>
      </c>
      <c r="G5248">
        <v>-229.32640000000001</v>
      </c>
      <c r="H5248" s="1">
        <v>-3.4655219999999999E-6</v>
      </c>
      <c r="I5248">
        <v>-58.816519999999997</v>
      </c>
      <c r="J5248">
        <v>-282.577</v>
      </c>
      <c r="K5248">
        <v>1.13323</v>
      </c>
      <c r="L5248">
        <v>-64.222499999999997</v>
      </c>
      <c r="M5248">
        <v>0.99001700000000004</v>
      </c>
      <c r="N5248">
        <v>-1.2212600000000001E-2</v>
      </c>
      <c r="O5248">
        <v>-0.1404183</v>
      </c>
      <c r="P5248">
        <v>0.97965290000000005</v>
      </c>
      <c r="Q5248">
        <v>0.19751189999999999</v>
      </c>
      <c r="R5248">
        <v>-3.5623429999999998E-2</v>
      </c>
      <c r="S5248">
        <v>3.0891419999999998</v>
      </c>
      <c r="T5248">
        <v>-6.5498829999999994E-2</v>
      </c>
      <c r="U5248">
        <v>0.31118770000000001</v>
      </c>
      <c r="V5248">
        <v>-0.1086912</v>
      </c>
      <c r="W5248">
        <v>0.20615910000000001</v>
      </c>
      <c r="X5248">
        <v>0.97246319999999997</v>
      </c>
      <c r="Y5248">
        <v>-0.23886760000000001</v>
      </c>
      <c r="Z5248">
        <v>5.2437909999999898E-3</v>
      </c>
      <c r="AA5248">
        <v>0.97103799999999996</v>
      </c>
      <c r="AB5248">
        <v>32</v>
      </c>
      <c r="AC5248">
        <v>53.250599999999899</v>
      </c>
      <c r="AD5248">
        <v>-1.133233465522</v>
      </c>
      <c r="AE5248">
        <v>5.4059799999999996</v>
      </c>
      <c r="AF5248">
        <v>-12.8245781491636</v>
      </c>
      <c r="AG5248">
        <v>-1.133233465522</v>
      </c>
      <c r="AH5248">
        <v>51.940490036460403</v>
      </c>
      <c r="AI5248">
        <v>91.213446685603898</v>
      </c>
      <c r="AJ5248">
        <v>103.869442930875</v>
      </c>
      <c r="AK5248">
        <v>53.512321272946402</v>
      </c>
      <c r="AL5248">
        <v>78.102640086977601</v>
      </c>
      <c r="AM5248">
        <v>96.377421330137295</v>
      </c>
      <c r="AN5248">
        <v>1.00000001341224</v>
      </c>
    </row>
    <row r="5249" spans="1:40" x14ac:dyDescent="0.25">
      <c r="A5249" t="str">
        <f>"20190303170642321"</f>
        <v>20190303170642321</v>
      </c>
      <c r="B5249" t="str">
        <f>"1551604002310633"</f>
        <v>1551604002310633</v>
      </c>
      <c r="C5249" t="s">
        <v>40</v>
      </c>
      <c r="D5249">
        <v>5.8174580000000002</v>
      </c>
      <c r="E5249">
        <v>0.450015</v>
      </c>
      <c r="F5249" t="s">
        <v>107</v>
      </c>
      <c r="G5249">
        <v>-231.92230000000001</v>
      </c>
      <c r="H5249" s="1">
        <v>-9.5056410000000006E-8</v>
      </c>
      <c r="I5249">
        <v>-58.786909999999999</v>
      </c>
      <c r="J5249">
        <v>-282.35829999999999</v>
      </c>
      <c r="K5249">
        <v>1.133257</v>
      </c>
      <c r="L5249">
        <v>-64.244929999999997</v>
      </c>
      <c r="M5249">
        <v>0.99139069999999996</v>
      </c>
      <c r="N5249">
        <v>-1.222726E-2</v>
      </c>
      <c r="O5249">
        <v>-0.13036439999999999</v>
      </c>
      <c r="P5249">
        <v>0.97978679999999996</v>
      </c>
      <c r="Q5249">
        <v>0.19779730000000001</v>
      </c>
      <c r="R5249">
        <v>-2.990052E-2</v>
      </c>
      <c r="S5249">
        <v>3.0882869999999998</v>
      </c>
      <c r="T5249">
        <v>-6.909013E-2</v>
      </c>
      <c r="U5249">
        <v>0.33139039999999997</v>
      </c>
      <c r="V5249">
        <v>-0.10451050000000001</v>
      </c>
      <c r="W5249">
        <v>0.20658509999999999</v>
      </c>
      <c r="X5249">
        <v>0.972831</v>
      </c>
      <c r="Y5249">
        <v>-0.23531550000000001</v>
      </c>
      <c r="Z5249">
        <v>5.3839999999999999E-3</v>
      </c>
      <c r="AA5249">
        <v>0.9719042</v>
      </c>
      <c r="AB5249">
        <v>32</v>
      </c>
      <c r="AC5249">
        <v>50.4359999999999</v>
      </c>
      <c r="AD5249">
        <v>-1.13325709505641</v>
      </c>
      <c r="AE5249">
        <v>5.4580200000000101</v>
      </c>
      <c r="AF5249">
        <v>-11.9810070464469</v>
      </c>
      <c r="AG5249">
        <v>-1.13325709505641</v>
      </c>
      <c r="AH5249">
        <v>49.269350782664098</v>
      </c>
      <c r="AI5249">
        <v>91.280343812749805</v>
      </c>
      <c r="AJ5249">
        <v>103.66754152076901</v>
      </c>
      <c r="AK5249">
        <v>50.717824559376702</v>
      </c>
      <c r="AL5249">
        <v>78.077694963237803</v>
      </c>
      <c r="AM5249">
        <v>96.131725669743105</v>
      </c>
      <c r="AN5249">
        <v>1.0000000013566299</v>
      </c>
    </row>
    <row r="5250" spans="1:40" x14ac:dyDescent="0.25">
      <c r="A5250" t="str">
        <f>"20190303170642333"</f>
        <v>20190303170642333</v>
      </c>
      <c r="B5250" t="str">
        <f>"1551604002320394"</f>
        <v>1551604002320394</v>
      </c>
      <c r="C5250" t="s">
        <v>40</v>
      </c>
      <c r="D5250">
        <v>6.0387639999999996</v>
      </c>
      <c r="E5250">
        <v>0.45016279999999997</v>
      </c>
      <c r="F5250" t="s">
        <v>107</v>
      </c>
      <c r="G5250">
        <v>-234.52539999999999</v>
      </c>
      <c r="H5250" s="1">
        <v>-1.1997510000000001E-6</v>
      </c>
      <c r="I5250">
        <v>-58.854669999999999</v>
      </c>
      <c r="J5250">
        <v>-282.1952</v>
      </c>
      <c r="K5250">
        <v>1.1332629999999999</v>
      </c>
      <c r="L5250">
        <v>-64.259950000000003</v>
      </c>
      <c r="M5250">
        <v>0.99234719999999998</v>
      </c>
      <c r="N5250">
        <v>-1.2235869999999999E-2</v>
      </c>
      <c r="O5250">
        <v>-0.1228718</v>
      </c>
      <c r="P5250">
        <v>0.97997939999999994</v>
      </c>
      <c r="Q5250">
        <v>0.19758829999999999</v>
      </c>
      <c r="R5250">
        <v>-2.448562E-2</v>
      </c>
      <c r="S5250">
        <v>3.0872799999999998</v>
      </c>
      <c r="T5250">
        <v>-7.3143959999999994E-2</v>
      </c>
      <c r="U5250">
        <v>0.3479004</v>
      </c>
      <c r="V5250">
        <v>-0.10253950000000001</v>
      </c>
      <c r="W5250">
        <v>0.20644509999999999</v>
      </c>
      <c r="X5250">
        <v>0.9730704</v>
      </c>
      <c r="Y5250">
        <v>-0.2331327</v>
      </c>
      <c r="Z5250">
        <v>5.5858310000000003E-3</v>
      </c>
      <c r="AA5250">
        <v>0.97242890000000004</v>
      </c>
      <c r="AB5250">
        <v>32</v>
      </c>
      <c r="AC5250">
        <v>47.669800000000002</v>
      </c>
      <c r="AD5250">
        <v>-1.133264199751</v>
      </c>
      <c r="AE5250">
        <v>5.4052800000000003</v>
      </c>
      <c r="AF5250">
        <v>-11.215769492106</v>
      </c>
      <c r="AG5250">
        <v>-1.133264199751</v>
      </c>
      <c r="AH5250">
        <v>46.618311545906799</v>
      </c>
      <c r="AI5250">
        <v>91.353934821465003</v>
      </c>
      <c r="AJ5250">
        <v>103.527541286512</v>
      </c>
      <c r="AK5250">
        <v>47.961909307675803</v>
      </c>
      <c r="AL5250">
        <v>78.085892667076095</v>
      </c>
      <c r="AM5250">
        <v>96.015472239614695</v>
      </c>
      <c r="AN5250">
        <v>0.99999996586520901</v>
      </c>
    </row>
    <row r="5251" spans="1:40" x14ac:dyDescent="0.25">
      <c r="A5251" t="str">
        <f>"20190303170642344"</f>
        <v>20190303170642344</v>
      </c>
      <c r="B5251" t="str">
        <f>"1551604002330153"</f>
        <v>1551604002330153</v>
      </c>
      <c r="C5251" t="s">
        <v>40</v>
      </c>
      <c r="D5251">
        <v>5.8662489999999998</v>
      </c>
      <c r="E5251">
        <v>0.45035649999999999</v>
      </c>
      <c r="F5251" t="s">
        <v>107</v>
      </c>
      <c r="G5251">
        <v>-234.3843</v>
      </c>
      <c r="H5251" s="1">
        <v>-1.1809E-6</v>
      </c>
      <c r="I5251">
        <v>-58.619610000000002</v>
      </c>
      <c r="J5251">
        <v>-282.02409999999998</v>
      </c>
      <c r="K5251">
        <v>1.1332709999999999</v>
      </c>
      <c r="L5251">
        <v>-64.275049999999993</v>
      </c>
      <c r="M5251">
        <v>0.99328910000000004</v>
      </c>
      <c r="N5251">
        <v>-1.2243850000000001E-2</v>
      </c>
      <c r="O5251">
        <v>-0.11500879999999999</v>
      </c>
      <c r="P5251">
        <v>0.98015220000000003</v>
      </c>
      <c r="Q5251">
        <v>0.19737009999999999</v>
      </c>
      <c r="R5251">
        <v>-1.8631970000000001E-2</v>
      </c>
      <c r="S5251">
        <v>3.0851139999999999</v>
      </c>
      <c r="T5251">
        <v>-7.3126549999999998E-2</v>
      </c>
      <c r="U5251">
        <v>0.36395260000000001</v>
      </c>
      <c r="V5251">
        <v>-0.10064579999999999</v>
      </c>
      <c r="W5251">
        <v>0.20629249999999999</v>
      </c>
      <c r="X5251">
        <v>0.97330050000000001</v>
      </c>
      <c r="Y5251">
        <v>-0.23050129999999999</v>
      </c>
      <c r="Z5251">
        <v>5.4514560000000004E-3</v>
      </c>
      <c r="AA5251">
        <v>0.9730567</v>
      </c>
      <c r="AB5251">
        <v>33</v>
      </c>
      <c r="AC5251">
        <v>47.639799999999902</v>
      </c>
      <c r="AD5251">
        <v>-1.1332721808999999</v>
      </c>
      <c r="AE5251">
        <v>5.6554399999999898</v>
      </c>
      <c r="AF5251">
        <v>-11.0911249369855</v>
      </c>
      <c r="AG5251">
        <v>-1.1332721808999999</v>
      </c>
      <c r="AH5251">
        <v>46.647133138127003</v>
      </c>
      <c r="AI5251">
        <v>91.353971544031396</v>
      </c>
      <c r="AJ5251">
        <v>103.374670857208</v>
      </c>
      <c r="AK5251">
        <v>47.9609464899305</v>
      </c>
      <c r="AL5251">
        <v>78.094828979604401</v>
      </c>
      <c r="AM5251">
        <v>95.903784623362498</v>
      </c>
      <c r="AN5251">
        <v>1.0000000179570601</v>
      </c>
    </row>
    <row r="5252" spans="1:40" x14ac:dyDescent="0.25">
      <c r="A5252" t="str">
        <f>"20190303170642354"</f>
        <v>20190303170642354</v>
      </c>
      <c r="B5252" t="str">
        <f>"1551604002339915"</f>
        <v>1551604002339915</v>
      </c>
      <c r="C5252" t="s">
        <v>40</v>
      </c>
      <c r="D5252">
        <v>5.8463770000000004</v>
      </c>
      <c r="E5252">
        <v>0.45060020000000001</v>
      </c>
      <c r="F5252" t="s">
        <v>107</v>
      </c>
      <c r="G5252">
        <v>-236.17590000000001</v>
      </c>
      <c r="H5252" s="1">
        <v>-1.9532420000000001E-6</v>
      </c>
      <c r="I5252">
        <v>-58.598599999999998</v>
      </c>
      <c r="J5252">
        <v>-281.87729999999999</v>
      </c>
      <c r="K5252">
        <v>1.133264</v>
      </c>
      <c r="L5252">
        <v>-64.286249999999995</v>
      </c>
      <c r="M5252">
        <v>0.99404429999999999</v>
      </c>
      <c r="N5252">
        <v>-1.224829E-2</v>
      </c>
      <c r="O5252">
        <v>-0.1082858</v>
      </c>
      <c r="P5252">
        <v>0.98020890000000005</v>
      </c>
      <c r="Q5252">
        <v>0.19745409999999999</v>
      </c>
      <c r="R5252">
        <v>-1.421715E-2</v>
      </c>
      <c r="S5252">
        <v>3.0833439999999999</v>
      </c>
      <c r="T5252">
        <v>-7.6213959999999997E-2</v>
      </c>
      <c r="U5252">
        <v>0.38174439999999998</v>
      </c>
      <c r="V5252">
        <v>-9.8440959999999994E-2</v>
      </c>
      <c r="W5252">
        <v>0.2064512</v>
      </c>
      <c r="X5252">
        <v>0.97349229999999998</v>
      </c>
      <c r="Y5252">
        <v>-0.2295092</v>
      </c>
      <c r="Z5252">
        <v>5.5821489999999998E-3</v>
      </c>
      <c r="AA5252">
        <v>0.97329049999999995</v>
      </c>
      <c r="AB5252">
        <v>33</v>
      </c>
      <c r="AC5252">
        <v>45.7013999999999</v>
      </c>
      <c r="AD5252">
        <v>-1.133265953242</v>
      </c>
      <c r="AE5252">
        <v>5.6876499999999899</v>
      </c>
      <c r="AF5252">
        <v>-10.5969679233164</v>
      </c>
      <c r="AG5252">
        <v>-1.133265953242</v>
      </c>
      <c r="AH5252">
        <v>44.7895673454262</v>
      </c>
      <c r="AI5252">
        <v>91.410466055048602</v>
      </c>
      <c r="AJ5252">
        <v>103.311100493072</v>
      </c>
      <c r="AK5252">
        <v>46.040040876166103</v>
      </c>
      <c r="AL5252">
        <v>78.085535752053104</v>
      </c>
      <c r="AM5252">
        <v>95.774204629885801</v>
      </c>
      <c r="AN5252">
        <v>0.99999998937322498</v>
      </c>
    </row>
    <row r="5253" spans="1:40" x14ac:dyDescent="0.25">
      <c r="A5253" t="str">
        <f>"20190303170642366"</f>
        <v>20190303170642366</v>
      </c>
      <c r="B5253" t="str">
        <f>"1551604002360409"</f>
        <v>1551604002360409</v>
      </c>
      <c r="C5253" t="s">
        <v>40</v>
      </c>
      <c r="D5253">
        <v>5.8597669999999997</v>
      </c>
      <c r="E5253">
        <v>0.45784570000000002</v>
      </c>
      <c r="F5253" t="s">
        <v>107</v>
      </c>
      <c r="G5253">
        <v>-236.82239999999999</v>
      </c>
      <c r="H5253" s="1">
        <v>-2.245012E-6</v>
      </c>
      <c r="I5253">
        <v>-58.517139999999998</v>
      </c>
      <c r="J5253">
        <v>-281.71570000000003</v>
      </c>
      <c r="K5253">
        <v>1.1332580000000001</v>
      </c>
      <c r="L5253">
        <v>-64.298100000000005</v>
      </c>
      <c r="M5253">
        <v>0.99482230000000005</v>
      </c>
      <c r="N5253">
        <v>-1.225243E-2</v>
      </c>
      <c r="O5253">
        <v>-0.1008889</v>
      </c>
      <c r="P5253">
        <v>0.98026959999999996</v>
      </c>
      <c r="Q5253">
        <v>0.1974445</v>
      </c>
      <c r="R5253">
        <v>-9.3433319999999993E-3</v>
      </c>
      <c r="S5253">
        <v>3.081909</v>
      </c>
      <c r="T5253">
        <v>-7.7519179999999993E-2</v>
      </c>
      <c r="U5253">
        <v>0.3946228</v>
      </c>
      <c r="V5253">
        <v>-9.6034640000000004E-2</v>
      </c>
      <c r="W5253">
        <v>0.20652300000000001</v>
      </c>
      <c r="X5253">
        <v>0.97371739999999996</v>
      </c>
      <c r="Y5253">
        <v>-0.22632569999999999</v>
      </c>
      <c r="Z5253">
        <v>5.524045E-3</v>
      </c>
      <c r="AA5253">
        <v>0.97403600000000001</v>
      </c>
      <c r="AB5253">
        <v>33</v>
      </c>
      <c r="AC5253">
        <v>44.893300000000004</v>
      </c>
      <c r="AD5253">
        <v>-1.133260245012</v>
      </c>
      <c r="AE5253">
        <v>5.7809599999999897</v>
      </c>
      <c r="AF5253">
        <v>-10.2745943095676</v>
      </c>
      <c r="AG5253">
        <v>-1.133260245012</v>
      </c>
      <c r="AH5253">
        <v>44.053313731189597</v>
      </c>
      <c r="AI5253">
        <v>91.435095694492205</v>
      </c>
      <c r="AJ5253">
        <v>103.128456588397</v>
      </c>
      <c r="AK5253">
        <v>45.249817874857101</v>
      </c>
      <c r="AL5253">
        <v>78.081331293840904</v>
      </c>
      <c r="AM5253">
        <v>95.6326835330416</v>
      </c>
      <c r="AN5253">
        <v>0.99999998833584403</v>
      </c>
    </row>
    <row r="5254" spans="1:40" x14ac:dyDescent="0.25">
      <c r="A5254" t="str">
        <f>"20190303170642377"</f>
        <v>20190303170642377</v>
      </c>
      <c r="B5254" t="str">
        <f>"1551604002370169"</f>
        <v>1551604002370169</v>
      </c>
      <c r="C5254" t="s">
        <v>40</v>
      </c>
      <c r="D5254">
        <v>5.8959380000000001</v>
      </c>
      <c r="E5254">
        <v>0.45806150000000001</v>
      </c>
      <c r="F5254" t="s">
        <v>108</v>
      </c>
      <c r="G5254">
        <v>-244.2353</v>
      </c>
      <c r="H5254" s="1">
        <v>-8.7351019999999897E-7</v>
      </c>
      <c r="I5254">
        <v>-59.992159999999998</v>
      </c>
      <c r="J5254">
        <v>-281.54770000000002</v>
      </c>
      <c r="K5254">
        <v>1.1332450000000001</v>
      </c>
      <c r="L5254">
        <v>-64.308750000000003</v>
      </c>
      <c r="M5254">
        <v>0.9955697</v>
      </c>
      <c r="N5254">
        <v>-1.2254620000000001E-2</v>
      </c>
      <c r="O5254">
        <v>-9.3223890000000004E-2</v>
      </c>
      <c r="P5254">
        <v>0.98029670000000002</v>
      </c>
      <c r="Q5254">
        <v>0.1974853</v>
      </c>
      <c r="R5254">
        <v>-4.2179879999999998E-3</v>
      </c>
      <c r="S5254">
        <v>3.0824889999999998</v>
      </c>
      <c r="T5254">
        <v>-9.3202110000000005E-2</v>
      </c>
      <c r="U5254">
        <v>0.354126</v>
      </c>
      <c r="V5254">
        <v>-9.3617510000000001E-2</v>
      </c>
      <c r="W5254">
        <v>0.2066453</v>
      </c>
      <c r="X5254">
        <v>0.97392679999999998</v>
      </c>
      <c r="Y5254">
        <v>-0.20611099999999999</v>
      </c>
      <c r="Z5254">
        <v>6.0438109999999996E-3</v>
      </c>
      <c r="AA5254">
        <v>0.97850999999999999</v>
      </c>
      <c r="AB5254">
        <v>33</v>
      </c>
      <c r="AC5254">
        <v>37.312399999999997</v>
      </c>
      <c r="AD5254">
        <v>-1.1332458735102</v>
      </c>
      <c r="AE5254">
        <v>4.3165899999999997</v>
      </c>
      <c r="AF5254">
        <v>-7.7693854222645999</v>
      </c>
      <c r="AG5254">
        <v>-1.1332458735102</v>
      </c>
      <c r="AH5254">
        <v>36.714027339584099</v>
      </c>
      <c r="AI5254">
        <v>91.729696172664006</v>
      </c>
      <c r="AJ5254">
        <v>101.948593490245</v>
      </c>
      <c r="AK5254">
        <v>37.544205938350203</v>
      </c>
      <c r="AL5254">
        <v>78.074169249693597</v>
      </c>
      <c r="AM5254">
        <v>95.490616768467206</v>
      </c>
      <c r="AN5254">
        <v>0.99999996497446397</v>
      </c>
    </row>
    <row r="5255" spans="1:40" x14ac:dyDescent="0.25">
      <c r="A5255" t="str">
        <f>"20190303170642389"</f>
        <v>20190303170642389</v>
      </c>
      <c r="B5255" t="str">
        <f>"1551604002379929"</f>
        <v>1551604002379929</v>
      </c>
      <c r="C5255" t="s">
        <v>40</v>
      </c>
      <c r="D5255">
        <v>5.8616619999999999</v>
      </c>
      <c r="E5255">
        <v>0.4580996</v>
      </c>
      <c r="F5255" t="s">
        <v>108</v>
      </c>
      <c r="G5255">
        <v>-245.02780000000001</v>
      </c>
      <c r="H5255" s="1">
        <v>-1.224674E-6</v>
      </c>
      <c r="I5255">
        <v>-59.929119999999998</v>
      </c>
      <c r="J5255">
        <v>-281.38319999999999</v>
      </c>
      <c r="K5255">
        <v>1.133229</v>
      </c>
      <c r="L5255">
        <v>-64.318049999999999</v>
      </c>
      <c r="M5255">
        <v>0.99624239999999997</v>
      </c>
      <c r="N5255">
        <v>-1.225556E-2</v>
      </c>
      <c r="O5255">
        <v>-8.5738220000000004E-2</v>
      </c>
      <c r="P5255">
        <v>0.98034520000000003</v>
      </c>
      <c r="Q5255">
        <v>0.1972882</v>
      </c>
      <c r="R5255">
        <v>9.0939739999999997E-4</v>
      </c>
      <c r="S5255">
        <v>3.081207</v>
      </c>
      <c r="T5255">
        <v>-9.5612530000000001E-2</v>
      </c>
      <c r="U5255">
        <v>0.36950680000000002</v>
      </c>
      <c r="V5255">
        <v>-9.1377509999999995E-2</v>
      </c>
      <c r="W5255">
        <v>0.20652300000000001</v>
      </c>
      <c r="X5255">
        <v>0.97416550000000002</v>
      </c>
      <c r="Y5255">
        <v>-0.2036154</v>
      </c>
      <c r="Z5255">
        <v>6.0046129999999998E-3</v>
      </c>
      <c r="AA5255">
        <v>0.97903249999999997</v>
      </c>
      <c r="AB5255">
        <v>33</v>
      </c>
      <c r="AC5255">
        <v>36.355399999999896</v>
      </c>
      <c r="AD5255">
        <v>-1.133230224674</v>
      </c>
      <c r="AE5255">
        <v>4.3889300000000002</v>
      </c>
      <c r="AF5255">
        <v>-7.4828812457870004</v>
      </c>
      <c r="AG5255">
        <v>-1.133230224674</v>
      </c>
      <c r="AH5255">
        <v>35.810886156543397</v>
      </c>
      <c r="AI5255">
        <v>91.774217469493195</v>
      </c>
      <c r="AJ5255">
        <v>101.802448789222</v>
      </c>
      <c r="AK5255">
        <v>36.601875495629699</v>
      </c>
      <c r="AL5255">
        <v>78.081331557368898</v>
      </c>
      <c r="AM5255">
        <v>95.358710690606799</v>
      </c>
      <c r="AN5255">
        <v>1.0000000101265201</v>
      </c>
    </row>
    <row r="5256" spans="1:40" x14ac:dyDescent="0.25">
      <c r="A5256" t="str">
        <f>"20190303170642399"</f>
        <v>20190303170642399</v>
      </c>
      <c r="B5256" t="str">
        <f>"1551604002390665"</f>
        <v>1551604002390665</v>
      </c>
      <c r="C5256" t="s">
        <v>40</v>
      </c>
      <c r="D5256">
        <v>5.9078929999999996</v>
      </c>
      <c r="E5256">
        <v>0.45868150000000002</v>
      </c>
      <c r="F5256" t="s">
        <v>108</v>
      </c>
      <c r="G5256">
        <v>-245.90029999999999</v>
      </c>
      <c r="H5256" s="1">
        <v>-1.609276E-6</v>
      </c>
      <c r="I5256">
        <v>-59.871009999999998</v>
      </c>
      <c r="J5256">
        <v>-281.23219999999998</v>
      </c>
      <c r="K5256">
        <v>1.1332089999999999</v>
      </c>
      <c r="L5256">
        <v>-64.325710000000001</v>
      </c>
      <c r="M5256">
        <v>0.99680869999999999</v>
      </c>
      <c r="N5256">
        <v>-1.225558E-2</v>
      </c>
      <c r="O5256">
        <v>-7.8881469999999995E-2</v>
      </c>
      <c r="P5256">
        <v>0.9803655</v>
      </c>
      <c r="Q5256">
        <v>0.1971147</v>
      </c>
      <c r="R5256">
        <v>5.4231119999999999E-3</v>
      </c>
      <c r="S5256">
        <v>3.07959</v>
      </c>
      <c r="T5256">
        <v>-9.8353739999999995E-2</v>
      </c>
      <c r="U5256">
        <v>0.38595580000000002</v>
      </c>
      <c r="V5256">
        <v>-8.9145299999999997E-2</v>
      </c>
      <c r="W5256">
        <v>0.20642460000000001</v>
      </c>
      <c r="X5256">
        <v>0.97439310000000001</v>
      </c>
      <c r="Y5256">
        <v>-0.2020856</v>
      </c>
      <c r="Z5256">
        <v>6.0048230000000003E-3</v>
      </c>
      <c r="AA5256">
        <v>0.97934940000000004</v>
      </c>
      <c r="AB5256">
        <v>33</v>
      </c>
      <c r="AC5256">
        <v>35.331899999999898</v>
      </c>
      <c r="AD5256">
        <v>-1.1332106092759999</v>
      </c>
      <c r="AE5256">
        <v>4.4546999999999999</v>
      </c>
      <c r="AF5256">
        <v>-7.2207467918171302</v>
      </c>
      <c r="AG5256">
        <v>-1.1332106092759999</v>
      </c>
      <c r="AH5256">
        <v>34.835095646164199</v>
      </c>
      <c r="AI5256">
        <v>91.824459600440093</v>
      </c>
      <c r="AJ5256">
        <v>101.710637813811</v>
      </c>
      <c r="AK5256">
        <v>35.5936404318794</v>
      </c>
      <c r="AL5256">
        <v>78.087092975990899</v>
      </c>
      <c r="AM5256">
        <v>95.227325760717406</v>
      </c>
      <c r="AN5256">
        <v>0.99999995666242902</v>
      </c>
    </row>
    <row r="5257" spans="1:40" x14ac:dyDescent="0.25">
      <c r="A5257" t="str">
        <f>"20190303170642410"</f>
        <v>20190303170642410</v>
      </c>
      <c r="B5257" t="str">
        <f>"1551604002400425"</f>
        <v>1551604002400425</v>
      </c>
      <c r="C5257" t="s">
        <v>40</v>
      </c>
      <c r="D5257">
        <v>5.984674</v>
      </c>
      <c r="E5257">
        <v>0.4583372</v>
      </c>
      <c r="F5257" t="s">
        <v>108</v>
      </c>
      <c r="G5257">
        <v>-246.0146</v>
      </c>
      <c r="H5257" s="1">
        <v>-1.671193E-6</v>
      </c>
      <c r="I5257">
        <v>-59.798389999999998</v>
      </c>
      <c r="J5257">
        <v>-281.08940000000001</v>
      </c>
      <c r="K5257">
        <v>1.1331899999999999</v>
      </c>
      <c r="L5257">
        <v>-64.331699999999998</v>
      </c>
      <c r="M5257">
        <v>0.99729849999999998</v>
      </c>
      <c r="N5257">
        <v>-1.225423E-2</v>
      </c>
      <c r="O5257">
        <v>-7.2427179999999994E-2</v>
      </c>
      <c r="P5257">
        <v>0.98046759999999999</v>
      </c>
      <c r="Q5257">
        <v>0.19645409999999999</v>
      </c>
      <c r="R5257">
        <v>9.443501E-3</v>
      </c>
      <c r="S5257">
        <v>3.0778500000000002</v>
      </c>
      <c r="T5257">
        <v>-9.9036929999999995E-2</v>
      </c>
      <c r="U5257">
        <v>0.39566040000000002</v>
      </c>
      <c r="V5257">
        <v>-8.6808640000000006E-2</v>
      </c>
      <c r="W5257">
        <v>0.20584179999999999</v>
      </c>
      <c r="X5257">
        <v>0.97472729999999996</v>
      </c>
      <c r="Y5257">
        <v>-0.19885359999999999</v>
      </c>
      <c r="Z5257">
        <v>5.8474209999999898E-3</v>
      </c>
      <c r="AA5257">
        <v>0.98001179999999999</v>
      </c>
      <c r="AB5257">
        <v>33</v>
      </c>
      <c r="AC5257">
        <v>35.074800000000003</v>
      </c>
      <c r="AD5257">
        <v>-1.1331916711929999</v>
      </c>
      <c r="AE5257">
        <v>4.5333099999999904</v>
      </c>
      <c r="AF5257">
        <v>-7.0547190906629096</v>
      </c>
      <c r="AG5257">
        <v>-1.1331916711929999</v>
      </c>
      <c r="AH5257">
        <v>34.618768551768802</v>
      </c>
      <c r="AI5257">
        <v>91.837088803406402</v>
      </c>
      <c r="AJ5257">
        <v>101.518197542276</v>
      </c>
      <c r="AK5257">
        <v>35.348441561867503</v>
      </c>
      <c r="AL5257">
        <v>78.121217721060006</v>
      </c>
      <c r="AM5257">
        <v>95.089301365249398</v>
      </c>
      <c r="AN5257">
        <v>0.999999947985588</v>
      </c>
    </row>
    <row r="5258" spans="1:40" x14ac:dyDescent="0.25">
      <c r="A5258" t="str">
        <f>"20190303170642419"</f>
        <v>20190303170642419</v>
      </c>
      <c r="B5258" t="str">
        <f>"1551604002410186"</f>
        <v>1551604002410186</v>
      </c>
      <c r="C5258" t="s">
        <v>40</v>
      </c>
      <c r="D5258">
        <v>5.8707370000000001</v>
      </c>
      <c r="E5258">
        <v>0.45819130000000002</v>
      </c>
      <c r="F5258" t="s">
        <v>108</v>
      </c>
      <c r="G5258">
        <v>-247.8108</v>
      </c>
      <c r="H5258" s="1">
        <v>-2.4255439999999998E-6</v>
      </c>
      <c r="I5258">
        <v>-59.889800000000001</v>
      </c>
      <c r="J5258">
        <v>-280.93779999999998</v>
      </c>
      <c r="K5258">
        <v>1.133157</v>
      </c>
      <c r="L5258">
        <v>-64.337490000000003</v>
      </c>
      <c r="M5258">
        <v>0.99777119999999997</v>
      </c>
      <c r="N5258">
        <v>-1.2252320000000001E-2</v>
      </c>
      <c r="O5258">
        <v>-6.5593899999999997E-2</v>
      </c>
      <c r="P5258">
        <v>0.98055689999999995</v>
      </c>
      <c r="Q5258">
        <v>0.1957593</v>
      </c>
      <c r="R5258">
        <v>1.366758E-2</v>
      </c>
      <c r="S5258">
        <v>3.076813</v>
      </c>
      <c r="T5258">
        <v>-0.10477069999999999</v>
      </c>
      <c r="U5258">
        <v>0.41067500000000001</v>
      </c>
      <c r="V5258">
        <v>-8.430166E-2</v>
      </c>
      <c r="W5258">
        <v>0.20523050000000001</v>
      </c>
      <c r="X5258">
        <v>0.97507630000000001</v>
      </c>
      <c r="Y5258">
        <v>-0.1968695</v>
      </c>
      <c r="Z5258">
        <v>5.9727590000000002E-3</v>
      </c>
      <c r="AA5258">
        <v>0.98041149999999999</v>
      </c>
      <c r="AB5258">
        <v>33</v>
      </c>
      <c r="AC5258">
        <v>33.126999999999903</v>
      </c>
      <c r="AD5258">
        <v>-1.1331594255440001</v>
      </c>
      <c r="AE5258">
        <v>4.4476899999999997</v>
      </c>
      <c r="AF5258">
        <v>-6.60361223684985</v>
      </c>
      <c r="AG5258">
        <v>-1.1331594255440001</v>
      </c>
      <c r="AH5258">
        <v>32.726269279509303</v>
      </c>
      <c r="AI5258">
        <v>91.943946225114104</v>
      </c>
      <c r="AJ5258">
        <v>101.408140435528</v>
      </c>
      <c r="AK5258">
        <v>33.405096105434701</v>
      </c>
      <c r="AL5258">
        <v>78.157008085127302</v>
      </c>
      <c r="AM5258">
        <v>94.941303963502605</v>
      </c>
      <c r="AN5258">
        <v>1.00000005941534</v>
      </c>
    </row>
    <row r="5259" spans="1:40" x14ac:dyDescent="0.25">
      <c r="A5259" t="str">
        <f>"20190303170642431"</f>
        <v>20190303170642431</v>
      </c>
      <c r="B5259" t="str">
        <f>"1551604002419946"</f>
        <v>1551604002419946</v>
      </c>
      <c r="C5259" t="s">
        <v>40</v>
      </c>
      <c r="D5259">
        <v>5.89114</v>
      </c>
      <c r="E5259">
        <v>0.45825440000000001</v>
      </c>
      <c r="F5259" t="s">
        <v>108</v>
      </c>
      <c r="G5259">
        <v>-249.16849999999999</v>
      </c>
      <c r="H5259" s="1">
        <v>-2.9977020000000002E-6</v>
      </c>
      <c r="I5259">
        <v>-59.947980000000001</v>
      </c>
      <c r="J5259">
        <v>-280.77519999999998</v>
      </c>
      <c r="K5259">
        <v>1.1331150000000001</v>
      </c>
      <c r="L5259">
        <v>-64.342069999999893</v>
      </c>
      <c r="M5259">
        <v>0.99822319999999998</v>
      </c>
      <c r="N5259">
        <v>-1.2248129999999999E-2</v>
      </c>
      <c r="O5259">
        <v>-5.831559E-2</v>
      </c>
      <c r="P5259">
        <v>0.98066529999999996</v>
      </c>
      <c r="Q5259">
        <v>0.19481689999999999</v>
      </c>
      <c r="R5259">
        <v>1.8502009999999999E-2</v>
      </c>
      <c r="S5259">
        <v>3.0754700000000001</v>
      </c>
      <c r="T5259">
        <v>-0.10969710000000001</v>
      </c>
      <c r="U5259">
        <v>0.42492679999999999</v>
      </c>
      <c r="V5259">
        <v>-8.1959740000000003E-2</v>
      </c>
      <c r="W5259">
        <v>0.20436560000000001</v>
      </c>
      <c r="X5259">
        <v>0.97545749999999998</v>
      </c>
      <c r="Y5259">
        <v>-0.19422500000000001</v>
      </c>
      <c r="Z5259">
        <v>6.0023999999999997E-3</v>
      </c>
      <c r="AA5259">
        <v>0.98093859999999999</v>
      </c>
      <c r="AB5259">
        <v>33</v>
      </c>
      <c r="AC5259">
        <v>31.606699999999901</v>
      </c>
      <c r="AD5259">
        <v>-1.1331179977019901</v>
      </c>
      <c r="AE5259">
        <v>4.3940899999999896</v>
      </c>
      <c r="AF5259">
        <v>-6.2220670153310902</v>
      </c>
      <c r="AG5259">
        <v>-1.1331179977019901</v>
      </c>
      <c r="AH5259">
        <v>31.257228439563001</v>
      </c>
      <c r="AI5259">
        <v>92.036226422812902</v>
      </c>
      <c r="AJ5259">
        <v>101.258142059975</v>
      </c>
      <c r="AK5259">
        <v>31.890631916959801</v>
      </c>
      <c r="AL5259">
        <v>78.207635785920004</v>
      </c>
      <c r="AM5259">
        <v>94.802816270276594</v>
      </c>
      <c r="AN5259">
        <v>1.00000001587523</v>
      </c>
    </row>
    <row r="5260" spans="1:40" x14ac:dyDescent="0.25">
      <c r="A5260" t="str">
        <f>"20190303170642444"</f>
        <v>20190303170642444</v>
      </c>
      <c r="B5260" t="str">
        <f>"1551604002430682"</f>
        <v>1551604002430682</v>
      </c>
      <c r="C5260" t="s">
        <v>40</v>
      </c>
      <c r="D5260">
        <v>5.9855539999999996</v>
      </c>
      <c r="E5260">
        <v>0.45861380000000002</v>
      </c>
      <c r="F5260" t="s">
        <v>109</v>
      </c>
      <c r="G5260">
        <v>-250.45949999999999</v>
      </c>
      <c r="H5260" s="1">
        <v>5.838659E-7</v>
      </c>
      <c r="I5260">
        <v>-60.008920000000003</v>
      </c>
      <c r="J5260">
        <v>-280.61149999999998</v>
      </c>
      <c r="K5260">
        <v>1.133073</v>
      </c>
      <c r="L5260">
        <v>-64.346190000000007</v>
      </c>
      <c r="M5260">
        <v>0.9986237</v>
      </c>
      <c r="N5260">
        <v>-1.224365E-2</v>
      </c>
      <c r="O5260">
        <v>-5.0998509999999997E-2</v>
      </c>
      <c r="P5260">
        <v>0.98080420000000001</v>
      </c>
      <c r="Q5260">
        <v>0.19357659999999999</v>
      </c>
      <c r="R5260">
        <v>2.3483489999999999E-2</v>
      </c>
      <c r="S5260">
        <v>3.0736690000000002</v>
      </c>
      <c r="T5260">
        <v>-0.11488470000000001</v>
      </c>
      <c r="U5260">
        <v>0.43933109999999997</v>
      </c>
      <c r="V5260">
        <v>-7.9720559999999996E-2</v>
      </c>
      <c r="W5260">
        <v>0.20319989999999999</v>
      </c>
      <c r="X5260">
        <v>0.97588649999999999</v>
      </c>
      <c r="Y5260">
        <v>-0.1916099</v>
      </c>
      <c r="Z5260">
        <v>6.0173120000000004E-3</v>
      </c>
      <c r="AA5260">
        <v>0.98145269999999996</v>
      </c>
      <c r="AB5260">
        <v>33</v>
      </c>
      <c r="AC5260">
        <v>30.151999999999902</v>
      </c>
      <c r="AD5260">
        <v>-1.1330724161340999</v>
      </c>
      <c r="AE5260">
        <v>4.33727000000001</v>
      </c>
      <c r="AF5260">
        <v>-5.8613381624526202</v>
      </c>
      <c r="AG5260">
        <v>-1.1330724161340999</v>
      </c>
      <c r="AH5260">
        <v>29.850248620918101</v>
      </c>
      <c r="AI5260">
        <v>92.133126256635094</v>
      </c>
      <c r="AJ5260">
        <v>101.10915288139699</v>
      </c>
      <c r="AK5260">
        <v>30.4413613507256</v>
      </c>
      <c r="AL5260">
        <v>78.275857002059098</v>
      </c>
      <c r="AM5260">
        <v>94.670145194526995</v>
      </c>
      <c r="AN5260">
        <v>1.00000001396448</v>
      </c>
    </row>
    <row r="5261" spans="1:40" x14ac:dyDescent="0.25">
      <c r="A5261" t="str">
        <f>"20190303170642456"</f>
        <v>20190303170642456</v>
      </c>
      <c r="B5261" t="str">
        <f>"1551604002450204"</f>
        <v>1551604002450204</v>
      </c>
      <c r="C5261" t="s">
        <v>40</v>
      </c>
      <c r="D5261">
        <v>5.9584149999999996</v>
      </c>
      <c r="E5261">
        <v>0.4589876</v>
      </c>
      <c r="F5261" t="s">
        <v>109</v>
      </c>
      <c r="G5261">
        <v>-252.10679999999999</v>
      </c>
      <c r="H5261" s="1">
        <v>-9.2327700000000002E-8</v>
      </c>
      <c r="I5261">
        <v>-60.14678</v>
      </c>
      <c r="J5261">
        <v>-280.42520000000002</v>
      </c>
      <c r="K5261">
        <v>1.133019</v>
      </c>
      <c r="L5261">
        <v>-64.348600000000005</v>
      </c>
      <c r="M5261">
        <v>0.99901070000000003</v>
      </c>
      <c r="N5261">
        <v>-1.2235390000000001E-2</v>
      </c>
      <c r="O5261">
        <v>-4.2758310000000001E-2</v>
      </c>
      <c r="P5261">
        <v>0.98089059999999995</v>
      </c>
      <c r="Q5261">
        <v>0.1923541</v>
      </c>
      <c r="R5261">
        <v>2.9221730000000001E-2</v>
      </c>
      <c r="S5261">
        <v>3.0719910000000001</v>
      </c>
      <c r="T5261">
        <v>-0.1221129</v>
      </c>
      <c r="U5261">
        <v>0.45257570000000003</v>
      </c>
      <c r="V5261">
        <v>-7.7323899999999904E-2</v>
      </c>
      <c r="W5261">
        <v>0.20205600000000001</v>
      </c>
      <c r="X5261">
        <v>0.97631679999999998</v>
      </c>
      <c r="Y5261">
        <v>-0.18771499999999999</v>
      </c>
      <c r="Z5261">
        <v>6.0354529999999997E-3</v>
      </c>
      <c r="AA5261">
        <v>0.98220499999999999</v>
      </c>
      <c r="AB5261">
        <v>33</v>
      </c>
      <c r="AC5261">
        <v>28.3184</v>
      </c>
      <c r="AD5261">
        <v>-1.1330190923276999</v>
      </c>
      <c r="AE5261">
        <v>4.2018199999999899</v>
      </c>
      <c r="AF5261">
        <v>-5.4004551674483103</v>
      </c>
      <c r="AG5261">
        <v>-1.1330190923276999</v>
      </c>
      <c r="AH5261">
        <v>28.0688565664381</v>
      </c>
      <c r="AI5261">
        <v>92.269941777859998</v>
      </c>
      <c r="AJ5261">
        <v>100.89064129248599</v>
      </c>
      <c r="AK5261">
        <v>28.6061069918028</v>
      </c>
      <c r="AL5261">
        <v>78.342786502086199</v>
      </c>
      <c r="AM5261">
        <v>94.528350460820306</v>
      </c>
      <c r="AN5261">
        <v>1.00000005330472</v>
      </c>
    </row>
    <row r="5262" spans="1:40" x14ac:dyDescent="0.25">
      <c r="A5262" t="str">
        <f>"20190303170642469"</f>
        <v>20190303170642469</v>
      </c>
      <c r="B5262" t="str">
        <f>"1551604002459965"</f>
        <v>1551604002459965</v>
      </c>
      <c r="C5262" t="s">
        <v>40</v>
      </c>
      <c r="D5262">
        <v>5.914091</v>
      </c>
      <c r="E5262">
        <v>0.46758680000000002</v>
      </c>
      <c r="F5262" t="s">
        <v>109</v>
      </c>
      <c r="G5262">
        <v>-253.51390000000001</v>
      </c>
      <c r="H5262" s="1">
        <v>-6.7419559999999996E-7</v>
      </c>
      <c r="I5262">
        <v>-60.245280000000001</v>
      </c>
      <c r="J5262">
        <v>-280.23700000000002</v>
      </c>
      <c r="K5262">
        <v>1.1329640000000001</v>
      </c>
      <c r="L5262">
        <v>-64.349950000000007</v>
      </c>
      <c r="M5262">
        <v>0.99933079999999996</v>
      </c>
      <c r="N5262">
        <v>-1.222644E-2</v>
      </c>
      <c r="O5262">
        <v>-3.447505E-2</v>
      </c>
      <c r="P5262">
        <v>0.98087029999999997</v>
      </c>
      <c r="Q5262">
        <v>0.1914228</v>
      </c>
      <c r="R5262">
        <v>3.5368669999999998E-2</v>
      </c>
      <c r="S5262">
        <v>3.069855</v>
      </c>
      <c r="T5262">
        <v>-0.1292468</v>
      </c>
      <c r="U5262">
        <v>0.46807860000000001</v>
      </c>
      <c r="V5262">
        <v>-7.5298359999999995E-2</v>
      </c>
      <c r="W5262">
        <v>0.20118910000000001</v>
      </c>
      <c r="X5262">
        <v>0.97665409999999997</v>
      </c>
      <c r="Y5262">
        <v>-0.18450549999999999</v>
      </c>
      <c r="Z5262">
        <v>6.0195730000000003E-3</v>
      </c>
      <c r="AA5262">
        <v>0.9828131</v>
      </c>
      <c r="AB5262">
        <v>33</v>
      </c>
      <c r="AC5262">
        <v>26.723099999999999</v>
      </c>
      <c r="AD5262">
        <v>-1.1329646741956001</v>
      </c>
      <c r="AE5262">
        <v>4.1046699999999898</v>
      </c>
      <c r="AF5262">
        <v>-5.0147726090912004</v>
      </c>
      <c r="AG5262">
        <v>-1.1329646741956001</v>
      </c>
      <c r="AH5262">
        <v>26.519124675578698</v>
      </c>
      <c r="AI5262">
        <v>92.403784716060201</v>
      </c>
      <c r="AJ5262">
        <v>100.708202156704</v>
      </c>
      <c r="AK5262">
        <v>27.012877055818301</v>
      </c>
      <c r="AL5262">
        <v>78.3934977783222</v>
      </c>
      <c r="AM5262">
        <v>94.408685078083394</v>
      </c>
      <c r="AN5262">
        <v>1.00000006401215</v>
      </c>
    </row>
    <row r="5263" spans="1:40" x14ac:dyDescent="0.25">
      <c r="A5263" t="str">
        <f>"20190303170642481"</f>
        <v>20190303170642481</v>
      </c>
      <c r="B5263" t="str">
        <f>"1551604002470702"</f>
        <v>1551604002470702</v>
      </c>
      <c r="C5263" t="s">
        <v>40</v>
      </c>
      <c r="D5263">
        <v>5.9369820000000004</v>
      </c>
      <c r="E5263">
        <v>0.46824359999999998</v>
      </c>
      <c r="F5263" t="s">
        <v>109</v>
      </c>
      <c r="G5263">
        <v>-254.27850000000001</v>
      </c>
      <c r="H5263" s="1">
        <v>-1.064995E-6</v>
      </c>
      <c r="I5263">
        <v>-60.80359</v>
      </c>
      <c r="J5263">
        <v>-280.0575</v>
      </c>
      <c r="K5263">
        <v>1.1329149999999999</v>
      </c>
      <c r="L5263">
        <v>-64.350070000000002</v>
      </c>
      <c r="M5263">
        <v>0.99957110000000005</v>
      </c>
      <c r="N5263">
        <v>-1.2217220000000001E-2</v>
      </c>
      <c r="O5263">
        <v>-2.6616649999999999E-2</v>
      </c>
      <c r="P5263">
        <v>0.98077340000000002</v>
      </c>
      <c r="Q5263">
        <v>0.19076889999999999</v>
      </c>
      <c r="R5263">
        <v>4.1117679999999997E-2</v>
      </c>
      <c r="S5263">
        <v>3.0694889999999999</v>
      </c>
      <c r="T5263">
        <v>-0.13396849999999999</v>
      </c>
      <c r="U5263">
        <v>0.41934199999999999</v>
      </c>
      <c r="V5263">
        <v>-7.3299160000000002E-2</v>
      </c>
      <c r="W5263">
        <v>0.2005982</v>
      </c>
      <c r="X5263">
        <v>0.97692760000000001</v>
      </c>
      <c r="Y5263">
        <v>-0.1614777</v>
      </c>
      <c r="Z5263">
        <v>5.330258E-3</v>
      </c>
      <c r="AA5263">
        <v>0.98686189999999996</v>
      </c>
      <c r="AB5263">
        <v>33</v>
      </c>
      <c r="AC5263">
        <v>25.779</v>
      </c>
      <c r="AD5263">
        <v>-1.1329160649950001</v>
      </c>
      <c r="AE5263">
        <v>3.5464799999999999</v>
      </c>
      <c r="AF5263">
        <v>-4.2234197140518397</v>
      </c>
      <c r="AG5263">
        <v>-1.1329160649950001</v>
      </c>
      <c r="AH5263">
        <v>25.626887634850299</v>
      </c>
      <c r="AI5263">
        <v>92.497641760215501</v>
      </c>
      <c r="AJ5263">
        <v>99.358465743001702</v>
      </c>
      <c r="AK5263">
        <v>25.997271832648298</v>
      </c>
      <c r="AL5263">
        <v>78.428057338039494</v>
      </c>
      <c r="AM5263">
        <v>94.290879040248797</v>
      </c>
      <c r="AN5263">
        <v>0.99999997017085196</v>
      </c>
    </row>
    <row r="5264" spans="1:40" x14ac:dyDescent="0.25">
      <c r="A5264" t="str">
        <f>"20190303170642493"</f>
        <v>20190303170642493</v>
      </c>
      <c r="B5264" t="str">
        <f>"1551604002480461"</f>
        <v>1551604002480461</v>
      </c>
      <c r="C5264" t="s">
        <v>40</v>
      </c>
      <c r="D5264">
        <v>5.9501980000000003</v>
      </c>
      <c r="E5264">
        <v>0.46902729999999998</v>
      </c>
      <c r="F5264" t="s">
        <v>109</v>
      </c>
      <c r="G5264">
        <v>-254.8407</v>
      </c>
      <c r="H5264" s="1">
        <v>-1.3041280000000001E-6</v>
      </c>
      <c r="I5264">
        <v>-60.794400000000003</v>
      </c>
      <c r="J5264">
        <v>-279.89929999999998</v>
      </c>
      <c r="K5264">
        <v>1.1328659999999999</v>
      </c>
      <c r="L5264">
        <v>-64.348479999999995</v>
      </c>
      <c r="M5264">
        <v>0.99973020000000001</v>
      </c>
      <c r="N5264">
        <v>-1.220765E-2</v>
      </c>
      <c r="O5264">
        <v>-1.9763679999999999E-2</v>
      </c>
      <c r="P5264">
        <v>0.98060290000000006</v>
      </c>
      <c r="Q5264">
        <v>0.19046769999999999</v>
      </c>
      <c r="R5264">
        <v>4.626243E-2</v>
      </c>
      <c r="S5264">
        <v>3.0674739999999998</v>
      </c>
      <c r="T5264">
        <v>-0.1378124</v>
      </c>
      <c r="U5264">
        <v>0.43252560000000001</v>
      </c>
      <c r="V5264">
        <v>-7.1691539999999998E-2</v>
      </c>
      <c r="W5264">
        <v>0.200346</v>
      </c>
      <c r="X5264">
        <v>0.97709869999999999</v>
      </c>
      <c r="Y5264">
        <v>-0.15895580000000001</v>
      </c>
      <c r="Z5264">
        <v>5.1704719999999997E-3</v>
      </c>
      <c r="AA5264">
        <v>0.98727209999999999</v>
      </c>
      <c r="AB5264">
        <v>33</v>
      </c>
      <c r="AC5264">
        <v>25.058599999999899</v>
      </c>
      <c r="AD5264">
        <v>-1.132867304128</v>
      </c>
      <c r="AE5264">
        <v>3.5540799999999999</v>
      </c>
      <c r="AF5264">
        <v>-4.0405773438064401</v>
      </c>
      <c r="AG5264">
        <v>-1.132867304128</v>
      </c>
      <c r="AH5264">
        <v>24.933502963426701</v>
      </c>
      <c r="AI5264">
        <v>92.568019988526402</v>
      </c>
      <c r="AJ5264">
        <v>99.204995727885503</v>
      </c>
      <c r="AK5264">
        <v>25.284169427277099</v>
      </c>
      <c r="AL5264">
        <v>78.442807493097106</v>
      </c>
      <c r="AM5264">
        <v>94.196377863887705</v>
      </c>
      <c r="AN5264">
        <v>1.00000003308263</v>
      </c>
    </row>
    <row r="5265" spans="1:40" x14ac:dyDescent="0.25">
      <c r="A5265" t="str">
        <f>"20190303170642503"</f>
        <v>20190303170642503</v>
      </c>
      <c r="B5265" t="str">
        <f>"1551604002490221"</f>
        <v>1551604002490221</v>
      </c>
      <c r="C5265" t="s">
        <v>40</v>
      </c>
      <c r="D5265">
        <v>5.9403819999999996</v>
      </c>
      <c r="E5265">
        <v>0.4695281</v>
      </c>
      <c r="F5265" t="s">
        <v>109</v>
      </c>
      <c r="G5265">
        <v>-255.5616</v>
      </c>
      <c r="H5265" s="1">
        <v>-1.62284E-6</v>
      </c>
      <c r="I5265">
        <v>-60.836860000000001</v>
      </c>
      <c r="J5265">
        <v>-279.74799999999999</v>
      </c>
      <c r="K5265">
        <v>1.132817</v>
      </c>
      <c r="L5265">
        <v>-64.346710000000002</v>
      </c>
      <c r="M5265">
        <v>0.99983820000000001</v>
      </c>
      <c r="N5265">
        <v>-1.21989E-2</v>
      </c>
      <c r="O5265">
        <v>-1.3222329999999999E-2</v>
      </c>
      <c r="P5265">
        <v>0.98039229999999999</v>
      </c>
      <c r="Q5265">
        <v>0.19027810000000001</v>
      </c>
      <c r="R5265">
        <v>5.1238470000000001E-2</v>
      </c>
      <c r="S5265">
        <v>3.0661930000000002</v>
      </c>
      <c r="T5265">
        <v>-0.14272480000000001</v>
      </c>
      <c r="U5265">
        <v>0.44241330000000001</v>
      </c>
      <c r="V5265">
        <v>-7.0225449999999995E-2</v>
      </c>
      <c r="W5265">
        <v>0.20020109999999999</v>
      </c>
      <c r="X5265">
        <v>0.97723479999999996</v>
      </c>
      <c r="Y5265">
        <v>-0.1556671</v>
      </c>
      <c r="Z5265">
        <v>5.009182E-3</v>
      </c>
      <c r="AA5265">
        <v>0.98779689999999998</v>
      </c>
      <c r="AB5265">
        <v>33</v>
      </c>
      <c r="AC5265">
        <v>24.1863999999999</v>
      </c>
      <c r="AD5265">
        <v>-1.1328186228399999</v>
      </c>
      <c r="AE5265">
        <v>3.5098500000000001</v>
      </c>
      <c r="AF5265">
        <v>-3.8211578669435</v>
      </c>
      <c r="AG5265">
        <v>-1.1328186228399999</v>
      </c>
      <c r="AH5265">
        <v>24.0861253850188</v>
      </c>
      <c r="AI5265">
        <v>92.659539166610401</v>
      </c>
      <c r="AJ5265">
        <v>99.014596702990005</v>
      </c>
      <c r="AK5265">
        <v>24.4136429387178</v>
      </c>
      <c r="AL5265">
        <v>78.451280642855906</v>
      </c>
      <c r="AM5265">
        <v>94.110288752146303</v>
      </c>
      <c r="AN5265">
        <v>0.999999974299975</v>
      </c>
    </row>
    <row r="5266" spans="1:40" x14ac:dyDescent="0.25">
      <c r="A5266" t="str">
        <f>"20190303170642521"</f>
        <v>20190303170642521</v>
      </c>
      <c r="B5266" t="str">
        <f>"1551604002509741"</f>
        <v>1551604002509741</v>
      </c>
      <c r="C5266" t="s">
        <v>40</v>
      </c>
      <c r="D5266">
        <v>5.9726949999999999</v>
      </c>
      <c r="E5266">
        <v>0.47064800000000001</v>
      </c>
      <c r="F5266" t="s">
        <v>109</v>
      </c>
      <c r="G5266">
        <v>-255.30799999999999</v>
      </c>
      <c r="H5266" s="1">
        <v>-1.4903050000000001E-6</v>
      </c>
      <c r="I5266">
        <v>-60.73001</v>
      </c>
      <c r="J5266">
        <v>-279.48700000000002</v>
      </c>
      <c r="K5266">
        <v>1.132714</v>
      </c>
      <c r="L5266">
        <v>-64.340580000000003</v>
      </c>
      <c r="M5266">
        <v>0.99992380000000003</v>
      </c>
      <c r="N5266">
        <v>-1.218023E-2</v>
      </c>
      <c r="O5266">
        <v>-2.0847830000000002E-3</v>
      </c>
      <c r="P5266">
        <v>0.98004309999999994</v>
      </c>
      <c r="Q5266">
        <v>0.18977640000000001</v>
      </c>
      <c r="R5266">
        <v>5.9168060000000001E-2</v>
      </c>
      <c r="S5266">
        <v>3.0638730000000001</v>
      </c>
      <c r="T5266">
        <v>-0.14201369999999999</v>
      </c>
      <c r="U5266">
        <v>0.45339970000000002</v>
      </c>
      <c r="V5266">
        <v>-6.7178210000000002E-2</v>
      </c>
      <c r="W5266">
        <v>0.19979040000000001</v>
      </c>
      <c r="X5266">
        <v>0.97753299999999999</v>
      </c>
      <c r="Y5266">
        <v>-0.14825179999999999</v>
      </c>
      <c r="Z5266">
        <v>4.394612E-3</v>
      </c>
      <c r="AA5266">
        <v>0.98893989999999998</v>
      </c>
      <c r="AB5266">
        <v>33</v>
      </c>
      <c r="AC5266">
        <v>24.178999999999998</v>
      </c>
      <c r="AD5266">
        <v>-1.1327154903049901</v>
      </c>
      <c r="AE5266">
        <v>3.6105700000000001</v>
      </c>
      <c r="AF5266">
        <v>-3.6531313873537998</v>
      </c>
      <c r="AG5266">
        <v>-1.1327154903049901</v>
      </c>
      <c r="AH5266">
        <v>24.119640102539801</v>
      </c>
      <c r="AI5266">
        <v>92.658494681546998</v>
      </c>
      <c r="AJ5266">
        <v>98.612491077592196</v>
      </c>
      <c r="AK5266">
        <v>24.421004319873798</v>
      </c>
      <c r="AL5266">
        <v>78.475296843651506</v>
      </c>
      <c r="AM5266">
        <v>93.931310453603899</v>
      </c>
      <c r="AN5266">
        <v>0.99999994095998002</v>
      </c>
    </row>
    <row r="5267" spans="1:40" x14ac:dyDescent="0.25">
      <c r="A5267" t="str">
        <f>"20190303170642535"</f>
        <v>20190303170642535</v>
      </c>
      <c r="B5267" t="str">
        <f>"1551604002520477"</f>
        <v>1551604002520477</v>
      </c>
      <c r="C5267" t="s">
        <v>40</v>
      </c>
      <c r="D5267">
        <v>5.9233599999999997</v>
      </c>
      <c r="E5267">
        <v>0.47064800000000001</v>
      </c>
      <c r="F5267" t="s">
        <v>109</v>
      </c>
      <c r="G5267">
        <v>-255.2963</v>
      </c>
      <c r="H5267" s="1">
        <v>-1.4666409999999999E-6</v>
      </c>
      <c r="I5267">
        <v>-60.646239999999999</v>
      </c>
      <c r="J5267">
        <v>-279.29640000000001</v>
      </c>
      <c r="K5267">
        <v>1.132636</v>
      </c>
      <c r="L5267">
        <v>-64.334109999999995</v>
      </c>
      <c r="M5267">
        <v>0.99990820000000002</v>
      </c>
      <c r="N5267">
        <v>-1.2164700000000001E-2</v>
      </c>
      <c r="O5267">
        <v>5.9556770000000004E-3</v>
      </c>
      <c r="P5267">
        <v>0.97968489999999997</v>
      </c>
      <c r="Q5267">
        <v>0.1896147</v>
      </c>
      <c r="R5267">
        <v>6.5298739999999994E-2</v>
      </c>
      <c r="S5267">
        <v>3.0606080000000002</v>
      </c>
      <c r="T5267">
        <v>-0.1433111</v>
      </c>
      <c r="U5267">
        <v>0.46740720000000002</v>
      </c>
      <c r="V5267">
        <v>-6.5389249999999996E-2</v>
      </c>
      <c r="W5267">
        <v>0.1996783</v>
      </c>
      <c r="X5267">
        <v>0.97767729999999997</v>
      </c>
      <c r="Y5267">
        <v>-0.1448836</v>
      </c>
      <c r="Z5267">
        <v>4.0525509999999997E-3</v>
      </c>
      <c r="AA5267">
        <v>0.9894404</v>
      </c>
      <c r="AB5267">
        <v>33</v>
      </c>
      <c r="AC5267">
        <v>24.0001</v>
      </c>
      <c r="AD5267">
        <v>-1.132637466641</v>
      </c>
      <c r="AE5267">
        <v>3.68786999999999</v>
      </c>
      <c r="AF5267">
        <v>-3.5371609715880901</v>
      </c>
      <c r="AG5267">
        <v>-1.132637466641</v>
      </c>
      <c r="AH5267">
        <v>23.9694866807728</v>
      </c>
      <c r="AI5267">
        <v>92.676460081012493</v>
      </c>
      <c r="AJ5267">
        <v>98.394514431379307</v>
      </c>
      <c r="AK5267">
        <v>24.2555285885405</v>
      </c>
      <c r="AL5267">
        <v>78.4818529413471</v>
      </c>
      <c r="AM5267">
        <v>93.826371575059099</v>
      </c>
      <c r="AN5267">
        <v>1.00000004022087</v>
      </c>
    </row>
    <row r="5268" spans="1:40" x14ac:dyDescent="0.25">
      <c r="A5268" t="str">
        <f>"20190303170642543"</f>
        <v>20190303170642543</v>
      </c>
      <c r="B5268" t="str">
        <f>"1551604002530237"</f>
        <v>1551604002530237</v>
      </c>
      <c r="C5268" t="s">
        <v>40</v>
      </c>
      <c r="D5268">
        <v>6.049817</v>
      </c>
      <c r="E5268">
        <v>0.47460740000000001</v>
      </c>
      <c r="F5268" t="s">
        <v>109</v>
      </c>
      <c r="G5268">
        <v>-255.2621</v>
      </c>
      <c r="H5268" s="1">
        <v>-1.422872E-6</v>
      </c>
      <c r="I5268">
        <v>-60.515300000000003</v>
      </c>
      <c r="J5268">
        <v>-279.166</v>
      </c>
      <c r="K5268">
        <v>1.1325799999999999</v>
      </c>
      <c r="L5268">
        <v>-64.329350000000005</v>
      </c>
      <c r="M5268">
        <v>0.99986079999999999</v>
      </c>
      <c r="N5268">
        <v>-1.2154389999999999E-2</v>
      </c>
      <c r="O5268">
        <v>1.143578E-2</v>
      </c>
      <c r="P5268">
        <v>0.97953979999999996</v>
      </c>
      <c r="Q5268">
        <v>0.18916440000000001</v>
      </c>
      <c r="R5268">
        <v>6.8694839999999993E-2</v>
      </c>
      <c r="S5268">
        <v>3.057709</v>
      </c>
      <c r="T5268">
        <v>-0.14409739999999999</v>
      </c>
      <c r="U5268">
        <v>0.48583979999999999</v>
      </c>
      <c r="V5268">
        <v>-6.3376580000000002E-2</v>
      </c>
      <c r="W5268">
        <v>0.1992873</v>
      </c>
      <c r="X5268">
        <v>0.97788949999999997</v>
      </c>
      <c r="Y5268">
        <v>-0.14542449999999901</v>
      </c>
      <c r="Z5268">
        <v>3.896311E-3</v>
      </c>
      <c r="AA5268">
        <v>0.98936170000000001</v>
      </c>
      <c r="AB5268">
        <v>33</v>
      </c>
      <c r="AC5268">
        <v>23.9039</v>
      </c>
      <c r="AD5268">
        <v>-1.1325814228719999</v>
      </c>
      <c r="AE5268">
        <v>3.8140499999999999</v>
      </c>
      <c r="AF5268">
        <v>-3.5326869235010601</v>
      </c>
      <c r="AG5268">
        <v>-1.1325814228719999</v>
      </c>
      <c r="AH5268">
        <v>23.893648827982901</v>
      </c>
      <c r="AI5268">
        <v>92.684701082014698</v>
      </c>
      <c r="AJ5268">
        <v>98.410278226609904</v>
      </c>
      <c r="AK5268">
        <v>24.179931180503399</v>
      </c>
      <c r="AL5268">
        <v>78.504713997393594</v>
      </c>
      <c r="AM5268">
        <v>93.7081278580293</v>
      </c>
      <c r="AN5268">
        <v>0.99999994652201596</v>
      </c>
    </row>
    <row r="5269" spans="1:40" x14ac:dyDescent="0.25">
      <c r="A5269" t="str">
        <f>"20190303170642557"</f>
        <v>20190303170642557</v>
      </c>
      <c r="B5269" t="str">
        <f>"1551604002550183"</f>
        <v>1551604002550183</v>
      </c>
      <c r="C5269" t="s">
        <v>40</v>
      </c>
      <c r="D5269">
        <v>5.9020299999999999</v>
      </c>
      <c r="E5269">
        <v>0.47526180000000001</v>
      </c>
      <c r="F5269" t="s">
        <v>109</v>
      </c>
      <c r="G5269">
        <v>-259.26080000000002</v>
      </c>
      <c r="H5269" s="1">
        <v>-3.2961090000000001E-6</v>
      </c>
      <c r="I5269">
        <v>-61.292969999999997</v>
      </c>
      <c r="J5269">
        <v>-278.96469999999999</v>
      </c>
      <c r="K5269">
        <v>1.132493</v>
      </c>
      <c r="L5269">
        <v>-64.319890000000001</v>
      </c>
      <c r="M5269">
        <v>0.99973069999999997</v>
      </c>
      <c r="N5269">
        <v>-1.213652E-2</v>
      </c>
      <c r="O5269">
        <v>1.978661E-2</v>
      </c>
      <c r="P5269">
        <v>0.97922920000000002</v>
      </c>
      <c r="Q5269">
        <v>0.1884372</v>
      </c>
      <c r="R5269">
        <v>7.4847300000000005E-2</v>
      </c>
      <c r="S5269">
        <v>3.0635379999999999</v>
      </c>
      <c r="T5269">
        <v>-0.17431099999999999</v>
      </c>
      <c r="U5269">
        <v>0.4673157</v>
      </c>
      <c r="V5269">
        <v>-6.1281460000000003E-2</v>
      </c>
      <c r="W5269">
        <v>0.19861899999999999</v>
      </c>
      <c r="X5269">
        <v>0.978159</v>
      </c>
      <c r="Y5269">
        <v>-0.1309729</v>
      </c>
      <c r="Z5269">
        <v>3.6225910000000001E-3</v>
      </c>
      <c r="AA5269">
        <v>0.99137929999999996</v>
      </c>
      <c r="AB5269">
        <v>33</v>
      </c>
      <c r="AC5269">
        <v>19.703899999999901</v>
      </c>
      <c r="AD5269">
        <v>-1.1324962961089999</v>
      </c>
      <c r="AE5269">
        <v>3.0269200000000001</v>
      </c>
      <c r="AF5269">
        <v>-2.6279441108910202</v>
      </c>
      <c r="AG5269">
        <v>-1.1324962961089999</v>
      </c>
      <c r="AH5269">
        <v>19.696372716924699</v>
      </c>
      <c r="AI5269">
        <v>93.2619104848212</v>
      </c>
      <c r="AJ5269">
        <v>97.599676727466701</v>
      </c>
      <c r="AK5269">
        <v>19.9031589531583</v>
      </c>
      <c r="AL5269">
        <v>78.5437862078618</v>
      </c>
      <c r="AM5269">
        <v>93.584883472809295</v>
      </c>
      <c r="AN5269">
        <v>0.99999997689086495</v>
      </c>
    </row>
    <row r="5270" spans="1:40" x14ac:dyDescent="0.25">
      <c r="A5270" t="str">
        <f>"20190303170642568"</f>
        <v>20190303170642568</v>
      </c>
      <c r="B5270" t="str">
        <f>"1551604002559943"</f>
        <v>1551604002559943</v>
      </c>
      <c r="C5270" t="s">
        <v>40</v>
      </c>
      <c r="D5270">
        <v>5.9924350000000004</v>
      </c>
      <c r="E5270">
        <v>0.47642109999999899</v>
      </c>
      <c r="F5270" t="s">
        <v>41</v>
      </c>
      <c r="G5270">
        <v>-260.66210000000001</v>
      </c>
      <c r="H5270" s="1">
        <v>4.3088930000000002E-7</v>
      </c>
      <c r="I5270">
        <v>-61.435200000000002</v>
      </c>
      <c r="J5270">
        <v>-278.82560000000001</v>
      </c>
      <c r="K5270">
        <v>1.1324320000000001</v>
      </c>
      <c r="L5270">
        <v>-64.312650000000005</v>
      </c>
      <c r="M5270">
        <v>0.99960090000000001</v>
      </c>
      <c r="N5270">
        <v>-1.2123979999999999E-2</v>
      </c>
      <c r="O5270">
        <v>2.551523E-2</v>
      </c>
      <c r="P5270">
        <v>0.97913660000000002</v>
      </c>
      <c r="Q5270">
        <v>0.1873966</v>
      </c>
      <c r="R5270">
        <v>7.8577649999999999E-2</v>
      </c>
      <c r="S5270">
        <v>3.0632320000000002</v>
      </c>
      <c r="T5270">
        <v>-0.18954119999999999</v>
      </c>
      <c r="U5270">
        <v>0.4827881</v>
      </c>
      <c r="V5270">
        <v>-5.9333940000000002E-2</v>
      </c>
      <c r="W5270">
        <v>0.19763420000000001</v>
      </c>
      <c r="X5270">
        <v>0.97847850000000003</v>
      </c>
      <c r="Y5270">
        <v>-0.13016839999999999</v>
      </c>
      <c r="Z5270">
        <v>3.5342289999999998E-3</v>
      </c>
      <c r="AA5270">
        <v>0.99148559999999997</v>
      </c>
      <c r="AB5270">
        <v>33</v>
      </c>
      <c r="AC5270">
        <v>18.163499999999999</v>
      </c>
      <c r="AD5270">
        <v>-1.1324315691107001</v>
      </c>
      <c r="AE5270">
        <v>2.8774500000000001</v>
      </c>
      <c r="AF5270">
        <v>-2.4039176292540598</v>
      </c>
      <c r="AG5270">
        <v>-1.1324315691107001</v>
      </c>
      <c r="AH5270">
        <v>18.1621403798</v>
      </c>
      <c r="AI5270">
        <v>93.537074029103394</v>
      </c>
      <c r="AJ5270">
        <v>97.539770467271893</v>
      </c>
      <c r="AK5270">
        <v>18.3555050162756</v>
      </c>
      <c r="AL5270">
        <v>78.601352344199597</v>
      </c>
      <c r="AM5270">
        <v>93.470108600377998</v>
      </c>
      <c r="AN5270">
        <v>0.99999998420390601</v>
      </c>
    </row>
    <row r="5271" spans="1:40" x14ac:dyDescent="0.25">
      <c r="A5271" t="str">
        <f>"20190303170642577"</f>
        <v>20190303170642577</v>
      </c>
      <c r="B5271" t="str">
        <f>"1551604002570680"</f>
        <v>1551604002570680</v>
      </c>
      <c r="C5271" t="s">
        <v>40</v>
      </c>
      <c r="D5271">
        <v>5.9660449999999896</v>
      </c>
      <c r="E5271">
        <v>0.47727979999999998</v>
      </c>
      <c r="F5271" t="s">
        <v>41</v>
      </c>
      <c r="G5271">
        <v>-260.3229</v>
      </c>
      <c r="H5271" s="1">
        <v>5.9053139999999998E-7</v>
      </c>
      <c r="I5271">
        <v>-61.382199999999997</v>
      </c>
      <c r="J5271">
        <v>-278.67419999999998</v>
      </c>
      <c r="K5271">
        <v>1.1323650000000001</v>
      </c>
      <c r="L5271">
        <v>-64.303799999999995</v>
      </c>
      <c r="M5271">
        <v>0.99942419999999998</v>
      </c>
      <c r="N5271">
        <v>-1.2109730000000001E-2</v>
      </c>
      <c r="O5271">
        <v>3.1698690000000002E-2</v>
      </c>
      <c r="P5271">
        <v>0.97885330000000004</v>
      </c>
      <c r="Q5271">
        <v>0.18668360000000001</v>
      </c>
      <c r="R5271">
        <v>8.3638799999999999E-2</v>
      </c>
      <c r="S5271">
        <v>3.060883</v>
      </c>
      <c r="T5271">
        <v>-0.1873369</v>
      </c>
      <c r="U5271">
        <v>0.48477170000000003</v>
      </c>
      <c r="V5271">
        <v>-5.8278780000000002E-2</v>
      </c>
      <c r="W5271">
        <v>0.19694890000000001</v>
      </c>
      <c r="X5271">
        <v>0.97868010000000005</v>
      </c>
      <c r="Y5271">
        <v>-0.124801</v>
      </c>
      <c r="Z5271">
        <v>3.0098479999999999E-3</v>
      </c>
      <c r="AA5271">
        <v>0.99217719999999998</v>
      </c>
      <c r="AB5271">
        <v>33</v>
      </c>
      <c r="AC5271">
        <v>18.351299999999899</v>
      </c>
      <c r="AD5271">
        <v>-1.1323644094686001</v>
      </c>
      <c r="AE5271">
        <v>2.92159999999999</v>
      </c>
      <c r="AF5271">
        <v>-2.3297256843312502</v>
      </c>
      <c r="AG5271">
        <v>-1.1323644094686001</v>
      </c>
      <c r="AH5271">
        <v>18.3664926476809</v>
      </c>
      <c r="AI5271">
        <v>93.500062725781206</v>
      </c>
      <c r="AJ5271">
        <v>97.229162732357594</v>
      </c>
      <c r="AK5271">
        <v>18.548259301006599</v>
      </c>
      <c r="AL5271">
        <v>78.641404688964698</v>
      </c>
      <c r="AM5271">
        <v>93.407844555013199</v>
      </c>
      <c r="AN5271">
        <v>1.0000000117727501</v>
      </c>
    </row>
    <row r="5272" spans="1:40" x14ac:dyDescent="0.25">
      <c r="A5272" t="str">
        <f>"20190303170642588"</f>
        <v>20190303170642588</v>
      </c>
      <c r="B5272" t="str">
        <f>"1551604002579742"</f>
        <v>1551604002579742</v>
      </c>
      <c r="C5272" t="s">
        <v>40</v>
      </c>
      <c r="D5272">
        <v>5.9827079999999997</v>
      </c>
      <c r="E5272">
        <v>0.47823379999999999</v>
      </c>
      <c r="F5272" t="s">
        <v>109</v>
      </c>
      <c r="G5272">
        <v>-259.93430000000001</v>
      </c>
      <c r="H5272" s="1">
        <v>-3.5241069999999998E-6</v>
      </c>
      <c r="I5272">
        <v>-61.283819999999999</v>
      </c>
      <c r="J5272">
        <v>-278.5222</v>
      </c>
      <c r="K5272">
        <v>1.132293</v>
      </c>
      <c r="L5272">
        <v>-64.29401</v>
      </c>
      <c r="M5272">
        <v>0.99921020000000005</v>
      </c>
      <c r="N5272">
        <v>-1.209492E-2</v>
      </c>
      <c r="O5272">
        <v>3.7852940000000002E-2</v>
      </c>
      <c r="P5272">
        <v>0.97846619999999995</v>
      </c>
      <c r="Q5272">
        <v>0.18623000000000001</v>
      </c>
      <c r="R5272">
        <v>8.9008379999999998E-2</v>
      </c>
      <c r="S5272">
        <v>3.0579529999999999</v>
      </c>
      <c r="T5272">
        <v>-0.1847792</v>
      </c>
      <c r="U5272">
        <v>0.49279790000000001</v>
      </c>
      <c r="V5272">
        <v>-5.7568510000000003E-2</v>
      </c>
      <c r="W5272">
        <v>0.19651170000000001</v>
      </c>
      <c r="X5272">
        <v>0.97880999999999996</v>
      </c>
      <c r="Y5272">
        <v>-0.1213959</v>
      </c>
      <c r="Z5272">
        <v>2.567148E-3</v>
      </c>
      <c r="AA5272">
        <v>0.99260090000000001</v>
      </c>
      <c r="AB5272">
        <v>33</v>
      </c>
      <c r="AC5272">
        <v>18.587899999999902</v>
      </c>
      <c r="AD5272">
        <v>-1.132296524107</v>
      </c>
      <c r="AE5272">
        <v>3.0101900000000001</v>
      </c>
      <c r="AF5272">
        <v>-2.2960718912145399</v>
      </c>
      <c r="AG5272">
        <v>-1.132296524107</v>
      </c>
      <c r="AH5272">
        <v>18.621196909112999</v>
      </c>
      <c r="AI5272">
        <v>93.453600923126601</v>
      </c>
      <c r="AJ5272">
        <v>97.029329399568795</v>
      </c>
      <c r="AK5272">
        <v>18.796356452144899</v>
      </c>
      <c r="AL5272">
        <v>78.666953542922897</v>
      </c>
      <c r="AM5272">
        <v>93.3659619734361</v>
      </c>
      <c r="AN5272">
        <v>0.99999999884025403</v>
      </c>
    </row>
    <row r="5273" spans="1:40" x14ac:dyDescent="0.25">
      <c r="A5273" t="str">
        <f>"20190303170642599"</f>
        <v>20190303170642599</v>
      </c>
      <c r="B5273" t="str">
        <f>"1551604002590463"</f>
        <v>1551604002590463</v>
      </c>
      <c r="C5273" t="s">
        <v>40</v>
      </c>
      <c r="D5273">
        <v>5.9530880000000002</v>
      </c>
      <c r="E5273">
        <v>0.47906290000000001</v>
      </c>
      <c r="F5273" t="s">
        <v>109</v>
      </c>
      <c r="G5273">
        <v>-259.3494</v>
      </c>
      <c r="H5273" s="1">
        <v>-3.3073500000000002E-6</v>
      </c>
      <c r="I5273">
        <v>-61.151470000000003</v>
      </c>
      <c r="J5273">
        <v>-278.35750000000002</v>
      </c>
      <c r="K5273">
        <v>1.1322110000000001</v>
      </c>
      <c r="L5273">
        <v>-64.282499999999999</v>
      </c>
      <c r="M5273">
        <v>0.99893790000000005</v>
      </c>
      <c r="N5273">
        <v>-1.207858E-2</v>
      </c>
      <c r="O5273">
        <v>4.4466520000000002E-2</v>
      </c>
      <c r="P5273">
        <v>0.97793479999999999</v>
      </c>
      <c r="Q5273">
        <v>0.18624089999999999</v>
      </c>
      <c r="R5273">
        <v>9.4647800000000004E-2</v>
      </c>
      <c r="S5273">
        <v>3.0548099999999998</v>
      </c>
      <c r="T5273">
        <v>-0.1804094</v>
      </c>
      <c r="U5273">
        <v>0.50070190000000003</v>
      </c>
      <c r="V5273">
        <v>-5.6690669999999999E-2</v>
      </c>
      <c r="W5273">
        <v>0.19654269999999999</v>
      </c>
      <c r="X5273">
        <v>0.97885500000000003</v>
      </c>
      <c r="Y5273">
        <v>-0.1175104</v>
      </c>
      <c r="Z5273">
        <v>2.0894949999999998E-3</v>
      </c>
      <c r="AA5273">
        <v>0.99306950000000005</v>
      </c>
      <c r="AB5273">
        <v>33</v>
      </c>
      <c r="AC5273">
        <v>19.008099999999999</v>
      </c>
      <c r="AD5273">
        <v>-1.1322143073499999</v>
      </c>
      <c r="AE5273">
        <v>3.13103</v>
      </c>
      <c r="AF5273">
        <v>-2.27478920552121</v>
      </c>
      <c r="AG5273">
        <v>-1.1322143073499999</v>
      </c>
      <c r="AH5273">
        <v>19.0626848380412</v>
      </c>
      <c r="AI5273">
        <v>93.375157548671496</v>
      </c>
      <c r="AJ5273">
        <v>96.805042833873898</v>
      </c>
      <c r="AK5273">
        <v>19.2312903467711</v>
      </c>
      <c r="AL5273">
        <v>78.665141922206402</v>
      </c>
      <c r="AM5273">
        <v>93.314599004084101</v>
      </c>
      <c r="AN5273">
        <v>0.99999998800666901</v>
      </c>
    </row>
    <row r="5274" spans="1:40" x14ac:dyDescent="0.25">
      <c r="A5274" t="str">
        <f>"20190303170642611"</f>
        <v>20190303170642611</v>
      </c>
      <c r="B5274" t="str">
        <f>"1551604002600660"</f>
        <v>1551604002600660</v>
      </c>
      <c r="C5274" t="s">
        <v>40</v>
      </c>
      <c r="D5274">
        <v>5.9540350000000002</v>
      </c>
      <c r="E5274">
        <v>0.47986640000000003</v>
      </c>
      <c r="F5274" t="s">
        <v>109</v>
      </c>
      <c r="G5274">
        <v>-259.09030000000001</v>
      </c>
      <c r="H5274" s="1">
        <v>-3.1861939999999999E-6</v>
      </c>
      <c r="I5274">
        <v>-61.059629999999999</v>
      </c>
      <c r="J5274">
        <v>-278.19740000000002</v>
      </c>
      <c r="K5274">
        <v>1.132118</v>
      </c>
      <c r="L5274">
        <v>-64.270079999999993</v>
      </c>
      <c r="M5274">
        <v>0.99863550000000001</v>
      </c>
      <c r="N5274">
        <v>-1.206114E-2</v>
      </c>
      <c r="O5274">
        <v>5.0809159999999999E-2</v>
      </c>
      <c r="P5274">
        <v>0.97724869999999997</v>
      </c>
      <c r="Q5274">
        <v>0.18706210000000001</v>
      </c>
      <c r="R5274">
        <v>9.9964189999999994E-2</v>
      </c>
      <c r="S5274">
        <v>3.0524290000000001</v>
      </c>
      <c r="T5274">
        <v>-0.17937310000000001</v>
      </c>
      <c r="U5274">
        <v>0.51058959999999998</v>
      </c>
      <c r="V5274">
        <v>-5.5785340000000003E-2</v>
      </c>
      <c r="W5274">
        <v>0.19738220000000001</v>
      </c>
      <c r="X5274">
        <v>0.97873810000000006</v>
      </c>
      <c r="Y5274">
        <v>-0.1144729</v>
      </c>
      <c r="Z5274">
        <v>1.6837239999999999E-3</v>
      </c>
      <c r="AA5274">
        <v>0.993425</v>
      </c>
      <c r="AB5274">
        <v>33</v>
      </c>
      <c r="AC5274">
        <v>19.107099999999999</v>
      </c>
      <c r="AD5274">
        <v>-1.1321211861939999</v>
      </c>
      <c r="AE5274">
        <v>3.2104499999999998</v>
      </c>
      <c r="AF5274">
        <v>-2.2278098756712099</v>
      </c>
      <c r="AG5274">
        <v>-1.1321211861939999</v>
      </c>
      <c r="AH5274">
        <v>19.180062432404998</v>
      </c>
      <c r="AI5274">
        <v>93.355510401245098</v>
      </c>
      <c r="AJ5274">
        <v>96.625352485670703</v>
      </c>
      <c r="AK5274">
        <v>19.342172321983899</v>
      </c>
      <c r="AL5274">
        <v>78.616081231129002</v>
      </c>
      <c r="AM5274">
        <v>93.262169988281599</v>
      </c>
      <c r="AN5274">
        <v>1.0000000027136799</v>
      </c>
    </row>
    <row r="5275" spans="1:40" x14ac:dyDescent="0.25">
      <c r="A5275" t="str">
        <f>"20190303170642621"</f>
        <v>20190303170642621</v>
      </c>
      <c r="B5275" t="str">
        <f>"1551604002610539"</f>
        <v>1551604002610539</v>
      </c>
      <c r="C5275" t="s">
        <v>40</v>
      </c>
      <c r="D5275">
        <v>5.9616389999999999</v>
      </c>
      <c r="E5275">
        <v>0.4805873</v>
      </c>
      <c r="F5275" t="s">
        <v>109</v>
      </c>
      <c r="G5275">
        <v>-258.36259999999999</v>
      </c>
      <c r="H5275" s="1">
        <v>-2.8357619999999998E-6</v>
      </c>
      <c r="I5275">
        <v>-60.887680000000003</v>
      </c>
      <c r="J5275">
        <v>-278.041</v>
      </c>
      <c r="K5275">
        <v>1.132036</v>
      </c>
      <c r="L5275">
        <v>-64.257419999999996</v>
      </c>
      <c r="M5275">
        <v>0.99830339999999995</v>
      </c>
      <c r="N5275">
        <v>-1.204437E-2</v>
      </c>
      <c r="O5275">
        <v>5.6969150000000003E-2</v>
      </c>
      <c r="P5275">
        <v>0.97662249999999995</v>
      </c>
      <c r="Q5275">
        <v>0.18783559999999999</v>
      </c>
      <c r="R5275">
        <v>0.10453030000000001</v>
      </c>
      <c r="S5275">
        <v>3.0499879999999999</v>
      </c>
      <c r="T5275">
        <v>-0.17408609999999999</v>
      </c>
      <c r="U5275">
        <v>0.52011109999999905</v>
      </c>
      <c r="V5275">
        <v>-5.430662E-2</v>
      </c>
      <c r="W5275">
        <v>0.19819039999999999</v>
      </c>
      <c r="X5275">
        <v>0.97865800000000003</v>
      </c>
      <c r="Y5275">
        <v>-0.11150839999999899</v>
      </c>
      <c r="Z5275">
        <v>1.2953509999999999E-3</v>
      </c>
      <c r="AA5275">
        <v>0.9937627</v>
      </c>
      <c r="AB5275">
        <v>33</v>
      </c>
      <c r="AC5275">
        <v>19.6784</v>
      </c>
      <c r="AD5275">
        <v>-1.1320388357619999</v>
      </c>
      <c r="AE5275">
        <v>3.36973999999999</v>
      </c>
      <c r="AF5275">
        <v>-2.2359349266953199</v>
      </c>
      <c r="AG5275">
        <v>-1.1320388357619999</v>
      </c>
      <c r="AH5275">
        <v>19.774843945804299</v>
      </c>
      <c r="AI5275">
        <v>93.255701241453494</v>
      </c>
      <c r="AJ5275">
        <v>96.451016004260893</v>
      </c>
      <c r="AK5275">
        <v>19.933022099094799</v>
      </c>
      <c r="AL5275">
        <v>78.568842259236106</v>
      </c>
      <c r="AM5275">
        <v>93.176137410794894</v>
      </c>
      <c r="AN5275">
        <v>1.0000000622959899</v>
      </c>
    </row>
    <row r="5276" spans="1:40" x14ac:dyDescent="0.25">
      <c r="A5276" t="str">
        <f>"20190303170642632"</f>
        <v>20190303170642632</v>
      </c>
      <c r="B5276" t="str">
        <f>"1551604002620299"</f>
        <v>1551604002620299</v>
      </c>
      <c r="C5276" t="s">
        <v>40</v>
      </c>
      <c r="D5276">
        <v>5.9273910000000001</v>
      </c>
      <c r="E5276">
        <v>0.4812013</v>
      </c>
      <c r="F5276" t="s">
        <v>109</v>
      </c>
      <c r="G5276">
        <v>-257.863</v>
      </c>
      <c r="H5276" s="1">
        <v>-2.5924789999999998E-6</v>
      </c>
      <c r="I5276">
        <v>-60.75741</v>
      </c>
      <c r="J5276">
        <v>-277.88619999999997</v>
      </c>
      <c r="K5276">
        <v>1.131942</v>
      </c>
      <c r="L5276">
        <v>-64.243380000000002</v>
      </c>
      <c r="M5276">
        <v>0.9979441</v>
      </c>
      <c r="N5276">
        <v>-1.202492E-2</v>
      </c>
      <c r="O5276">
        <v>6.2951240000000006E-2</v>
      </c>
      <c r="P5276">
        <v>0.9760373</v>
      </c>
      <c r="Q5276">
        <v>0.1889054</v>
      </c>
      <c r="R5276">
        <v>0.1080087</v>
      </c>
      <c r="S5276">
        <v>3.0481259999999999</v>
      </c>
      <c r="T5276">
        <v>-0.17100789999999999</v>
      </c>
      <c r="U5276">
        <v>0.52871699999999999</v>
      </c>
      <c r="V5276">
        <v>-5.1917629999999999E-2</v>
      </c>
      <c r="W5276">
        <v>0.19931850000000001</v>
      </c>
      <c r="X5276">
        <v>0.9785585</v>
      </c>
      <c r="Y5276">
        <v>-0.1083934</v>
      </c>
      <c r="Z5276">
        <v>9.2886110000000004E-4</v>
      </c>
      <c r="AA5276">
        <v>0.99410770000000004</v>
      </c>
      <c r="AB5276">
        <v>33</v>
      </c>
      <c r="AC5276">
        <v>20.0231999999999</v>
      </c>
      <c r="AD5276">
        <v>-1.1319445924789999</v>
      </c>
      <c r="AE5276">
        <v>3.48597</v>
      </c>
      <c r="AF5276">
        <v>-2.2116184276073998</v>
      </c>
      <c r="AG5276">
        <v>-1.1319445924789999</v>
      </c>
      <c r="AH5276">
        <v>20.1404703474416</v>
      </c>
      <c r="AI5276">
        <v>93.197600794900794</v>
      </c>
      <c r="AJ5276">
        <v>96.266523605952003</v>
      </c>
      <c r="AK5276">
        <v>20.2931293901643</v>
      </c>
      <c r="AL5276">
        <v>78.5028906430897</v>
      </c>
      <c r="AM5276">
        <v>93.036992377283994</v>
      </c>
      <c r="AN5276">
        <v>1.00000002133465</v>
      </c>
    </row>
    <row r="5277" spans="1:40" x14ac:dyDescent="0.25">
      <c r="A5277" t="str">
        <f>"20190303170642645"</f>
        <v>20190303170642645</v>
      </c>
      <c r="B5277" t="str">
        <f>"1551604002639819"</f>
        <v>1551604002639819</v>
      </c>
      <c r="C5277" t="s">
        <v>40</v>
      </c>
      <c r="D5277">
        <v>5.9367489999999998</v>
      </c>
      <c r="E5277">
        <v>0.4823346</v>
      </c>
      <c r="F5277" t="s">
        <v>109</v>
      </c>
      <c r="G5277">
        <v>-257.13560000000001</v>
      </c>
      <c r="H5277" s="1">
        <v>-2.24406E-6</v>
      </c>
      <c r="I5277">
        <v>-60.593940000000003</v>
      </c>
      <c r="J5277">
        <v>-277.70580000000001</v>
      </c>
      <c r="K5277">
        <v>1.1318360000000001</v>
      </c>
      <c r="L5277">
        <v>-64.226529999999997</v>
      </c>
      <c r="M5277">
        <v>0.99748369999999997</v>
      </c>
      <c r="N5277">
        <v>-1.200243E-2</v>
      </c>
      <c r="O5277">
        <v>6.987293E-2</v>
      </c>
      <c r="P5277">
        <v>0.97546619999999995</v>
      </c>
      <c r="Q5277">
        <v>0.1894053</v>
      </c>
      <c r="R5277">
        <v>0.1122123</v>
      </c>
      <c r="S5277">
        <v>3.0465390000000001</v>
      </c>
      <c r="T5277">
        <v>-0.16618810000000001</v>
      </c>
      <c r="U5277">
        <v>0.53579709999999903</v>
      </c>
      <c r="V5277">
        <v>-4.9301909999999997E-2</v>
      </c>
      <c r="W5277">
        <v>0.19988249999999999</v>
      </c>
      <c r="X5277">
        <v>0.97857870000000002</v>
      </c>
      <c r="Y5277">
        <v>-0.10384500000000001</v>
      </c>
      <c r="Z5277">
        <v>4.9915970000000002E-4</v>
      </c>
      <c r="AA5277">
        <v>0.99459339999999996</v>
      </c>
      <c r="AB5277">
        <v>33</v>
      </c>
      <c r="AC5277">
        <v>20.5702</v>
      </c>
      <c r="AD5277">
        <v>-1.1318382440600001</v>
      </c>
      <c r="AE5277">
        <v>3.63259</v>
      </c>
      <c r="AF5277">
        <v>-2.1799064475805601</v>
      </c>
      <c r="AG5277">
        <v>-1.1318382440600001</v>
      </c>
      <c r="AH5277">
        <v>20.712942087541801</v>
      </c>
      <c r="AI5277">
        <v>93.110615080453499</v>
      </c>
      <c r="AJ5277">
        <v>96.007902727755706</v>
      </c>
      <c r="AK5277">
        <v>20.858068459298501</v>
      </c>
      <c r="AL5277">
        <v>78.469911752117198</v>
      </c>
      <c r="AM5277">
        <v>92.884188037880506</v>
      </c>
      <c r="AN5277">
        <v>0.99999998211479302</v>
      </c>
    </row>
    <row r="5278" spans="1:40" x14ac:dyDescent="0.25">
      <c r="A5278" t="str">
        <f>"20190303170642657"</f>
        <v>20190303170642657</v>
      </c>
      <c r="B5278" t="str">
        <f>"1551604002650556"</f>
        <v>1551604002650556</v>
      </c>
      <c r="C5278" t="s">
        <v>40</v>
      </c>
      <c r="D5278">
        <v>5.9091589999999998</v>
      </c>
      <c r="E5278">
        <v>0.48287799999999997</v>
      </c>
      <c r="F5278" t="s">
        <v>109</v>
      </c>
      <c r="G5278">
        <v>-256.78160000000003</v>
      </c>
      <c r="H5278" s="1">
        <v>-2.0734310000000001E-6</v>
      </c>
      <c r="I5278">
        <v>-60.509439999999998</v>
      </c>
      <c r="J5278">
        <v>-277.5274</v>
      </c>
      <c r="K5278">
        <v>1.131705</v>
      </c>
      <c r="L5278">
        <v>-64.208309999999997</v>
      </c>
      <c r="M5278">
        <v>0.99699199999999999</v>
      </c>
      <c r="N5278">
        <v>-1.1977140000000001E-2</v>
      </c>
      <c r="O5278">
        <v>7.6575009999999999E-2</v>
      </c>
      <c r="P5278">
        <v>0.97500319999999996</v>
      </c>
      <c r="Q5278">
        <v>0.1891437</v>
      </c>
      <c r="R5278">
        <v>0.116591899999999</v>
      </c>
      <c r="S5278">
        <v>3.0451350000000001</v>
      </c>
      <c r="T5278">
        <v>-0.16471839999999999</v>
      </c>
      <c r="U5278">
        <v>0.54095459999999995</v>
      </c>
      <c r="V5278">
        <v>-4.7039299999999999E-2</v>
      </c>
      <c r="W5278">
        <v>0.1996732</v>
      </c>
      <c r="X5278">
        <v>0.97873279999999996</v>
      </c>
      <c r="Y5278">
        <v>-9.8887210000000003E-2</v>
      </c>
      <c r="Z5278" s="1">
        <v>6.387779E-5</v>
      </c>
      <c r="AA5278">
        <v>0.9950987</v>
      </c>
      <c r="AB5278">
        <v>33</v>
      </c>
      <c r="AC5278">
        <v>20.7457999999999</v>
      </c>
      <c r="AD5278">
        <v>-1.131707073431</v>
      </c>
      <c r="AE5278">
        <v>3.6988699999999901</v>
      </c>
      <c r="AF5278">
        <v>-2.09324706792993</v>
      </c>
      <c r="AG5278">
        <v>-1.131707073431</v>
      </c>
      <c r="AH5278">
        <v>20.907838029307101</v>
      </c>
      <c r="AI5278">
        <v>93.082920833162206</v>
      </c>
      <c r="AJ5278">
        <v>95.717276548969295</v>
      </c>
      <c r="AK5278">
        <v>21.0428167137195</v>
      </c>
      <c r="AL5278">
        <v>78.4821505475024</v>
      </c>
      <c r="AM5278">
        <v>92.751599878140297</v>
      </c>
      <c r="AN5278">
        <v>0.99999998816928504</v>
      </c>
    </row>
    <row r="5279" spans="1:40" x14ac:dyDescent="0.25">
      <c r="A5279" t="str">
        <f>"20190303170642670"</f>
        <v>20190303170642670</v>
      </c>
      <c r="B5279" t="str">
        <f>"1551604002660315"</f>
        <v>1551604002660315</v>
      </c>
      <c r="C5279" t="s">
        <v>40</v>
      </c>
      <c r="D5279">
        <v>5.8655460000000001</v>
      </c>
      <c r="E5279">
        <v>0.48287799999999997</v>
      </c>
      <c r="F5279" t="s">
        <v>109</v>
      </c>
      <c r="G5279">
        <v>-256.78489999999999</v>
      </c>
      <c r="H5279" s="1">
        <v>-2.0620599999999999E-6</v>
      </c>
      <c r="I5279">
        <v>-60.451909999999998</v>
      </c>
      <c r="J5279">
        <v>-277.3614</v>
      </c>
      <c r="K5279">
        <v>1.1315740000000001</v>
      </c>
      <c r="L5279">
        <v>-64.190430000000006</v>
      </c>
      <c r="M5279">
        <v>0.99650070000000002</v>
      </c>
      <c r="N5279">
        <v>-1.1952569999999999E-2</v>
      </c>
      <c r="O5279">
        <v>8.2725889999999996E-2</v>
      </c>
      <c r="P5279">
        <v>0.97454079999999998</v>
      </c>
      <c r="Q5279">
        <v>0.18861059999999999</v>
      </c>
      <c r="R5279">
        <v>0.1212294</v>
      </c>
      <c r="S5279">
        <v>3.0432130000000002</v>
      </c>
      <c r="T5279">
        <v>-0.1660372</v>
      </c>
      <c r="U5279">
        <v>0.55111690000000002</v>
      </c>
      <c r="V5279">
        <v>-4.5565969999999997E-2</v>
      </c>
      <c r="W5279">
        <v>0.1991713</v>
      </c>
      <c r="X5279">
        <v>0.97890480000000002</v>
      </c>
      <c r="Y5279">
        <v>-9.6083070000000007E-2</v>
      </c>
      <c r="Z5279">
        <v>-3.0125680000000002E-4</v>
      </c>
      <c r="AA5279">
        <v>0.99537319999999996</v>
      </c>
      <c r="AB5279">
        <v>33</v>
      </c>
      <c r="AC5279">
        <v>20.576499999999999</v>
      </c>
      <c r="AD5279">
        <v>-1.1315760620599999</v>
      </c>
      <c r="AE5279">
        <v>3.7385199999999998</v>
      </c>
      <c r="AF5279">
        <v>-2.01746653495481</v>
      </c>
      <c r="AG5279">
        <v>-1.1315760620599999</v>
      </c>
      <c r="AH5279">
        <v>20.7544931660317</v>
      </c>
      <c r="AI5279">
        <v>93.106177613184997</v>
      </c>
      <c r="AJ5279">
        <v>95.552064688505396</v>
      </c>
      <c r="AK5279">
        <v>20.8829984001997</v>
      </c>
      <c r="AL5279">
        <v>78.511497314125506</v>
      </c>
      <c r="AM5279">
        <v>92.665074938224606</v>
      </c>
      <c r="AN5279">
        <v>1.0000000359143799</v>
      </c>
    </row>
    <row r="5280" spans="1:40" x14ac:dyDescent="0.25">
      <c r="A5280" t="str">
        <f>"20190303170642679"</f>
        <v>20190303170642679</v>
      </c>
      <c r="B5280" t="str">
        <f>"1551604002670075"</f>
        <v>1551604002670075</v>
      </c>
      <c r="C5280" t="s">
        <v>40</v>
      </c>
      <c r="D5280">
        <v>5.9040460000000001</v>
      </c>
      <c r="E5280">
        <v>0.4916374</v>
      </c>
      <c r="F5280" t="s">
        <v>109</v>
      </c>
      <c r="G5280">
        <v>-256.8415</v>
      </c>
      <c r="H5280" s="1">
        <v>-2.0735149999999999E-6</v>
      </c>
      <c r="I5280">
        <v>-60.37294</v>
      </c>
      <c r="J5280">
        <v>-277.2063</v>
      </c>
      <c r="K5280">
        <v>1.131448</v>
      </c>
      <c r="L5280">
        <v>-64.173029999999997</v>
      </c>
      <c r="M5280">
        <v>0.99601390000000001</v>
      </c>
      <c r="N5280">
        <v>-1.1928940000000001E-2</v>
      </c>
      <c r="O5280">
        <v>8.839706E-2</v>
      </c>
      <c r="P5280">
        <v>0.97434350000000003</v>
      </c>
      <c r="Q5280">
        <v>0.18717829999999999</v>
      </c>
      <c r="R5280">
        <v>0.1249763</v>
      </c>
      <c r="S5280">
        <v>3.0404659999999999</v>
      </c>
      <c r="T5280">
        <v>-0.16766789999999901</v>
      </c>
      <c r="U5280">
        <v>0.56564329999999996</v>
      </c>
      <c r="V5280">
        <v>-4.3629590000000003E-2</v>
      </c>
      <c r="W5280">
        <v>0.19778380000000001</v>
      </c>
      <c r="X5280">
        <v>0.97927419999999998</v>
      </c>
      <c r="Y5280">
        <v>-9.5180630000000002E-2</v>
      </c>
      <c r="Z5280">
        <v>-5.9376890000000003E-4</v>
      </c>
      <c r="AA5280">
        <v>0.99545989999999995</v>
      </c>
      <c r="AB5280">
        <v>33</v>
      </c>
      <c r="AC5280">
        <v>20.364799999999999</v>
      </c>
      <c r="AD5280">
        <v>-1.1314500735149999</v>
      </c>
      <c r="AE5280">
        <v>3.8000900000000102</v>
      </c>
      <c r="AF5280">
        <v>-1.97899198438178</v>
      </c>
      <c r="AG5280">
        <v>-1.1314500735149999</v>
      </c>
      <c r="AH5280">
        <v>20.559679130934299</v>
      </c>
      <c r="AI5280">
        <v>93.135488415248403</v>
      </c>
      <c r="AJ5280">
        <v>95.498122513390996</v>
      </c>
      <c r="AK5280">
        <v>20.6856712366334</v>
      </c>
      <c r="AL5280">
        <v>78.592608080894095</v>
      </c>
      <c r="AM5280">
        <v>92.551011078956606</v>
      </c>
      <c r="AN5280">
        <v>0.99999996572582295</v>
      </c>
    </row>
    <row r="5281" spans="1:40" x14ac:dyDescent="0.25">
      <c r="A5281" t="str">
        <f>"20190303170642692"</f>
        <v>20190303170642692</v>
      </c>
      <c r="B5281" t="str">
        <f>"1551604002679835"</f>
        <v>1551604002679835</v>
      </c>
      <c r="C5281" t="s">
        <v>40</v>
      </c>
      <c r="D5281">
        <v>5.9519010000000003</v>
      </c>
      <c r="E5281">
        <v>0.4927125</v>
      </c>
      <c r="F5281" t="s">
        <v>110</v>
      </c>
      <c r="G5281">
        <v>-260.84210000000002</v>
      </c>
      <c r="H5281" s="1">
        <v>3.5316979999999999E-7</v>
      </c>
      <c r="I5281">
        <v>-61.437150000000003</v>
      </c>
      <c r="J5281">
        <v>-277.0428</v>
      </c>
      <c r="K5281">
        <v>1.1312960000000001</v>
      </c>
      <c r="L5281">
        <v>-64.153440000000003</v>
      </c>
      <c r="M5281">
        <v>0.995479</v>
      </c>
      <c r="N5281">
        <v>-1.1902050000000001E-2</v>
      </c>
      <c r="O5281">
        <v>9.42331E-2</v>
      </c>
      <c r="P5281">
        <v>0.97405149999999996</v>
      </c>
      <c r="Q5281">
        <v>0.18550730000000001</v>
      </c>
      <c r="R5281">
        <v>0.1296572</v>
      </c>
      <c r="S5281">
        <v>3.0540769999999999</v>
      </c>
      <c r="T5281">
        <v>-0.2111635</v>
      </c>
      <c r="U5281">
        <v>0.51058959999999998</v>
      </c>
      <c r="V5281">
        <v>-4.244709E-2</v>
      </c>
      <c r="W5281">
        <v>0.1961349</v>
      </c>
      <c r="X5281">
        <v>0.97965780000000002</v>
      </c>
      <c r="Y5281">
        <v>-7.1165759999999995E-2</v>
      </c>
      <c r="Z5281">
        <v>-2.4594439999999999E-3</v>
      </c>
      <c r="AA5281">
        <v>0.9974615</v>
      </c>
      <c r="AB5281">
        <v>33</v>
      </c>
      <c r="AC5281">
        <v>16.200699999999902</v>
      </c>
      <c r="AD5281">
        <v>-1.13129564683019</v>
      </c>
      <c r="AE5281">
        <v>2.7162899999999999</v>
      </c>
      <c r="AF5281">
        <v>-1.17189270940754</v>
      </c>
      <c r="AG5281">
        <v>-1.13129564683019</v>
      </c>
      <c r="AH5281">
        <v>16.307238132319299</v>
      </c>
      <c r="AI5281">
        <v>93.958294457843493</v>
      </c>
      <c r="AJ5281">
        <v>94.110400356301696</v>
      </c>
      <c r="AK5281">
        <v>16.3883854563855</v>
      </c>
      <c r="AL5281">
        <v>78.688971425602702</v>
      </c>
      <c r="AM5281">
        <v>92.480987632429205</v>
      </c>
      <c r="AN5281">
        <v>1.00000002977415</v>
      </c>
    </row>
    <row r="5282" spans="1:40" x14ac:dyDescent="0.25">
      <c r="A5282" t="str">
        <f>"20190303170642705"</f>
        <v>20190303170642705</v>
      </c>
      <c r="B5282" t="str">
        <f>"1551604002700331"</f>
        <v>1551604002700331</v>
      </c>
      <c r="C5282" t="s">
        <v>40</v>
      </c>
      <c r="D5282">
        <v>5.9588539999999997</v>
      </c>
      <c r="E5282">
        <v>0.4940717</v>
      </c>
      <c r="F5282" t="s">
        <v>41</v>
      </c>
      <c r="G5282">
        <v>-260.18200000000002</v>
      </c>
      <c r="H5282" s="1">
        <v>6.7040379999999999E-7</v>
      </c>
      <c r="I5282">
        <v>-61.309069999999998</v>
      </c>
      <c r="J5282">
        <v>-276.84249999999997</v>
      </c>
      <c r="K5282">
        <v>1.1310990000000001</v>
      </c>
      <c r="L5282">
        <v>-64.128690000000006</v>
      </c>
      <c r="M5282">
        <v>0.99478849999999996</v>
      </c>
      <c r="N5282">
        <v>-1.1868760000000001E-2</v>
      </c>
      <c r="O5282">
        <v>0.101267</v>
      </c>
      <c r="P5282">
        <v>0.97341809999999995</v>
      </c>
      <c r="Q5282">
        <v>0.1846517</v>
      </c>
      <c r="R5282">
        <v>0.1355037</v>
      </c>
      <c r="S5282">
        <v>3.0504150000000001</v>
      </c>
      <c r="T5282">
        <v>-0.20467189999999999</v>
      </c>
      <c r="U5282">
        <v>0.51458740000000003</v>
      </c>
      <c r="V5282">
        <v>-4.126896E-2</v>
      </c>
      <c r="W5282">
        <v>0.19529740000000001</v>
      </c>
      <c r="X5282">
        <v>0.97987539999999995</v>
      </c>
      <c r="Y5282">
        <v>-6.5605280000000002E-2</v>
      </c>
      <c r="Z5282">
        <v>-2.944431E-3</v>
      </c>
      <c r="AA5282">
        <v>0.99784130000000004</v>
      </c>
      <c r="AB5282">
        <v>33</v>
      </c>
      <c r="AC5282">
        <v>16.6604999999999</v>
      </c>
      <c r="AD5282">
        <v>-1.1310983295962</v>
      </c>
      <c r="AE5282">
        <v>2.81962</v>
      </c>
      <c r="AF5282">
        <v>-1.1128588624211699</v>
      </c>
      <c r="AG5282">
        <v>-1.1310983295962</v>
      </c>
      <c r="AH5282">
        <v>16.785183689214801</v>
      </c>
      <c r="AI5282">
        <v>93.846726027419294</v>
      </c>
      <c r="AJ5282">
        <v>93.793162854742206</v>
      </c>
      <c r="AK5282">
        <v>16.8600186761334</v>
      </c>
      <c r="AL5282">
        <v>78.737902614146407</v>
      </c>
      <c r="AM5282">
        <v>92.411674631989101</v>
      </c>
      <c r="AN5282">
        <v>1.0000000005156999</v>
      </c>
    </row>
    <row r="5283" spans="1:40" x14ac:dyDescent="0.25">
      <c r="A5283" t="str">
        <f>"20190303170642716"</f>
        <v>20190303170642716</v>
      </c>
      <c r="B5283" t="str">
        <f>"1551604002710091"</f>
        <v>1551604002710091</v>
      </c>
      <c r="C5283" t="s">
        <v>40</v>
      </c>
      <c r="D5283">
        <v>5.9671070000000004</v>
      </c>
      <c r="E5283">
        <v>0.49464789999999997</v>
      </c>
      <c r="F5283" t="s">
        <v>109</v>
      </c>
      <c r="G5283">
        <v>-258.43979999999999</v>
      </c>
      <c r="H5283" s="1">
        <v>-2.8919019999999998E-6</v>
      </c>
      <c r="I5283">
        <v>-60.991250000000001</v>
      </c>
      <c r="J5283">
        <v>-276.67340000000002</v>
      </c>
      <c r="K5283">
        <v>1.1309039999999999</v>
      </c>
      <c r="L5283">
        <v>-64.106480000000005</v>
      </c>
      <c r="M5283">
        <v>0.99418960000000001</v>
      </c>
      <c r="N5283">
        <v>-1.183641E-2</v>
      </c>
      <c r="O5283">
        <v>0.10699</v>
      </c>
      <c r="P5283">
        <v>0.97289840000000005</v>
      </c>
      <c r="Q5283">
        <v>0.18410170000000001</v>
      </c>
      <c r="R5283">
        <v>0.13991149999999999</v>
      </c>
      <c r="S5283">
        <v>3.045166</v>
      </c>
      <c r="T5283">
        <v>-0.18716759999999999</v>
      </c>
      <c r="U5283">
        <v>0.51916499999999999</v>
      </c>
      <c r="V5283">
        <v>-3.9947660000000003E-2</v>
      </c>
      <c r="W5283">
        <v>0.194768</v>
      </c>
      <c r="X5283">
        <v>0.98003549999999995</v>
      </c>
      <c r="Y5283">
        <v>-6.1614620000000002E-2</v>
      </c>
      <c r="Z5283">
        <v>-2.9917749999999999E-3</v>
      </c>
      <c r="AA5283">
        <v>0.99809550000000002</v>
      </c>
      <c r="AB5283">
        <v>33</v>
      </c>
      <c r="AC5283">
        <v>18.233599999999999</v>
      </c>
      <c r="AD5283">
        <v>-1.130906891902</v>
      </c>
      <c r="AE5283">
        <v>3.1152299999999999</v>
      </c>
      <c r="AF5283">
        <v>-1.1421277393371401</v>
      </c>
      <c r="AG5283">
        <v>-1.130906891902</v>
      </c>
      <c r="AH5283">
        <v>18.3934972338959</v>
      </c>
      <c r="AI5283">
        <v>93.511601844183403</v>
      </c>
      <c r="AJ5283">
        <v>93.553168182362995</v>
      </c>
      <c r="AK5283">
        <v>18.463589755636701</v>
      </c>
      <c r="AL5283">
        <v>78.768828712454805</v>
      </c>
      <c r="AM5283">
        <v>92.334166419172405</v>
      </c>
      <c r="AN5283">
        <v>0.99999998531186196</v>
      </c>
    </row>
    <row r="5284" spans="1:40" x14ac:dyDescent="0.25">
      <c r="A5284" t="str">
        <f>"20190303170642726"</f>
        <v>20190303170642726</v>
      </c>
      <c r="B5284" t="str">
        <f>"1551604002719852"</f>
        <v>1551604002719852</v>
      </c>
      <c r="C5284" t="s">
        <v>40</v>
      </c>
      <c r="D5284">
        <v>6.2989879999999996</v>
      </c>
      <c r="E5284">
        <v>0.4951893</v>
      </c>
      <c r="F5284" t="s">
        <v>109</v>
      </c>
      <c r="G5284">
        <v>-258.07859999999999</v>
      </c>
      <c r="H5284" s="1">
        <v>-2.7128749999999998E-6</v>
      </c>
      <c r="I5284">
        <v>-60.882820000000002</v>
      </c>
      <c r="J5284">
        <v>-276.52460000000002</v>
      </c>
      <c r="K5284">
        <v>1.1307229999999999</v>
      </c>
      <c r="L5284">
        <v>-64.086399999999998</v>
      </c>
      <c r="M5284">
        <v>0.99364509999999995</v>
      </c>
      <c r="N5284">
        <v>-1.180728E-2</v>
      </c>
      <c r="O5284">
        <v>0.1119383</v>
      </c>
      <c r="P5284">
        <v>0.97246440000000001</v>
      </c>
      <c r="Q5284">
        <v>0.1841351</v>
      </c>
      <c r="R5284">
        <v>0.14285400000000001</v>
      </c>
      <c r="S5284">
        <v>3.0427249999999999</v>
      </c>
      <c r="T5284">
        <v>-0.18505389999999999</v>
      </c>
      <c r="U5284">
        <v>0.52749630000000003</v>
      </c>
      <c r="V5284">
        <v>-3.7945050000000001E-2</v>
      </c>
      <c r="W5284">
        <v>0.1948386</v>
      </c>
      <c r="X5284">
        <v>0.980101</v>
      </c>
      <c r="Y5284">
        <v>-5.9442309999999998E-2</v>
      </c>
      <c r="Z5284">
        <v>-3.261814E-3</v>
      </c>
      <c r="AA5284">
        <v>0.99822639999999996</v>
      </c>
      <c r="AB5284">
        <v>33</v>
      </c>
      <c r="AC5284">
        <v>18.446000000000002</v>
      </c>
      <c r="AD5284">
        <v>-1.1307257128749999</v>
      </c>
      <c r="AE5284">
        <v>3.2035800000000001</v>
      </c>
      <c r="AF5284">
        <v>-1.11442062052998</v>
      </c>
      <c r="AG5284">
        <v>-1.1307257128749999</v>
      </c>
      <c r="AH5284">
        <v>18.620761241465601</v>
      </c>
      <c r="AI5284">
        <v>93.468766146175895</v>
      </c>
      <c r="AJ5284">
        <v>93.424968820138602</v>
      </c>
      <c r="AK5284">
        <v>18.688317826088198</v>
      </c>
      <c r="AL5284">
        <v>78.7647040900071</v>
      </c>
      <c r="AM5284">
        <v>92.217124516740896</v>
      </c>
      <c r="AN5284">
        <v>0.99999993853522895</v>
      </c>
    </row>
    <row r="5285" spans="1:40" x14ac:dyDescent="0.25">
      <c r="A5285" t="str">
        <f>"20190303170642737"</f>
        <v>20190303170642737</v>
      </c>
      <c r="B5285" t="str">
        <f>"1551604002730588"</f>
        <v>1551604002730588</v>
      </c>
      <c r="C5285" t="s">
        <v>40</v>
      </c>
      <c r="D5285">
        <v>5.9662169999999897</v>
      </c>
      <c r="E5285">
        <v>0.4959847</v>
      </c>
      <c r="F5285" t="s">
        <v>109</v>
      </c>
      <c r="G5285">
        <v>-258.44709999999998</v>
      </c>
      <c r="H5285" s="1">
        <v>-2.8788860000000001E-6</v>
      </c>
      <c r="I5285">
        <v>-60.918660000000003</v>
      </c>
      <c r="J5285">
        <v>-276.37189999999998</v>
      </c>
      <c r="K5285">
        <v>1.1305289999999999</v>
      </c>
      <c r="L5285">
        <v>-64.065029999999993</v>
      </c>
      <c r="M5285">
        <v>0.99307719999999999</v>
      </c>
      <c r="N5285">
        <v>-1.1775330000000001E-2</v>
      </c>
      <c r="O5285">
        <v>0.11687259999999999</v>
      </c>
      <c r="P5285">
        <v>0.97200520000000001</v>
      </c>
      <c r="Q5285">
        <v>0.1842222</v>
      </c>
      <c r="R5285">
        <v>0.1458361</v>
      </c>
      <c r="S5285">
        <v>3.042694</v>
      </c>
      <c r="T5285">
        <v>-0.19031670000000001</v>
      </c>
      <c r="U5285">
        <v>0.5331726</v>
      </c>
      <c r="V5285">
        <v>-3.5989180000000003E-2</v>
      </c>
      <c r="W5285">
        <v>0.1949583</v>
      </c>
      <c r="X5285">
        <v>0.98015099999999999</v>
      </c>
      <c r="Y5285">
        <v>-5.6308379999999998E-2</v>
      </c>
      <c r="Z5285">
        <v>-3.7661330000000001E-3</v>
      </c>
      <c r="AA5285">
        <v>0.99840640000000003</v>
      </c>
      <c r="AB5285">
        <v>33</v>
      </c>
      <c r="AC5285">
        <v>17.924800000000001</v>
      </c>
      <c r="AD5285">
        <v>-1.1305318788859999</v>
      </c>
      <c r="AE5285">
        <v>3.1463700000000099</v>
      </c>
      <c r="AF5285">
        <v>-1.0257831015781</v>
      </c>
      <c r="AG5285">
        <v>-1.1305318788859999</v>
      </c>
      <c r="AH5285">
        <v>18.099844875342502</v>
      </c>
      <c r="AI5285">
        <v>93.568389323990502</v>
      </c>
      <c r="AJ5285">
        <v>93.243687419493298</v>
      </c>
      <c r="AK5285">
        <v>18.164105202627599</v>
      </c>
      <c r="AL5285">
        <v>78.757712067821004</v>
      </c>
      <c r="AM5285">
        <v>92.102841488610096</v>
      </c>
      <c r="AN5285">
        <v>0.99999997130847995</v>
      </c>
    </row>
    <row r="5286" spans="1:40" x14ac:dyDescent="0.25">
      <c r="A5286" t="str">
        <f>"20190303170642747"</f>
        <v>20190303170642747</v>
      </c>
      <c r="B5286" t="str">
        <f>"1551604002740346"</f>
        <v>1551604002740346</v>
      </c>
      <c r="C5286" t="s">
        <v>40</v>
      </c>
      <c r="D5286">
        <v>5.8777809999999997</v>
      </c>
      <c r="E5286">
        <v>0.49627880000000002</v>
      </c>
      <c r="F5286" t="s">
        <v>109</v>
      </c>
      <c r="G5286">
        <v>-258.76249999999999</v>
      </c>
      <c r="H5286" s="1">
        <v>-3.0221569999999999E-6</v>
      </c>
      <c r="I5286">
        <v>-60.954479999999997</v>
      </c>
      <c r="J5286">
        <v>-276.24439999999998</v>
      </c>
      <c r="K5286">
        <v>1.130352</v>
      </c>
      <c r="L5286">
        <v>-64.046689999999998</v>
      </c>
      <c r="M5286">
        <v>0.99259529999999996</v>
      </c>
      <c r="N5286">
        <v>-1.1748389999999999E-2</v>
      </c>
      <c r="O5286">
        <v>0.1208996</v>
      </c>
      <c r="P5286">
        <v>0.97173430000000005</v>
      </c>
      <c r="Q5286">
        <v>0.18403449999999999</v>
      </c>
      <c r="R5286">
        <v>0.147864</v>
      </c>
      <c r="S5286">
        <v>3.0427550000000001</v>
      </c>
      <c r="T5286">
        <v>-0.1953454</v>
      </c>
      <c r="U5286">
        <v>0.53747559999999905</v>
      </c>
      <c r="V5286">
        <v>-3.396362E-2</v>
      </c>
      <c r="W5286">
        <v>0.19480729999999999</v>
      </c>
      <c r="X5286">
        <v>0.98025329999999999</v>
      </c>
      <c r="Y5286">
        <v>-5.3639810000000003E-2</v>
      </c>
      <c r="Z5286">
        <v>-4.2204269999999997E-3</v>
      </c>
      <c r="AA5286">
        <v>0.99855139999999998</v>
      </c>
      <c r="AB5286">
        <v>33</v>
      </c>
      <c r="AC5286">
        <v>17.4818999999999</v>
      </c>
      <c r="AD5286">
        <v>-1.130355022157</v>
      </c>
      <c r="AE5286">
        <v>3.0922099999999899</v>
      </c>
      <c r="AF5286">
        <v>-0.95196510991794803</v>
      </c>
      <c r="AG5286">
        <v>-1.130355022157</v>
      </c>
      <c r="AH5286">
        <v>17.655945266040099</v>
      </c>
      <c r="AI5286">
        <v>93.657847445978803</v>
      </c>
      <c r="AJ5286">
        <v>93.086259028017196</v>
      </c>
      <c r="AK5286">
        <v>17.717684478622498</v>
      </c>
      <c r="AL5286">
        <v>78.766532862458703</v>
      </c>
      <c r="AM5286">
        <v>91.984378884178795</v>
      </c>
      <c r="AN5286">
        <v>0.99999997188884104</v>
      </c>
    </row>
    <row r="5287" spans="1:40" x14ac:dyDescent="0.25">
      <c r="A5287" t="str">
        <f>"20190303170642757"</f>
        <v>20190303170642757</v>
      </c>
      <c r="B5287" t="str">
        <f>"1551604002750107"</f>
        <v>1551604002750107</v>
      </c>
      <c r="C5287" t="s">
        <v>40</v>
      </c>
      <c r="D5287">
        <v>5.9946440000000001</v>
      </c>
      <c r="E5287">
        <v>0.4970946</v>
      </c>
      <c r="F5287" t="s">
        <v>109</v>
      </c>
      <c r="G5287">
        <v>-259.24279999999999</v>
      </c>
      <c r="H5287" s="1">
        <v>-3.2416130000000002E-6</v>
      </c>
      <c r="I5287">
        <v>-61.014760000000003</v>
      </c>
      <c r="J5287">
        <v>-276.084</v>
      </c>
      <c r="K5287">
        <v>1.130115</v>
      </c>
      <c r="L5287">
        <v>-64.022919999999999</v>
      </c>
      <c r="M5287">
        <v>0.99198699999999995</v>
      </c>
      <c r="N5287">
        <v>-1.171319E-2</v>
      </c>
      <c r="O5287">
        <v>0.1257955</v>
      </c>
      <c r="P5287">
        <v>0.97139679999999995</v>
      </c>
      <c r="Q5287">
        <v>0.18341769999999999</v>
      </c>
      <c r="R5287">
        <v>0.1508197</v>
      </c>
      <c r="S5287">
        <v>3.042999</v>
      </c>
      <c r="T5287">
        <v>-0.20231370000000001</v>
      </c>
      <c r="U5287">
        <v>0.54266359999999902</v>
      </c>
      <c r="V5287">
        <v>-3.1963030000000003E-2</v>
      </c>
      <c r="W5287">
        <v>0.19422120000000001</v>
      </c>
      <c r="X5287">
        <v>0.98043689999999994</v>
      </c>
      <c r="Y5287">
        <v>-5.0370610000000003E-2</v>
      </c>
      <c r="Z5287">
        <v>-4.8246590000000002E-3</v>
      </c>
      <c r="AA5287">
        <v>0.99871889999999997</v>
      </c>
      <c r="AB5287">
        <v>33</v>
      </c>
      <c r="AC5287">
        <v>16.841200000000001</v>
      </c>
      <c r="AD5287">
        <v>-1.130118241613</v>
      </c>
      <c r="AE5287">
        <v>3.0081600000000002</v>
      </c>
      <c r="AF5287">
        <v>-0.86180712563932105</v>
      </c>
      <c r="AG5287">
        <v>-1.130118241613</v>
      </c>
      <c r="AH5287">
        <v>17.011602542696998</v>
      </c>
      <c r="AI5287">
        <v>93.795846805212193</v>
      </c>
      <c r="AJ5287">
        <v>92.9001226767746</v>
      </c>
      <c r="AK5287">
        <v>17.070866991237601</v>
      </c>
      <c r="AL5287">
        <v>78.800768277545302</v>
      </c>
      <c r="AM5287">
        <v>91.867227090526498</v>
      </c>
      <c r="AN5287">
        <v>1.0000000123489099</v>
      </c>
    </row>
    <row r="5288" spans="1:40" x14ac:dyDescent="0.25">
      <c r="A5288" t="str">
        <f>"20190303170642768"</f>
        <v>20190303170642768</v>
      </c>
      <c r="B5288" t="str">
        <f>"1551604002759868"</f>
        <v>1551604002759868</v>
      </c>
      <c r="C5288" t="s">
        <v>40</v>
      </c>
      <c r="D5288">
        <v>5.950577</v>
      </c>
      <c r="E5288">
        <v>0.49774479999999999</v>
      </c>
      <c r="F5288" t="s">
        <v>109</v>
      </c>
      <c r="G5288">
        <v>-259.05970000000002</v>
      </c>
      <c r="H5288" s="1">
        <v>-3.1535590000000001E-6</v>
      </c>
      <c r="I5288">
        <v>-60.971960000000003</v>
      </c>
      <c r="J5288">
        <v>-275.93400000000003</v>
      </c>
      <c r="K5288">
        <v>1.1298760000000001</v>
      </c>
      <c r="L5288">
        <v>-64.000150000000005</v>
      </c>
      <c r="M5288">
        <v>0.99141760000000001</v>
      </c>
      <c r="N5288">
        <v>-1.1679109999999999E-2</v>
      </c>
      <c r="O5288">
        <v>0.13021089999999999</v>
      </c>
      <c r="P5288">
        <v>0.97104259999999998</v>
      </c>
      <c r="Q5288">
        <v>0.18245040000000001</v>
      </c>
      <c r="R5288">
        <v>0.15423480000000001</v>
      </c>
      <c r="S5288">
        <v>3.0418400000000001</v>
      </c>
      <c r="T5288">
        <v>-0.20192599999999999</v>
      </c>
      <c r="U5288">
        <v>0.5451355</v>
      </c>
      <c r="V5288">
        <v>-3.0883870000000001E-2</v>
      </c>
      <c r="W5288">
        <v>0.19326360000000001</v>
      </c>
      <c r="X5288">
        <v>0.98066070000000005</v>
      </c>
      <c r="Y5288">
        <v>-4.6791039999999999E-2</v>
      </c>
      <c r="Z5288">
        <v>-5.1932860000000001E-3</v>
      </c>
      <c r="AA5288">
        <v>0.99889119999999998</v>
      </c>
      <c r="AB5288">
        <v>33</v>
      </c>
      <c r="AC5288">
        <v>16.874300000000002</v>
      </c>
      <c r="AD5288">
        <v>-1.129879153559</v>
      </c>
      <c r="AE5288">
        <v>3.0281899999999999</v>
      </c>
      <c r="AF5288">
        <v>-0.80155630747173001</v>
      </c>
      <c r="AG5288">
        <v>-1.129879153559</v>
      </c>
      <c r="AH5288">
        <v>17.0508864396996</v>
      </c>
      <c r="AI5288">
        <v>93.786999528600901</v>
      </c>
      <c r="AJ5288">
        <v>92.691473421051896</v>
      </c>
      <c r="AK5288">
        <v>17.107070111367001</v>
      </c>
      <c r="AL5288">
        <v>78.856694473349805</v>
      </c>
      <c r="AM5288">
        <v>91.803815274449605</v>
      </c>
      <c r="AN5288">
        <v>1.0000000205178099</v>
      </c>
    </row>
    <row r="5289" spans="1:40" x14ac:dyDescent="0.25">
      <c r="A5289" t="str">
        <f>"20190303170642778"</f>
        <v>20190303170642778</v>
      </c>
      <c r="B5289" t="str">
        <f>"1551604002770604"</f>
        <v>1551604002770604</v>
      </c>
      <c r="C5289" t="s">
        <v>40</v>
      </c>
      <c r="D5289">
        <v>5.9679180000000001</v>
      </c>
      <c r="E5289">
        <v>0.49836160000000002</v>
      </c>
      <c r="F5289" t="s">
        <v>109</v>
      </c>
      <c r="G5289">
        <v>-258.86900000000003</v>
      </c>
      <c r="H5289" s="1">
        <v>-3.0595730000000002E-6</v>
      </c>
      <c r="I5289">
        <v>-60.917290000000001</v>
      </c>
      <c r="J5289">
        <v>-275.7799</v>
      </c>
      <c r="K5289">
        <v>1.129616</v>
      </c>
      <c r="L5289">
        <v>-63.976199999999999</v>
      </c>
      <c r="M5289">
        <v>0.99083460000000001</v>
      </c>
      <c r="N5289">
        <v>-1.1642909999999999E-2</v>
      </c>
      <c r="O5289">
        <v>0.13457749999999999</v>
      </c>
      <c r="P5289">
        <v>0.97065769999999996</v>
      </c>
      <c r="Q5289">
        <v>0.18120910000000001</v>
      </c>
      <c r="R5289">
        <v>0.15807280000000001</v>
      </c>
      <c r="S5289">
        <v>3.0400390000000002</v>
      </c>
      <c r="T5289">
        <v>-0.20128190000000001</v>
      </c>
      <c r="U5289">
        <v>0.54919430000000002</v>
      </c>
      <c r="V5289">
        <v>-3.0254969999999999E-2</v>
      </c>
      <c r="W5289">
        <v>0.19202040000000001</v>
      </c>
      <c r="X5289">
        <v>0.98092449999999998</v>
      </c>
      <c r="Y5289">
        <v>-4.3797660000000002E-2</v>
      </c>
      <c r="Z5289">
        <v>-5.5274119999999998E-3</v>
      </c>
      <c r="AA5289">
        <v>0.9990251</v>
      </c>
      <c r="AB5289">
        <v>33</v>
      </c>
      <c r="AC5289">
        <v>16.910899999999899</v>
      </c>
      <c r="AD5289">
        <v>-1.129619059573</v>
      </c>
      <c r="AE5289">
        <v>3.0589099999999898</v>
      </c>
      <c r="AF5289">
        <v>-0.75184997808042398</v>
      </c>
      <c r="AG5289">
        <v>-1.129619059573</v>
      </c>
      <c r="AH5289">
        <v>17.094869333451602</v>
      </c>
      <c r="AI5289">
        <v>93.776935113140496</v>
      </c>
      <c r="AJ5289">
        <v>92.518304546674301</v>
      </c>
      <c r="AK5289">
        <v>17.148640620675302</v>
      </c>
      <c r="AL5289">
        <v>78.929284434967201</v>
      </c>
      <c r="AM5289">
        <v>91.7666321012493</v>
      </c>
      <c r="AN5289">
        <v>1.0000000359630501</v>
      </c>
    </row>
    <row r="5290" spans="1:40" x14ac:dyDescent="0.25">
      <c r="A5290" t="str">
        <f>"20190303170642789"</f>
        <v>20190303170642789</v>
      </c>
      <c r="B5290" t="str">
        <f>"1551604002780364"</f>
        <v>1551604002780364</v>
      </c>
      <c r="C5290" t="s">
        <v>40</v>
      </c>
      <c r="D5290">
        <v>6.2501100000000003</v>
      </c>
      <c r="E5290">
        <v>0.49904320000000002</v>
      </c>
      <c r="F5290" t="s">
        <v>109</v>
      </c>
      <c r="G5290">
        <v>-258.63040000000001</v>
      </c>
      <c r="H5290" s="1">
        <v>-2.9416529999999999E-6</v>
      </c>
      <c r="I5290">
        <v>-60.847270000000002</v>
      </c>
      <c r="J5290">
        <v>-275.62700000000001</v>
      </c>
      <c r="K5290">
        <v>1.1293299999999999</v>
      </c>
      <c r="L5290">
        <v>-63.951779999999999</v>
      </c>
      <c r="M5290">
        <v>0.99026749999999997</v>
      </c>
      <c r="N5290">
        <v>-1.1605000000000001E-2</v>
      </c>
      <c r="O5290">
        <v>0.1386925</v>
      </c>
      <c r="P5290">
        <v>0.97025170000000005</v>
      </c>
      <c r="Q5290">
        <v>0.18036189999999999</v>
      </c>
      <c r="R5290">
        <v>0.1614971</v>
      </c>
      <c r="S5290">
        <v>3.0377200000000002</v>
      </c>
      <c r="T5290">
        <v>-0.2000905</v>
      </c>
      <c r="U5290">
        <v>0.55422969999999905</v>
      </c>
      <c r="V5290">
        <v>-2.9465709999999999E-2</v>
      </c>
      <c r="W5290">
        <v>0.19117290000000001</v>
      </c>
      <c r="X5290">
        <v>0.98111400000000004</v>
      </c>
      <c r="Y5290">
        <v>-4.1394420000000001E-2</v>
      </c>
      <c r="Z5290">
        <v>-5.8037660000000001E-3</v>
      </c>
      <c r="AA5290">
        <v>0.99912599999999996</v>
      </c>
      <c r="AB5290">
        <v>33</v>
      </c>
      <c r="AC5290">
        <v>16.996600000000001</v>
      </c>
      <c r="AD5290">
        <v>-1.129332941653</v>
      </c>
      <c r="AE5290">
        <v>3.1045100000000101</v>
      </c>
      <c r="AF5290">
        <v>-0.71399226757887502</v>
      </c>
      <c r="AG5290">
        <v>-1.129332941653</v>
      </c>
      <c r="AH5290">
        <v>17.1894757719814</v>
      </c>
      <c r="AI5290">
        <v>93.755649520855798</v>
      </c>
      <c r="AJ5290">
        <v>92.378504262761197</v>
      </c>
      <c r="AK5290">
        <v>17.241324054921101</v>
      </c>
      <c r="AL5290">
        <v>78.978758714386501</v>
      </c>
      <c r="AM5290">
        <v>91.720241998133901</v>
      </c>
      <c r="AN5290">
        <v>0.99999999337810697</v>
      </c>
    </row>
    <row r="5291" spans="1:40" x14ac:dyDescent="0.25">
      <c r="A5291" t="str">
        <f>"20190303170642800"</f>
        <v>20190303170642800</v>
      </c>
      <c r="B5291" t="str">
        <f>"1551604002790124"</f>
        <v>1551604002790124</v>
      </c>
      <c r="C5291" t="s">
        <v>40</v>
      </c>
      <c r="D5291">
        <v>5.9822179999999996</v>
      </c>
      <c r="E5291">
        <v>0.49965399999999999</v>
      </c>
      <c r="F5291" t="s">
        <v>109</v>
      </c>
      <c r="G5291">
        <v>-258.91669999999999</v>
      </c>
      <c r="H5291" s="1">
        <v>-3.0722079999999998E-6</v>
      </c>
      <c r="I5291">
        <v>-60.881920000000001</v>
      </c>
      <c r="J5291">
        <v>-275.45850000000002</v>
      </c>
      <c r="K5291">
        <v>1.1290039999999999</v>
      </c>
      <c r="L5291">
        <v>-63.924500000000002</v>
      </c>
      <c r="M5291">
        <v>0.98964549999999996</v>
      </c>
      <c r="N5291">
        <v>-1.156314E-2</v>
      </c>
      <c r="O5291">
        <v>0.143067</v>
      </c>
      <c r="P5291">
        <v>0.96962300000000001</v>
      </c>
      <c r="Q5291">
        <v>0.18025260000000001</v>
      </c>
      <c r="R5291">
        <v>0.16534889999999999</v>
      </c>
      <c r="S5291">
        <v>3.0372919999999999</v>
      </c>
      <c r="T5291">
        <v>-0.2052698</v>
      </c>
      <c r="U5291">
        <v>0.55798340000000002</v>
      </c>
      <c r="V5291">
        <v>-2.8865200000000001E-2</v>
      </c>
      <c r="W5291">
        <v>0.1910558</v>
      </c>
      <c r="X5291">
        <v>0.98115469999999905</v>
      </c>
      <c r="Y5291">
        <v>-3.8221230000000002E-2</v>
      </c>
      <c r="Z5291">
        <v>-6.3709250000000004E-3</v>
      </c>
      <c r="AA5291">
        <v>0.99924900000000005</v>
      </c>
      <c r="AB5291">
        <v>33</v>
      </c>
      <c r="AC5291">
        <v>16.541799999999999</v>
      </c>
      <c r="AD5291">
        <v>-1.1290070722079999</v>
      </c>
      <c r="AE5291">
        <v>3.0425800000000001</v>
      </c>
      <c r="AF5291">
        <v>-0.64164181572704704</v>
      </c>
      <c r="AG5291">
        <v>-1.1290070722079999</v>
      </c>
      <c r="AH5291">
        <v>16.731543547937498</v>
      </c>
      <c r="AI5291">
        <v>93.857511964150007</v>
      </c>
      <c r="AJ5291">
        <v>92.196172851619096</v>
      </c>
      <c r="AK5291">
        <v>16.781862551138801</v>
      </c>
      <c r="AL5291">
        <v>78.985594470151597</v>
      </c>
      <c r="AM5291">
        <v>91.685134095289001</v>
      </c>
      <c r="AN5291">
        <v>1.0000000319083799</v>
      </c>
    </row>
    <row r="5292" spans="1:40" x14ac:dyDescent="0.25">
      <c r="A5292" t="str">
        <f>"20190303170642813"</f>
        <v>20190303170642813</v>
      </c>
      <c r="B5292" t="str">
        <f>"1551604002799884"</f>
        <v>1551604002799884</v>
      </c>
      <c r="C5292" t="s">
        <v>40</v>
      </c>
      <c r="D5292">
        <v>5.9795299999999996</v>
      </c>
      <c r="E5292">
        <v>0.50038249999999995</v>
      </c>
      <c r="F5292" t="s">
        <v>109</v>
      </c>
      <c r="G5292">
        <v>-258.93130000000002</v>
      </c>
      <c r="H5292" s="1">
        <v>-3.0725670000000002E-6</v>
      </c>
      <c r="I5292">
        <v>-60.855499999999999</v>
      </c>
      <c r="J5292">
        <v>-275.2867</v>
      </c>
      <c r="K5292">
        <v>1.1286369999999999</v>
      </c>
      <c r="L5292">
        <v>-63.895870000000002</v>
      </c>
      <c r="M5292">
        <v>0.98904709999999996</v>
      </c>
      <c r="N5292">
        <v>-1.151838E-2</v>
      </c>
      <c r="O5292">
        <v>0.14715049999999999</v>
      </c>
      <c r="P5292">
        <v>0.96908159999999999</v>
      </c>
      <c r="Q5292">
        <v>0.18026339999999999</v>
      </c>
      <c r="R5292">
        <v>0.16848189999999999</v>
      </c>
      <c r="S5292">
        <v>3.0364070000000001</v>
      </c>
      <c r="T5292">
        <v>-0.2074231</v>
      </c>
      <c r="U5292">
        <v>0.56384279999999998</v>
      </c>
      <c r="V5292">
        <v>-2.7811059999999999E-2</v>
      </c>
      <c r="W5292">
        <v>0.19106609999999999</v>
      </c>
      <c r="X5292">
        <v>0.98118309999999997</v>
      </c>
      <c r="Y5292">
        <v>-3.6028989999999997E-2</v>
      </c>
      <c r="Z5292">
        <v>-6.7771239999999998E-3</v>
      </c>
      <c r="AA5292">
        <v>0.99932779999999999</v>
      </c>
      <c r="AB5292">
        <v>33</v>
      </c>
      <c r="AC5292">
        <v>16.3553999999999</v>
      </c>
      <c r="AD5292">
        <v>-1.1286400725670001</v>
      </c>
      <c r="AE5292">
        <v>3.04036999999999</v>
      </c>
      <c r="AF5292">
        <v>-0.59765268773110303</v>
      </c>
      <c r="AG5292">
        <v>-1.1286400725670001</v>
      </c>
      <c r="AH5292">
        <v>16.548582900863199</v>
      </c>
      <c r="AI5292">
        <v>93.899088635749095</v>
      </c>
      <c r="AJ5292">
        <v>92.068340280761205</v>
      </c>
      <c r="AK5292">
        <v>16.597789406282299</v>
      </c>
      <c r="AL5292">
        <v>78.984992810490994</v>
      </c>
      <c r="AM5292">
        <v>91.623580590282003</v>
      </c>
      <c r="AN5292">
        <v>0.99999999267657103</v>
      </c>
    </row>
    <row r="5293" spans="1:40" x14ac:dyDescent="0.25">
      <c r="A5293" t="str">
        <f>"20190303170642825"</f>
        <v>20190303170642825</v>
      </c>
      <c r="B5293" t="str">
        <f>"1551604002810619"</f>
        <v>1551604002810619</v>
      </c>
      <c r="C5293" t="s">
        <v>40</v>
      </c>
      <c r="D5293">
        <v>5.9732710000000004</v>
      </c>
      <c r="E5293">
        <v>0.50099249999999995</v>
      </c>
      <c r="F5293" t="s">
        <v>109</v>
      </c>
      <c r="G5293">
        <v>-258.86439999999999</v>
      </c>
      <c r="H5293" s="1">
        <v>-3.0375269999999998E-6</v>
      </c>
      <c r="I5293">
        <v>-60.826999999999998</v>
      </c>
      <c r="J5293">
        <v>-275.11270000000002</v>
      </c>
      <c r="K5293">
        <v>1.1282570000000001</v>
      </c>
      <c r="L5293">
        <v>-63.866610000000001</v>
      </c>
      <c r="M5293">
        <v>0.98844739999999998</v>
      </c>
      <c r="N5293">
        <v>-1.1474740000000001E-2</v>
      </c>
      <c r="O5293">
        <v>0.15112909999999999</v>
      </c>
      <c r="P5293">
        <v>0.96862760000000003</v>
      </c>
      <c r="Q5293">
        <v>0.1803901</v>
      </c>
      <c r="R5293">
        <v>0.17093839999999999</v>
      </c>
      <c r="S5293">
        <v>3.0358890000000001</v>
      </c>
      <c r="T5293">
        <v>-0.20864369999999999</v>
      </c>
      <c r="U5293">
        <v>0.56732179999999999</v>
      </c>
      <c r="V5293">
        <v>-2.6171380000000001E-2</v>
      </c>
      <c r="W5293">
        <v>0.19120419999999999</v>
      </c>
      <c r="X5293">
        <v>0.98120130000000005</v>
      </c>
      <c r="Y5293">
        <v>-3.3161259999999998E-2</v>
      </c>
      <c r="Z5293">
        <v>-7.170648E-3</v>
      </c>
      <c r="AA5293">
        <v>0.99942430000000004</v>
      </c>
      <c r="AB5293">
        <v>33</v>
      </c>
      <c r="AC5293">
        <v>16.2483</v>
      </c>
      <c r="AD5293">
        <v>-1.128260037527</v>
      </c>
      <c r="AE5293">
        <v>3.0396099999999899</v>
      </c>
      <c r="AF5293">
        <v>-0.54639432191628401</v>
      </c>
      <c r="AG5293">
        <v>-1.128260037527</v>
      </c>
      <c r="AH5293">
        <v>16.4444420677614</v>
      </c>
      <c r="AI5293">
        <v>93.922778299872704</v>
      </c>
      <c r="AJ5293">
        <v>91.903048782018899</v>
      </c>
      <c r="AK5293">
        <v>16.492155480326499</v>
      </c>
      <c r="AL5293">
        <v>78.976931606372005</v>
      </c>
      <c r="AM5293">
        <v>91.527876254419695</v>
      </c>
      <c r="AN5293">
        <v>0.99999998917521704</v>
      </c>
    </row>
    <row r="5294" spans="1:40" x14ac:dyDescent="0.25">
      <c r="A5294" t="str">
        <f>"20190303170642835"</f>
        <v>20190303170642835</v>
      </c>
      <c r="B5294" t="str">
        <f>"1551604002830139"</f>
        <v>1551604002830139</v>
      </c>
      <c r="C5294" t="s">
        <v>40</v>
      </c>
      <c r="D5294">
        <v>5.9910909999999999</v>
      </c>
      <c r="E5294">
        <v>0.50143749999999998</v>
      </c>
      <c r="F5294" t="s">
        <v>109</v>
      </c>
      <c r="G5294">
        <v>-258.70310000000001</v>
      </c>
      <c r="H5294" s="1">
        <v>-2.9582829999999999E-6</v>
      </c>
      <c r="I5294">
        <v>-60.781799999999997</v>
      </c>
      <c r="J5294">
        <v>-274.94940000000003</v>
      </c>
      <c r="K5294">
        <v>1.127872</v>
      </c>
      <c r="L5294">
        <v>-63.838529999999999</v>
      </c>
      <c r="M5294">
        <v>0.9879308</v>
      </c>
      <c r="N5294">
        <v>-1.1432650000000001E-2</v>
      </c>
      <c r="O5294">
        <v>0.15447350000000001</v>
      </c>
      <c r="P5294">
        <v>0.96820039999999996</v>
      </c>
      <c r="Q5294">
        <v>0.18062619999999999</v>
      </c>
      <c r="R5294">
        <v>0.17309550000000001</v>
      </c>
      <c r="S5294">
        <v>3.0354000000000001</v>
      </c>
      <c r="T5294">
        <v>-0.208702</v>
      </c>
      <c r="U5294">
        <v>0.57061770000000001</v>
      </c>
      <c r="V5294">
        <v>-2.4858249999999998E-2</v>
      </c>
      <c r="W5294">
        <v>0.19144430000000001</v>
      </c>
      <c r="X5294">
        <v>0.98118870000000002</v>
      </c>
      <c r="Y5294">
        <v>-3.0867789999999999E-2</v>
      </c>
      <c r="Z5294">
        <v>-7.4575600000000002E-3</v>
      </c>
      <c r="AA5294">
        <v>0.99949560000000004</v>
      </c>
      <c r="AB5294">
        <v>33</v>
      </c>
      <c r="AC5294">
        <v>16.246300000000002</v>
      </c>
      <c r="AD5294">
        <v>-1.1278749582830001</v>
      </c>
      <c r="AE5294">
        <v>3.0567299999999999</v>
      </c>
      <c r="AF5294">
        <v>-0.50788411075558404</v>
      </c>
      <c r="AG5294">
        <v>-1.1278749582830001</v>
      </c>
      <c r="AH5294">
        <v>16.446925747590701</v>
      </c>
      <c r="AI5294">
        <v>93.921146972052199</v>
      </c>
      <c r="AJ5294">
        <v>91.768742201588694</v>
      </c>
      <c r="AK5294">
        <v>16.493374874119699</v>
      </c>
      <c r="AL5294">
        <v>78.962916755348601</v>
      </c>
      <c r="AM5294">
        <v>91.451268449658599</v>
      </c>
      <c r="AN5294">
        <v>1.00000005880161</v>
      </c>
    </row>
    <row r="5295" spans="1:40" x14ac:dyDescent="0.25">
      <c r="A5295" t="str">
        <f>"20190303170642849"</f>
        <v>20190303170642849</v>
      </c>
      <c r="B5295" t="str">
        <f>"1551604002839899"</f>
        <v>1551604002839899</v>
      </c>
      <c r="C5295" t="s">
        <v>40</v>
      </c>
      <c r="D5295">
        <v>6.0061600000000004</v>
      </c>
      <c r="E5295">
        <v>0.5144128</v>
      </c>
      <c r="F5295" t="s">
        <v>109</v>
      </c>
      <c r="G5295">
        <v>-258.5797</v>
      </c>
      <c r="H5295" s="1">
        <v>-2.8961020000000002E-6</v>
      </c>
      <c r="I5295">
        <v>-60.740110000000001</v>
      </c>
      <c r="J5295">
        <v>-274.7629</v>
      </c>
      <c r="K5295">
        <v>1.127426</v>
      </c>
      <c r="L5295">
        <v>-63.806089999999998</v>
      </c>
      <c r="M5295">
        <v>0.98736570000000001</v>
      </c>
      <c r="N5295">
        <v>-1.138661E-2</v>
      </c>
      <c r="O5295">
        <v>0.15804860000000001</v>
      </c>
      <c r="P5295">
        <v>0.9678947</v>
      </c>
      <c r="Q5295">
        <v>0.18056990000000001</v>
      </c>
      <c r="R5295">
        <v>0.17485529999999999</v>
      </c>
      <c r="S5295">
        <v>3.0348510000000002</v>
      </c>
      <c r="T5295">
        <v>-0.20910219999999999</v>
      </c>
      <c r="U5295">
        <v>0.57443239999999995</v>
      </c>
      <c r="V5295">
        <v>-2.2869500000000001E-2</v>
      </c>
      <c r="W5295">
        <v>0.19140080000000001</v>
      </c>
      <c r="X5295">
        <v>0.98124549999999999</v>
      </c>
      <c r="Y5295">
        <v>-2.8508769999999999E-2</v>
      </c>
      <c r="Z5295">
        <v>-7.7766900000000002E-3</v>
      </c>
      <c r="AA5295">
        <v>0.99956330000000004</v>
      </c>
      <c r="AB5295">
        <v>33</v>
      </c>
      <c r="AC5295">
        <v>16.183199999999999</v>
      </c>
      <c r="AD5295">
        <v>-1.127428896102</v>
      </c>
      <c r="AE5295">
        <v>3.0659800000000099</v>
      </c>
      <c r="AF5295">
        <v>-0.46735214509971001</v>
      </c>
      <c r="AG5295">
        <v>-1.127428896102</v>
      </c>
      <c r="AH5295">
        <v>16.387597171725201</v>
      </c>
      <c r="AI5295">
        <v>93.934021628891799</v>
      </c>
      <c r="AJ5295">
        <v>91.633555503808097</v>
      </c>
      <c r="AK5295">
        <v>16.432980709719999</v>
      </c>
      <c r="AL5295">
        <v>78.965455486977604</v>
      </c>
      <c r="AM5295">
        <v>91.335128315504704</v>
      </c>
      <c r="AN5295">
        <v>1.00000000577057</v>
      </c>
    </row>
    <row r="5296" spans="1:40" x14ac:dyDescent="0.25">
      <c r="A5296" t="str">
        <f>"20190303170642859"</f>
        <v>20190303170642859</v>
      </c>
      <c r="B5296" t="str">
        <f>"1551604002850636"</f>
        <v>1551604002850636</v>
      </c>
      <c r="C5296" t="s">
        <v>40</v>
      </c>
      <c r="D5296">
        <v>5.9779010000000001</v>
      </c>
      <c r="E5296">
        <v>0.51466800000000001</v>
      </c>
      <c r="F5296" t="s">
        <v>109</v>
      </c>
      <c r="G5296">
        <v>-257.83429999999998</v>
      </c>
      <c r="H5296" s="1">
        <v>-2.6692219999999898E-6</v>
      </c>
      <c r="I5296">
        <v>-61.157980000000002</v>
      </c>
      <c r="J5296">
        <v>-274.60700000000003</v>
      </c>
      <c r="K5296">
        <v>1.127046</v>
      </c>
      <c r="L5296">
        <v>-63.778750000000002</v>
      </c>
      <c r="M5296">
        <v>0.98692009999999997</v>
      </c>
      <c r="N5296">
        <v>-1.1349359999999999E-2</v>
      </c>
      <c r="O5296">
        <v>0.1608105</v>
      </c>
      <c r="P5296">
        <v>0.96783359999999996</v>
      </c>
      <c r="Q5296">
        <v>0.17986350000000001</v>
      </c>
      <c r="R5296">
        <v>0.17591879999999999</v>
      </c>
      <c r="S5296">
        <v>3.0512079999999999</v>
      </c>
      <c r="T5296">
        <v>-0.20320750000000001</v>
      </c>
      <c r="U5296">
        <v>0.47729490000000002</v>
      </c>
      <c r="V5296">
        <v>-2.0984389999999999E-2</v>
      </c>
      <c r="W5296">
        <v>0.1907076</v>
      </c>
      <c r="X5296">
        <v>0.98142260000000003</v>
      </c>
      <c r="Y5296">
        <v>6.1012360000000003E-3</v>
      </c>
      <c r="Z5296">
        <v>-8.9780729999999996E-3</v>
      </c>
      <c r="AA5296">
        <v>0.99994110000000003</v>
      </c>
      <c r="AB5296">
        <v>33</v>
      </c>
      <c r="AC5296">
        <v>16.7727</v>
      </c>
      <c r="AD5296">
        <v>-1.1270486692219901</v>
      </c>
      <c r="AE5296">
        <v>2.6207699999999998</v>
      </c>
      <c r="AF5296">
        <v>0.110256839755296</v>
      </c>
      <c r="AG5296">
        <v>-1.1270486692219901</v>
      </c>
      <c r="AH5296">
        <v>16.9013598478296</v>
      </c>
      <c r="AI5296">
        <v>93.814977193130801</v>
      </c>
      <c r="AJ5296">
        <v>89.626233508674304</v>
      </c>
      <c r="AK5296">
        <v>16.939255000717601</v>
      </c>
      <c r="AL5296">
        <v>79.0059184984799</v>
      </c>
      <c r="AM5296">
        <v>91.224889064715697</v>
      </c>
      <c r="AN5296">
        <v>1.00000002655609</v>
      </c>
    </row>
    <row r="5297" spans="1:40" x14ac:dyDescent="0.25">
      <c r="A5297" t="str">
        <f>"20190303170642871"</f>
        <v>20190303170642871</v>
      </c>
      <c r="B5297" t="str">
        <f>"1551604002860396"</f>
        <v>1551604002860396</v>
      </c>
      <c r="C5297" t="s">
        <v>40</v>
      </c>
      <c r="D5297">
        <v>6.0054379999999998</v>
      </c>
      <c r="E5297">
        <v>0.51496790000000003</v>
      </c>
      <c r="F5297" t="s">
        <v>109</v>
      </c>
      <c r="G5297">
        <v>-257.05950000000001</v>
      </c>
      <c r="H5297" s="1">
        <v>-2.30982E-6</v>
      </c>
      <c r="I5297">
        <v>-61.036439999999999</v>
      </c>
      <c r="J5297">
        <v>-274.45150000000001</v>
      </c>
      <c r="K5297">
        <v>1.1266529999999999</v>
      </c>
      <c r="L5297">
        <v>-63.751069999999999</v>
      </c>
      <c r="M5297">
        <v>0.9865218</v>
      </c>
      <c r="N5297">
        <v>-1.131306E-2</v>
      </c>
      <c r="O5297">
        <v>0.1632381</v>
      </c>
      <c r="P5297">
        <v>0.96786890000000003</v>
      </c>
      <c r="Q5297">
        <v>0.17883879999999999</v>
      </c>
      <c r="R5297">
        <v>0.17676720000000001</v>
      </c>
      <c r="S5297">
        <v>3.0494379999999999</v>
      </c>
      <c r="T5297">
        <v>-0.19586029999999999</v>
      </c>
      <c r="U5297">
        <v>0.4765625</v>
      </c>
      <c r="V5297">
        <v>-1.9195839999999999E-2</v>
      </c>
      <c r="W5297">
        <v>0.18969359999999999</v>
      </c>
      <c r="X5297">
        <v>0.98165570000000002</v>
      </c>
      <c r="Y5297">
        <v>8.7182519999999993E-3</v>
      </c>
      <c r="Z5297">
        <v>-8.8242389999999993E-3</v>
      </c>
      <c r="AA5297">
        <v>0.99992309999999995</v>
      </c>
      <c r="AB5297">
        <v>33</v>
      </c>
      <c r="AC5297">
        <v>17.3919999999999</v>
      </c>
      <c r="AD5297">
        <v>-1.1266553098200001</v>
      </c>
      <c r="AE5297">
        <v>2.7146300000000001</v>
      </c>
      <c r="AF5297">
        <v>0.160348777220681</v>
      </c>
      <c r="AG5297">
        <v>-1.1266553098200001</v>
      </c>
      <c r="AH5297">
        <v>17.530030788585702</v>
      </c>
      <c r="AI5297">
        <v>93.677189407883205</v>
      </c>
      <c r="AJ5297">
        <v>89.475924938369005</v>
      </c>
      <c r="AK5297">
        <v>17.5669303911145</v>
      </c>
      <c r="AL5297">
        <v>79.065096716842206</v>
      </c>
      <c r="AM5297">
        <v>91.120250676948203</v>
      </c>
      <c r="AN5297">
        <v>1.00000002774837</v>
      </c>
    </row>
    <row r="5298" spans="1:40" x14ac:dyDescent="0.25">
      <c r="A5298" t="str">
        <f>"20190303170642882"</f>
        <v>20190303170642882</v>
      </c>
      <c r="B5298" t="str">
        <f>"1551604002870155"</f>
        <v>1551604002870155</v>
      </c>
      <c r="C5298" t="s">
        <v>40</v>
      </c>
      <c r="D5298">
        <v>6.0082959999999996</v>
      </c>
      <c r="E5298">
        <v>0.51551289999999905</v>
      </c>
      <c r="F5298" t="s">
        <v>109</v>
      </c>
      <c r="G5298">
        <v>-257.08870000000002</v>
      </c>
      <c r="H5298" s="1">
        <v>-2.3243689999999999E-6</v>
      </c>
      <c r="I5298">
        <v>-61.045430000000003</v>
      </c>
      <c r="J5298">
        <v>-274.2817</v>
      </c>
      <c r="K5298">
        <v>1.12622</v>
      </c>
      <c r="L5298">
        <v>-63.720790000000001</v>
      </c>
      <c r="M5298">
        <v>0.9861048</v>
      </c>
      <c r="N5298">
        <v>-1.12753E-2</v>
      </c>
      <c r="O5298">
        <v>0.16574169999999999</v>
      </c>
      <c r="P5298">
        <v>0.96789289999999994</v>
      </c>
      <c r="Q5298">
        <v>0.1776867</v>
      </c>
      <c r="R5298">
        <v>0.17779519999999999</v>
      </c>
      <c r="S5298">
        <v>3.0494080000000001</v>
      </c>
      <c r="T5298">
        <v>-0.1978741</v>
      </c>
      <c r="U5298">
        <v>0.47518919999999998</v>
      </c>
      <c r="V5298">
        <v>-1.7489339999999999E-2</v>
      </c>
      <c r="W5298">
        <v>0.1885483</v>
      </c>
      <c r="X5298">
        <v>0.98190809999999995</v>
      </c>
      <c r="Y5298">
        <v>1.1677740000000001E-2</v>
      </c>
      <c r="Z5298">
        <v>-9.1820319999999997E-3</v>
      </c>
      <c r="AA5298">
        <v>0.99988969999999999</v>
      </c>
      <c r="AB5298">
        <v>33</v>
      </c>
      <c r="AC5298">
        <v>17.192999999999898</v>
      </c>
      <c r="AD5298">
        <v>-1.1262223243689999</v>
      </c>
      <c r="AE5298">
        <v>2.6753599999999902</v>
      </c>
      <c r="AF5298">
        <v>0.21054308326564899</v>
      </c>
      <c r="AG5298">
        <v>-1.1262223243689999</v>
      </c>
      <c r="AH5298">
        <v>17.3260373719583</v>
      </c>
      <c r="AI5298">
        <v>93.7188186254333</v>
      </c>
      <c r="AJ5298">
        <v>89.303785621023096</v>
      </c>
      <c r="AK5298">
        <v>17.363878487489899</v>
      </c>
      <c r="AL5298">
        <v>79.131922444491707</v>
      </c>
      <c r="AM5298">
        <v>91.020420769889995</v>
      </c>
      <c r="AN5298">
        <v>0.99999992764606505</v>
      </c>
    </row>
    <row r="5299" spans="1:40" x14ac:dyDescent="0.25">
      <c r="A5299" t="str">
        <f>"20190303170642894"</f>
        <v>20190303170642894</v>
      </c>
      <c r="B5299" t="str">
        <f>"1551604002879916"</f>
        <v>1551604002879916</v>
      </c>
      <c r="C5299" t="s">
        <v>40</v>
      </c>
      <c r="D5299">
        <v>6.0038220000000004</v>
      </c>
      <c r="E5299">
        <v>0.51607219999999998</v>
      </c>
      <c r="F5299" t="s">
        <v>109</v>
      </c>
      <c r="G5299">
        <v>-257.07990000000001</v>
      </c>
      <c r="H5299" s="1">
        <v>-2.323865E-6</v>
      </c>
      <c r="I5299">
        <v>-61.060180000000003</v>
      </c>
      <c r="J5299">
        <v>-274.10809999999998</v>
      </c>
      <c r="K5299">
        <v>1.125748</v>
      </c>
      <c r="L5299">
        <v>-63.689480000000003</v>
      </c>
      <c r="M5299">
        <v>0.98576209999999997</v>
      </c>
      <c r="N5299">
        <v>-1.123125E-2</v>
      </c>
      <c r="O5299">
        <v>0.16777039999999999</v>
      </c>
      <c r="P5299">
        <v>0.96789190000000003</v>
      </c>
      <c r="Q5299">
        <v>0.17695569999999999</v>
      </c>
      <c r="R5299">
        <v>0.1785273</v>
      </c>
      <c r="S5299">
        <v>3.0495610000000002</v>
      </c>
      <c r="T5299">
        <v>-0.19965910000000001</v>
      </c>
      <c r="U5299">
        <v>0.47167969999999998</v>
      </c>
      <c r="V5299">
        <v>-1.5958679999999999E-2</v>
      </c>
      <c r="W5299">
        <v>0.18781210000000001</v>
      </c>
      <c r="X5299">
        <v>0.98207529999999998</v>
      </c>
      <c r="Y5299">
        <v>1.485001E-2</v>
      </c>
      <c r="Z5299">
        <v>-9.5162430000000006E-3</v>
      </c>
      <c r="AA5299">
        <v>0.99984439999999997</v>
      </c>
      <c r="AB5299">
        <v>33</v>
      </c>
      <c r="AC5299">
        <v>17.028199999999899</v>
      </c>
      <c r="AD5299">
        <v>-1.125750323865</v>
      </c>
      <c r="AE5299">
        <v>2.6293000000000002</v>
      </c>
      <c r="AF5299">
        <v>0.26385399276018301</v>
      </c>
      <c r="AG5299">
        <v>-1.125750323865</v>
      </c>
      <c r="AH5299">
        <v>17.154728367199599</v>
      </c>
      <c r="AI5299">
        <v>93.754113439880996</v>
      </c>
      <c r="AJ5299">
        <v>89.1188127316573</v>
      </c>
      <c r="AK5299">
        <v>17.1936510978204</v>
      </c>
      <c r="AL5299">
        <v>79.174871465842003</v>
      </c>
      <c r="AM5299">
        <v>90.930971933230197</v>
      </c>
      <c r="AN5299">
        <v>0.99999997962192</v>
      </c>
    </row>
    <row r="5300" spans="1:40" x14ac:dyDescent="0.25">
      <c r="A5300" t="str">
        <f>"20190303170642907"</f>
        <v>20190303170642907</v>
      </c>
      <c r="B5300" t="str">
        <f>"1551604002900412"</f>
        <v>1551604002900412</v>
      </c>
      <c r="C5300" t="s">
        <v>40</v>
      </c>
      <c r="D5300">
        <v>5.9982280000000001</v>
      </c>
      <c r="E5300">
        <v>0.51699340000000005</v>
      </c>
      <c r="F5300" t="s">
        <v>109</v>
      </c>
      <c r="G5300">
        <v>-256.9255</v>
      </c>
      <c r="H5300" s="1">
        <v>-2.2565069999999999E-6</v>
      </c>
      <c r="I5300">
        <v>-61.055230000000002</v>
      </c>
      <c r="J5300">
        <v>-273.92669999999998</v>
      </c>
      <c r="K5300">
        <v>1.1252470000000001</v>
      </c>
      <c r="L5300">
        <v>-63.656770000000002</v>
      </c>
      <c r="M5300">
        <v>0.98543709999999995</v>
      </c>
      <c r="N5300">
        <v>-1.118649E-2</v>
      </c>
      <c r="O5300">
        <v>0.16967199999999999</v>
      </c>
      <c r="P5300">
        <v>0.96783669999999999</v>
      </c>
      <c r="Q5300">
        <v>0.17701510000000001</v>
      </c>
      <c r="R5300">
        <v>0.1787676</v>
      </c>
      <c r="S5300">
        <v>3.0497740000000002</v>
      </c>
      <c r="T5300">
        <v>-0.19981160000000001</v>
      </c>
      <c r="U5300">
        <v>0.46755980000000003</v>
      </c>
      <c r="V5300">
        <v>-1.407364E-2</v>
      </c>
      <c r="W5300">
        <v>0.18786600000000001</v>
      </c>
      <c r="X5300">
        <v>0.98209380000000002</v>
      </c>
      <c r="Y5300">
        <v>1.8097539999999999E-2</v>
      </c>
      <c r="Z5300">
        <v>-9.7566119999999996E-3</v>
      </c>
      <c r="AA5300">
        <v>0.99978860000000003</v>
      </c>
      <c r="AB5300">
        <v>33</v>
      </c>
      <c r="AC5300">
        <v>17.001199999999901</v>
      </c>
      <c r="AD5300">
        <v>-1.12524925650699</v>
      </c>
      <c r="AE5300">
        <v>2.6015399999999902</v>
      </c>
      <c r="AF5300">
        <v>0.31962552613784301</v>
      </c>
      <c r="AG5300">
        <v>-1.12524925650699</v>
      </c>
      <c r="AH5300">
        <v>17.1228048717273</v>
      </c>
      <c r="AI5300">
        <v>93.759213613397506</v>
      </c>
      <c r="AJ5300">
        <v>88.930603530626797</v>
      </c>
      <c r="AK5300">
        <v>17.162715200150501</v>
      </c>
      <c r="AL5300">
        <v>79.171727113588105</v>
      </c>
      <c r="AM5300">
        <v>90.821006083409003</v>
      </c>
      <c r="AN5300">
        <v>0.99999996664864399</v>
      </c>
    </row>
    <row r="5301" spans="1:40" x14ac:dyDescent="0.25">
      <c r="A5301" t="str">
        <f>"20190303170642917"</f>
        <v>20190303170642917</v>
      </c>
      <c r="B5301" t="str">
        <f>"1551604002910171"</f>
        <v>1551604002910171</v>
      </c>
      <c r="C5301" t="s">
        <v>40</v>
      </c>
      <c r="D5301">
        <v>6.0076369999999999</v>
      </c>
      <c r="E5301">
        <v>0.51750669999999999</v>
      </c>
      <c r="F5301" t="s">
        <v>109</v>
      </c>
      <c r="G5301">
        <v>-256.50380000000001</v>
      </c>
      <c r="H5301" s="1">
        <v>-2.0699120000000002E-6</v>
      </c>
      <c r="I5301">
        <v>-61.029739999999997</v>
      </c>
      <c r="J5301">
        <v>-273.76010000000002</v>
      </c>
      <c r="K5301">
        <v>1.1247659999999999</v>
      </c>
      <c r="L5301">
        <v>-63.62659</v>
      </c>
      <c r="M5301">
        <v>0.98520390000000002</v>
      </c>
      <c r="N5301">
        <v>-1.114564E-2</v>
      </c>
      <c r="O5301">
        <v>0.171023799999999</v>
      </c>
      <c r="P5301">
        <v>0.96776459999999997</v>
      </c>
      <c r="Q5301">
        <v>0.17777599999999999</v>
      </c>
      <c r="R5301">
        <v>0.17840320000000001</v>
      </c>
      <c r="S5301">
        <v>3.050751</v>
      </c>
      <c r="T5301">
        <v>-0.19703029999999999</v>
      </c>
      <c r="U5301">
        <v>0.4599915</v>
      </c>
      <c r="V5301">
        <v>-1.2160229999999999E-2</v>
      </c>
      <c r="W5301">
        <v>0.1886195</v>
      </c>
      <c r="X5301">
        <v>0.98197500000000004</v>
      </c>
      <c r="Y5301">
        <v>2.1939130000000001E-2</v>
      </c>
      <c r="Z5301">
        <v>-9.8161970000000005E-3</v>
      </c>
      <c r="AA5301">
        <v>0.99971109999999996</v>
      </c>
      <c r="AB5301">
        <v>33</v>
      </c>
      <c r="AC5301">
        <v>17.2563</v>
      </c>
      <c r="AD5301">
        <v>-1.124768069912</v>
      </c>
      <c r="AE5301">
        <v>2.5968499999999901</v>
      </c>
      <c r="AF5301">
        <v>0.39121040280666503</v>
      </c>
      <c r="AG5301">
        <v>-1.124768069912</v>
      </c>
      <c r="AH5301">
        <v>17.374002067577901</v>
      </c>
      <c r="AI5301">
        <v>93.703141930369796</v>
      </c>
      <c r="AJ5301">
        <v>88.710088910550795</v>
      </c>
      <c r="AK5301">
        <v>17.4147666259</v>
      </c>
      <c r="AL5301">
        <v>79.127769728125003</v>
      </c>
      <c r="AM5301">
        <v>90.709482670907406</v>
      </c>
      <c r="AN5301">
        <v>1.0000000437994501</v>
      </c>
    </row>
    <row r="5302" spans="1:40" x14ac:dyDescent="0.25">
      <c r="A5302" t="str">
        <f>"20190303170642928"</f>
        <v>20190303170642928</v>
      </c>
      <c r="B5302" t="str">
        <f>"1551604002919931"</f>
        <v>1551604002919931</v>
      </c>
      <c r="C5302" t="s">
        <v>40</v>
      </c>
      <c r="D5302">
        <v>6.0110199999999896</v>
      </c>
      <c r="E5302">
        <v>0.51792989999999905</v>
      </c>
      <c r="F5302" t="s">
        <v>109</v>
      </c>
      <c r="G5302">
        <v>-256.34449999999998</v>
      </c>
      <c r="H5302" s="1">
        <v>-2.001421E-6</v>
      </c>
      <c r="I5302">
        <v>-61.0289199999999</v>
      </c>
      <c r="J5302">
        <v>-273.61419999999998</v>
      </c>
      <c r="K5302">
        <v>1.124349</v>
      </c>
      <c r="L5302">
        <v>-63.600219999999901</v>
      </c>
      <c r="M5302">
        <v>0.98503830000000003</v>
      </c>
      <c r="N5302">
        <v>-1.111267E-2</v>
      </c>
      <c r="O5302">
        <v>0.17197709999999999</v>
      </c>
      <c r="P5302">
        <v>0.96779539999999997</v>
      </c>
      <c r="Q5302">
        <v>0.1787619</v>
      </c>
      <c r="R5302">
        <v>0.17724690000000001</v>
      </c>
      <c r="S5302">
        <v>3.052216</v>
      </c>
      <c r="T5302">
        <v>-0.1971242</v>
      </c>
      <c r="U5302">
        <v>0.45526119999999998</v>
      </c>
      <c r="V5302">
        <v>-9.8742099999999996E-3</v>
      </c>
      <c r="W5302">
        <v>0.18960279999999999</v>
      </c>
      <c r="X5302">
        <v>0.9818112</v>
      </c>
      <c r="Y5302">
        <v>2.448471E-2</v>
      </c>
      <c r="Z5302">
        <v>-9.9682940000000008E-3</v>
      </c>
      <c r="AA5302">
        <v>0.9996505</v>
      </c>
      <c r="AB5302">
        <v>33</v>
      </c>
      <c r="AC5302">
        <v>17.2697</v>
      </c>
      <c r="AD5302">
        <v>-1.1243510014210001</v>
      </c>
      <c r="AE5302">
        <v>2.5712999999999999</v>
      </c>
      <c r="AF5302">
        <v>0.43538547305897601</v>
      </c>
      <c r="AG5302">
        <v>-1.1243510014210001</v>
      </c>
      <c r="AH5302">
        <v>17.382516247308399</v>
      </c>
      <c r="AI5302">
        <v>93.699742571283906</v>
      </c>
      <c r="AJ5302">
        <v>88.565194189888302</v>
      </c>
      <c r="AK5302">
        <v>17.4242818151133</v>
      </c>
      <c r="AL5302">
        <v>79.070394771998807</v>
      </c>
      <c r="AM5302">
        <v>90.576212092215698</v>
      </c>
      <c r="AN5302">
        <v>0.99999997711820099</v>
      </c>
    </row>
    <row r="5303" spans="1:40" x14ac:dyDescent="0.25">
      <c r="A5303" t="str">
        <f>"20190303170642938"</f>
        <v>20190303170642938</v>
      </c>
      <c r="B5303" t="str">
        <f>"1551604002930667"</f>
        <v>1551604002930667</v>
      </c>
      <c r="C5303" t="s">
        <v>40</v>
      </c>
      <c r="D5303">
        <v>5.98231</v>
      </c>
      <c r="E5303">
        <v>0.51838809999999902</v>
      </c>
      <c r="F5303" t="s">
        <v>109</v>
      </c>
      <c r="G5303">
        <v>-255.9341</v>
      </c>
      <c r="H5303" s="1">
        <v>-1.8186240000000001E-6</v>
      </c>
      <c r="I5303">
        <v>-60.998750000000001</v>
      </c>
      <c r="J5303">
        <v>-273.45420000000001</v>
      </c>
      <c r="K5303">
        <v>1.123885</v>
      </c>
      <c r="L5303">
        <v>-63.571319999999901</v>
      </c>
      <c r="M5303">
        <v>0.98489729999999998</v>
      </c>
      <c r="N5303">
        <v>-1.107902E-2</v>
      </c>
      <c r="O5303">
        <v>0.1727851</v>
      </c>
      <c r="P5303">
        <v>0.96790770000000004</v>
      </c>
      <c r="Q5303">
        <v>0.17982339999999999</v>
      </c>
      <c r="R5303">
        <v>0.1755517</v>
      </c>
      <c r="S5303">
        <v>3.0534059999999998</v>
      </c>
      <c r="T5303">
        <v>-0.19417799999999999</v>
      </c>
      <c r="U5303">
        <v>0.44927980000000001</v>
      </c>
      <c r="V5303">
        <v>-7.166225E-3</v>
      </c>
      <c r="W5303">
        <v>0.19065989999999999</v>
      </c>
      <c r="X5303">
        <v>0.98163</v>
      </c>
      <c r="Y5303">
        <v>2.7280120000000001E-2</v>
      </c>
      <c r="Z5303">
        <v>-9.940885E-3</v>
      </c>
      <c r="AA5303">
        <v>0.99957839999999998</v>
      </c>
      <c r="AB5303">
        <v>33</v>
      </c>
      <c r="AC5303">
        <v>17.520099999999999</v>
      </c>
      <c r="AD5303">
        <v>-1.1238868186239901</v>
      </c>
      <c r="AE5303">
        <v>2.57256999999999</v>
      </c>
      <c r="AF5303">
        <v>0.49154521387494199</v>
      </c>
      <c r="AG5303">
        <v>-1.1238868186239901</v>
      </c>
      <c r="AH5303">
        <v>17.630069290599302</v>
      </c>
      <c r="AI5303">
        <v>93.646159335098005</v>
      </c>
      <c r="AJ5303">
        <v>88.402946042329702</v>
      </c>
      <c r="AK5303">
        <v>17.6726931017797</v>
      </c>
      <c r="AL5303">
        <v>79.008702346335994</v>
      </c>
      <c r="AM5303">
        <v>90.4182707879595</v>
      </c>
      <c r="AN5303">
        <v>1.00000000457438</v>
      </c>
    </row>
    <row r="5304" spans="1:40" x14ac:dyDescent="0.25">
      <c r="A5304" t="str">
        <f>"20190303170642949"</f>
        <v>20190303170642949</v>
      </c>
      <c r="B5304" t="str">
        <f>"1551604002940427"</f>
        <v>1551604002940427</v>
      </c>
      <c r="C5304" t="s">
        <v>40</v>
      </c>
      <c r="D5304">
        <v>6.0093589999999999</v>
      </c>
      <c r="E5304">
        <v>0.51877600000000001</v>
      </c>
      <c r="F5304" t="s">
        <v>109</v>
      </c>
      <c r="G5304">
        <v>-255.37360000000001</v>
      </c>
      <c r="H5304" s="1">
        <v>-1.5707860000000001E-6</v>
      </c>
      <c r="I5304">
        <v>-60.965359999999997</v>
      </c>
      <c r="J5304">
        <v>-273.3143</v>
      </c>
      <c r="K5304">
        <v>1.1234759999999999</v>
      </c>
      <c r="L5304">
        <v>-63.546140000000001</v>
      </c>
      <c r="M5304">
        <v>0.98481949999999996</v>
      </c>
      <c r="N5304">
        <v>-1.105189E-2</v>
      </c>
      <c r="O5304">
        <v>0.1732291</v>
      </c>
      <c r="P5304">
        <v>0.96805189999999997</v>
      </c>
      <c r="Q5304">
        <v>0.18023739999999999</v>
      </c>
      <c r="R5304">
        <v>0.17432709999999901</v>
      </c>
      <c r="S5304">
        <v>3.054932</v>
      </c>
      <c r="T5304">
        <v>-0.18989420000000001</v>
      </c>
      <c r="U5304">
        <v>0.44030760000000002</v>
      </c>
      <c r="V5304">
        <v>-5.2981570000000004E-3</v>
      </c>
      <c r="W5304">
        <v>0.19106519999999999</v>
      </c>
      <c r="X5304">
        <v>0.98156299999999996</v>
      </c>
      <c r="Y5304">
        <v>3.0683769999999999E-2</v>
      </c>
      <c r="Z5304">
        <v>-9.8305649999999994E-3</v>
      </c>
      <c r="AA5304">
        <v>0.99948079999999995</v>
      </c>
      <c r="AB5304">
        <v>33</v>
      </c>
      <c r="AC5304">
        <v>17.9406999999999</v>
      </c>
      <c r="AD5304">
        <v>-1.1234775707860001</v>
      </c>
      <c r="AE5304">
        <v>2.5807799999999999</v>
      </c>
      <c r="AF5304">
        <v>0.56411613303573604</v>
      </c>
      <c r="AG5304">
        <v>-1.1234775707860001</v>
      </c>
      <c r="AH5304">
        <v>18.047187733027801</v>
      </c>
      <c r="AI5304">
        <v>93.560458392979797</v>
      </c>
      <c r="AJ5304">
        <v>88.209640547377901</v>
      </c>
      <c r="AK5304">
        <v>18.090920759728</v>
      </c>
      <c r="AL5304">
        <v>78.985044891349006</v>
      </c>
      <c r="AM5304">
        <v>90.309260931053501</v>
      </c>
      <c r="AN5304">
        <v>0.99999995204381698</v>
      </c>
    </row>
    <row r="5305" spans="1:40" x14ac:dyDescent="0.25">
      <c r="A5305" t="str">
        <f>"20190303170642957"</f>
        <v>20190303170642957</v>
      </c>
      <c r="B5305" t="str">
        <f>"1551604002950187"</f>
        <v>1551604002950187</v>
      </c>
      <c r="C5305" t="s">
        <v>40</v>
      </c>
      <c r="D5305">
        <v>5.9823019999999998</v>
      </c>
      <c r="E5305">
        <v>0.51910869999999998</v>
      </c>
      <c r="F5305" t="s">
        <v>109</v>
      </c>
      <c r="G5305">
        <v>-255.01349999999999</v>
      </c>
      <c r="H5305" s="1">
        <v>-1.4139429999999901E-6</v>
      </c>
      <c r="I5305">
        <v>-60.954889999999999</v>
      </c>
      <c r="J5305">
        <v>-273.17590000000001</v>
      </c>
      <c r="K5305">
        <v>1.1230639999999901</v>
      </c>
      <c r="L5305">
        <v>-63.521299999999997</v>
      </c>
      <c r="M5305">
        <v>0.98477389999999998</v>
      </c>
      <c r="N5305">
        <v>-1.102644E-2</v>
      </c>
      <c r="O5305">
        <v>0.1734898</v>
      </c>
      <c r="P5305">
        <v>0.96834260000000005</v>
      </c>
      <c r="Q5305">
        <v>0.180093</v>
      </c>
      <c r="R5305">
        <v>0.1728557</v>
      </c>
      <c r="S5305">
        <v>3.0560299999999998</v>
      </c>
      <c r="T5305">
        <v>-0.18760750000000001</v>
      </c>
      <c r="U5305">
        <v>0.4327087</v>
      </c>
      <c r="V5305">
        <v>-3.3418190000000002E-3</v>
      </c>
      <c r="W5305">
        <v>0.1909122</v>
      </c>
      <c r="X5305">
        <v>0.98160139999999996</v>
      </c>
      <c r="Y5305">
        <v>3.3435930000000003E-2</v>
      </c>
      <c r="Z5305">
        <v>-9.8055989999999999E-3</v>
      </c>
      <c r="AA5305">
        <v>0.99939270000000002</v>
      </c>
      <c r="AB5305">
        <v>33</v>
      </c>
      <c r="AC5305">
        <v>18.162400000000002</v>
      </c>
      <c r="AD5305">
        <v>-1.1230654139430001</v>
      </c>
      <c r="AE5305">
        <v>2.5664099999999901</v>
      </c>
      <c r="AF5305">
        <v>0.62136619866237996</v>
      </c>
      <c r="AG5305">
        <v>-1.1230654139430001</v>
      </c>
      <c r="AH5305">
        <v>18.263753721990501</v>
      </c>
      <c r="AI5305">
        <v>93.516742615479998</v>
      </c>
      <c r="AJ5305">
        <v>88.051444699374699</v>
      </c>
      <c r="AK5305">
        <v>18.308797663810601</v>
      </c>
      <c r="AL5305">
        <v>78.993975763629507</v>
      </c>
      <c r="AM5305">
        <v>90.195060219820903</v>
      </c>
      <c r="AN5305">
        <v>0.99999997217251402</v>
      </c>
    </row>
    <row r="5306" spans="1:40" x14ac:dyDescent="0.25">
      <c r="A5306" t="str">
        <f>"20190303170642969"</f>
        <v>20190303170642969</v>
      </c>
      <c r="B5306" t="str">
        <f>"1551604002959948"</f>
        <v>1551604002959948</v>
      </c>
      <c r="C5306" t="s">
        <v>40</v>
      </c>
      <c r="D5306">
        <v>6.032178</v>
      </c>
      <c r="E5306">
        <v>0.51935880000000001</v>
      </c>
      <c r="F5306" t="s">
        <v>109</v>
      </c>
      <c r="G5306">
        <v>-254.83750000000001</v>
      </c>
      <c r="H5306" s="1">
        <v>-1.344047E-6</v>
      </c>
      <c r="I5306">
        <v>-60.979959999999998</v>
      </c>
      <c r="J5306">
        <v>-273.01769999999999</v>
      </c>
      <c r="K5306">
        <v>1.1225830000000001</v>
      </c>
      <c r="L5306">
        <v>-63.493130000000001</v>
      </c>
      <c r="M5306">
        <v>0.9847707</v>
      </c>
      <c r="N5306">
        <v>-1.100018E-2</v>
      </c>
      <c r="O5306">
        <v>0.17351050000000001</v>
      </c>
      <c r="P5306">
        <v>0.96868829999999995</v>
      </c>
      <c r="Q5306">
        <v>0.17942</v>
      </c>
      <c r="R5306">
        <v>0.17161479999999901</v>
      </c>
      <c r="S5306">
        <v>3.0572509999999999</v>
      </c>
      <c r="T5306">
        <v>-0.18723000000000001</v>
      </c>
      <c r="U5306">
        <v>0.42367549999999998</v>
      </c>
      <c r="V5306">
        <v>-1.8110240000000001E-3</v>
      </c>
      <c r="W5306">
        <v>0.19022449999999999</v>
      </c>
      <c r="X5306">
        <v>0.98173889999999997</v>
      </c>
      <c r="Y5306">
        <v>3.6402900000000002E-2</v>
      </c>
      <c r="Z5306">
        <v>-9.8924549999999997E-3</v>
      </c>
      <c r="AA5306">
        <v>0.99928819999999996</v>
      </c>
      <c r="AB5306">
        <v>33</v>
      </c>
      <c r="AC5306">
        <v>18.1801999999999</v>
      </c>
      <c r="AD5306">
        <v>-1.12258434404699</v>
      </c>
      <c r="AE5306">
        <v>2.5131700000000001</v>
      </c>
      <c r="AF5306">
        <v>0.677067356063628</v>
      </c>
      <c r="AG5306">
        <v>-1.12258434404699</v>
      </c>
      <c r="AH5306">
        <v>18.2721361110118</v>
      </c>
      <c r="AI5306">
        <v>93.513254141698994</v>
      </c>
      <c r="AJ5306">
        <v>87.877896627942405</v>
      </c>
      <c r="AK5306">
        <v>18.319104068525998</v>
      </c>
      <c r="AL5306">
        <v>79.034113440986502</v>
      </c>
      <c r="AM5306">
        <v>90.105694002851095</v>
      </c>
      <c r="AN5306">
        <v>0.99999995399069297</v>
      </c>
    </row>
    <row r="5307" spans="1:40" x14ac:dyDescent="0.25">
      <c r="A5307" t="str">
        <f>"20190303170642979"</f>
        <v>20190303170642979</v>
      </c>
      <c r="B5307" t="str">
        <f>"1551604002970684"</f>
        <v>1551604002970684</v>
      </c>
      <c r="C5307" t="s">
        <v>40</v>
      </c>
      <c r="D5307">
        <v>5.9838879999999897</v>
      </c>
      <c r="E5307">
        <v>0.51970680000000002</v>
      </c>
      <c r="F5307" t="s">
        <v>109</v>
      </c>
      <c r="G5307">
        <v>-254.9538</v>
      </c>
      <c r="H5307" s="1">
        <v>-1.407483E-6</v>
      </c>
      <c r="I5307">
        <v>-61.040889999999997</v>
      </c>
      <c r="J5307">
        <v>-272.86020000000002</v>
      </c>
      <c r="K5307">
        <v>1.122101</v>
      </c>
      <c r="L5307">
        <v>-63.465240000000001</v>
      </c>
      <c r="M5307">
        <v>0.9848074</v>
      </c>
      <c r="N5307">
        <v>-1.0976E-2</v>
      </c>
      <c r="O5307">
        <v>0.1733037</v>
      </c>
      <c r="P5307">
        <v>0.96904310000000005</v>
      </c>
      <c r="Q5307">
        <v>0.1789239</v>
      </c>
      <c r="R5307">
        <v>0.1701232</v>
      </c>
      <c r="S5307">
        <v>3.058624</v>
      </c>
      <c r="T5307">
        <v>-0.19007950000000001</v>
      </c>
      <c r="U5307">
        <v>0.41522219999999999</v>
      </c>
      <c r="V5307">
        <v>-2.6013540000000002E-4</v>
      </c>
      <c r="W5307">
        <v>0.1897123</v>
      </c>
      <c r="X5307">
        <v>0.98183969999999998</v>
      </c>
      <c r="Y5307">
        <v>3.8949190000000002E-2</v>
      </c>
      <c r="Z5307">
        <v>-1.0152309999999999E-2</v>
      </c>
      <c r="AA5307">
        <v>0.99918960000000001</v>
      </c>
      <c r="AB5307">
        <v>33</v>
      </c>
      <c r="AC5307">
        <v>17.906400000000001</v>
      </c>
      <c r="AD5307">
        <v>-1.1221024074829999</v>
      </c>
      <c r="AE5307">
        <v>2.4243499999999898</v>
      </c>
      <c r="AF5307">
        <v>0.71302102457667904</v>
      </c>
      <c r="AG5307">
        <v>-1.1221024074829999</v>
      </c>
      <c r="AH5307">
        <v>17.986230814970298</v>
      </c>
      <c r="AI5307">
        <v>93.567076032268204</v>
      </c>
      <c r="AJ5307">
        <v>87.729834822819598</v>
      </c>
      <c r="AK5307">
        <v>18.035299047250501</v>
      </c>
      <c r="AL5307">
        <v>79.064005279134307</v>
      </c>
      <c r="AM5307">
        <v>90.015180339696101</v>
      </c>
      <c r="AN5307">
        <v>1.0000000104689</v>
      </c>
    </row>
    <row r="5308" spans="1:40" x14ac:dyDescent="0.25">
      <c r="A5308" t="str">
        <f>"20190303170642991"</f>
        <v>20190303170642991</v>
      </c>
      <c r="B5308" t="str">
        <f>"1551604002980445"</f>
        <v>1551604002980445</v>
      </c>
      <c r="C5308" t="s">
        <v>40</v>
      </c>
      <c r="D5308">
        <v>5.9902259999999998</v>
      </c>
      <c r="E5308">
        <v>0.5199975</v>
      </c>
      <c r="F5308" t="s">
        <v>109</v>
      </c>
      <c r="G5308">
        <v>-254.88810000000001</v>
      </c>
      <c r="H5308" s="1">
        <v>-1.3892350000000001E-6</v>
      </c>
      <c r="I5308">
        <v>-61.085680000000004</v>
      </c>
      <c r="J5308">
        <v>-272.69740000000002</v>
      </c>
      <c r="K5308">
        <v>1.1216010000000001</v>
      </c>
      <c r="L5308">
        <v>-63.436799999999998</v>
      </c>
      <c r="M5308">
        <v>0.98490639999999996</v>
      </c>
      <c r="N5308">
        <v>-1.0955350000000001E-2</v>
      </c>
      <c r="O5308">
        <v>0.17274100000000001</v>
      </c>
      <c r="P5308">
        <v>0.96945789999999998</v>
      </c>
      <c r="Q5308">
        <v>0.17899399999999999</v>
      </c>
      <c r="R5308">
        <v>0.16766789999999901</v>
      </c>
      <c r="S5308">
        <v>3.0599980000000002</v>
      </c>
      <c r="T5308">
        <v>-0.19105279999999999</v>
      </c>
      <c r="U5308">
        <v>0.40515139999999999</v>
      </c>
      <c r="V5308">
        <v>1.8998730000000001E-3</v>
      </c>
      <c r="W5308">
        <v>0.1897662</v>
      </c>
      <c r="X5308">
        <v>0.98182749999999996</v>
      </c>
      <c r="Y5308">
        <v>4.1659229999999998E-2</v>
      </c>
      <c r="Z5308">
        <v>-1.0284740000000001E-2</v>
      </c>
      <c r="AA5308">
        <v>0.99907889999999999</v>
      </c>
      <c r="AB5308">
        <v>33</v>
      </c>
      <c r="AC5308">
        <v>17.8093</v>
      </c>
      <c r="AD5308">
        <v>-1.121602389235</v>
      </c>
      <c r="AE5308">
        <v>2.3511199999999901</v>
      </c>
      <c r="AF5308">
        <v>0.75785440118487701</v>
      </c>
      <c r="AG5308">
        <v>-1.121602389235</v>
      </c>
      <c r="AH5308">
        <v>17.878009977982501</v>
      </c>
      <c r="AI5308">
        <v>93.586614887483606</v>
      </c>
      <c r="AJ5308">
        <v>87.572667319799393</v>
      </c>
      <c r="AK5308">
        <v>17.9291822453165</v>
      </c>
      <c r="AL5308">
        <v>79.060860115239095</v>
      </c>
      <c r="AM5308">
        <v>89.889130658239793</v>
      </c>
      <c r="AN5308">
        <v>1.00000002996805</v>
      </c>
    </row>
    <row r="5309" spans="1:40" x14ac:dyDescent="0.25">
      <c r="A5309" t="str">
        <f>"20190303170643001"</f>
        <v>20190303170643001</v>
      </c>
      <c r="B5309" t="str">
        <f>"1551604002990203"</f>
        <v>1551604002990203</v>
      </c>
      <c r="C5309" t="s">
        <v>40</v>
      </c>
      <c r="D5309">
        <v>5.9583029999999999</v>
      </c>
      <c r="E5309">
        <v>0.5199975</v>
      </c>
      <c r="F5309" t="s">
        <v>109</v>
      </c>
      <c r="G5309">
        <v>-254.63829999999999</v>
      </c>
      <c r="H5309" s="1">
        <v>-1.2889259999999999E-6</v>
      </c>
      <c r="I5309">
        <v>-61.116439999999997</v>
      </c>
      <c r="J5309">
        <v>-272.53460000000001</v>
      </c>
      <c r="K5309">
        <v>1.1211040000000001</v>
      </c>
      <c r="L5309">
        <v>-63.408479999999997</v>
      </c>
      <c r="M5309">
        <v>0.98503180000000001</v>
      </c>
      <c r="N5309">
        <v>-1.093589E-2</v>
      </c>
      <c r="O5309">
        <v>0.17202600000000001</v>
      </c>
      <c r="P5309">
        <v>0.96989170000000002</v>
      </c>
      <c r="Q5309">
        <v>0.17950169999999999</v>
      </c>
      <c r="R5309">
        <v>0.16458819999999999</v>
      </c>
      <c r="S5309">
        <v>3.0615839999999999</v>
      </c>
      <c r="T5309">
        <v>-0.19014629999999999</v>
      </c>
      <c r="U5309">
        <v>0.39337159999999999</v>
      </c>
      <c r="V5309">
        <v>4.5257839999999997E-3</v>
      </c>
      <c r="W5309">
        <v>0.19025359999999999</v>
      </c>
      <c r="X5309">
        <v>0.98172459999999995</v>
      </c>
      <c r="Y5309">
        <v>4.4778209999999999E-2</v>
      </c>
      <c r="Z5309">
        <v>-1.030642E-2</v>
      </c>
      <c r="AA5309">
        <v>0.99894380000000005</v>
      </c>
      <c r="AB5309">
        <v>33</v>
      </c>
      <c r="AC5309">
        <v>17.8963</v>
      </c>
      <c r="AD5309">
        <v>-1.121105288926</v>
      </c>
      <c r="AE5309">
        <v>2.2920400000000001</v>
      </c>
      <c r="AF5309">
        <v>0.81778814751282503</v>
      </c>
      <c r="AG5309">
        <v>-1.121105288926</v>
      </c>
      <c r="AH5309">
        <v>17.9544688950023</v>
      </c>
      <c r="AI5309">
        <v>93.569308833544994</v>
      </c>
      <c r="AJ5309">
        <v>87.392100684043697</v>
      </c>
      <c r="AK5309">
        <v>18.008015099523799</v>
      </c>
      <c r="AL5309">
        <v>79.032416213966698</v>
      </c>
      <c r="AM5309">
        <v>89.735866366967599</v>
      </c>
      <c r="AN5309">
        <v>1.0000000526394599</v>
      </c>
    </row>
    <row r="5310" spans="1:40" x14ac:dyDescent="0.25">
      <c r="A5310" t="str">
        <f>"20190303170643013"</f>
        <v>20190303170643013</v>
      </c>
      <c r="B5310" t="str">
        <f>"1551604002999965"</f>
        <v>1551604002999965</v>
      </c>
      <c r="C5310" t="s">
        <v>40</v>
      </c>
      <c r="D5310">
        <v>5.978694</v>
      </c>
      <c r="E5310">
        <v>0.52618719999999997</v>
      </c>
      <c r="F5310" t="s">
        <v>109</v>
      </c>
      <c r="G5310">
        <v>-254.31610000000001</v>
      </c>
      <c r="H5310" s="1">
        <v>-1.1533639999999999E-6</v>
      </c>
      <c r="I5310">
        <v>-61.128410000000002</v>
      </c>
      <c r="J5310">
        <v>-272.3691</v>
      </c>
      <c r="K5310">
        <v>1.120609</v>
      </c>
      <c r="L5310">
        <v>-63.380339999999997</v>
      </c>
      <c r="M5310">
        <v>0.98523269999999996</v>
      </c>
      <c r="N5310">
        <v>-1.0921480000000001E-2</v>
      </c>
      <c r="O5310">
        <v>0.1708722</v>
      </c>
      <c r="P5310">
        <v>0.97034869999999995</v>
      </c>
      <c r="Q5310">
        <v>0.1805766</v>
      </c>
      <c r="R5310">
        <v>0.1606725</v>
      </c>
      <c r="S5310">
        <v>3.0629580000000001</v>
      </c>
      <c r="T5310">
        <v>-0.18848409999999999</v>
      </c>
      <c r="U5310">
        <v>0.38333129999999999</v>
      </c>
      <c r="V5310">
        <v>7.5427269999999999E-3</v>
      </c>
      <c r="W5310">
        <v>0.19130620000000001</v>
      </c>
      <c r="X5310">
        <v>0.98150139999999997</v>
      </c>
      <c r="Y5310">
        <v>4.6890399999999999E-2</v>
      </c>
      <c r="Z5310">
        <v>-1.022146E-2</v>
      </c>
      <c r="AA5310">
        <v>0.99884770000000001</v>
      </c>
      <c r="AB5310">
        <v>33</v>
      </c>
      <c r="AC5310">
        <v>18.053000000000001</v>
      </c>
      <c r="AD5310">
        <v>-1.1206101533640001</v>
      </c>
      <c r="AE5310">
        <v>2.2519300000000002</v>
      </c>
      <c r="AF5310">
        <v>0.86285864184504102</v>
      </c>
      <c r="AG5310">
        <v>-1.1206101533640001</v>
      </c>
      <c r="AH5310">
        <v>18.103595219656999</v>
      </c>
      <c r="AI5310">
        <v>93.538075647805101</v>
      </c>
      <c r="AJ5310">
        <v>87.271217527157802</v>
      </c>
      <c r="AK5310">
        <v>18.158756896572399</v>
      </c>
      <c r="AL5310">
        <v>78.970977385492404</v>
      </c>
      <c r="AM5310">
        <v>89.559697096848595</v>
      </c>
      <c r="AN5310">
        <v>0.99999997654549799</v>
      </c>
    </row>
    <row r="5311" spans="1:40" x14ac:dyDescent="0.25">
      <c r="A5311" t="str">
        <f>"20190303170643025"</f>
        <v>20190303170643025</v>
      </c>
      <c r="B5311" t="str">
        <f>"1551604003020460"</f>
        <v>1551604003020460</v>
      </c>
      <c r="C5311" t="s">
        <v>40</v>
      </c>
      <c r="D5311">
        <v>5.9988260000000002</v>
      </c>
      <c r="E5311">
        <v>0.52540969999999998</v>
      </c>
      <c r="F5311" t="s">
        <v>109</v>
      </c>
      <c r="G5311">
        <v>-254.07140000000001</v>
      </c>
      <c r="H5311" s="1">
        <v>-1.12071E-6</v>
      </c>
      <c r="I5311">
        <v>-61.453699999999998</v>
      </c>
      <c r="J5311">
        <v>-272.19330000000002</v>
      </c>
      <c r="K5311">
        <v>1.1200889999999999</v>
      </c>
      <c r="L5311">
        <v>-63.3506199999999</v>
      </c>
      <c r="M5311">
        <v>0.98546699999999998</v>
      </c>
      <c r="N5311">
        <v>-1.0906620000000001E-2</v>
      </c>
      <c r="O5311">
        <v>0.16951629999999901</v>
      </c>
      <c r="P5311">
        <v>0.97081410000000001</v>
      </c>
      <c r="Q5311">
        <v>0.18169940000000001</v>
      </c>
      <c r="R5311">
        <v>0.1565414</v>
      </c>
      <c r="S5311">
        <v>3.0730900000000001</v>
      </c>
      <c r="T5311">
        <v>-0.1882056</v>
      </c>
      <c r="U5311">
        <v>0.32357789999999997</v>
      </c>
      <c r="V5311">
        <v>1.0587589999999999E-2</v>
      </c>
      <c r="W5311">
        <v>0.1923976</v>
      </c>
      <c r="X5311">
        <v>0.98125989999999996</v>
      </c>
      <c r="Y5311">
        <v>6.50448E-2</v>
      </c>
      <c r="Z5311">
        <v>-1.0770119999999999E-2</v>
      </c>
      <c r="AA5311">
        <v>0.9978243</v>
      </c>
      <c r="AB5311">
        <v>33</v>
      </c>
      <c r="AC5311">
        <v>18.1219</v>
      </c>
      <c r="AD5311">
        <v>-1.12009012070999</v>
      </c>
      <c r="AE5311">
        <v>1.8969199999999899</v>
      </c>
      <c r="AF5311">
        <v>1.19814925590196</v>
      </c>
      <c r="AG5311">
        <v>-1.12009012070999</v>
      </c>
      <c r="AH5311">
        <v>18.112728989079301</v>
      </c>
      <c r="AI5311">
        <v>93.530964165992401</v>
      </c>
      <c r="AJ5311">
        <v>86.215422468634998</v>
      </c>
      <c r="AK5311">
        <v>18.1868390587744</v>
      </c>
      <c r="AL5311">
        <v>78.907261008659503</v>
      </c>
      <c r="AM5311">
        <v>89.381814458254397</v>
      </c>
      <c r="AN5311">
        <v>0.99999996244788802</v>
      </c>
    </row>
    <row r="5312" spans="1:40" x14ac:dyDescent="0.25">
      <c r="A5312" t="str">
        <f>"20190303170643036"</f>
        <v>20190303170643036</v>
      </c>
      <c r="B5312" t="str">
        <f>"1551604003030220"</f>
        <v>1551604003030220</v>
      </c>
      <c r="C5312" t="s">
        <v>40</v>
      </c>
      <c r="D5312">
        <v>5.9764330000000001</v>
      </c>
      <c r="E5312">
        <v>0.52493999999999996</v>
      </c>
      <c r="F5312" t="s">
        <v>109</v>
      </c>
      <c r="G5312">
        <v>-253.96459999999999</v>
      </c>
      <c r="H5312" s="1">
        <v>-1.0774179999999999E-6</v>
      </c>
      <c r="I5312">
        <v>-61.465110000000003</v>
      </c>
      <c r="J5312">
        <v>-272.02300000000002</v>
      </c>
      <c r="K5312">
        <v>1.1196029999999999</v>
      </c>
      <c r="L5312">
        <v>-63.322510000000001</v>
      </c>
      <c r="M5312">
        <v>0.98575679999999999</v>
      </c>
      <c r="N5312">
        <v>-1.089651E-2</v>
      </c>
      <c r="O5312">
        <v>0.1678241</v>
      </c>
      <c r="P5312">
        <v>0.97128049999999999</v>
      </c>
      <c r="Q5312">
        <v>0.18282019999999999</v>
      </c>
      <c r="R5312">
        <v>0.15228620000000001</v>
      </c>
      <c r="S5312">
        <v>3.0743100000000001</v>
      </c>
      <c r="T5312">
        <v>-0.18890489999999999</v>
      </c>
      <c r="U5312">
        <v>0.31799319999999998</v>
      </c>
      <c r="V5312">
        <v>1.340651E-2</v>
      </c>
      <c r="W5312">
        <v>0.1934863</v>
      </c>
      <c r="X5312">
        <v>0.98101139999999998</v>
      </c>
      <c r="Y5312">
        <v>6.5164979999999997E-2</v>
      </c>
      <c r="Z5312">
        <v>-1.0734550000000001E-2</v>
      </c>
      <c r="AA5312">
        <v>0.9978167</v>
      </c>
      <c r="AB5312">
        <v>33</v>
      </c>
      <c r="AC5312">
        <v>18.058399999999899</v>
      </c>
      <c r="AD5312">
        <v>-1.1196040774180001</v>
      </c>
      <c r="AE5312">
        <v>1.8573999999999999</v>
      </c>
      <c r="AF5312">
        <v>1.19521502222864</v>
      </c>
      <c r="AG5312">
        <v>-1.1196040774180001</v>
      </c>
      <c r="AH5312">
        <v>18.045343204078499</v>
      </c>
      <c r="AI5312">
        <v>93.542562468621199</v>
      </c>
      <c r="AJ5312">
        <v>86.210606914002497</v>
      </c>
      <c r="AK5312">
        <v>18.119505059259001</v>
      </c>
      <c r="AL5312">
        <v>78.843689277701202</v>
      </c>
      <c r="AM5312">
        <v>89.217044136939805</v>
      </c>
      <c r="AN5312">
        <v>1.00000002486401</v>
      </c>
    </row>
    <row r="5313" spans="1:40" x14ac:dyDescent="0.25">
      <c r="A5313" t="str">
        <f>"20190303170643047"</f>
        <v>20190303170643047</v>
      </c>
      <c r="B5313" t="str">
        <f>"1551604003039979"</f>
        <v>1551604003039979</v>
      </c>
      <c r="C5313" t="s">
        <v>40</v>
      </c>
      <c r="D5313">
        <v>5.9816419999999999</v>
      </c>
      <c r="E5313">
        <v>0.52464160000000004</v>
      </c>
      <c r="F5313" t="s">
        <v>109</v>
      </c>
      <c r="G5313">
        <v>-253.45410000000001</v>
      </c>
      <c r="H5313" s="1">
        <v>-8.5651359999999997E-7</v>
      </c>
      <c r="I5313">
        <v>-61.4563699999999</v>
      </c>
      <c r="J5313">
        <v>-271.86110000000002</v>
      </c>
      <c r="K5313">
        <v>1.1191580000000001</v>
      </c>
      <c r="L5313">
        <v>-63.296169999999996</v>
      </c>
      <c r="M5313">
        <v>0.98605370000000003</v>
      </c>
      <c r="N5313">
        <v>-1.088719E-2</v>
      </c>
      <c r="O5313">
        <v>0.16607140000000001</v>
      </c>
      <c r="P5313">
        <v>0.97174349999999998</v>
      </c>
      <c r="Q5313">
        <v>0.18345539999999999</v>
      </c>
      <c r="R5313">
        <v>0.1485225</v>
      </c>
      <c r="S5313">
        <v>3.0751949999999999</v>
      </c>
      <c r="T5313">
        <v>-0.185418</v>
      </c>
      <c r="U5313">
        <v>0.30905149999999998</v>
      </c>
      <c r="V5313">
        <v>1.5662780000000001E-2</v>
      </c>
      <c r="W5313">
        <v>0.19408790000000001</v>
      </c>
      <c r="X5313">
        <v>0.98085909999999998</v>
      </c>
      <c r="Y5313">
        <v>6.6305489999999995E-2</v>
      </c>
      <c r="Z5313">
        <v>-1.0465540000000001E-2</v>
      </c>
      <c r="AA5313">
        <v>0.99774450000000003</v>
      </c>
      <c r="AB5313">
        <v>33</v>
      </c>
      <c r="AC5313">
        <v>18.407</v>
      </c>
      <c r="AD5313">
        <v>-1.1191588565135999</v>
      </c>
      <c r="AE5313">
        <v>1.8398000000000001</v>
      </c>
      <c r="AF5313">
        <v>1.2382759430272501</v>
      </c>
      <c r="AG5313">
        <v>-1.1191588565135999</v>
      </c>
      <c r="AH5313">
        <v>18.389612259726601</v>
      </c>
      <c r="AI5313">
        <v>93.474773968865904</v>
      </c>
      <c r="AJ5313">
        <v>86.147768256754006</v>
      </c>
      <c r="AK5313">
        <v>18.465201946371401</v>
      </c>
      <c r="AL5313">
        <v>78.808553873706302</v>
      </c>
      <c r="AM5313">
        <v>89.085154102232906</v>
      </c>
      <c r="AN5313">
        <v>1.00000000482827</v>
      </c>
    </row>
    <row r="5314" spans="1:40" x14ac:dyDescent="0.25">
      <c r="A5314" t="str">
        <f>"20190303170643058"</f>
        <v>20190303170643058</v>
      </c>
      <c r="B5314" t="str">
        <f>"1551604003050715"</f>
        <v>1551604003050715</v>
      </c>
      <c r="C5314" t="s">
        <v>40</v>
      </c>
      <c r="D5314">
        <v>6.0004629999999999</v>
      </c>
      <c r="E5314">
        <v>0.52462739999999997</v>
      </c>
      <c r="F5314" t="s">
        <v>109</v>
      </c>
      <c r="G5314">
        <v>-253.1319</v>
      </c>
      <c r="H5314" s="1">
        <v>-7.2117679999999999E-7</v>
      </c>
      <c r="I5314">
        <v>-61.469439999999999</v>
      </c>
      <c r="J5314">
        <v>-271.7002</v>
      </c>
      <c r="K5314">
        <v>1.1187339999999999</v>
      </c>
      <c r="L5314">
        <v>-63.270539999999997</v>
      </c>
      <c r="M5314">
        <v>0.98638139999999996</v>
      </c>
      <c r="N5314">
        <v>-1.0879170000000001E-2</v>
      </c>
      <c r="O5314">
        <v>0.16411389999999901</v>
      </c>
      <c r="P5314">
        <v>0.97223939999999998</v>
      </c>
      <c r="Q5314">
        <v>0.18326880000000001</v>
      </c>
      <c r="R5314">
        <v>0.1454751</v>
      </c>
      <c r="S5314">
        <v>3.07605</v>
      </c>
      <c r="T5314">
        <v>-0.1838081</v>
      </c>
      <c r="U5314">
        <v>0.30001830000000002</v>
      </c>
      <c r="V5314">
        <v>1.6999549999999999E-2</v>
      </c>
      <c r="W5314">
        <v>0.19387180000000001</v>
      </c>
      <c r="X5314">
        <v>0.98087959999999996</v>
      </c>
      <c r="Y5314">
        <v>6.7260840000000002E-2</v>
      </c>
      <c r="Z5314">
        <v>-1.030244E-2</v>
      </c>
      <c r="AA5314">
        <v>0.99768219999999996</v>
      </c>
      <c r="AB5314">
        <v>33</v>
      </c>
      <c r="AC5314">
        <v>18.568299999999901</v>
      </c>
      <c r="AD5314">
        <v>-1.1187347211768</v>
      </c>
      <c r="AE5314">
        <v>1.8010999999999899</v>
      </c>
      <c r="AF5314">
        <v>1.26626606411203</v>
      </c>
      <c r="AG5314">
        <v>-1.1187347211768</v>
      </c>
      <c r="AH5314">
        <v>18.545419913771202</v>
      </c>
      <c r="AI5314">
        <v>93.444130099005406</v>
      </c>
      <c r="AJ5314">
        <v>86.093953686897805</v>
      </c>
      <c r="AK5314">
        <v>18.622233939556999</v>
      </c>
      <c r="AL5314">
        <v>78.8211754518139</v>
      </c>
      <c r="AM5314">
        <v>89.007110588535198</v>
      </c>
      <c r="AN5314">
        <v>1.0000000246158001</v>
      </c>
    </row>
    <row r="5315" spans="1:40" x14ac:dyDescent="0.25">
      <c r="A5315" t="str">
        <f>"20190303170643070"</f>
        <v>20190303170643070</v>
      </c>
      <c r="B5315" t="str">
        <f>"1551604003060476"</f>
        <v>1551604003060476</v>
      </c>
      <c r="C5315" t="s">
        <v>40</v>
      </c>
      <c r="D5315">
        <v>5.952477</v>
      </c>
      <c r="E5315">
        <v>0.52439040000000003</v>
      </c>
      <c r="F5315" t="s">
        <v>109</v>
      </c>
      <c r="G5315">
        <v>-253.20310000000001</v>
      </c>
      <c r="H5315" s="1">
        <v>-7.6428659999999897E-7</v>
      </c>
      <c r="I5315">
        <v>-61.525869999999998</v>
      </c>
      <c r="J5315">
        <v>-271.52890000000002</v>
      </c>
      <c r="K5315">
        <v>1.118312</v>
      </c>
      <c r="L5315">
        <v>-63.243769999999998</v>
      </c>
      <c r="M5315">
        <v>0.98675809999999997</v>
      </c>
      <c r="N5315">
        <v>-1.087079E-2</v>
      </c>
      <c r="O5315">
        <v>0.16183429999999999</v>
      </c>
      <c r="P5315">
        <v>0.97286030000000001</v>
      </c>
      <c r="Q5315">
        <v>0.18248239999999999</v>
      </c>
      <c r="R5315">
        <v>0.1422784</v>
      </c>
      <c r="S5315">
        <v>3.0772710000000001</v>
      </c>
      <c r="T5315">
        <v>-0.1861186</v>
      </c>
      <c r="U5315">
        <v>0.29025269999999997</v>
      </c>
      <c r="V5315">
        <v>1.817939E-2</v>
      </c>
      <c r="W5315">
        <v>0.19305539999999999</v>
      </c>
      <c r="X5315">
        <v>0.98101939999999999</v>
      </c>
      <c r="Y5315">
        <v>6.8122680000000005E-2</v>
      </c>
      <c r="Z5315">
        <v>-1.0368459999999999E-2</v>
      </c>
      <c r="AA5315">
        <v>0.99762309999999998</v>
      </c>
      <c r="AB5315">
        <v>33</v>
      </c>
      <c r="AC5315">
        <v>18.325800000000001</v>
      </c>
      <c r="AD5315">
        <v>-1.1183127642866</v>
      </c>
      <c r="AE5315">
        <v>1.7179</v>
      </c>
      <c r="AF5315">
        <v>1.2659929251122899</v>
      </c>
      <c r="AG5315">
        <v>-1.1183127642866</v>
      </c>
      <c r="AH5315">
        <v>18.294696586656499</v>
      </c>
      <c r="AI5315">
        <v>93.489682060953001</v>
      </c>
      <c r="AJ5315">
        <v>86.041442956250904</v>
      </c>
      <c r="AK5315">
        <v>18.372514382169399</v>
      </c>
      <c r="AL5315">
        <v>78.868851855917399</v>
      </c>
      <c r="AM5315">
        <v>88.938366442011898</v>
      </c>
      <c r="AN5315">
        <v>0.99999997043314504</v>
      </c>
    </row>
    <row r="5316" spans="1:40" x14ac:dyDescent="0.25">
      <c r="A5316" t="str">
        <f>"20190303170643080"</f>
        <v>20190303170643080</v>
      </c>
      <c r="B5316" t="str">
        <f>"1551604003070235"</f>
        <v>1551604003070235</v>
      </c>
      <c r="C5316" t="s">
        <v>40</v>
      </c>
      <c r="D5316">
        <v>5.9977029999999996</v>
      </c>
      <c r="E5316">
        <v>0.52423399999999998</v>
      </c>
      <c r="F5316" t="s">
        <v>109</v>
      </c>
      <c r="G5316">
        <v>-253.1191</v>
      </c>
      <c r="H5316" s="1">
        <v>-7.3672809999999899E-7</v>
      </c>
      <c r="I5316">
        <v>-61.563989999999997</v>
      </c>
      <c r="J5316">
        <v>-271.36160000000001</v>
      </c>
      <c r="K5316">
        <v>1.1179079999999999</v>
      </c>
      <c r="L5316">
        <v>-63.218049999999998</v>
      </c>
      <c r="M5316">
        <v>0.98714270000000004</v>
      </c>
      <c r="N5316">
        <v>-1.086194E-2</v>
      </c>
      <c r="O5316">
        <v>0.1594719</v>
      </c>
      <c r="P5316">
        <v>0.97356240000000005</v>
      </c>
      <c r="Q5316">
        <v>0.1810292</v>
      </c>
      <c r="R5316">
        <v>0.13930010000000001</v>
      </c>
      <c r="S5316">
        <v>3.0776979999999998</v>
      </c>
      <c r="T5316">
        <v>-0.1869565</v>
      </c>
      <c r="U5316">
        <v>0.28082279999999998</v>
      </c>
      <c r="V5316">
        <v>1.9054829999999998E-2</v>
      </c>
      <c r="W5316">
        <v>0.19157399999999999</v>
      </c>
      <c r="X5316">
        <v>0.98129319999999998</v>
      </c>
      <c r="Y5316">
        <v>6.8776000000000004E-2</v>
      </c>
      <c r="Z5316">
        <v>-1.033103E-2</v>
      </c>
      <c r="AA5316">
        <v>0.99757859999999998</v>
      </c>
      <c r="AB5316">
        <v>33</v>
      </c>
      <c r="AC5316">
        <v>18.2425</v>
      </c>
      <c r="AD5316">
        <v>-1.1179087367281</v>
      </c>
      <c r="AE5316">
        <v>1.6540599999999901</v>
      </c>
      <c r="AF5316">
        <v>1.27171148621171</v>
      </c>
      <c r="AG5316">
        <v>-1.1179087367281</v>
      </c>
      <c r="AH5316">
        <v>18.2049972839439</v>
      </c>
      <c r="AI5316">
        <v>93.505411251585997</v>
      </c>
      <c r="AJ5316">
        <v>86.004090132905404</v>
      </c>
      <c r="AK5316">
        <v>18.2835690212885</v>
      </c>
      <c r="AL5316">
        <v>78.955344853934307</v>
      </c>
      <c r="AM5316">
        <v>88.887565766415605</v>
      </c>
      <c r="AN5316">
        <v>1.00000001419428</v>
      </c>
    </row>
    <row r="5317" spans="1:40" x14ac:dyDescent="0.25">
      <c r="A5317" t="str">
        <f>"20190303170643093"</f>
        <v>20190303170643093</v>
      </c>
      <c r="B5317" t="str">
        <f>"1551604003079996"</f>
        <v>1551604003079996</v>
      </c>
      <c r="C5317" t="s">
        <v>40</v>
      </c>
      <c r="D5317">
        <v>5.9110019999999999</v>
      </c>
      <c r="E5317">
        <v>0.52436099999999997</v>
      </c>
      <c r="F5317" t="s">
        <v>109</v>
      </c>
      <c r="G5317">
        <v>-253.35990000000001</v>
      </c>
      <c r="H5317" s="1">
        <v>-8.5527129999999996E-7</v>
      </c>
      <c r="I5317">
        <v>-61.632530000000003</v>
      </c>
      <c r="J5317">
        <v>-271.17680000000001</v>
      </c>
      <c r="K5317">
        <v>1.117499</v>
      </c>
      <c r="L5317">
        <v>-63.19061</v>
      </c>
      <c r="M5317">
        <v>0.98760179999999997</v>
      </c>
      <c r="N5317">
        <v>-1.0853700000000001E-2</v>
      </c>
      <c r="O5317">
        <v>0.1566042</v>
      </c>
      <c r="P5317">
        <v>0.97450130000000001</v>
      </c>
      <c r="Q5317">
        <v>0.17875559999999999</v>
      </c>
      <c r="R5317">
        <v>0.13562379999999999</v>
      </c>
      <c r="S5317">
        <v>3.078217</v>
      </c>
      <c r="T5317">
        <v>-0.1911583</v>
      </c>
      <c r="U5317">
        <v>0.27111819999999998</v>
      </c>
      <c r="V5317">
        <v>2.014262E-2</v>
      </c>
      <c r="W5317">
        <v>0.1892713</v>
      </c>
      <c r="X5317">
        <v>0.98171819999999999</v>
      </c>
      <c r="Y5317">
        <v>6.8999859999999996E-2</v>
      </c>
      <c r="Z5317">
        <v>-1.045888E-2</v>
      </c>
      <c r="AA5317">
        <v>0.9975619</v>
      </c>
      <c r="AB5317">
        <v>33</v>
      </c>
      <c r="AC5317">
        <v>17.8169</v>
      </c>
      <c r="AD5317">
        <v>-1.1174998552713</v>
      </c>
      <c r="AE5317">
        <v>1.5580799999999899</v>
      </c>
      <c r="AF5317">
        <v>1.2466454392725601</v>
      </c>
      <c r="AG5317">
        <v>-1.1174998552713</v>
      </c>
      <c r="AH5317">
        <v>17.7716727646037</v>
      </c>
      <c r="AI5317">
        <v>93.589279409131507</v>
      </c>
      <c r="AJ5317">
        <v>85.9873946923734</v>
      </c>
      <c r="AK5317">
        <v>17.850358081280799</v>
      </c>
      <c r="AL5317">
        <v>79.089738695522598</v>
      </c>
      <c r="AM5317">
        <v>88.824586111130699</v>
      </c>
      <c r="AN5317">
        <v>0.999999987177697</v>
      </c>
    </row>
    <row r="5318" spans="1:40" x14ac:dyDescent="0.25">
      <c r="A5318" t="str">
        <f>"20190303170643119"</f>
        <v>20190303170643119</v>
      </c>
      <c r="B5318" t="str">
        <f>"1551604003110251"</f>
        <v>1551604003110251</v>
      </c>
      <c r="C5318" t="s">
        <v>40</v>
      </c>
      <c r="D5318">
        <v>6.0026570000000001</v>
      </c>
      <c r="E5318">
        <v>0.52393000000000001</v>
      </c>
      <c r="F5318" t="s">
        <v>109</v>
      </c>
      <c r="G5318">
        <v>-254.03030000000001</v>
      </c>
      <c r="H5318" s="1">
        <v>-1.1705620000000001E-6</v>
      </c>
      <c r="I5318">
        <v>-61.757150000000003</v>
      </c>
      <c r="J5318">
        <v>-270.80919999999998</v>
      </c>
      <c r="K5318">
        <v>1.1167609999999999</v>
      </c>
      <c r="L5318">
        <v>-63.137729999999998</v>
      </c>
      <c r="M5318">
        <v>0.98855159999999997</v>
      </c>
      <c r="N5318">
        <v>-1.083741E-2</v>
      </c>
      <c r="O5318">
        <v>0.15049390000000001</v>
      </c>
      <c r="P5318">
        <v>0.97638650000000005</v>
      </c>
      <c r="Q5318">
        <v>0.17431679999999999</v>
      </c>
      <c r="R5318">
        <v>0.12760539999999901</v>
      </c>
      <c r="S5318">
        <v>3.0794679999999999</v>
      </c>
      <c r="T5318">
        <v>-0.2007003</v>
      </c>
      <c r="U5318">
        <v>0.25744630000000002</v>
      </c>
      <c r="V5318">
        <v>2.2551849999999998E-2</v>
      </c>
      <c r="W5318">
        <v>0.18476980000000001</v>
      </c>
      <c r="X5318">
        <v>0.98252300000000004</v>
      </c>
      <c r="Y5318">
        <v>6.7235710000000004E-2</v>
      </c>
      <c r="Z5318">
        <v>-1.0653839999999999E-2</v>
      </c>
      <c r="AA5318">
        <v>0.99768020000000002</v>
      </c>
      <c r="AB5318">
        <v>33</v>
      </c>
      <c r="AC5318">
        <v>16.778899999999901</v>
      </c>
      <c r="AD5318">
        <v>-1.1167621705619999</v>
      </c>
      <c r="AE5318">
        <v>1.3805799999999999</v>
      </c>
      <c r="AF5318">
        <v>1.1553320083167999</v>
      </c>
      <c r="AG5318">
        <v>-1.1167621705619999</v>
      </c>
      <c r="AH5318">
        <v>16.7219839033684</v>
      </c>
      <c r="AI5318">
        <v>93.811711913396493</v>
      </c>
      <c r="AJ5318">
        <v>86.047680677644905</v>
      </c>
      <c r="AK5318">
        <v>16.7990087641965</v>
      </c>
      <c r="AL5318">
        <v>79.352287981734406</v>
      </c>
      <c r="AM5318">
        <v>88.685120875227398</v>
      </c>
      <c r="AN5318">
        <v>0.99999995522972995</v>
      </c>
    </row>
    <row r="5319" spans="1:40" x14ac:dyDescent="0.25">
      <c r="A5319" t="str">
        <f>"20190303170643131"</f>
        <v>20190303170643131</v>
      </c>
      <c r="B5319" t="str">
        <f>"1551604003120011"</f>
        <v>1551604003120011</v>
      </c>
      <c r="C5319" t="s">
        <v>40</v>
      </c>
      <c r="D5319">
        <v>6.0009410000000001</v>
      </c>
      <c r="E5319">
        <v>0.52373729999999996</v>
      </c>
      <c r="F5319" t="s">
        <v>109</v>
      </c>
      <c r="G5319">
        <v>-254.79949999999999</v>
      </c>
      <c r="H5319" s="1">
        <v>-1.5358519999999999E-6</v>
      </c>
      <c r="I5319">
        <v>-61.915889999999997</v>
      </c>
      <c r="J5319">
        <v>-270.61430000000001</v>
      </c>
      <c r="K5319">
        <v>1.1164350000000001</v>
      </c>
      <c r="L5319">
        <v>-63.110959999999999</v>
      </c>
      <c r="M5319">
        <v>0.98907350000000005</v>
      </c>
      <c r="N5319">
        <v>-1.0830009999999999E-2</v>
      </c>
      <c r="O5319">
        <v>0.1470253</v>
      </c>
      <c r="P5319">
        <v>0.97712339999999998</v>
      </c>
      <c r="Q5319">
        <v>0.17308189999999901</v>
      </c>
      <c r="R5319">
        <v>0.123582399999999</v>
      </c>
      <c r="S5319">
        <v>3.0802</v>
      </c>
      <c r="T5319">
        <v>-0.214861</v>
      </c>
      <c r="U5319">
        <v>0.23507690000000001</v>
      </c>
      <c r="V5319">
        <v>2.3315849999999999E-2</v>
      </c>
      <c r="W5319">
        <v>0.18350659999999999</v>
      </c>
      <c r="X5319">
        <v>0.98274189999999995</v>
      </c>
      <c r="Y5319">
        <v>7.0889250000000001E-2</v>
      </c>
      <c r="Z5319">
        <v>-1.14422E-2</v>
      </c>
      <c r="AA5319">
        <v>0.99741860000000004</v>
      </c>
      <c r="AB5319">
        <v>33</v>
      </c>
      <c r="AC5319">
        <v>15.8148</v>
      </c>
      <c r="AD5319">
        <v>-1.1164365358519901</v>
      </c>
      <c r="AE5319">
        <v>1.1950699999999901</v>
      </c>
      <c r="AF5319">
        <v>1.13759353753128</v>
      </c>
      <c r="AG5319">
        <v>-1.1164365358519901</v>
      </c>
      <c r="AH5319">
        <v>15.740632730627601</v>
      </c>
      <c r="AI5319">
        <v>94.046507436997103</v>
      </c>
      <c r="AJ5319">
        <v>85.866355299756407</v>
      </c>
      <c r="AK5319">
        <v>15.8211272782859</v>
      </c>
      <c r="AL5319">
        <v>79.425923328668702</v>
      </c>
      <c r="AM5319">
        <v>88.640895203017095</v>
      </c>
      <c r="AN5319">
        <v>0.99999997156019504</v>
      </c>
    </row>
    <row r="5320" spans="1:40" x14ac:dyDescent="0.25">
      <c r="A5320" t="str">
        <f>"20190303170643142"</f>
        <v>20190303170643142</v>
      </c>
      <c r="B5320" t="str">
        <f>"1551604003130748"</f>
        <v>1551604003130748</v>
      </c>
      <c r="C5320" t="s">
        <v>40</v>
      </c>
      <c r="D5320">
        <v>6.0080939999999998</v>
      </c>
      <c r="E5320">
        <v>0.52355870000000004</v>
      </c>
      <c r="F5320" t="s">
        <v>42</v>
      </c>
      <c r="G5320">
        <v>-269.69830000000002</v>
      </c>
      <c r="H5320">
        <v>1.051336</v>
      </c>
      <c r="I5320">
        <v>-63.044629999999998</v>
      </c>
      <c r="J5320">
        <v>-270.44009999999997</v>
      </c>
      <c r="K5320">
        <v>1.1161730000000001</v>
      </c>
      <c r="L5320">
        <v>-63.08746</v>
      </c>
      <c r="M5320">
        <v>0.98953970000000002</v>
      </c>
      <c r="N5320">
        <v>-1.082287E-2</v>
      </c>
      <c r="O5320">
        <v>0.14385410000000001</v>
      </c>
      <c r="P5320">
        <v>0.97763060000000002</v>
      </c>
      <c r="Q5320">
        <v>0.17249439999999999</v>
      </c>
      <c r="R5320">
        <v>0.1203507</v>
      </c>
      <c r="S5320">
        <v>3.0806580000000001</v>
      </c>
      <c r="T5320">
        <v>-0.21856419999999999</v>
      </c>
      <c r="U5320">
        <v>0.22381590000000001</v>
      </c>
      <c r="V5320">
        <v>2.3542299999999999E-2</v>
      </c>
      <c r="W5320">
        <v>0.18289630000000001</v>
      </c>
      <c r="X5320">
        <v>0.98285029999999995</v>
      </c>
      <c r="Y5320">
        <v>7.1316470000000007E-2</v>
      </c>
      <c r="Z5320">
        <v>-1.1490999999999999E-2</v>
      </c>
      <c r="AA5320">
        <v>0.99738749999999998</v>
      </c>
      <c r="AB5320">
        <v>33</v>
      </c>
      <c r="AC5320">
        <v>0.74179999999995505</v>
      </c>
      <c r="AD5320">
        <v>-6.4836999999999798E-2</v>
      </c>
      <c r="AE5320">
        <v>4.2829999999994997E-2</v>
      </c>
      <c r="AF5320">
        <v>6.3846611727881905E-2</v>
      </c>
      <c r="AG5320">
        <v>-6.4836999999999798E-2</v>
      </c>
      <c r="AH5320">
        <v>0.73465137809650105</v>
      </c>
      <c r="AI5320">
        <v>95.024755417405999</v>
      </c>
      <c r="AJ5320">
        <v>85.033054909866195</v>
      </c>
      <c r="AK5320">
        <v>0.74026540763243798</v>
      </c>
      <c r="AL5320">
        <v>79.461493295603503</v>
      </c>
      <c r="AM5320">
        <v>88.627851518822496</v>
      </c>
      <c r="AN5320">
        <v>1.00000000432653</v>
      </c>
    </row>
    <row r="5321" spans="1:40" x14ac:dyDescent="0.25">
      <c r="A5321" t="str">
        <f>"20190303170643159"</f>
        <v>20190303170643159</v>
      </c>
      <c r="B5321" t="str">
        <f>"1551604003150267"</f>
        <v>1551604003150267</v>
      </c>
      <c r="C5321" t="s">
        <v>40</v>
      </c>
      <c r="D5321">
        <v>6.026046</v>
      </c>
      <c r="E5321">
        <v>0.52309189999999905</v>
      </c>
      <c r="F5321" t="s">
        <v>109</v>
      </c>
      <c r="G5321">
        <v>-254.86250000000001</v>
      </c>
      <c r="H5321" s="1">
        <v>-1.5815119999999999E-6</v>
      </c>
      <c r="I5321">
        <v>-61.99971</v>
      </c>
      <c r="J5321">
        <v>-270.20359999999999</v>
      </c>
      <c r="K5321">
        <v>1.1158779999999999</v>
      </c>
      <c r="L5321">
        <v>-63.057040000000001</v>
      </c>
      <c r="M5321">
        <v>0.99018090000000003</v>
      </c>
      <c r="N5321">
        <v>-1.081464E-2</v>
      </c>
      <c r="O5321">
        <v>0.13937330000000001</v>
      </c>
      <c r="P5321">
        <v>0.97805379999999997</v>
      </c>
      <c r="Q5321">
        <v>0.17235410000000001</v>
      </c>
      <c r="R5321">
        <v>0.1170677</v>
      </c>
      <c r="S5321">
        <v>3.0811160000000002</v>
      </c>
      <c r="T5321">
        <v>-0.2207702</v>
      </c>
      <c r="U5321">
        <v>0.2151489</v>
      </c>
      <c r="V5321">
        <v>2.2523930000000001E-2</v>
      </c>
      <c r="W5321">
        <v>0.18274489999999999</v>
      </c>
      <c r="X5321">
        <v>0.98290230000000001</v>
      </c>
      <c r="Y5321">
        <v>6.9606390000000004E-2</v>
      </c>
      <c r="Z5321">
        <v>-1.128065E-2</v>
      </c>
      <c r="AA5321">
        <v>0.99751069999999997</v>
      </c>
      <c r="AB5321">
        <v>33</v>
      </c>
      <c r="AC5321">
        <v>15.3410999999999</v>
      </c>
      <c r="AD5321">
        <v>-1.115879581512</v>
      </c>
      <c r="AE5321">
        <v>1.0573300000000001</v>
      </c>
      <c r="AF5321">
        <v>1.0855393076336699</v>
      </c>
      <c r="AG5321">
        <v>-1.115879581512</v>
      </c>
      <c r="AH5321">
        <v>15.2583766944405</v>
      </c>
      <c r="AI5321">
        <v>94.172215616913803</v>
      </c>
      <c r="AJ5321">
        <v>85.930615402306799</v>
      </c>
      <c r="AK5321">
        <v>15.3375891905572</v>
      </c>
      <c r="AL5321">
        <v>79.4703163079446</v>
      </c>
      <c r="AM5321">
        <v>88.687254776204</v>
      </c>
      <c r="AN5321">
        <v>0.99999997862197199</v>
      </c>
    </row>
    <row r="5322" spans="1:40" x14ac:dyDescent="0.25">
      <c r="A5322" t="str">
        <f>"20190303170643169"</f>
        <v>20190303170643169</v>
      </c>
      <c r="B5322" t="str">
        <f>"1551604003160028"</f>
        <v>1551604003160028</v>
      </c>
      <c r="C5322" t="s">
        <v>40</v>
      </c>
      <c r="D5322">
        <v>6.0233549999999996</v>
      </c>
      <c r="E5322">
        <v>0.52283630000000003</v>
      </c>
      <c r="F5322" t="s">
        <v>109</v>
      </c>
      <c r="G5322">
        <v>-254.5909</v>
      </c>
      <c r="H5322" s="1">
        <v>-1.4657249999999901E-6</v>
      </c>
      <c r="I5322">
        <v>-62.002899999999997</v>
      </c>
      <c r="J5322">
        <v>-270.03930000000003</v>
      </c>
      <c r="K5322">
        <v>1.1156999999999999</v>
      </c>
      <c r="L5322">
        <v>-63.036560000000001</v>
      </c>
      <c r="M5322">
        <v>0.99062139999999999</v>
      </c>
      <c r="N5322">
        <v>-1.0808669999999999E-2</v>
      </c>
      <c r="O5322">
        <v>0.13620789999999999</v>
      </c>
      <c r="P5322">
        <v>0.978213</v>
      </c>
      <c r="Q5322">
        <v>0.1723837</v>
      </c>
      <c r="R5322">
        <v>0.11568680000000001</v>
      </c>
      <c r="S5322">
        <v>3.081207</v>
      </c>
      <c r="T5322">
        <v>-0.22022269999999999</v>
      </c>
      <c r="U5322">
        <v>0.20803830000000001</v>
      </c>
      <c r="V5322">
        <v>2.0846400000000001E-2</v>
      </c>
      <c r="W5322">
        <v>0.1827801</v>
      </c>
      <c r="X5322">
        <v>0.98293280000000005</v>
      </c>
      <c r="Y5322">
        <v>6.8721909999999997E-2</v>
      </c>
      <c r="Z5322">
        <v>-1.1026070000000001E-2</v>
      </c>
      <c r="AA5322">
        <v>0.99757490000000004</v>
      </c>
      <c r="AB5322">
        <v>34</v>
      </c>
      <c r="AC5322">
        <v>15.448399999999999</v>
      </c>
      <c r="AD5322">
        <v>-1.115701465725</v>
      </c>
      <c r="AE5322">
        <v>1.03365999999999</v>
      </c>
      <c r="AF5322">
        <v>1.0747108193967001</v>
      </c>
      <c r="AG5322">
        <v>-1.115701465725</v>
      </c>
      <c r="AH5322">
        <v>15.3654219131472</v>
      </c>
      <c r="AI5322">
        <v>94.142939717382006</v>
      </c>
      <c r="AJ5322">
        <v>85.999050606898095</v>
      </c>
      <c r="AK5322">
        <v>15.443315177609101</v>
      </c>
      <c r="AL5322">
        <v>79.468265315288704</v>
      </c>
      <c r="AM5322">
        <v>88.7850321950568</v>
      </c>
      <c r="AN5322">
        <v>1.0000000133324001</v>
      </c>
    </row>
    <row r="5323" spans="1:40" x14ac:dyDescent="0.25">
      <c r="A5323" t="str">
        <f>"20190303170643179"</f>
        <v>20190303170643179</v>
      </c>
      <c r="B5323" t="str">
        <f>"1551604003170764"</f>
        <v>1551604003170764</v>
      </c>
      <c r="C5323" t="s">
        <v>40</v>
      </c>
      <c r="D5323">
        <v>6.0022549999999999</v>
      </c>
      <c r="E5323">
        <v>0.52257969999999998</v>
      </c>
      <c r="F5323" t="s">
        <v>42</v>
      </c>
      <c r="G5323">
        <v>-269.1001</v>
      </c>
      <c r="H5323">
        <v>1.0485469999999999</v>
      </c>
      <c r="I5323">
        <v>-62.974260000000001</v>
      </c>
      <c r="J5323">
        <v>-269.87790000000001</v>
      </c>
      <c r="K5323">
        <v>1.115534</v>
      </c>
      <c r="L5323">
        <v>-63.01688</v>
      </c>
      <c r="M5323">
        <v>0.9910487</v>
      </c>
      <c r="N5323">
        <v>-1.0802610000000001E-2</v>
      </c>
      <c r="O5323">
        <v>0.1330634</v>
      </c>
      <c r="P5323">
        <v>0.97838429999999998</v>
      </c>
      <c r="Q5323">
        <v>0.1724203</v>
      </c>
      <c r="R5323">
        <v>0.114173</v>
      </c>
      <c r="S5323">
        <v>3.0814210000000002</v>
      </c>
      <c r="T5323">
        <v>-0.22016189999999999</v>
      </c>
      <c r="U5323">
        <v>0.20468140000000001</v>
      </c>
      <c r="V5323">
        <v>1.9315240000000001E-2</v>
      </c>
      <c r="W5323">
        <v>0.18282319999999999</v>
      </c>
      <c r="X5323">
        <v>0.9829561</v>
      </c>
      <c r="Y5323">
        <v>6.6654190000000002E-2</v>
      </c>
      <c r="Z5323">
        <v>-1.0750320000000001E-2</v>
      </c>
      <c r="AA5323">
        <v>0.9977182</v>
      </c>
      <c r="AB5323">
        <v>34</v>
      </c>
      <c r="AC5323">
        <v>0.77780000000001304</v>
      </c>
      <c r="AD5323">
        <v>-6.6987000000000102E-2</v>
      </c>
      <c r="AE5323">
        <v>4.26200000000065E-2</v>
      </c>
      <c r="AF5323">
        <v>6.0812078313660901E-2</v>
      </c>
      <c r="AG5323">
        <v>-6.6987000000000102E-2</v>
      </c>
      <c r="AH5323">
        <v>0.77085359022518996</v>
      </c>
      <c r="AI5323">
        <v>94.951207260205905</v>
      </c>
      <c r="AJ5323">
        <v>85.489319636257406</v>
      </c>
      <c r="AK5323">
        <v>0.77614471885138203</v>
      </c>
      <c r="AL5323">
        <v>79.465753910009298</v>
      </c>
      <c r="AM5323">
        <v>88.874273912351597</v>
      </c>
      <c r="AN5323">
        <v>1.0000000477408499</v>
      </c>
    </row>
    <row r="5324" spans="1:40" x14ac:dyDescent="0.25">
      <c r="A5324" t="str">
        <f>"20190303170643192"</f>
        <v>20190303170643192</v>
      </c>
      <c r="B5324" t="str">
        <f>"1551604003180525"</f>
        <v>1551604003180525</v>
      </c>
      <c r="C5324" t="s">
        <v>40</v>
      </c>
      <c r="D5324">
        <v>6.0826599999999997</v>
      </c>
      <c r="E5324">
        <v>0.52249639999999997</v>
      </c>
      <c r="F5324" t="s">
        <v>109</v>
      </c>
      <c r="G5324">
        <v>-254.21379999999999</v>
      </c>
      <c r="H5324" s="1">
        <v>-1.302514E-6</v>
      </c>
      <c r="I5324">
        <v>-61.996580000000002</v>
      </c>
      <c r="J5324">
        <v>-269.70490000000001</v>
      </c>
      <c r="K5324">
        <v>1.1153850000000001</v>
      </c>
      <c r="L5324">
        <v>-62.996609999999997</v>
      </c>
      <c r="M5324">
        <v>0.99150139999999998</v>
      </c>
      <c r="N5324">
        <v>-1.079695E-2</v>
      </c>
      <c r="O5324">
        <v>0.1296476</v>
      </c>
      <c r="P5324">
        <v>0.97858880000000004</v>
      </c>
      <c r="Q5324">
        <v>0.17245489999999999</v>
      </c>
      <c r="R5324">
        <v>0.1123542</v>
      </c>
      <c r="S5324">
        <v>3.0814819999999998</v>
      </c>
      <c r="T5324">
        <v>-0.2194506</v>
      </c>
      <c r="U5324">
        <v>0.20071410000000001</v>
      </c>
      <c r="V5324">
        <v>1.781508E-2</v>
      </c>
      <c r="W5324">
        <v>0.18286540000000001</v>
      </c>
      <c r="X5324">
        <v>0.98297659999999998</v>
      </c>
      <c r="Y5324">
        <v>6.4511460000000007E-2</v>
      </c>
      <c r="Z5324">
        <v>-1.0421990000000001E-2</v>
      </c>
      <c r="AA5324">
        <v>0.99786249999999999</v>
      </c>
      <c r="AB5324">
        <v>34</v>
      </c>
      <c r="AC5324">
        <v>15.491099999999999</v>
      </c>
      <c r="AD5324">
        <v>-1.1153863025139901</v>
      </c>
      <c r="AE5324">
        <v>1.00002999999999</v>
      </c>
      <c r="AF5324">
        <v>1.01168893094544</v>
      </c>
      <c r="AG5324">
        <v>-1.1153863025139901</v>
      </c>
      <c r="AH5324">
        <v>15.4104408891403</v>
      </c>
      <c r="AI5324">
        <v>94.130908659674404</v>
      </c>
      <c r="AJ5324">
        <v>86.243946134973001</v>
      </c>
      <c r="AK5324">
        <v>15.483839623766499</v>
      </c>
      <c r="AL5324">
        <v>79.463294740254497</v>
      </c>
      <c r="AM5324">
        <v>88.961707572918996</v>
      </c>
      <c r="AN5324">
        <v>1.0000000638700599</v>
      </c>
    </row>
    <row r="5325" spans="1:40" x14ac:dyDescent="0.25">
      <c r="A5325" t="str">
        <f>"20190303170643202"</f>
        <v>20190303170643202</v>
      </c>
      <c r="B5325" t="str">
        <f>"1551604003190284"</f>
        <v>1551604003190284</v>
      </c>
      <c r="C5325" t="s">
        <v>40</v>
      </c>
      <c r="D5325">
        <v>6.0027809999999997</v>
      </c>
      <c r="E5325">
        <v>0.52234069999999999</v>
      </c>
      <c r="F5325" t="s">
        <v>42</v>
      </c>
      <c r="G5325">
        <v>-268.7971</v>
      </c>
      <c r="H5325">
        <v>1.0508740000000001</v>
      </c>
      <c r="I5325">
        <v>-62.939039999999999</v>
      </c>
      <c r="J5325">
        <v>-269.53769999999997</v>
      </c>
      <c r="K5325">
        <v>1.115254</v>
      </c>
      <c r="L5325">
        <v>-62.977290000000004</v>
      </c>
      <c r="M5325">
        <v>0.99192899999999995</v>
      </c>
      <c r="N5325">
        <v>-1.079106E-2</v>
      </c>
      <c r="O5325">
        <v>0.12633530000000001</v>
      </c>
      <c r="P5325">
        <v>0.97880659999999997</v>
      </c>
      <c r="Q5325">
        <v>0.172652799999999</v>
      </c>
      <c r="R5325">
        <v>0.110131199999999</v>
      </c>
      <c r="S5325">
        <v>3.0817570000000001</v>
      </c>
      <c r="T5325">
        <v>-0.21899160000000001</v>
      </c>
      <c r="U5325">
        <v>0.19549559999999999</v>
      </c>
      <c r="V5325">
        <v>1.681788E-2</v>
      </c>
      <c r="W5325">
        <v>0.18306600000000001</v>
      </c>
      <c r="X5325">
        <v>0.98295679999999996</v>
      </c>
      <c r="Y5325">
        <v>6.2879379999999999E-2</v>
      </c>
      <c r="Z5325">
        <v>-1.0134789999999999E-2</v>
      </c>
      <c r="AA5325">
        <v>0.99796969999999996</v>
      </c>
      <c r="AB5325">
        <v>34</v>
      </c>
      <c r="AC5325">
        <v>0.74059999999997195</v>
      </c>
      <c r="AD5325">
        <v>-6.4380000000000104E-2</v>
      </c>
      <c r="AE5325">
        <v>3.8249999999997897E-2</v>
      </c>
      <c r="AF5325">
        <v>5.5209776245174202E-2</v>
      </c>
      <c r="AG5325">
        <v>-6.4380000000000104E-2</v>
      </c>
      <c r="AH5325">
        <v>0.73396628982475198</v>
      </c>
      <c r="AI5325">
        <v>94.998830310931496</v>
      </c>
      <c r="AJ5325">
        <v>85.6982477351428</v>
      </c>
      <c r="AK5325">
        <v>0.73885006489284</v>
      </c>
      <c r="AL5325">
        <v>79.451603560536597</v>
      </c>
      <c r="AM5325">
        <v>89.019794628577301</v>
      </c>
      <c r="AN5325">
        <v>1.0000000360549599</v>
      </c>
    </row>
    <row r="5326" spans="1:40" x14ac:dyDescent="0.25">
      <c r="A5326" t="str">
        <f>"20190303170643214"</f>
        <v>20190303170643214</v>
      </c>
      <c r="B5326" t="str">
        <f>"1551604003200044"</f>
        <v>1551604003200044</v>
      </c>
      <c r="C5326" t="s">
        <v>40</v>
      </c>
      <c r="D5326">
        <v>5.992445</v>
      </c>
      <c r="E5326">
        <v>0.52211549999999995</v>
      </c>
      <c r="F5326" t="s">
        <v>109</v>
      </c>
      <c r="G5326">
        <v>-253.75620000000001</v>
      </c>
      <c r="H5326" s="1">
        <v>-1.107393E-6</v>
      </c>
      <c r="I5326">
        <v>-62.001849999999997</v>
      </c>
      <c r="J5326">
        <v>-269.37029999999999</v>
      </c>
      <c r="K5326">
        <v>1.1151519999999999</v>
      </c>
      <c r="L5326">
        <v>-62.958979999999997</v>
      </c>
      <c r="M5326">
        <v>0.99234979999999995</v>
      </c>
      <c r="N5326">
        <v>-1.078671E-2</v>
      </c>
      <c r="O5326">
        <v>0.1229852</v>
      </c>
      <c r="P5326">
        <v>0.97914710000000005</v>
      </c>
      <c r="Q5326">
        <v>0.17254359999999999</v>
      </c>
      <c r="R5326">
        <v>0.107237</v>
      </c>
      <c r="S5326">
        <v>3.081909</v>
      </c>
      <c r="T5326">
        <v>-0.21779380000000001</v>
      </c>
      <c r="U5326">
        <v>0.19049070000000001</v>
      </c>
      <c r="V5326">
        <v>1.644893E-2</v>
      </c>
      <c r="W5326">
        <v>0.18295400000000001</v>
      </c>
      <c r="X5326">
        <v>0.98298390000000002</v>
      </c>
      <c r="Y5326">
        <v>6.1142380000000003E-2</v>
      </c>
      <c r="Z5326">
        <v>-9.8058280000000008E-3</v>
      </c>
      <c r="AA5326">
        <v>0.99808090000000005</v>
      </c>
      <c r="AB5326">
        <v>34</v>
      </c>
      <c r="AC5326">
        <v>15.614099999999899</v>
      </c>
      <c r="AD5326">
        <v>-1.1151531073929899</v>
      </c>
      <c r="AE5326">
        <v>0.95713000000000603</v>
      </c>
      <c r="AF5326">
        <v>0.96564490447637596</v>
      </c>
      <c r="AG5326">
        <v>-1.1151531073929899</v>
      </c>
      <c r="AH5326">
        <v>15.5343311472402</v>
      </c>
      <c r="AI5326">
        <v>94.098128893617698</v>
      </c>
      <c r="AJ5326">
        <v>86.442957341537607</v>
      </c>
      <c r="AK5326">
        <v>15.6042135568118</v>
      </c>
      <c r="AL5326">
        <v>79.458130975764007</v>
      </c>
      <c r="AM5326">
        <v>89.041320703289998</v>
      </c>
      <c r="AN5326">
        <v>1.00000004053667</v>
      </c>
    </row>
    <row r="5327" spans="1:40" x14ac:dyDescent="0.25">
      <c r="A5327" t="str">
        <f>"20190303170643225"</f>
        <v>20190303170643225</v>
      </c>
      <c r="B5327" t="str">
        <f>"1551604003220539"</f>
        <v>1551604003220539</v>
      </c>
      <c r="C5327" t="s">
        <v>40</v>
      </c>
      <c r="D5327">
        <v>5.9898509999999998</v>
      </c>
      <c r="E5327">
        <v>0.52171420000000002</v>
      </c>
      <c r="F5327" t="s">
        <v>109</v>
      </c>
      <c r="G5327">
        <v>-253.61</v>
      </c>
      <c r="H5327" s="1">
        <v>-1.047902E-6</v>
      </c>
      <c r="I5327">
        <v>-62.016289999999998</v>
      </c>
      <c r="J5327">
        <v>-269.19979999999998</v>
      </c>
      <c r="K5327">
        <v>1.115054</v>
      </c>
      <c r="L5327">
        <v>-62.940579999999997</v>
      </c>
      <c r="M5327">
        <v>0.99276730000000002</v>
      </c>
      <c r="N5327">
        <v>-1.078197E-2</v>
      </c>
      <c r="O5327">
        <v>0.1195695</v>
      </c>
      <c r="P5327">
        <v>0.97961279999999995</v>
      </c>
      <c r="Q5327">
        <v>0.1719734</v>
      </c>
      <c r="R5327">
        <v>0.10384589999999901</v>
      </c>
      <c r="S5327">
        <v>3.0821230000000002</v>
      </c>
      <c r="T5327">
        <v>-0.21808330000000001</v>
      </c>
      <c r="U5327">
        <v>0.18435670000000001</v>
      </c>
      <c r="V5327">
        <v>1.6516960000000001E-2</v>
      </c>
      <c r="W5327">
        <v>0.18237590000000001</v>
      </c>
      <c r="X5327">
        <v>0.98309020000000003</v>
      </c>
      <c r="Y5327">
        <v>5.9699750000000003E-2</v>
      </c>
      <c r="Z5327">
        <v>-9.5596159999999999E-3</v>
      </c>
      <c r="AA5327">
        <v>0.99817060000000002</v>
      </c>
      <c r="AB5327">
        <v>34</v>
      </c>
      <c r="AC5327">
        <v>15.589799999999901</v>
      </c>
      <c r="AD5327">
        <v>-1.1150550479020001</v>
      </c>
      <c r="AE5327">
        <v>0.92428999999999895</v>
      </c>
      <c r="AF5327">
        <v>0.94171398527097205</v>
      </c>
      <c r="AG5327">
        <v>-1.1150550479020001</v>
      </c>
      <c r="AH5327">
        <v>15.509401732173499</v>
      </c>
      <c r="AI5327">
        <v>94.104695228155407</v>
      </c>
      <c r="AJ5327">
        <v>86.5253285897453</v>
      </c>
      <c r="AK5327">
        <v>15.577923965659</v>
      </c>
      <c r="AL5327">
        <v>79.491820691481607</v>
      </c>
      <c r="AM5327">
        <v>89.037460581546</v>
      </c>
      <c r="AN5327">
        <v>1.0000000601022401</v>
      </c>
    </row>
    <row r="5328" spans="1:40" x14ac:dyDescent="0.25">
      <c r="A5328" t="str">
        <f>"20190303170643237"</f>
        <v>20190303170643237</v>
      </c>
      <c r="B5328" t="str">
        <f>"1551604003230300"</f>
        <v>1551604003230300</v>
      </c>
      <c r="C5328" t="s">
        <v>40</v>
      </c>
      <c r="D5328">
        <v>6.0068830000000002</v>
      </c>
      <c r="E5328">
        <v>0.52155739999999995</v>
      </c>
      <c r="F5328" t="s">
        <v>42</v>
      </c>
      <c r="G5328">
        <v>-268.19979999999998</v>
      </c>
      <c r="H5328">
        <v>1.0437540000000001</v>
      </c>
      <c r="I5328">
        <v>-62.882980000000003</v>
      </c>
      <c r="J5328">
        <v>-269.01960000000003</v>
      </c>
      <c r="K5328">
        <v>1.114973</v>
      </c>
      <c r="L5328">
        <v>-62.922060000000002</v>
      </c>
      <c r="M5328">
        <v>0.99319690000000005</v>
      </c>
      <c r="N5328">
        <v>-1.077814E-2</v>
      </c>
      <c r="O5328">
        <v>0.1159475</v>
      </c>
      <c r="P5328">
        <v>0.98010750000000002</v>
      </c>
      <c r="Q5328">
        <v>0.17121040000000001</v>
      </c>
      <c r="R5328">
        <v>0.1003807</v>
      </c>
      <c r="S5328">
        <v>3.0821839999999998</v>
      </c>
      <c r="T5328">
        <v>-0.21976219999999999</v>
      </c>
      <c r="U5328">
        <v>0.17764279999999999</v>
      </c>
      <c r="V5328">
        <v>1.6449140000000001E-2</v>
      </c>
      <c r="W5328">
        <v>0.1816093</v>
      </c>
      <c r="X5328">
        <v>0.98323320000000003</v>
      </c>
      <c r="Y5328">
        <v>5.8231070000000003E-2</v>
      </c>
      <c r="Z5328">
        <v>-9.3646509999999999E-3</v>
      </c>
      <c r="AA5328">
        <v>0.99825920000000001</v>
      </c>
      <c r="AB5328">
        <v>34</v>
      </c>
      <c r="AC5328">
        <v>0.81980000000004305</v>
      </c>
      <c r="AD5328">
        <v>-7.1218999999999894E-2</v>
      </c>
      <c r="AE5328">
        <v>3.9079999999991302E-2</v>
      </c>
      <c r="AF5328">
        <v>5.5822551388087498E-2</v>
      </c>
      <c r="AG5328">
        <v>-7.1218999999999894E-2</v>
      </c>
      <c r="AH5328">
        <v>0.81268214949458795</v>
      </c>
      <c r="AI5328">
        <v>94.996578879636203</v>
      </c>
      <c r="AJ5328">
        <v>86.0705663986557</v>
      </c>
      <c r="AK5328">
        <v>0.81770445719197304</v>
      </c>
      <c r="AL5328">
        <v>79.536489173105295</v>
      </c>
      <c r="AM5328">
        <v>89.041551498399201</v>
      </c>
      <c r="AN5328">
        <v>1.00000001881773</v>
      </c>
    </row>
    <row r="5329" spans="1:40" x14ac:dyDescent="0.25">
      <c r="A5329" t="str">
        <f>"20190303170643248"</f>
        <v>20190303170643248</v>
      </c>
      <c r="B5329" t="str">
        <f>"1551604003240060"</f>
        <v>1551604003240060</v>
      </c>
      <c r="C5329" t="s">
        <v>40</v>
      </c>
      <c r="D5329">
        <v>5.9999099999999999</v>
      </c>
      <c r="E5329">
        <v>0.52143079999999997</v>
      </c>
      <c r="F5329" t="s">
        <v>109</v>
      </c>
      <c r="G5329">
        <v>-253.53980000000001</v>
      </c>
      <c r="H5329" s="1">
        <v>-1.0315129999999999E-6</v>
      </c>
      <c r="I5329">
        <v>-62.07808</v>
      </c>
      <c r="J5329">
        <v>-268.85039999999998</v>
      </c>
      <c r="K5329">
        <v>1.1149039999999999</v>
      </c>
      <c r="L5329">
        <v>-62.905119999999997</v>
      </c>
      <c r="M5329">
        <v>0.99358849999999999</v>
      </c>
      <c r="N5329">
        <v>-1.077494E-2</v>
      </c>
      <c r="O5329">
        <v>0.1125425</v>
      </c>
      <c r="P5329">
        <v>0.98043689999999994</v>
      </c>
      <c r="Q5329">
        <v>0.17071420000000001</v>
      </c>
      <c r="R5329">
        <v>9.7980090000000006E-2</v>
      </c>
      <c r="S5329">
        <v>3.0824579999999999</v>
      </c>
      <c r="T5329">
        <v>-0.22202230000000001</v>
      </c>
      <c r="U5329">
        <v>0.1680603</v>
      </c>
      <c r="V5329">
        <v>1.55184E-2</v>
      </c>
      <c r="W5329">
        <v>0.18112159999999999</v>
      </c>
      <c r="X5329">
        <v>0.98333820000000005</v>
      </c>
      <c r="Y5329">
        <v>5.7906729999999997E-2</v>
      </c>
      <c r="Z5329">
        <v>-9.2511899999999994E-3</v>
      </c>
      <c r="AA5329">
        <v>0.99827920000000003</v>
      </c>
      <c r="AB5329">
        <v>34</v>
      </c>
      <c r="AC5329">
        <v>15.3105999999999</v>
      </c>
      <c r="AD5329">
        <v>-1.114905031513</v>
      </c>
      <c r="AE5329">
        <v>0.82703999999998901</v>
      </c>
      <c r="AF5329">
        <v>0.89666722468134896</v>
      </c>
      <c r="AG5329">
        <v>-1.114905031513</v>
      </c>
      <c r="AH5329">
        <v>15.2258992201127</v>
      </c>
      <c r="AI5329">
        <v>94.180748396249598</v>
      </c>
      <c r="AJ5329">
        <v>86.629691425780393</v>
      </c>
      <c r="AK5329">
        <v>15.292973301557099</v>
      </c>
      <c r="AL5329">
        <v>79.564902672398404</v>
      </c>
      <c r="AM5329">
        <v>89.095870553768094</v>
      </c>
      <c r="AN5329">
        <v>0.999999935152178</v>
      </c>
    </row>
    <row r="5330" spans="1:40" x14ac:dyDescent="0.25">
      <c r="A5330" t="str">
        <f>"20190303170643258"</f>
        <v>20190303170643258</v>
      </c>
      <c r="B5330" t="str">
        <f>"1551604003249820"</f>
        <v>1551604003249820</v>
      </c>
      <c r="C5330" t="s">
        <v>40</v>
      </c>
      <c r="D5330">
        <v>6.0183720000000003</v>
      </c>
      <c r="E5330">
        <v>0.52132309999999904</v>
      </c>
      <c r="F5330" t="s">
        <v>42</v>
      </c>
      <c r="G5330">
        <v>-267.89580000000001</v>
      </c>
      <c r="H5330">
        <v>1.0456019999999999</v>
      </c>
      <c r="I5330">
        <v>-62.855589999999999</v>
      </c>
      <c r="J5330">
        <v>-268.69290000000001</v>
      </c>
      <c r="K5330">
        <v>1.1148499999999999</v>
      </c>
      <c r="L5330">
        <v>-62.889919999999996</v>
      </c>
      <c r="M5330">
        <v>0.9939424</v>
      </c>
      <c r="N5330">
        <v>-1.0772520000000001E-2</v>
      </c>
      <c r="O5330">
        <v>0.1093725</v>
      </c>
      <c r="P5330">
        <v>0.98056279999999996</v>
      </c>
      <c r="Q5330">
        <v>0.17125860000000001</v>
      </c>
      <c r="R5330">
        <v>9.5745620000000004E-2</v>
      </c>
      <c r="S5330">
        <v>3.082703</v>
      </c>
      <c r="T5330">
        <v>-0.22334870000000001</v>
      </c>
      <c r="U5330">
        <v>0.1607056</v>
      </c>
      <c r="V5330">
        <v>1.4642820000000001E-2</v>
      </c>
      <c r="W5330">
        <v>0.1816731</v>
      </c>
      <c r="X5330">
        <v>0.98324999999999996</v>
      </c>
      <c r="Y5330">
        <v>5.7104969999999998E-2</v>
      </c>
      <c r="Z5330">
        <v>-9.0851319999999992E-3</v>
      </c>
      <c r="AA5330">
        <v>0.99832679999999996</v>
      </c>
      <c r="AB5330">
        <v>34</v>
      </c>
      <c r="AC5330">
        <v>0.79710000000000003</v>
      </c>
      <c r="AD5330">
        <v>-6.9247999999999699E-2</v>
      </c>
      <c r="AE5330">
        <v>3.4329999999997002E-2</v>
      </c>
      <c r="AF5330">
        <v>5.2665118125304798E-2</v>
      </c>
      <c r="AG5330">
        <v>-6.9247999999999699E-2</v>
      </c>
      <c r="AH5330">
        <v>0.79012028673565504</v>
      </c>
      <c r="AI5330">
        <v>94.997705350546497</v>
      </c>
      <c r="AJ5330">
        <v>86.1866158975063</v>
      </c>
      <c r="AK5330">
        <v>0.79489557029989</v>
      </c>
      <c r="AL5330">
        <v>79.532772141379098</v>
      </c>
      <c r="AM5330">
        <v>89.146799112988305</v>
      </c>
      <c r="AN5330">
        <v>1.0000000449705799</v>
      </c>
    </row>
    <row r="5331" spans="1:40" x14ac:dyDescent="0.25">
      <c r="A5331" t="str">
        <f>"20190303170643270"</f>
        <v>20190303170643270</v>
      </c>
      <c r="B5331" t="str">
        <f>"1551604003260556"</f>
        <v>1551604003260556</v>
      </c>
      <c r="C5331" t="s">
        <v>40</v>
      </c>
      <c r="D5331">
        <v>5.977347</v>
      </c>
      <c r="E5331">
        <v>0.52132309999999904</v>
      </c>
      <c r="F5331" t="s">
        <v>109</v>
      </c>
      <c r="G5331">
        <v>-253.16370000000001</v>
      </c>
      <c r="H5331" s="1">
        <v>-8.7886640000000005E-7</v>
      </c>
      <c r="I5331">
        <v>-62.117220000000003</v>
      </c>
      <c r="J5331">
        <v>-268.5247</v>
      </c>
      <c r="K5331">
        <v>1.1147929999999999</v>
      </c>
      <c r="L5331">
        <v>-62.87433</v>
      </c>
      <c r="M5331">
        <v>0.99430879999999999</v>
      </c>
      <c r="N5331">
        <v>-1.077067E-2</v>
      </c>
      <c r="O5331">
        <v>0.1059905</v>
      </c>
      <c r="P5331">
        <v>0.98064229999999997</v>
      </c>
      <c r="Q5331">
        <v>0.1722921</v>
      </c>
      <c r="R5331">
        <v>9.3040579999999998E-2</v>
      </c>
      <c r="S5331">
        <v>3.0831300000000001</v>
      </c>
      <c r="T5331">
        <v>-0.22134029999999999</v>
      </c>
      <c r="U5331">
        <v>0.15341189999999999</v>
      </c>
      <c r="V5331">
        <v>1.402719E-2</v>
      </c>
      <c r="W5331">
        <v>0.18271019999999999</v>
      </c>
      <c r="X5331">
        <v>0.98306669999999996</v>
      </c>
      <c r="Y5331">
        <v>5.6087749999999999E-2</v>
      </c>
      <c r="Z5331">
        <v>-8.7490740000000008E-3</v>
      </c>
      <c r="AA5331">
        <v>0.99838749999999998</v>
      </c>
      <c r="AB5331">
        <v>34</v>
      </c>
      <c r="AC5331">
        <v>15.360999999999899</v>
      </c>
      <c r="AD5331">
        <v>-1.1147938788664</v>
      </c>
      <c r="AE5331">
        <v>0.75711000000001105</v>
      </c>
      <c r="AF5331">
        <v>0.87079449716071</v>
      </c>
      <c r="AG5331">
        <v>-1.1147938788664</v>
      </c>
      <c r="AH5331">
        <v>15.274461533349999</v>
      </c>
      <c r="AI5331">
        <v>94.167540527934307</v>
      </c>
      <c r="AJ5331">
        <v>86.7371090650675</v>
      </c>
      <c r="AK5331">
        <v>15.339824757226999</v>
      </c>
      <c r="AL5331">
        <v>79.4723382981512</v>
      </c>
      <c r="AM5331">
        <v>89.182512999339494</v>
      </c>
      <c r="AN5331">
        <v>0.99999995794611196</v>
      </c>
    </row>
    <row r="5332" spans="1:40" x14ac:dyDescent="0.25">
      <c r="A5332" t="str">
        <f>"20190303170643282"</f>
        <v>20190303170643282</v>
      </c>
      <c r="B5332" t="str">
        <f>"1551604003270316"</f>
        <v>1551604003270316</v>
      </c>
      <c r="C5332" t="s">
        <v>40</v>
      </c>
      <c r="D5332">
        <v>5.9836289999999996</v>
      </c>
      <c r="E5332">
        <v>0.51713959999999903</v>
      </c>
      <c r="F5332" t="s">
        <v>42</v>
      </c>
      <c r="G5332">
        <v>-267.59019999999998</v>
      </c>
      <c r="H5332">
        <v>1.048664</v>
      </c>
      <c r="I5332">
        <v>-62.830590000000001</v>
      </c>
      <c r="J5332">
        <v>-268.34199999999998</v>
      </c>
      <c r="K5332">
        <v>1.1147450000000001</v>
      </c>
      <c r="L5332">
        <v>-62.857819999999997</v>
      </c>
      <c r="M5332">
        <v>0.99469379999999996</v>
      </c>
      <c r="N5332">
        <v>-1.0768990000000001E-2</v>
      </c>
      <c r="O5332">
        <v>0.102316</v>
      </c>
      <c r="P5332">
        <v>0.98069010000000001</v>
      </c>
      <c r="Q5332">
        <v>0.1738171</v>
      </c>
      <c r="R5332">
        <v>8.9636170000000001E-2</v>
      </c>
      <c r="S5332">
        <v>3.083771</v>
      </c>
      <c r="T5332">
        <v>-0.21801609999999999</v>
      </c>
      <c r="U5332">
        <v>0.14456179999999999</v>
      </c>
      <c r="V5332">
        <v>1.3824329999999999E-2</v>
      </c>
      <c r="W5332">
        <v>0.18423220000000001</v>
      </c>
      <c r="X5332">
        <v>0.98278549999999998</v>
      </c>
      <c r="Y5332">
        <v>5.5287999999999997E-2</v>
      </c>
      <c r="Z5332">
        <v>-8.3536889999999992E-3</v>
      </c>
      <c r="AA5332">
        <v>0.99843550000000003</v>
      </c>
      <c r="AB5332">
        <v>34</v>
      </c>
      <c r="AC5332">
        <v>0.75180000000000202</v>
      </c>
      <c r="AD5332">
        <v>-6.6081000000000001E-2</v>
      </c>
      <c r="AE5332">
        <v>2.7229999999995799E-2</v>
      </c>
      <c r="AF5332">
        <v>4.9456941057115698E-2</v>
      </c>
      <c r="AG5332">
        <v>-6.6081000000000001E-2</v>
      </c>
      <c r="AH5332">
        <v>0.74489286085565898</v>
      </c>
      <c r="AI5332">
        <v>95.058477791768993</v>
      </c>
      <c r="AJ5332">
        <v>86.201438806314897</v>
      </c>
      <c r="AK5332">
        <v>0.74945184083665795</v>
      </c>
      <c r="AL5332">
        <v>79.383628471055502</v>
      </c>
      <c r="AM5332">
        <v>89.194103364128907</v>
      </c>
      <c r="AN5332">
        <v>0.99999997731351897</v>
      </c>
    </row>
    <row r="5333" spans="1:40" x14ac:dyDescent="0.25">
      <c r="A5333" t="str">
        <f>"20190303170643293"</f>
        <v>20190303170643293</v>
      </c>
      <c r="B5333" t="str">
        <f>"1551604003280075"</f>
        <v>1551604003280075</v>
      </c>
      <c r="C5333" t="s">
        <v>40</v>
      </c>
      <c r="D5333">
        <v>5.9803499999999996</v>
      </c>
      <c r="E5333">
        <v>0.51730350000000003</v>
      </c>
      <c r="F5333" t="s">
        <v>109</v>
      </c>
      <c r="G5333">
        <v>-251.7911</v>
      </c>
      <c r="H5333" s="1">
        <v>-2.5434630000000002E-7</v>
      </c>
      <c r="I5333">
        <v>-61.956829999999997</v>
      </c>
      <c r="J5333">
        <v>-268.16669999999999</v>
      </c>
      <c r="K5333">
        <v>1.114711</v>
      </c>
      <c r="L5333">
        <v>-62.842959999999998</v>
      </c>
      <c r="M5333">
        <v>0.99504890000000001</v>
      </c>
      <c r="N5333">
        <v>-1.076833E-2</v>
      </c>
      <c r="O5333">
        <v>9.8802249999999994E-2</v>
      </c>
      <c r="P5333">
        <v>0.98072789999999999</v>
      </c>
      <c r="Q5333">
        <v>0.17571600000000001</v>
      </c>
      <c r="R5333">
        <v>8.5422070000000003E-2</v>
      </c>
      <c r="S5333">
        <v>3.080505</v>
      </c>
      <c r="T5333">
        <v>-0.207479</v>
      </c>
      <c r="U5333">
        <v>0.16769410000000001</v>
      </c>
      <c r="V5333">
        <v>1.458837E-2</v>
      </c>
      <c r="W5333">
        <v>0.186115</v>
      </c>
      <c r="X5333">
        <v>0.98241970000000001</v>
      </c>
      <c r="Y5333">
        <v>4.4298509999999999E-2</v>
      </c>
      <c r="Z5333">
        <v>-7.2933519999999899E-3</v>
      </c>
      <c r="AA5333">
        <v>0.99899170000000004</v>
      </c>
      <c r="AB5333">
        <v>34</v>
      </c>
      <c r="AC5333">
        <v>16.375599999999899</v>
      </c>
      <c r="AD5333">
        <v>-1.1147112543463</v>
      </c>
      <c r="AE5333">
        <v>0.88612999999999398</v>
      </c>
      <c r="AF5333">
        <v>0.73286011590732503</v>
      </c>
      <c r="AG5333">
        <v>-1.1147112543463</v>
      </c>
      <c r="AH5333">
        <v>16.307678340194599</v>
      </c>
      <c r="AI5333">
        <v>93.9064395146452</v>
      </c>
      <c r="AJ5333">
        <v>87.426883342896403</v>
      </c>
      <c r="AK5333">
        <v>16.3621526083002</v>
      </c>
      <c r="AL5333">
        <v>79.273854173024702</v>
      </c>
      <c r="AM5333">
        <v>89.1492530102487</v>
      </c>
      <c r="AN5333">
        <v>1.00000004035617</v>
      </c>
    </row>
    <row r="5334" spans="1:40" x14ac:dyDescent="0.25">
      <c r="A5334" t="str">
        <f>"20190303170643307"</f>
        <v>20190303170643307</v>
      </c>
      <c r="B5334" t="str">
        <f>"1551604003300572"</f>
        <v>1551604003300572</v>
      </c>
      <c r="C5334" t="s">
        <v>40</v>
      </c>
      <c r="D5334">
        <v>5.9772360000000004</v>
      </c>
      <c r="E5334">
        <v>0.51668789999999998</v>
      </c>
      <c r="F5334" t="s">
        <v>109</v>
      </c>
      <c r="G5334">
        <v>-251.19900000000001</v>
      </c>
      <c r="H5334" s="1">
        <v>-7.325923E-9</v>
      </c>
      <c r="I5334">
        <v>-61.98818</v>
      </c>
      <c r="J5334">
        <v>-267.97550000000001</v>
      </c>
      <c r="K5334">
        <v>1.114679</v>
      </c>
      <c r="L5334">
        <v>-62.827120000000001</v>
      </c>
      <c r="M5334">
        <v>0.99542160000000002</v>
      </c>
      <c r="N5334">
        <v>-1.076761E-2</v>
      </c>
      <c r="O5334">
        <v>9.4973440000000006E-2</v>
      </c>
      <c r="P5334">
        <v>0.98085560000000005</v>
      </c>
      <c r="Q5334">
        <v>0.17724529999999999</v>
      </c>
      <c r="R5334">
        <v>8.0663109999999996E-2</v>
      </c>
      <c r="S5334">
        <v>3.0816650000000001</v>
      </c>
      <c r="T5334">
        <v>-0.20245289999999999</v>
      </c>
      <c r="U5334">
        <v>0.15524289999999999</v>
      </c>
      <c r="V5334">
        <v>1.559051E-2</v>
      </c>
      <c r="W5334">
        <v>0.18762429999999999</v>
      </c>
      <c r="X5334">
        <v>0.98211709999999997</v>
      </c>
      <c r="Y5334">
        <v>4.4520209999999998E-2</v>
      </c>
      <c r="Z5334">
        <v>-6.8951180000000004E-3</v>
      </c>
      <c r="AA5334">
        <v>0.99898469999999995</v>
      </c>
      <c r="AB5334">
        <v>34</v>
      </c>
      <c r="AC5334">
        <v>16.776499999999999</v>
      </c>
      <c r="AD5334">
        <v>-1.1146790073259201</v>
      </c>
      <c r="AE5334">
        <v>0.83893999999998603</v>
      </c>
      <c r="AF5334">
        <v>0.75494235810588906</v>
      </c>
      <c r="AG5334">
        <v>-1.1146790073259201</v>
      </c>
      <c r="AH5334">
        <v>16.706769133690599</v>
      </c>
      <c r="AI5334">
        <v>93.813248859515099</v>
      </c>
      <c r="AJ5334">
        <v>87.412689119558607</v>
      </c>
      <c r="AK5334">
        <v>16.760924262697301</v>
      </c>
      <c r="AL5334">
        <v>79.185826254477107</v>
      </c>
      <c r="AM5334">
        <v>89.090540831437707</v>
      </c>
      <c r="AN5334">
        <v>0.99999997003247898</v>
      </c>
    </row>
    <row r="5335" spans="1:40" x14ac:dyDescent="0.25">
      <c r="A5335" t="str">
        <f>"20190303170643318"</f>
        <v>20190303170643318</v>
      </c>
      <c r="B5335" t="str">
        <f>"1551604003310333"</f>
        <v>1551604003310333</v>
      </c>
      <c r="C5335" t="s">
        <v>40</v>
      </c>
      <c r="D5335">
        <v>5.9646610000000004</v>
      </c>
      <c r="E5335">
        <v>0.51616459999999997</v>
      </c>
      <c r="F5335" t="s">
        <v>109</v>
      </c>
      <c r="G5335">
        <v>-250.2003</v>
      </c>
      <c r="H5335" s="1">
        <v>4.2301659999999999E-7</v>
      </c>
      <c r="I5335">
        <v>-61.979649999999999</v>
      </c>
      <c r="J5335">
        <v>-267.7919</v>
      </c>
      <c r="K5335">
        <v>1.114654</v>
      </c>
      <c r="L5335">
        <v>-62.812809999999999</v>
      </c>
      <c r="M5335">
        <v>0.99576439999999999</v>
      </c>
      <c r="N5335">
        <v>-1.076732E-2</v>
      </c>
      <c r="O5335">
        <v>9.1310649999999993E-2</v>
      </c>
      <c r="P5335">
        <v>0.98111709999999996</v>
      </c>
      <c r="Q5335">
        <v>0.17768979999999901</v>
      </c>
      <c r="R5335">
        <v>7.6393230000000006E-2</v>
      </c>
      <c r="S5335">
        <v>3.0813899999999999</v>
      </c>
      <c r="T5335">
        <v>-0.19323290000000001</v>
      </c>
      <c r="U5335">
        <v>0.1469116</v>
      </c>
      <c r="V5335">
        <v>1.626507E-2</v>
      </c>
      <c r="W5335">
        <v>0.1880571</v>
      </c>
      <c r="X5335">
        <v>0.98202339999999999</v>
      </c>
      <c r="Y5335">
        <v>4.3566140000000003E-2</v>
      </c>
      <c r="Z5335">
        <v>-6.3235519999999996E-3</v>
      </c>
      <c r="AA5335">
        <v>0.99903050000000004</v>
      </c>
      <c r="AB5335">
        <v>34</v>
      </c>
      <c r="AC5335">
        <v>17.5916</v>
      </c>
      <c r="AD5335">
        <v>-1.1146535769833901</v>
      </c>
      <c r="AE5335">
        <v>0.83315999999999901</v>
      </c>
      <c r="AF5335">
        <v>0.77361527141106101</v>
      </c>
      <c r="AG5335">
        <v>-1.1146535769833901</v>
      </c>
      <c r="AH5335">
        <v>17.523983916203299</v>
      </c>
      <c r="AI5335">
        <v>93.635995826957796</v>
      </c>
      <c r="AJ5335">
        <v>87.472256921068094</v>
      </c>
      <c r="AK5335">
        <v>17.5764315343074</v>
      </c>
      <c r="AL5335">
        <v>79.160579468948001</v>
      </c>
      <c r="AM5335">
        <v>89.051107477020395</v>
      </c>
      <c r="AN5335">
        <v>0.99999999175503695</v>
      </c>
    </row>
    <row r="5336" spans="1:40" x14ac:dyDescent="0.25">
      <c r="A5336" t="str">
        <f>"20190303170643331"</f>
        <v>20190303170643331</v>
      </c>
      <c r="B5336" t="str">
        <f>"1551604003320092"</f>
        <v>1551604003320092</v>
      </c>
      <c r="C5336" t="s">
        <v>40</v>
      </c>
      <c r="D5336">
        <v>5.9830290000000002</v>
      </c>
      <c r="E5336">
        <v>0.51591390000000004</v>
      </c>
      <c r="F5336" t="s">
        <v>108</v>
      </c>
      <c r="G5336">
        <v>-249.70320000000001</v>
      </c>
      <c r="H5336" s="1">
        <v>-3.462506E-6</v>
      </c>
      <c r="I5336">
        <v>-61.998150000000003</v>
      </c>
      <c r="J5336">
        <v>-267.61399999999998</v>
      </c>
      <c r="K5336">
        <v>1.114633</v>
      </c>
      <c r="L5336">
        <v>-62.79956</v>
      </c>
      <c r="M5336">
        <v>0.99608209999999997</v>
      </c>
      <c r="N5336">
        <v>-1.076701E-2</v>
      </c>
      <c r="O5336">
        <v>8.7775259999999994E-2</v>
      </c>
      <c r="P5336">
        <v>0.98147359999999995</v>
      </c>
      <c r="Q5336">
        <v>0.17718320000000001</v>
      </c>
      <c r="R5336">
        <v>7.2911299999999998E-2</v>
      </c>
      <c r="S5336">
        <v>3.0813290000000002</v>
      </c>
      <c r="T5336">
        <v>-0.18987760000000001</v>
      </c>
      <c r="U5336">
        <v>0.13876340000000001</v>
      </c>
      <c r="V5336">
        <v>1.6273760000000002E-2</v>
      </c>
      <c r="W5336">
        <v>0.1875503</v>
      </c>
      <c r="X5336">
        <v>0.9821202</v>
      </c>
      <c r="Y5336">
        <v>4.2669579999999999E-2</v>
      </c>
      <c r="Z5336">
        <v>-5.9907469999999899E-3</v>
      </c>
      <c r="AA5336">
        <v>0.9990713</v>
      </c>
      <c r="AB5336">
        <v>34</v>
      </c>
      <c r="AC5336">
        <v>17.910799999999998</v>
      </c>
      <c r="AD5336">
        <v>-1.1146364625059999</v>
      </c>
      <c r="AE5336">
        <v>0.80140999999999696</v>
      </c>
      <c r="AF5336">
        <v>0.77092010816265299</v>
      </c>
      <c r="AG5336">
        <v>-1.1146364625059999</v>
      </c>
      <c r="AH5336">
        <v>17.843043474887502</v>
      </c>
      <c r="AI5336">
        <v>93.571240052358604</v>
      </c>
      <c r="AJ5336">
        <v>87.5260378306739</v>
      </c>
      <c r="AK5336">
        <v>17.894438597045799</v>
      </c>
      <c r="AL5336">
        <v>79.190143302550098</v>
      </c>
      <c r="AM5336">
        <v>89.050694159257702</v>
      </c>
      <c r="AN5336">
        <v>1.00000001877133</v>
      </c>
    </row>
    <row r="5337" spans="1:40" x14ac:dyDescent="0.25">
      <c r="A5337" t="str">
        <f>"20190303170643342"</f>
        <v>20190303170643342</v>
      </c>
      <c r="B5337" t="str">
        <f>"1551604003329852"</f>
        <v>1551604003329852</v>
      </c>
      <c r="C5337" t="s">
        <v>40</v>
      </c>
      <c r="D5337">
        <v>5.9502879999999996</v>
      </c>
      <c r="E5337">
        <v>0.51560929999999905</v>
      </c>
      <c r="F5337" t="s">
        <v>108</v>
      </c>
      <c r="G5337">
        <v>-249.81489999999999</v>
      </c>
      <c r="H5337" s="1">
        <v>-3.509491E-6</v>
      </c>
      <c r="I5337">
        <v>-62.0488199999999</v>
      </c>
      <c r="J5337">
        <v>-267.42200000000003</v>
      </c>
      <c r="K5337">
        <v>1.1146160000000001</v>
      </c>
      <c r="L5337">
        <v>-62.785739999999997</v>
      </c>
      <c r="M5337">
        <v>0.99641040000000003</v>
      </c>
      <c r="N5337">
        <v>-1.0766670000000001E-2</v>
      </c>
      <c r="O5337">
        <v>8.3967609999999998E-2</v>
      </c>
      <c r="P5337">
        <v>0.9819369</v>
      </c>
      <c r="Q5337">
        <v>0.17590140000000001</v>
      </c>
      <c r="R5337">
        <v>6.9704500000000003E-2</v>
      </c>
      <c r="S5337">
        <v>3.0817869999999998</v>
      </c>
      <c r="T5337">
        <v>-0.19299169999999999</v>
      </c>
      <c r="U5337">
        <v>0.12997439999999999</v>
      </c>
      <c r="V5337">
        <v>1.5736469999999999E-2</v>
      </c>
      <c r="W5337">
        <v>0.186278</v>
      </c>
      <c r="X5337">
        <v>0.98237099999999999</v>
      </c>
      <c r="Y5337">
        <v>4.1701509999999997E-2</v>
      </c>
      <c r="Z5337">
        <v>-5.868491E-3</v>
      </c>
      <c r="AA5337">
        <v>0.99911289999999997</v>
      </c>
      <c r="AB5337">
        <v>34</v>
      </c>
      <c r="AC5337">
        <v>17.607099999999999</v>
      </c>
      <c r="AD5337">
        <v>-1.1146195094910001</v>
      </c>
      <c r="AE5337">
        <v>0.73692000000001201</v>
      </c>
      <c r="AF5337">
        <v>0.74122911825554905</v>
      </c>
      <c r="AG5337">
        <v>-1.1146195094910001</v>
      </c>
      <c r="AH5337">
        <v>17.5366381882694</v>
      </c>
      <c r="AI5337">
        <v>93.633561990690197</v>
      </c>
      <c r="AJ5337">
        <v>87.579693682348207</v>
      </c>
      <c r="AK5337">
        <v>17.587651241793399</v>
      </c>
      <c r="AL5337">
        <v>79.264347815689106</v>
      </c>
      <c r="AM5337">
        <v>89.082265044087706</v>
      </c>
      <c r="AN5337">
        <v>0.999999955706529</v>
      </c>
    </row>
    <row r="5338" spans="1:40" x14ac:dyDescent="0.25">
      <c r="A5338" t="str">
        <f>"20190303170643355"</f>
        <v>20190303170643355</v>
      </c>
      <c r="B5338" t="str">
        <f>"1551604003350348"</f>
        <v>1551604003350348</v>
      </c>
      <c r="C5338" t="s">
        <v>40</v>
      </c>
      <c r="D5338">
        <v>6.3796330000000001</v>
      </c>
      <c r="E5338">
        <v>0.51532299999999998</v>
      </c>
      <c r="F5338" t="s">
        <v>109</v>
      </c>
      <c r="G5338">
        <v>-250.13589999999999</v>
      </c>
      <c r="H5338" s="1">
        <v>4.2291760000000001E-7</v>
      </c>
      <c r="I5338">
        <v>-62.10436</v>
      </c>
      <c r="J5338">
        <v>-267.23829999999998</v>
      </c>
      <c r="K5338">
        <v>1.114606</v>
      </c>
      <c r="L5338">
        <v>-62.773589999999999</v>
      </c>
      <c r="M5338">
        <v>0.99670840000000005</v>
      </c>
      <c r="N5338">
        <v>-1.076644E-2</v>
      </c>
      <c r="O5338">
        <v>8.0352789999999993E-2</v>
      </c>
      <c r="P5338">
        <v>0.98233959999999998</v>
      </c>
      <c r="Q5338">
        <v>0.17462659999999999</v>
      </c>
      <c r="R5338">
        <v>6.7190860000000005E-2</v>
      </c>
      <c r="S5338">
        <v>3.0821529999999999</v>
      </c>
      <c r="T5338">
        <v>-0.1987389</v>
      </c>
      <c r="U5338">
        <v>0.1214905</v>
      </c>
      <c r="V5338">
        <v>1.468768E-2</v>
      </c>
      <c r="W5338">
        <v>0.18502089999999999</v>
      </c>
      <c r="X5338">
        <v>0.98262479999999996</v>
      </c>
      <c r="Y5338">
        <v>4.0821700000000002E-2</v>
      </c>
      <c r="Z5338">
        <v>-5.8368179999999997E-3</v>
      </c>
      <c r="AA5338">
        <v>0.99914939999999997</v>
      </c>
      <c r="AB5338">
        <v>34</v>
      </c>
      <c r="AC5338">
        <v>17.1023999999999</v>
      </c>
      <c r="AD5338">
        <v>-1.1146055770823999</v>
      </c>
      <c r="AE5338">
        <v>0.66923000000000599</v>
      </c>
      <c r="AF5338">
        <v>0.70425263679641903</v>
      </c>
      <c r="AG5338">
        <v>-1.1146055770823999</v>
      </c>
      <c r="AH5338">
        <v>17.028652585738101</v>
      </c>
      <c r="AI5338">
        <v>93.741747295913996</v>
      </c>
      <c r="AJ5338">
        <v>87.631772568987799</v>
      </c>
      <c r="AK5338">
        <v>17.079617274829701</v>
      </c>
      <c r="AL5338">
        <v>79.337648863317199</v>
      </c>
      <c r="AM5338">
        <v>89.143641184805006</v>
      </c>
      <c r="AN5338">
        <v>0.99999997947781505</v>
      </c>
    </row>
    <row r="5339" spans="1:40" x14ac:dyDescent="0.25">
      <c r="A5339" t="str">
        <f>"20190303170643371"</f>
        <v>20190303170643371</v>
      </c>
      <c r="B5339" t="str">
        <f>"1551604003360108"</f>
        <v>1551604003360108</v>
      </c>
      <c r="C5339" t="s">
        <v>40</v>
      </c>
      <c r="D5339">
        <v>5.9807009999999998</v>
      </c>
      <c r="E5339">
        <v>0.51625219999999905</v>
      </c>
      <c r="F5339" t="s">
        <v>109</v>
      </c>
      <c r="G5339">
        <v>-250.32810000000001</v>
      </c>
      <c r="H5339" s="1">
        <v>3.3167229999999998E-7</v>
      </c>
      <c r="I5339">
        <v>-62.143880000000003</v>
      </c>
      <c r="J5339">
        <v>-266.99430000000001</v>
      </c>
      <c r="K5339">
        <v>1.114598</v>
      </c>
      <c r="L5339">
        <v>-62.758180000000003</v>
      </c>
      <c r="M5339">
        <v>0.99708160000000001</v>
      </c>
      <c r="N5339">
        <v>-1.076592E-2</v>
      </c>
      <c r="O5339">
        <v>7.5580889999999998E-2</v>
      </c>
      <c r="P5339">
        <v>0.98268370000000005</v>
      </c>
      <c r="Q5339">
        <v>0.17370669999999999</v>
      </c>
      <c r="R5339">
        <v>6.4490619999999999E-2</v>
      </c>
      <c r="S5339">
        <v>3.082214</v>
      </c>
      <c r="T5339">
        <v>-0.2031589</v>
      </c>
      <c r="U5339">
        <v>0.11477660000000001</v>
      </c>
      <c r="V5339">
        <v>1.2678760000000001E-2</v>
      </c>
      <c r="W5339">
        <v>0.1841315</v>
      </c>
      <c r="X5339">
        <v>0.98281989999999997</v>
      </c>
      <c r="Y5339">
        <v>3.8216180000000002E-2</v>
      </c>
      <c r="Z5339">
        <v>-5.6195119999999897E-3</v>
      </c>
      <c r="AA5339">
        <v>0.99925370000000002</v>
      </c>
      <c r="AB5339">
        <v>34</v>
      </c>
      <c r="AC5339">
        <v>16.6662</v>
      </c>
      <c r="AD5339">
        <v>-1.1145976683276999</v>
      </c>
      <c r="AE5339">
        <v>0.61429999999999996</v>
      </c>
      <c r="AF5339">
        <v>0.64429867795028495</v>
      </c>
      <c r="AG5339">
        <v>-1.1145976683276999</v>
      </c>
      <c r="AH5339">
        <v>16.590851648995201</v>
      </c>
      <c r="AI5339">
        <v>93.840552661566406</v>
      </c>
      <c r="AJ5339">
        <v>87.776060278307298</v>
      </c>
      <c r="AK5339">
        <v>16.640727363538499</v>
      </c>
      <c r="AL5339">
        <v>79.389499447442901</v>
      </c>
      <c r="AM5339">
        <v>89.260903097860904</v>
      </c>
      <c r="AN5339">
        <v>1.0000000580416899</v>
      </c>
    </row>
    <row r="5340" spans="1:40" x14ac:dyDescent="0.25">
      <c r="A5340" t="str">
        <f>"20190303170643384"</f>
        <v>20190303170643384</v>
      </c>
      <c r="B5340" t="str">
        <f>"1551604003369867"</f>
        <v>1551604003369867</v>
      </c>
      <c r="C5340" t="s">
        <v>40</v>
      </c>
      <c r="D5340">
        <v>5.9815630000000004</v>
      </c>
      <c r="E5340">
        <v>0.51711700000000005</v>
      </c>
      <c r="F5340" t="s">
        <v>109</v>
      </c>
      <c r="G5340">
        <v>-250.79679999999999</v>
      </c>
      <c r="H5340" s="1">
        <v>1.0850600000000001E-7</v>
      </c>
      <c r="I5340">
        <v>-62.243180000000002</v>
      </c>
      <c r="J5340">
        <v>-266.79640000000001</v>
      </c>
      <c r="K5340">
        <v>1.114611</v>
      </c>
      <c r="L5340">
        <v>-62.746369999999999</v>
      </c>
      <c r="M5340">
        <v>0.99736550000000002</v>
      </c>
      <c r="N5340">
        <v>-1.076538E-2</v>
      </c>
      <c r="O5340">
        <v>7.1735049999999995E-2</v>
      </c>
      <c r="P5340">
        <v>0.98270290000000005</v>
      </c>
      <c r="Q5340">
        <v>0.17496149999999999</v>
      </c>
      <c r="R5340">
        <v>6.0690460000000002E-2</v>
      </c>
      <c r="S5340">
        <v>3.083923</v>
      </c>
      <c r="T5340">
        <v>-0.21221400000000001</v>
      </c>
      <c r="U5340">
        <v>9.8052979999999998E-2</v>
      </c>
      <c r="V5340">
        <v>1.2686360000000001E-2</v>
      </c>
      <c r="W5340">
        <v>0.1853841</v>
      </c>
      <c r="X5340">
        <v>0.98258420000000002</v>
      </c>
      <c r="Y5340">
        <v>3.9777109999999997E-2</v>
      </c>
      <c r="Z5340">
        <v>-5.7337069999999898E-3</v>
      </c>
      <c r="AA5340">
        <v>0.99919210000000003</v>
      </c>
      <c r="AB5340">
        <v>34</v>
      </c>
      <c r="AC5340">
        <v>15.999599999999999</v>
      </c>
      <c r="AD5340">
        <v>-1.1146108914940001</v>
      </c>
      <c r="AE5340">
        <v>0.50318999999999603</v>
      </c>
      <c r="AF5340">
        <v>0.64278876870770096</v>
      </c>
      <c r="AG5340">
        <v>-1.1146108914940001</v>
      </c>
      <c r="AH5340">
        <v>15.917300722871699</v>
      </c>
      <c r="AI5340">
        <v>94.002353631422693</v>
      </c>
      <c r="AJ5340">
        <v>87.687479578325394</v>
      </c>
      <c r="AK5340">
        <v>15.9692203047909</v>
      </c>
      <c r="AL5340">
        <v>79.316472476503904</v>
      </c>
      <c r="AM5340">
        <v>89.260282732502901</v>
      </c>
      <c r="AN5340">
        <v>0.99999995917624895</v>
      </c>
    </row>
    <row r="5341" spans="1:40" x14ac:dyDescent="0.25">
      <c r="A5341" t="str">
        <f>"20190303170643395"</f>
        <v>20190303170643395</v>
      </c>
      <c r="B5341" t="str">
        <f>"1551604003380604"</f>
        <v>1551604003380604</v>
      </c>
      <c r="C5341" t="s">
        <v>40</v>
      </c>
      <c r="D5341">
        <v>5.9293079999999998</v>
      </c>
      <c r="E5341">
        <v>0.51833419999999997</v>
      </c>
      <c r="F5341" t="s">
        <v>42</v>
      </c>
      <c r="G5341">
        <v>-265.76780000000002</v>
      </c>
      <c r="H5341">
        <v>1.0459099999999999</v>
      </c>
      <c r="I5341">
        <v>-62.71969</v>
      </c>
      <c r="J5341">
        <v>-266.62619999999998</v>
      </c>
      <c r="K5341">
        <v>1.1146370000000001</v>
      </c>
      <c r="L5341">
        <v>-62.737119999999997</v>
      </c>
      <c r="M5341">
        <v>0.99759509999999996</v>
      </c>
      <c r="N5341">
        <v>-1.076413E-2</v>
      </c>
      <c r="O5341">
        <v>6.8471119999999996E-2</v>
      </c>
      <c r="P5341">
        <v>0.98264850000000004</v>
      </c>
      <c r="Q5341">
        <v>0.17641129999999999</v>
      </c>
      <c r="R5341">
        <v>5.728246E-2</v>
      </c>
      <c r="S5341">
        <v>3.0845340000000001</v>
      </c>
      <c r="T5341">
        <v>-0.2058586</v>
      </c>
      <c r="U5341">
        <v>8.0291749999999995E-2</v>
      </c>
      <c r="V5341">
        <v>1.287247E-2</v>
      </c>
      <c r="W5341">
        <v>0.18682760000000001</v>
      </c>
      <c r="X5341">
        <v>0.98230839999999997</v>
      </c>
      <c r="Y5341">
        <v>4.2275399999999998E-2</v>
      </c>
      <c r="Z5341">
        <v>-5.4600760000000003E-3</v>
      </c>
      <c r="AA5341">
        <v>0.99909110000000001</v>
      </c>
      <c r="AB5341">
        <v>34</v>
      </c>
      <c r="AC5341">
        <v>0.85839999999995997</v>
      </c>
      <c r="AD5341">
        <v>-6.8726999999999899E-2</v>
      </c>
      <c r="AE5341">
        <v>1.7429999999997298E-2</v>
      </c>
      <c r="AF5341">
        <v>4.1126399661636698E-2</v>
      </c>
      <c r="AG5341">
        <v>-6.8726999999999899E-2</v>
      </c>
      <c r="AH5341">
        <v>0.85211865999657299</v>
      </c>
      <c r="AI5341">
        <v>94.605829123345103</v>
      </c>
      <c r="AJ5341">
        <v>87.236837824945198</v>
      </c>
      <c r="AK5341">
        <v>0.85587440199627696</v>
      </c>
      <c r="AL5341">
        <v>79.232296100177095</v>
      </c>
      <c r="AM5341">
        <v>89.249221537886399</v>
      </c>
      <c r="AN5341">
        <v>1.0000000226581101</v>
      </c>
    </row>
    <row r="5342" spans="1:40" x14ac:dyDescent="0.25">
      <c r="A5342" t="str">
        <f>"20190303170643405"</f>
        <v>20190303170643405</v>
      </c>
      <c r="B5342" t="str">
        <f>"1551604003390364"</f>
        <v>1551604003390364</v>
      </c>
      <c r="C5342" t="s">
        <v>40</v>
      </c>
      <c r="D5342">
        <v>5.929341</v>
      </c>
      <c r="E5342">
        <v>0.51942349999999904</v>
      </c>
      <c r="F5342" t="s">
        <v>108</v>
      </c>
      <c r="G5342">
        <v>-249.3638</v>
      </c>
      <c r="H5342" s="1">
        <v>-3.417168E-6</v>
      </c>
      <c r="I5342">
        <v>-62.393839999999997</v>
      </c>
      <c r="J5342">
        <v>-266.4812</v>
      </c>
      <c r="K5342">
        <v>1.114662</v>
      </c>
      <c r="L5342">
        <v>-62.729340000000001</v>
      </c>
      <c r="M5342">
        <v>0.99778149999999999</v>
      </c>
      <c r="N5342">
        <v>-1.076307E-2</v>
      </c>
      <c r="O5342">
        <v>6.5699789999999994E-2</v>
      </c>
      <c r="P5342">
        <v>0.98253429999999997</v>
      </c>
      <c r="Q5342">
        <v>0.17801789999999901</v>
      </c>
      <c r="R5342">
        <v>5.4187449999999998E-2</v>
      </c>
      <c r="S5342">
        <v>3.0852050000000002</v>
      </c>
      <c r="T5342">
        <v>-0.1992128</v>
      </c>
      <c r="U5342">
        <v>6.1340329999999998E-2</v>
      </c>
      <c r="V5342">
        <v>1.3233470000000001E-2</v>
      </c>
      <c r="W5342">
        <v>0.18842519999999999</v>
      </c>
      <c r="X5342">
        <v>0.98199840000000005</v>
      </c>
      <c r="Y5342">
        <v>4.5649759999999998E-2</v>
      </c>
      <c r="Z5342">
        <v>-5.2456040000000001E-3</v>
      </c>
      <c r="AA5342">
        <v>0.99894369999999999</v>
      </c>
      <c r="AB5342">
        <v>34</v>
      </c>
      <c r="AC5342">
        <v>17.1174</v>
      </c>
      <c r="AD5342">
        <v>-1.1146654171679999</v>
      </c>
      <c r="AE5342">
        <v>0.33549999999999602</v>
      </c>
      <c r="AF5342">
        <v>0.78656543371725995</v>
      </c>
      <c r="AG5342">
        <v>-1.1146654171679999</v>
      </c>
      <c r="AH5342">
        <v>17.030267496783601</v>
      </c>
      <c r="AI5342">
        <v>93.7408066870059</v>
      </c>
      <c r="AJ5342">
        <v>87.355597883467695</v>
      </c>
      <c r="AK5342">
        <v>17.084822948621799</v>
      </c>
      <c r="AL5342">
        <v>79.139105290740204</v>
      </c>
      <c r="AM5342">
        <v>89.227925335167996</v>
      </c>
      <c r="AN5342">
        <v>1.0000000191629199</v>
      </c>
    </row>
    <row r="5343" spans="1:40" x14ac:dyDescent="0.25">
      <c r="A5343" t="str">
        <f>"20190303170643415"</f>
        <v>20190303170643415</v>
      </c>
      <c r="B5343" t="str">
        <f>"1551604003409884"</f>
        <v>1551604003409884</v>
      </c>
      <c r="C5343" t="s">
        <v>40</v>
      </c>
      <c r="D5343">
        <v>5.9117730000000002</v>
      </c>
      <c r="E5343">
        <v>0.52106669999999999</v>
      </c>
      <c r="F5343" t="s">
        <v>108</v>
      </c>
      <c r="G5343">
        <v>-248.51</v>
      </c>
      <c r="H5343" s="1">
        <v>-3.1404539999999998E-6</v>
      </c>
      <c r="I5343">
        <v>-62.471730000000001</v>
      </c>
      <c r="J5343">
        <v>-266.31380000000001</v>
      </c>
      <c r="K5343">
        <v>1.1147009999999999</v>
      </c>
      <c r="L5343">
        <v>-62.72119</v>
      </c>
      <c r="M5343">
        <v>0.99798390000000003</v>
      </c>
      <c r="N5343">
        <v>-1.076121E-2</v>
      </c>
      <c r="O5343">
        <v>6.2547279999999997E-2</v>
      </c>
      <c r="P5343">
        <v>0.98248809999999998</v>
      </c>
      <c r="Q5343">
        <v>0.17929400000000001</v>
      </c>
      <c r="R5343">
        <v>5.0703640000000001E-2</v>
      </c>
      <c r="S5343">
        <v>3.0856020000000002</v>
      </c>
      <c r="T5343">
        <v>-0.19138459999999999</v>
      </c>
      <c r="U5343">
        <v>4.4219969999999997E-2</v>
      </c>
      <c r="V5343">
        <v>1.3601729999999999E-2</v>
      </c>
      <c r="W5343">
        <v>0.18969269999999999</v>
      </c>
      <c r="X5343">
        <v>0.98174930000000005</v>
      </c>
      <c r="Y5343">
        <v>4.8052669999999999E-2</v>
      </c>
      <c r="Z5343">
        <v>-4.9478919999999997E-3</v>
      </c>
      <c r="AA5343">
        <v>0.99883250000000001</v>
      </c>
      <c r="AB5343">
        <v>34</v>
      </c>
      <c r="AC5343">
        <v>17.803799999999999</v>
      </c>
      <c r="AD5343">
        <v>-1.1147041404539999</v>
      </c>
      <c r="AE5343">
        <v>0.24945999999999199</v>
      </c>
      <c r="AF5343">
        <v>0.86129666038332997</v>
      </c>
      <c r="AG5343">
        <v>-1.1147041404539999</v>
      </c>
      <c r="AH5343">
        <v>17.715109261249001</v>
      </c>
      <c r="AI5343">
        <v>93.5962912760764</v>
      </c>
      <c r="AJ5343">
        <v>87.216509715923493</v>
      </c>
      <c r="AK5343">
        <v>17.771029609899401</v>
      </c>
      <c r="AL5343">
        <v>79.065149015484806</v>
      </c>
      <c r="AM5343">
        <v>89.206241486157694</v>
      </c>
      <c r="AN5343">
        <v>1.00000000777138</v>
      </c>
    </row>
    <row r="5344" spans="1:40" x14ac:dyDescent="0.25">
      <c r="A5344" t="str">
        <f>"20190303170643426"</f>
        <v>20190303170643426</v>
      </c>
      <c r="B5344" t="str">
        <f>"1551604003420620"</f>
        <v>1551604003420620</v>
      </c>
      <c r="C5344" t="s">
        <v>40</v>
      </c>
      <c r="D5344">
        <v>5.9437610000000003</v>
      </c>
      <c r="E5344">
        <v>0.52163970000000004</v>
      </c>
      <c r="F5344" t="s">
        <v>108</v>
      </c>
      <c r="G5344">
        <v>-247.45529999999999</v>
      </c>
      <c r="H5344" s="1">
        <v>-2.7737339999999999E-6</v>
      </c>
      <c r="I5344">
        <v>-62.594679999999997</v>
      </c>
      <c r="J5344">
        <v>-266.13929999999999</v>
      </c>
      <c r="K5344">
        <v>1.114744</v>
      </c>
      <c r="L5344">
        <v>-62.712980000000002</v>
      </c>
      <c r="M5344">
        <v>0.99818300000000004</v>
      </c>
      <c r="N5344">
        <v>-1.0759049999999999E-2</v>
      </c>
      <c r="O5344">
        <v>5.929094E-2</v>
      </c>
      <c r="P5344">
        <v>0.98264249999999997</v>
      </c>
      <c r="Q5344">
        <v>0.179291899999999</v>
      </c>
      <c r="R5344">
        <v>4.7630859999999997E-2</v>
      </c>
      <c r="S5344">
        <v>3.085693</v>
      </c>
      <c r="T5344">
        <v>-0.18239140000000001</v>
      </c>
      <c r="U5344">
        <v>2.0690920000000002E-2</v>
      </c>
      <c r="V5344">
        <v>1.3449320000000001E-2</v>
      </c>
      <c r="W5344">
        <v>0.18969179999999999</v>
      </c>
      <c r="X5344">
        <v>0.98175159999999995</v>
      </c>
      <c r="Y5344">
        <v>5.2422249999999997E-2</v>
      </c>
      <c r="Z5344">
        <v>-4.6922630000000003E-3</v>
      </c>
      <c r="AA5344">
        <v>0.998614</v>
      </c>
      <c r="AB5344">
        <v>34</v>
      </c>
      <c r="AC5344">
        <v>18.684000000000001</v>
      </c>
      <c r="AD5344">
        <v>-1.114746773734</v>
      </c>
      <c r="AE5344">
        <v>0.118299999999997</v>
      </c>
      <c r="AF5344">
        <v>0.986253307391737</v>
      </c>
      <c r="AG5344">
        <v>-1.114746773734</v>
      </c>
      <c r="AH5344">
        <v>18.5919617524751</v>
      </c>
      <c r="AI5344">
        <v>93.426456898588398</v>
      </c>
      <c r="AJ5344">
        <v>86.963459952808904</v>
      </c>
      <c r="AK5344">
        <v>18.651444924224698</v>
      </c>
      <c r="AL5344">
        <v>79.065201821710303</v>
      </c>
      <c r="AM5344">
        <v>89.215136422525504</v>
      </c>
      <c r="AN5344">
        <v>1.0000000336491299</v>
      </c>
    </row>
    <row r="5345" spans="1:40" x14ac:dyDescent="0.25">
      <c r="A5345" t="str">
        <f>"20190303170643438"</f>
        <v>20190303170643438</v>
      </c>
      <c r="B5345" t="str">
        <f>"1551604003430380"</f>
        <v>1551604003430380</v>
      </c>
      <c r="C5345" t="s">
        <v>40</v>
      </c>
      <c r="D5345">
        <v>5.9443970000000004</v>
      </c>
      <c r="E5345">
        <v>0.52207049999999999</v>
      </c>
      <c r="F5345" t="s">
        <v>108</v>
      </c>
      <c r="G5345">
        <v>-247.00309999999999</v>
      </c>
      <c r="H5345" s="1">
        <v>-2.6016120000000001E-6</v>
      </c>
      <c r="I5345">
        <v>-62.676769999999998</v>
      </c>
      <c r="J5345">
        <v>-265.96879999999999</v>
      </c>
      <c r="K5345">
        <v>1.114797</v>
      </c>
      <c r="L5345">
        <v>-62.705629999999999</v>
      </c>
      <c r="M5345">
        <v>0.99836360000000002</v>
      </c>
      <c r="N5345">
        <v>-1.075628E-2</v>
      </c>
      <c r="O5345">
        <v>5.6164409999999998E-2</v>
      </c>
      <c r="P5345">
        <v>0.98277510000000001</v>
      </c>
      <c r="Q5345">
        <v>0.17927499999999999</v>
      </c>
      <c r="R5345">
        <v>4.4873749999999997E-2</v>
      </c>
      <c r="S5345">
        <v>3.0855100000000002</v>
      </c>
      <c r="T5345">
        <v>-0.17974109999999999</v>
      </c>
      <c r="U5345">
        <v>5.8288569999999998E-3</v>
      </c>
      <c r="V5345">
        <v>1.3103780000000001E-2</v>
      </c>
      <c r="W5345">
        <v>0.18967870000000001</v>
      </c>
      <c r="X5345">
        <v>0.98175880000000004</v>
      </c>
      <c r="Y5345">
        <v>5.4109539999999998E-2</v>
      </c>
      <c r="Z5345">
        <v>-4.5296889999999999E-3</v>
      </c>
      <c r="AA5345">
        <v>0.99852470000000004</v>
      </c>
      <c r="AB5345">
        <v>34</v>
      </c>
      <c r="AC5345">
        <v>18.965699999999998</v>
      </c>
      <c r="AD5345">
        <v>-1.1147996016120001</v>
      </c>
      <c r="AE5345">
        <v>2.8860000000008702E-2</v>
      </c>
      <c r="AF5345">
        <v>1.0328758855178299</v>
      </c>
      <c r="AG5345">
        <v>-1.1147996016120001</v>
      </c>
      <c r="AH5345">
        <v>18.872176424607002</v>
      </c>
      <c r="AI5345">
        <v>93.375554370932605</v>
      </c>
      <c r="AJ5345">
        <v>86.867322279327297</v>
      </c>
      <c r="AK5345">
        <v>18.933268438073</v>
      </c>
      <c r="AL5345">
        <v>79.065966232819804</v>
      </c>
      <c r="AM5345">
        <v>89.235304323043394</v>
      </c>
      <c r="AN5345">
        <v>1.0000000298306999</v>
      </c>
    </row>
    <row r="5346" spans="1:40" x14ac:dyDescent="0.25">
      <c r="A5346" t="str">
        <f>"20190303170643448"</f>
        <v>20190303170643448</v>
      </c>
      <c r="B5346" t="str">
        <f>"1551604003440140"</f>
        <v>1551604003440140</v>
      </c>
      <c r="C5346" t="s">
        <v>40</v>
      </c>
      <c r="D5346">
        <v>5.935238</v>
      </c>
      <c r="E5346">
        <v>0.5224261</v>
      </c>
      <c r="F5346" t="s">
        <v>108</v>
      </c>
      <c r="G5346">
        <v>-246.6001</v>
      </c>
      <c r="H5346" s="1">
        <v>-2.4478379999999999E-6</v>
      </c>
      <c r="I5346">
        <v>-62.748669999999997</v>
      </c>
      <c r="J5346">
        <v>-265.80270000000002</v>
      </c>
      <c r="K5346">
        <v>1.114859</v>
      </c>
      <c r="L5346">
        <v>-62.698880000000003</v>
      </c>
      <c r="M5346">
        <v>0.99852719999999995</v>
      </c>
      <c r="N5346">
        <v>-1.075275E-2</v>
      </c>
      <c r="O5346">
        <v>5.3177509999999997E-2</v>
      </c>
      <c r="P5346">
        <v>0.98310500000000001</v>
      </c>
      <c r="Q5346">
        <v>0.1780553</v>
      </c>
      <c r="R5346">
        <v>4.2439640000000001E-2</v>
      </c>
      <c r="S5346">
        <v>3.0852970000000002</v>
      </c>
      <c r="T5346">
        <v>-0.1775794</v>
      </c>
      <c r="U5346">
        <v>-6.8664549999999996E-3</v>
      </c>
      <c r="V5346">
        <v>1.256227E-2</v>
      </c>
      <c r="W5346">
        <v>0.1884673</v>
      </c>
      <c r="X5346">
        <v>0.98199910000000001</v>
      </c>
      <c r="Y5346">
        <v>5.5236180000000003E-2</v>
      </c>
      <c r="Z5346">
        <v>-4.3710770000000001E-3</v>
      </c>
      <c r="AA5346">
        <v>0.99846369999999895</v>
      </c>
      <c r="AB5346">
        <v>34</v>
      </c>
      <c r="AC5346">
        <v>19.2026</v>
      </c>
      <c r="AD5346">
        <v>-1.1148614478379999</v>
      </c>
      <c r="AE5346">
        <v>-4.9789999999994401E-2</v>
      </c>
      <c r="AF5346">
        <v>1.06732738544064</v>
      </c>
      <c r="AG5346">
        <v>-1.1148614478379999</v>
      </c>
      <c r="AH5346">
        <v>19.1083703691789</v>
      </c>
      <c r="AI5346">
        <v>93.333902645944306</v>
      </c>
      <c r="AJ5346">
        <v>86.802978295353199</v>
      </c>
      <c r="AK5346">
        <v>19.170600459070101</v>
      </c>
      <c r="AL5346">
        <v>79.136648736187794</v>
      </c>
      <c r="AM5346">
        <v>89.267081005521703</v>
      </c>
      <c r="AN5346">
        <v>0.99999998309882598</v>
      </c>
    </row>
    <row r="5347" spans="1:40" x14ac:dyDescent="0.25">
      <c r="A5347" t="str">
        <f>"20190303170643459"</f>
        <v>20190303170643459</v>
      </c>
      <c r="B5347" t="str">
        <f>"1551604003449901"</f>
        <v>1551604003449901</v>
      </c>
      <c r="C5347" t="s">
        <v>40</v>
      </c>
      <c r="D5347">
        <v>5.9557640000000003</v>
      </c>
      <c r="E5347">
        <v>0.52271880000000004</v>
      </c>
      <c r="F5347" t="s">
        <v>108</v>
      </c>
      <c r="G5347">
        <v>-246.59039999999999</v>
      </c>
      <c r="H5347" s="1">
        <v>-2.4621769999999999E-6</v>
      </c>
      <c r="I5347">
        <v>-62.818179999999998</v>
      </c>
      <c r="J5347">
        <v>-265.63630000000001</v>
      </c>
      <c r="K5347">
        <v>1.1149279999999999</v>
      </c>
      <c r="L5347">
        <v>-62.692500000000003</v>
      </c>
      <c r="M5347">
        <v>0.99867950000000005</v>
      </c>
      <c r="N5347">
        <v>-1.074865E-2</v>
      </c>
      <c r="O5347">
        <v>5.023586E-2</v>
      </c>
      <c r="P5347">
        <v>0.98335969999999995</v>
      </c>
      <c r="Q5347">
        <v>0.17733160000000001</v>
      </c>
      <c r="R5347">
        <v>3.9462499999999998E-2</v>
      </c>
      <c r="S5347">
        <v>3.0848080000000002</v>
      </c>
      <c r="T5347">
        <v>-0.17900720000000001</v>
      </c>
      <c r="U5347">
        <v>-1.9165040000000001E-2</v>
      </c>
      <c r="V5347">
        <v>1.2605450000000001E-2</v>
      </c>
      <c r="W5347">
        <v>0.1877414</v>
      </c>
      <c r="X5347">
        <v>0.98213760000000006</v>
      </c>
      <c r="Y5347">
        <v>5.6274270000000001E-2</v>
      </c>
      <c r="Z5347">
        <v>-4.3061949999999996E-3</v>
      </c>
      <c r="AA5347">
        <v>0.99840609999999996</v>
      </c>
      <c r="AB5347">
        <v>34</v>
      </c>
      <c r="AC5347">
        <v>19.0459</v>
      </c>
      <c r="AD5347">
        <v>-1.114930462177</v>
      </c>
      <c r="AE5347">
        <v>-0.12568000000000201</v>
      </c>
      <c r="AF5347">
        <v>1.0786675265802299</v>
      </c>
      <c r="AG5347">
        <v>-1.114930462177</v>
      </c>
      <c r="AH5347">
        <v>18.950597865082202</v>
      </c>
      <c r="AI5347">
        <v>93.3616026716427</v>
      </c>
      <c r="AJ5347">
        <v>86.742240972210595</v>
      </c>
      <c r="AK5347">
        <v>19.013988351012699</v>
      </c>
      <c r="AL5347">
        <v>79.178995840577599</v>
      </c>
      <c r="AM5347">
        <v>89.264665735539296</v>
      </c>
      <c r="AN5347">
        <v>0.99999999798871098</v>
      </c>
    </row>
    <row r="5348" spans="1:40" x14ac:dyDescent="0.25">
      <c r="A5348" t="str">
        <f>"20190303170643471"</f>
        <v>20190303170643471</v>
      </c>
      <c r="B5348" t="str">
        <f>"1551604003460636"</f>
        <v>1551604003460636</v>
      </c>
      <c r="C5348" t="s">
        <v>40</v>
      </c>
      <c r="D5348">
        <v>5.9584729999999997</v>
      </c>
      <c r="E5348">
        <v>0.52290420000000004</v>
      </c>
      <c r="F5348" t="s">
        <v>108</v>
      </c>
      <c r="G5348">
        <v>-246.5489</v>
      </c>
      <c r="H5348" s="1">
        <v>-2.4631390000000002E-6</v>
      </c>
      <c r="I5348">
        <v>-62.888660000000002</v>
      </c>
      <c r="J5348">
        <v>-265.47219999999999</v>
      </c>
      <c r="K5348">
        <v>1.115016</v>
      </c>
      <c r="L5348">
        <v>-62.686770000000003</v>
      </c>
      <c r="M5348">
        <v>0.99881699999999995</v>
      </c>
      <c r="N5348">
        <v>-1.0743290000000001E-2</v>
      </c>
      <c r="O5348">
        <v>4.7426660000000002E-2</v>
      </c>
      <c r="P5348">
        <v>0.98343800000000003</v>
      </c>
      <c r="Q5348">
        <v>0.17756</v>
      </c>
      <c r="R5348">
        <v>3.6363800000000002E-2</v>
      </c>
      <c r="S5348">
        <v>3.0845030000000002</v>
      </c>
      <c r="T5348">
        <v>-0.18017169999999999</v>
      </c>
      <c r="U5348">
        <v>-3.1707760000000001E-2</v>
      </c>
      <c r="V5348">
        <v>1.289759E-2</v>
      </c>
      <c r="W5348">
        <v>0.18796289999999999</v>
      </c>
      <c r="X5348">
        <v>0.98209139999999995</v>
      </c>
      <c r="Y5348">
        <v>5.7524569999999997E-2</v>
      </c>
      <c r="Z5348">
        <v>-4.245876E-3</v>
      </c>
      <c r="AA5348">
        <v>0.99833510000000003</v>
      </c>
      <c r="AB5348">
        <v>34</v>
      </c>
      <c r="AC5348">
        <v>18.923299999999902</v>
      </c>
      <c r="AD5348">
        <v>-1.1150184631389899</v>
      </c>
      <c r="AE5348">
        <v>-0.20188999999999799</v>
      </c>
      <c r="AF5348">
        <v>1.0953808084222201</v>
      </c>
      <c r="AG5348">
        <v>-1.1150184631389899</v>
      </c>
      <c r="AH5348">
        <v>18.827069326750401</v>
      </c>
      <c r="AI5348">
        <v>93.383630032165897</v>
      </c>
      <c r="AJ5348">
        <v>86.670218625695298</v>
      </c>
      <c r="AK5348">
        <v>18.891841221089798</v>
      </c>
      <c r="AL5348">
        <v>79.1660743661715</v>
      </c>
      <c r="AM5348">
        <v>89.247590404014304</v>
      </c>
      <c r="AN5348">
        <v>0.99999995877908798</v>
      </c>
    </row>
    <row r="5349" spans="1:40" x14ac:dyDescent="0.25">
      <c r="A5349" t="str">
        <f>"20190303170643483"</f>
        <v>20190303170643483</v>
      </c>
      <c r="B5349" t="str">
        <f>"1551604003470396"</f>
        <v>1551604003470396</v>
      </c>
      <c r="C5349" t="s">
        <v>40</v>
      </c>
      <c r="D5349">
        <v>5.9743979999999999</v>
      </c>
      <c r="E5349">
        <v>0.52308829999999995</v>
      </c>
      <c r="F5349" t="s">
        <v>108</v>
      </c>
      <c r="G5349">
        <v>-246.12370000000001</v>
      </c>
      <c r="H5349" s="1">
        <v>-2.2980599999999998E-6</v>
      </c>
      <c r="I5349">
        <v>-62.953780000000002</v>
      </c>
      <c r="J5349">
        <v>-265.28469999999999</v>
      </c>
      <c r="K5349">
        <v>1.1151279999999999</v>
      </c>
      <c r="L5349">
        <v>-62.68045</v>
      </c>
      <c r="M5349">
        <v>0.99896229999999997</v>
      </c>
      <c r="N5349">
        <v>-1.073705E-2</v>
      </c>
      <c r="O5349">
        <v>4.4262589999999997E-2</v>
      </c>
      <c r="P5349">
        <v>0.98353610000000002</v>
      </c>
      <c r="Q5349">
        <v>0.17779320000000001</v>
      </c>
      <c r="R5349">
        <v>3.2350690000000001E-2</v>
      </c>
      <c r="S5349">
        <v>3.0841980000000002</v>
      </c>
      <c r="T5349">
        <v>-0.1777368</v>
      </c>
      <c r="U5349">
        <v>-4.2572020000000002E-2</v>
      </c>
      <c r="V5349">
        <v>1.374529E-2</v>
      </c>
      <c r="W5349">
        <v>0.18818070000000001</v>
      </c>
      <c r="X5349">
        <v>0.98203830000000003</v>
      </c>
      <c r="Y5349">
        <v>5.7886809999999997E-2</v>
      </c>
      <c r="Z5349">
        <v>-4.0506969999999998E-3</v>
      </c>
      <c r="AA5349">
        <v>0.99831490000000001</v>
      </c>
      <c r="AB5349">
        <v>34</v>
      </c>
      <c r="AC5349">
        <v>19.160999999999898</v>
      </c>
      <c r="AD5349">
        <v>-1.11513029806</v>
      </c>
      <c r="AE5349">
        <v>-0.27333000000000102</v>
      </c>
      <c r="AF5349">
        <v>1.1174424021036899</v>
      </c>
      <c r="AG5349">
        <v>-1.11513029806</v>
      </c>
      <c r="AH5349">
        <v>19.065557888200299</v>
      </c>
      <c r="AI5349">
        <v>93.341652221367198</v>
      </c>
      <c r="AJ5349">
        <v>86.645701524082995</v>
      </c>
      <c r="AK5349">
        <v>19.1308047580855</v>
      </c>
      <c r="AL5349">
        <v>79.153369788699905</v>
      </c>
      <c r="AM5349">
        <v>89.198100845512101</v>
      </c>
      <c r="AN5349">
        <v>1.0000000657582799</v>
      </c>
    </row>
    <row r="5350" spans="1:40" x14ac:dyDescent="0.25">
      <c r="A5350" t="str">
        <f>"20190303170643494"</f>
        <v>20190303170643494</v>
      </c>
      <c r="B5350" t="str">
        <f>"1551604003480157"</f>
        <v>1551604003480157</v>
      </c>
      <c r="C5350" t="s">
        <v>40</v>
      </c>
      <c r="D5350">
        <v>5.9728820000000002</v>
      </c>
      <c r="E5350">
        <v>0.52320459999999902</v>
      </c>
      <c r="F5350" t="s">
        <v>108</v>
      </c>
      <c r="G5350">
        <v>-245.86019999999999</v>
      </c>
      <c r="H5350" s="1">
        <v>-2.2040800000000001E-6</v>
      </c>
      <c r="I5350">
        <v>-63.025410000000001</v>
      </c>
      <c r="J5350">
        <v>-265.10890000000001</v>
      </c>
      <c r="K5350">
        <v>1.1152660000000001</v>
      </c>
      <c r="L5350">
        <v>-62.6753199999999</v>
      </c>
      <c r="M5350">
        <v>0.99908220000000003</v>
      </c>
      <c r="N5350">
        <v>-1.072915E-2</v>
      </c>
      <c r="O5350">
        <v>4.146888E-2</v>
      </c>
      <c r="P5350">
        <v>0.9834735</v>
      </c>
      <c r="Q5350">
        <v>0.17880279999999901</v>
      </c>
      <c r="R5350">
        <v>2.844706E-2</v>
      </c>
      <c r="S5350">
        <v>3.0839840000000001</v>
      </c>
      <c r="T5350">
        <v>-0.17704739999999999</v>
      </c>
      <c r="U5350">
        <v>-5.4779050000000003E-2</v>
      </c>
      <c r="V5350">
        <v>1.484249E-2</v>
      </c>
      <c r="W5350">
        <v>0.1891697</v>
      </c>
      <c r="X5350">
        <v>0.98183220000000004</v>
      </c>
      <c r="Y5350">
        <v>5.9048570000000002E-2</v>
      </c>
      <c r="Z5350">
        <v>-3.9441090000000003E-3</v>
      </c>
      <c r="AA5350">
        <v>0.99824729999999995</v>
      </c>
      <c r="AB5350">
        <v>34</v>
      </c>
      <c r="AC5350">
        <v>19.248699999999999</v>
      </c>
      <c r="AD5350">
        <v>-1.1152682040799999</v>
      </c>
      <c r="AE5350">
        <v>-0.35009000000000801</v>
      </c>
      <c r="AF5350">
        <v>1.14421687889026</v>
      </c>
      <c r="AG5350">
        <v>-1.1152682040799999</v>
      </c>
      <c r="AH5350">
        <v>19.1533444293587</v>
      </c>
      <c r="AI5350">
        <v>93.326560131811206</v>
      </c>
      <c r="AJ5350">
        <v>86.581225010836107</v>
      </c>
      <c r="AK5350">
        <v>19.2198766453538</v>
      </c>
      <c r="AL5350">
        <v>79.095666876389203</v>
      </c>
      <c r="AM5350">
        <v>89.133917931777503</v>
      </c>
      <c r="AN5350">
        <v>0.99999997193216394</v>
      </c>
    </row>
    <row r="5351" spans="1:40" x14ac:dyDescent="0.25">
      <c r="A5351" t="str">
        <f>"20190303170643506"</f>
        <v>20190303170643506</v>
      </c>
      <c r="B5351" t="str">
        <f>"1551604003500652"</f>
        <v>1551604003500652</v>
      </c>
      <c r="C5351" t="s">
        <v>40</v>
      </c>
      <c r="D5351">
        <v>6.0023569999999999</v>
      </c>
      <c r="E5351">
        <v>0.52324289999999996</v>
      </c>
      <c r="F5351" t="s">
        <v>108</v>
      </c>
      <c r="G5351">
        <v>-245.3391</v>
      </c>
      <c r="H5351" s="1">
        <v>-1.9993110000000002E-6</v>
      </c>
      <c r="I5351">
        <v>-63.096069999999997</v>
      </c>
      <c r="J5351">
        <v>-264.93799999999999</v>
      </c>
      <c r="K5351">
        <v>1.1154090000000001</v>
      </c>
      <c r="L5351">
        <v>-62.670439999999999</v>
      </c>
      <c r="M5351">
        <v>0.99918940000000001</v>
      </c>
      <c r="N5351">
        <v>-1.0721690000000001E-2</v>
      </c>
      <c r="O5351">
        <v>3.8799920000000002E-2</v>
      </c>
      <c r="P5351">
        <v>0.98343700000000001</v>
      </c>
      <c r="Q5351">
        <v>0.17948310000000001</v>
      </c>
      <c r="R5351">
        <v>2.5244829999999999E-2</v>
      </c>
      <c r="S5351">
        <v>3.0839539999999999</v>
      </c>
      <c r="T5351">
        <v>-0.1739743</v>
      </c>
      <c r="U5351">
        <v>-6.5643309999999996E-2</v>
      </c>
      <c r="V5351">
        <v>1.535776E-2</v>
      </c>
      <c r="W5351">
        <v>0.18983920000000001</v>
      </c>
      <c r="X5351">
        <v>0.98169510000000004</v>
      </c>
      <c r="Y5351">
        <v>5.9904180000000001E-2</v>
      </c>
      <c r="Z5351">
        <v>-3.7805360000000001E-3</v>
      </c>
      <c r="AA5351">
        <v>0.998197</v>
      </c>
      <c r="AB5351">
        <v>34</v>
      </c>
      <c r="AC5351">
        <v>19.598899999999901</v>
      </c>
      <c r="AD5351">
        <v>-1.115410999311</v>
      </c>
      <c r="AE5351">
        <v>-0.42562999999999801</v>
      </c>
      <c r="AF5351">
        <v>1.1819624538999101</v>
      </c>
      <c r="AG5351">
        <v>-1.115410999311</v>
      </c>
      <c r="AH5351">
        <v>19.504480383267499</v>
      </c>
      <c r="AI5351">
        <v>93.267052837571796</v>
      </c>
      <c r="AJ5351">
        <v>86.532143226734505</v>
      </c>
      <c r="AK5351">
        <v>19.572070201209598</v>
      </c>
      <c r="AL5351">
        <v>79.056600041833207</v>
      </c>
      <c r="AM5351">
        <v>89.103730825756898</v>
      </c>
      <c r="AN5351">
        <v>1.0000000260064299</v>
      </c>
    </row>
    <row r="5352" spans="1:40" x14ac:dyDescent="0.25">
      <c r="A5352" t="str">
        <f>"20190303170643520"</f>
        <v>20190303170643520</v>
      </c>
      <c r="B5352" t="str">
        <f>"1551604003510412"</f>
        <v>1551604003510412</v>
      </c>
      <c r="C5352" t="s">
        <v>40</v>
      </c>
      <c r="D5352">
        <v>5.9958600000000004</v>
      </c>
      <c r="E5352">
        <v>0.52321819999999997</v>
      </c>
      <c r="F5352" t="s">
        <v>108</v>
      </c>
      <c r="G5352">
        <v>-244.78020000000001</v>
      </c>
      <c r="H5352" s="1">
        <v>-1.7758030000000001E-6</v>
      </c>
      <c r="I5352">
        <v>-63.157159999999998</v>
      </c>
      <c r="J5352">
        <v>-264.7097</v>
      </c>
      <c r="K5352">
        <v>1.1156280000000001</v>
      </c>
      <c r="L5352">
        <v>-62.664639999999999</v>
      </c>
      <c r="M5352">
        <v>0.99931409999999998</v>
      </c>
      <c r="N5352">
        <v>-1.0710239999999999E-2</v>
      </c>
      <c r="O5352">
        <v>3.5449729999999999E-2</v>
      </c>
      <c r="P5352">
        <v>0.98340119999999998</v>
      </c>
      <c r="Q5352">
        <v>0.18016489999999999</v>
      </c>
      <c r="R5352">
        <v>2.150728E-2</v>
      </c>
      <c r="S5352">
        <v>3.0835569999999999</v>
      </c>
      <c r="T5352">
        <v>-0.1706259</v>
      </c>
      <c r="U5352">
        <v>-7.4462890000000004E-2</v>
      </c>
      <c r="V5352">
        <v>1.5701630000000001E-2</v>
      </c>
      <c r="W5352">
        <v>0.19051100000000001</v>
      </c>
      <c r="X5352">
        <v>0.98155950000000003</v>
      </c>
      <c r="Y5352">
        <v>5.9423869999999997E-2</v>
      </c>
      <c r="Z5352">
        <v>-3.5414370000000001E-3</v>
      </c>
      <c r="AA5352">
        <v>0.99822659999999996</v>
      </c>
      <c r="AB5352">
        <v>34</v>
      </c>
      <c r="AC5352">
        <v>19.929499999999901</v>
      </c>
      <c r="AD5352">
        <v>-1.115629775803</v>
      </c>
      <c r="AE5352">
        <v>-0.49251999999999102</v>
      </c>
      <c r="AF5352">
        <v>1.19500388083565</v>
      </c>
      <c r="AG5352">
        <v>-1.115629775803</v>
      </c>
      <c r="AH5352">
        <v>19.837386349317399</v>
      </c>
      <c r="AI5352">
        <v>93.213039935481007</v>
      </c>
      <c r="AJ5352">
        <v>86.552668958508505</v>
      </c>
      <c r="AK5352">
        <v>19.904636677014601</v>
      </c>
      <c r="AL5352">
        <v>79.017393122009494</v>
      </c>
      <c r="AM5352">
        <v>89.083539606417901</v>
      </c>
      <c r="AN5352">
        <v>1.00000001717295</v>
      </c>
    </row>
    <row r="5353" spans="1:40" x14ac:dyDescent="0.25">
      <c r="A5353" t="str">
        <f>"20190303170643529"</f>
        <v>20190303170643529</v>
      </c>
      <c r="B5353" t="str">
        <f>"1551604003520172"</f>
        <v>1551604003520172</v>
      </c>
      <c r="C5353" t="s">
        <v>40</v>
      </c>
      <c r="D5353">
        <v>5.9945589999999997</v>
      </c>
      <c r="E5353">
        <v>0.52318180000000003</v>
      </c>
      <c r="F5353" t="s">
        <v>108</v>
      </c>
      <c r="G5353">
        <v>-244.2867</v>
      </c>
      <c r="H5353" s="1">
        <v>-1.5830670000000001E-6</v>
      </c>
      <c r="I5353">
        <v>-63.228549999999998</v>
      </c>
      <c r="J5353">
        <v>-264.56049999999999</v>
      </c>
      <c r="K5353">
        <v>1.1157809999999999</v>
      </c>
      <c r="L5353">
        <v>-62.661219999999901</v>
      </c>
      <c r="M5353">
        <v>0.99938510000000003</v>
      </c>
      <c r="N5353">
        <v>-1.070231E-2</v>
      </c>
      <c r="O5353">
        <v>3.3390129999999997E-2</v>
      </c>
      <c r="P5353">
        <v>0.98345570000000004</v>
      </c>
      <c r="Q5353">
        <v>0.18007860000000001</v>
      </c>
      <c r="R5353">
        <v>1.9672160000000001E-2</v>
      </c>
      <c r="S5353">
        <v>3.0833439999999999</v>
      </c>
      <c r="T5353">
        <v>-0.16843029999999901</v>
      </c>
      <c r="U5353">
        <v>-8.5144040000000004E-2</v>
      </c>
      <c r="V5353">
        <v>1.5438530000000001E-2</v>
      </c>
      <c r="W5353">
        <v>0.19042490000000001</v>
      </c>
      <c r="X5353">
        <v>0.98158040000000002</v>
      </c>
      <c r="Y5353">
        <v>6.0827010000000001E-2</v>
      </c>
      <c r="Z5353">
        <v>-3.4507930000000002E-3</v>
      </c>
      <c r="AA5353">
        <v>0.99814239999999999</v>
      </c>
      <c r="AB5353">
        <v>34</v>
      </c>
      <c r="AC5353">
        <v>20.273799999999898</v>
      </c>
      <c r="AD5353">
        <v>-1.1157825830669901</v>
      </c>
      <c r="AE5353">
        <v>-0.567330000000005</v>
      </c>
      <c r="AF5353">
        <v>1.2402435323672301</v>
      </c>
      <c r="AG5353">
        <v>-1.1157825830669901</v>
      </c>
      <c r="AH5353">
        <v>20.182466219117199</v>
      </c>
      <c r="AI5353">
        <v>93.1584157356058</v>
      </c>
      <c r="AJ5353">
        <v>86.483508374475903</v>
      </c>
      <c r="AK5353">
        <v>20.251299155314999</v>
      </c>
      <c r="AL5353">
        <v>79.0224184935973</v>
      </c>
      <c r="AM5353">
        <v>89.098912650023607</v>
      </c>
      <c r="AN5353">
        <v>1.0000000362063599</v>
      </c>
    </row>
    <row r="5354" spans="1:40" x14ac:dyDescent="0.25">
      <c r="A5354" t="str">
        <f>"20190303170643540"</f>
        <v>20190303170643540</v>
      </c>
      <c r="B5354" t="str">
        <f>"1551604003529932"</f>
        <v>1551604003529932</v>
      </c>
      <c r="C5354" t="s">
        <v>40</v>
      </c>
      <c r="D5354">
        <v>6.0072390000000002</v>
      </c>
      <c r="E5354">
        <v>0.52312740000000002</v>
      </c>
      <c r="F5354" t="s">
        <v>108</v>
      </c>
      <c r="G5354">
        <v>-244.14160000000001</v>
      </c>
      <c r="H5354" s="1">
        <v>-1.529926E-6</v>
      </c>
      <c r="I5354">
        <v>-63.262650000000001</v>
      </c>
      <c r="J5354">
        <v>-264.39429999999999</v>
      </c>
      <c r="K5354">
        <v>1.1159490000000001</v>
      </c>
      <c r="L5354">
        <v>-62.657530000000001</v>
      </c>
      <c r="M5354">
        <v>0.9994575</v>
      </c>
      <c r="N5354">
        <v>-1.069378E-2</v>
      </c>
      <c r="O5354">
        <v>3.115093E-2</v>
      </c>
      <c r="P5354">
        <v>0.98352349999999999</v>
      </c>
      <c r="Q5354">
        <v>0.17990110000000001</v>
      </c>
      <c r="R5354">
        <v>1.7817449999999999E-2</v>
      </c>
      <c r="S5354">
        <v>3.0831300000000001</v>
      </c>
      <c r="T5354">
        <v>-0.1684763</v>
      </c>
      <c r="U5354">
        <v>-9.0820310000000001E-2</v>
      </c>
      <c r="V5354">
        <v>1.5007919999999999E-2</v>
      </c>
      <c r="W5354">
        <v>0.19025030000000001</v>
      </c>
      <c r="X5354">
        <v>0.98162090000000002</v>
      </c>
      <c r="Y5354">
        <v>6.0431529999999997E-2</v>
      </c>
      <c r="Z5354">
        <v>-3.3407480000000002E-3</v>
      </c>
      <c r="AA5354">
        <v>0.99816669999999996</v>
      </c>
      <c r="AB5354">
        <v>34</v>
      </c>
      <c r="AC5354">
        <v>20.252699999999901</v>
      </c>
      <c r="AD5354">
        <v>-1.115950529926</v>
      </c>
      <c r="AE5354">
        <v>-0.60511999999999899</v>
      </c>
      <c r="AF5354">
        <v>1.23201554872412</v>
      </c>
      <c r="AG5354">
        <v>-1.115950529926</v>
      </c>
      <c r="AH5354">
        <v>20.1628559839308</v>
      </c>
      <c r="AI5354">
        <v>93.162023355098697</v>
      </c>
      <c r="AJ5354">
        <v>86.503390355830504</v>
      </c>
      <c r="AK5354">
        <v>20.231262178279302</v>
      </c>
      <c r="AL5354">
        <v>79.032608254476003</v>
      </c>
      <c r="AM5354">
        <v>89.124077854711402</v>
      </c>
      <c r="AN5354">
        <v>1.0000000028148099</v>
      </c>
    </row>
    <row r="5355" spans="1:40" x14ac:dyDescent="0.25">
      <c r="A5355" t="str">
        <f>"20190303170643552"</f>
        <v>20190303170643552</v>
      </c>
      <c r="B5355" t="str">
        <f>"1551604003540668"</f>
        <v>1551604003540668</v>
      </c>
      <c r="C5355" t="s">
        <v>40</v>
      </c>
      <c r="D5355">
        <v>6.0179729999999996</v>
      </c>
      <c r="E5355">
        <v>0.52299280000000004</v>
      </c>
      <c r="F5355" t="s">
        <v>108</v>
      </c>
      <c r="G5355">
        <v>-243.9898</v>
      </c>
      <c r="H5355" s="1">
        <v>-1.4749000000000001E-6</v>
      </c>
      <c r="I5355">
        <v>-63.300600000000003</v>
      </c>
      <c r="J5355">
        <v>-264.22879999999998</v>
      </c>
      <c r="K5355">
        <v>1.1161319999999999</v>
      </c>
      <c r="L5355">
        <v>-62.654299999999999</v>
      </c>
      <c r="M5355">
        <v>0.9995193</v>
      </c>
      <c r="N5355">
        <v>-1.0684910000000001E-2</v>
      </c>
      <c r="O5355">
        <v>2.9102590000000001E-2</v>
      </c>
      <c r="P5355">
        <v>0.98358420000000002</v>
      </c>
      <c r="Q5355">
        <v>0.17975439999999901</v>
      </c>
      <c r="R5355">
        <v>1.5818459999999999E-2</v>
      </c>
      <c r="S5355">
        <v>3.0828250000000001</v>
      </c>
      <c r="T5355">
        <v>-0.168604</v>
      </c>
      <c r="U5355">
        <v>-9.7167970000000006E-2</v>
      </c>
      <c r="V5355">
        <v>1.4904199999999999E-2</v>
      </c>
      <c r="W5355">
        <v>0.1901023</v>
      </c>
      <c r="X5355">
        <v>0.9816511</v>
      </c>
      <c r="Y5355">
        <v>6.044389E-2</v>
      </c>
      <c r="Z5355">
        <v>-3.2539259999999999E-3</v>
      </c>
      <c r="AA5355">
        <v>0.99816629999999995</v>
      </c>
      <c r="AB5355">
        <v>34</v>
      </c>
      <c r="AC5355">
        <v>20.238999999999901</v>
      </c>
      <c r="AD5355">
        <v>-1.11613347489999</v>
      </c>
      <c r="AE5355">
        <v>-0.64630000000000298</v>
      </c>
      <c r="AF5355">
        <v>1.23132619839958</v>
      </c>
      <c r="AG5355">
        <v>-1.11613347489999</v>
      </c>
      <c r="AH5355">
        <v>20.150396056069901</v>
      </c>
      <c r="AI5355">
        <v>93.164491559886997</v>
      </c>
      <c r="AJ5355">
        <v>86.503186416260306</v>
      </c>
      <c r="AK5355">
        <v>20.2188125110535</v>
      </c>
      <c r="AL5355">
        <v>79.041245086811699</v>
      </c>
      <c r="AM5355">
        <v>89.130157191703603</v>
      </c>
      <c r="AN5355">
        <v>0.99999995088706795</v>
      </c>
    </row>
    <row r="5356" spans="1:40" x14ac:dyDescent="0.25">
      <c r="A5356" t="str">
        <f>"20190303170643562"</f>
        <v>20190303170643562</v>
      </c>
      <c r="B5356" t="str">
        <f>"1551604003550428"</f>
        <v>1551604003550428</v>
      </c>
      <c r="C5356" t="s">
        <v>40</v>
      </c>
      <c r="D5356">
        <v>6.0441940000000001</v>
      </c>
      <c r="E5356">
        <v>0.52288869999999998</v>
      </c>
      <c r="F5356" t="s">
        <v>108</v>
      </c>
      <c r="G5356">
        <v>-243.81270000000001</v>
      </c>
      <c r="H5356" s="1">
        <v>-1.408059E-6</v>
      </c>
      <c r="I5356">
        <v>-63.334989999999998</v>
      </c>
      <c r="J5356">
        <v>-264.07159999999999</v>
      </c>
      <c r="K5356">
        <v>1.1163110000000001</v>
      </c>
      <c r="L5356">
        <v>-62.65128</v>
      </c>
      <c r="M5356">
        <v>0.99957309999999999</v>
      </c>
      <c r="N5356">
        <v>-1.067704E-2</v>
      </c>
      <c r="O5356">
        <v>2.7199830000000001E-2</v>
      </c>
      <c r="P5356">
        <v>0.98361240000000005</v>
      </c>
      <c r="Q5356">
        <v>0.17980289999999999</v>
      </c>
      <c r="R5356">
        <v>1.332653E-2</v>
      </c>
      <c r="S5356">
        <v>3.0825200000000001</v>
      </c>
      <c r="T5356">
        <v>-0.16851940000000001</v>
      </c>
      <c r="U5356">
        <v>-0.10278320000000001</v>
      </c>
      <c r="V5356">
        <v>1.544064E-2</v>
      </c>
      <c r="W5356">
        <v>0.19014259999999999</v>
      </c>
      <c r="X5356">
        <v>0.98163500000000004</v>
      </c>
      <c r="Y5356">
        <v>6.0365370000000002E-2</v>
      </c>
      <c r="Z5356">
        <v>-3.1663730000000001E-3</v>
      </c>
      <c r="AA5356">
        <v>0.99817129999999998</v>
      </c>
      <c r="AB5356">
        <v>34</v>
      </c>
      <c r="AC5356">
        <v>20.258899999999901</v>
      </c>
      <c r="AD5356">
        <v>-1.1163124080589999</v>
      </c>
      <c r="AE5356">
        <v>-0.68370999999999704</v>
      </c>
      <c r="AF5356">
        <v>1.2307942318698299</v>
      </c>
      <c r="AG5356">
        <v>-1.1163124080589999</v>
      </c>
      <c r="AH5356">
        <v>20.171629079428701</v>
      </c>
      <c r="AI5356">
        <v>93.161690481582895</v>
      </c>
      <c r="AJ5356">
        <v>86.508363505110196</v>
      </c>
      <c r="AK5356">
        <v>20.239951273450401</v>
      </c>
      <c r="AL5356">
        <v>79.038893130688194</v>
      </c>
      <c r="AM5356">
        <v>89.098839636187407</v>
      </c>
      <c r="AN5356">
        <v>0.99999994746168297</v>
      </c>
    </row>
    <row r="5357" spans="1:40" x14ac:dyDescent="0.25">
      <c r="A5357" t="str">
        <f>"20190303170643571"</f>
        <v>20190303170643571</v>
      </c>
      <c r="B5357" t="str">
        <f>"1551604003560188"</f>
        <v>1551604003560188</v>
      </c>
      <c r="C5357" t="s">
        <v>40</v>
      </c>
      <c r="D5357">
        <v>6.0425899999999997</v>
      </c>
      <c r="E5357">
        <v>0.52281080000000002</v>
      </c>
      <c r="F5357" t="s">
        <v>108</v>
      </c>
      <c r="G5357">
        <v>-243.63810000000001</v>
      </c>
      <c r="H5357" s="1">
        <v>-1.3436520000000001E-6</v>
      </c>
      <c r="I5357">
        <v>-63.374490000000002</v>
      </c>
      <c r="J5357">
        <v>-263.91890000000001</v>
      </c>
      <c r="K5357">
        <v>1.116493</v>
      </c>
      <c r="L5357">
        <v>-62.648650000000004</v>
      </c>
      <c r="M5357">
        <v>0.99961679999999997</v>
      </c>
      <c r="N5357">
        <v>-1.0668820000000001E-2</v>
      </c>
      <c r="O5357">
        <v>2.554677E-2</v>
      </c>
      <c r="P5357">
        <v>0.98356250000000001</v>
      </c>
      <c r="Q5357">
        <v>0.1802521</v>
      </c>
      <c r="R5357">
        <v>1.068154E-2</v>
      </c>
      <c r="S5357">
        <v>3.0822449999999999</v>
      </c>
      <c r="T5357">
        <v>-0.16838729999999999</v>
      </c>
      <c r="U5357">
        <v>-0.1091003</v>
      </c>
      <c r="V5357">
        <v>1.6376229999999999E-2</v>
      </c>
      <c r="W5357">
        <v>0.1905789</v>
      </c>
      <c r="X5357">
        <v>0.9815353</v>
      </c>
      <c r="Y5357">
        <v>6.0762049999999998E-2</v>
      </c>
      <c r="Z5357">
        <v>-3.1044499999999999E-3</v>
      </c>
      <c r="AA5357">
        <v>0.99814740000000002</v>
      </c>
      <c r="AB5357">
        <v>34</v>
      </c>
      <c r="AC5357">
        <v>20.280799999999999</v>
      </c>
      <c r="AD5357">
        <v>-1.1164943436520001</v>
      </c>
      <c r="AE5357">
        <v>-0.72583999999999704</v>
      </c>
      <c r="AF5357">
        <v>1.23998822308151</v>
      </c>
      <c r="AG5357">
        <v>-1.1164943436520001</v>
      </c>
      <c r="AH5357">
        <v>20.194511040076399</v>
      </c>
      <c r="AI5357">
        <v>93.158554735103905</v>
      </c>
      <c r="AJ5357">
        <v>86.4863221347197</v>
      </c>
      <c r="AK5357">
        <v>20.263326641017098</v>
      </c>
      <c r="AL5357">
        <v>79.013430179723599</v>
      </c>
      <c r="AM5357">
        <v>89.044148676734594</v>
      </c>
      <c r="AN5357">
        <v>1.0000000215901499</v>
      </c>
    </row>
    <row r="5358" spans="1:40" x14ac:dyDescent="0.25">
      <c r="A5358" t="str">
        <f>"20190303170643581"</f>
        <v>20190303170643581</v>
      </c>
      <c r="B5358" t="str">
        <f>"1551604003569948"</f>
        <v>1551604003569948</v>
      </c>
      <c r="C5358" t="s">
        <v>40</v>
      </c>
      <c r="D5358">
        <v>6.0564299999999998</v>
      </c>
      <c r="E5358">
        <v>0.52270099999999997</v>
      </c>
      <c r="F5358" t="s">
        <v>108</v>
      </c>
      <c r="G5358">
        <v>-243.37090000000001</v>
      </c>
      <c r="H5358" s="1">
        <v>-1.2395430000000001E-6</v>
      </c>
      <c r="I5358">
        <v>-63.414009999999998</v>
      </c>
      <c r="J5358">
        <v>-263.76249999999999</v>
      </c>
      <c r="K5358">
        <v>1.1166849999999999</v>
      </c>
      <c r="L5358">
        <v>-62.646090000000001</v>
      </c>
      <c r="M5358">
        <v>0.99965820000000005</v>
      </c>
      <c r="N5358">
        <v>-1.0661E-2</v>
      </c>
      <c r="O5358">
        <v>2.3875919999999998E-2</v>
      </c>
      <c r="P5358">
        <v>0.98352680000000003</v>
      </c>
      <c r="Q5358">
        <v>0.18058589999999999</v>
      </c>
      <c r="R5358">
        <v>8.0174700000000005E-3</v>
      </c>
      <c r="S5358">
        <v>3.0820620000000001</v>
      </c>
      <c r="T5358">
        <v>-0.167466</v>
      </c>
      <c r="U5358">
        <v>-0.1148071</v>
      </c>
      <c r="V5358">
        <v>1.73098E-2</v>
      </c>
      <c r="W5358">
        <v>0.1909023</v>
      </c>
      <c r="X5358">
        <v>0.98145640000000001</v>
      </c>
      <c r="Y5358">
        <v>6.0944230000000002E-2</v>
      </c>
      <c r="Z5358">
        <v>-3.0208660000000001E-3</v>
      </c>
      <c r="AA5358">
        <v>0.99813660000000004</v>
      </c>
      <c r="AB5358">
        <v>34</v>
      </c>
      <c r="AC5358">
        <v>20.391599999999901</v>
      </c>
      <c r="AD5358">
        <v>-1.1166862395429999</v>
      </c>
      <c r="AE5358">
        <v>-0.76791999999999605</v>
      </c>
      <c r="AF5358">
        <v>1.25085104229788</v>
      </c>
      <c r="AG5358">
        <v>-1.1166862395429999</v>
      </c>
      <c r="AH5358">
        <v>20.306639439089601</v>
      </c>
      <c r="AI5358">
        <v>93.141650143383004</v>
      </c>
      <c r="AJ5358">
        <v>86.475140708600193</v>
      </c>
      <c r="AK5358">
        <v>20.3757508278049</v>
      </c>
      <c r="AL5358">
        <v>78.994553831890897</v>
      </c>
      <c r="AM5358">
        <v>88.989587647812399</v>
      </c>
      <c r="AN5358">
        <v>0.99999999121114502</v>
      </c>
    </row>
    <row r="5359" spans="1:40" x14ac:dyDescent="0.25">
      <c r="A5359" t="str">
        <f>"20190303170643593"</f>
        <v>20190303170643593</v>
      </c>
      <c r="B5359" t="str">
        <f>"1551604003580684"</f>
        <v>1551604003580684</v>
      </c>
      <c r="C5359" t="s">
        <v>40</v>
      </c>
      <c r="D5359">
        <v>6.007155</v>
      </c>
      <c r="E5359">
        <v>0.52253620000000001</v>
      </c>
      <c r="F5359" t="s">
        <v>108</v>
      </c>
      <c r="G5359">
        <v>-243.15710000000001</v>
      </c>
      <c r="H5359" s="1">
        <v>-1.1572820000000001E-6</v>
      </c>
      <c r="I5359">
        <v>-63.449539999999999</v>
      </c>
      <c r="J5359">
        <v>-263.5908</v>
      </c>
      <c r="K5359">
        <v>1.1168990000000001</v>
      </c>
      <c r="L5359">
        <v>-62.643520000000002</v>
      </c>
      <c r="M5359">
        <v>0.99969529999999995</v>
      </c>
      <c r="N5359">
        <v>-1.0651900000000001E-2</v>
      </c>
      <c r="O5359">
        <v>2.2267240000000001E-2</v>
      </c>
      <c r="P5359">
        <v>0.98342110000000005</v>
      </c>
      <c r="Q5359">
        <v>0.18124850000000001</v>
      </c>
      <c r="R5359">
        <v>5.6495549999999997E-3</v>
      </c>
      <c r="S5359">
        <v>3.0818789999999998</v>
      </c>
      <c r="T5359">
        <v>-0.1670189</v>
      </c>
      <c r="U5359">
        <v>-0.1201782</v>
      </c>
      <c r="V5359">
        <v>1.799947E-2</v>
      </c>
      <c r="W5359">
        <v>0.19155610000000001</v>
      </c>
      <c r="X5359">
        <v>0.98131659999999998</v>
      </c>
      <c r="Y5359">
        <v>6.1079229999999998E-2</v>
      </c>
      <c r="Z5359">
        <v>-2.947449E-3</v>
      </c>
      <c r="AA5359">
        <v>0.99812860000000003</v>
      </c>
      <c r="AB5359">
        <v>34</v>
      </c>
      <c r="AC5359">
        <v>20.433699999999899</v>
      </c>
      <c r="AD5359">
        <v>-1.1169001572820001</v>
      </c>
      <c r="AE5359">
        <v>-0.80602000000000296</v>
      </c>
      <c r="AF5359">
        <v>1.25709807132685</v>
      </c>
      <c r="AG5359">
        <v>-1.1169001572820001</v>
      </c>
      <c r="AH5359">
        <v>20.349979261455701</v>
      </c>
      <c r="AI5359">
        <v>93.135538205238703</v>
      </c>
      <c r="AJ5359">
        <v>86.465106712229698</v>
      </c>
      <c r="AK5359">
        <v>20.4193393003777</v>
      </c>
      <c r="AL5359">
        <v>78.956389585134303</v>
      </c>
      <c r="AM5359">
        <v>88.949189249023306</v>
      </c>
      <c r="AN5359">
        <v>0.99999999490152502</v>
      </c>
    </row>
    <row r="5360" spans="1:40" x14ac:dyDescent="0.25">
      <c r="A5360" t="str">
        <f>"20190303170643606"</f>
        <v>20190303170643606</v>
      </c>
      <c r="B5360" t="str">
        <f>"1551604003600204"</f>
        <v>1551604003600204</v>
      </c>
      <c r="C5360" t="s">
        <v>40</v>
      </c>
      <c r="D5360">
        <v>6.04244</v>
      </c>
      <c r="E5360">
        <v>0.52222639999999998</v>
      </c>
      <c r="F5360" t="s">
        <v>108</v>
      </c>
      <c r="G5360">
        <v>-242.7439</v>
      </c>
      <c r="H5360" s="1">
        <v>-9.896753E-7</v>
      </c>
      <c r="I5360">
        <v>-63.48574</v>
      </c>
      <c r="J5360">
        <v>-263.40780000000001</v>
      </c>
      <c r="K5360">
        <v>1.11712099999999</v>
      </c>
      <c r="L5360">
        <v>-62.640900000000002</v>
      </c>
      <c r="M5360">
        <v>0.99973080000000003</v>
      </c>
      <c r="N5360">
        <v>-1.0642830000000001E-2</v>
      </c>
      <c r="O5360">
        <v>2.0620360000000001E-2</v>
      </c>
      <c r="P5360">
        <v>0.98344359999999997</v>
      </c>
      <c r="Q5360">
        <v>0.1811807</v>
      </c>
      <c r="R5360">
        <v>3.5094119999999999E-3</v>
      </c>
      <c r="S5360">
        <v>3.0817570000000001</v>
      </c>
      <c r="T5360">
        <v>-0.1651098</v>
      </c>
      <c r="U5360">
        <v>-0.1245117</v>
      </c>
      <c r="V5360">
        <v>1.8413470000000001E-2</v>
      </c>
      <c r="W5360">
        <v>0.19148499999999999</v>
      </c>
      <c r="X5360">
        <v>0.98132280000000005</v>
      </c>
      <c r="Y5360">
        <v>6.08425999999999E-2</v>
      </c>
      <c r="Z5360">
        <v>-2.8365669999999999E-3</v>
      </c>
      <c r="AA5360">
        <v>0.99814329999999996</v>
      </c>
      <c r="AB5360">
        <v>34</v>
      </c>
      <c r="AC5360">
        <v>20.663900000000002</v>
      </c>
      <c r="AD5360">
        <v>-1.11712198967529</v>
      </c>
      <c r="AE5360">
        <v>-0.84483999999999704</v>
      </c>
      <c r="AF5360">
        <v>1.2670844459482</v>
      </c>
      <c r="AG5360">
        <v>-1.11712198967529</v>
      </c>
      <c r="AH5360">
        <v>20.5820303473539</v>
      </c>
      <c r="AI5360">
        <v>93.100910810980693</v>
      </c>
      <c r="AJ5360">
        <v>86.477165636939802</v>
      </c>
      <c r="AK5360">
        <v>20.651233322791601</v>
      </c>
      <c r="AL5360">
        <v>78.960540198647195</v>
      </c>
      <c r="AM5360">
        <v>88.925032287915101</v>
      </c>
      <c r="AN5360">
        <v>0.99999999945114004</v>
      </c>
    </row>
    <row r="5361" spans="1:40" x14ac:dyDescent="0.25">
      <c r="A5361" t="str">
        <f>"20190303170643616"</f>
        <v>20190303170643616</v>
      </c>
      <c r="B5361" t="str">
        <f>"1551604003609964"</f>
        <v>1551604003609964</v>
      </c>
      <c r="C5361" t="s">
        <v>40</v>
      </c>
      <c r="D5361">
        <v>6.0545119999999999</v>
      </c>
      <c r="E5361">
        <v>0.52203569999999999</v>
      </c>
      <c r="F5361" t="s">
        <v>108</v>
      </c>
      <c r="G5361">
        <v>-242.65180000000001</v>
      </c>
      <c r="H5361" s="1">
        <v>-9.5445739999999998E-7</v>
      </c>
      <c r="I5361">
        <v>-63.501919999999998</v>
      </c>
      <c r="J5361">
        <v>-263.22969999999998</v>
      </c>
      <c r="K5361">
        <v>1.1173420000000001</v>
      </c>
      <c r="L5361">
        <v>-62.638579999999997</v>
      </c>
      <c r="M5361">
        <v>0.99975899999999995</v>
      </c>
      <c r="N5361">
        <v>-1.063413E-2</v>
      </c>
      <c r="O5361">
        <v>1.921103E-2</v>
      </c>
      <c r="P5361">
        <v>0.98348340000000001</v>
      </c>
      <c r="Q5361">
        <v>0.18098220000000001</v>
      </c>
      <c r="R5361">
        <v>2.472807E-3</v>
      </c>
      <c r="S5361">
        <v>3.0814819999999998</v>
      </c>
      <c r="T5361">
        <v>-0.16585030000000001</v>
      </c>
      <c r="U5361">
        <v>-0.12783810000000001</v>
      </c>
      <c r="V5361">
        <v>1.7960980000000001E-2</v>
      </c>
      <c r="W5361">
        <v>0.19129080000000001</v>
      </c>
      <c r="X5361">
        <v>0.98136909999999999</v>
      </c>
      <c r="Y5361">
        <v>6.0515569999999998E-2</v>
      </c>
      <c r="Z5361">
        <v>-2.777589E-3</v>
      </c>
      <c r="AA5361">
        <v>0.99816340000000003</v>
      </c>
      <c r="AB5361">
        <v>34</v>
      </c>
      <c r="AC5361">
        <v>20.5778999999999</v>
      </c>
      <c r="AD5361">
        <v>-1.1173429544573901</v>
      </c>
      <c r="AE5361">
        <v>-0.863339999999993</v>
      </c>
      <c r="AF5361">
        <v>1.25483250603066</v>
      </c>
      <c r="AG5361">
        <v>-1.1173429544573901</v>
      </c>
      <c r="AH5361">
        <v>20.497189786248001</v>
      </c>
      <c r="AI5361">
        <v>93.114400550372693</v>
      </c>
      <c r="AJ5361">
        <v>86.496739825942299</v>
      </c>
      <c r="AK5361">
        <v>20.565939050516</v>
      </c>
      <c r="AL5361">
        <v>78.971877036591806</v>
      </c>
      <c r="AM5361">
        <v>88.951491878805598</v>
      </c>
      <c r="AN5361">
        <v>1.000000038701</v>
      </c>
    </row>
    <row r="5362" spans="1:40" x14ac:dyDescent="0.25">
      <c r="A5362" t="str">
        <f>"20190303170643627"</f>
        <v>20190303170643627</v>
      </c>
      <c r="B5362" t="str">
        <f>"1551604003620699"</f>
        <v>1551604003620699</v>
      </c>
      <c r="C5362" t="s">
        <v>40</v>
      </c>
      <c r="D5362">
        <v>6.0701879999999999</v>
      </c>
      <c r="E5362">
        <v>0.52186809999999995</v>
      </c>
      <c r="F5362" t="s">
        <v>108</v>
      </c>
      <c r="G5362">
        <v>-242.55760000000001</v>
      </c>
      <c r="H5362" s="1">
        <v>-9.1588320000000003E-7</v>
      </c>
      <c r="I5362">
        <v>-63.508839999999999</v>
      </c>
      <c r="J5362">
        <v>-263.06799999999998</v>
      </c>
      <c r="K5362">
        <v>1.117537</v>
      </c>
      <c r="L5362">
        <v>-62.636539999999997</v>
      </c>
      <c r="M5362">
        <v>0.99978140000000004</v>
      </c>
      <c r="N5362">
        <v>-1.062663E-2</v>
      </c>
      <c r="O5362">
        <v>1.8008819999999998E-2</v>
      </c>
      <c r="P5362">
        <v>0.98352050000000002</v>
      </c>
      <c r="Q5362">
        <v>0.18078469999999999</v>
      </c>
      <c r="R5362">
        <v>2.076905E-3</v>
      </c>
      <c r="S5362">
        <v>3.0813899999999999</v>
      </c>
      <c r="T5362">
        <v>-0.16655110000000001</v>
      </c>
      <c r="U5362">
        <v>-0.12973019999999999</v>
      </c>
      <c r="V5362">
        <v>1.7083870000000001E-2</v>
      </c>
      <c r="W5362">
        <v>0.19110079999999999</v>
      </c>
      <c r="X5362">
        <v>0.98142180000000001</v>
      </c>
      <c r="Y5362">
        <v>5.992952E-2</v>
      </c>
      <c r="Z5362">
        <v>-2.7176990000000001E-3</v>
      </c>
      <c r="AA5362">
        <v>0.9981989</v>
      </c>
      <c r="AB5362">
        <v>34</v>
      </c>
      <c r="AC5362">
        <v>20.510399999999901</v>
      </c>
      <c r="AD5362">
        <v>-1.1175379158832</v>
      </c>
      <c r="AE5362">
        <v>-0.87229999999999497</v>
      </c>
      <c r="AF5362">
        <v>1.23787912283821</v>
      </c>
      <c r="AG5362">
        <v>-1.1175379158832</v>
      </c>
      <c r="AH5362">
        <v>20.430818582545001</v>
      </c>
      <c r="AI5362">
        <v>93.125161429681498</v>
      </c>
      <c r="AJ5362">
        <v>86.532755127417403</v>
      </c>
      <c r="AK5362">
        <v>20.498770296509601</v>
      </c>
      <c r="AL5362">
        <v>78.9829680975934</v>
      </c>
      <c r="AM5362">
        <v>89.0027378642759</v>
      </c>
      <c r="AN5362">
        <v>1.00000006194502</v>
      </c>
    </row>
    <row r="5363" spans="1:40" x14ac:dyDescent="0.25">
      <c r="A5363" t="str">
        <f>"20190303170643637"</f>
        <v>20190303170643637</v>
      </c>
      <c r="B5363" t="str">
        <f>"1551604003630460"</f>
        <v>1551604003630460</v>
      </c>
      <c r="C5363" t="s">
        <v>40</v>
      </c>
      <c r="D5363">
        <v>6.1019300000000003</v>
      </c>
      <c r="E5363">
        <v>0.52165229999999996</v>
      </c>
      <c r="F5363" t="s">
        <v>108</v>
      </c>
      <c r="G5363">
        <v>-242.4708</v>
      </c>
      <c r="H5363" s="1">
        <v>-8.7829939999999996E-7</v>
      </c>
      <c r="I5363">
        <v>-63.507550000000002</v>
      </c>
      <c r="J5363">
        <v>-262.90519999999998</v>
      </c>
      <c r="K5363">
        <v>1.117723</v>
      </c>
      <c r="L5363">
        <v>-62.6346699999999</v>
      </c>
      <c r="M5363">
        <v>0.99980069999999999</v>
      </c>
      <c r="N5363">
        <v>-1.061929E-2</v>
      </c>
      <c r="O5363">
        <v>1.6907680000000001E-2</v>
      </c>
      <c r="P5363">
        <v>0.98355539999999997</v>
      </c>
      <c r="Q5363">
        <v>0.18060129999999999</v>
      </c>
      <c r="R5363">
        <v>1.506098E-3</v>
      </c>
      <c r="S5363">
        <v>3.081299</v>
      </c>
      <c r="T5363">
        <v>-0.167181</v>
      </c>
      <c r="U5363">
        <v>-0.13031010000000001</v>
      </c>
      <c r="V5363">
        <v>1.6484539999999999E-2</v>
      </c>
      <c r="W5363">
        <v>0.19092200000000001</v>
      </c>
      <c r="X5363">
        <v>0.98146679999999997</v>
      </c>
      <c r="Y5363">
        <v>5.9020610000000001E-2</v>
      </c>
      <c r="Z5363">
        <v>-2.6500069999999998E-3</v>
      </c>
      <c r="AA5363">
        <v>0.99825319999999995</v>
      </c>
      <c r="AB5363">
        <v>34</v>
      </c>
      <c r="AC5363">
        <v>20.434399999999901</v>
      </c>
      <c r="AD5363">
        <v>-1.1177238782993999</v>
      </c>
      <c r="AE5363">
        <v>-0.87288000000000898</v>
      </c>
      <c r="AF5363">
        <v>1.2146455131818801</v>
      </c>
      <c r="AG5363">
        <v>-1.1177238782993999</v>
      </c>
      <c r="AH5363">
        <v>20.3559277441225</v>
      </c>
      <c r="AI5363">
        <v>93.137329389226593</v>
      </c>
      <c r="AJ5363">
        <v>86.585189305037602</v>
      </c>
      <c r="AK5363">
        <v>20.422743809653699</v>
      </c>
      <c r="AL5363">
        <v>78.993404218619901</v>
      </c>
      <c r="AM5363">
        <v>89.037760859150893</v>
      </c>
      <c r="AN5363">
        <v>1.00000001482262</v>
      </c>
    </row>
    <row r="5364" spans="1:40" x14ac:dyDescent="0.25">
      <c r="A5364" t="str">
        <f>"20190303170643649"</f>
        <v>20190303170643649</v>
      </c>
      <c r="B5364" t="str">
        <f>"1551604003640220"</f>
        <v>1551604003640220</v>
      </c>
      <c r="C5364" t="s">
        <v>40</v>
      </c>
      <c r="D5364">
        <v>6.0720989999999997</v>
      </c>
      <c r="E5364">
        <v>0.52143930000000005</v>
      </c>
      <c r="F5364" t="s">
        <v>108</v>
      </c>
      <c r="G5364">
        <v>-242.3612</v>
      </c>
      <c r="H5364" s="1">
        <v>-8.316244E-7</v>
      </c>
      <c r="I5364">
        <v>-63.508769999999998</v>
      </c>
      <c r="J5364">
        <v>-262.73099999999999</v>
      </c>
      <c r="K5364">
        <v>1.1179140000000001</v>
      </c>
      <c r="L5364">
        <v>-62.632750000000001</v>
      </c>
      <c r="M5364">
        <v>0.9998184</v>
      </c>
      <c r="N5364">
        <v>-1.061176E-2</v>
      </c>
      <c r="O5364">
        <v>1.5826980000000001E-2</v>
      </c>
      <c r="P5364">
        <v>0.98346560000000005</v>
      </c>
      <c r="Q5364">
        <v>0.18109439999999999</v>
      </c>
      <c r="R5364">
        <v>5.8056690000000001E-4</v>
      </c>
      <c r="S5364">
        <v>3.0811160000000002</v>
      </c>
      <c r="T5364">
        <v>-0.167632</v>
      </c>
      <c r="U5364">
        <v>-0.13110350000000001</v>
      </c>
      <c r="V5364">
        <v>1.6261660000000001E-2</v>
      </c>
      <c r="W5364">
        <v>0.19141530000000001</v>
      </c>
      <c r="X5364">
        <v>0.98137439999999998</v>
      </c>
      <c r="Y5364">
        <v>5.820256E-2</v>
      </c>
      <c r="Z5364">
        <v>-2.5829799999999999E-3</v>
      </c>
      <c r="AA5364">
        <v>0.99830140000000001</v>
      </c>
      <c r="AB5364">
        <v>34</v>
      </c>
      <c r="AC5364">
        <v>20.369800000000001</v>
      </c>
      <c r="AD5364">
        <v>-1.1179148316244001</v>
      </c>
      <c r="AE5364">
        <v>-0.87601999999999602</v>
      </c>
      <c r="AF5364">
        <v>1.19472905426721</v>
      </c>
      <c r="AG5364">
        <v>-1.1179148316244001</v>
      </c>
      <c r="AH5364">
        <v>20.292376521044499</v>
      </c>
      <c r="AI5364">
        <v>93.147819106136794</v>
      </c>
      <c r="AJ5364">
        <v>86.630557172933493</v>
      </c>
      <c r="AK5364">
        <v>20.3582331246038</v>
      </c>
      <c r="AL5364">
        <v>78.964608825036294</v>
      </c>
      <c r="AM5364">
        <v>89.050679104759197</v>
      </c>
      <c r="AN5364">
        <v>0.999999985817702</v>
      </c>
    </row>
    <row r="5365" spans="1:40" x14ac:dyDescent="0.25">
      <c r="A5365" t="str">
        <f>"20190303170643659"</f>
        <v>20190303170643659</v>
      </c>
      <c r="B5365" t="str">
        <f>"1551604003649980"</f>
        <v>1551604003649980</v>
      </c>
      <c r="C5365" t="s">
        <v>40</v>
      </c>
      <c r="D5365">
        <v>6.0726690000000003</v>
      </c>
      <c r="E5365">
        <v>0.52123730000000001</v>
      </c>
      <c r="F5365" t="s">
        <v>108</v>
      </c>
      <c r="G5365">
        <v>-241.95660000000001</v>
      </c>
      <c r="H5365" s="1">
        <v>-6.6320829999999999E-7</v>
      </c>
      <c r="I5365">
        <v>-63.528199999999998</v>
      </c>
      <c r="J5365">
        <v>-262.56799999999998</v>
      </c>
      <c r="K5365">
        <v>1.118085</v>
      </c>
      <c r="L5365">
        <v>-62.631070000000001</v>
      </c>
      <c r="M5365">
        <v>0.99983299999999997</v>
      </c>
      <c r="N5365">
        <v>-1.060497E-2</v>
      </c>
      <c r="O5365">
        <v>1.4888220000000001E-2</v>
      </c>
      <c r="P5365">
        <v>0.98330770000000001</v>
      </c>
      <c r="Q5365">
        <v>0.18195030000000001</v>
      </c>
      <c r="R5365">
        <v>-5.4575689999999998E-4</v>
      </c>
      <c r="S5365">
        <v>3.0810240000000002</v>
      </c>
      <c r="T5365">
        <v>-0.16579679999999999</v>
      </c>
      <c r="U5365">
        <v>-0.1328125</v>
      </c>
      <c r="V5365">
        <v>1.6389620000000001E-2</v>
      </c>
      <c r="W5365">
        <v>0.19226799999999999</v>
      </c>
      <c r="X5365">
        <v>0.98120560000000001</v>
      </c>
      <c r="Y5365">
        <v>5.7823199999999998E-2</v>
      </c>
      <c r="Z5365">
        <v>-2.503515E-3</v>
      </c>
      <c r="AA5365">
        <v>0.99832370000000004</v>
      </c>
      <c r="AB5365">
        <v>34</v>
      </c>
      <c r="AC5365">
        <v>20.6113999999999</v>
      </c>
      <c r="AD5365">
        <v>-1.1180856632083001</v>
      </c>
      <c r="AE5365">
        <v>-0.89713000000000398</v>
      </c>
      <c r="AF5365">
        <v>1.2003892284336499</v>
      </c>
      <c r="AG5365">
        <v>-1.1180856632083001</v>
      </c>
      <c r="AH5365">
        <v>20.535443964546801</v>
      </c>
      <c r="AI5365">
        <v>93.111184486469298</v>
      </c>
      <c r="AJ5365">
        <v>86.654610378042605</v>
      </c>
      <c r="AK5365">
        <v>20.6008618429194</v>
      </c>
      <c r="AL5365">
        <v>78.914828422530604</v>
      </c>
      <c r="AM5365">
        <v>89.043045888132895</v>
      </c>
      <c r="AN5365">
        <v>1.0000000164695499</v>
      </c>
    </row>
    <row r="5366" spans="1:40" x14ac:dyDescent="0.25">
      <c r="A5366" t="str">
        <f>"20190303170643671"</f>
        <v>20190303170643671</v>
      </c>
      <c r="B5366" t="str">
        <f>"1551604003660247"</f>
        <v>1551604003660247</v>
      </c>
      <c r="C5366" t="s">
        <v>40</v>
      </c>
      <c r="D5366">
        <v>6.0769729999999997</v>
      </c>
      <c r="E5366">
        <v>0.52102780000000004</v>
      </c>
      <c r="F5366" t="s">
        <v>108</v>
      </c>
      <c r="G5366">
        <v>-241.44220000000001</v>
      </c>
      <c r="H5366" s="1">
        <v>-4.488527E-7</v>
      </c>
      <c r="I5366">
        <v>-63.551909999999999</v>
      </c>
      <c r="J5366">
        <v>-262.39440000000002</v>
      </c>
      <c r="K5366">
        <v>1.11826</v>
      </c>
      <c r="L5366">
        <v>-62.629390000000001</v>
      </c>
      <c r="M5366">
        <v>0.99984589999999995</v>
      </c>
      <c r="N5366">
        <v>-1.059798E-2</v>
      </c>
      <c r="O5366">
        <v>1.399487E-2</v>
      </c>
      <c r="P5366">
        <v>0.98304669999999905</v>
      </c>
      <c r="Q5366">
        <v>0.18334529999999999</v>
      </c>
      <c r="R5366">
        <v>-1.914958E-3</v>
      </c>
      <c r="S5366">
        <v>3.0810550000000001</v>
      </c>
      <c r="T5366">
        <v>-0.1630654</v>
      </c>
      <c r="U5366">
        <v>-0.13430790000000001</v>
      </c>
      <c r="V5366">
        <v>1.680891E-2</v>
      </c>
      <c r="W5366">
        <v>0.19365660000000001</v>
      </c>
      <c r="X5366">
        <v>0.98092539999999995</v>
      </c>
      <c r="Y5366">
        <v>5.741943E-2</v>
      </c>
      <c r="Z5366">
        <v>-2.4140490000000001E-3</v>
      </c>
      <c r="AA5366">
        <v>0.99834719999999999</v>
      </c>
      <c r="AB5366">
        <v>34</v>
      </c>
      <c r="AC5366">
        <v>20.952200000000001</v>
      </c>
      <c r="AD5366">
        <v>-1.1182604488526999</v>
      </c>
      <c r="AE5366">
        <v>-0.92251999999999801</v>
      </c>
      <c r="AF5366">
        <v>1.21222300972243</v>
      </c>
      <c r="AG5366">
        <v>-1.1182604488526999</v>
      </c>
      <c r="AH5366">
        <v>20.877879585746602</v>
      </c>
      <c r="AI5366">
        <v>93.060800149573296</v>
      </c>
      <c r="AJ5366">
        <v>86.676991601926801</v>
      </c>
      <c r="AK5366">
        <v>20.9429187806691</v>
      </c>
      <c r="AL5366">
        <v>78.833743747640199</v>
      </c>
      <c r="AM5366">
        <v>89.018288900114001</v>
      </c>
      <c r="AN5366">
        <v>1.0000000292720499</v>
      </c>
    </row>
    <row r="5367" spans="1:40" x14ac:dyDescent="0.25">
      <c r="A5367" t="str">
        <f>"20190303170643685"</f>
        <v>20190303170643685</v>
      </c>
      <c r="B5367" t="str">
        <f>"1551604003680743"</f>
        <v>1551604003680743</v>
      </c>
      <c r="C5367" t="s">
        <v>40</v>
      </c>
      <c r="D5367">
        <v>6.0905269999999998</v>
      </c>
      <c r="E5367">
        <v>0.52061459999999904</v>
      </c>
      <c r="F5367" t="s">
        <v>108</v>
      </c>
      <c r="G5367">
        <v>-240.6857</v>
      </c>
      <c r="H5367" s="1">
        <v>-1.3386969999999999E-7</v>
      </c>
      <c r="I5367">
        <v>-63.587899999999998</v>
      </c>
      <c r="J5367">
        <v>-262.20929999999998</v>
      </c>
      <c r="K5367">
        <v>1.1184350000000001</v>
      </c>
      <c r="L5367">
        <v>-62.627719999999997</v>
      </c>
      <c r="M5367">
        <v>0.99985840000000004</v>
      </c>
      <c r="N5367">
        <v>-1.0590820000000001E-2</v>
      </c>
      <c r="O5367">
        <v>1.3086499999999999E-2</v>
      </c>
      <c r="P5367">
        <v>0.98281929999999995</v>
      </c>
      <c r="Q5367">
        <v>0.18454390000000001</v>
      </c>
      <c r="R5367">
        <v>-3.1646930000000001E-3</v>
      </c>
      <c r="S5367">
        <v>3.0810849999999999</v>
      </c>
      <c r="T5367">
        <v>-0.15871270000000001</v>
      </c>
      <c r="U5367">
        <v>-0.13604740000000001</v>
      </c>
      <c r="V5367">
        <v>1.709074E-2</v>
      </c>
      <c r="W5367">
        <v>0.19485079999999999</v>
      </c>
      <c r="X5367">
        <v>0.980684</v>
      </c>
      <c r="Y5367">
        <v>5.7081359999999998E-2</v>
      </c>
      <c r="Z5367">
        <v>-2.306083E-3</v>
      </c>
      <c r="AA5367">
        <v>0.99836689999999995</v>
      </c>
      <c r="AB5367">
        <v>34</v>
      </c>
      <c r="AC5367">
        <v>21.523599999999899</v>
      </c>
      <c r="AD5367">
        <v>-1.1184351338697001</v>
      </c>
      <c r="AE5367">
        <v>-0.96018000000000103</v>
      </c>
      <c r="AF5367">
        <v>1.2384447493378701</v>
      </c>
      <c r="AG5367">
        <v>-1.1184351338697001</v>
      </c>
      <c r="AH5367">
        <v>21.451383160038599</v>
      </c>
      <c r="AI5367">
        <v>92.979640120758404</v>
      </c>
      <c r="AJ5367">
        <v>86.6958317438759</v>
      </c>
      <c r="AK5367">
        <v>21.516191159789901</v>
      </c>
      <c r="AL5367">
        <v>78.763992324248093</v>
      </c>
      <c r="AM5367">
        <v>89.001586490558594</v>
      </c>
      <c r="AN5367">
        <v>1.00000001775519</v>
      </c>
    </row>
    <row r="5368" spans="1:40" x14ac:dyDescent="0.25">
      <c r="A5368" t="str">
        <f>"20190303170643696"</f>
        <v>20190303170643696</v>
      </c>
      <c r="B5368" t="str">
        <f>"1551604003680743"</f>
        <v>1551604003680743</v>
      </c>
      <c r="C5368" t="s">
        <v>40</v>
      </c>
      <c r="D5368">
        <v>6.0905269999999998</v>
      </c>
      <c r="E5368">
        <v>0.52061459999999904</v>
      </c>
      <c r="F5368" t="s">
        <v>108</v>
      </c>
      <c r="G5368">
        <v>-240.0351</v>
      </c>
      <c r="H5368" s="1">
        <v>1.4089939999999999E-7</v>
      </c>
      <c r="I5368">
        <v>-63.604080000000003</v>
      </c>
      <c r="J5368">
        <v>-262.0127</v>
      </c>
      <c r="K5368">
        <v>1.118595</v>
      </c>
      <c r="L5368">
        <v>-62.626040000000003</v>
      </c>
      <c r="M5368">
        <v>0.99986909999999896</v>
      </c>
      <c r="N5368">
        <v>-1.05834E-2</v>
      </c>
      <c r="O5368">
        <v>1.224303E-2</v>
      </c>
      <c r="P5368">
        <v>0.98259479999999999</v>
      </c>
      <c r="Q5368">
        <v>0.18571689999999999</v>
      </c>
      <c r="R5368">
        <v>-4.0990829999999999E-3</v>
      </c>
      <c r="S5368">
        <v>3.0812379999999999</v>
      </c>
      <c r="T5368">
        <v>-0.15541369999999999</v>
      </c>
      <c r="U5368">
        <v>-0.1356812</v>
      </c>
      <c r="V5368">
        <v>1.7127610000000001E-2</v>
      </c>
      <c r="W5368">
        <v>0.19601940000000001</v>
      </c>
      <c r="X5368">
        <v>0.98045040000000006</v>
      </c>
      <c r="Y5368">
        <v>5.612466E-2</v>
      </c>
      <c r="Z5368">
        <v>-2.19864E-3</v>
      </c>
      <c r="AA5368">
        <v>0.99842140000000001</v>
      </c>
      <c r="AB5368">
        <v>34</v>
      </c>
      <c r="AC5368">
        <v>21.977599999999899</v>
      </c>
      <c r="AD5368">
        <v>-1.1185948591006001</v>
      </c>
      <c r="AE5368">
        <v>-0.97803999999999902</v>
      </c>
      <c r="AF5368">
        <v>1.24383835386938</v>
      </c>
      <c r="AG5368">
        <v>-1.1185948591006001</v>
      </c>
      <c r="AH5368">
        <v>21.907338789198398</v>
      </c>
      <c r="AI5368">
        <v>92.918308208570295</v>
      </c>
      <c r="AJ5368">
        <v>86.750392332675503</v>
      </c>
      <c r="AK5368">
        <v>21.9711146993975</v>
      </c>
      <c r="AL5368">
        <v>78.695719445645693</v>
      </c>
      <c r="AM5368">
        <v>88.999194697490296</v>
      </c>
      <c r="AN5368">
        <v>0.99999997353041503</v>
      </c>
    </row>
    <row r="5369" spans="1:40" x14ac:dyDescent="0.25">
      <c r="A5369" t="str">
        <f>"20190303170643706"</f>
        <v>20190303170643706</v>
      </c>
      <c r="B5369" t="str">
        <f>"1551604003700264"</f>
        <v>1551604003700264</v>
      </c>
      <c r="C5369" t="s">
        <v>40</v>
      </c>
      <c r="D5369">
        <v>6.09511</v>
      </c>
      <c r="E5369">
        <v>0.52017179999999996</v>
      </c>
      <c r="F5369" t="s">
        <v>107</v>
      </c>
      <c r="G5369">
        <v>-239.3091</v>
      </c>
      <c r="H5369" s="1">
        <v>-3.6203400000000001E-6</v>
      </c>
      <c r="I5369">
        <v>-63.644150000000003</v>
      </c>
      <c r="J5369">
        <v>-261.86509999999998</v>
      </c>
      <c r="K5369">
        <v>1.118711</v>
      </c>
      <c r="L5369">
        <v>-62.624850000000002</v>
      </c>
      <c r="M5369">
        <v>0.99987649999999995</v>
      </c>
      <c r="N5369">
        <v>-1.057806E-2</v>
      </c>
      <c r="O5369">
        <v>1.162695E-2</v>
      </c>
      <c r="P5369">
        <v>0.98250040000000005</v>
      </c>
      <c r="Q5369">
        <v>0.18621950000000001</v>
      </c>
      <c r="R5369">
        <v>-3.9532409999999997E-3</v>
      </c>
      <c r="S5369">
        <v>3.0812680000000001</v>
      </c>
      <c r="T5369">
        <v>-0.15181259999999999</v>
      </c>
      <c r="U5369">
        <v>-0.13818359999999999</v>
      </c>
      <c r="V5369">
        <v>1.632664E-2</v>
      </c>
      <c r="W5369">
        <v>0.1965239</v>
      </c>
      <c r="X5369">
        <v>0.98036310000000004</v>
      </c>
      <c r="Y5369">
        <v>5.6322650000000002E-2</v>
      </c>
      <c r="Z5369">
        <v>-2.133607E-3</v>
      </c>
      <c r="AA5369">
        <v>0.99841029999999997</v>
      </c>
      <c r="AB5369">
        <v>34</v>
      </c>
      <c r="AC5369">
        <v>22.555999999999901</v>
      </c>
      <c r="AD5369">
        <v>-1.11871462034</v>
      </c>
      <c r="AE5369">
        <v>-1.0193000000000001</v>
      </c>
      <c r="AF5369">
        <v>1.2783650180934201</v>
      </c>
      <c r="AG5369">
        <v>-1.11871462034</v>
      </c>
      <c r="AH5369">
        <v>22.487419448764999</v>
      </c>
      <c r="AI5369">
        <v>92.843445827357698</v>
      </c>
      <c r="AJ5369">
        <v>86.746350943205698</v>
      </c>
      <c r="AK5369">
        <v>22.551491591155202</v>
      </c>
      <c r="AL5369">
        <v>78.666240705232099</v>
      </c>
      <c r="AM5369">
        <v>89.045903400920807</v>
      </c>
      <c r="AN5369">
        <v>1.00000000514325</v>
      </c>
    </row>
    <row r="5370" spans="1:40" x14ac:dyDescent="0.25">
      <c r="A5370" t="str">
        <f>"20190303170643717"</f>
        <v>20190303170643717</v>
      </c>
      <c r="B5370" t="str">
        <f>"1551604003710023"</f>
        <v>1551604003710023</v>
      </c>
      <c r="C5370" t="s">
        <v>40</v>
      </c>
      <c r="D5370">
        <v>6.1381949999999996</v>
      </c>
      <c r="E5370">
        <v>0.51996309999999901</v>
      </c>
      <c r="F5370" t="s">
        <v>107</v>
      </c>
      <c r="G5370">
        <v>-238.98230000000001</v>
      </c>
      <c r="H5370" s="1">
        <v>-3.5050860000000002E-6</v>
      </c>
      <c r="I5370">
        <v>-63.62124</v>
      </c>
      <c r="J5370">
        <v>-261.68700000000001</v>
      </c>
      <c r="K5370">
        <v>1.118827</v>
      </c>
      <c r="L5370">
        <v>-62.6235</v>
      </c>
      <c r="M5370">
        <v>0.99988429999999995</v>
      </c>
      <c r="N5370">
        <v>-1.057191E-2</v>
      </c>
      <c r="O5370">
        <v>1.0936950000000001E-2</v>
      </c>
      <c r="P5370">
        <v>0.98247090000000004</v>
      </c>
      <c r="Q5370">
        <v>0.18637989999999999</v>
      </c>
      <c r="R5370">
        <v>-3.661255E-3</v>
      </c>
      <c r="S5370">
        <v>3.0814819999999998</v>
      </c>
      <c r="T5370">
        <v>-0.15065029999999999</v>
      </c>
      <c r="U5370">
        <v>-0.13418579999999999</v>
      </c>
      <c r="V5370">
        <v>1.5303840000000001E-2</v>
      </c>
      <c r="W5370">
        <v>0.19668749999999999</v>
      </c>
      <c r="X5370">
        <v>0.98034679999999996</v>
      </c>
      <c r="Y5370">
        <v>5.4342389999999997E-2</v>
      </c>
      <c r="Z5370">
        <v>-2.0331870000000001E-3</v>
      </c>
      <c r="AA5370">
        <v>0.99852030000000003</v>
      </c>
      <c r="AB5370">
        <v>34</v>
      </c>
      <c r="AC5370">
        <v>22.704699999999999</v>
      </c>
      <c r="AD5370">
        <v>-1.1188305050859999</v>
      </c>
      <c r="AE5370">
        <v>-0.99773999999999996</v>
      </c>
      <c r="AF5370">
        <v>1.2430018382297601</v>
      </c>
      <c r="AG5370">
        <v>-1.1188305050859999</v>
      </c>
      <c r="AH5370">
        <v>22.6375648497262</v>
      </c>
      <c r="AI5370">
        <v>92.825213891145793</v>
      </c>
      <c r="AJ5370">
        <v>86.857112741529704</v>
      </c>
      <c r="AK5370">
        <v>22.699255000869801</v>
      </c>
      <c r="AL5370">
        <v>78.656680630601898</v>
      </c>
      <c r="AM5370">
        <v>89.105648913219696</v>
      </c>
      <c r="AN5370">
        <v>1.00000001422261</v>
      </c>
    </row>
    <row r="5371" spans="1:40" x14ac:dyDescent="0.25">
      <c r="A5371" t="str">
        <f>"20190303170643727"</f>
        <v>20190303170643727</v>
      </c>
      <c r="B5371" t="str">
        <f>"1551604003719783"</f>
        <v>1551604003719783</v>
      </c>
      <c r="C5371" t="s">
        <v>40</v>
      </c>
      <c r="D5371">
        <v>6.1092380000000004</v>
      </c>
      <c r="E5371">
        <v>0.51996309999999901</v>
      </c>
      <c r="F5371" t="s">
        <v>107</v>
      </c>
      <c r="G5371">
        <v>-238.75630000000001</v>
      </c>
      <c r="H5371" s="1">
        <v>-3.4256639999999999E-6</v>
      </c>
      <c r="I5371">
        <v>-63.607199999999999</v>
      </c>
      <c r="J5371">
        <v>-261.52370000000002</v>
      </c>
      <c r="K5371">
        <v>1.118924</v>
      </c>
      <c r="L5371">
        <v>-62.62238</v>
      </c>
      <c r="M5371">
        <v>0.99989090000000003</v>
      </c>
      <c r="N5371">
        <v>-1.0566570000000001E-2</v>
      </c>
      <c r="O5371">
        <v>1.0323260000000001E-2</v>
      </c>
      <c r="P5371">
        <v>0.98248460000000004</v>
      </c>
      <c r="Q5371">
        <v>0.1863187</v>
      </c>
      <c r="R5371">
        <v>-3.0864629999999998E-3</v>
      </c>
      <c r="S5371">
        <v>3.0815429999999999</v>
      </c>
      <c r="T5371">
        <v>-0.15035370000000001</v>
      </c>
      <c r="U5371">
        <v>-0.13220209999999999</v>
      </c>
      <c r="V5371">
        <v>1.408181E-2</v>
      </c>
      <c r="W5371">
        <v>0.19662959999999999</v>
      </c>
      <c r="X5371">
        <v>0.98037669999999999</v>
      </c>
      <c r="Y5371">
        <v>5.3089669999999999E-2</v>
      </c>
      <c r="Z5371">
        <v>-1.9688319999999998E-3</v>
      </c>
      <c r="AA5371">
        <v>0.99858780000000003</v>
      </c>
      <c r="AB5371">
        <v>34</v>
      </c>
      <c r="AC5371">
        <v>22.767399999999999</v>
      </c>
      <c r="AD5371">
        <v>-1.1189274256640001</v>
      </c>
      <c r="AE5371">
        <v>-0.98481999999999204</v>
      </c>
      <c r="AF5371">
        <v>1.21688074185921</v>
      </c>
      <c r="AG5371">
        <v>-1.1189274256640001</v>
      </c>
      <c r="AH5371">
        <v>22.7012907849371</v>
      </c>
      <c r="AI5371">
        <v>92.817738108371898</v>
      </c>
      <c r="AJ5371">
        <v>86.931651748144802</v>
      </c>
      <c r="AK5371">
        <v>22.761401552322798</v>
      </c>
      <c r="AL5371">
        <v>78.660063798251102</v>
      </c>
      <c r="AM5371">
        <v>89.177078768984998</v>
      </c>
      <c r="AN5371">
        <v>0.99999998543596302</v>
      </c>
    </row>
    <row r="5372" spans="1:40" x14ac:dyDescent="0.25">
      <c r="A5372" t="str">
        <f>"20190303170643738"</f>
        <v>20190303170643738</v>
      </c>
      <c r="B5372" t="str">
        <f>"1551604003730519"</f>
        <v>1551604003730519</v>
      </c>
      <c r="C5372" t="s">
        <v>40</v>
      </c>
      <c r="D5372">
        <v>6.1281230000000004</v>
      </c>
      <c r="E5372">
        <v>0.51014150000000003</v>
      </c>
      <c r="F5372" t="s">
        <v>107</v>
      </c>
      <c r="G5372">
        <v>-238.6018</v>
      </c>
      <c r="H5372" s="1">
        <v>-3.371506E-6</v>
      </c>
      <c r="I5372">
        <v>-63.598170000000003</v>
      </c>
      <c r="J5372">
        <v>-261.35820000000001</v>
      </c>
      <c r="K5372">
        <v>1.11901299999999</v>
      </c>
      <c r="L5372">
        <v>-62.621339999999996</v>
      </c>
      <c r="M5372">
        <v>0.99989700000000004</v>
      </c>
      <c r="N5372">
        <v>-1.056143E-2</v>
      </c>
      <c r="O5372">
        <v>9.7236149999999997E-3</v>
      </c>
      <c r="P5372">
        <v>0.98240850000000002</v>
      </c>
      <c r="Q5372">
        <v>0.1867267</v>
      </c>
      <c r="R5372">
        <v>-2.59918E-3</v>
      </c>
      <c r="S5372">
        <v>3.0816349999999999</v>
      </c>
      <c r="T5372">
        <v>-0.15042939999999999</v>
      </c>
      <c r="U5372">
        <v>-0.13119510000000001</v>
      </c>
      <c r="V5372">
        <v>1.2967060000000001E-2</v>
      </c>
      <c r="W5372">
        <v>0.19703960000000001</v>
      </c>
      <c r="X5372">
        <v>0.98030980000000001</v>
      </c>
      <c r="Y5372">
        <v>5.2165469999999999E-2</v>
      </c>
      <c r="Z5372">
        <v>-1.9192720000000001E-3</v>
      </c>
      <c r="AA5372">
        <v>0.99863659999999999</v>
      </c>
      <c r="AB5372">
        <v>34</v>
      </c>
      <c r="AC5372">
        <v>22.756399999999999</v>
      </c>
      <c r="AD5372">
        <v>-1.11901637150599</v>
      </c>
      <c r="AE5372">
        <v>-0.97682999999999198</v>
      </c>
      <c r="AF5372">
        <v>1.1951859105051801</v>
      </c>
      <c r="AG5372">
        <v>-1.11901637150599</v>
      </c>
      <c r="AH5372">
        <v>22.691057952658301</v>
      </c>
      <c r="AI5372">
        <v>92.819369478090806</v>
      </c>
      <c r="AJ5372">
        <v>86.984896632370805</v>
      </c>
      <c r="AK5372">
        <v>22.750050066126501</v>
      </c>
      <c r="AL5372">
        <v>78.636104262016701</v>
      </c>
      <c r="AM5372">
        <v>89.242163564836801</v>
      </c>
      <c r="AN5372">
        <v>1.00000002629462</v>
      </c>
    </row>
    <row r="5373" spans="1:40" x14ac:dyDescent="0.25">
      <c r="A5373" t="str">
        <f>"20190303170643751"</f>
        <v>20190303170643751</v>
      </c>
      <c r="B5373" t="str">
        <f>"1551604003740279"</f>
        <v>1551604003740279</v>
      </c>
      <c r="C5373" t="s">
        <v>40</v>
      </c>
      <c r="D5373">
        <v>6.088152</v>
      </c>
      <c r="E5373">
        <v>0.50985779999999903</v>
      </c>
      <c r="F5373" t="s">
        <v>108</v>
      </c>
      <c r="G5373">
        <v>-240.03819999999999</v>
      </c>
      <c r="H5373" s="1">
        <v>3.0672900000000002E-7</v>
      </c>
      <c r="I5373">
        <v>-62.975879999999997</v>
      </c>
      <c r="J5373">
        <v>-261.18400000000003</v>
      </c>
      <c r="K5373">
        <v>1.1190929999999999</v>
      </c>
      <c r="L5373">
        <v>-62.6203</v>
      </c>
      <c r="M5373">
        <v>0.99990279999999998</v>
      </c>
      <c r="N5373">
        <v>-1.0556380000000001E-2</v>
      </c>
      <c r="O5373">
        <v>9.1068840000000009E-3</v>
      </c>
      <c r="P5373">
        <v>0.98227909999999996</v>
      </c>
      <c r="Q5373">
        <v>0.18740499999999999</v>
      </c>
      <c r="R5373">
        <v>-2.767959E-3</v>
      </c>
      <c r="S5373">
        <v>3.0843509999999998</v>
      </c>
      <c r="T5373">
        <v>-0.16188729999999901</v>
      </c>
      <c r="U5373">
        <v>-5.130005E-2</v>
      </c>
      <c r="V5373">
        <v>1.2495640000000001E-2</v>
      </c>
      <c r="W5373">
        <v>0.1977151</v>
      </c>
      <c r="X5373">
        <v>0.98017989999999999</v>
      </c>
      <c r="Y5373">
        <v>2.5685039999999999E-2</v>
      </c>
      <c r="Z5373">
        <v>-1.190801E-3</v>
      </c>
      <c r="AA5373">
        <v>0.99966940000000004</v>
      </c>
      <c r="AB5373">
        <v>34</v>
      </c>
      <c r="AC5373">
        <v>21.145800000000001</v>
      </c>
      <c r="AD5373">
        <v>-1.1190926932709999</v>
      </c>
      <c r="AE5373">
        <v>-0.355580000000003</v>
      </c>
      <c r="AF5373">
        <v>0.54661779254648502</v>
      </c>
      <c r="AG5373">
        <v>-1.1190926932709999</v>
      </c>
      <c r="AH5373">
        <v>21.082652766774601</v>
      </c>
      <c r="AI5373">
        <v>93.037458773362303</v>
      </c>
      <c r="AJ5373">
        <v>88.514803716765201</v>
      </c>
      <c r="AK5373">
        <v>21.119408304960899</v>
      </c>
      <c r="AL5373">
        <v>78.596624213631301</v>
      </c>
      <c r="AM5373">
        <v>89.269615044175595</v>
      </c>
      <c r="AN5373">
        <v>1.0000000190755101</v>
      </c>
    </row>
    <row r="5374" spans="1:40" x14ac:dyDescent="0.25">
      <c r="A5374" t="str">
        <f>"20190303170643760"</f>
        <v>20190303170643760</v>
      </c>
      <c r="B5374" t="str">
        <f>"1551604003750039"</f>
        <v>1551604003750039</v>
      </c>
      <c r="C5374" t="s">
        <v>40</v>
      </c>
      <c r="D5374">
        <v>6.0949580000000001</v>
      </c>
      <c r="E5374">
        <v>0.50947929999999997</v>
      </c>
      <c r="F5374" t="s">
        <v>107</v>
      </c>
      <c r="G5374">
        <v>-239.27170000000001</v>
      </c>
      <c r="H5374" s="1">
        <v>-3.4887589999999999E-6</v>
      </c>
      <c r="I5374">
        <v>-62.974110000000003</v>
      </c>
      <c r="J5374">
        <v>-261.02120000000002</v>
      </c>
      <c r="K5374">
        <v>1.119164</v>
      </c>
      <c r="L5374">
        <v>-62.61938</v>
      </c>
      <c r="M5374">
        <v>0.99990800000000002</v>
      </c>
      <c r="N5374">
        <v>-1.055188E-2</v>
      </c>
      <c r="O5374">
        <v>8.5388630000000007E-3</v>
      </c>
      <c r="P5374">
        <v>0.98198370000000001</v>
      </c>
      <c r="Q5374">
        <v>0.1889518</v>
      </c>
      <c r="R5374">
        <v>-2.2862249999999998E-3</v>
      </c>
      <c r="S5374">
        <v>3.0840450000000001</v>
      </c>
      <c r="T5374">
        <v>-0.15750720000000001</v>
      </c>
      <c r="U5374">
        <v>-4.9804689999999999E-2</v>
      </c>
      <c r="V5374">
        <v>1.1429430000000001E-2</v>
      </c>
      <c r="W5374">
        <v>0.19926060000000001</v>
      </c>
      <c r="X5374">
        <v>0.97987990000000003</v>
      </c>
      <c r="Y5374">
        <v>2.4638920000000002E-2</v>
      </c>
      <c r="Z5374">
        <v>-1.104566E-3</v>
      </c>
      <c r="AA5374">
        <v>0.99969580000000002</v>
      </c>
      <c r="AB5374">
        <v>34</v>
      </c>
      <c r="AC5374">
        <v>21.749500000000001</v>
      </c>
      <c r="AD5374">
        <v>-1.119167488759</v>
      </c>
      <c r="AE5374">
        <v>-0.354729999999989</v>
      </c>
      <c r="AF5374">
        <v>0.53901653296355501</v>
      </c>
      <c r="AG5374">
        <v>-1.119167488759</v>
      </c>
      <c r="AH5374">
        <v>21.688266066409099</v>
      </c>
      <c r="AI5374">
        <v>92.953071772007704</v>
      </c>
      <c r="AJ5374">
        <v>88.5763261968834</v>
      </c>
      <c r="AK5374">
        <v>21.723810891693301</v>
      </c>
      <c r="AL5374">
        <v>78.506275943249506</v>
      </c>
      <c r="AM5374">
        <v>89.331725851796406</v>
      </c>
      <c r="AN5374">
        <v>1.0000000185032401</v>
      </c>
    </row>
    <row r="5375" spans="1:40" x14ac:dyDescent="0.25">
      <c r="A5375" t="str">
        <f>"20190303170643772"</f>
        <v>20190303170643772</v>
      </c>
      <c r="B5375" t="str">
        <f>"1551604003759799"</f>
        <v>1551604003759799</v>
      </c>
      <c r="C5375" t="s">
        <v>40</v>
      </c>
      <c r="D5375">
        <v>6.0996160000000001</v>
      </c>
      <c r="E5375">
        <v>0.50938279999999903</v>
      </c>
      <c r="F5375" t="s">
        <v>107</v>
      </c>
      <c r="G5375">
        <v>-239.21979999999999</v>
      </c>
      <c r="H5375" s="1">
        <v>-3.464438E-6</v>
      </c>
      <c r="I5375">
        <v>-62.936520000000002</v>
      </c>
      <c r="J5375">
        <v>-260.84660000000002</v>
      </c>
      <c r="K5375">
        <v>1.119237</v>
      </c>
      <c r="L5375">
        <v>-62.618560000000002</v>
      </c>
      <c r="M5375">
        <v>0.99991300000000005</v>
      </c>
      <c r="N5375">
        <v>-1.0547519999999999E-2</v>
      </c>
      <c r="O5375">
        <v>7.9360160000000006E-3</v>
      </c>
      <c r="P5375">
        <v>0.98165469999999999</v>
      </c>
      <c r="Q5375">
        <v>0.19064980000000001</v>
      </c>
      <c r="R5375">
        <v>-2.6990899999999999E-3</v>
      </c>
      <c r="S5375">
        <v>3.0854189999999999</v>
      </c>
      <c r="T5375">
        <v>-0.15838869999999999</v>
      </c>
      <c r="U5375">
        <v>-4.4891359999999998E-2</v>
      </c>
      <c r="V5375">
        <v>1.122657E-2</v>
      </c>
      <c r="W5375">
        <v>0.20095279999999999</v>
      </c>
      <c r="X5375">
        <v>0.97953659999999998</v>
      </c>
      <c r="Y5375">
        <v>2.244092E-2</v>
      </c>
      <c r="Z5375">
        <v>-1.017486E-3</v>
      </c>
      <c r="AA5375">
        <v>0.99974759999999996</v>
      </c>
      <c r="AB5375">
        <v>34</v>
      </c>
      <c r="AC5375">
        <v>21.626799999999999</v>
      </c>
      <c r="AD5375">
        <v>-1.1192404644380001</v>
      </c>
      <c r="AE5375">
        <v>-0.31795999999999902</v>
      </c>
      <c r="AF5375">
        <v>0.48828265026481799</v>
      </c>
      <c r="AG5375">
        <v>-1.1192404644380001</v>
      </c>
      <c r="AH5375">
        <v>21.565847672191701</v>
      </c>
      <c r="AI5375">
        <v>92.970153848697905</v>
      </c>
      <c r="AJ5375">
        <v>88.702960515761305</v>
      </c>
      <c r="AK5375">
        <v>21.600391315528501</v>
      </c>
      <c r="AL5375">
        <v>78.407318378827796</v>
      </c>
      <c r="AM5375">
        <v>89.343355912198007</v>
      </c>
      <c r="AN5375">
        <v>1.0000000072206801</v>
      </c>
    </row>
    <row r="5376" spans="1:40" x14ac:dyDescent="0.25">
      <c r="A5376" t="str">
        <f>"20190303170643784"</f>
        <v>20190303170643784</v>
      </c>
      <c r="B5376" t="str">
        <f>"1551604003770535"</f>
        <v>1551604003770535</v>
      </c>
      <c r="C5376" t="s">
        <v>40</v>
      </c>
      <c r="D5376">
        <v>6.1093919999999997</v>
      </c>
      <c r="E5376">
        <v>0.50884510000000005</v>
      </c>
      <c r="F5376" t="s">
        <v>107</v>
      </c>
      <c r="G5376">
        <v>-238.64570000000001</v>
      </c>
      <c r="H5376" s="1">
        <v>-3.2699529999999998E-6</v>
      </c>
      <c r="I5376">
        <v>-62.941429999999997</v>
      </c>
      <c r="J5376">
        <v>-260.6628</v>
      </c>
      <c r="K5376">
        <v>1.119299</v>
      </c>
      <c r="L5376">
        <v>-62.617739999999998</v>
      </c>
      <c r="M5376">
        <v>0.99991770000000002</v>
      </c>
      <c r="N5376">
        <v>-1.0543159999999999E-2</v>
      </c>
      <c r="O5376">
        <v>7.3041699999999996E-3</v>
      </c>
      <c r="P5376">
        <v>0.98140910000000003</v>
      </c>
      <c r="Q5376">
        <v>0.19190740000000001</v>
      </c>
      <c r="R5376">
        <v>-2.8427470000000001E-3</v>
      </c>
      <c r="S5376">
        <v>3.0861510000000001</v>
      </c>
      <c r="T5376">
        <v>-0.15558620000000001</v>
      </c>
      <c r="U5376">
        <v>-4.4891359999999998E-2</v>
      </c>
      <c r="V5376">
        <v>1.072627E-2</v>
      </c>
      <c r="W5376">
        <v>0.20220630000000001</v>
      </c>
      <c r="X5376">
        <v>0.97928419999999905</v>
      </c>
      <c r="Y5376">
        <v>2.1808649999999999E-2</v>
      </c>
      <c r="Z5376">
        <v>-9.5543639999999997E-4</v>
      </c>
      <c r="AA5376">
        <v>0.99976169999999998</v>
      </c>
      <c r="AB5376">
        <v>34</v>
      </c>
      <c r="AC5376">
        <v>22.017099999999999</v>
      </c>
      <c r="AD5376">
        <v>-1.119302269953</v>
      </c>
      <c r="AE5376">
        <v>-0.32368999999999898</v>
      </c>
      <c r="AF5376">
        <v>0.48325824591475602</v>
      </c>
      <c r="AG5376">
        <v>-1.119302269953</v>
      </c>
      <c r="AH5376">
        <v>21.957411785809999</v>
      </c>
      <c r="AI5376">
        <v>92.917481671251593</v>
      </c>
      <c r="AJ5376">
        <v>88.739187079032902</v>
      </c>
      <c r="AK5376">
        <v>21.991232535612799</v>
      </c>
      <c r="AL5376">
        <v>78.333992725339399</v>
      </c>
      <c r="AM5376">
        <v>89.372454466619999</v>
      </c>
      <c r="AN5376">
        <v>0.99999999249872096</v>
      </c>
    </row>
    <row r="5377" spans="1:40" x14ac:dyDescent="0.25">
      <c r="A5377" t="str">
        <f>"20190303170643794"</f>
        <v>20190303170643794</v>
      </c>
      <c r="B5377" t="str">
        <f>"1551604003780296"</f>
        <v>1551604003780296</v>
      </c>
      <c r="C5377" t="s">
        <v>40</v>
      </c>
      <c r="D5377">
        <v>6.090605</v>
      </c>
      <c r="E5377">
        <v>0.50862940000000001</v>
      </c>
      <c r="F5377" t="s">
        <v>107</v>
      </c>
      <c r="G5377">
        <v>-237.6934</v>
      </c>
      <c r="H5377" s="1">
        <v>-2.9427039999999999E-6</v>
      </c>
      <c r="I5377">
        <v>-62.923630000000003</v>
      </c>
      <c r="J5377">
        <v>-260.49340000000001</v>
      </c>
      <c r="K5377">
        <v>1.119346</v>
      </c>
      <c r="L5377">
        <v>-62.617130000000003</v>
      </c>
      <c r="M5377">
        <v>0.99992199999999998</v>
      </c>
      <c r="N5377">
        <v>-1.0539710000000001E-2</v>
      </c>
      <c r="O5377">
        <v>6.7211170000000004E-3</v>
      </c>
      <c r="P5377">
        <v>0.98122129999999996</v>
      </c>
      <c r="Q5377">
        <v>0.1928668</v>
      </c>
      <c r="R5377">
        <v>-2.7351300000000001E-3</v>
      </c>
      <c r="S5377">
        <v>3.0861209999999999</v>
      </c>
      <c r="T5377">
        <v>-0.15038660000000001</v>
      </c>
      <c r="U5377">
        <v>-4.110718E-2</v>
      </c>
      <c r="V5377">
        <v>1.0029079999999999E-2</v>
      </c>
      <c r="W5377">
        <v>0.20316400000000001</v>
      </c>
      <c r="X5377">
        <v>0.9790934</v>
      </c>
      <c r="Y5377">
        <v>2.000565E-2</v>
      </c>
      <c r="Z5377">
        <v>-8.4914619999999904E-4</v>
      </c>
      <c r="AA5377">
        <v>0.99979949999999995</v>
      </c>
      <c r="AB5377">
        <v>34</v>
      </c>
      <c r="AC5377">
        <v>22.8</v>
      </c>
      <c r="AD5377">
        <v>-1.119348942704</v>
      </c>
      <c r="AE5377">
        <v>-0.306499999999999</v>
      </c>
      <c r="AF5377">
        <v>0.45863780577495999</v>
      </c>
      <c r="AG5377">
        <v>-1.119348942704</v>
      </c>
      <c r="AH5377">
        <v>22.7426194301006</v>
      </c>
      <c r="AI5377">
        <v>92.817144846151194</v>
      </c>
      <c r="AJ5377">
        <v>88.844704355620905</v>
      </c>
      <c r="AK5377">
        <v>22.774767380476298</v>
      </c>
      <c r="AL5377">
        <v>78.277958044957501</v>
      </c>
      <c r="AM5377">
        <v>89.413126612410807</v>
      </c>
      <c r="AN5377">
        <v>1.0000000396326001</v>
      </c>
    </row>
    <row r="5378" spans="1:40" x14ac:dyDescent="0.25">
      <c r="A5378" t="str">
        <f>"20190303170643806"</f>
        <v>20190303170643806</v>
      </c>
      <c r="B5378" t="str">
        <f>"1551604003800792"</f>
        <v>1551604003800792</v>
      </c>
      <c r="C5378" t="s">
        <v>40</v>
      </c>
      <c r="D5378">
        <v>6.1106530000000001</v>
      </c>
      <c r="E5378">
        <v>0.50847979999999904</v>
      </c>
      <c r="F5378" t="s">
        <v>107</v>
      </c>
      <c r="G5378">
        <v>-236.8579</v>
      </c>
      <c r="H5378" s="1">
        <v>-2.6035780000000002E-6</v>
      </c>
      <c r="I5378">
        <v>-62.918340000000001</v>
      </c>
      <c r="J5378">
        <v>-260.3032</v>
      </c>
      <c r="K5378">
        <v>1.1193919999999999</v>
      </c>
      <c r="L5378">
        <v>-62.616520000000001</v>
      </c>
      <c r="M5378">
        <v>0.99992610000000004</v>
      </c>
      <c r="N5378">
        <v>-1.053601E-2</v>
      </c>
      <c r="O5378">
        <v>6.0649569999999898E-3</v>
      </c>
      <c r="P5378">
        <v>0.98105419999999999</v>
      </c>
      <c r="Q5378">
        <v>0.1937159</v>
      </c>
      <c r="R5378">
        <v>-2.597285E-3</v>
      </c>
      <c r="S5378">
        <v>3.0860289999999999</v>
      </c>
      <c r="T5378">
        <v>-0.14615049999999999</v>
      </c>
      <c r="U5378">
        <v>-3.9337160000000003E-2</v>
      </c>
      <c r="V5378">
        <v>9.2286629999999998E-3</v>
      </c>
      <c r="W5378">
        <v>0.20401140000000001</v>
      </c>
      <c r="X5378">
        <v>0.97892500000000005</v>
      </c>
      <c r="Y5378">
        <v>1.8780539999999998E-2</v>
      </c>
      <c r="Z5378">
        <v>-7.6664099999999998E-4</v>
      </c>
      <c r="AA5378">
        <v>0.99982329999999997</v>
      </c>
      <c r="AB5378">
        <v>34</v>
      </c>
      <c r="AC5378">
        <v>23.4453</v>
      </c>
      <c r="AD5378">
        <v>-1.119394603578</v>
      </c>
      <c r="AE5378">
        <v>-0.30182000000000597</v>
      </c>
      <c r="AF5378">
        <v>0.44300737449257799</v>
      </c>
      <c r="AG5378">
        <v>-1.119394603578</v>
      </c>
      <c r="AH5378">
        <v>23.389728197915801</v>
      </c>
      <c r="AI5378">
        <v>92.739502219348196</v>
      </c>
      <c r="AJ5378">
        <v>88.914933165795603</v>
      </c>
      <c r="AK5378">
        <v>23.4206892508472</v>
      </c>
      <c r="AL5378">
        <v>78.228366380862994</v>
      </c>
      <c r="AM5378">
        <v>89.459868961668604</v>
      </c>
      <c r="AN5378">
        <v>0.99999998758786302</v>
      </c>
    </row>
    <row r="5379" spans="1:40" x14ac:dyDescent="0.25">
      <c r="A5379" t="str">
        <f>"20190303170643818"</f>
        <v>20190303170643818</v>
      </c>
      <c r="B5379" t="str">
        <f>"1551604003810551"</f>
        <v>1551604003810551</v>
      </c>
      <c r="C5379" t="s">
        <v>40</v>
      </c>
      <c r="D5379">
        <v>6.0995470000000003</v>
      </c>
      <c r="E5379">
        <v>0.50849849999999996</v>
      </c>
      <c r="F5379" t="s">
        <v>107</v>
      </c>
      <c r="G5379">
        <v>-236.51669999999999</v>
      </c>
      <c r="H5379" s="1">
        <v>-2.4545279999999999E-6</v>
      </c>
      <c r="I5379">
        <v>-62.908320000000003</v>
      </c>
      <c r="J5379">
        <v>-260.13220000000001</v>
      </c>
      <c r="K5379">
        <v>1.1194269999999999</v>
      </c>
      <c r="L5379">
        <v>-62.616059999999997</v>
      </c>
      <c r="M5379">
        <v>0.99992970000000003</v>
      </c>
      <c r="N5379">
        <v>-1.0532929999999999E-2</v>
      </c>
      <c r="O5379">
        <v>5.4719800000000004E-3</v>
      </c>
      <c r="P5379">
        <v>0.98092590000000002</v>
      </c>
      <c r="Q5379">
        <v>0.19436790000000001</v>
      </c>
      <c r="R5379">
        <v>-2.436845E-3</v>
      </c>
      <c r="S5379">
        <v>3.0865170000000002</v>
      </c>
      <c r="T5379">
        <v>-0.14525179999999999</v>
      </c>
      <c r="U5379">
        <v>-3.7872309999999999E-2</v>
      </c>
      <c r="V5379">
        <v>8.4721919999999999E-3</v>
      </c>
      <c r="W5379">
        <v>0.20466200000000001</v>
      </c>
      <c r="X5379">
        <v>0.97879609999999995</v>
      </c>
      <c r="Y5379">
        <v>1.7713369999999999E-2</v>
      </c>
      <c r="Z5379">
        <v>-7.0965660000000001E-4</v>
      </c>
      <c r="AA5379">
        <v>0.99984289999999998</v>
      </c>
      <c r="AB5379">
        <v>34</v>
      </c>
      <c r="AC5379">
        <v>23.615500000000001</v>
      </c>
      <c r="AD5379">
        <v>-1.1194294545279999</v>
      </c>
      <c r="AE5379">
        <v>-0.29225999999999802</v>
      </c>
      <c r="AF5379">
        <v>0.42054151412848101</v>
      </c>
      <c r="AG5379">
        <v>-1.1194294545279999</v>
      </c>
      <c r="AH5379">
        <v>23.560614955558499</v>
      </c>
      <c r="AI5379">
        <v>92.719801386635794</v>
      </c>
      <c r="AJ5379">
        <v>88.977416527726405</v>
      </c>
      <c r="AK5379">
        <v>23.590942214181599</v>
      </c>
      <c r="AL5379">
        <v>78.190287134133001</v>
      </c>
      <c r="AM5379">
        <v>89.504075749247605</v>
      </c>
      <c r="AN5379">
        <v>1.0000000588282401</v>
      </c>
    </row>
    <row r="5380" spans="1:40" x14ac:dyDescent="0.25">
      <c r="A5380" t="str">
        <f>"20190303170643830"</f>
        <v>20190303170643830</v>
      </c>
      <c r="B5380" t="str">
        <f>"1551604003820311"</f>
        <v>1551604003820311</v>
      </c>
      <c r="C5380" t="s">
        <v>40</v>
      </c>
      <c r="D5380">
        <v>6.0877840000000001</v>
      </c>
      <c r="E5380">
        <v>0.508575</v>
      </c>
      <c r="F5380" t="s">
        <v>107</v>
      </c>
      <c r="G5380">
        <v>-236.3237</v>
      </c>
      <c r="H5380" s="1">
        <v>-2.3718100000000002E-6</v>
      </c>
      <c r="I5380">
        <v>-62.908560000000001</v>
      </c>
      <c r="J5380">
        <v>-259.96069999999997</v>
      </c>
      <c r="K5380">
        <v>1.119459</v>
      </c>
      <c r="L5380">
        <v>-62.615720000000003</v>
      </c>
      <c r="M5380">
        <v>0.99993259999999995</v>
      </c>
      <c r="N5380">
        <v>-1.0530019999999999E-2</v>
      </c>
      <c r="O5380">
        <v>4.8744060000000004E-3</v>
      </c>
      <c r="P5380">
        <v>0.98073940000000004</v>
      </c>
      <c r="Q5380">
        <v>0.19530629999999999</v>
      </c>
      <c r="R5380">
        <v>-2.4001000000000001E-3</v>
      </c>
      <c r="S5380">
        <v>3.0870060000000001</v>
      </c>
      <c r="T5380">
        <v>-0.1451451</v>
      </c>
      <c r="U5380">
        <v>-3.7933349999999998E-2</v>
      </c>
      <c r="V5380">
        <v>7.8375019999999997E-3</v>
      </c>
      <c r="W5380">
        <v>0.2055987</v>
      </c>
      <c r="X5380">
        <v>0.97860499999999995</v>
      </c>
      <c r="Y5380">
        <v>1.713489E-2</v>
      </c>
      <c r="Z5380">
        <v>-6.706158E-4</v>
      </c>
      <c r="AA5380">
        <v>0.99985299999999999</v>
      </c>
      <c r="AB5380">
        <v>34</v>
      </c>
      <c r="AC5380">
        <v>23.636999999999901</v>
      </c>
      <c r="AD5380">
        <v>-1.1194613718099999</v>
      </c>
      <c r="AE5380">
        <v>-0.29283999999999799</v>
      </c>
      <c r="AF5380">
        <v>0.40714615479895</v>
      </c>
      <c r="AG5380">
        <v>-1.1194613718099999</v>
      </c>
      <c r="AH5380">
        <v>23.582403930378501</v>
      </c>
      <c r="AI5380">
        <v>92.7173973888532</v>
      </c>
      <c r="AJ5380">
        <v>89.010896471931105</v>
      </c>
      <c r="AK5380">
        <v>23.612469944710799</v>
      </c>
      <c r="AL5380">
        <v>78.135451372043505</v>
      </c>
      <c r="AM5380">
        <v>89.541136428050507</v>
      </c>
      <c r="AN5380">
        <v>0.99999999895214398</v>
      </c>
    </row>
    <row r="5381" spans="1:40" x14ac:dyDescent="0.25">
      <c r="A5381" t="str">
        <f>"20190303170643838"</f>
        <v>20190303170643838</v>
      </c>
      <c r="B5381" t="str">
        <f>"1551604003830072"</f>
        <v>1551604003830072</v>
      </c>
      <c r="C5381" t="s">
        <v>40</v>
      </c>
      <c r="D5381">
        <v>6.4819469999999999</v>
      </c>
      <c r="E5381">
        <v>0.508575</v>
      </c>
      <c r="F5381" t="s">
        <v>107</v>
      </c>
      <c r="G5381">
        <v>-236.0686</v>
      </c>
      <c r="H5381" s="1">
        <v>-2.264687E-6</v>
      </c>
      <c r="I5381">
        <v>-62.917219999999901</v>
      </c>
      <c r="J5381">
        <v>-259.80779999999999</v>
      </c>
      <c r="K5381">
        <v>1.11948</v>
      </c>
      <c r="L5381">
        <v>-62.61551</v>
      </c>
      <c r="M5381">
        <v>0.99993529999999997</v>
      </c>
      <c r="N5381">
        <v>-1.052756E-2</v>
      </c>
      <c r="O5381">
        <v>4.3390770000000002E-3</v>
      </c>
      <c r="P5381">
        <v>0.98055409999999998</v>
      </c>
      <c r="Q5381">
        <v>0.19622970000000001</v>
      </c>
      <c r="R5381">
        <v>-2.8375420000000002E-3</v>
      </c>
      <c r="S5381">
        <v>3.0876459999999999</v>
      </c>
      <c r="T5381">
        <v>-0.14467140000000001</v>
      </c>
      <c r="U5381">
        <v>-3.8970949999999997E-2</v>
      </c>
      <c r="V5381">
        <v>7.7408059999999898E-3</v>
      </c>
      <c r="W5381">
        <v>0.20651839999999999</v>
      </c>
      <c r="X5381">
        <v>0.97841210000000001</v>
      </c>
      <c r="Y5381">
        <v>1.6933799999999999E-2</v>
      </c>
      <c r="Z5381">
        <v>-6.4321319999999997E-4</v>
      </c>
      <c r="AA5381">
        <v>0.99985639999999998</v>
      </c>
      <c r="AB5381">
        <v>34</v>
      </c>
      <c r="AC5381">
        <v>23.739199999999901</v>
      </c>
      <c r="AD5381">
        <v>-1.119482264687</v>
      </c>
      <c r="AE5381">
        <v>-0.30170999999999198</v>
      </c>
      <c r="AF5381">
        <v>0.40382118517087401</v>
      </c>
      <c r="AG5381">
        <v>-1.119482264687</v>
      </c>
      <c r="AH5381">
        <v>23.685004282515401</v>
      </c>
      <c r="AI5381">
        <v>92.7057038997131</v>
      </c>
      <c r="AJ5381">
        <v>89.023221284875206</v>
      </c>
      <c r="AK5381">
        <v>23.714884354626601</v>
      </c>
      <c r="AL5381">
        <v>78.081600845035297</v>
      </c>
      <c r="AM5381">
        <v>89.546708119760297</v>
      </c>
      <c r="AN5381">
        <v>1.00000000352125</v>
      </c>
    </row>
    <row r="5382" spans="1:40" x14ac:dyDescent="0.25">
      <c r="A5382" t="str">
        <f>"20190303170643850"</f>
        <v>20190303170643850</v>
      </c>
      <c r="B5382" t="str">
        <f>"1551604003840808"</f>
        <v>1551604003840808</v>
      </c>
      <c r="C5382" t="s">
        <v>40</v>
      </c>
      <c r="D5382">
        <v>6.146852</v>
      </c>
      <c r="E5382">
        <v>0.51063069999999999</v>
      </c>
      <c r="F5382" t="s">
        <v>107</v>
      </c>
      <c r="G5382">
        <v>-235.4195</v>
      </c>
      <c r="H5382" s="1">
        <v>-1.9914870000000002E-6</v>
      </c>
      <c r="I5382">
        <v>-62.936999999999998</v>
      </c>
      <c r="J5382">
        <v>-259.63630000000001</v>
      </c>
      <c r="K5382">
        <v>1.1195059999999999</v>
      </c>
      <c r="L5382">
        <v>-62.615360000000003</v>
      </c>
      <c r="M5382">
        <v>0.99993770000000004</v>
      </c>
      <c r="N5382">
        <v>-1.0525120000000001E-2</v>
      </c>
      <c r="O5382">
        <v>3.7359590000000001E-3</v>
      </c>
      <c r="P5382">
        <v>0.98032960000000002</v>
      </c>
      <c r="Q5382">
        <v>0.19732769999999999</v>
      </c>
      <c r="R5382">
        <v>-3.9641950000000002E-3</v>
      </c>
      <c r="S5382">
        <v>3.0877379999999999</v>
      </c>
      <c r="T5382">
        <v>-0.14173459999999999</v>
      </c>
      <c r="U5382">
        <v>-4.0710450000000002E-2</v>
      </c>
      <c r="V5382">
        <v>8.2682209999999992E-3</v>
      </c>
      <c r="W5382">
        <v>0.20760999999999999</v>
      </c>
      <c r="X5382">
        <v>0.97817670000000001</v>
      </c>
      <c r="Y5382">
        <v>1.6894949999999999E-2</v>
      </c>
      <c r="Z5382">
        <v>-6.0860099999999996E-4</v>
      </c>
      <c r="AA5382">
        <v>0.99985710000000005</v>
      </c>
      <c r="AB5382">
        <v>34</v>
      </c>
      <c r="AC5382">
        <v>24.216799999999999</v>
      </c>
      <c r="AD5382">
        <v>-1.1195079914870001</v>
      </c>
      <c r="AE5382">
        <v>-0.32164000000000198</v>
      </c>
      <c r="AF5382">
        <v>0.41123704068473599</v>
      </c>
      <c r="AG5382">
        <v>-1.1195079914870001</v>
      </c>
      <c r="AH5382">
        <v>24.163798403668999</v>
      </c>
      <c r="AI5382">
        <v>92.652231248686107</v>
      </c>
      <c r="AJ5382">
        <v>89.024993008584005</v>
      </c>
      <c r="AK5382">
        <v>24.193213249582801</v>
      </c>
      <c r="AL5382">
        <v>78.017670789008605</v>
      </c>
      <c r="AM5382">
        <v>89.515708270881404</v>
      </c>
      <c r="AN5382">
        <v>0.99999996600069596</v>
      </c>
    </row>
    <row r="5383" spans="1:40" x14ac:dyDescent="0.25">
      <c r="A5383" t="str">
        <f>"20190303170643861"</f>
        <v>20190303170643861</v>
      </c>
      <c r="B5383" t="str">
        <f>"1551604003850568"</f>
        <v>1551604003850568</v>
      </c>
      <c r="C5383" t="s">
        <v>40</v>
      </c>
      <c r="D5383">
        <v>6.3605499999999999</v>
      </c>
      <c r="E5383">
        <v>0.51063069999999999</v>
      </c>
      <c r="F5383" t="s">
        <v>108</v>
      </c>
      <c r="G5383">
        <v>-242.40719999999999</v>
      </c>
      <c r="H5383" s="1">
        <v>-6.9844219999999898E-7</v>
      </c>
      <c r="I5383">
        <v>-62.934100000000001</v>
      </c>
      <c r="J5383">
        <v>-259.46789999999999</v>
      </c>
      <c r="K5383">
        <v>1.1195310000000001</v>
      </c>
      <c r="L5383">
        <v>-62.615259999999999</v>
      </c>
      <c r="M5383">
        <v>0.99993969999999999</v>
      </c>
      <c r="N5383">
        <v>-1.05229E-2</v>
      </c>
      <c r="O5383">
        <v>3.1420979999999999E-3</v>
      </c>
      <c r="P5383">
        <v>0.97997489999999998</v>
      </c>
      <c r="Q5383">
        <v>0.19905729999999999</v>
      </c>
      <c r="R5383">
        <v>-5.0680400000000002E-3</v>
      </c>
      <c r="S5383">
        <v>3.1005549999999999</v>
      </c>
      <c r="T5383">
        <v>-0.2014669</v>
      </c>
      <c r="U5383">
        <v>-5.7373050000000002E-2</v>
      </c>
      <c r="V5383">
        <v>8.7843560000000001E-3</v>
      </c>
      <c r="W5383">
        <v>0.2093323</v>
      </c>
      <c r="X5383">
        <v>0.97780509999999998</v>
      </c>
      <c r="Y5383">
        <v>2.1585050000000001E-2</v>
      </c>
      <c r="Z5383">
        <v>-9.8509779999999994E-4</v>
      </c>
      <c r="AA5383">
        <v>0.9997665</v>
      </c>
      <c r="AB5383">
        <v>35</v>
      </c>
      <c r="AC5383">
        <v>17.060699999999901</v>
      </c>
      <c r="AD5383">
        <v>-1.1195316984421999</v>
      </c>
      <c r="AE5383">
        <v>-0.31884000000000101</v>
      </c>
      <c r="AF5383">
        <v>0.37085143784972202</v>
      </c>
      <c r="AG5383">
        <v>-1.1195316984421999</v>
      </c>
      <c r="AH5383">
        <v>16.986494727562899</v>
      </c>
      <c r="AI5383">
        <v>93.769853189795796</v>
      </c>
      <c r="AJ5383">
        <v>88.749309519790899</v>
      </c>
      <c r="AK5383">
        <v>17.027386327393099</v>
      </c>
      <c r="AL5383">
        <v>77.916773741976399</v>
      </c>
      <c r="AM5383">
        <v>89.4852829209525</v>
      </c>
      <c r="AN5383">
        <v>0.99999999515981697</v>
      </c>
    </row>
    <row r="5384" spans="1:40" x14ac:dyDescent="0.25">
      <c r="A5384" t="str">
        <f>"20190303170643873"</f>
        <v>20190303170643873</v>
      </c>
      <c r="B5384" t="str">
        <f>"1551604003860328"</f>
        <v>1551604003860328</v>
      </c>
      <c r="C5384" t="s">
        <v>40</v>
      </c>
      <c r="D5384">
        <v>6.0880890000000001</v>
      </c>
      <c r="E5384">
        <v>0.50907119999999995</v>
      </c>
      <c r="F5384" t="s">
        <v>108</v>
      </c>
      <c r="G5384">
        <v>-241.75829999999999</v>
      </c>
      <c r="H5384" s="1">
        <v>-4.274383E-7</v>
      </c>
      <c r="I5384">
        <v>-62.961880000000001</v>
      </c>
      <c r="J5384">
        <v>-259.29410000000001</v>
      </c>
      <c r="K5384">
        <v>1.1195550000000001</v>
      </c>
      <c r="L5384">
        <v>-62.615360000000003</v>
      </c>
      <c r="M5384">
        <v>0.99994139999999998</v>
      </c>
      <c r="N5384">
        <v>-1.052088E-2</v>
      </c>
      <c r="O5384">
        <v>2.5267190000000002E-3</v>
      </c>
      <c r="P5384">
        <v>0.97972369999999998</v>
      </c>
      <c r="Q5384">
        <v>0.2002553</v>
      </c>
      <c r="R5384">
        <v>-6.2654109999999898E-3</v>
      </c>
      <c r="S5384">
        <v>3.1008</v>
      </c>
      <c r="T5384">
        <v>-0.19602020000000001</v>
      </c>
      <c r="U5384">
        <v>-6.0699459999999997E-2</v>
      </c>
      <c r="V5384">
        <v>9.3741789999999998E-3</v>
      </c>
      <c r="W5384">
        <v>0.2105244</v>
      </c>
      <c r="X5384">
        <v>0.97754370000000002</v>
      </c>
      <c r="Y5384">
        <v>2.2043159999999999E-2</v>
      </c>
      <c r="Z5384">
        <v>-9.4508150000000002E-4</v>
      </c>
      <c r="AA5384">
        <v>0.9997566</v>
      </c>
      <c r="AB5384">
        <v>35</v>
      </c>
      <c r="AC5384">
        <v>17.535799999999998</v>
      </c>
      <c r="AD5384">
        <v>-1.1195554274382999</v>
      </c>
      <c r="AE5384">
        <v>-0.34652000000001199</v>
      </c>
      <c r="AF5384">
        <v>0.38924342959068198</v>
      </c>
      <c r="AG5384">
        <v>-1.1195554274382999</v>
      </c>
      <c r="AH5384">
        <v>17.463713139958902</v>
      </c>
      <c r="AI5384">
        <v>93.667162834763502</v>
      </c>
      <c r="AJ5384">
        <v>88.723163079241701</v>
      </c>
      <c r="AK5384">
        <v>17.503890751411799</v>
      </c>
      <c r="AL5384">
        <v>77.846915330072704</v>
      </c>
      <c r="AM5384">
        <v>89.450577574936702</v>
      </c>
      <c r="AN5384">
        <v>1.00000004181848</v>
      </c>
    </row>
    <row r="5385" spans="1:40" x14ac:dyDescent="0.25">
      <c r="A5385" t="str">
        <f>"20190303170643884"</f>
        <v>20190303170643884</v>
      </c>
      <c r="B5385" t="str">
        <f>"1551604003870087"</f>
        <v>1551604003870087</v>
      </c>
      <c r="C5385" t="s">
        <v>40</v>
      </c>
      <c r="D5385">
        <v>6.1058469999999998</v>
      </c>
      <c r="E5385">
        <v>0.50905610000000001</v>
      </c>
      <c r="F5385" t="s">
        <v>108</v>
      </c>
      <c r="G5385">
        <v>-241.02420000000001</v>
      </c>
      <c r="H5385" s="1">
        <v>-1.017432E-7</v>
      </c>
      <c r="I5385">
        <v>-62.921349999999997</v>
      </c>
      <c r="J5385">
        <v>-259.1053</v>
      </c>
      <c r="K5385">
        <v>1.1195729999999999</v>
      </c>
      <c r="L5385">
        <v>-62.615450000000003</v>
      </c>
      <c r="M5385">
        <v>0.99994300000000003</v>
      </c>
      <c r="N5385">
        <v>-1.051882E-2</v>
      </c>
      <c r="O5385">
        <v>1.8572759999999999E-3</v>
      </c>
      <c r="P5385">
        <v>0.97946940000000005</v>
      </c>
      <c r="Q5385">
        <v>0.20146159999999999</v>
      </c>
      <c r="R5385">
        <v>-7.3221619999999897E-3</v>
      </c>
      <c r="S5385">
        <v>3.1005859999999998</v>
      </c>
      <c r="T5385">
        <v>-0.18999930000000001</v>
      </c>
      <c r="U5385">
        <v>-5.1940920000000002E-2</v>
      </c>
      <c r="V5385">
        <v>9.7702310000000007E-3</v>
      </c>
      <c r="W5385">
        <v>0.211725</v>
      </c>
      <c r="X5385">
        <v>0.97728040000000005</v>
      </c>
      <c r="Y5385">
        <v>1.856352E-2</v>
      </c>
      <c r="Z5385">
        <v>-7.6012649999999905E-4</v>
      </c>
      <c r="AA5385">
        <v>0.99982740000000003</v>
      </c>
      <c r="AB5385">
        <v>35</v>
      </c>
      <c r="AC5385">
        <v>18.0810999999999</v>
      </c>
      <c r="AD5385">
        <v>-1.1195731017432</v>
      </c>
      <c r="AE5385">
        <v>-0.30589999999999401</v>
      </c>
      <c r="AF5385">
        <v>0.33818667578739398</v>
      </c>
      <c r="AG5385">
        <v>-1.1195731017432</v>
      </c>
      <c r="AH5385">
        <v>18.0114639525492</v>
      </c>
      <c r="AI5385">
        <v>93.556242211404594</v>
      </c>
      <c r="AJ5385">
        <v>88.924329932792901</v>
      </c>
      <c r="AK5385">
        <v>18.049394667739101</v>
      </c>
      <c r="AL5385">
        <v>77.776538630056294</v>
      </c>
      <c r="AM5385">
        <v>89.427212136512907</v>
      </c>
      <c r="AN5385">
        <v>0.99999995663147501</v>
      </c>
    </row>
    <row r="5386" spans="1:40" x14ac:dyDescent="0.25">
      <c r="A5386" t="str">
        <f>"20190303170643895"</f>
        <v>20190303170643895</v>
      </c>
      <c r="B5386" t="str">
        <f>"1551604003890583"</f>
        <v>1551604003890583</v>
      </c>
      <c r="C5386" t="s">
        <v>40</v>
      </c>
      <c r="D5386">
        <v>6.099291</v>
      </c>
      <c r="E5386">
        <v>0.50848040000000005</v>
      </c>
      <c r="F5386" t="s">
        <v>107</v>
      </c>
      <c r="G5386">
        <v>-239.92750000000001</v>
      </c>
      <c r="H5386" s="1">
        <v>-3.7091059999999999E-6</v>
      </c>
      <c r="I5386">
        <v>-62.958080000000002</v>
      </c>
      <c r="J5386">
        <v>-258.93020000000001</v>
      </c>
      <c r="K5386">
        <v>1.1195870000000001</v>
      </c>
      <c r="L5386">
        <v>-62.615720000000003</v>
      </c>
      <c r="M5386">
        <v>0.99994400000000006</v>
      </c>
      <c r="N5386">
        <v>-1.0517200000000001E-2</v>
      </c>
      <c r="O5386">
        <v>1.2353749999999999E-3</v>
      </c>
      <c r="P5386">
        <v>0.97938970000000003</v>
      </c>
      <c r="Q5386">
        <v>0.20182549999999999</v>
      </c>
      <c r="R5386">
        <v>-7.9086050000000008E-3</v>
      </c>
      <c r="S5386">
        <v>3.099701</v>
      </c>
      <c r="T5386">
        <v>-0.18095710000000001</v>
      </c>
      <c r="U5386">
        <v>-5.5389399999999998E-2</v>
      </c>
      <c r="V5386">
        <v>9.7435230000000005E-3</v>
      </c>
      <c r="W5386">
        <v>0.21208659999999999</v>
      </c>
      <c r="X5386">
        <v>0.97720229999999997</v>
      </c>
      <c r="Y5386">
        <v>1.9061939999999999E-2</v>
      </c>
      <c r="Z5386">
        <v>-7.1531030000000003E-4</v>
      </c>
      <c r="AA5386">
        <v>0.99981799999999998</v>
      </c>
      <c r="AB5386">
        <v>35</v>
      </c>
      <c r="AC5386">
        <v>19.002700000000001</v>
      </c>
      <c r="AD5386">
        <v>-1.119590709106</v>
      </c>
      <c r="AE5386">
        <v>-0.34236000000000599</v>
      </c>
      <c r="AF5386">
        <v>0.36457138226533398</v>
      </c>
      <c r="AG5386">
        <v>-1.119590709106</v>
      </c>
      <c r="AH5386">
        <v>18.936550050815701</v>
      </c>
      <c r="AI5386">
        <v>93.382949424716003</v>
      </c>
      <c r="AJ5386">
        <v>88.897063018649305</v>
      </c>
      <c r="AK5386">
        <v>18.9731210789298</v>
      </c>
      <c r="AL5386">
        <v>77.755339556592304</v>
      </c>
      <c r="AM5386">
        <v>89.428732160965893</v>
      </c>
      <c r="AN5386">
        <v>0.99999999863264999</v>
      </c>
    </row>
    <row r="5387" spans="1:40" x14ac:dyDescent="0.25">
      <c r="A5387" t="str">
        <f>"20190303170643907"</f>
        <v>20190303170643907</v>
      </c>
      <c r="B5387" t="str">
        <f>"1551604003900343"</f>
        <v>1551604003900343</v>
      </c>
      <c r="C5387" t="s">
        <v>40</v>
      </c>
      <c r="D5387">
        <v>6.152552</v>
      </c>
      <c r="E5387">
        <v>0.50870930000000003</v>
      </c>
      <c r="F5387" t="s">
        <v>107</v>
      </c>
      <c r="G5387">
        <v>-238.17189999999999</v>
      </c>
      <c r="H5387" s="1">
        <v>-3.1141360000000001E-6</v>
      </c>
      <c r="I5387">
        <v>-62.971980000000002</v>
      </c>
      <c r="J5387">
        <v>-258.75909999999999</v>
      </c>
      <c r="K5387">
        <v>1.1195999999999999</v>
      </c>
      <c r="L5387">
        <v>-62.616059999999997</v>
      </c>
      <c r="M5387">
        <v>0.99994459999999996</v>
      </c>
      <c r="N5387">
        <v>-1.0515719999999999E-2</v>
      </c>
      <c r="O5387">
        <v>6.2739779999999997E-4</v>
      </c>
      <c r="P5387">
        <v>0.97932819999999998</v>
      </c>
      <c r="Q5387">
        <v>0.20210900000000001</v>
      </c>
      <c r="R5387">
        <v>-8.2717390000000002E-3</v>
      </c>
      <c r="S5387">
        <v>3.097092</v>
      </c>
      <c r="T5387">
        <v>-0.1670402</v>
      </c>
      <c r="U5387">
        <v>-5.316162E-2</v>
      </c>
      <c r="V5387">
        <v>9.5075030000000005E-3</v>
      </c>
      <c r="W5387">
        <v>0.21236949999999999</v>
      </c>
      <c r="X5387">
        <v>0.97714319999999999</v>
      </c>
      <c r="Y5387">
        <v>1.7758389999999999E-2</v>
      </c>
      <c r="Z5387">
        <v>-5.9919189999999998E-4</v>
      </c>
      <c r="AA5387">
        <v>0.99984209999999996</v>
      </c>
      <c r="AB5387">
        <v>35</v>
      </c>
      <c r="AC5387">
        <v>20.587199999999999</v>
      </c>
      <c r="AD5387">
        <v>-1.1196031141360001</v>
      </c>
      <c r="AE5387">
        <v>-0.35592000000000401</v>
      </c>
      <c r="AF5387">
        <v>0.36774969004677999</v>
      </c>
      <c r="AG5387">
        <v>-1.1196031141360001</v>
      </c>
      <c r="AH5387">
        <v>20.526283048716401</v>
      </c>
      <c r="AI5387">
        <v>93.121596200487403</v>
      </c>
      <c r="AJ5387">
        <v>88.973596383421395</v>
      </c>
      <c r="AK5387">
        <v>20.560083821904399</v>
      </c>
      <c r="AL5387">
        <v>77.738752942070093</v>
      </c>
      <c r="AM5387">
        <v>89.442535540084094</v>
      </c>
      <c r="AN5387">
        <v>1.00000001522489</v>
      </c>
    </row>
    <row r="5388" spans="1:40" x14ac:dyDescent="0.25">
      <c r="A5388" t="str">
        <f>"20190303170643918"</f>
        <v>20190303170643918</v>
      </c>
      <c r="B5388" t="str">
        <f>"1551604003910103"</f>
        <v>1551604003910103</v>
      </c>
      <c r="C5388" t="s">
        <v>40</v>
      </c>
      <c r="D5388">
        <v>6.0972419999999996</v>
      </c>
      <c r="E5388">
        <v>0.50866429999999996</v>
      </c>
      <c r="F5388" t="s">
        <v>107</v>
      </c>
      <c r="G5388">
        <v>-237.67089999999999</v>
      </c>
      <c r="H5388" s="1">
        <v>-2.9482969999999999E-6</v>
      </c>
      <c r="I5388">
        <v>-62.998170000000002</v>
      </c>
      <c r="J5388">
        <v>-258.57319999999999</v>
      </c>
      <c r="K5388">
        <v>1.1196060000000001</v>
      </c>
      <c r="L5388">
        <v>-62.616549999999997</v>
      </c>
      <c r="M5388">
        <v>0.99994490000000003</v>
      </c>
      <c r="N5388">
        <v>-1.0514290000000001E-2</v>
      </c>
      <c r="O5388" s="1">
        <v>-3.3711429999999999E-5</v>
      </c>
      <c r="P5388">
        <v>0.97924469999999997</v>
      </c>
      <c r="Q5388">
        <v>0.20249310000000001</v>
      </c>
      <c r="R5388">
        <v>-8.7717030000000005E-3</v>
      </c>
      <c r="S5388">
        <v>3.0967859999999998</v>
      </c>
      <c r="T5388">
        <v>-0.16441310000000001</v>
      </c>
      <c r="U5388">
        <v>-5.6121829999999998E-2</v>
      </c>
      <c r="V5388">
        <v>9.3571230000000002E-3</v>
      </c>
      <c r="W5388">
        <v>0.212752</v>
      </c>
      <c r="X5388">
        <v>0.97706150000000003</v>
      </c>
      <c r="Y5388">
        <v>1.805549E-2</v>
      </c>
      <c r="Z5388">
        <v>-5.7249679999999998E-4</v>
      </c>
      <c r="AA5388">
        <v>0.99983679999999997</v>
      </c>
      <c r="AB5388">
        <v>35</v>
      </c>
      <c r="AC5388">
        <v>20.9023</v>
      </c>
      <c r="AD5388">
        <v>-1.119608948297</v>
      </c>
      <c r="AE5388">
        <v>-0.38161999999999802</v>
      </c>
      <c r="AF5388">
        <v>0.379825921909616</v>
      </c>
      <c r="AG5388">
        <v>-1.119608948297</v>
      </c>
      <c r="AH5388">
        <v>20.8425336205901</v>
      </c>
      <c r="AI5388">
        <v>93.0743217007211</v>
      </c>
      <c r="AJ5388">
        <v>88.955980397832903</v>
      </c>
      <c r="AK5388">
        <v>20.8760388880048</v>
      </c>
      <c r="AL5388">
        <v>77.716325483355604</v>
      </c>
      <c r="AM5388">
        <v>89.451306527814296</v>
      </c>
      <c r="AN5388">
        <v>1.00000007201854</v>
      </c>
    </row>
    <row r="5389" spans="1:40" x14ac:dyDescent="0.25">
      <c r="A5389" t="str">
        <f>"20190303170643931"</f>
        <v>20190303170643931</v>
      </c>
      <c r="B5389" t="str">
        <f>"1551604003920840"</f>
        <v>1551604003920840</v>
      </c>
      <c r="C5389" t="s">
        <v>40</v>
      </c>
      <c r="D5389">
        <v>6.1139720000000004</v>
      </c>
      <c r="E5389">
        <v>0.50867799999999996</v>
      </c>
      <c r="F5389" t="s">
        <v>107</v>
      </c>
      <c r="G5389">
        <v>-237.0436</v>
      </c>
      <c r="H5389" s="1">
        <v>-2.7092409999999999E-6</v>
      </c>
      <c r="I5389">
        <v>-63.016039999999997</v>
      </c>
      <c r="J5389">
        <v>-258.39170000000001</v>
      </c>
      <c r="K5389">
        <v>1.1196090000000001</v>
      </c>
      <c r="L5389">
        <v>-62.617190000000001</v>
      </c>
      <c r="M5389">
        <v>0.99994450000000001</v>
      </c>
      <c r="N5389">
        <v>-1.051302E-2</v>
      </c>
      <c r="O5389">
        <v>-6.7816299999999996E-4</v>
      </c>
      <c r="P5389">
        <v>0.9791628</v>
      </c>
      <c r="Q5389">
        <v>0.2028517</v>
      </c>
      <c r="R5389">
        <v>-9.5782409999999995E-3</v>
      </c>
      <c r="S5389">
        <v>3.0963750000000001</v>
      </c>
      <c r="T5389">
        <v>-0.16102179999999999</v>
      </c>
      <c r="U5389">
        <v>-5.7464599999999998E-2</v>
      </c>
      <c r="V5389">
        <v>9.5309049999999992E-3</v>
      </c>
      <c r="W5389">
        <v>0.21310789999999999</v>
      </c>
      <c r="X5389">
        <v>0.97698220000000002</v>
      </c>
      <c r="Y5389">
        <v>1.784898E-2</v>
      </c>
      <c r="Z5389">
        <v>-5.2954569999999999E-4</v>
      </c>
      <c r="AA5389">
        <v>0.99984059999999997</v>
      </c>
      <c r="AB5389">
        <v>35</v>
      </c>
      <c r="AC5389">
        <v>21.348099999999999</v>
      </c>
      <c r="AD5389">
        <v>-1.1196117092410001</v>
      </c>
      <c r="AE5389">
        <v>-0.39885000000000298</v>
      </c>
      <c r="AF5389">
        <v>0.38331765764612902</v>
      </c>
      <c r="AG5389">
        <v>-1.1196117092410001</v>
      </c>
      <c r="AH5389">
        <v>21.2898277113567</v>
      </c>
      <c r="AI5389">
        <v>93.009870300984502</v>
      </c>
      <c r="AJ5389">
        <v>88.968516252952497</v>
      </c>
      <c r="AK5389">
        <v>21.322692765816001</v>
      </c>
      <c r="AL5389">
        <v>77.695454625284796</v>
      </c>
      <c r="AM5389">
        <v>89.441071383762704</v>
      </c>
      <c r="AN5389">
        <v>1.0000000171546799</v>
      </c>
    </row>
    <row r="5390" spans="1:40" x14ac:dyDescent="0.25">
      <c r="A5390" t="str">
        <f>"20190303170643940"</f>
        <v>20190303170643940</v>
      </c>
      <c r="B5390" t="str">
        <f>"1551604003930600"</f>
        <v>1551604003930600</v>
      </c>
      <c r="C5390" t="s">
        <v>40</v>
      </c>
      <c r="D5390">
        <v>6.0994919999999997</v>
      </c>
      <c r="E5390">
        <v>0.50866750000000005</v>
      </c>
      <c r="F5390" t="s">
        <v>107</v>
      </c>
      <c r="G5390">
        <v>-236.68860000000001</v>
      </c>
      <c r="H5390" s="1">
        <v>-2.5616729999999999E-6</v>
      </c>
      <c r="I5390">
        <v>-63.033810000000003</v>
      </c>
      <c r="J5390">
        <v>-258.2355</v>
      </c>
      <c r="K5390">
        <v>1.119615</v>
      </c>
      <c r="L5390">
        <v>-62.617769999999901</v>
      </c>
      <c r="M5390">
        <v>0.99994419999999995</v>
      </c>
      <c r="N5390">
        <v>-1.0511960000000001E-2</v>
      </c>
      <c r="O5390">
        <v>-1.2334749999999999E-3</v>
      </c>
      <c r="P5390">
        <v>0.97911610000000004</v>
      </c>
      <c r="Q5390">
        <v>0.2030101</v>
      </c>
      <c r="R5390">
        <v>-1.0907E-2</v>
      </c>
      <c r="S5390">
        <v>3.0963590000000001</v>
      </c>
      <c r="T5390">
        <v>-0.15973370000000001</v>
      </c>
      <c r="U5390">
        <v>-5.9448239999999999E-2</v>
      </c>
      <c r="V5390">
        <v>1.031439E-2</v>
      </c>
      <c r="W5390">
        <v>0.21326220000000001</v>
      </c>
      <c r="X5390">
        <v>0.97694060000000005</v>
      </c>
      <c r="Y5390">
        <v>1.7934869999999999E-2</v>
      </c>
      <c r="Z5390">
        <v>-5.0598530000000002E-4</v>
      </c>
      <c r="AA5390">
        <v>0.99983900000000003</v>
      </c>
      <c r="AB5390">
        <v>35</v>
      </c>
      <c r="AC5390">
        <v>21.546899999999901</v>
      </c>
      <c r="AD5390">
        <v>-1.119617561673</v>
      </c>
      <c r="AE5390">
        <v>-0.41604000000000202</v>
      </c>
      <c r="AF5390">
        <v>0.38841232107620899</v>
      </c>
      <c r="AG5390">
        <v>-1.119617561673</v>
      </c>
      <c r="AH5390">
        <v>21.489396255986598</v>
      </c>
      <c r="AI5390">
        <v>92.981980615739204</v>
      </c>
      <c r="AJ5390">
        <v>88.964514243200199</v>
      </c>
      <c r="AK5390">
        <v>21.5220482078816</v>
      </c>
      <c r="AL5390">
        <v>77.686406211460394</v>
      </c>
      <c r="AM5390">
        <v>89.395102364900694</v>
      </c>
      <c r="AN5390">
        <v>1.0000000442591299</v>
      </c>
    </row>
    <row r="5391" spans="1:40" x14ac:dyDescent="0.25">
      <c r="A5391" t="str">
        <f>"20190303170643951"</f>
        <v>20190303170643951</v>
      </c>
      <c r="B5391" t="str">
        <f>"1551604003940360"</f>
        <v>1551604003940360</v>
      </c>
      <c r="C5391" t="s">
        <v>40</v>
      </c>
      <c r="D5391">
        <v>6.0982450000000004</v>
      </c>
      <c r="E5391">
        <v>0.50866610000000001</v>
      </c>
      <c r="F5391" t="s">
        <v>107</v>
      </c>
      <c r="G5391">
        <v>-236.23050000000001</v>
      </c>
      <c r="H5391" s="1">
        <v>-2.3725149999999999E-6</v>
      </c>
      <c r="I5391">
        <v>-63.061500000000002</v>
      </c>
      <c r="J5391">
        <v>-258.07499999999999</v>
      </c>
      <c r="K5391">
        <v>1.1196159999999999</v>
      </c>
      <c r="L5391">
        <v>-62.61853</v>
      </c>
      <c r="M5391">
        <v>0.99994329999999998</v>
      </c>
      <c r="N5391">
        <v>-1.0511070000000001E-2</v>
      </c>
      <c r="O5391">
        <v>-1.8033490000000001E-3</v>
      </c>
      <c r="P5391">
        <v>0.97889199999999998</v>
      </c>
      <c r="Q5391">
        <v>0.20402200000000001</v>
      </c>
      <c r="R5391">
        <v>-1.2074410000000001E-2</v>
      </c>
      <c r="S5391">
        <v>3.0959469999999998</v>
      </c>
      <c r="T5391">
        <v>-0.15752179999999999</v>
      </c>
      <c r="U5391">
        <v>-6.2438960000000002E-2</v>
      </c>
      <c r="V5391">
        <v>1.092573E-2</v>
      </c>
      <c r="W5391">
        <v>0.21426970000000001</v>
      </c>
      <c r="X5391">
        <v>0.97671339999999995</v>
      </c>
      <c r="Y5391">
        <v>1.833361E-2</v>
      </c>
      <c r="Z5391">
        <v>-4.8975790000000004E-4</v>
      </c>
      <c r="AA5391">
        <v>0.99983180000000005</v>
      </c>
      <c r="AB5391">
        <v>35</v>
      </c>
      <c r="AC5391">
        <v>21.844499999999901</v>
      </c>
      <c r="AD5391">
        <v>-1.119618372515</v>
      </c>
      <c r="AE5391">
        <v>-0.44296999999999498</v>
      </c>
      <c r="AF5391">
        <v>0.40251688588821199</v>
      </c>
      <c r="AG5391">
        <v>-1.119618372515</v>
      </c>
      <c r="AH5391">
        <v>21.788050229403702</v>
      </c>
      <c r="AI5391">
        <v>92.941158858885501</v>
      </c>
      <c r="AJ5391">
        <v>88.941626473148901</v>
      </c>
      <c r="AK5391">
        <v>21.8205109459544</v>
      </c>
      <c r="AL5391">
        <v>77.627313887079097</v>
      </c>
      <c r="AM5391">
        <v>89.359103593375593</v>
      </c>
      <c r="AN5391">
        <v>0.999999970826841</v>
      </c>
    </row>
    <row r="5392" spans="1:40" x14ac:dyDescent="0.25">
      <c r="A5392" t="str">
        <f>"20190303170643961"</f>
        <v>20190303170643961</v>
      </c>
      <c r="B5392" t="str">
        <f>"1551604003950119"</f>
        <v>1551604003950119</v>
      </c>
      <c r="C5392" t="s">
        <v>40</v>
      </c>
      <c r="D5392">
        <v>6.1083720000000001</v>
      </c>
      <c r="E5392">
        <v>0.5086619</v>
      </c>
      <c r="F5392" t="s">
        <v>107</v>
      </c>
      <c r="G5392">
        <v>-235.61170000000001</v>
      </c>
      <c r="H5392" s="1">
        <v>-2.1137830000000002E-6</v>
      </c>
      <c r="I5392">
        <v>-63.086770000000001</v>
      </c>
      <c r="J5392">
        <v>-257.90589999999997</v>
      </c>
      <c r="K5392">
        <v>1.119618</v>
      </c>
      <c r="L5392">
        <v>-62.619320000000002</v>
      </c>
      <c r="M5392">
        <v>0.99994190000000005</v>
      </c>
      <c r="N5392">
        <v>-1.0510179999999999E-2</v>
      </c>
      <c r="O5392">
        <v>-2.4037429999999999E-3</v>
      </c>
      <c r="P5392">
        <v>0.97870809999999997</v>
      </c>
      <c r="Q5392">
        <v>0.20481820000000001</v>
      </c>
      <c r="R5392">
        <v>-1.3415409999999999E-2</v>
      </c>
      <c r="S5392">
        <v>3.0960540000000001</v>
      </c>
      <c r="T5392">
        <v>-0.1543136</v>
      </c>
      <c r="U5392">
        <v>-6.4544679999999993E-2</v>
      </c>
      <c r="V5392">
        <v>1.168023E-2</v>
      </c>
      <c r="W5392">
        <v>0.215061</v>
      </c>
      <c r="X5392">
        <v>0.97653080000000003</v>
      </c>
      <c r="Y5392">
        <v>1.8413639999999998E-2</v>
      </c>
      <c r="Z5392">
        <v>-4.6093369999999998E-4</v>
      </c>
      <c r="AA5392">
        <v>0.99983040000000001</v>
      </c>
      <c r="AB5392">
        <v>35</v>
      </c>
      <c r="AC5392">
        <v>22.294199999999901</v>
      </c>
      <c r="AD5392">
        <v>-1.119620113783</v>
      </c>
      <c r="AE5392">
        <v>-0.46744999999999898</v>
      </c>
      <c r="AF5392">
        <v>0.41281547021224002</v>
      </c>
      <c r="AG5392">
        <v>-1.119620113783</v>
      </c>
      <c r="AH5392">
        <v>22.239195057913999</v>
      </c>
      <c r="AI5392">
        <v>92.881595810964996</v>
      </c>
      <c r="AJ5392">
        <v>88.936568161450097</v>
      </c>
      <c r="AK5392">
        <v>22.2711868259323</v>
      </c>
      <c r="AL5392">
        <v>77.580894344888193</v>
      </c>
      <c r="AM5392">
        <v>89.314721080684095</v>
      </c>
      <c r="AN5392">
        <v>1.0000000324212399</v>
      </c>
    </row>
    <row r="5393" spans="1:40" x14ac:dyDescent="0.25">
      <c r="A5393" t="str">
        <f>"20190303170643973"</f>
        <v>20190303170643973</v>
      </c>
      <c r="B5393" t="str">
        <f>"1551604003960856"</f>
        <v>1551604003960856</v>
      </c>
      <c r="C5393" t="s">
        <v>40</v>
      </c>
      <c r="D5393">
        <v>6.1004509999999996</v>
      </c>
      <c r="E5393">
        <v>0.50865609999999895</v>
      </c>
      <c r="F5393" t="s">
        <v>107</v>
      </c>
      <c r="G5393">
        <v>-234.9682</v>
      </c>
      <c r="H5393" s="1">
        <v>-1.8453130000000001E-6</v>
      </c>
      <c r="I5393">
        <v>-63.11533</v>
      </c>
      <c r="J5393">
        <v>-257.7319</v>
      </c>
      <c r="K5393">
        <v>1.1196159999999999</v>
      </c>
      <c r="L5393">
        <v>-62.620330000000003</v>
      </c>
      <c r="M5393">
        <v>0.9999403</v>
      </c>
      <c r="N5393">
        <v>-1.050951E-2</v>
      </c>
      <c r="O5393">
        <v>-3.0216779999999999E-3</v>
      </c>
      <c r="P5393">
        <v>0.97860460000000005</v>
      </c>
      <c r="Q5393">
        <v>0.2051975</v>
      </c>
      <c r="R5393">
        <v>-1.5073069999999999E-2</v>
      </c>
      <c r="S5393">
        <v>3.0959469999999998</v>
      </c>
      <c r="T5393">
        <v>-0.1511171</v>
      </c>
      <c r="U5393">
        <v>-6.6955570000000006E-2</v>
      </c>
      <c r="V5393">
        <v>1.2733710000000001E-2</v>
      </c>
      <c r="W5393">
        <v>0.21543580000000001</v>
      </c>
      <c r="X5393">
        <v>0.97643489999999999</v>
      </c>
      <c r="Y5393">
        <v>1.8575890000000001E-2</v>
      </c>
      <c r="Z5393">
        <v>-4.3508369999999998E-4</v>
      </c>
      <c r="AA5393">
        <v>0.99982740000000003</v>
      </c>
      <c r="AB5393">
        <v>35</v>
      </c>
      <c r="AC5393">
        <v>22.7637</v>
      </c>
      <c r="AD5393">
        <v>-1.1196178453129999</v>
      </c>
      <c r="AE5393">
        <v>-0.49500000000000399</v>
      </c>
      <c r="AF5393">
        <v>0.42518130564067602</v>
      </c>
      <c r="AG5393">
        <v>-1.1196178453129999</v>
      </c>
      <c r="AH5393">
        <v>22.710179636656399</v>
      </c>
      <c r="AI5393">
        <v>92.821918161265202</v>
      </c>
      <c r="AJ5393">
        <v>88.927430385148497</v>
      </c>
      <c r="AK5393">
        <v>22.7417365737846</v>
      </c>
      <c r="AL5393">
        <v>77.558903040964495</v>
      </c>
      <c r="AM5393">
        <v>89.252846774683306</v>
      </c>
      <c r="AN5393">
        <v>0.99999992261500403</v>
      </c>
    </row>
    <row r="5394" spans="1:40" x14ac:dyDescent="0.25">
      <c r="A5394" t="str">
        <f>"20190303170643986"</f>
        <v>20190303170643986</v>
      </c>
      <c r="B5394" t="str">
        <f>"1551604003980376"</f>
        <v>1551604003980376</v>
      </c>
      <c r="C5394" t="s">
        <v>40</v>
      </c>
      <c r="D5394">
        <v>6.122115</v>
      </c>
      <c r="E5394">
        <v>0.50858309999999995</v>
      </c>
      <c r="F5394" t="s">
        <v>107</v>
      </c>
      <c r="G5394">
        <v>-234.58930000000001</v>
      </c>
      <c r="H5394" s="1">
        <v>-1.691506E-6</v>
      </c>
      <c r="I5394">
        <v>-63.148139999999998</v>
      </c>
      <c r="J5394">
        <v>-257.54270000000002</v>
      </c>
      <c r="K5394">
        <v>1.1196140000000001</v>
      </c>
      <c r="L5394">
        <v>-62.621459999999999</v>
      </c>
      <c r="M5394">
        <v>0.99993799999999999</v>
      </c>
      <c r="N5394">
        <v>-1.050885E-2</v>
      </c>
      <c r="O5394">
        <v>-3.6932570000000001E-3</v>
      </c>
      <c r="P5394">
        <v>0.97859039999999997</v>
      </c>
      <c r="Q5394">
        <v>0.20516799999999999</v>
      </c>
      <c r="R5394">
        <v>-1.634093E-2</v>
      </c>
      <c r="S5394">
        <v>3.0959469999999998</v>
      </c>
      <c r="T5394">
        <v>-0.1497792</v>
      </c>
      <c r="U5394">
        <v>-7.0617680000000002E-2</v>
      </c>
      <c r="V5394">
        <v>1.3343539999999999E-2</v>
      </c>
      <c r="W5394">
        <v>0.2154037</v>
      </c>
      <c r="X5394">
        <v>0.97643389999999997</v>
      </c>
      <c r="Y5394">
        <v>1.908661E-2</v>
      </c>
      <c r="Z5394">
        <v>-4.219871E-4</v>
      </c>
      <c r="AA5394">
        <v>0.99981770000000003</v>
      </c>
      <c r="AB5394">
        <v>35</v>
      </c>
      <c r="AC5394">
        <v>22.953399999999998</v>
      </c>
      <c r="AD5394">
        <v>-1.1196156915059901</v>
      </c>
      <c r="AE5394">
        <v>-0.52668000000000603</v>
      </c>
      <c r="AF5394">
        <v>0.44085057338338002</v>
      </c>
      <c r="AG5394">
        <v>-1.1196156915059901</v>
      </c>
      <c r="AH5394">
        <v>22.900730340114499</v>
      </c>
      <c r="AI5394">
        <v>92.7984418373495</v>
      </c>
      <c r="AJ5394">
        <v>88.8971636533539</v>
      </c>
      <c r="AK5394">
        <v>22.9323208296797</v>
      </c>
      <c r="AL5394">
        <v>77.560787212790999</v>
      </c>
      <c r="AM5394">
        <v>89.217068416352902</v>
      </c>
      <c r="AN5394">
        <v>0.99999998255131495</v>
      </c>
    </row>
    <row r="5395" spans="1:40" x14ac:dyDescent="0.25">
      <c r="A5395" t="str">
        <f>"20190303170643995"</f>
        <v>20190303170643995</v>
      </c>
      <c r="B5395" t="str">
        <f>"1551604003990135"</f>
        <v>1551604003990135</v>
      </c>
      <c r="C5395" t="s">
        <v>40</v>
      </c>
      <c r="D5395">
        <v>6.108441</v>
      </c>
      <c r="E5395">
        <v>0.50848859999999996</v>
      </c>
      <c r="F5395" t="s">
        <v>107</v>
      </c>
      <c r="G5395">
        <v>-234.648</v>
      </c>
      <c r="H5395" s="1">
        <v>-1.7201630000000001E-6</v>
      </c>
      <c r="I5395">
        <v>-63.161180000000002</v>
      </c>
      <c r="J5395">
        <v>-257.36649999999997</v>
      </c>
      <c r="K5395">
        <v>1.1196109999999999</v>
      </c>
      <c r="L5395">
        <v>-62.622709999999998</v>
      </c>
      <c r="M5395">
        <v>0.99993560000000004</v>
      </c>
      <c r="N5395">
        <v>-1.0508399999999999E-2</v>
      </c>
      <c r="O5395">
        <v>-4.3182400000000001E-3</v>
      </c>
      <c r="P5395">
        <v>0.97876459999999998</v>
      </c>
      <c r="Q5395">
        <v>0.20421339999999999</v>
      </c>
      <c r="R5395">
        <v>-1.780955E-2</v>
      </c>
      <c r="S5395">
        <v>3.0961609999999999</v>
      </c>
      <c r="T5395">
        <v>-0.1514114</v>
      </c>
      <c r="U5395">
        <v>-7.2998049999999995E-2</v>
      </c>
      <c r="V5395">
        <v>1.4196449999999999E-2</v>
      </c>
      <c r="W5395">
        <v>0.2144481</v>
      </c>
      <c r="X5395">
        <v>0.97663219999999995</v>
      </c>
      <c r="Y5395">
        <v>1.9228180000000001E-2</v>
      </c>
      <c r="Z5395">
        <v>-4.0526620000000001E-4</v>
      </c>
      <c r="AA5395">
        <v>0.99981500000000001</v>
      </c>
      <c r="AB5395">
        <v>35</v>
      </c>
      <c r="AC5395">
        <v>22.718499999999899</v>
      </c>
      <c r="AD5395">
        <v>-1.119612720163</v>
      </c>
      <c r="AE5395">
        <v>-0.538470000000003</v>
      </c>
      <c r="AF5395">
        <v>0.43928933101693102</v>
      </c>
      <c r="AG5395">
        <v>-1.119612720163</v>
      </c>
      <c r="AH5395">
        <v>22.665596189429099</v>
      </c>
      <c r="AI5395">
        <v>92.827411538627103</v>
      </c>
      <c r="AJ5395">
        <v>88.889670775057098</v>
      </c>
      <c r="AK5395">
        <v>22.697483525310901</v>
      </c>
      <c r="AL5395">
        <v>77.616849311140001</v>
      </c>
      <c r="AM5395">
        <v>89.167199907637993</v>
      </c>
      <c r="AN5395">
        <v>0.99999999043152599</v>
      </c>
    </row>
    <row r="5396" spans="1:40" x14ac:dyDescent="0.25">
      <c r="A5396" t="str">
        <f>"20190303170644007"</f>
        <v>20190303170644007</v>
      </c>
      <c r="B5396" t="str">
        <f>"1551604003999895"</f>
        <v>1551604003999895</v>
      </c>
      <c r="C5396" t="s">
        <v>40</v>
      </c>
      <c r="D5396">
        <v>6.1082369999999999</v>
      </c>
      <c r="E5396">
        <v>0.50844909999999999</v>
      </c>
      <c r="F5396" t="s">
        <v>107</v>
      </c>
      <c r="G5396">
        <v>-234.82660000000001</v>
      </c>
      <c r="H5396" s="1">
        <v>-1.801697E-6</v>
      </c>
      <c r="I5396">
        <v>-63.179690000000001</v>
      </c>
      <c r="J5396">
        <v>-257.19080000000002</v>
      </c>
      <c r="K5396">
        <v>1.1196079999999999</v>
      </c>
      <c r="L5396">
        <v>-62.624020000000002</v>
      </c>
      <c r="M5396">
        <v>0.99993259999999995</v>
      </c>
      <c r="N5396">
        <v>-1.050803E-2</v>
      </c>
      <c r="O5396">
        <v>-4.9414369999999999E-3</v>
      </c>
      <c r="P5396">
        <v>0.97887519999999995</v>
      </c>
      <c r="Q5396">
        <v>0.2035814</v>
      </c>
      <c r="R5396">
        <v>-1.892394E-2</v>
      </c>
      <c r="S5396">
        <v>3.0957789999999998</v>
      </c>
      <c r="T5396">
        <v>-0.1537751</v>
      </c>
      <c r="U5396">
        <v>-7.6507569999999997E-2</v>
      </c>
      <c r="V5396">
        <v>1.469815E-2</v>
      </c>
      <c r="W5396">
        <v>0.21381600000000001</v>
      </c>
      <c r="X5396">
        <v>0.97676339999999995</v>
      </c>
      <c r="Y5396">
        <v>1.973977E-2</v>
      </c>
      <c r="Z5396">
        <v>-4.0032780000000002E-4</v>
      </c>
      <c r="AA5396">
        <v>0.9998051</v>
      </c>
      <c r="AB5396">
        <v>35</v>
      </c>
      <c r="AC5396">
        <v>22.3642</v>
      </c>
      <c r="AD5396">
        <v>-1.119609801697</v>
      </c>
      <c r="AE5396">
        <v>-0.55567000000000599</v>
      </c>
      <c r="AF5396">
        <v>0.44403365171028902</v>
      </c>
      <c r="AG5396">
        <v>-1.119609801697</v>
      </c>
      <c r="AH5396">
        <v>22.310790674339199</v>
      </c>
      <c r="AI5396">
        <v>92.872263978182602</v>
      </c>
      <c r="AJ5396">
        <v>88.859838886763498</v>
      </c>
      <c r="AK5396">
        <v>22.343278016130299</v>
      </c>
      <c r="AL5396">
        <v>77.653926455763298</v>
      </c>
      <c r="AM5396">
        <v>89.137889066719296</v>
      </c>
      <c r="AN5396">
        <v>1.0000000285244901</v>
      </c>
    </row>
    <row r="5397" spans="1:40" x14ac:dyDescent="0.25">
      <c r="A5397" t="str">
        <f>"20190303170644018"</f>
        <v>20190303170644018</v>
      </c>
      <c r="B5397" t="str">
        <f>"1551604004010631"</f>
        <v>1551604004010631</v>
      </c>
      <c r="C5397" t="s">
        <v>40</v>
      </c>
      <c r="D5397">
        <v>6.1209670000000003</v>
      </c>
      <c r="E5397">
        <v>0.5083413</v>
      </c>
      <c r="F5397" t="s">
        <v>107</v>
      </c>
      <c r="G5397">
        <v>-235.13210000000001</v>
      </c>
      <c r="H5397" s="1">
        <v>-1.935764E-6</v>
      </c>
      <c r="I5397">
        <v>-63.19106</v>
      </c>
      <c r="J5397">
        <v>-257.0283</v>
      </c>
      <c r="K5397">
        <v>1.1195980000000001</v>
      </c>
      <c r="L5397">
        <v>-62.625340000000001</v>
      </c>
      <c r="M5397">
        <v>0.99992959999999997</v>
      </c>
      <c r="N5397">
        <v>-1.050778E-2</v>
      </c>
      <c r="O5397">
        <v>-5.5179119999999998E-3</v>
      </c>
      <c r="P5397">
        <v>0.97907599999999995</v>
      </c>
      <c r="Q5397">
        <v>0.20249710000000001</v>
      </c>
      <c r="R5397">
        <v>-2.012775E-2</v>
      </c>
      <c r="S5397">
        <v>3.0958559999999999</v>
      </c>
      <c r="T5397">
        <v>-0.15713269999999999</v>
      </c>
      <c r="U5397">
        <v>-7.9589839999999995E-2</v>
      </c>
      <c r="V5397">
        <v>1.5333329999999999E-2</v>
      </c>
      <c r="W5397">
        <v>0.212732</v>
      </c>
      <c r="X5397">
        <v>0.97699029999999998</v>
      </c>
      <c r="Y5397">
        <v>2.0156400000000001E-2</v>
      </c>
      <c r="Z5397">
        <v>-3.95227E-4</v>
      </c>
      <c r="AA5397">
        <v>0.99979669999999998</v>
      </c>
      <c r="AB5397">
        <v>35</v>
      </c>
      <c r="AC5397">
        <v>21.8962</v>
      </c>
      <c r="AD5397">
        <v>-1.1195999357640001</v>
      </c>
      <c r="AE5397">
        <v>-0.565719999999998</v>
      </c>
      <c r="AF5397">
        <v>0.44372407359827298</v>
      </c>
      <c r="AG5397">
        <v>-1.1195999357640001</v>
      </c>
      <c r="AH5397">
        <v>21.8419208323491</v>
      </c>
      <c r="AI5397">
        <v>92.933764753509706</v>
      </c>
      <c r="AJ5397">
        <v>88.836182026359097</v>
      </c>
      <c r="AK5397">
        <v>21.875097730438998</v>
      </c>
      <c r="AL5397">
        <v>77.717497728128507</v>
      </c>
      <c r="AM5397">
        <v>89.100847804579004</v>
      </c>
      <c r="AN5397">
        <v>1.00000003056348</v>
      </c>
    </row>
    <row r="5398" spans="1:40" x14ac:dyDescent="0.25">
      <c r="A5398" t="str">
        <f>"20190303170644029"</f>
        <v>20190303170644029</v>
      </c>
      <c r="B5398" t="str">
        <f>"1551604004020392"</f>
        <v>1551604004020392</v>
      </c>
      <c r="C5398" t="s">
        <v>40</v>
      </c>
      <c r="D5398">
        <v>6.0949080000000002</v>
      </c>
      <c r="E5398">
        <v>0.50828200000000001</v>
      </c>
      <c r="F5398" t="s">
        <v>107</v>
      </c>
      <c r="G5398">
        <v>-235.52</v>
      </c>
      <c r="H5398" s="1">
        <v>-2.1042440000000001E-6</v>
      </c>
      <c r="I5398">
        <v>-63.198810000000002</v>
      </c>
      <c r="J5398">
        <v>-256.86759999999998</v>
      </c>
      <c r="K5398">
        <v>1.1195900000000001</v>
      </c>
      <c r="L5398">
        <v>-62.626739999999998</v>
      </c>
      <c r="M5398">
        <v>0.99992630000000005</v>
      </c>
      <c r="N5398">
        <v>-1.050618E-2</v>
      </c>
      <c r="O5398">
        <v>-6.0878219999999997E-3</v>
      </c>
      <c r="P5398">
        <v>0.97925119999999999</v>
      </c>
      <c r="Q5398">
        <v>0.2014927</v>
      </c>
      <c r="R5398">
        <v>-2.1631919999999999E-2</v>
      </c>
      <c r="S5398">
        <v>3.0957490000000001</v>
      </c>
      <c r="T5398">
        <v>-0.1611474</v>
      </c>
      <c r="U5398">
        <v>-8.255005E-2</v>
      </c>
      <c r="V5398">
        <v>1.627516E-2</v>
      </c>
      <c r="W5398">
        <v>0.21172550000000001</v>
      </c>
      <c r="X5398">
        <v>0.97719370000000005</v>
      </c>
      <c r="Y5398">
        <v>2.0541489999999999E-2</v>
      </c>
      <c r="Z5398">
        <v>-3.894948E-4</v>
      </c>
      <c r="AA5398">
        <v>0.99978889999999998</v>
      </c>
      <c r="AB5398">
        <v>35</v>
      </c>
      <c r="AC5398">
        <v>21.3475999999999</v>
      </c>
      <c r="AD5398">
        <v>-1.11959210424399</v>
      </c>
      <c r="AE5398">
        <v>-0.57206999999998898</v>
      </c>
      <c r="AF5398">
        <v>0.44088004089504601</v>
      </c>
      <c r="AG5398">
        <v>-1.11959210424399</v>
      </c>
      <c r="AH5398">
        <v>21.292163813996801</v>
      </c>
      <c r="AI5398">
        <v>93.009331064915003</v>
      </c>
      <c r="AJ5398">
        <v>88.813790996923302</v>
      </c>
      <c r="AK5398">
        <v>21.3261365833669</v>
      </c>
      <c r="AL5398">
        <v>77.776510448645695</v>
      </c>
      <c r="AM5398">
        <v>89.045827074314502</v>
      </c>
      <c r="AN5398">
        <v>1.0000000477514801</v>
      </c>
    </row>
    <row r="5399" spans="1:40" x14ac:dyDescent="0.25">
      <c r="A5399" t="str">
        <f>"20190303170644039"</f>
        <v>20190303170644039</v>
      </c>
      <c r="B5399" t="str">
        <f>"1551604004030152"</f>
        <v>1551604004030152</v>
      </c>
      <c r="C5399" t="s">
        <v>40</v>
      </c>
      <c r="D5399">
        <v>6.0692500000000003</v>
      </c>
      <c r="E5399">
        <v>0.50810100000000002</v>
      </c>
      <c r="F5399" t="s">
        <v>107</v>
      </c>
      <c r="G5399">
        <v>-235.74209999999999</v>
      </c>
      <c r="H5399" s="1">
        <v>-2.2042559999999999E-6</v>
      </c>
      <c r="I5399">
        <v>-63.216500000000003</v>
      </c>
      <c r="J5399">
        <v>-256.69260000000003</v>
      </c>
      <c r="K5399">
        <v>1.11958</v>
      </c>
      <c r="L5399">
        <v>-62.628360000000001</v>
      </c>
      <c r="M5399">
        <v>0.99992239999999999</v>
      </c>
      <c r="N5399">
        <v>-1.0503210000000001E-2</v>
      </c>
      <c r="O5399">
        <v>-6.7086269999999896E-3</v>
      </c>
      <c r="P5399">
        <v>0.97930300000000003</v>
      </c>
      <c r="Q5399">
        <v>0.20105590000000001</v>
      </c>
      <c r="R5399">
        <v>-2.3289000000000001E-2</v>
      </c>
      <c r="S5399">
        <v>3.0954440000000001</v>
      </c>
      <c r="T5399">
        <v>-0.16405049999999999</v>
      </c>
      <c r="U5399">
        <v>-8.6425779999999994E-2</v>
      </c>
      <c r="V5399">
        <v>1.7322549999999999E-2</v>
      </c>
      <c r="W5399">
        <v>0.2112832</v>
      </c>
      <c r="X5399">
        <v>0.97727140000000001</v>
      </c>
      <c r="Y5399">
        <v>2.1172900000000001E-2</v>
      </c>
      <c r="Z5399">
        <v>-3.8706340000000002E-4</v>
      </c>
      <c r="AA5399">
        <v>0.99977579999999999</v>
      </c>
      <c r="AB5399">
        <v>35</v>
      </c>
      <c r="AC5399">
        <v>20.950500000000002</v>
      </c>
      <c r="AD5399">
        <v>-1.119582204256</v>
      </c>
      <c r="AE5399">
        <v>-0.58814000000000199</v>
      </c>
      <c r="AF5399">
        <v>0.446296413377964</v>
      </c>
      <c r="AG5399">
        <v>-1.119582204256</v>
      </c>
      <c r="AH5399">
        <v>20.8943518558529</v>
      </c>
      <c r="AI5399">
        <v>93.066448908012305</v>
      </c>
      <c r="AJ5399">
        <v>88.776367251997698</v>
      </c>
      <c r="AK5399">
        <v>20.929084649761101</v>
      </c>
      <c r="AL5399">
        <v>77.802438671857502</v>
      </c>
      <c r="AM5399">
        <v>88.984514353628697</v>
      </c>
      <c r="AN5399">
        <v>1.0000000252993499</v>
      </c>
    </row>
    <row r="5400" spans="1:40" x14ac:dyDescent="0.25">
      <c r="A5400" t="str">
        <f>"20190303170644051"</f>
        <v>20190303170644051</v>
      </c>
      <c r="B5400" t="str">
        <f>"1551604004039911"</f>
        <v>1551604004039911</v>
      </c>
      <c r="C5400" t="s">
        <v>40</v>
      </c>
      <c r="D5400">
        <v>6.1173929999999999</v>
      </c>
      <c r="E5400">
        <v>0.50810290000000002</v>
      </c>
      <c r="F5400" t="s">
        <v>107</v>
      </c>
      <c r="G5400">
        <v>-235.78569999999999</v>
      </c>
      <c r="H5400" s="1">
        <v>-2.2264290000000001E-6</v>
      </c>
      <c r="I5400">
        <v>-63.229559999999999</v>
      </c>
      <c r="J5400">
        <v>-256.51420000000002</v>
      </c>
      <c r="K5400">
        <v>1.1195729999999999</v>
      </c>
      <c r="L5400">
        <v>-62.630130000000001</v>
      </c>
      <c r="M5400">
        <v>0.99991790000000003</v>
      </c>
      <c r="N5400">
        <v>-1.0497340000000001E-2</v>
      </c>
      <c r="O5400">
        <v>-7.3410960000000001E-3</v>
      </c>
      <c r="P5400">
        <v>0.97933829999999999</v>
      </c>
      <c r="Q5400">
        <v>0.20071059999999999</v>
      </c>
      <c r="R5400">
        <v>-2.4736749999999998E-2</v>
      </c>
      <c r="S5400">
        <v>3.0953219999999999</v>
      </c>
      <c r="T5400">
        <v>-0.1657575</v>
      </c>
      <c r="U5400">
        <v>-8.9019780000000007E-2</v>
      </c>
      <c r="V5400">
        <v>1.814934E-2</v>
      </c>
      <c r="W5400">
        <v>0.21093039999999999</v>
      </c>
      <c r="X5400">
        <v>0.9773326</v>
      </c>
      <c r="Y5400">
        <v>2.137851E-2</v>
      </c>
      <c r="Z5400">
        <v>-3.6848239999999997E-4</v>
      </c>
      <c r="AA5400">
        <v>0.99977139999999998</v>
      </c>
      <c r="AB5400">
        <v>35</v>
      </c>
      <c r="AC5400">
        <v>20.7285</v>
      </c>
      <c r="AD5400">
        <v>-1.119575226429</v>
      </c>
      <c r="AE5400">
        <v>-0.59942999999999802</v>
      </c>
      <c r="AF5400">
        <v>0.44593573389986602</v>
      </c>
      <c r="AG5400">
        <v>-1.119575226429</v>
      </c>
      <c r="AH5400">
        <v>20.672087236418498</v>
      </c>
      <c r="AI5400">
        <v>93.099321817854005</v>
      </c>
      <c r="AJ5400">
        <v>88.764214127575698</v>
      </c>
      <c r="AK5400">
        <v>20.707184697020001</v>
      </c>
      <c r="AL5400">
        <v>77.823118642275105</v>
      </c>
      <c r="AM5400">
        <v>88.936123616907807</v>
      </c>
      <c r="AN5400">
        <v>1.0000000216046701</v>
      </c>
    </row>
    <row r="5401" spans="1:40" x14ac:dyDescent="0.25">
      <c r="A5401" t="str">
        <f>"20190303170644062"</f>
        <v>20190303170644062</v>
      </c>
      <c r="B5401" t="str">
        <f>"1551604004050648"</f>
        <v>1551604004050648</v>
      </c>
      <c r="C5401" t="s">
        <v>40</v>
      </c>
      <c r="D5401">
        <v>6.1327800000000003</v>
      </c>
      <c r="E5401">
        <v>0.50807029999999997</v>
      </c>
      <c r="F5401" t="s">
        <v>107</v>
      </c>
      <c r="G5401">
        <v>-235.8049</v>
      </c>
      <c r="H5401" s="1">
        <v>-2.2385720000000001E-6</v>
      </c>
      <c r="I5401">
        <v>-63.244239999999998</v>
      </c>
      <c r="J5401">
        <v>-256.34230000000002</v>
      </c>
      <c r="K5401">
        <v>1.1195679999999999</v>
      </c>
      <c r="L5401">
        <v>-62.631900000000002</v>
      </c>
      <c r="M5401">
        <v>0.99991350000000001</v>
      </c>
      <c r="N5401">
        <v>-1.0490670000000001E-2</v>
      </c>
      <c r="O5401">
        <v>-7.9507910000000005E-3</v>
      </c>
      <c r="P5401">
        <v>0.97936610000000002</v>
      </c>
      <c r="Q5401">
        <v>0.20036760000000001</v>
      </c>
      <c r="R5401">
        <v>-2.6365429999999999E-2</v>
      </c>
      <c r="S5401">
        <v>3.0952760000000001</v>
      </c>
      <c r="T5401">
        <v>-0.1673354</v>
      </c>
      <c r="U5401">
        <v>-9.1796879999999997E-2</v>
      </c>
      <c r="V5401">
        <v>1.9179669999999999E-2</v>
      </c>
      <c r="W5401">
        <v>0.21057890000000001</v>
      </c>
      <c r="X5401">
        <v>0.9773887</v>
      </c>
      <c r="Y5401">
        <v>2.1665170000000001E-2</v>
      </c>
      <c r="Z5401">
        <v>-3.5277769999999902E-4</v>
      </c>
      <c r="AA5401">
        <v>0.99976520000000002</v>
      </c>
      <c r="AB5401">
        <v>35</v>
      </c>
      <c r="AC5401">
        <v>20.537400000000002</v>
      </c>
      <c r="AD5401">
        <v>-1.1195702385719899</v>
      </c>
      <c r="AE5401">
        <v>-0.61234000000000299</v>
      </c>
      <c r="AF5401">
        <v>0.44769385350739999</v>
      </c>
      <c r="AG5401">
        <v>-1.1195702385719899</v>
      </c>
      <c r="AH5401">
        <v>20.480809919183901</v>
      </c>
      <c r="AI5401">
        <v>93.128176847524699</v>
      </c>
      <c r="AJ5401">
        <v>88.747760267190301</v>
      </c>
      <c r="AK5401">
        <v>20.516272620807801</v>
      </c>
      <c r="AL5401">
        <v>77.843720611463098</v>
      </c>
      <c r="AM5401">
        <v>88.875807423907204</v>
      </c>
      <c r="AN5401">
        <v>1.0000000018771</v>
      </c>
    </row>
    <row r="5402" spans="1:40" x14ac:dyDescent="0.25">
      <c r="A5402" t="str">
        <f>"20190303170644074"</f>
        <v>20190303170644074</v>
      </c>
      <c r="B5402" t="str">
        <f>"1551604004060704"</f>
        <v>1551604004060704</v>
      </c>
      <c r="C5402" t="s">
        <v>40</v>
      </c>
      <c r="D5402">
        <v>6.1127799999999999</v>
      </c>
      <c r="E5402">
        <v>0.50804659999999902</v>
      </c>
      <c r="F5402" t="s">
        <v>107</v>
      </c>
      <c r="G5402">
        <v>-235.74979999999999</v>
      </c>
      <c r="H5402" s="1">
        <v>-2.219443E-6</v>
      </c>
      <c r="I5402">
        <v>-63.26126</v>
      </c>
      <c r="J5402">
        <v>-256.1617</v>
      </c>
      <c r="K5402">
        <v>1.1195660000000001</v>
      </c>
      <c r="L5402">
        <v>-62.633969999999998</v>
      </c>
      <c r="M5402">
        <v>0.99990820000000002</v>
      </c>
      <c r="N5402">
        <v>-1.047989E-2</v>
      </c>
      <c r="O5402">
        <v>-8.590739E-3</v>
      </c>
      <c r="P5402">
        <v>0.97951129999999997</v>
      </c>
      <c r="Q5402">
        <v>0.19946359999999999</v>
      </c>
      <c r="R5402">
        <v>-2.7786149999999999E-2</v>
      </c>
      <c r="S5402">
        <v>3.0950929999999999</v>
      </c>
      <c r="T5402">
        <v>-0.168273799999999</v>
      </c>
      <c r="U5402">
        <v>-9.4604489999999999E-2</v>
      </c>
      <c r="V5402">
        <v>1.9969580000000001E-2</v>
      </c>
      <c r="W5402">
        <v>0.2096633</v>
      </c>
      <c r="X5402">
        <v>0.97756969999999999</v>
      </c>
      <c r="Y5402">
        <v>2.1933020000000001E-2</v>
      </c>
      <c r="Z5402">
        <v>-3.3408039999999997E-4</v>
      </c>
      <c r="AA5402">
        <v>0.99975939999999996</v>
      </c>
      <c r="AB5402">
        <v>35</v>
      </c>
      <c r="AC5402">
        <v>20.411899999999999</v>
      </c>
      <c r="AD5402">
        <v>-1.1195682194429999</v>
      </c>
      <c r="AE5402">
        <v>-0.62729000000000201</v>
      </c>
      <c r="AF5402">
        <v>0.45054976660937801</v>
      </c>
      <c r="AG5402">
        <v>-1.1195682194429999</v>
      </c>
      <c r="AH5402">
        <v>20.355356786852798</v>
      </c>
      <c r="AI5402">
        <v>93.147392971458501</v>
      </c>
      <c r="AJ5402">
        <v>88.732010159701801</v>
      </c>
      <c r="AK5402">
        <v>20.391100460991598</v>
      </c>
      <c r="AL5402">
        <v>77.897378510736999</v>
      </c>
      <c r="AM5402">
        <v>88.8297371120821</v>
      </c>
      <c r="AN5402">
        <v>1.0000000009251699</v>
      </c>
    </row>
    <row r="5403" spans="1:40" x14ac:dyDescent="0.25">
      <c r="A5403" t="str">
        <f>"20190303170644086"</f>
        <v>20190303170644086</v>
      </c>
      <c r="B5403" t="str">
        <f>"1551604004080224"</f>
        <v>1551604004080224</v>
      </c>
      <c r="C5403" t="s">
        <v>40</v>
      </c>
      <c r="D5403">
        <v>6.0857729999999997</v>
      </c>
      <c r="E5403">
        <v>0.50780249999999905</v>
      </c>
      <c r="F5403" t="s">
        <v>107</v>
      </c>
      <c r="G5403">
        <v>-235.9803</v>
      </c>
      <c r="H5403" s="1">
        <v>-2.3206139999999998E-6</v>
      </c>
      <c r="I5403">
        <v>-63.269910000000003</v>
      </c>
      <c r="J5403">
        <v>-255.9753</v>
      </c>
      <c r="K5403">
        <v>1.1195569999999999</v>
      </c>
      <c r="L5403">
        <v>-62.636110000000002</v>
      </c>
      <c r="M5403">
        <v>0.99990239999999997</v>
      </c>
      <c r="N5403">
        <v>-1.046764E-2</v>
      </c>
      <c r="O5403">
        <v>-9.2517769999999992E-3</v>
      </c>
      <c r="P5403">
        <v>0.9797148</v>
      </c>
      <c r="Q5403">
        <v>0.19827839999999999</v>
      </c>
      <c r="R5403">
        <v>-2.9066350000000001E-2</v>
      </c>
      <c r="S5403">
        <v>3.0949550000000001</v>
      </c>
      <c r="T5403">
        <v>-0.1716926</v>
      </c>
      <c r="U5403">
        <v>-9.7534179999999998E-2</v>
      </c>
      <c r="V5403">
        <v>2.0596679999999999E-2</v>
      </c>
      <c r="W5403">
        <v>0.20846719999999999</v>
      </c>
      <c r="X5403">
        <v>0.97781249999999997</v>
      </c>
      <c r="Y5403">
        <v>2.221801E-2</v>
      </c>
      <c r="Z5403">
        <v>-3.1613970000000003E-4</v>
      </c>
      <c r="AA5403">
        <v>0.99975309999999995</v>
      </c>
      <c r="AB5403">
        <v>35</v>
      </c>
      <c r="AC5403">
        <v>19.995000000000001</v>
      </c>
      <c r="AD5403">
        <v>-1.119559320614</v>
      </c>
      <c r="AE5403">
        <v>-0.63380000000000003</v>
      </c>
      <c r="AF5403">
        <v>0.44737230325650401</v>
      </c>
      <c r="AG5403">
        <v>-1.119559320614</v>
      </c>
      <c r="AH5403">
        <v>19.9375647264891</v>
      </c>
      <c r="AI5403">
        <v>93.213162634857696</v>
      </c>
      <c r="AJ5403">
        <v>88.714574996621806</v>
      </c>
      <c r="AK5403">
        <v>19.973984136196702</v>
      </c>
      <c r="AL5403">
        <v>77.967459138387596</v>
      </c>
      <c r="AM5403">
        <v>88.793297950583593</v>
      </c>
      <c r="AN5403">
        <v>1.00000004092955</v>
      </c>
    </row>
    <row r="5404" spans="1:40" x14ac:dyDescent="0.25">
      <c r="A5404" t="str">
        <f>"20190303170644097"</f>
        <v>20190303170644097</v>
      </c>
      <c r="B5404" t="str">
        <f>"1551604004089985"</f>
        <v>1551604004089985</v>
      </c>
      <c r="C5404" t="s">
        <v>40</v>
      </c>
      <c r="D5404">
        <v>6.0781869999999998</v>
      </c>
      <c r="E5404">
        <v>0.50768219999999997</v>
      </c>
      <c r="F5404" t="s">
        <v>107</v>
      </c>
      <c r="G5404">
        <v>-236.096</v>
      </c>
      <c r="H5404" s="1">
        <v>-2.3708269999999999E-6</v>
      </c>
      <c r="I5404">
        <v>-63.272039999999997</v>
      </c>
      <c r="J5404">
        <v>-255.78299999999999</v>
      </c>
      <c r="K5404">
        <v>1.119545</v>
      </c>
      <c r="L5404">
        <v>-62.6385199999999</v>
      </c>
      <c r="M5404">
        <v>0.99989620000000001</v>
      </c>
      <c r="N5404">
        <v>-1.0452120000000001E-2</v>
      </c>
      <c r="O5404">
        <v>-9.9338949999999999E-3</v>
      </c>
      <c r="P5404">
        <v>0.97991139999999999</v>
      </c>
      <c r="Q5404">
        <v>0.1971765</v>
      </c>
      <c r="R5404">
        <v>-2.9924340000000001E-2</v>
      </c>
      <c r="S5404">
        <v>3.094452</v>
      </c>
      <c r="T5404">
        <v>-0.17427229999999999</v>
      </c>
      <c r="U5404">
        <v>-9.8999019999999993E-2</v>
      </c>
      <c r="V5404">
        <v>2.078108E-2</v>
      </c>
      <c r="W5404">
        <v>0.20735200000000001</v>
      </c>
      <c r="X5404">
        <v>0.97804559999999996</v>
      </c>
      <c r="Y5404">
        <v>2.2014229999999999E-2</v>
      </c>
      <c r="Z5404">
        <v>-2.7934029999999999E-4</v>
      </c>
      <c r="AA5404">
        <v>0.99975760000000002</v>
      </c>
      <c r="AB5404">
        <v>35</v>
      </c>
      <c r="AC5404">
        <v>19.687000000000001</v>
      </c>
      <c r="AD5404">
        <v>-1.1195473708270001</v>
      </c>
      <c r="AE5404">
        <v>-0.63352000000001096</v>
      </c>
      <c r="AF5404">
        <v>0.43649936338386303</v>
      </c>
      <c r="AG5404">
        <v>-1.1195473708270001</v>
      </c>
      <c r="AH5404">
        <v>19.6289099934482</v>
      </c>
      <c r="AI5404">
        <v>93.263559490369502</v>
      </c>
      <c r="AJ5404">
        <v>88.726090749776006</v>
      </c>
      <c r="AK5404">
        <v>19.665655990600701</v>
      </c>
      <c r="AL5404">
        <v>78.032781744552594</v>
      </c>
      <c r="AM5404">
        <v>88.782787789162001</v>
      </c>
      <c r="AN5404">
        <v>0.99999995043466094</v>
      </c>
    </row>
    <row r="5405" spans="1:40" x14ac:dyDescent="0.25">
      <c r="A5405" t="str">
        <f>"20190303170644109"</f>
        <v>20190303170644109</v>
      </c>
      <c r="B5405" t="str">
        <f>"1551604004100721"</f>
        <v>1551604004100721</v>
      </c>
      <c r="C5405" t="s">
        <v>40</v>
      </c>
      <c r="D5405">
        <v>6.1220780000000001</v>
      </c>
      <c r="E5405">
        <v>0.50754429999999995</v>
      </c>
      <c r="F5405" t="s">
        <v>107</v>
      </c>
      <c r="G5405">
        <v>-236.24080000000001</v>
      </c>
      <c r="H5405" s="1">
        <v>-2.4330869999999999E-6</v>
      </c>
      <c r="I5405">
        <v>-63.272590000000001</v>
      </c>
      <c r="J5405">
        <v>-255.6114</v>
      </c>
      <c r="K5405">
        <v>1.119526</v>
      </c>
      <c r="L5405">
        <v>-62.640749999999997</v>
      </c>
      <c r="M5405">
        <v>0.99988999999999995</v>
      </c>
      <c r="N5405">
        <v>-1.04365E-2</v>
      </c>
      <c r="O5405">
        <v>-1.05421E-2</v>
      </c>
      <c r="P5405">
        <v>0.98014109999999999</v>
      </c>
      <c r="Q5405">
        <v>0.19591610000000001</v>
      </c>
      <c r="R5405">
        <v>-3.0666519999999999E-2</v>
      </c>
      <c r="S5405">
        <v>3.0941010000000002</v>
      </c>
      <c r="T5405">
        <v>-0.1772571</v>
      </c>
      <c r="U5405">
        <v>-0.1004028</v>
      </c>
      <c r="V5405">
        <v>2.0920999999999999E-2</v>
      </c>
      <c r="W5405">
        <v>0.20607839999999999</v>
      </c>
      <c r="X5405">
        <v>0.97831179999999995</v>
      </c>
      <c r="Y5405">
        <v>2.1862960000000001E-2</v>
      </c>
      <c r="Z5405">
        <v>-2.464759E-4</v>
      </c>
      <c r="AA5405">
        <v>0.99976089999999995</v>
      </c>
      <c r="AB5405">
        <v>35</v>
      </c>
      <c r="AC5405">
        <v>19.3706</v>
      </c>
      <c r="AD5405">
        <v>-1.1195284330869999</v>
      </c>
      <c r="AE5405">
        <v>-0.63184000000000395</v>
      </c>
      <c r="AF5405">
        <v>0.42616496642260299</v>
      </c>
      <c r="AG5405">
        <v>-1.1195284330869999</v>
      </c>
      <c r="AH5405">
        <v>19.311746487607302</v>
      </c>
      <c r="AI5405">
        <v>93.316995808592594</v>
      </c>
      <c r="AJ5405">
        <v>88.735821666345998</v>
      </c>
      <c r="AK5405">
        <v>19.348863348856099</v>
      </c>
      <c r="AL5405">
        <v>78.107364997861495</v>
      </c>
      <c r="AM5405">
        <v>88.7749280649208</v>
      </c>
      <c r="AN5405">
        <v>0.99999998660339895</v>
      </c>
    </row>
    <row r="5406" spans="1:40" x14ac:dyDescent="0.25">
      <c r="A5406" t="str">
        <f>"20190303170644121"</f>
        <v>20190303170644121</v>
      </c>
      <c r="B5406" t="str">
        <f>"1551604004110481"</f>
        <v>1551604004110481</v>
      </c>
      <c r="C5406" t="s">
        <v>40</v>
      </c>
      <c r="D5406">
        <v>6.1066120000000002</v>
      </c>
      <c r="E5406">
        <v>0.50740699999999905</v>
      </c>
      <c r="F5406" t="s">
        <v>107</v>
      </c>
      <c r="G5406">
        <v>-236.44319999999999</v>
      </c>
      <c r="H5406" s="1">
        <v>-2.5187359999999999E-6</v>
      </c>
      <c r="I5406">
        <v>-63.268059999999998</v>
      </c>
      <c r="J5406">
        <v>-255.42349999999999</v>
      </c>
      <c r="K5406">
        <v>1.1195139999999999</v>
      </c>
      <c r="L5406">
        <v>-62.64331</v>
      </c>
      <c r="M5406">
        <v>0.99988290000000002</v>
      </c>
      <c r="N5406">
        <v>-1.0417859999999999E-2</v>
      </c>
      <c r="O5406">
        <v>-1.120823E-2</v>
      </c>
      <c r="P5406">
        <v>0.98025450000000003</v>
      </c>
      <c r="Q5406">
        <v>0.19526689999999999</v>
      </c>
      <c r="R5406">
        <v>-3.117814E-2</v>
      </c>
      <c r="S5406">
        <v>3.0937190000000001</v>
      </c>
      <c r="T5406">
        <v>-0.18069089999999999</v>
      </c>
      <c r="U5406">
        <v>-0.10125729999999999</v>
      </c>
      <c r="V5406">
        <v>2.0776550000000001E-2</v>
      </c>
      <c r="W5406">
        <v>0.20541300000000001</v>
      </c>
      <c r="X5406">
        <v>0.97845479999999996</v>
      </c>
      <c r="Y5406">
        <v>2.1477329999999999E-2</v>
      </c>
      <c r="Z5406">
        <v>-2.0132829999999999E-4</v>
      </c>
      <c r="AA5406">
        <v>0.99976929999999997</v>
      </c>
      <c r="AB5406">
        <v>35</v>
      </c>
      <c r="AC5406">
        <v>18.9803</v>
      </c>
      <c r="AD5406">
        <v>-1.1195165187360001</v>
      </c>
      <c r="AE5406">
        <v>-0.62474999999999803</v>
      </c>
      <c r="AF5406">
        <v>0.41053692265245301</v>
      </c>
      <c r="AG5406">
        <v>-1.1195165187360001</v>
      </c>
      <c r="AH5406">
        <v>18.920357609188699</v>
      </c>
      <c r="AI5406">
        <v>93.385444966117205</v>
      </c>
      <c r="AJ5406">
        <v>88.7569821321392</v>
      </c>
      <c r="AK5406">
        <v>18.957895185388299</v>
      </c>
      <c r="AL5406">
        <v>78.146323028448293</v>
      </c>
      <c r="AM5406">
        <v>88.783561832440597</v>
      </c>
      <c r="AN5406">
        <v>0.99999998062097095</v>
      </c>
    </row>
    <row r="5407" spans="1:40" x14ac:dyDescent="0.25">
      <c r="A5407" t="str">
        <f>"20190303170644132"</f>
        <v>20190303170644132</v>
      </c>
      <c r="B5407" t="str">
        <f>"1551604004120241"</f>
        <v>1551604004120241</v>
      </c>
      <c r="C5407" t="s">
        <v>40</v>
      </c>
      <c r="D5407">
        <v>6.1260879999999904</v>
      </c>
      <c r="E5407">
        <v>0.50732999999999995</v>
      </c>
      <c r="F5407" t="s">
        <v>107</v>
      </c>
      <c r="G5407">
        <v>-236.46080000000001</v>
      </c>
      <c r="H5407" s="1">
        <v>-2.525253E-6</v>
      </c>
      <c r="I5407">
        <v>-63.264290000000003</v>
      </c>
      <c r="J5407">
        <v>-255.24590000000001</v>
      </c>
      <c r="K5407">
        <v>1.119507</v>
      </c>
      <c r="L5407">
        <v>-62.645870000000002</v>
      </c>
      <c r="M5407">
        <v>0.99987590000000004</v>
      </c>
      <c r="N5407">
        <v>-1.0395110000000001E-2</v>
      </c>
      <c r="O5407">
        <v>-1.183761E-2</v>
      </c>
      <c r="P5407">
        <v>0.98016250000000005</v>
      </c>
      <c r="Q5407">
        <v>0.19555529999999999</v>
      </c>
      <c r="R5407">
        <v>-3.2241539999999999E-2</v>
      </c>
      <c r="S5407">
        <v>3.0936129999999999</v>
      </c>
      <c r="T5407">
        <v>-0.18264</v>
      </c>
      <c r="U5407">
        <v>-0.1013184</v>
      </c>
      <c r="V5407">
        <v>2.122456E-2</v>
      </c>
      <c r="W5407">
        <v>0.2056771</v>
      </c>
      <c r="X5407">
        <v>0.97838970000000003</v>
      </c>
      <c r="Y5407">
        <v>2.0870340000000001E-2</v>
      </c>
      <c r="Z5407">
        <v>-1.4890420000000001E-4</v>
      </c>
      <c r="AA5407">
        <v>0.99978219999999995</v>
      </c>
      <c r="AB5407">
        <v>35</v>
      </c>
      <c r="AC5407">
        <v>18.7851</v>
      </c>
      <c r="AD5407">
        <v>-1.1195095252530001</v>
      </c>
      <c r="AE5407">
        <v>-0.61842000000000696</v>
      </c>
      <c r="AF5407">
        <v>0.39459402423557999</v>
      </c>
      <c r="AG5407">
        <v>-1.1195095252530001</v>
      </c>
      <c r="AH5407">
        <v>18.7246734082619</v>
      </c>
      <c r="AI5407">
        <v>93.420765590506605</v>
      </c>
      <c r="AJ5407">
        <v>88.792757243354799</v>
      </c>
      <c r="AK5407">
        <v>18.762259998922499</v>
      </c>
      <c r="AL5407">
        <v>78.130861034823994</v>
      </c>
      <c r="AM5407">
        <v>88.757256948786605</v>
      </c>
      <c r="AN5407">
        <v>0.99999997823884601</v>
      </c>
    </row>
    <row r="5408" spans="1:40" x14ac:dyDescent="0.25">
      <c r="A5408" t="str">
        <f>"20190303170644143"</f>
        <v>20190303170644143</v>
      </c>
      <c r="B5408" t="str">
        <f>"1551604004130001"</f>
        <v>1551604004130001</v>
      </c>
      <c r="C5408" t="s">
        <v>40</v>
      </c>
      <c r="D5408">
        <v>6.1293930000000003</v>
      </c>
      <c r="E5408">
        <v>0.50723960000000001</v>
      </c>
      <c r="F5408" t="s">
        <v>107</v>
      </c>
      <c r="G5408">
        <v>-236.14269999999999</v>
      </c>
      <c r="H5408" s="1">
        <v>-2.3938209999999998E-6</v>
      </c>
      <c r="I5408">
        <v>-63.283169999999998</v>
      </c>
      <c r="J5408">
        <v>-255.0787</v>
      </c>
      <c r="K5408">
        <v>1.119505</v>
      </c>
      <c r="L5408">
        <v>-62.648319999999998</v>
      </c>
      <c r="M5408">
        <v>0.99986889999999995</v>
      </c>
      <c r="N5408">
        <v>-1.0372650000000001E-2</v>
      </c>
      <c r="O5408">
        <v>-1.2430760000000001E-2</v>
      </c>
      <c r="P5408">
        <v>0.98001039999999995</v>
      </c>
      <c r="Q5408">
        <v>0.1961774</v>
      </c>
      <c r="R5408">
        <v>-3.3080850000000002E-2</v>
      </c>
      <c r="S5408">
        <v>3.0934750000000002</v>
      </c>
      <c r="T5408">
        <v>-0.1812869</v>
      </c>
      <c r="U5408">
        <v>-0.10321039999999999</v>
      </c>
      <c r="V5408">
        <v>2.1485810000000001E-2</v>
      </c>
      <c r="W5408">
        <v>0.20627480000000001</v>
      </c>
      <c r="X5408">
        <v>0.97825819999999997</v>
      </c>
      <c r="Y5408">
        <v>2.0890539999999999E-2</v>
      </c>
      <c r="Z5408">
        <v>-1.211416E-4</v>
      </c>
      <c r="AA5408">
        <v>0.99978180000000005</v>
      </c>
      <c r="AB5408">
        <v>35</v>
      </c>
      <c r="AC5408">
        <v>18.936</v>
      </c>
      <c r="AD5408">
        <v>-1.1195073938210001</v>
      </c>
      <c r="AE5408">
        <v>-0.63485000000000003</v>
      </c>
      <c r="AF5408">
        <v>0.398009820485767</v>
      </c>
      <c r="AG5408">
        <v>-1.1195073938210001</v>
      </c>
      <c r="AH5408">
        <v>18.876524871700699</v>
      </c>
      <c r="AI5408">
        <v>93.393304677336104</v>
      </c>
      <c r="AJ5408">
        <v>88.792102646960402</v>
      </c>
      <c r="AK5408">
        <v>18.913881142006701</v>
      </c>
      <c r="AL5408">
        <v>78.095865424817802</v>
      </c>
      <c r="AM5408">
        <v>88.741796038719301</v>
      </c>
      <c r="AN5408">
        <v>1.0000000195068099</v>
      </c>
    </row>
    <row r="5409" spans="1:40" x14ac:dyDescent="0.25">
      <c r="A5409" t="str">
        <f>"20190303170644154"</f>
        <v>20190303170644154</v>
      </c>
      <c r="B5409" t="str">
        <f>"1551604004140737"</f>
        <v>1551604004140737</v>
      </c>
      <c r="C5409" t="s">
        <v>40</v>
      </c>
      <c r="D5409">
        <v>6.1387229999999997</v>
      </c>
      <c r="E5409">
        <v>0.50714870000000001</v>
      </c>
      <c r="F5409" t="s">
        <v>107</v>
      </c>
      <c r="G5409">
        <v>-235.70910000000001</v>
      </c>
      <c r="H5409" s="1">
        <v>-2.2115910000000001E-6</v>
      </c>
      <c r="I5409">
        <v>-63.297359999999998</v>
      </c>
      <c r="J5409">
        <v>-254.92500000000001</v>
      </c>
      <c r="K5409">
        <v>1.119499</v>
      </c>
      <c r="L5409">
        <v>-62.650730000000003</v>
      </c>
      <c r="M5409">
        <v>0.99986240000000004</v>
      </c>
      <c r="N5409">
        <v>-1.0348410000000001E-2</v>
      </c>
      <c r="O5409">
        <v>-1.2975499999999999E-2</v>
      </c>
      <c r="P5409">
        <v>0.97983770000000003</v>
      </c>
      <c r="Q5409">
        <v>0.1968847</v>
      </c>
      <c r="R5409">
        <v>-3.3984470000000003E-2</v>
      </c>
      <c r="S5409">
        <v>3.0935060000000001</v>
      </c>
      <c r="T5409">
        <v>-0.17879610000000001</v>
      </c>
      <c r="U5409">
        <v>-0.1036682</v>
      </c>
      <c r="V5409">
        <v>2.185964E-2</v>
      </c>
      <c r="W5409">
        <v>0.20695549999999999</v>
      </c>
      <c r="X5409">
        <v>0.97810609999999998</v>
      </c>
      <c r="Y5409">
        <v>2.0495309999999999E-2</v>
      </c>
      <c r="Z5409" s="1">
        <v>-8.2914050000000003E-5</v>
      </c>
      <c r="AA5409">
        <v>0.99978999999999996</v>
      </c>
      <c r="AB5409">
        <v>35</v>
      </c>
      <c r="AC5409">
        <v>19.215900000000001</v>
      </c>
      <c r="AD5409">
        <v>-1.1195012115909999</v>
      </c>
      <c r="AE5409">
        <v>-0.64662999999999404</v>
      </c>
      <c r="AF5409">
        <v>0.39588416914119201</v>
      </c>
      <c r="AG5409">
        <v>-1.1195012115909999</v>
      </c>
      <c r="AH5409">
        <v>19.1577227912477</v>
      </c>
      <c r="AI5409">
        <v>93.343622283462395</v>
      </c>
      <c r="AJ5409">
        <v>88.816181624826598</v>
      </c>
      <c r="AK5409">
        <v>19.194487484286299</v>
      </c>
      <c r="AL5409">
        <v>78.056003626623706</v>
      </c>
      <c r="AM5409">
        <v>88.719712870631398</v>
      </c>
      <c r="AN5409">
        <v>0.999999982849194</v>
      </c>
    </row>
    <row r="5410" spans="1:40" x14ac:dyDescent="0.25">
      <c r="A5410" t="str">
        <f>"20190303170644164"</f>
        <v>20190303170644164</v>
      </c>
      <c r="B5410" t="str">
        <f>"1551604004150497"</f>
        <v>1551604004150497</v>
      </c>
      <c r="C5410" t="s">
        <v>40</v>
      </c>
      <c r="D5410">
        <v>6.1233259999999996</v>
      </c>
      <c r="E5410">
        <v>0.5070443</v>
      </c>
      <c r="F5410" t="s">
        <v>107</v>
      </c>
      <c r="G5410">
        <v>-235.27260000000001</v>
      </c>
      <c r="H5410" s="1">
        <v>-2.028834E-6</v>
      </c>
      <c r="I5410">
        <v>-63.31429</v>
      </c>
      <c r="J5410">
        <v>-254.75389999999999</v>
      </c>
      <c r="K5410">
        <v>1.1194930000000001</v>
      </c>
      <c r="L5410">
        <v>-62.653440000000003</v>
      </c>
      <c r="M5410">
        <v>0.99985460000000004</v>
      </c>
      <c r="N5410">
        <v>-1.032142E-2</v>
      </c>
      <c r="O5410">
        <v>-1.3582210000000001E-2</v>
      </c>
      <c r="P5410">
        <v>0.97979899999999998</v>
      </c>
      <c r="Q5410">
        <v>0.19698270000000001</v>
      </c>
      <c r="R5410">
        <v>-3.4524190000000003E-2</v>
      </c>
      <c r="S5410">
        <v>3.0935359999999998</v>
      </c>
      <c r="T5410">
        <v>-0.1762232</v>
      </c>
      <c r="U5410">
        <v>-0.1044617</v>
      </c>
      <c r="V5410">
        <v>2.1805700000000001E-2</v>
      </c>
      <c r="W5410">
        <v>0.2070273</v>
      </c>
      <c r="X5410">
        <v>0.97809210000000002</v>
      </c>
      <c r="Y5410">
        <v>2.0146379999999998E-2</v>
      </c>
      <c r="Z5410" s="1">
        <v>-4.4560929999999998E-5</v>
      </c>
      <c r="AA5410">
        <v>0.99979700000000005</v>
      </c>
      <c r="AB5410">
        <v>35</v>
      </c>
      <c r="AC5410">
        <v>19.481299999999901</v>
      </c>
      <c r="AD5410">
        <v>-1.119495028834</v>
      </c>
      <c r="AE5410">
        <v>-0.66084999999999605</v>
      </c>
      <c r="AF5410">
        <v>0.39487339507187003</v>
      </c>
      <c r="AG5410">
        <v>-1.119495028834</v>
      </c>
      <c r="AH5410">
        <v>19.4244087778543</v>
      </c>
      <c r="AI5410">
        <v>93.297822753615804</v>
      </c>
      <c r="AJ5410">
        <v>88.835410466132203</v>
      </c>
      <c r="AK5410">
        <v>19.460648768396702</v>
      </c>
      <c r="AL5410">
        <v>78.051798613144996</v>
      </c>
      <c r="AM5410">
        <v>88.722852735656303</v>
      </c>
      <c r="AN5410">
        <v>0.99999997379009398</v>
      </c>
    </row>
    <row r="5411" spans="1:40" x14ac:dyDescent="0.25">
      <c r="A5411" t="str">
        <f>"20190303170644175"</f>
        <v>20190303170644175</v>
      </c>
      <c r="B5411" t="str">
        <f>"1551604004160558"</f>
        <v>1551604004160558</v>
      </c>
      <c r="C5411" t="s">
        <v>40</v>
      </c>
      <c r="D5411">
        <v>6.1542940000000002</v>
      </c>
      <c r="E5411">
        <v>0.5070443</v>
      </c>
      <c r="F5411" t="s">
        <v>107</v>
      </c>
      <c r="G5411">
        <v>-234.98400000000001</v>
      </c>
      <c r="H5411" s="1">
        <v>-1.90738E-6</v>
      </c>
      <c r="I5411">
        <v>-63.323149999999998</v>
      </c>
      <c r="J5411">
        <v>-254.58240000000001</v>
      </c>
      <c r="K5411">
        <v>1.1194820000000001</v>
      </c>
      <c r="L5411">
        <v>-62.656309999999998</v>
      </c>
      <c r="M5411">
        <v>0.99984640000000002</v>
      </c>
      <c r="N5411">
        <v>-1.0294630000000001E-2</v>
      </c>
      <c r="O5411">
        <v>-1.4189759999999999E-2</v>
      </c>
      <c r="P5411">
        <v>0.97991419999999996</v>
      </c>
      <c r="Q5411">
        <v>0.19639319999999999</v>
      </c>
      <c r="R5411">
        <v>-3.4614350000000002E-2</v>
      </c>
      <c r="S5411">
        <v>3.093353</v>
      </c>
      <c r="T5411">
        <v>-0.1751646</v>
      </c>
      <c r="U5411">
        <v>-0.1047974</v>
      </c>
      <c r="V5411">
        <v>2.1297159999999999E-2</v>
      </c>
      <c r="W5411">
        <v>0.20641480000000001</v>
      </c>
      <c r="X5411">
        <v>0.97823269999999996</v>
      </c>
      <c r="Y5411">
        <v>1.9651060000000001E-2</v>
      </c>
      <c r="Z5411" s="1">
        <v>-4.4202900000000002E-7</v>
      </c>
      <c r="AA5411">
        <v>0.99980690000000005</v>
      </c>
      <c r="AB5411">
        <v>35</v>
      </c>
      <c r="AC5411">
        <v>19.598400000000002</v>
      </c>
      <c r="AD5411">
        <v>-1.11948390737999</v>
      </c>
      <c r="AE5411">
        <v>-0.66683999999999999</v>
      </c>
      <c r="AF5411">
        <v>0.38739899154783303</v>
      </c>
      <c r="AG5411">
        <v>-1.11948390737999</v>
      </c>
      <c r="AH5411">
        <v>19.542200282561598</v>
      </c>
      <c r="AI5411">
        <v>93.277989109272298</v>
      </c>
      <c r="AJ5411">
        <v>88.864333596035095</v>
      </c>
      <c r="AK5411">
        <v>19.578072276945001</v>
      </c>
      <c r="AL5411">
        <v>78.087666475178693</v>
      </c>
      <c r="AM5411">
        <v>88.752807333585196</v>
      </c>
      <c r="AN5411">
        <v>0.999999927016195</v>
      </c>
    </row>
    <row r="5412" spans="1:40" x14ac:dyDescent="0.25">
      <c r="A5412" t="str">
        <f>"20190303170644186"</f>
        <v>20190303170644186</v>
      </c>
      <c r="B5412" t="str">
        <f>"1551604004180078"</f>
        <v>1551604004180078</v>
      </c>
      <c r="C5412" t="s">
        <v>40</v>
      </c>
      <c r="D5412">
        <v>6.1500190000000003</v>
      </c>
      <c r="E5412">
        <v>0.49266890000000002</v>
      </c>
      <c r="F5412" t="s">
        <v>107</v>
      </c>
      <c r="G5412">
        <v>-235.0206</v>
      </c>
      <c r="H5412" s="1">
        <v>-1.922306E-6</v>
      </c>
      <c r="I5412">
        <v>-63.320149999999998</v>
      </c>
      <c r="J5412">
        <v>-254.39769999999999</v>
      </c>
      <c r="K5412">
        <v>1.119478</v>
      </c>
      <c r="L5412">
        <v>-62.65945</v>
      </c>
      <c r="M5412">
        <v>0.99983719999999998</v>
      </c>
      <c r="N5412">
        <v>-1.026547E-2</v>
      </c>
      <c r="O5412">
        <v>-1.484414E-2</v>
      </c>
      <c r="P5412">
        <v>0.98014009999999996</v>
      </c>
      <c r="Q5412">
        <v>0.19531080000000001</v>
      </c>
      <c r="R5412">
        <v>-3.4338939999999998E-2</v>
      </c>
      <c r="S5412">
        <v>3.0932460000000002</v>
      </c>
      <c r="T5412">
        <v>-0.17702039999999999</v>
      </c>
      <c r="U5412">
        <v>-0.1049805</v>
      </c>
      <c r="V5412">
        <v>2.037394E-2</v>
      </c>
      <c r="W5412">
        <v>0.2053084</v>
      </c>
      <c r="X5412">
        <v>0.97848520000000005</v>
      </c>
      <c r="Y5412">
        <v>1.9058539999999999E-2</v>
      </c>
      <c r="Z5412" s="1">
        <v>5.3545779999999997E-5</v>
      </c>
      <c r="AA5412">
        <v>0.9998184</v>
      </c>
      <c r="AB5412">
        <v>35</v>
      </c>
      <c r="AC5412">
        <v>19.377099999999899</v>
      </c>
      <c r="AD5412">
        <v>-1.1194799223059999</v>
      </c>
      <c r="AE5412">
        <v>-0.66069999999999796</v>
      </c>
      <c r="AF5412">
        <v>0.37173635080559803</v>
      </c>
      <c r="AG5412">
        <v>-1.1194799223059999</v>
      </c>
      <c r="AH5412">
        <v>19.3203610040832</v>
      </c>
      <c r="AI5412">
        <v>93.315569862510301</v>
      </c>
      <c r="AJ5412">
        <v>88.897727828922299</v>
      </c>
      <c r="AK5412">
        <v>19.356336754124101</v>
      </c>
      <c r="AL5412">
        <v>78.152446455681599</v>
      </c>
      <c r="AM5412">
        <v>88.807164260818695</v>
      </c>
      <c r="AN5412">
        <v>0.99999996158036097</v>
      </c>
    </row>
    <row r="5413" spans="1:40" x14ac:dyDescent="0.25">
      <c r="A5413" t="str">
        <f>"20190303170644196"</f>
        <v>20190303170644196</v>
      </c>
      <c r="B5413" t="str">
        <f>"1551604004190815"</f>
        <v>1551604004190815</v>
      </c>
      <c r="C5413" t="s">
        <v>40</v>
      </c>
      <c r="D5413">
        <v>6.1492940000000003</v>
      </c>
      <c r="E5413">
        <v>0.49181390000000003</v>
      </c>
      <c r="F5413" t="s">
        <v>107</v>
      </c>
      <c r="G5413">
        <v>-232.4735</v>
      </c>
      <c r="H5413" s="1">
        <v>-6.3754169999999905E-7</v>
      </c>
      <c r="I5413">
        <v>-62.598379999999999</v>
      </c>
      <c r="J5413">
        <v>-254.22630000000001</v>
      </c>
      <c r="K5413">
        <v>1.11947</v>
      </c>
      <c r="L5413">
        <v>-62.66254</v>
      </c>
      <c r="M5413">
        <v>0.9998283</v>
      </c>
      <c r="N5413">
        <v>-1.023773E-2</v>
      </c>
      <c r="O5413">
        <v>-1.545145E-2</v>
      </c>
      <c r="P5413">
        <v>0.98022719999999997</v>
      </c>
      <c r="Q5413">
        <v>0.19496949999999999</v>
      </c>
      <c r="R5413">
        <v>-3.3786160000000003E-2</v>
      </c>
      <c r="S5413">
        <v>3.0925750000000001</v>
      </c>
      <c r="T5413">
        <v>-0.15791060000000001</v>
      </c>
      <c r="U5413">
        <v>8.6059569999999991E-3</v>
      </c>
      <c r="V5413">
        <v>1.9223609999999999E-2</v>
      </c>
      <c r="W5413">
        <v>0.2049444</v>
      </c>
      <c r="X5413">
        <v>0.97858480000000003</v>
      </c>
      <c r="Y5413">
        <v>-1.8193310000000001E-2</v>
      </c>
      <c r="Z5413">
        <v>1.18771E-3</v>
      </c>
      <c r="AA5413">
        <v>0.99983379999999999</v>
      </c>
      <c r="AB5413">
        <v>35</v>
      </c>
      <c r="AC5413">
        <v>21.752800000000001</v>
      </c>
      <c r="AD5413">
        <v>-1.1194706375417001</v>
      </c>
      <c r="AE5413">
        <v>6.4159999999994E-2</v>
      </c>
      <c r="AF5413">
        <v>-0.399224899216786</v>
      </c>
      <c r="AG5413">
        <v>-1.1194706375417001</v>
      </c>
      <c r="AH5413">
        <v>21.691761961174802</v>
      </c>
      <c r="AI5413">
        <v>92.953806061939702</v>
      </c>
      <c r="AJ5413">
        <v>91.054378142409902</v>
      </c>
      <c r="AK5413">
        <v>21.724298193698701</v>
      </c>
      <c r="AL5413">
        <v>78.173755492632296</v>
      </c>
      <c r="AM5413">
        <v>88.874609464034407</v>
      </c>
      <c r="AN5413">
        <v>0.99999998253191602</v>
      </c>
    </row>
    <row r="5414" spans="1:40" x14ac:dyDescent="0.25">
      <c r="A5414" t="str">
        <f>"20190303170644208"</f>
        <v>20190303170644208</v>
      </c>
      <c r="B5414" t="str">
        <f>"1551604004200574"</f>
        <v>1551604004200574</v>
      </c>
      <c r="C5414" t="s">
        <v>40</v>
      </c>
      <c r="D5414">
        <v>6.1301139999999998</v>
      </c>
      <c r="E5414">
        <v>0.49128739999999999</v>
      </c>
      <c r="F5414" t="s">
        <v>107</v>
      </c>
      <c r="G5414">
        <v>-232.6018</v>
      </c>
      <c r="H5414" s="1">
        <v>-6.7972359999999998E-7</v>
      </c>
      <c r="I5414">
        <v>-62.55003</v>
      </c>
      <c r="J5414">
        <v>-254.0626</v>
      </c>
      <c r="K5414">
        <v>1.1194630000000001</v>
      </c>
      <c r="L5414">
        <v>-62.665529999999997</v>
      </c>
      <c r="M5414">
        <v>0.99981929999999997</v>
      </c>
      <c r="N5414">
        <v>-1.0210230000000001E-2</v>
      </c>
      <c r="O5414">
        <v>-1.6030989999999998E-2</v>
      </c>
      <c r="P5414">
        <v>0.98032759999999997</v>
      </c>
      <c r="Q5414">
        <v>0.1945074</v>
      </c>
      <c r="R5414">
        <v>-3.3538159999999997E-2</v>
      </c>
      <c r="S5414">
        <v>3.092911</v>
      </c>
      <c r="T5414">
        <v>-0.1601157</v>
      </c>
      <c r="U5414">
        <v>1.6082760000000001E-2</v>
      </c>
      <c r="V5414">
        <v>1.840468E-2</v>
      </c>
      <c r="W5414">
        <v>0.204459</v>
      </c>
      <c r="X5414">
        <v>0.97870210000000002</v>
      </c>
      <c r="Y5414">
        <v>-2.1182960000000001E-2</v>
      </c>
      <c r="Z5414">
        <v>1.3218920000000001E-3</v>
      </c>
      <c r="AA5414">
        <v>0.99977479999999996</v>
      </c>
      <c r="AB5414">
        <v>35</v>
      </c>
      <c r="AC5414">
        <v>21.460799999999999</v>
      </c>
      <c r="AD5414">
        <v>-1.1194636797235999</v>
      </c>
      <c r="AE5414">
        <v>0.11549999999999699</v>
      </c>
      <c r="AF5414">
        <v>-0.45829400131516401</v>
      </c>
      <c r="AG5414">
        <v>-1.1194636797235999</v>
      </c>
      <c r="AH5414">
        <v>21.3979680860248</v>
      </c>
      <c r="AI5414">
        <v>92.9940906681977</v>
      </c>
      <c r="AJ5414">
        <v>91.226952859280104</v>
      </c>
      <c r="AK5414">
        <v>21.4321317309407</v>
      </c>
      <c r="AL5414">
        <v>78.202168829413196</v>
      </c>
      <c r="AM5414">
        <v>88.922668900328205</v>
      </c>
      <c r="AN5414">
        <v>1.0000000077356499</v>
      </c>
    </row>
    <row r="5415" spans="1:40" x14ac:dyDescent="0.25">
      <c r="A5415" t="str">
        <f>"20190303170644218"</f>
        <v>20190303170644218</v>
      </c>
      <c r="B5415" t="str">
        <f>"1551604004210333"</f>
        <v>1551604004210333</v>
      </c>
      <c r="C5415" t="s">
        <v>40</v>
      </c>
      <c r="D5415">
        <v>6.1207289999999999</v>
      </c>
      <c r="E5415">
        <v>0.49085849999999998</v>
      </c>
      <c r="F5415" t="s">
        <v>107</v>
      </c>
      <c r="G5415">
        <v>-232.1225</v>
      </c>
      <c r="H5415" s="1">
        <v>-4.6720169999999997E-7</v>
      </c>
      <c r="I5415">
        <v>-62.524070000000002</v>
      </c>
      <c r="J5415">
        <v>-253.88929999999999</v>
      </c>
      <c r="K5415">
        <v>1.119456</v>
      </c>
      <c r="L5415">
        <v>-62.668819999999997</v>
      </c>
      <c r="M5415">
        <v>0.99980970000000002</v>
      </c>
      <c r="N5415">
        <v>-1.01799E-2</v>
      </c>
      <c r="O5415">
        <v>-1.6645199999999999E-2</v>
      </c>
      <c r="P5415">
        <v>0.98027960000000003</v>
      </c>
      <c r="Q5415">
        <v>0.1948442</v>
      </c>
      <c r="R5415">
        <v>-3.2983640000000002E-2</v>
      </c>
      <c r="S5415">
        <v>3.0921780000000001</v>
      </c>
      <c r="T5415">
        <v>-0.15777389999999999</v>
      </c>
      <c r="U5415">
        <v>1.9927980000000001E-2</v>
      </c>
      <c r="V5415">
        <v>1.7249919999999998E-2</v>
      </c>
      <c r="W5415">
        <v>0.20476839999999999</v>
      </c>
      <c r="X5415">
        <v>0.97865840000000004</v>
      </c>
      <c r="Y5415">
        <v>-2.3039500000000001E-2</v>
      </c>
      <c r="Z5415">
        <v>1.3841089999999999E-3</v>
      </c>
      <c r="AA5415">
        <v>0.9997336</v>
      </c>
      <c r="AB5415">
        <v>35</v>
      </c>
      <c r="AC5415">
        <v>21.7667999999999</v>
      </c>
      <c r="AD5415">
        <v>-1.1194564672017</v>
      </c>
      <c r="AE5415">
        <v>0.14475000000000099</v>
      </c>
      <c r="AF5415">
        <v>-0.50572385570311995</v>
      </c>
      <c r="AG5415">
        <v>-1.1194564672017</v>
      </c>
      <c r="AH5415">
        <v>21.703970171967899</v>
      </c>
      <c r="AI5415">
        <v>92.951809473222497</v>
      </c>
      <c r="AJ5415">
        <v>91.334806489371999</v>
      </c>
      <c r="AK5415">
        <v>21.7387042076077</v>
      </c>
      <c r="AL5415">
        <v>78.184057783711495</v>
      </c>
      <c r="AM5415">
        <v>88.990204059904499</v>
      </c>
      <c r="AN5415">
        <v>0.99999996063456198</v>
      </c>
    </row>
    <row r="5416" spans="1:40" x14ac:dyDescent="0.25">
      <c r="A5416" t="str">
        <f>"20190303170644229"</f>
        <v>20190303170644229</v>
      </c>
      <c r="B5416" t="str">
        <f>"1551604004220093"</f>
        <v>1551604004220093</v>
      </c>
      <c r="C5416" t="s">
        <v>40</v>
      </c>
      <c r="D5416">
        <v>6.1674059999999997</v>
      </c>
      <c r="E5416">
        <v>0.4907144</v>
      </c>
      <c r="F5416" t="s">
        <v>107</v>
      </c>
      <c r="G5416">
        <v>-231.62729999999999</v>
      </c>
      <c r="H5416" s="1">
        <v>-2.4662940000000003E-7</v>
      </c>
      <c r="I5416">
        <v>-62.493429999999996</v>
      </c>
      <c r="J5416">
        <v>-253.71899999999999</v>
      </c>
      <c r="K5416">
        <v>1.119456</v>
      </c>
      <c r="L5416">
        <v>-62.672179999999997</v>
      </c>
      <c r="M5416">
        <v>0.99979969999999996</v>
      </c>
      <c r="N5416">
        <v>-1.015049E-2</v>
      </c>
      <c r="O5416">
        <v>-1.7248220000000002E-2</v>
      </c>
      <c r="P5416">
        <v>0.98003980000000002</v>
      </c>
      <c r="Q5416">
        <v>0.19602510000000001</v>
      </c>
      <c r="R5416">
        <v>-3.3111210000000002E-2</v>
      </c>
      <c r="S5416">
        <v>3.0920869999999998</v>
      </c>
      <c r="T5416">
        <v>-0.15548729999999999</v>
      </c>
      <c r="U5416">
        <v>2.4353030000000001E-2</v>
      </c>
      <c r="V5416">
        <v>1.6794099999999899E-2</v>
      </c>
      <c r="W5416">
        <v>0.20591970000000001</v>
      </c>
      <c r="X5416">
        <v>0.97842479999999998</v>
      </c>
      <c r="Y5416">
        <v>-2.5071119999999999E-2</v>
      </c>
      <c r="Z5416">
        <v>1.449056E-3</v>
      </c>
      <c r="AA5416">
        <v>0.99968460000000003</v>
      </c>
      <c r="AB5416">
        <v>35</v>
      </c>
      <c r="AC5416">
        <v>22.091699999999999</v>
      </c>
      <c r="AD5416">
        <v>-1.1194562466294</v>
      </c>
      <c r="AE5416">
        <v>0.17874999999999999</v>
      </c>
      <c r="AF5416">
        <v>-0.55835191933464701</v>
      </c>
      <c r="AG5416">
        <v>-1.1194562466294</v>
      </c>
      <c r="AH5416">
        <v>22.028768896282202</v>
      </c>
      <c r="AI5416">
        <v>92.908217457563595</v>
      </c>
      <c r="AJ5416">
        <v>91.451935893153404</v>
      </c>
      <c r="AK5416">
        <v>22.064260654727502</v>
      </c>
      <c r="AL5416">
        <v>78.1166576206044</v>
      </c>
      <c r="AM5416">
        <v>89.016647400276796</v>
      </c>
      <c r="AN5416">
        <v>1.00000002694896</v>
      </c>
    </row>
    <row r="5417" spans="1:40" x14ac:dyDescent="0.25">
      <c r="A5417" t="str">
        <f>"20190303170644240"</f>
        <v>20190303170644240</v>
      </c>
      <c r="B5417" t="str">
        <f>"1551604004230830"</f>
        <v>1551604004230830</v>
      </c>
      <c r="C5417" t="s">
        <v>40</v>
      </c>
      <c r="D5417">
        <v>6.1603700000000003</v>
      </c>
      <c r="E5417">
        <v>0.49058249999999998</v>
      </c>
      <c r="F5417" t="s">
        <v>107</v>
      </c>
      <c r="G5417">
        <v>-230.72810000000001</v>
      </c>
      <c r="H5417" s="1">
        <v>1.406974E-7</v>
      </c>
      <c r="I5417">
        <v>-62.487639999999999</v>
      </c>
      <c r="J5417">
        <v>-253.5479</v>
      </c>
      <c r="K5417">
        <v>1.119461</v>
      </c>
      <c r="L5417">
        <v>-62.675629999999998</v>
      </c>
      <c r="M5417">
        <v>0.9997895</v>
      </c>
      <c r="N5417">
        <v>-1.012119E-2</v>
      </c>
      <c r="O5417">
        <v>-1.785397E-2</v>
      </c>
      <c r="P5417">
        <v>0.97967749999999998</v>
      </c>
      <c r="Q5417">
        <v>0.19783249999999999</v>
      </c>
      <c r="R5417">
        <v>-3.3079539999999998E-2</v>
      </c>
      <c r="S5417">
        <v>3.0920559999999999</v>
      </c>
      <c r="T5417">
        <v>-0.15055560000000001</v>
      </c>
      <c r="U5417">
        <v>2.4810789999999999E-2</v>
      </c>
      <c r="V5417">
        <v>1.6180730000000001E-2</v>
      </c>
      <c r="W5417">
        <v>0.20769679999999999</v>
      </c>
      <c r="X5417">
        <v>0.97805940000000002</v>
      </c>
      <c r="Y5417">
        <v>-2.582659E-2</v>
      </c>
      <c r="Z5417">
        <v>1.447334E-3</v>
      </c>
      <c r="AA5417">
        <v>0.99966540000000004</v>
      </c>
      <c r="AB5417">
        <v>35</v>
      </c>
      <c r="AC5417">
        <v>22.819799999999901</v>
      </c>
      <c r="AD5417">
        <v>-1.1194608593026001</v>
      </c>
      <c r="AE5417">
        <v>0.18799000000000601</v>
      </c>
      <c r="AF5417">
        <v>-0.59397554368953498</v>
      </c>
      <c r="AG5417">
        <v>-1.1194608593026001</v>
      </c>
      <c r="AH5417">
        <v>22.758041175487602</v>
      </c>
      <c r="AI5417">
        <v>92.815134358359302</v>
      </c>
      <c r="AJ5417">
        <v>91.495056943262796</v>
      </c>
      <c r="AK5417">
        <v>22.793298087534499</v>
      </c>
      <c r="AL5417">
        <v>78.012586905398805</v>
      </c>
      <c r="AM5417">
        <v>89.052201765249507</v>
      </c>
      <c r="AN5417">
        <v>0.99999998334096596</v>
      </c>
    </row>
    <row r="5418" spans="1:40" x14ac:dyDescent="0.25">
      <c r="A5418" t="str">
        <f>"20190303170644252"</f>
        <v>20190303170644252</v>
      </c>
      <c r="B5418" t="str">
        <f>"1551604004240590"</f>
        <v>1551604004240590</v>
      </c>
      <c r="C5418" t="s">
        <v>40</v>
      </c>
      <c r="D5418">
        <v>6.1347449999999997</v>
      </c>
      <c r="E5418">
        <v>0.490367</v>
      </c>
      <c r="F5418" t="s">
        <v>106</v>
      </c>
      <c r="G5418">
        <v>-229.6885</v>
      </c>
      <c r="H5418" s="1">
        <v>-3.5849289999999999E-6</v>
      </c>
      <c r="I5418">
        <v>-62.472189999999998</v>
      </c>
      <c r="J5418">
        <v>-253.3656</v>
      </c>
      <c r="K5418">
        <v>1.119462</v>
      </c>
      <c r="L5418">
        <v>-62.679470000000002</v>
      </c>
      <c r="M5418">
        <v>0.9997779</v>
      </c>
      <c r="N5418">
        <v>-1.0091899999999999E-2</v>
      </c>
      <c r="O5418">
        <v>-1.849895E-2</v>
      </c>
      <c r="P5418">
        <v>0.97932669999999999</v>
      </c>
      <c r="Q5418">
        <v>0.1994496</v>
      </c>
      <c r="R5418">
        <v>-3.375218E-2</v>
      </c>
      <c r="S5418">
        <v>3.092422</v>
      </c>
      <c r="T5418">
        <v>-0.14509379999999999</v>
      </c>
      <c r="U5418">
        <v>2.6367189999999999E-2</v>
      </c>
      <c r="V5418">
        <v>1.6232460000000001E-2</v>
      </c>
      <c r="W5418">
        <v>0.20928140000000001</v>
      </c>
      <c r="X5418">
        <v>0.9777207</v>
      </c>
      <c r="Y5418">
        <v>-2.6975240000000001E-2</v>
      </c>
      <c r="Z5418">
        <v>1.449508E-3</v>
      </c>
      <c r="AA5418">
        <v>0.99963500000000005</v>
      </c>
      <c r="AB5418">
        <v>35</v>
      </c>
      <c r="AC5418">
        <v>23.677099999999999</v>
      </c>
      <c r="AD5418">
        <v>-1.1194655849290001</v>
      </c>
      <c r="AE5418">
        <v>0.20727999999999</v>
      </c>
      <c r="AF5418">
        <v>-0.64382920606771699</v>
      </c>
      <c r="AG5418">
        <v>-1.1194655849290001</v>
      </c>
      <c r="AH5418">
        <v>23.616424067996299</v>
      </c>
      <c r="AI5418">
        <v>92.712896293641805</v>
      </c>
      <c r="AJ5418">
        <v>91.561606511089494</v>
      </c>
      <c r="AK5418">
        <v>23.651706175281799</v>
      </c>
      <c r="AL5418">
        <v>77.919755998431995</v>
      </c>
      <c r="AM5418">
        <v>89.0488428743067</v>
      </c>
      <c r="AN5418">
        <v>0.99999998217605002</v>
      </c>
    </row>
    <row r="5419" spans="1:40" x14ac:dyDescent="0.25">
      <c r="A5419" t="str">
        <f>"20190303170644265"</f>
        <v>20190303170644265</v>
      </c>
      <c r="B5419" t="str">
        <f>"1551604004250350"</f>
        <v>1551604004250350</v>
      </c>
      <c r="C5419" t="s">
        <v>40</v>
      </c>
      <c r="D5419">
        <v>6.1322809999999999</v>
      </c>
      <c r="E5419">
        <v>0.4903246</v>
      </c>
      <c r="F5419" t="s">
        <v>106</v>
      </c>
      <c r="G5419">
        <v>-228.52440000000001</v>
      </c>
      <c r="H5419" s="1">
        <v>-3.1887679999999998E-6</v>
      </c>
      <c r="I5419">
        <v>-62.472099999999998</v>
      </c>
      <c r="J5419">
        <v>-253.18369999999999</v>
      </c>
      <c r="K5419">
        <v>1.1194649999999999</v>
      </c>
      <c r="L5419">
        <v>-62.683320000000002</v>
      </c>
      <c r="M5419">
        <v>0.99976620000000005</v>
      </c>
      <c r="N5419">
        <v>-1.0063330000000001E-2</v>
      </c>
      <c r="O5419">
        <v>-1.914275E-2</v>
      </c>
      <c r="P5419">
        <v>0.97904679999999999</v>
      </c>
      <c r="Q5419">
        <v>0.2007409</v>
      </c>
      <c r="R5419">
        <v>-3.4216959999999998E-2</v>
      </c>
      <c r="S5419">
        <v>3.0926209999999998</v>
      </c>
      <c r="T5419">
        <v>-0.1393684</v>
      </c>
      <c r="U5419">
        <v>2.581787E-2</v>
      </c>
      <c r="V5419">
        <v>1.607596E-2</v>
      </c>
      <c r="W5419">
        <v>0.21054249999999999</v>
      </c>
      <c r="X5419">
        <v>0.97745249999999995</v>
      </c>
      <c r="Y5419">
        <v>-2.744365E-2</v>
      </c>
      <c r="Z5419">
        <v>1.4258459999999999E-3</v>
      </c>
      <c r="AA5419">
        <v>0.99962229999999996</v>
      </c>
      <c r="AB5419">
        <v>35</v>
      </c>
      <c r="AC5419">
        <v>24.659299999999899</v>
      </c>
      <c r="AD5419">
        <v>-1.119468188768</v>
      </c>
      <c r="AE5419">
        <v>0.21121999999999699</v>
      </c>
      <c r="AF5419">
        <v>-0.681846839673933</v>
      </c>
      <c r="AG5419">
        <v>-1.119468188768</v>
      </c>
      <c r="AH5419">
        <v>24.600042351969002</v>
      </c>
      <c r="AI5419">
        <v>92.604548719289497</v>
      </c>
      <c r="AJ5419">
        <v>91.587678015272303</v>
      </c>
      <c r="AK5419">
        <v>24.634938763007</v>
      </c>
      <c r="AL5419">
        <v>77.845853802031897</v>
      </c>
      <c r="AM5419">
        <v>89.057753064344197</v>
      </c>
      <c r="AN5419">
        <v>0.99999998527621003</v>
      </c>
    </row>
    <row r="5420" spans="1:40" x14ac:dyDescent="0.25">
      <c r="A5420" t="str">
        <f>"20190303170644275"</f>
        <v>20190303170644275</v>
      </c>
      <c r="B5420" t="str">
        <f>"1551604004260616"</f>
        <v>1551604004260616</v>
      </c>
      <c r="C5420" t="s">
        <v>40</v>
      </c>
      <c r="D5420">
        <v>6.1315160000000004</v>
      </c>
      <c r="E5420">
        <v>0.49022009999999999</v>
      </c>
      <c r="F5420" t="s">
        <v>106</v>
      </c>
      <c r="G5420">
        <v>-227.46530000000001</v>
      </c>
      <c r="H5420" s="1">
        <v>-2.7869400000000002E-6</v>
      </c>
      <c r="I5420">
        <v>-62.480800000000002</v>
      </c>
      <c r="J5420">
        <v>-253.0001</v>
      </c>
      <c r="K5420">
        <v>1.1194759999999999</v>
      </c>
      <c r="L5420">
        <v>-62.687440000000002</v>
      </c>
      <c r="M5420">
        <v>0.99975380000000003</v>
      </c>
      <c r="N5420">
        <v>-1.003683E-2</v>
      </c>
      <c r="O5420">
        <v>-1.9792520000000001E-2</v>
      </c>
      <c r="P5420">
        <v>0.97897140000000005</v>
      </c>
      <c r="Q5420">
        <v>0.20101749999999999</v>
      </c>
      <c r="R5420">
        <v>-3.4744339999999999E-2</v>
      </c>
      <c r="S5420">
        <v>3.092651</v>
      </c>
      <c r="T5420">
        <v>-0.13461609999999999</v>
      </c>
      <c r="U5420">
        <v>2.4353030000000001E-2</v>
      </c>
      <c r="V5420">
        <v>1.5969879999999999E-2</v>
      </c>
      <c r="W5420">
        <v>0.21079290000000001</v>
      </c>
      <c r="X5420">
        <v>0.9774003</v>
      </c>
      <c r="Y5420">
        <v>-2.7622310000000001E-2</v>
      </c>
      <c r="Z5420">
        <v>1.4020689999999999E-3</v>
      </c>
      <c r="AA5420">
        <v>0.99961750000000005</v>
      </c>
      <c r="AB5420">
        <v>35</v>
      </c>
      <c r="AC5420">
        <v>25.534799999999901</v>
      </c>
      <c r="AD5420">
        <v>-1.11947878693999</v>
      </c>
      <c r="AE5420">
        <v>0.20663999999999999</v>
      </c>
      <c r="AF5420">
        <v>-0.71065714316636597</v>
      </c>
      <c r="AG5420">
        <v>-1.11947878693999</v>
      </c>
      <c r="AH5420">
        <v>25.476742716907001</v>
      </c>
      <c r="AI5420">
        <v>92.515050088033306</v>
      </c>
      <c r="AJ5420">
        <v>91.597814117522205</v>
      </c>
      <c r="AK5420">
        <v>25.511226661864299</v>
      </c>
      <c r="AL5420">
        <v>77.831177939127798</v>
      </c>
      <c r="AM5420">
        <v>89.063919552009907</v>
      </c>
      <c r="AN5420">
        <v>1.0000000150988499</v>
      </c>
    </row>
    <row r="5421" spans="1:40" x14ac:dyDescent="0.25">
      <c r="A5421" t="str">
        <f>"20190303170644286"</f>
        <v>20190303170644286</v>
      </c>
      <c r="B5421" t="str">
        <f>"1551604004280138"</f>
        <v>1551604004280138</v>
      </c>
      <c r="C5421" t="s">
        <v>40</v>
      </c>
      <c r="D5421">
        <v>6.1618529999999998</v>
      </c>
      <c r="E5421">
        <v>0.49016140000000002</v>
      </c>
      <c r="F5421" t="s">
        <v>106</v>
      </c>
      <c r="G5421">
        <v>-227.26179999999999</v>
      </c>
      <c r="H5421" s="1">
        <v>-2.7030889999999999E-6</v>
      </c>
      <c r="I5421">
        <v>-62.496209999999998</v>
      </c>
      <c r="J5421">
        <v>-252.82060000000001</v>
      </c>
      <c r="K5421">
        <v>1.1194770000000001</v>
      </c>
      <c r="L5421">
        <v>-62.691499999999998</v>
      </c>
      <c r="M5421">
        <v>0.99974130000000005</v>
      </c>
      <c r="N5421">
        <v>-1.001166E-2</v>
      </c>
      <c r="O5421">
        <v>-2.0426920000000001E-2</v>
      </c>
      <c r="P5421">
        <v>0.97898419999999997</v>
      </c>
      <c r="Q5421">
        <v>0.20091800000000001</v>
      </c>
      <c r="R5421">
        <v>-3.4959610000000002E-2</v>
      </c>
      <c r="S5421">
        <v>3.0928960000000001</v>
      </c>
      <c r="T5421">
        <v>-0.1345247</v>
      </c>
      <c r="U5421">
        <v>2.2979739999999999E-2</v>
      </c>
      <c r="V5421">
        <v>1.556368E-2</v>
      </c>
      <c r="W5421">
        <v>0.2106703</v>
      </c>
      <c r="X5421">
        <v>0.97743329999999995</v>
      </c>
      <c r="Y5421">
        <v>-2.781167E-2</v>
      </c>
      <c r="Z5421">
        <v>1.4274029999999901E-3</v>
      </c>
      <c r="AA5421">
        <v>0.99961219999999995</v>
      </c>
      <c r="AB5421">
        <v>35</v>
      </c>
      <c r="AC5421">
        <v>25.558800000000002</v>
      </c>
      <c r="AD5421">
        <v>-1.119479703089</v>
      </c>
      <c r="AE5421">
        <v>0.19528999999999999</v>
      </c>
      <c r="AF5421">
        <v>-0.71598942394169596</v>
      </c>
      <c r="AG5421">
        <v>-1.119479703089</v>
      </c>
      <c r="AH5421">
        <v>25.500558408693198</v>
      </c>
      <c r="AI5421">
        <v>92.512693431556201</v>
      </c>
      <c r="AJ5421">
        <v>91.608294082459906</v>
      </c>
      <c r="AK5421">
        <v>25.535159189165</v>
      </c>
      <c r="AL5421">
        <v>77.838363947032093</v>
      </c>
      <c r="AM5421">
        <v>89.087755834443499</v>
      </c>
      <c r="AN5421">
        <v>1.00000002969306</v>
      </c>
    </row>
    <row r="5422" spans="1:40" x14ac:dyDescent="0.25">
      <c r="A5422" t="str">
        <f>"20190303170644298"</f>
        <v>20190303170644298</v>
      </c>
      <c r="B5422" t="str">
        <f>"1551604004289896"</f>
        <v>1551604004289896</v>
      </c>
      <c r="C5422" t="s">
        <v>40</v>
      </c>
      <c r="D5422">
        <v>6.1206559999999897</v>
      </c>
      <c r="E5422">
        <v>0.49009330000000001</v>
      </c>
      <c r="F5422" t="s">
        <v>106</v>
      </c>
      <c r="G5422">
        <v>-227.387</v>
      </c>
      <c r="H5422" s="1">
        <v>-2.760082E-6</v>
      </c>
      <c r="I5422">
        <v>-62.51108</v>
      </c>
      <c r="J5422">
        <v>-252.63390000000001</v>
      </c>
      <c r="K5422">
        <v>1.1194759999999999</v>
      </c>
      <c r="L5422">
        <v>-62.695860000000003</v>
      </c>
      <c r="M5422">
        <v>0.99972799999999995</v>
      </c>
      <c r="N5422">
        <v>-9.9870210000000004E-3</v>
      </c>
      <c r="O5422">
        <v>-2.1086710000000002E-2</v>
      </c>
      <c r="P5422">
        <v>0.97913779999999995</v>
      </c>
      <c r="Q5422">
        <v>0.20014950000000001</v>
      </c>
      <c r="R5422">
        <v>-3.5066849999999997E-2</v>
      </c>
      <c r="S5422">
        <v>3.0931090000000001</v>
      </c>
      <c r="T5422">
        <v>-0.1361455</v>
      </c>
      <c r="U5422">
        <v>2.1942139999999999E-2</v>
      </c>
      <c r="V5422">
        <v>1.50195E-2</v>
      </c>
      <c r="W5422">
        <v>0.2098805</v>
      </c>
      <c r="X5422">
        <v>0.97761169999999997</v>
      </c>
      <c r="Y5422">
        <v>-2.8133720000000001E-2</v>
      </c>
      <c r="Z5422">
        <v>1.47655799999999E-3</v>
      </c>
      <c r="AA5422">
        <v>0.99960309999999997</v>
      </c>
      <c r="AB5422">
        <v>35</v>
      </c>
      <c r="AC5422">
        <v>25.2469</v>
      </c>
      <c r="AD5422">
        <v>-1.119478760082</v>
      </c>
      <c r="AE5422">
        <v>0.18477999999998901</v>
      </c>
      <c r="AF5422">
        <v>-0.71573223887192705</v>
      </c>
      <c r="AG5422">
        <v>-1.119478760082</v>
      </c>
      <c r="AH5422">
        <v>25.187868858234001</v>
      </c>
      <c r="AI5422">
        <v>92.543819614104706</v>
      </c>
      <c r="AJ5422">
        <v>91.6276646760072</v>
      </c>
      <c r="AK5422">
        <v>25.2228912488563</v>
      </c>
      <c r="AL5422">
        <v>77.884650946869698</v>
      </c>
      <c r="AM5422">
        <v>89.119807728612798</v>
      </c>
      <c r="AN5422">
        <v>1.00000002281869</v>
      </c>
    </row>
    <row r="5423" spans="1:40" x14ac:dyDescent="0.25">
      <c r="A5423" t="str">
        <f>"20190303170644311"</f>
        <v>20190303170644311</v>
      </c>
      <c r="B5423" t="str">
        <f>"1551604004300632"</f>
        <v>1551604004300632</v>
      </c>
      <c r="C5423" t="s">
        <v>40</v>
      </c>
      <c r="D5423">
        <v>6.1366290000000001</v>
      </c>
      <c r="E5423">
        <v>0.48996709999999899</v>
      </c>
      <c r="F5423" t="s">
        <v>106</v>
      </c>
      <c r="G5423">
        <v>-227.88069999999999</v>
      </c>
      <c r="H5423" s="1">
        <v>-2.9752380000000001E-6</v>
      </c>
      <c r="I5423">
        <v>-62.526130000000002</v>
      </c>
      <c r="J5423">
        <v>-252.4477</v>
      </c>
      <c r="K5423">
        <v>1.1194729999999999</v>
      </c>
      <c r="L5423">
        <v>-62.700380000000003</v>
      </c>
      <c r="M5423">
        <v>0.99971399999999999</v>
      </c>
      <c r="N5423">
        <v>-9.9639169999999992E-3</v>
      </c>
      <c r="O5423">
        <v>-2.1741730000000001E-2</v>
      </c>
      <c r="P5423">
        <v>0.97920300000000005</v>
      </c>
      <c r="Q5423">
        <v>0.19977829999999999</v>
      </c>
      <c r="R5423">
        <v>-3.5357880000000001E-2</v>
      </c>
      <c r="S5423">
        <v>3.0932919999999999</v>
      </c>
      <c r="T5423">
        <v>-0.13989599999999999</v>
      </c>
      <c r="U5423">
        <v>2.1209720000000001E-2</v>
      </c>
      <c r="V5423">
        <v>1.466639E-2</v>
      </c>
      <c r="W5423">
        <v>0.20948890000000001</v>
      </c>
      <c r="X5423">
        <v>0.97770100000000004</v>
      </c>
      <c r="Y5423">
        <v>-2.854808E-2</v>
      </c>
      <c r="Z5423">
        <v>1.5537050000000001E-3</v>
      </c>
      <c r="AA5423">
        <v>0.99959120000000001</v>
      </c>
      <c r="AB5423">
        <v>35</v>
      </c>
      <c r="AC5423">
        <v>24.567</v>
      </c>
      <c r="AD5423">
        <v>-1.1194759752379999</v>
      </c>
      <c r="AE5423">
        <v>0.17424999999999999</v>
      </c>
      <c r="AF5423">
        <v>-0.70689661204344301</v>
      </c>
      <c r="AG5423">
        <v>-1.1194759752379999</v>
      </c>
      <c r="AH5423">
        <v>24.506519157772601</v>
      </c>
      <c r="AI5423">
        <v>92.614409524791597</v>
      </c>
      <c r="AJ5423">
        <v>91.652252794692401</v>
      </c>
      <c r="AK5423">
        <v>24.5422576489924</v>
      </c>
      <c r="AL5423">
        <v>77.907597509290994</v>
      </c>
      <c r="AM5423">
        <v>89.140576490652506</v>
      </c>
      <c r="AN5423">
        <v>0.99999997380992001</v>
      </c>
    </row>
    <row r="5424" spans="1:40" x14ac:dyDescent="0.25">
      <c r="A5424" t="str">
        <f>"20190303170644324"</f>
        <v>20190303170644324</v>
      </c>
      <c r="B5424" t="str">
        <f>"1551604004310393"</f>
        <v>1551604004310393</v>
      </c>
      <c r="C5424" t="s">
        <v>40</v>
      </c>
      <c r="D5424">
        <v>6.1815309999999997</v>
      </c>
      <c r="E5424">
        <v>0.48998130000000001</v>
      </c>
      <c r="F5424" t="s">
        <v>106</v>
      </c>
      <c r="G5424">
        <v>-227.7764</v>
      </c>
      <c r="H5424" s="1">
        <v>-2.9330460000000001E-6</v>
      </c>
      <c r="I5424">
        <v>-62.53754</v>
      </c>
      <c r="J5424">
        <v>-252.24289999999999</v>
      </c>
      <c r="K5424">
        <v>1.119469</v>
      </c>
      <c r="L5424">
        <v>-62.705379999999998</v>
      </c>
      <c r="M5424">
        <v>0.99969850000000005</v>
      </c>
      <c r="N5424">
        <v>-9.9395300000000002E-3</v>
      </c>
      <c r="O5424">
        <v>-2.2460629999999999E-2</v>
      </c>
      <c r="P5424">
        <v>0.97926630000000003</v>
      </c>
      <c r="Q5424">
        <v>0.1994793</v>
      </c>
      <c r="R5424">
        <v>-3.5295729999999997E-2</v>
      </c>
      <c r="S5424">
        <v>3.0930789999999999</v>
      </c>
      <c r="T5424">
        <v>-0.14035029999999901</v>
      </c>
      <c r="U5424">
        <v>2.0416259999999999E-2</v>
      </c>
      <c r="V5424">
        <v>1.389729E-2</v>
      </c>
      <c r="W5424">
        <v>0.20916860000000001</v>
      </c>
      <c r="X5424">
        <v>0.97778080000000001</v>
      </c>
      <c r="Y5424">
        <v>-2.900958E-2</v>
      </c>
      <c r="Z5424">
        <v>1.597497E-3</v>
      </c>
      <c r="AA5424">
        <v>0.99957790000000002</v>
      </c>
      <c r="AB5424">
        <v>35</v>
      </c>
      <c r="AC5424">
        <v>24.4665</v>
      </c>
      <c r="AD5424">
        <v>-1.1194719330459999</v>
      </c>
      <c r="AE5424">
        <v>0.16784000000000501</v>
      </c>
      <c r="AF5424">
        <v>-0.71585909131057901</v>
      </c>
      <c r="AG5424">
        <v>-1.1194719330459999</v>
      </c>
      <c r="AH5424">
        <v>24.405465621167298</v>
      </c>
      <c r="AI5424">
        <v>92.625173118065405</v>
      </c>
      <c r="AJ5424">
        <v>91.680113323275094</v>
      </c>
      <c r="AK5424">
        <v>24.441612545686699</v>
      </c>
      <c r="AL5424">
        <v>77.926365035436305</v>
      </c>
      <c r="AM5424">
        <v>89.185704554231705</v>
      </c>
      <c r="AN5424">
        <v>0.999999965371971</v>
      </c>
    </row>
    <row r="5425" spans="1:40" x14ac:dyDescent="0.25">
      <c r="A5425" t="str">
        <f>"20190303170644336"</f>
        <v>20190303170644336</v>
      </c>
      <c r="B5425" t="str">
        <f>"1551604004330889"</f>
        <v>1551604004330889</v>
      </c>
      <c r="C5425" t="s">
        <v>40</v>
      </c>
      <c r="D5425">
        <v>6.1430129999999998</v>
      </c>
      <c r="E5425">
        <v>0.48976969999999997</v>
      </c>
      <c r="F5425" t="s">
        <v>106</v>
      </c>
      <c r="G5425">
        <v>-227.74350000000001</v>
      </c>
      <c r="H5425" s="1">
        <v>-2.9217840000000001E-6</v>
      </c>
      <c r="I5425">
        <v>-62.550440000000002</v>
      </c>
      <c r="J5425">
        <v>-252.02860000000001</v>
      </c>
      <c r="K5425">
        <v>1.119469</v>
      </c>
      <c r="L5425">
        <v>-62.710880000000003</v>
      </c>
      <c r="M5425">
        <v>0.99968170000000001</v>
      </c>
      <c r="N5425">
        <v>-9.916635E-3</v>
      </c>
      <c r="O5425">
        <v>-2.320032E-2</v>
      </c>
      <c r="P5425">
        <v>0.97925169999999995</v>
      </c>
      <c r="Q5425">
        <v>0.19953280000000001</v>
      </c>
      <c r="R5425">
        <v>-3.5393149999999998E-2</v>
      </c>
      <c r="S5425">
        <v>3.0930179999999998</v>
      </c>
      <c r="T5425">
        <v>-0.14133189999999901</v>
      </c>
      <c r="U5425">
        <v>1.9561769999999999E-2</v>
      </c>
      <c r="V5425">
        <v>1.3267640000000001E-2</v>
      </c>
      <c r="W5425">
        <v>0.2092021</v>
      </c>
      <c r="X5425">
        <v>0.97778240000000005</v>
      </c>
      <c r="Y5425">
        <v>-2.947139E-2</v>
      </c>
      <c r="Z5425">
        <v>1.6487069999999999E-3</v>
      </c>
      <c r="AA5425">
        <v>0.99956429999999996</v>
      </c>
      <c r="AB5425">
        <v>35</v>
      </c>
      <c r="AC5425">
        <v>24.2851</v>
      </c>
      <c r="AD5425">
        <v>-1.1194719217839999</v>
      </c>
      <c r="AE5425">
        <v>0.160440000000001</v>
      </c>
      <c r="AF5425">
        <v>-0.72231177877244801</v>
      </c>
      <c r="AG5425">
        <v>-1.1194719217839999</v>
      </c>
      <c r="AH5425">
        <v>24.223369295849</v>
      </c>
      <c r="AI5425">
        <v>92.644841604576797</v>
      </c>
      <c r="AJ5425">
        <v>91.707985225112907</v>
      </c>
      <c r="AK5425">
        <v>24.2599788073382</v>
      </c>
      <c r="AL5425">
        <v>77.924402445693303</v>
      </c>
      <c r="AM5425">
        <v>89.222594795861497</v>
      </c>
      <c r="AN5425">
        <v>0.99999998533266898</v>
      </c>
    </row>
    <row r="5426" spans="1:40" x14ac:dyDescent="0.25">
      <c r="A5426" t="str">
        <f>"20190303170644351"</f>
        <v>20190303170644351</v>
      </c>
      <c r="B5426" t="str">
        <f>"1551604004340648"</f>
        <v>1551604004340648</v>
      </c>
      <c r="C5426" t="s">
        <v>40</v>
      </c>
      <c r="D5426">
        <v>6.1504979999999998</v>
      </c>
      <c r="E5426">
        <v>0.48971140000000002</v>
      </c>
      <c r="F5426" t="s">
        <v>106</v>
      </c>
      <c r="G5426">
        <v>-227.68369999999999</v>
      </c>
      <c r="H5426" s="1">
        <v>-2.8960899999999998E-6</v>
      </c>
      <c r="I5426">
        <v>-62.550199999999997</v>
      </c>
      <c r="J5426">
        <v>-251.81540000000001</v>
      </c>
      <c r="K5426">
        <v>1.11947</v>
      </c>
      <c r="L5426">
        <v>-62.71649</v>
      </c>
      <c r="M5426">
        <v>0.99966480000000002</v>
      </c>
      <c r="N5426">
        <v>-9.8951490000000007E-3</v>
      </c>
      <c r="O5426">
        <v>-2.392818E-2</v>
      </c>
      <c r="P5426">
        <v>0.97918649999999996</v>
      </c>
      <c r="Q5426">
        <v>0.1998346</v>
      </c>
      <c r="R5426">
        <v>-3.5496600000000003E-2</v>
      </c>
      <c r="S5426">
        <v>3.0933069999999998</v>
      </c>
      <c r="T5426">
        <v>-0.14224220000000001</v>
      </c>
      <c r="U5426">
        <v>2.0416259999999999E-2</v>
      </c>
      <c r="V5426">
        <v>1.2656239999999999E-2</v>
      </c>
      <c r="W5426">
        <v>0.20948420000000001</v>
      </c>
      <c r="X5426">
        <v>0.97773010000000005</v>
      </c>
      <c r="Y5426">
        <v>-3.0472229999999999E-2</v>
      </c>
      <c r="Z5426">
        <v>1.714073E-3</v>
      </c>
      <c r="AA5426">
        <v>0.99953409999999998</v>
      </c>
      <c r="AB5426">
        <v>35</v>
      </c>
      <c r="AC5426">
        <v>24.131699999999999</v>
      </c>
      <c r="AD5426">
        <v>-1.11947289609</v>
      </c>
      <c r="AE5426">
        <v>0.16629000000000299</v>
      </c>
      <c r="AF5426">
        <v>-0.74210130303920097</v>
      </c>
      <c r="AG5426">
        <v>-1.11947289609</v>
      </c>
      <c r="AH5426">
        <v>24.0690155843258</v>
      </c>
      <c r="AI5426">
        <v>92.661699263942296</v>
      </c>
      <c r="AJ5426">
        <v>91.765996904026693</v>
      </c>
      <c r="AK5426">
        <v>24.106460650779301</v>
      </c>
      <c r="AL5426">
        <v>77.907872979458901</v>
      </c>
      <c r="AM5426">
        <v>89.258375457113502</v>
      </c>
      <c r="AN5426">
        <v>0.999999979453293</v>
      </c>
    </row>
    <row r="5427" spans="1:40" x14ac:dyDescent="0.25">
      <c r="A5427" t="str">
        <f>"20190303170644367"</f>
        <v>20190303170644367</v>
      </c>
      <c r="B5427" t="str">
        <f>"1551604004360675"</f>
        <v>1551604004360675</v>
      </c>
      <c r="C5427" t="s">
        <v>40</v>
      </c>
      <c r="D5427">
        <v>6.139043</v>
      </c>
      <c r="E5427">
        <v>0.4895137</v>
      </c>
      <c r="F5427" t="s">
        <v>106</v>
      </c>
      <c r="G5427">
        <v>-227.4297</v>
      </c>
      <c r="H5427" s="1">
        <v>-2.7884560000000001E-6</v>
      </c>
      <c r="I5427">
        <v>-62.556269999999998</v>
      </c>
      <c r="J5427">
        <v>-251.5539</v>
      </c>
      <c r="K5427">
        <v>1.11948799999999</v>
      </c>
      <c r="L5427">
        <v>-62.723509999999997</v>
      </c>
      <c r="M5427">
        <v>0.99964359999999997</v>
      </c>
      <c r="N5427">
        <v>-9.8708089999999995E-3</v>
      </c>
      <c r="O5427">
        <v>-2.4805299999999999E-2</v>
      </c>
      <c r="P5427">
        <v>0.97882630000000004</v>
      </c>
      <c r="Q5427">
        <v>0.2015728</v>
      </c>
      <c r="R5427">
        <v>-3.5602429999999997E-2</v>
      </c>
      <c r="S5427">
        <v>3.0934910000000002</v>
      </c>
      <c r="T5427">
        <v>-0.14201259999999999</v>
      </c>
      <c r="U5427">
        <v>2.0324709999999999E-2</v>
      </c>
      <c r="V5427">
        <v>1.190922E-2</v>
      </c>
      <c r="W5427">
        <v>0.21119740000000001</v>
      </c>
      <c r="X5427">
        <v>0.97737090000000004</v>
      </c>
      <c r="Y5427">
        <v>-3.1317789999999998E-2</v>
      </c>
      <c r="Z5427">
        <v>1.76643E-3</v>
      </c>
      <c r="AA5427">
        <v>0.9995079</v>
      </c>
      <c r="AB5427">
        <v>35</v>
      </c>
      <c r="AC5427">
        <v>24.124199999999998</v>
      </c>
      <c r="AD5427">
        <v>-1.1194907884559999</v>
      </c>
      <c r="AE5427">
        <v>0.167239999999999</v>
      </c>
      <c r="AF5427">
        <v>-0.76398057286848797</v>
      </c>
      <c r="AG5427">
        <v>-1.1194907884559999</v>
      </c>
      <c r="AH5427">
        <v>24.060816324947901</v>
      </c>
      <c r="AI5427">
        <v>92.662571032323697</v>
      </c>
      <c r="AJ5427">
        <v>91.818648222518405</v>
      </c>
      <c r="AK5427">
        <v>24.0989586531044</v>
      </c>
      <c r="AL5427">
        <v>77.807468124413901</v>
      </c>
      <c r="AM5427">
        <v>89.301888079349297</v>
      </c>
      <c r="AN5427">
        <v>1.0000000237272799</v>
      </c>
    </row>
    <row r="5428" spans="1:40" x14ac:dyDescent="0.25">
      <c r="A5428" t="str">
        <f>"20190303170644380"</f>
        <v>20190303170644380</v>
      </c>
      <c r="B5428" t="str">
        <f>"1551604004370435"</f>
        <v>1551604004370435</v>
      </c>
      <c r="C5428" t="s">
        <v>40</v>
      </c>
      <c r="D5428">
        <v>6.1390640000000003</v>
      </c>
      <c r="E5428">
        <v>0.48943779999999998</v>
      </c>
      <c r="F5428" t="s">
        <v>106</v>
      </c>
      <c r="G5428">
        <v>-226.1448</v>
      </c>
      <c r="H5428" s="1">
        <v>-2.2358900000000002E-6</v>
      </c>
      <c r="I5428">
        <v>-62.550060000000002</v>
      </c>
      <c r="J5428">
        <v>-251.3466</v>
      </c>
      <c r="K5428">
        <v>1.1195139999999999</v>
      </c>
      <c r="L5428">
        <v>-62.72925</v>
      </c>
      <c r="M5428">
        <v>0.99962669999999998</v>
      </c>
      <c r="N5428">
        <v>-9.8532519999999998E-3</v>
      </c>
      <c r="O5428">
        <v>-2.5484679999999999E-2</v>
      </c>
      <c r="P5428">
        <v>0.97861799999999999</v>
      </c>
      <c r="Q5428">
        <v>0.20250660000000001</v>
      </c>
      <c r="R5428">
        <v>-3.6026969999999998E-2</v>
      </c>
      <c r="S5428">
        <v>3.0937190000000001</v>
      </c>
      <c r="T5428">
        <v>-0.1363055</v>
      </c>
      <c r="U5428">
        <v>2.111816E-2</v>
      </c>
      <c r="V5428">
        <v>1.1668329999999999E-2</v>
      </c>
      <c r="W5428">
        <v>0.2121132</v>
      </c>
      <c r="X5428">
        <v>0.97717540000000003</v>
      </c>
      <c r="Y5428">
        <v>-3.2255899999999997E-2</v>
      </c>
      <c r="Z5428">
        <v>1.7404059999999999E-3</v>
      </c>
      <c r="AA5428">
        <v>0.99947810000000004</v>
      </c>
      <c r="AB5428">
        <v>35</v>
      </c>
      <c r="AC5428">
        <v>25.201799999999899</v>
      </c>
      <c r="AD5428">
        <v>-1.1195162358899999</v>
      </c>
      <c r="AE5428">
        <v>0.17919000000000501</v>
      </c>
      <c r="AF5428">
        <v>-0.81980509678539204</v>
      </c>
      <c r="AG5428">
        <v>-1.1195162358899999</v>
      </c>
      <c r="AH5428">
        <v>25.139441490109</v>
      </c>
      <c r="AI5428">
        <v>92.548473192078106</v>
      </c>
      <c r="AJ5428">
        <v>91.867771501883794</v>
      </c>
      <c r="AK5428">
        <v>25.1777067151429</v>
      </c>
      <c r="AL5428">
        <v>77.753779537341103</v>
      </c>
      <c r="AM5428">
        <v>89.315870732201802</v>
      </c>
      <c r="AN5428">
        <v>0.99999996095219301</v>
      </c>
    </row>
    <row r="5429" spans="1:40" x14ac:dyDescent="0.25">
      <c r="A5429" t="str">
        <f>"20190303170644392"</f>
        <v>20190303170644392</v>
      </c>
      <c r="B5429" t="str">
        <f>"1551604004380195"</f>
        <v>1551604004380195</v>
      </c>
      <c r="C5429" t="s">
        <v>40</v>
      </c>
      <c r="D5429">
        <v>6.1268019999999996</v>
      </c>
      <c r="E5429">
        <v>0.48941839999999998</v>
      </c>
      <c r="F5429" t="s">
        <v>106</v>
      </c>
      <c r="G5429">
        <v>-225.50280000000001</v>
      </c>
      <c r="H5429" s="1">
        <v>-1.9624219999999998E-6</v>
      </c>
      <c r="I5429">
        <v>-62.558970000000002</v>
      </c>
      <c r="J5429">
        <v>-251.14150000000001</v>
      </c>
      <c r="K5429">
        <v>1.1195299999999999</v>
      </c>
      <c r="L5429">
        <v>-62.735050000000001</v>
      </c>
      <c r="M5429">
        <v>0.99961</v>
      </c>
      <c r="N5429">
        <v>-9.8373169999999999E-3</v>
      </c>
      <c r="O5429">
        <v>-2.6139590000000001E-2</v>
      </c>
      <c r="P5429">
        <v>0.9784621</v>
      </c>
      <c r="Q5429">
        <v>0.2031799</v>
      </c>
      <c r="R5429">
        <v>-3.6472659999999997E-2</v>
      </c>
      <c r="S5429">
        <v>3.0940089999999998</v>
      </c>
      <c r="T5429">
        <v>-0.13402800000000001</v>
      </c>
      <c r="U5429">
        <v>2.0385739999999999E-2</v>
      </c>
      <c r="V5429">
        <v>1.1469210000000001E-2</v>
      </c>
      <c r="W5429">
        <v>0.21277109999999999</v>
      </c>
      <c r="X5429">
        <v>0.97703470000000003</v>
      </c>
      <c r="Y5429">
        <v>-3.2674429999999997E-2</v>
      </c>
      <c r="Z5429">
        <v>1.7428210000000001E-3</v>
      </c>
      <c r="AA5429">
        <v>0.99946449999999998</v>
      </c>
      <c r="AB5429">
        <v>35</v>
      </c>
      <c r="AC5429">
        <v>25.6387</v>
      </c>
      <c r="AD5429">
        <v>-1.1195319624219999</v>
      </c>
      <c r="AE5429">
        <v>0.17608000000000601</v>
      </c>
      <c r="AF5429">
        <v>-0.84462692726129596</v>
      </c>
      <c r="AG5429">
        <v>-1.1195319624219999</v>
      </c>
      <c r="AH5429">
        <v>25.576571199756</v>
      </c>
      <c r="AI5429">
        <v>92.504974407750694</v>
      </c>
      <c r="AJ5429">
        <v>91.8914176364664</v>
      </c>
      <c r="AK5429">
        <v>25.614990548452798</v>
      </c>
      <c r="AL5429">
        <v>77.715203898487601</v>
      </c>
      <c r="AM5429">
        <v>89.327447484220798</v>
      </c>
      <c r="AN5429">
        <v>0.99999994438866002</v>
      </c>
    </row>
    <row r="5430" spans="1:40" x14ac:dyDescent="0.25">
      <c r="A5430" t="str">
        <f>"20190303170644405"</f>
        <v>20190303170644405</v>
      </c>
      <c r="B5430" t="str">
        <f>"1551604004400691"</f>
        <v>1551604004400691</v>
      </c>
      <c r="C5430" t="s">
        <v>40</v>
      </c>
      <c r="D5430">
        <v>6.1324399999999999</v>
      </c>
      <c r="E5430">
        <v>0.48935059999999903</v>
      </c>
      <c r="F5430" t="s">
        <v>106</v>
      </c>
      <c r="G5430">
        <v>-225.1018</v>
      </c>
      <c r="H5430" s="1">
        <v>-1.7943849999999999E-6</v>
      </c>
      <c r="I5430">
        <v>-62.57685</v>
      </c>
      <c r="J5430">
        <v>-250.9451</v>
      </c>
      <c r="K5430">
        <v>1.1195469999999901</v>
      </c>
      <c r="L5430">
        <v>-62.740690000000001</v>
      </c>
      <c r="M5430">
        <v>0.99959379999999998</v>
      </c>
      <c r="N5430">
        <v>-9.8228480000000003E-3</v>
      </c>
      <c r="O5430">
        <v>-2.6756120000000001E-2</v>
      </c>
      <c r="P5430">
        <v>0.97849790000000003</v>
      </c>
      <c r="Q5430">
        <v>0.20300019999999999</v>
      </c>
      <c r="R5430">
        <v>-3.6514409999999997E-2</v>
      </c>
      <c r="S5430">
        <v>3.09436</v>
      </c>
      <c r="T5430">
        <v>-0.13303690000000001</v>
      </c>
      <c r="U5430">
        <v>1.8798829999999999E-2</v>
      </c>
      <c r="V5430">
        <v>1.0896289999999999E-2</v>
      </c>
      <c r="W5430">
        <v>0.21257960000000001</v>
      </c>
      <c r="X5430">
        <v>0.97708300000000003</v>
      </c>
      <c r="Y5430">
        <v>-3.277791E-2</v>
      </c>
      <c r="Z5430">
        <v>1.752331E-3</v>
      </c>
      <c r="AA5430">
        <v>0.99946109999999999</v>
      </c>
      <c r="AB5430">
        <v>35</v>
      </c>
      <c r="AC5430">
        <v>25.843299999999999</v>
      </c>
      <c r="AD5430">
        <v>-1.11954879438499</v>
      </c>
      <c r="AE5430">
        <v>0.16384000000000001</v>
      </c>
      <c r="AF5430">
        <v>-0.85367906859010001</v>
      </c>
      <c r="AG5430">
        <v>-1.11954879438499</v>
      </c>
      <c r="AH5430">
        <v>25.781281779818901</v>
      </c>
      <c r="AI5430">
        <v>92.485139274904199</v>
      </c>
      <c r="AJ5430">
        <v>91.896505519531203</v>
      </c>
      <c r="AK5430">
        <v>25.819694956865401</v>
      </c>
      <c r="AL5430">
        <v>77.726433648732794</v>
      </c>
      <c r="AM5430">
        <v>89.3610721395453</v>
      </c>
      <c r="AN5430">
        <v>1.00000000218046</v>
      </c>
    </row>
    <row r="5431" spans="1:40" x14ac:dyDescent="0.25">
      <c r="A5431" t="str">
        <f>"20190303170644417"</f>
        <v>20190303170644417</v>
      </c>
      <c r="B5431" t="str">
        <f>"1551604004410451"</f>
        <v>1551604004410451</v>
      </c>
      <c r="C5431" t="s">
        <v>40</v>
      </c>
      <c r="D5431">
        <v>6.1446750000000003</v>
      </c>
      <c r="E5431">
        <v>0.48933399999999999</v>
      </c>
      <c r="F5431" t="s">
        <v>106</v>
      </c>
      <c r="G5431">
        <v>-225.1549</v>
      </c>
      <c r="H5431" s="1">
        <v>-1.818713E-6</v>
      </c>
      <c r="I5431">
        <v>-62.583759999999998</v>
      </c>
      <c r="J5431">
        <v>-250.74209999999999</v>
      </c>
      <c r="K5431">
        <v>1.1195649999999999</v>
      </c>
      <c r="L5431">
        <v>-62.746670000000002</v>
      </c>
      <c r="M5431">
        <v>0.99957739999999995</v>
      </c>
      <c r="N5431">
        <v>-9.8095519999999992E-3</v>
      </c>
      <c r="O5431">
        <v>-2.7369379999999999E-2</v>
      </c>
      <c r="P5431">
        <v>0.97858730000000005</v>
      </c>
      <c r="Q5431">
        <v>0.202487</v>
      </c>
      <c r="R5431">
        <v>-3.6963280000000001E-2</v>
      </c>
      <c r="S5431">
        <v>3.0944820000000002</v>
      </c>
      <c r="T5431">
        <v>-0.1343309</v>
      </c>
      <c r="U5431">
        <v>1.8829350000000002E-2</v>
      </c>
      <c r="V5431">
        <v>1.07292E-2</v>
      </c>
      <c r="W5431">
        <v>0.21205540000000001</v>
      </c>
      <c r="X5431">
        <v>0.97719869999999998</v>
      </c>
      <c r="Y5431">
        <v>-3.3398610000000002E-2</v>
      </c>
      <c r="Z5431">
        <v>1.8075140000000001E-3</v>
      </c>
      <c r="AA5431">
        <v>0.99944049999999995</v>
      </c>
      <c r="AB5431">
        <v>36</v>
      </c>
      <c r="AC5431">
        <v>25.587199999999999</v>
      </c>
      <c r="AD5431">
        <v>-1.1195668187129999</v>
      </c>
      <c r="AE5431">
        <v>0.162909999999996</v>
      </c>
      <c r="AF5431">
        <v>-0.86153901532391997</v>
      </c>
      <c r="AG5431">
        <v>-1.1195668187129999</v>
      </c>
      <c r="AH5431">
        <v>25.524290680584301</v>
      </c>
      <c r="AI5431">
        <v>92.510115701079101</v>
      </c>
      <c r="AJ5431">
        <v>91.933210072059893</v>
      </c>
      <c r="AK5431">
        <v>25.5633545154671</v>
      </c>
      <c r="AL5431">
        <v>77.757168235363295</v>
      </c>
      <c r="AM5431">
        <v>89.370943517398999</v>
      </c>
      <c r="AN5431">
        <v>0.99999995384174301</v>
      </c>
    </row>
    <row r="5432" spans="1:40" x14ac:dyDescent="0.25">
      <c r="A5432" t="str">
        <f>"20190303170644431"</f>
        <v>20190303170644431</v>
      </c>
      <c r="B5432" t="str">
        <f>"1551604004420211"</f>
        <v>1551604004420211</v>
      </c>
      <c r="C5432" t="s">
        <v>40</v>
      </c>
      <c r="D5432">
        <v>6.1375970000000004</v>
      </c>
      <c r="E5432">
        <v>0.4892611</v>
      </c>
      <c r="F5432" t="s">
        <v>106</v>
      </c>
      <c r="G5432">
        <v>-225.41589999999999</v>
      </c>
      <c r="H5432" s="1">
        <v>-1.935458E-6</v>
      </c>
      <c r="I5432">
        <v>-62.605310000000003</v>
      </c>
      <c r="J5432">
        <v>-250.52170000000001</v>
      </c>
      <c r="K5432">
        <v>1.1195809999999999</v>
      </c>
      <c r="L5432">
        <v>-62.753300000000003</v>
      </c>
      <c r="M5432">
        <v>0.99955959999999999</v>
      </c>
      <c r="N5432">
        <v>-9.796318E-3</v>
      </c>
      <c r="O5432">
        <v>-2.8014049999999999E-2</v>
      </c>
      <c r="P5432">
        <v>0.97862510000000003</v>
      </c>
      <c r="Q5432">
        <v>0.2022379</v>
      </c>
      <c r="R5432">
        <v>-3.7325240000000003E-2</v>
      </c>
      <c r="S5432">
        <v>3.0946199999999999</v>
      </c>
      <c r="T5432">
        <v>-0.13680039999999999</v>
      </c>
      <c r="U5432">
        <v>1.7272949999999999E-2</v>
      </c>
      <c r="V5432">
        <v>1.04444E-2</v>
      </c>
      <c r="W5432">
        <v>0.21179539999999999</v>
      </c>
      <c r="X5432">
        <v>0.97725819999999997</v>
      </c>
      <c r="Y5432">
        <v>-3.3537699999999997E-2</v>
      </c>
      <c r="Z5432">
        <v>1.868609E-3</v>
      </c>
      <c r="AA5432">
        <v>0.99943570000000004</v>
      </c>
      <c r="AB5432">
        <v>36</v>
      </c>
      <c r="AC5432">
        <v>25.105799999999999</v>
      </c>
      <c r="AD5432">
        <v>-1.119582935458</v>
      </c>
      <c r="AE5432">
        <v>0.147990000000007</v>
      </c>
      <c r="AF5432">
        <v>-0.849591242645509</v>
      </c>
      <c r="AG5432">
        <v>-1.119582935458</v>
      </c>
      <c r="AH5432">
        <v>25.0420010319251</v>
      </c>
      <c r="AI5432">
        <v>92.558416811378905</v>
      </c>
      <c r="AJ5432">
        <v>91.943108656943593</v>
      </c>
      <c r="AK5432">
        <v>25.0814091891163</v>
      </c>
      <c r="AL5432">
        <v>77.772411738454693</v>
      </c>
      <c r="AM5432">
        <v>89.387677425538698</v>
      </c>
      <c r="AN5432">
        <v>0.99999998320987904</v>
      </c>
    </row>
    <row r="5433" spans="1:40" x14ac:dyDescent="0.25">
      <c r="A5433" t="str">
        <f>"20190303170644442"</f>
        <v>20190303170644442</v>
      </c>
      <c r="B5433" t="str">
        <f>"1551604004429971"</f>
        <v>1551604004429971</v>
      </c>
      <c r="C5433" t="s">
        <v>40</v>
      </c>
      <c r="D5433">
        <v>6.158747</v>
      </c>
      <c r="E5433">
        <v>0.48922640000000001</v>
      </c>
      <c r="F5433" t="s">
        <v>106</v>
      </c>
      <c r="G5433">
        <v>-225.46299999999999</v>
      </c>
      <c r="H5433" s="1">
        <v>-1.959022E-6</v>
      </c>
      <c r="I5433">
        <v>-62.620350000000002</v>
      </c>
      <c r="J5433">
        <v>-250.3466</v>
      </c>
      <c r="K5433">
        <v>1.1196029999999999</v>
      </c>
      <c r="L5433">
        <v>-62.758609999999997</v>
      </c>
      <c r="M5433">
        <v>0.99954549999999998</v>
      </c>
      <c r="N5433">
        <v>-9.7864000000000007E-3</v>
      </c>
      <c r="O5433">
        <v>-2.8516010000000001E-2</v>
      </c>
      <c r="P5433">
        <v>0.97852709999999998</v>
      </c>
      <c r="Q5433">
        <v>0.2026548</v>
      </c>
      <c r="R5433">
        <v>-3.7629749999999997E-2</v>
      </c>
      <c r="S5433">
        <v>3.0947420000000001</v>
      </c>
      <c r="T5433">
        <v>-0.13826840000000001</v>
      </c>
      <c r="U5433">
        <v>1.6418459999999999E-2</v>
      </c>
      <c r="V5433">
        <v>1.0249879999999999E-2</v>
      </c>
      <c r="W5433">
        <v>0.21220269999999999</v>
      </c>
      <c r="X5433">
        <v>0.97717189999999998</v>
      </c>
      <c r="Y5433">
        <v>-3.3761609999999997E-2</v>
      </c>
      <c r="Z5433">
        <v>1.913449E-3</v>
      </c>
      <c r="AA5433">
        <v>0.99942810000000004</v>
      </c>
      <c r="AB5433">
        <v>36</v>
      </c>
      <c r="AC5433">
        <v>24.883600000000001</v>
      </c>
      <c r="AD5433">
        <v>-1.1196049590220001</v>
      </c>
      <c r="AE5433">
        <v>0.138259999999995</v>
      </c>
      <c r="AF5433">
        <v>-0.84610585600960797</v>
      </c>
      <c r="AG5433">
        <v>-1.1196049590220001</v>
      </c>
      <c r="AH5433">
        <v>24.819293530996699</v>
      </c>
      <c r="AI5433">
        <v>92.581379329278505</v>
      </c>
      <c r="AJ5433">
        <v>91.952494237950603</v>
      </c>
      <c r="AK5433">
        <v>24.858936859037598</v>
      </c>
      <c r="AL5433">
        <v>77.748532396430804</v>
      </c>
      <c r="AM5433">
        <v>89.399027614873901</v>
      </c>
      <c r="AN5433">
        <v>0.99999998403845702</v>
      </c>
    </row>
    <row r="5434" spans="1:40" x14ac:dyDescent="0.25">
      <c r="A5434" t="str">
        <f>"20190303170644454"</f>
        <v>20190303170644454</v>
      </c>
      <c r="B5434" t="str">
        <f>"1551604004440707"</f>
        <v>1551604004440707</v>
      </c>
      <c r="C5434" t="s">
        <v>40</v>
      </c>
      <c r="D5434">
        <v>6.1557529999999998</v>
      </c>
      <c r="E5434">
        <v>0.48921419999999999</v>
      </c>
      <c r="F5434" t="s">
        <v>106</v>
      </c>
      <c r="G5434">
        <v>-225.15010000000001</v>
      </c>
      <c r="H5434" s="1">
        <v>-1.8268710000000001E-6</v>
      </c>
      <c r="I5434">
        <v>-62.629660000000001</v>
      </c>
      <c r="J5434">
        <v>-250.16800000000001</v>
      </c>
      <c r="K5434">
        <v>1.119631</v>
      </c>
      <c r="L5434">
        <v>-62.764159999999997</v>
      </c>
      <c r="M5434">
        <v>0.99953170000000002</v>
      </c>
      <c r="N5434">
        <v>-9.7775410000000007E-3</v>
      </c>
      <c r="O5434">
        <v>-2.8998019999999999E-2</v>
      </c>
      <c r="P5434">
        <v>0.97844450000000005</v>
      </c>
      <c r="Q5434">
        <v>0.20299049999999999</v>
      </c>
      <c r="R5434">
        <v>-3.7966920000000001E-2</v>
      </c>
      <c r="S5434">
        <v>3.09491</v>
      </c>
      <c r="T5434">
        <v>-0.13752210000000001</v>
      </c>
      <c r="U5434">
        <v>1.5838620000000001E-2</v>
      </c>
      <c r="V5434">
        <v>1.010523E-2</v>
      </c>
      <c r="W5434">
        <v>0.2125302</v>
      </c>
      <c r="X5434">
        <v>0.97710220000000003</v>
      </c>
      <c r="Y5434">
        <v>-3.4056030000000001E-2</v>
      </c>
      <c r="Z5434">
        <v>1.9271780000000001E-3</v>
      </c>
      <c r="AA5434">
        <v>0.99941809999999998</v>
      </c>
      <c r="AB5434">
        <v>36</v>
      </c>
      <c r="AC5434">
        <v>25.017900000000001</v>
      </c>
      <c r="AD5434">
        <v>-1.1196328268709901</v>
      </c>
      <c r="AE5434">
        <v>0.13449999999999501</v>
      </c>
      <c r="AF5434">
        <v>-0.85822878151027704</v>
      </c>
      <c r="AG5434">
        <v>-1.1196328268709901</v>
      </c>
      <c r="AH5434">
        <v>24.9535009689459</v>
      </c>
      <c r="AI5434">
        <v>92.567551818964404</v>
      </c>
      <c r="AJ5434">
        <v>91.969804244895599</v>
      </c>
      <c r="AK5434">
        <v>24.993346012801201</v>
      </c>
      <c r="AL5434">
        <v>77.729329667328102</v>
      </c>
      <c r="AM5434">
        <v>89.407465883361596</v>
      </c>
      <c r="AN5434">
        <v>0.99999995541511499</v>
      </c>
    </row>
    <row r="5435" spans="1:40" x14ac:dyDescent="0.25">
      <c r="A5435" t="str">
        <f>"20190303170644465"</f>
        <v>20190303170644465</v>
      </c>
      <c r="B5435" t="str">
        <f>"1551604004450467"</f>
        <v>1551604004450467</v>
      </c>
      <c r="C5435" t="s">
        <v>40</v>
      </c>
      <c r="D5435">
        <v>6.1941249999999997</v>
      </c>
      <c r="E5435">
        <v>0.48921419999999999</v>
      </c>
      <c r="F5435" t="s">
        <v>106</v>
      </c>
      <c r="G5435">
        <v>-224.81399999999999</v>
      </c>
      <c r="H5435" s="1">
        <v>-1.6848989999999999E-6</v>
      </c>
      <c r="I5435">
        <v>-62.639659999999999</v>
      </c>
      <c r="J5435">
        <v>-249.98859999999999</v>
      </c>
      <c r="K5435">
        <v>1.1196520000000001</v>
      </c>
      <c r="L5435">
        <v>-62.769739999999999</v>
      </c>
      <c r="M5435">
        <v>0.99951789999999996</v>
      </c>
      <c r="N5435">
        <v>-9.7689309999999998E-3</v>
      </c>
      <c r="O5435">
        <v>-2.9473929999999999E-2</v>
      </c>
      <c r="P5435">
        <v>0.97837399999999997</v>
      </c>
      <c r="Q5435">
        <v>0.2032593</v>
      </c>
      <c r="R5435">
        <v>-3.833992E-2</v>
      </c>
      <c r="S5435">
        <v>3.0950160000000002</v>
      </c>
      <c r="T5435">
        <v>-0.1366762</v>
      </c>
      <c r="U5435">
        <v>1.5197749999999999E-2</v>
      </c>
      <c r="V5435">
        <v>1.000143E-2</v>
      </c>
      <c r="W5435">
        <v>0.21279020000000001</v>
      </c>
      <c r="X5435">
        <v>0.97704669999999905</v>
      </c>
      <c r="Y5435">
        <v>-3.432491E-2</v>
      </c>
      <c r="Z5435">
        <v>1.938246E-3</v>
      </c>
      <c r="AA5435">
        <v>0.99940879999999999</v>
      </c>
      <c r="AB5435">
        <v>36</v>
      </c>
      <c r="AC5435">
        <v>25.174599999999899</v>
      </c>
      <c r="AD5435">
        <v>-1.119653684899</v>
      </c>
      <c r="AE5435">
        <v>0.130080000000006</v>
      </c>
      <c r="AF5435">
        <v>-0.87033168785610804</v>
      </c>
      <c r="AG5435">
        <v>-1.119653684899</v>
      </c>
      <c r="AH5435">
        <v>25.110159288270999</v>
      </c>
      <c r="AI5435">
        <v>92.551578475952994</v>
      </c>
      <c r="AJ5435">
        <v>91.985107990609194</v>
      </c>
      <c r="AK5435">
        <v>25.1501729835669</v>
      </c>
      <c r="AL5435">
        <v>77.714084294270194</v>
      </c>
      <c r="AM5435">
        <v>89.413518602245404</v>
      </c>
      <c r="AN5435">
        <v>0.99999997589948697</v>
      </c>
    </row>
    <row r="5436" spans="1:40" x14ac:dyDescent="0.25">
      <c r="A5436" t="str">
        <f>"20190303170644476"</f>
        <v>20190303170644476</v>
      </c>
      <c r="B5436" t="str">
        <f>"1551604004470495"</f>
        <v>1551604004470495</v>
      </c>
      <c r="C5436" t="s">
        <v>40</v>
      </c>
      <c r="D5436">
        <v>6.107577</v>
      </c>
      <c r="E5436">
        <v>0.48703390000000002</v>
      </c>
      <c r="F5436" t="s">
        <v>106</v>
      </c>
      <c r="G5436">
        <v>-224.4752</v>
      </c>
      <c r="H5436" s="1">
        <v>-1.5429099999999999E-6</v>
      </c>
      <c r="I5436">
        <v>-62.654780000000002</v>
      </c>
      <c r="J5436">
        <v>-249.8021</v>
      </c>
      <c r="K5436">
        <v>1.1196809999999999</v>
      </c>
      <c r="L5436">
        <v>-62.775669999999998</v>
      </c>
      <c r="M5436">
        <v>0.99950410000000001</v>
      </c>
      <c r="N5436">
        <v>-9.760978E-3</v>
      </c>
      <c r="O5436">
        <v>-2.9937510000000001E-2</v>
      </c>
      <c r="P5436">
        <v>0.9783868</v>
      </c>
      <c r="Q5436">
        <v>0.20321120000000001</v>
      </c>
      <c r="R5436">
        <v>-3.8267049999999997E-2</v>
      </c>
      <c r="S5436">
        <v>3.095078</v>
      </c>
      <c r="T5436">
        <v>-0.13582710000000001</v>
      </c>
      <c r="U5436">
        <v>1.394653E-2</v>
      </c>
      <c r="V5436">
        <v>9.4586050000000001E-3</v>
      </c>
      <c r="W5436">
        <v>0.2127366</v>
      </c>
      <c r="X5436">
        <v>0.97706380000000004</v>
      </c>
      <c r="Y5436">
        <v>-3.4384730000000002E-2</v>
      </c>
      <c r="Z5436">
        <v>1.9429320000000001E-3</v>
      </c>
      <c r="AA5436">
        <v>0.99940680000000004</v>
      </c>
      <c r="AB5436">
        <v>36</v>
      </c>
      <c r="AC5436">
        <v>25.326899999999899</v>
      </c>
      <c r="AD5436">
        <v>-1.1196825429099999</v>
      </c>
      <c r="AE5436">
        <v>0.120889999999995</v>
      </c>
      <c r="AF5436">
        <v>-0.87738149856229197</v>
      </c>
      <c r="AG5436">
        <v>-1.1196825429099999</v>
      </c>
      <c r="AH5436">
        <v>25.262553973734601</v>
      </c>
      <c r="AI5436">
        <v>92.536265547838099</v>
      </c>
      <c r="AJ5436">
        <v>91.989112400066404</v>
      </c>
      <c r="AK5436">
        <v>25.302571422026901</v>
      </c>
      <c r="AL5436">
        <v>77.7172275837559</v>
      </c>
      <c r="AM5436">
        <v>89.445357387799007</v>
      </c>
      <c r="AN5436">
        <v>0.99999999772927295</v>
      </c>
    </row>
    <row r="5437" spans="1:40" x14ac:dyDescent="0.25">
      <c r="A5437" t="str">
        <f>"20190303170644488"</f>
        <v>20190303170644488</v>
      </c>
      <c r="B5437" t="str">
        <f>"1551604004480255"</f>
        <v>1551604004480255</v>
      </c>
      <c r="C5437" t="s">
        <v>40</v>
      </c>
      <c r="D5437">
        <v>6.1182400000000001</v>
      </c>
      <c r="E5437">
        <v>0.4867242</v>
      </c>
      <c r="F5437" t="s">
        <v>107</v>
      </c>
      <c r="G5437">
        <v>-232.24629999999999</v>
      </c>
      <c r="H5437" s="1">
        <v>-5.3404559999999896E-7</v>
      </c>
      <c r="I5437">
        <v>-62.575690000000002</v>
      </c>
      <c r="J5437">
        <v>-249.62260000000001</v>
      </c>
      <c r="K5437">
        <v>1.1197109999999999</v>
      </c>
      <c r="L5437">
        <v>-62.781399999999998</v>
      </c>
      <c r="M5437">
        <v>0.99949129999999997</v>
      </c>
      <c r="N5437">
        <v>-9.7538050000000008E-3</v>
      </c>
      <c r="O5437">
        <v>-3.0368559999999999E-2</v>
      </c>
      <c r="P5437">
        <v>0.97847989999999996</v>
      </c>
      <c r="Q5437">
        <v>0.20279440000000001</v>
      </c>
      <c r="R5437">
        <v>-3.8104640000000002E-2</v>
      </c>
      <c r="S5437">
        <v>3.1088260000000001</v>
      </c>
      <c r="T5437">
        <v>-0.1982757</v>
      </c>
      <c r="U5437">
        <v>3.5400389999999997E-2</v>
      </c>
      <c r="V5437">
        <v>8.8546500000000004E-3</v>
      </c>
      <c r="W5437">
        <v>0.21231630000000001</v>
      </c>
      <c r="X5437">
        <v>0.9771609</v>
      </c>
      <c r="Y5437">
        <v>-4.1607360000000003E-2</v>
      </c>
      <c r="Z5437">
        <v>3.1673130000000002E-3</v>
      </c>
      <c r="AA5437">
        <v>0.99912900000000004</v>
      </c>
      <c r="AB5437">
        <v>36</v>
      </c>
      <c r="AC5437">
        <v>17.376300000000001</v>
      </c>
      <c r="AD5437">
        <v>-1.1197115340456001</v>
      </c>
      <c r="AE5437">
        <v>0.20570999999999601</v>
      </c>
      <c r="AF5437">
        <v>-0.73030129120782294</v>
      </c>
      <c r="AG5437">
        <v>-1.1197115340456001</v>
      </c>
      <c r="AH5437">
        <v>17.290251603158499</v>
      </c>
      <c r="AI5437">
        <v>93.701992035235605</v>
      </c>
      <c r="AJ5437">
        <v>92.4186070968385</v>
      </c>
      <c r="AK5437">
        <v>17.341853833888099</v>
      </c>
      <c r="AL5437">
        <v>77.741872274695595</v>
      </c>
      <c r="AM5437">
        <v>89.480822259108294</v>
      </c>
      <c r="AN5437">
        <v>1.0000000202805599</v>
      </c>
    </row>
    <row r="5438" spans="1:40" x14ac:dyDescent="0.25">
      <c r="A5438" t="str">
        <f>"20190303170644498"</f>
        <v>20190303170644498</v>
      </c>
      <c r="B5438" t="str">
        <f>"1551604004490015"</f>
        <v>1551604004490015</v>
      </c>
      <c r="C5438" t="s">
        <v>40</v>
      </c>
      <c r="D5438">
        <v>6.120889</v>
      </c>
      <c r="E5438">
        <v>0.48682540000000002</v>
      </c>
      <c r="F5438" t="s">
        <v>107</v>
      </c>
      <c r="G5438">
        <v>-232.28890000000001</v>
      </c>
      <c r="H5438" s="1">
        <v>-5.5011439999999997E-7</v>
      </c>
      <c r="I5438">
        <v>-62.567309999999999</v>
      </c>
      <c r="J5438">
        <v>-249.44380000000001</v>
      </c>
      <c r="K5438">
        <v>1.11974</v>
      </c>
      <c r="L5438">
        <v>-62.787199999999999</v>
      </c>
      <c r="M5438">
        <v>0.99947889999999995</v>
      </c>
      <c r="N5438">
        <v>-9.7472519999999997E-3</v>
      </c>
      <c r="O5438">
        <v>-3.077802E-2</v>
      </c>
      <c r="P5438">
        <v>0.97862570000000004</v>
      </c>
      <c r="Q5438">
        <v>0.20218610000000001</v>
      </c>
      <c r="R5438">
        <v>-3.7589860000000003E-2</v>
      </c>
      <c r="S5438">
        <v>3.1091160000000002</v>
      </c>
      <c r="T5438">
        <v>-0.20084109999999999</v>
      </c>
      <c r="U5438">
        <v>3.8391109999999999E-2</v>
      </c>
      <c r="V5438">
        <v>7.9172640000000002E-3</v>
      </c>
      <c r="W5438">
        <v>0.211705</v>
      </c>
      <c r="X5438">
        <v>0.97730150000000005</v>
      </c>
      <c r="Y5438">
        <v>-4.2968939999999997E-2</v>
      </c>
      <c r="Z5438">
        <v>3.2821669999999999E-3</v>
      </c>
      <c r="AA5438">
        <v>0.99907100000000004</v>
      </c>
      <c r="AB5438">
        <v>36</v>
      </c>
      <c r="AC5438">
        <v>17.154899999999898</v>
      </c>
      <c r="AD5438">
        <v>-1.1197405501144</v>
      </c>
      <c r="AE5438">
        <v>0.219889999999999</v>
      </c>
      <c r="AF5438">
        <v>-0.74463268751149503</v>
      </c>
      <c r="AG5438">
        <v>-1.1197405501144</v>
      </c>
      <c r="AH5438">
        <v>17.0673009710016</v>
      </c>
      <c r="AI5438">
        <v>93.750088065046299</v>
      </c>
      <c r="AJ5438">
        <v>92.498184723177602</v>
      </c>
      <c r="AK5438">
        <v>17.120194484106602</v>
      </c>
      <c r="AL5438">
        <v>77.777711116589899</v>
      </c>
      <c r="AM5438">
        <v>89.535848569481303</v>
      </c>
      <c r="AN5438">
        <v>0.99999995599824698</v>
      </c>
    </row>
    <row r="5439" spans="1:40" x14ac:dyDescent="0.25">
      <c r="A5439" t="str">
        <f>"20190303170644510"</f>
        <v>20190303170644510</v>
      </c>
      <c r="B5439" t="str">
        <f>"1551604004500750"</f>
        <v>1551604004500750</v>
      </c>
      <c r="C5439" t="s">
        <v>40</v>
      </c>
      <c r="D5439">
        <v>6.1455380000000002</v>
      </c>
      <c r="E5439">
        <v>0.48682540000000002</v>
      </c>
      <c r="F5439" t="s">
        <v>107</v>
      </c>
      <c r="G5439">
        <v>-232.45769999999999</v>
      </c>
      <c r="H5439" s="1">
        <v>-6.244237E-7</v>
      </c>
      <c r="I5439">
        <v>-62.57441</v>
      </c>
      <c r="J5439">
        <v>-249.26159999999999</v>
      </c>
      <c r="K5439">
        <v>1.1197699999999999</v>
      </c>
      <c r="L5439">
        <v>-62.793149999999997</v>
      </c>
      <c r="M5439">
        <v>0.99946670000000004</v>
      </c>
      <c r="N5439">
        <v>-9.7412269999999999E-3</v>
      </c>
      <c r="O5439">
        <v>-3.1170650000000001E-2</v>
      </c>
      <c r="P5439">
        <v>0.97878980000000004</v>
      </c>
      <c r="Q5439">
        <v>0.20146939999999999</v>
      </c>
      <c r="R5439">
        <v>-3.7159959999999999E-2</v>
      </c>
      <c r="S5439">
        <v>3.109375</v>
      </c>
      <c r="T5439">
        <v>-0.2049742</v>
      </c>
      <c r="U5439">
        <v>3.8940429999999998E-2</v>
      </c>
      <c r="V5439">
        <v>7.0795099999999998E-3</v>
      </c>
      <c r="W5439">
        <v>0.2109868</v>
      </c>
      <c r="X5439">
        <v>0.97746330000000003</v>
      </c>
      <c r="Y5439">
        <v>-4.3528600000000001E-2</v>
      </c>
      <c r="Z5439">
        <v>3.3943850000000002E-3</v>
      </c>
      <c r="AA5439">
        <v>0.9990464</v>
      </c>
      <c r="AB5439">
        <v>36</v>
      </c>
      <c r="AC5439">
        <v>16.803899999999999</v>
      </c>
      <c r="AD5439">
        <v>-1.1197706244237</v>
      </c>
      <c r="AE5439">
        <v>0.21873999999999599</v>
      </c>
      <c r="AF5439">
        <v>-0.73916523631405495</v>
      </c>
      <c r="AG5439">
        <v>-1.1197706244237</v>
      </c>
      <c r="AH5439">
        <v>16.7147051238756</v>
      </c>
      <c r="AI5439">
        <v>93.828966321661795</v>
      </c>
      <c r="AJ5439">
        <v>92.5321100699109</v>
      </c>
      <c r="AK5439">
        <v>16.768470976091098</v>
      </c>
      <c r="AL5439">
        <v>77.819812816397004</v>
      </c>
      <c r="AM5439">
        <v>89.585028970838096</v>
      </c>
      <c r="AN5439">
        <v>1.0000000260414801</v>
      </c>
    </row>
    <row r="5440" spans="1:40" x14ac:dyDescent="0.25">
      <c r="A5440" t="str">
        <f>"20190303170644522"</f>
        <v>20190303170644522</v>
      </c>
      <c r="B5440" t="str">
        <f>"1551604004510511"</f>
        <v>1551604004510511</v>
      </c>
      <c r="C5440" t="s">
        <v>40</v>
      </c>
      <c r="D5440">
        <v>6.1284229999999997</v>
      </c>
      <c r="E5440">
        <v>0.48825420000000003</v>
      </c>
      <c r="F5440" t="s">
        <v>107</v>
      </c>
      <c r="G5440">
        <v>-232.46960000000001</v>
      </c>
      <c r="H5440" s="1">
        <v>-6.305168E-7</v>
      </c>
      <c r="I5440">
        <v>-62.578159999999997</v>
      </c>
      <c r="J5440">
        <v>-249.06880000000001</v>
      </c>
      <c r="K5440">
        <v>1.1198030000000001</v>
      </c>
      <c r="L5440">
        <v>-62.799500000000002</v>
      </c>
      <c r="M5440">
        <v>0.99945410000000001</v>
      </c>
      <c r="N5440">
        <v>-9.735222E-3</v>
      </c>
      <c r="O5440">
        <v>-3.1572910000000003E-2</v>
      </c>
      <c r="P5440">
        <v>0.97885979999999995</v>
      </c>
      <c r="Q5440">
        <v>0.20123550000000001</v>
      </c>
      <c r="R5440">
        <v>-3.6579E-2</v>
      </c>
      <c r="S5440">
        <v>3.1091769999999999</v>
      </c>
      <c r="T5440">
        <v>-0.2073345</v>
      </c>
      <c r="U5440">
        <v>3.9794919999999998E-2</v>
      </c>
      <c r="V5440">
        <v>6.0837629999999998E-3</v>
      </c>
      <c r="W5440">
        <v>0.2107504</v>
      </c>
      <c r="X5440">
        <v>0.97752090000000003</v>
      </c>
      <c r="Y5440">
        <v>-4.4199919999999997E-2</v>
      </c>
      <c r="Z5440">
        <v>3.4832270000000002E-3</v>
      </c>
      <c r="AA5440">
        <v>0.99901660000000003</v>
      </c>
      <c r="AB5440">
        <v>36</v>
      </c>
      <c r="AC5440">
        <v>16.5991999999999</v>
      </c>
      <c r="AD5440">
        <v>-1.1198036305168</v>
      </c>
      <c r="AE5440">
        <v>0.22134000000000401</v>
      </c>
      <c r="AF5440">
        <v>-0.74196339815421697</v>
      </c>
      <c r="AG5440">
        <v>-1.1198036305168</v>
      </c>
      <c r="AH5440">
        <v>16.508816315031201</v>
      </c>
      <c r="AI5440">
        <v>93.876564289837404</v>
      </c>
      <c r="AJ5440">
        <v>92.573339116373901</v>
      </c>
      <c r="AK5440">
        <v>16.563377855333702</v>
      </c>
      <c r="AL5440">
        <v>77.833667876786393</v>
      </c>
      <c r="AM5440">
        <v>89.643414843604006</v>
      </c>
      <c r="AN5440">
        <v>0.99999992660460202</v>
      </c>
    </row>
    <row r="5441" spans="1:40" x14ac:dyDescent="0.25">
      <c r="A5441" t="str">
        <f>"20190303170644535"</f>
        <v>20190303170644535</v>
      </c>
      <c r="B5441" t="str">
        <f>"1551604004530030"</f>
        <v>1551604004530030</v>
      </c>
      <c r="C5441" t="s">
        <v>40</v>
      </c>
      <c r="D5441">
        <v>6.1155179999999998</v>
      </c>
      <c r="E5441">
        <v>0.48859669999999999</v>
      </c>
      <c r="F5441" t="s">
        <v>106</v>
      </c>
      <c r="G5441">
        <v>-228.44220000000001</v>
      </c>
      <c r="H5441" s="1">
        <v>-3.1800859999999999E-6</v>
      </c>
      <c r="I5441">
        <v>-62.616370000000003</v>
      </c>
      <c r="J5441">
        <v>-248.86439999999999</v>
      </c>
      <c r="K5441">
        <v>1.1198459999999999</v>
      </c>
      <c r="L5441">
        <v>-62.8063</v>
      </c>
      <c r="M5441">
        <v>0.99944200000000005</v>
      </c>
      <c r="N5441">
        <v>-9.7298079999999995E-3</v>
      </c>
      <c r="O5441">
        <v>-3.1957470000000002E-2</v>
      </c>
      <c r="P5441">
        <v>0.97886439999999997</v>
      </c>
      <c r="Q5441">
        <v>0.20130329999999999</v>
      </c>
      <c r="R5441">
        <v>-3.6082669999999997E-2</v>
      </c>
      <c r="S5441">
        <v>3.1004179999999999</v>
      </c>
      <c r="T5441">
        <v>-0.16831989999999999</v>
      </c>
      <c r="U5441">
        <v>2.752686E-2</v>
      </c>
      <c r="V5441">
        <v>5.1905279999999998E-3</v>
      </c>
      <c r="W5441">
        <v>0.2108148</v>
      </c>
      <c r="X5441">
        <v>0.97751220000000005</v>
      </c>
      <c r="Y5441">
        <v>-4.0728840000000002E-2</v>
      </c>
      <c r="Z5441">
        <v>2.7257599999999998E-3</v>
      </c>
      <c r="AA5441">
        <v>0.99916649999999996</v>
      </c>
      <c r="AB5441">
        <v>36</v>
      </c>
      <c r="AC5441">
        <v>20.422199999999901</v>
      </c>
      <c r="AD5441">
        <v>-1.119849180086</v>
      </c>
      <c r="AE5441">
        <v>0.18993000000000301</v>
      </c>
      <c r="AF5441">
        <v>-0.83998014478370098</v>
      </c>
      <c r="AG5441">
        <v>-1.119849180086</v>
      </c>
      <c r="AH5441">
        <v>20.344530013363901</v>
      </c>
      <c r="AI5441">
        <v>93.147946602117898</v>
      </c>
      <c r="AJ5441">
        <v>92.364271765458895</v>
      </c>
      <c r="AK5441">
        <v>20.3926342166586</v>
      </c>
      <c r="AL5441">
        <v>77.829893651910794</v>
      </c>
      <c r="AM5441">
        <v>89.695765891383601</v>
      </c>
      <c r="AN5441">
        <v>0.99999996131439794</v>
      </c>
    </row>
    <row r="5442" spans="1:40" x14ac:dyDescent="0.25">
      <c r="A5442" t="str">
        <f>"20190303170644547"</f>
        <v>20190303170644547</v>
      </c>
      <c r="B5442" t="str">
        <f>"1551604004539922"</f>
        <v>1551604004539922</v>
      </c>
      <c r="C5442" t="s">
        <v>40</v>
      </c>
      <c r="D5442">
        <v>6.1289699999999998</v>
      </c>
      <c r="E5442">
        <v>0.48857719999999999</v>
      </c>
      <c r="F5442" t="s">
        <v>107</v>
      </c>
      <c r="G5442">
        <v>-230.68879999999999</v>
      </c>
      <c r="H5442" s="1">
        <v>1.1506110000000001E-7</v>
      </c>
      <c r="I5442">
        <v>-62.647260000000003</v>
      </c>
      <c r="J5442">
        <v>-248.67490000000001</v>
      </c>
      <c r="K5442">
        <v>1.119885</v>
      </c>
      <c r="L5442">
        <v>-62.81268</v>
      </c>
      <c r="M5442">
        <v>0.99943099999999996</v>
      </c>
      <c r="N5442">
        <v>-9.7250510000000002E-3</v>
      </c>
      <c r="O5442">
        <v>-3.2298210000000001E-2</v>
      </c>
      <c r="P5442">
        <v>0.97880509999999998</v>
      </c>
      <c r="Q5442">
        <v>0.20165939999999999</v>
      </c>
      <c r="R5442">
        <v>-3.569539E-2</v>
      </c>
      <c r="S5442">
        <v>3.1050870000000002</v>
      </c>
      <c r="T5442">
        <v>-0.19131280000000001</v>
      </c>
      <c r="U5442">
        <v>2.716064E-2</v>
      </c>
      <c r="V5442">
        <v>4.4532590000000002E-3</v>
      </c>
      <c r="W5442">
        <v>0.2111671</v>
      </c>
      <c r="X5442">
        <v>0.97743979999999997</v>
      </c>
      <c r="Y5442">
        <v>-4.0907489999999998E-2</v>
      </c>
      <c r="Z5442">
        <v>3.1321169999999998E-3</v>
      </c>
      <c r="AA5442">
        <v>0.99915799999999999</v>
      </c>
      <c r="AB5442">
        <v>36</v>
      </c>
      <c r="AC5442">
        <v>17.9861</v>
      </c>
      <c r="AD5442">
        <v>-1.11988488493889</v>
      </c>
      <c r="AE5442">
        <v>0.165420000000011</v>
      </c>
      <c r="AF5442">
        <v>-0.74339821595014099</v>
      </c>
      <c r="AG5442">
        <v>-1.11988488493889</v>
      </c>
      <c r="AH5442">
        <v>17.901975915170599</v>
      </c>
      <c r="AI5442">
        <v>93.576484423757194</v>
      </c>
      <c r="AJ5442">
        <v>92.377900786473901</v>
      </c>
      <c r="AK5442">
        <v>17.952368220664901</v>
      </c>
      <c r="AL5442">
        <v>77.809243568041097</v>
      </c>
      <c r="AM5442">
        <v>89.738959698232506</v>
      </c>
      <c r="AN5442">
        <v>0.99999996913108402</v>
      </c>
    </row>
    <row r="5443" spans="1:40" x14ac:dyDescent="0.25">
      <c r="A5443" t="str">
        <f>"20190303170644559"</f>
        <v>20190303170644559</v>
      </c>
      <c r="B5443" t="str">
        <f>"1551604004550659"</f>
        <v>1551604004550659</v>
      </c>
      <c r="C5443" t="s">
        <v>40</v>
      </c>
      <c r="D5443">
        <v>6.1551989999999996</v>
      </c>
      <c r="E5443">
        <v>0.48971550000000003</v>
      </c>
      <c r="F5443" t="s">
        <v>107</v>
      </c>
      <c r="G5443">
        <v>-230.86799999999999</v>
      </c>
      <c r="H5443" s="1">
        <v>3.7589869999999999E-8</v>
      </c>
      <c r="I5443">
        <v>-62.649569999999997</v>
      </c>
      <c r="J5443">
        <v>-248.47669999999999</v>
      </c>
      <c r="K5443">
        <v>1.119929</v>
      </c>
      <c r="L5443">
        <v>-62.8193699999999</v>
      </c>
      <c r="M5443">
        <v>0.99942039999999999</v>
      </c>
      <c r="N5443">
        <v>-9.7205020000000007E-3</v>
      </c>
      <c r="O5443">
        <v>-3.2626759999999998E-2</v>
      </c>
      <c r="P5443">
        <v>0.97872789999999998</v>
      </c>
      <c r="Q5443">
        <v>0.20219200000000001</v>
      </c>
      <c r="R5443">
        <v>-3.4783420000000002E-2</v>
      </c>
      <c r="S5443">
        <v>3.1062620000000001</v>
      </c>
      <c r="T5443">
        <v>-0.195354</v>
      </c>
      <c r="U5443">
        <v>2.844238E-2</v>
      </c>
      <c r="V5443">
        <v>3.2030700000000001E-3</v>
      </c>
      <c r="W5443">
        <v>0.21169660000000001</v>
      </c>
      <c r="X5443">
        <v>0.97733020000000004</v>
      </c>
      <c r="Y5443">
        <v>-4.1637090000000002E-2</v>
      </c>
      <c r="Z5443">
        <v>3.243302E-3</v>
      </c>
      <c r="AA5443">
        <v>0.99912749999999995</v>
      </c>
      <c r="AB5443">
        <v>36</v>
      </c>
      <c r="AC5443">
        <v>17.608699999999999</v>
      </c>
      <c r="AD5443">
        <v>-1.1199289624101201</v>
      </c>
      <c r="AE5443">
        <v>0.16979999999999501</v>
      </c>
      <c r="AF5443">
        <v>-0.74125338157475096</v>
      </c>
      <c r="AG5443">
        <v>-1.1199289624101201</v>
      </c>
      <c r="AH5443">
        <v>17.5229091991819</v>
      </c>
      <c r="AI5443">
        <v>93.653670966913396</v>
      </c>
      <c r="AJ5443">
        <v>92.4222795345554</v>
      </c>
      <c r="AK5443">
        <v>17.574300676252101</v>
      </c>
      <c r="AL5443">
        <v>77.778204294566706</v>
      </c>
      <c r="AM5443">
        <v>89.812221360386104</v>
      </c>
      <c r="AN5443">
        <v>1.0000000149705099</v>
      </c>
    </row>
    <row r="5444" spans="1:40" x14ac:dyDescent="0.25">
      <c r="A5444" t="str">
        <f>"20190303170644570"</f>
        <v>20190303170644570</v>
      </c>
      <c r="B5444" t="str">
        <f>"1551604004560300"</f>
        <v>1551604004560300</v>
      </c>
      <c r="C5444" t="s">
        <v>40</v>
      </c>
      <c r="D5444">
        <v>6.5767559999999996</v>
      </c>
      <c r="E5444">
        <v>0.48971550000000003</v>
      </c>
      <c r="F5444" t="s">
        <v>107</v>
      </c>
      <c r="G5444">
        <v>-230.0478</v>
      </c>
      <c r="H5444" s="1">
        <v>3.7855400000000002E-7</v>
      </c>
      <c r="I5444">
        <v>-62.6905199999999</v>
      </c>
      <c r="J5444">
        <v>-248.30860000000001</v>
      </c>
      <c r="K5444">
        <v>1.1199650000000001</v>
      </c>
      <c r="L5444">
        <v>-62.825069999999997</v>
      </c>
      <c r="M5444">
        <v>0.99941199999999997</v>
      </c>
      <c r="N5444">
        <v>-9.7170859999999998E-3</v>
      </c>
      <c r="O5444">
        <v>-3.28834E-2</v>
      </c>
      <c r="P5444">
        <v>0.97861750000000003</v>
      </c>
      <c r="Q5444">
        <v>0.2028383</v>
      </c>
      <c r="R5444">
        <v>-3.4129140000000002E-2</v>
      </c>
      <c r="S5444">
        <v>3.104965</v>
      </c>
      <c r="T5444">
        <v>-0.188689</v>
      </c>
      <c r="U5444">
        <v>2.1697999999999999E-2</v>
      </c>
      <c r="V5444">
        <v>2.2850879999999998E-3</v>
      </c>
      <c r="W5444">
        <v>0.2123401</v>
      </c>
      <c r="X5444">
        <v>0.97719319999999998</v>
      </c>
      <c r="Y5444">
        <v>-3.974051E-2</v>
      </c>
      <c r="Z5444">
        <v>3.0766109999999999E-3</v>
      </c>
      <c r="AA5444">
        <v>0.99920529999999996</v>
      </c>
      <c r="AB5444">
        <v>36</v>
      </c>
      <c r="AC5444">
        <v>18.2608</v>
      </c>
      <c r="AD5444">
        <v>-1.119964621446</v>
      </c>
      <c r="AE5444">
        <v>0.134550000000004</v>
      </c>
      <c r="AF5444">
        <v>-0.73222856531028802</v>
      </c>
      <c r="AG5444">
        <v>-1.119964621446</v>
      </c>
      <c r="AH5444">
        <v>18.1781243087791</v>
      </c>
      <c r="AI5444">
        <v>93.5227198343743</v>
      </c>
      <c r="AJ5444">
        <v>92.306670222193006</v>
      </c>
      <c r="AK5444">
        <v>18.227305966888601</v>
      </c>
      <c r="AL5444">
        <v>77.740477123156694</v>
      </c>
      <c r="AM5444">
        <v>89.866018654680104</v>
      </c>
      <c r="AN5444">
        <v>1.0000000449107</v>
      </c>
    </row>
    <row r="5445" spans="1:40" x14ac:dyDescent="0.25">
      <c r="A5445" t="str">
        <f>"20190303170644579"</f>
        <v>20190303170644579</v>
      </c>
      <c r="B5445" t="str">
        <f>"1551604004570123"</f>
        <v>1551604004570123</v>
      </c>
      <c r="C5445" t="s">
        <v>40</v>
      </c>
      <c r="D5445">
        <v>6.1874770000000003</v>
      </c>
      <c r="E5445">
        <v>0.51207570000000002</v>
      </c>
      <c r="F5445" t="s">
        <v>106</v>
      </c>
      <c r="G5445">
        <v>-229.68680000000001</v>
      </c>
      <c r="H5445" s="1">
        <v>-3.6130139999999999E-6</v>
      </c>
      <c r="I5445">
        <v>-62.686709999999998</v>
      </c>
      <c r="J5445">
        <v>-248.13910000000001</v>
      </c>
      <c r="K5445">
        <v>1.120004</v>
      </c>
      <c r="L5445">
        <v>-62.8309</v>
      </c>
      <c r="M5445">
        <v>0.99940379999999995</v>
      </c>
      <c r="N5445">
        <v>-9.7138789999999999E-3</v>
      </c>
      <c r="O5445">
        <v>-3.3131229999999998E-2</v>
      </c>
      <c r="P5445">
        <v>0.97848550000000001</v>
      </c>
      <c r="Q5445">
        <v>0.20361799999999999</v>
      </c>
      <c r="R5445">
        <v>-3.3254880000000001E-2</v>
      </c>
      <c r="S5445">
        <v>3.105057</v>
      </c>
      <c r="T5445">
        <v>-0.1867472</v>
      </c>
      <c r="U5445">
        <v>2.3071290000000001E-2</v>
      </c>
      <c r="V5445">
        <v>1.157028E-3</v>
      </c>
      <c r="W5445">
        <v>0.21311730000000001</v>
      </c>
      <c r="X5445">
        <v>0.9770259</v>
      </c>
      <c r="Y5445">
        <v>-4.0430870000000001E-2</v>
      </c>
      <c r="Z5445">
        <v>3.080228E-3</v>
      </c>
      <c r="AA5445">
        <v>0.9991776</v>
      </c>
      <c r="AB5445">
        <v>36</v>
      </c>
      <c r="AC5445">
        <v>18.452300000000001</v>
      </c>
      <c r="AD5445">
        <v>-1.120007613014</v>
      </c>
      <c r="AE5445">
        <v>0.14419000000000101</v>
      </c>
      <c r="AF5445">
        <v>-0.75271411073509997</v>
      </c>
      <c r="AG5445">
        <v>-1.120007613014</v>
      </c>
      <c r="AH5445">
        <v>18.369718268746102</v>
      </c>
      <c r="AI5445">
        <v>93.486104820689405</v>
      </c>
      <c r="AJ5445">
        <v>92.346428410045604</v>
      </c>
      <c r="AK5445">
        <v>18.4192167276139</v>
      </c>
      <c r="AL5445">
        <v>77.6949027394284</v>
      </c>
      <c r="AM5445">
        <v>89.932148379906195</v>
      </c>
      <c r="AN5445">
        <v>0.99999996577194505</v>
      </c>
    </row>
    <row r="5446" spans="1:40" x14ac:dyDescent="0.25">
      <c r="A5446" t="str">
        <f>"20190303170644591"</f>
        <v>20190303170644591</v>
      </c>
      <c r="B5446" t="str">
        <f>"1551604004580859"</f>
        <v>1551604004580859</v>
      </c>
      <c r="C5446" t="s">
        <v>40</v>
      </c>
      <c r="D5446">
        <v>6.1738650000000002</v>
      </c>
      <c r="E5446">
        <v>0.512959099999999</v>
      </c>
      <c r="F5446" t="s">
        <v>107</v>
      </c>
      <c r="G5446">
        <v>-230.68870000000001</v>
      </c>
      <c r="H5446" s="1">
        <v>-1.617176E-7</v>
      </c>
      <c r="I5446">
        <v>-63.687620000000003</v>
      </c>
      <c r="J5446">
        <v>-247.9692</v>
      </c>
      <c r="K5446">
        <v>1.1200410000000001</v>
      </c>
      <c r="L5446">
        <v>-62.836730000000003</v>
      </c>
      <c r="M5446">
        <v>0.99939650000000002</v>
      </c>
      <c r="N5446">
        <v>-9.7111369999999999E-3</v>
      </c>
      <c r="O5446">
        <v>-3.335486E-2</v>
      </c>
      <c r="P5446">
        <v>0.97832490000000005</v>
      </c>
      <c r="Q5446">
        <v>0.20450470000000001</v>
      </c>
      <c r="R5446">
        <v>-3.2531879999999999E-2</v>
      </c>
      <c r="S5446">
        <v>3.1022189999999998</v>
      </c>
      <c r="T5446">
        <v>-0.1991076</v>
      </c>
      <c r="U5446">
        <v>-0.15231320000000001</v>
      </c>
      <c r="V5446">
        <v>2.049152E-4</v>
      </c>
      <c r="W5446">
        <v>0.21400050000000001</v>
      </c>
      <c r="X5446">
        <v>0.97683350000000002</v>
      </c>
      <c r="Y5446">
        <v>1.5707639999999998E-2</v>
      </c>
      <c r="Z5446">
        <v>1.2333559999999999E-3</v>
      </c>
      <c r="AA5446">
        <v>0.99987579999999998</v>
      </c>
      <c r="AB5446">
        <v>36</v>
      </c>
      <c r="AC5446">
        <v>17.2804999999999</v>
      </c>
      <c r="AD5446">
        <v>-1.1200411617176</v>
      </c>
      <c r="AE5446">
        <v>-0.85088999999999204</v>
      </c>
      <c r="AF5446">
        <v>0.27285721249637102</v>
      </c>
      <c r="AG5446">
        <v>-1.1200411617176</v>
      </c>
      <c r="AH5446">
        <v>17.2270700679111</v>
      </c>
      <c r="AI5446">
        <v>93.719461422947205</v>
      </c>
      <c r="AJ5446">
        <v>89.092575841858206</v>
      </c>
      <c r="AK5446">
        <v>17.265598350102799</v>
      </c>
      <c r="AL5446">
        <v>77.643104188941095</v>
      </c>
      <c r="AM5446">
        <v>89.987980780812805</v>
      </c>
      <c r="AN5446">
        <v>0.99999997135636898</v>
      </c>
    </row>
    <row r="5447" spans="1:40" x14ac:dyDescent="0.25">
      <c r="A5447" t="str">
        <f>"20190303170644600"</f>
        <v>20190303170644600</v>
      </c>
      <c r="B5447" t="str">
        <f>"1551604004590620"</f>
        <v>1551604004590620</v>
      </c>
      <c r="C5447" t="s">
        <v>40</v>
      </c>
      <c r="D5447">
        <v>6.1535630000000001</v>
      </c>
      <c r="E5447">
        <v>0.51330209999999998</v>
      </c>
      <c r="F5447" t="s">
        <v>106</v>
      </c>
      <c r="G5447">
        <v>-228.66399999999999</v>
      </c>
      <c r="H5447" s="1">
        <v>-3.4168480000000001E-6</v>
      </c>
      <c r="I5447">
        <v>-63.823090000000001</v>
      </c>
      <c r="J5447">
        <v>-247.81129999999999</v>
      </c>
      <c r="K5447">
        <v>1.120077</v>
      </c>
      <c r="L5447">
        <v>-62.84216</v>
      </c>
      <c r="M5447">
        <v>0.99938979999999999</v>
      </c>
      <c r="N5447">
        <v>-9.7087319999999994E-3</v>
      </c>
      <c r="O5447">
        <v>-3.3555420000000002E-2</v>
      </c>
      <c r="P5447">
        <v>0.9782168</v>
      </c>
      <c r="Q5447">
        <v>0.20511960000000001</v>
      </c>
      <c r="R5447">
        <v>-3.1905459999999997E-2</v>
      </c>
      <c r="S5447">
        <v>3.0987849999999999</v>
      </c>
      <c r="T5447">
        <v>-0.17978420000000001</v>
      </c>
      <c r="U5447">
        <v>-0.1583252</v>
      </c>
      <c r="V5447">
        <v>-6.2902460000000004E-4</v>
      </c>
      <c r="W5447">
        <v>0.21461350000000001</v>
      </c>
      <c r="X5447">
        <v>0.97669890000000004</v>
      </c>
      <c r="Y5447">
        <v>1.7488819999999999E-2</v>
      </c>
      <c r="Z5447">
        <v>1.02614E-3</v>
      </c>
      <c r="AA5447">
        <v>0.99984649999999997</v>
      </c>
      <c r="AB5447">
        <v>36</v>
      </c>
      <c r="AC5447">
        <v>19.147299999999898</v>
      </c>
      <c r="AD5447">
        <v>-1.1200804168480001</v>
      </c>
      <c r="AE5447">
        <v>-0.98092999999999997</v>
      </c>
      <c r="AF5447">
        <v>0.33670244450096898</v>
      </c>
      <c r="AG5447">
        <v>-1.1200804168480001</v>
      </c>
      <c r="AH5447">
        <v>19.10422937025</v>
      </c>
      <c r="AI5447">
        <v>93.354888886496397</v>
      </c>
      <c r="AJ5447">
        <v>88.990295209192695</v>
      </c>
      <c r="AK5447">
        <v>19.1399981323787</v>
      </c>
      <c r="AL5447">
        <v>77.607147380317798</v>
      </c>
      <c r="AM5447">
        <v>90.036900266609294</v>
      </c>
      <c r="AN5447">
        <v>1.0000000456577001</v>
      </c>
    </row>
    <row r="5448" spans="1:40" x14ac:dyDescent="0.25">
      <c r="A5448" t="str">
        <f>"20190303170644610"</f>
        <v>20190303170644610</v>
      </c>
      <c r="B5448" t="str">
        <f>"1551604004600378"</f>
        <v>1551604004600378</v>
      </c>
      <c r="C5448" t="s">
        <v>40</v>
      </c>
      <c r="D5448">
        <v>6.1350740000000004</v>
      </c>
      <c r="E5448">
        <v>0.51374819999999999</v>
      </c>
      <c r="F5448" t="s">
        <v>106</v>
      </c>
      <c r="G5448">
        <v>-227.0009</v>
      </c>
      <c r="H5448" s="1">
        <v>-2.863287E-6</v>
      </c>
      <c r="I5448">
        <v>-63.91583</v>
      </c>
      <c r="J5448">
        <v>-247.66229999999999</v>
      </c>
      <c r="K5448">
        <v>1.120106</v>
      </c>
      <c r="L5448">
        <v>-62.847320000000003</v>
      </c>
      <c r="M5448">
        <v>0.9993841</v>
      </c>
      <c r="N5448">
        <v>-9.7067539999999997E-3</v>
      </c>
      <c r="O5448">
        <v>-3.3724179999999999E-2</v>
      </c>
      <c r="P5448">
        <v>0.97816579999999997</v>
      </c>
      <c r="Q5448">
        <v>0.2054752</v>
      </c>
      <c r="R5448">
        <v>-3.1171460000000002E-2</v>
      </c>
      <c r="S5448">
        <v>3.0965419999999999</v>
      </c>
      <c r="T5448">
        <v>-0.16666510000000001</v>
      </c>
      <c r="U5448">
        <v>-0.1597595</v>
      </c>
      <c r="V5448">
        <v>-1.5403299999999999E-3</v>
      </c>
      <c r="W5448">
        <v>0.2149674</v>
      </c>
      <c r="X5448">
        <v>0.97662000000000004</v>
      </c>
      <c r="Y5448">
        <v>1.781638E-2</v>
      </c>
      <c r="Z5448">
        <v>9.1949800000000004E-4</v>
      </c>
      <c r="AA5448">
        <v>0.99984090000000003</v>
      </c>
      <c r="AB5448">
        <v>36</v>
      </c>
      <c r="AC5448">
        <v>20.661399999999901</v>
      </c>
      <c r="AD5448">
        <v>-1.120108863287</v>
      </c>
      <c r="AE5448">
        <v>-1.0685100000000101</v>
      </c>
      <c r="AF5448">
        <v>0.369996070444429</v>
      </c>
      <c r="AG5448">
        <v>-1.120108863287</v>
      </c>
      <c r="AH5448">
        <v>20.6252265083188</v>
      </c>
      <c r="AI5448">
        <v>93.108049978484203</v>
      </c>
      <c r="AJ5448">
        <v>88.972280877584893</v>
      </c>
      <c r="AK5448">
        <v>20.658932922036801</v>
      </c>
      <c r="AL5448">
        <v>77.586385132122103</v>
      </c>
      <c r="AM5448">
        <v>90.090367118098797</v>
      </c>
      <c r="AN5448">
        <v>0.99999999003963402</v>
      </c>
    </row>
    <row r="5449" spans="1:40" x14ac:dyDescent="0.25">
      <c r="A5449" t="str">
        <f>"20190303170644620"</f>
        <v>20190303170644620</v>
      </c>
      <c r="B5449" t="str">
        <f>"1551604004610138"</f>
        <v>1551604004610138</v>
      </c>
      <c r="C5449" t="s">
        <v>40</v>
      </c>
      <c r="D5449">
        <v>6.118735</v>
      </c>
      <c r="E5449">
        <v>0.51431800000000005</v>
      </c>
      <c r="F5449" t="s">
        <v>106</v>
      </c>
      <c r="G5449">
        <v>-226.17230000000001</v>
      </c>
      <c r="H5449" s="1">
        <v>-2.5631539999999999E-6</v>
      </c>
      <c r="I5449">
        <v>-63.968859999999999</v>
      </c>
      <c r="J5449">
        <v>-247.4853</v>
      </c>
      <c r="K5449">
        <v>1.1201410000000001</v>
      </c>
      <c r="L5449">
        <v>-62.853490000000001</v>
      </c>
      <c r="M5449">
        <v>0.99937759999999998</v>
      </c>
      <c r="N5449">
        <v>-9.7045099999999995E-3</v>
      </c>
      <c r="O5449">
        <v>-3.3917429999999998E-2</v>
      </c>
      <c r="P5449">
        <v>0.97824199999999994</v>
      </c>
      <c r="Q5449">
        <v>0.20519879999999999</v>
      </c>
      <c r="R5449">
        <v>-3.0599689999999999E-2</v>
      </c>
      <c r="S5449">
        <v>3.095688</v>
      </c>
      <c r="T5449">
        <v>-0.16135450000000001</v>
      </c>
      <c r="U5449">
        <v>-0.16156010000000001</v>
      </c>
      <c r="V5449">
        <v>-2.3218990000000001E-3</v>
      </c>
      <c r="W5449">
        <v>0.21468979999999999</v>
      </c>
      <c r="X5449">
        <v>0.97667950000000003</v>
      </c>
      <c r="Y5449">
        <v>1.8216019999999999E-2</v>
      </c>
      <c r="Z5449">
        <v>8.7333050000000002E-4</v>
      </c>
      <c r="AA5449">
        <v>0.99983370000000005</v>
      </c>
      <c r="AB5449">
        <v>36</v>
      </c>
      <c r="AC5449">
        <v>21.312999999999899</v>
      </c>
      <c r="AD5449">
        <v>-1.120143563154</v>
      </c>
      <c r="AE5449">
        <v>-1.11536999999999</v>
      </c>
      <c r="AF5449">
        <v>0.39073567782247598</v>
      </c>
      <c r="AG5449">
        <v>-1.120143563154</v>
      </c>
      <c r="AH5449">
        <v>21.2799490779678</v>
      </c>
      <c r="AI5449">
        <v>93.012673287988306</v>
      </c>
      <c r="AJ5449">
        <v>88.948071272242103</v>
      </c>
      <c r="AK5449">
        <v>21.312992017379901</v>
      </c>
      <c r="AL5449">
        <v>77.602670472203101</v>
      </c>
      <c r="AM5449">
        <v>90.136211277629798</v>
      </c>
      <c r="AN5449">
        <v>0.999999973579627</v>
      </c>
    </row>
    <row r="5450" spans="1:40" x14ac:dyDescent="0.25">
      <c r="A5450" t="str">
        <f>"20190303170644632"</f>
        <v>20190303170644632</v>
      </c>
      <c r="B5450" t="str">
        <f>"1551604004619898"</f>
        <v>1551604004619898</v>
      </c>
      <c r="C5450" t="s">
        <v>40</v>
      </c>
      <c r="D5450">
        <v>6.1587730000000001</v>
      </c>
      <c r="E5450">
        <v>0.51460410000000001</v>
      </c>
      <c r="F5450" t="s">
        <v>106</v>
      </c>
      <c r="G5450">
        <v>-225.77099999999999</v>
      </c>
      <c r="H5450" s="1">
        <v>-2.4001370000000001E-6</v>
      </c>
      <c r="I5450">
        <v>-64.009860000000003</v>
      </c>
      <c r="J5450">
        <v>-247.3109</v>
      </c>
      <c r="K5450">
        <v>1.1201650000000001</v>
      </c>
      <c r="L5450">
        <v>-62.859560000000002</v>
      </c>
      <c r="M5450">
        <v>0.99937200000000004</v>
      </c>
      <c r="N5450">
        <v>-9.7026739999999997E-3</v>
      </c>
      <c r="O5450">
        <v>-3.4083769999999999E-2</v>
      </c>
      <c r="P5450">
        <v>0.97830969999999995</v>
      </c>
      <c r="Q5450">
        <v>0.2049916</v>
      </c>
      <c r="R5450">
        <v>-2.9815709999999999E-2</v>
      </c>
      <c r="S5450">
        <v>3.095078</v>
      </c>
      <c r="T5450">
        <v>-0.15966140000000001</v>
      </c>
      <c r="U5450">
        <v>-0.16482539999999901</v>
      </c>
      <c r="V5450">
        <v>-3.2874810000000001E-3</v>
      </c>
      <c r="W5450">
        <v>0.21448300000000001</v>
      </c>
      <c r="X5450">
        <v>0.97672219999999998</v>
      </c>
      <c r="Y5450">
        <v>1.911032E-2</v>
      </c>
      <c r="Z5450">
        <v>8.3966149999999996E-4</v>
      </c>
      <c r="AA5450">
        <v>0.99981699999999996</v>
      </c>
      <c r="AB5450">
        <v>36</v>
      </c>
      <c r="AC5450">
        <v>21.539899999999999</v>
      </c>
      <c r="AD5450">
        <v>-1.1201674001369999</v>
      </c>
      <c r="AE5450">
        <v>-1.1503000000000001</v>
      </c>
      <c r="AF5450">
        <v>0.41431880301432</v>
      </c>
      <c r="AG5450">
        <v>-1.1201674001369999</v>
      </c>
      <c r="AH5450">
        <v>21.508588682407598</v>
      </c>
      <c r="AI5450">
        <v>92.980719054748704</v>
      </c>
      <c r="AJ5450">
        <v>88.896450919317203</v>
      </c>
      <c r="AK5450">
        <v>21.541722823020802</v>
      </c>
      <c r="AL5450">
        <v>77.614802303068302</v>
      </c>
      <c r="AM5450">
        <v>90.192847132214695</v>
      </c>
      <c r="AN5450">
        <v>1.00000001039658</v>
      </c>
    </row>
    <row r="5451" spans="1:40" x14ac:dyDescent="0.25">
      <c r="A5451" t="str">
        <f>"20190303170644644"</f>
        <v>20190303170644644</v>
      </c>
      <c r="B5451" t="str">
        <f>"1551604004630635"</f>
        <v>1551604004630635</v>
      </c>
      <c r="C5451" t="s">
        <v>40</v>
      </c>
      <c r="D5451">
        <v>6.0999759999999998</v>
      </c>
      <c r="E5451">
        <v>0.51497380000000004</v>
      </c>
      <c r="F5451" t="s">
        <v>106</v>
      </c>
      <c r="G5451">
        <v>-225.5222</v>
      </c>
      <c r="H5451" s="1">
        <v>-2.296226E-6</v>
      </c>
      <c r="I5451">
        <v>-64.022580000000005</v>
      </c>
      <c r="J5451">
        <v>-247.12360000000001</v>
      </c>
      <c r="K5451">
        <v>1.120198</v>
      </c>
      <c r="L5451">
        <v>-62.86609</v>
      </c>
      <c r="M5451">
        <v>0.99936599999999998</v>
      </c>
      <c r="N5451">
        <v>-9.7008210000000001E-3</v>
      </c>
      <c r="O5451">
        <v>-3.4255319999999999E-2</v>
      </c>
      <c r="P5451">
        <v>0.97848369999999996</v>
      </c>
      <c r="Q5451">
        <v>0.20431289999999999</v>
      </c>
      <c r="R5451">
        <v>-2.8740390000000001E-2</v>
      </c>
      <c r="S5451">
        <v>3.0947879999999999</v>
      </c>
      <c r="T5451">
        <v>-0.15910479999999999</v>
      </c>
      <c r="U5451">
        <v>-0.1651917</v>
      </c>
      <c r="V5451">
        <v>-4.5545129999999996E-3</v>
      </c>
      <c r="W5451">
        <v>0.21380440000000001</v>
      </c>
      <c r="X5451">
        <v>0.97686589999999995</v>
      </c>
      <c r="Y5451">
        <v>1.90618E-2</v>
      </c>
      <c r="Z5451">
        <v>8.440756E-4</v>
      </c>
      <c r="AA5451">
        <v>0.99981799999999998</v>
      </c>
      <c r="AB5451">
        <v>36</v>
      </c>
      <c r="AC5451">
        <v>21.601400000000002</v>
      </c>
      <c r="AD5451">
        <v>-1.120200296226</v>
      </c>
      <c r="AE5451">
        <v>-1.15649</v>
      </c>
      <c r="AF5451">
        <v>0.41470145596160601</v>
      </c>
      <c r="AG5451">
        <v>-1.120200296226</v>
      </c>
      <c r="AH5451">
        <v>21.5704968693334</v>
      </c>
      <c r="AI5451">
        <v>92.972268903592706</v>
      </c>
      <c r="AJ5451">
        <v>88.8986013377842</v>
      </c>
      <c r="AK5451">
        <v>21.6035451070227</v>
      </c>
      <c r="AL5451">
        <v>77.654606786087498</v>
      </c>
      <c r="AM5451">
        <v>90.2671323482692</v>
      </c>
      <c r="AN5451">
        <v>1.00000002581541</v>
      </c>
    </row>
    <row r="5452" spans="1:40" x14ac:dyDescent="0.25">
      <c r="A5452" t="str">
        <f>"20190303170644655"</f>
        <v>20190303170644655</v>
      </c>
      <c r="B5452" t="str">
        <f>"1551604004640394"</f>
        <v>1551604004640394</v>
      </c>
      <c r="C5452" t="s">
        <v>40</v>
      </c>
      <c r="D5452">
        <v>6.0883839999999996</v>
      </c>
      <c r="E5452">
        <v>0.51527290000000003</v>
      </c>
      <c r="F5452" t="s">
        <v>106</v>
      </c>
      <c r="G5452">
        <v>-225.44159999999999</v>
      </c>
      <c r="H5452" s="1">
        <v>-2.2615540000000001E-6</v>
      </c>
      <c r="I5452">
        <v>-64.022239999999996</v>
      </c>
      <c r="J5452">
        <v>-246.941</v>
      </c>
      <c r="K5452">
        <v>1.1202270000000001</v>
      </c>
      <c r="L5452">
        <v>-62.872500000000002</v>
      </c>
      <c r="M5452">
        <v>0.99936130000000001</v>
      </c>
      <c r="N5452">
        <v>-9.6994009999999999E-3</v>
      </c>
      <c r="O5452">
        <v>-3.4396160000000002E-2</v>
      </c>
      <c r="P5452">
        <v>0.97858029999999996</v>
      </c>
      <c r="Q5452">
        <v>0.20400599999999999</v>
      </c>
      <c r="R5452">
        <v>-2.7611340000000002E-2</v>
      </c>
      <c r="S5452">
        <v>3.0944980000000002</v>
      </c>
      <c r="T5452">
        <v>-0.1598773</v>
      </c>
      <c r="U5452">
        <v>-0.1650085</v>
      </c>
      <c r="V5452">
        <v>-5.8405330000000002E-3</v>
      </c>
      <c r="W5452">
        <v>0.21349789999999999</v>
      </c>
      <c r="X5452">
        <v>0.97692610000000002</v>
      </c>
      <c r="Y5452">
        <v>1.8867419999999999E-2</v>
      </c>
      <c r="Z5452">
        <v>8.6226450000000002E-4</v>
      </c>
      <c r="AA5452">
        <v>0.99982159999999998</v>
      </c>
      <c r="AB5452">
        <v>36</v>
      </c>
      <c r="AC5452">
        <v>21.499399999999898</v>
      </c>
      <c r="AD5452">
        <v>-1.1202292615539999</v>
      </c>
      <c r="AE5452">
        <v>-1.14973999999999</v>
      </c>
      <c r="AF5452">
        <v>0.40842240325200602</v>
      </c>
      <c r="AG5452">
        <v>-1.1202292615539999</v>
      </c>
      <c r="AH5452">
        <v>21.468107080637601</v>
      </c>
      <c r="AI5452">
        <v>92.986507738778698</v>
      </c>
      <c r="AJ5452">
        <v>88.910101515510803</v>
      </c>
      <c r="AK5452">
        <v>21.5011940153016</v>
      </c>
      <c r="AL5452">
        <v>77.672583127789693</v>
      </c>
      <c r="AM5452">
        <v>90.342537582107596</v>
      </c>
      <c r="AN5452">
        <v>1.0000000349956699</v>
      </c>
    </row>
    <row r="5453" spans="1:40" x14ac:dyDescent="0.25">
      <c r="A5453" t="str">
        <f>"20190303170644667"</f>
        <v>20190303170644667</v>
      </c>
      <c r="B5453" t="str">
        <f>"1551604004660421"</f>
        <v>1551604004660421</v>
      </c>
      <c r="C5453" t="s">
        <v>40</v>
      </c>
      <c r="D5453">
        <v>6.1543349999999997</v>
      </c>
      <c r="E5453">
        <v>0.51546479999999995</v>
      </c>
      <c r="F5453" t="s">
        <v>106</v>
      </c>
      <c r="G5453">
        <v>-225.4941</v>
      </c>
      <c r="H5453" s="1">
        <v>-2.2809040000000002E-6</v>
      </c>
      <c r="I5453">
        <v>-64.007990000000007</v>
      </c>
      <c r="J5453">
        <v>-246.755</v>
      </c>
      <c r="K5453">
        <v>1.120261</v>
      </c>
      <c r="L5453">
        <v>-62.87903</v>
      </c>
      <c r="M5453">
        <v>0.99935669999999999</v>
      </c>
      <c r="N5453">
        <v>-9.6989050000000007E-3</v>
      </c>
      <c r="O5453">
        <v>-3.4532E-2</v>
      </c>
      <c r="P5453">
        <v>0.97858959999999995</v>
      </c>
      <c r="Q5453">
        <v>0.2040824</v>
      </c>
      <c r="R5453">
        <v>-2.6707660000000001E-2</v>
      </c>
      <c r="S5453">
        <v>3.094757</v>
      </c>
      <c r="T5453">
        <v>-0.16164770000000001</v>
      </c>
      <c r="U5453">
        <v>-0.16384889999999999</v>
      </c>
      <c r="V5453">
        <v>-6.8936650000000002E-3</v>
      </c>
      <c r="W5453">
        <v>0.21357380000000001</v>
      </c>
      <c r="X5453">
        <v>0.97690259999999995</v>
      </c>
      <c r="Y5453">
        <v>1.8354619999999999E-2</v>
      </c>
      <c r="Z5453">
        <v>8.9805539999999995E-4</v>
      </c>
      <c r="AA5453">
        <v>0.99983109999999997</v>
      </c>
      <c r="AB5453">
        <v>36</v>
      </c>
      <c r="AC5453">
        <v>21.2608999999999</v>
      </c>
      <c r="AD5453">
        <v>-1.1202632809039901</v>
      </c>
      <c r="AE5453">
        <v>-1.12895999999999</v>
      </c>
      <c r="AF5453">
        <v>0.39298281238016503</v>
      </c>
      <c r="AG5453">
        <v>-1.1202632809039901</v>
      </c>
      <c r="AH5453">
        <v>21.228433516536398</v>
      </c>
      <c r="AI5453">
        <v>93.020284510349896</v>
      </c>
      <c r="AJ5453">
        <v>88.939456131238899</v>
      </c>
      <c r="AK5453">
        <v>21.2616042403995</v>
      </c>
      <c r="AL5453">
        <v>77.668131147122295</v>
      </c>
      <c r="AM5453">
        <v>90.404309860487103</v>
      </c>
      <c r="AN5453">
        <v>0.99999999027516595</v>
      </c>
    </row>
    <row r="5454" spans="1:40" x14ac:dyDescent="0.25">
      <c r="A5454" t="str">
        <f>"20190303170644677"</f>
        <v>20190303170644677</v>
      </c>
      <c r="B5454" t="str">
        <f>"1551604004670181"</f>
        <v>1551604004670181</v>
      </c>
      <c r="C5454" t="s">
        <v>40</v>
      </c>
      <c r="D5454">
        <v>6.0906820000000002</v>
      </c>
      <c r="E5454">
        <v>0.51557529999999996</v>
      </c>
      <c r="F5454" t="s">
        <v>106</v>
      </c>
      <c r="G5454">
        <v>-225.2448</v>
      </c>
      <c r="H5454" s="1">
        <v>-2.1741850000000001E-6</v>
      </c>
      <c r="I5454">
        <v>-64.008930000000007</v>
      </c>
      <c r="J5454">
        <v>-246.5746</v>
      </c>
      <c r="K5454">
        <v>1.1202939999999999</v>
      </c>
      <c r="L5454">
        <v>-62.885379999999998</v>
      </c>
      <c r="M5454">
        <v>0.99935260000000004</v>
      </c>
      <c r="N5454">
        <v>-9.700541E-3</v>
      </c>
      <c r="O5454">
        <v>-3.464714E-2</v>
      </c>
      <c r="P5454">
        <v>0.97845919999999997</v>
      </c>
      <c r="Q5454">
        <v>0.2048114</v>
      </c>
      <c r="R5454">
        <v>-2.5887050000000002E-2</v>
      </c>
      <c r="S5454">
        <v>3.0948180000000001</v>
      </c>
      <c r="T5454">
        <v>-0.1611803</v>
      </c>
      <c r="U5454">
        <v>-0.16256709999999999</v>
      </c>
      <c r="V5454">
        <v>-7.8361390000000006E-3</v>
      </c>
      <c r="W5454">
        <v>0.2143033</v>
      </c>
      <c r="X5454">
        <v>0.97673580000000004</v>
      </c>
      <c r="Y5454">
        <v>1.782632E-2</v>
      </c>
      <c r="Z5454">
        <v>9.1532720000000003E-4</v>
      </c>
      <c r="AA5454">
        <v>0.99984070000000003</v>
      </c>
      <c r="AB5454">
        <v>36</v>
      </c>
      <c r="AC5454">
        <v>21.329799999999999</v>
      </c>
      <c r="AD5454">
        <v>-1.1202961741849999</v>
      </c>
      <c r="AE5454">
        <v>-1.12355</v>
      </c>
      <c r="AF5454">
        <v>0.382771079915598</v>
      </c>
      <c r="AG5454">
        <v>-1.1202961741849999</v>
      </c>
      <c r="AH5454">
        <v>21.297333449060499</v>
      </c>
      <c r="AI5454">
        <v>93.0106492511525</v>
      </c>
      <c r="AJ5454">
        <v>88.970349667677695</v>
      </c>
      <c r="AK5454">
        <v>21.330213061711</v>
      </c>
      <c r="AL5454">
        <v>77.625344165340707</v>
      </c>
      <c r="AM5454">
        <v>90.4596617221641</v>
      </c>
      <c r="AN5454">
        <v>1.00000006623347</v>
      </c>
    </row>
    <row r="5455" spans="1:40" x14ac:dyDescent="0.25">
      <c r="A5455" t="str">
        <f>"20190303170644688"</f>
        <v>20190303170644688</v>
      </c>
      <c r="B5455" t="str">
        <f>"1551604004679941"</f>
        <v>1551604004679941</v>
      </c>
      <c r="C5455" t="s">
        <v>40</v>
      </c>
      <c r="D5455">
        <v>6.1304980000000002</v>
      </c>
      <c r="E5455">
        <v>0.51578579999999996</v>
      </c>
      <c r="F5455" t="s">
        <v>106</v>
      </c>
      <c r="G5455">
        <v>-224.82810000000001</v>
      </c>
      <c r="H5455" s="1">
        <v>-1.9969170000000001E-6</v>
      </c>
      <c r="I5455">
        <v>-64.015769999999904</v>
      </c>
      <c r="J5455">
        <v>-246.40029999999999</v>
      </c>
      <c r="K5455">
        <v>1.1203270000000001</v>
      </c>
      <c r="L5455">
        <v>-62.891509999999997</v>
      </c>
      <c r="M5455">
        <v>0.99934909999999999</v>
      </c>
      <c r="N5455">
        <v>-9.7029420000000009E-3</v>
      </c>
      <c r="O5455">
        <v>-3.4747889999999997E-2</v>
      </c>
      <c r="P5455">
        <v>0.97833029999999999</v>
      </c>
      <c r="Q5455">
        <v>0.2054668</v>
      </c>
      <c r="R5455">
        <v>-2.5558049999999999E-2</v>
      </c>
      <c r="S5455">
        <v>3.0951689999999998</v>
      </c>
      <c r="T5455">
        <v>-0.159450799999999</v>
      </c>
      <c r="U5455">
        <v>-0.1608887</v>
      </c>
      <c r="V5455">
        <v>-8.2722479999999994E-3</v>
      </c>
      <c r="W5455">
        <v>0.21495990000000001</v>
      </c>
      <c r="X5455">
        <v>0.97658780000000001</v>
      </c>
      <c r="Y5455">
        <v>1.7179699999999999E-2</v>
      </c>
      <c r="Z5455">
        <v>9.2473169999999995E-4</v>
      </c>
      <c r="AA5455">
        <v>0.99985199999999996</v>
      </c>
      <c r="AB5455">
        <v>36</v>
      </c>
      <c r="AC5455">
        <v>21.572199999999899</v>
      </c>
      <c r="AD5455">
        <v>-1.1203289969170001</v>
      </c>
      <c r="AE5455">
        <v>-1.12425999999999</v>
      </c>
      <c r="AF5455">
        <v>0.37295417344999898</v>
      </c>
      <c r="AG5455">
        <v>-1.1203289969170001</v>
      </c>
      <c r="AH5455">
        <v>21.540299360733599</v>
      </c>
      <c r="AI5455">
        <v>92.976873329863906</v>
      </c>
      <c r="AJ5455">
        <v>89.008065543101793</v>
      </c>
      <c r="AK5455">
        <v>21.572638420620901</v>
      </c>
      <c r="AL5455">
        <v>77.586824756812007</v>
      </c>
      <c r="AM5455">
        <v>90.485315874563696</v>
      </c>
      <c r="AN5455">
        <v>0.99999995990191004</v>
      </c>
    </row>
    <row r="5456" spans="1:40" x14ac:dyDescent="0.25">
      <c r="A5456" t="str">
        <f>"20190303170644698"</f>
        <v>20190303170644698</v>
      </c>
      <c r="B5456" t="str">
        <f>"1551604004690677"</f>
        <v>1551604004690677</v>
      </c>
      <c r="C5456" t="s">
        <v>40</v>
      </c>
      <c r="D5456">
        <v>6.1334519999999904</v>
      </c>
      <c r="E5456">
        <v>0.5159627</v>
      </c>
      <c r="F5456" t="s">
        <v>106</v>
      </c>
      <c r="G5456">
        <v>-224.40049999999999</v>
      </c>
      <c r="H5456" s="1">
        <v>-1.8192709999999999E-6</v>
      </c>
      <c r="I5456">
        <v>-64.041740000000004</v>
      </c>
      <c r="J5456">
        <v>-246.22710000000001</v>
      </c>
      <c r="K5456">
        <v>1.120355</v>
      </c>
      <c r="L5456">
        <v>-62.89761</v>
      </c>
      <c r="M5456">
        <v>0.99934590000000001</v>
      </c>
      <c r="N5456">
        <v>-9.7061290000000008E-3</v>
      </c>
      <c r="O5456">
        <v>-3.4837819999999999E-2</v>
      </c>
      <c r="P5456">
        <v>0.97824869999999997</v>
      </c>
      <c r="Q5456">
        <v>0.20589440000000001</v>
      </c>
      <c r="R5456">
        <v>-2.5239310000000001E-2</v>
      </c>
      <c r="S5456">
        <v>3.0953219999999999</v>
      </c>
      <c r="T5456">
        <v>-0.15762760000000001</v>
      </c>
      <c r="U5456">
        <v>-0.1618347</v>
      </c>
      <c r="V5456">
        <v>-8.6891169999999997E-3</v>
      </c>
      <c r="W5456">
        <v>0.21538979999999999</v>
      </c>
      <c r="X5456">
        <v>0.97648950000000001</v>
      </c>
      <c r="Y5456">
        <v>1.7391400000000001E-2</v>
      </c>
      <c r="Z5456">
        <v>9.0643829999999996E-4</v>
      </c>
      <c r="AA5456">
        <v>0.99984839999999997</v>
      </c>
      <c r="AB5456">
        <v>36</v>
      </c>
      <c r="AC5456">
        <v>21.826599999999999</v>
      </c>
      <c r="AD5456">
        <v>-1.1203568192710001</v>
      </c>
      <c r="AE5456">
        <v>-1.1441300000000001</v>
      </c>
      <c r="AF5456">
        <v>0.38200475160175201</v>
      </c>
      <c r="AG5456">
        <v>-1.1203568192710001</v>
      </c>
      <c r="AH5456">
        <v>21.795940775303801</v>
      </c>
      <c r="AI5456">
        <v>92.942081801341402</v>
      </c>
      <c r="AJ5456">
        <v>88.995913065461707</v>
      </c>
      <c r="AK5456">
        <v>21.828059036782999</v>
      </c>
      <c r="AL5456">
        <v>77.561603053623401</v>
      </c>
      <c r="AM5456">
        <v>90.509822780978595</v>
      </c>
      <c r="AN5456">
        <v>1.0000000051542599</v>
      </c>
    </row>
    <row r="5457" spans="1:40" x14ac:dyDescent="0.25">
      <c r="A5457" t="str">
        <f>"20190303170644711"</f>
        <v>20190303170644711</v>
      </c>
      <c r="B5457" t="str">
        <f>"1551604004700437"</f>
        <v>1551604004700437</v>
      </c>
      <c r="C5457" t="s">
        <v>40</v>
      </c>
      <c r="D5457">
        <v>6.1288689999999999</v>
      </c>
      <c r="E5457">
        <v>0.51623560000000002</v>
      </c>
      <c r="F5457" t="s">
        <v>106</v>
      </c>
      <c r="G5457">
        <v>-224.00899999999999</v>
      </c>
      <c r="H5457" s="1">
        <v>-1.656034E-6</v>
      </c>
      <c r="I5457">
        <v>-64.062960000000004</v>
      </c>
      <c r="J5457">
        <v>-246.03749999999999</v>
      </c>
      <c r="K5457">
        <v>1.1203809999999901</v>
      </c>
      <c r="L5457">
        <v>-62.904330000000002</v>
      </c>
      <c r="M5457">
        <v>0.99934290000000003</v>
      </c>
      <c r="N5457">
        <v>-9.711562E-3</v>
      </c>
      <c r="O5457">
        <v>-3.4922389999999998E-2</v>
      </c>
      <c r="P5457">
        <v>0.97824359999999999</v>
      </c>
      <c r="Q5457">
        <v>0.20602529999999999</v>
      </c>
      <c r="R5457">
        <v>-2.4358970000000001E-2</v>
      </c>
      <c r="S5457">
        <v>3.095367</v>
      </c>
      <c r="T5457">
        <v>-0.15608529999999901</v>
      </c>
      <c r="U5457">
        <v>-0.16235350000000001</v>
      </c>
      <c r="V5457">
        <v>-9.6656980000000003E-3</v>
      </c>
      <c r="W5457">
        <v>0.2155253</v>
      </c>
      <c r="X5457">
        <v>0.97645040000000005</v>
      </c>
      <c r="Y5457">
        <v>1.7472850000000002E-2</v>
      </c>
      <c r="Z5457">
        <v>8.9417479999999905E-4</v>
      </c>
      <c r="AA5457">
        <v>0.99984689999999998</v>
      </c>
      <c r="AB5457">
        <v>36</v>
      </c>
      <c r="AC5457">
        <v>22.028499999999902</v>
      </c>
      <c r="AD5457">
        <v>-1.12038265603399</v>
      </c>
      <c r="AE5457">
        <v>-1.15863</v>
      </c>
      <c r="AF5457">
        <v>0.38759922286743398</v>
      </c>
      <c r="AG5457">
        <v>-1.12038265603399</v>
      </c>
      <c r="AH5457">
        <v>21.998776536370698</v>
      </c>
      <c r="AI5457">
        <v>92.915064236670403</v>
      </c>
      <c r="AJ5457">
        <v>88.990602864288505</v>
      </c>
      <c r="AK5457">
        <v>22.030698117642199</v>
      </c>
      <c r="AL5457">
        <v>77.553652457568006</v>
      </c>
      <c r="AM5457">
        <v>90.567141571235993</v>
      </c>
      <c r="AN5457">
        <v>0.99999998215903796</v>
      </c>
    </row>
    <row r="5458" spans="1:40" x14ac:dyDescent="0.25">
      <c r="A5458" t="str">
        <f>"20190303170644722"</f>
        <v>20190303170644722</v>
      </c>
      <c r="B5458" t="str">
        <f>"1551604004710197"</f>
        <v>1551604004710197</v>
      </c>
      <c r="C5458" t="s">
        <v>40</v>
      </c>
      <c r="D5458">
        <v>6.0985269999999998</v>
      </c>
      <c r="E5458">
        <v>0.51648179999999999</v>
      </c>
      <c r="F5458" t="s">
        <v>106</v>
      </c>
      <c r="G5458">
        <v>-223.77160000000001</v>
      </c>
      <c r="H5458" s="1">
        <v>-1.5565240000000001E-6</v>
      </c>
      <c r="I5458">
        <v>-64.073459999999997</v>
      </c>
      <c r="J5458">
        <v>-245.84639999999999</v>
      </c>
      <c r="K5458">
        <v>1.1204019999999999</v>
      </c>
      <c r="L5458">
        <v>-62.911070000000002</v>
      </c>
      <c r="M5458">
        <v>0.99934009999999995</v>
      </c>
      <c r="N5458">
        <v>-9.7180010000000004E-3</v>
      </c>
      <c r="O5458">
        <v>-3.5001129999999998E-2</v>
      </c>
      <c r="P5458">
        <v>0.97832859999999999</v>
      </c>
      <c r="Q5458">
        <v>0.2056624</v>
      </c>
      <c r="R5458">
        <v>-2.4011060000000001E-2</v>
      </c>
      <c r="S5458">
        <v>3.0954899999999999</v>
      </c>
      <c r="T5458">
        <v>-0.1557598</v>
      </c>
      <c r="U5458">
        <v>-0.1625366</v>
      </c>
      <c r="V5458">
        <v>-1.010698E-2</v>
      </c>
      <c r="W5458">
        <v>0.215169</v>
      </c>
      <c r="X5458">
        <v>0.97652450000000002</v>
      </c>
      <c r="Y5458">
        <v>1.7451020000000001E-2</v>
      </c>
      <c r="Z5458">
        <v>8.9493750000000001E-4</v>
      </c>
      <c r="AA5458">
        <v>0.99984729999999999</v>
      </c>
      <c r="AB5458">
        <v>36</v>
      </c>
      <c r="AC5458">
        <v>22.0747999999999</v>
      </c>
      <c r="AD5458">
        <v>-1.120403556524</v>
      </c>
      <c r="AE5458">
        <v>-1.16239</v>
      </c>
      <c r="AF5458">
        <v>0.38800158287903203</v>
      </c>
      <c r="AG5458">
        <v>-1.120403556524</v>
      </c>
      <c r="AH5458">
        <v>22.045326793057502</v>
      </c>
      <c r="AI5458">
        <v>92.908974597768093</v>
      </c>
      <c r="AJ5458">
        <v>88.991688427958294</v>
      </c>
      <c r="AK5458">
        <v>22.077189195422701</v>
      </c>
      <c r="AL5458">
        <v>77.574557327353801</v>
      </c>
      <c r="AM5458">
        <v>90.592987294626099</v>
      </c>
      <c r="AN5458">
        <v>0.99999997435298404</v>
      </c>
    </row>
    <row r="5459" spans="1:40" x14ac:dyDescent="0.25">
      <c r="A5459" t="str">
        <f>"20190303170644734"</f>
        <v>20190303170644734</v>
      </c>
      <c r="B5459" t="str">
        <f>"1551604004719957"</f>
        <v>1551604004719957</v>
      </c>
      <c r="C5459" t="s">
        <v>40</v>
      </c>
      <c r="D5459">
        <v>6.0749769999999996</v>
      </c>
      <c r="E5459">
        <v>0.51663490000000001</v>
      </c>
      <c r="F5459" t="s">
        <v>106</v>
      </c>
      <c r="G5459">
        <v>-223.73939999999999</v>
      </c>
      <c r="H5459" s="1">
        <v>-1.5452770000000001E-6</v>
      </c>
      <c r="I5459">
        <v>-64.084969999999998</v>
      </c>
      <c r="J5459">
        <v>-245.65289999999999</v>
      </c>
      <c r="K5459">
        <v>1.12042</v>
      </c>
      <c r="L5459">
        <v>-62.917940000000002</v>
      </c>
      <c r="M5459">
        <v>0.99933780000000005</v>
      </c>
      <c r="N5459">
        <v>-9.7285960000000008E-3</v>
      </c>
      <c r="O5459">
        <v>-3.5063339999999998E-2</v>
      </c>
      <c r="P5459">
        <v>0.97850550000000003</v>
      </c>
      <c r="Q5459">
        <v>0.2048963</v>
      </c>
      <c r="R5459">
        <v>-2.33457E-2</v>
      </c>
      <c r="S5459">
        <v>3.0953979999999999</v>
      </c>
      <c r="T5459">
        <v>-0.15687779999999901</v>
      </c>
      <c r="U5459">
        <v>-0.16436770000000001</v>
      </c>
      <c r="V5459">
        <v>-1.0851980000000001E-2</v>
      </c>
      <c r="W5459">
        <v>0.2144151</v>
      </c>
      <c r="X5459">
        <v>0.97668239999999995</v>
      </c>
      <c r="Y5459">
        <v>1.7979510000000001E-2</v>
      </c>
      <c r="Z5459">
        <v>8.9054550000000003E-4</v>
      </c>
      <c r="AA5459">
        <v>0.99983789999999995</v>
      </c>
      <c r="AB5459">
        <v>36</v>
      </c>
      <c r="AC5459">
        <v>21.913499999999999</v>
      </c>
      <c r="AD5459">
        <v>-1.1204215452770001</v>
      </c>
      <c r="AE5459">
        <v>-1.16702999999999</v>
      </c>
      <c r="AF5459">
        <v>0.39688090515760099</v>
      </c>
      <c r="AG5459">
        <v>-1.1204215452770001</v>
      </c>
      <c r="AH5459">
        <v>21.8838986760064</v>
      </c>
      <c r="AI5459">
        <v>92.930414570858801</v>
      </c>
      <c r="AJ5459">
        <v>88.961011993150393</v>
      </c>
      <c r="AK5459">
        <v>21.916155688298002</v>
      </c>
      <c r="AL5459">
        <v>77.618785918964306</v>
      </c>
      <c r="AM5459">
        <v>90.636590838663196</v>
      </c>
      <c r="AN5459">
        <v>1.00000005552384</v>
      </c>
    </row>
    <row r="5460" spans="1:40" x14ac:dyDescent="0.25">
      <c r="A5460" t="str">
        <f>"20190303170644746"</f>
        <v>20190303170644746</v>
      </c>
      <c r="B5460" t="str">
        <f>"1551604004740453"</f>
        <v>1551604004740453</v>
      </c>
      <c r="C5460" t="s">
        <v>40</v>
      </c>
      <c r="D5460">
        <v>6.1041239999999997</v>
      </c>
      <c r="E5460">
        <v>0.51698230000000001</v>
      </c>
      <c r="F5460" t="s">
        <v>106</v>
      </c>
      <c r="G5460">
        <v>-223.9973</v>
      </c>
      <c r="H5460" s="1">
        <v>-1.6514890000000001E-6</v>
      </c>
      <c r="I5460">
        <v>-64.065039999999996</v>
      </c>
      <c r="J5460">
        <v>-245.4743</v>
      </c>
      <c r="K5460">
        <v>1.1204369999999999</v>
      </c>
      <c r="L5460">
        <v>-62.924259999999997</v>
      </c>
      <c r="M5460">
        <v>0.9993358</v>
      </c>
      <c r="N5460">
        <v>-9.7400660000000003E-3</v>
      </c>
      <c r="O5460">
        <v>-3.5117019999999999E-2</v>
      </c>
      <c r="P5460">
        <v>0.97873560000000004</v>
      </c>
      <c r="Q5460">
        <v>0.20385</v>
      </c>
      <c r="R5460">
        <v>-2.2842210000000002E-2</v>
      </c>
      <c r="S5460">
        <v>3.09552</v>
      </c>
      <c r="T5460">
        <v>-0.1601571</v>
      </c>
      <c r="U5460">
        <v>-0.163970899999999</v>
      </c>
      <c r="V5460">
        <v>-1.142746E-2</v>
      </c>
      <c r="W5460">
        <v>0.2133814</v>
      </c>
      <c r="X5460">
        <v>0.9769021</v>
      </c>
      <c r="Y5460">
        <v>1.7796719999999999E-2</v>
      </c>
      <c r="Z5460">
        <v>9.2539480000000001E-4</v>
      </c>
      <c r="AA5460">
        <v>0.99984119999999999</v>
      </c>
      <c r="AB5460">
        <v>36</v>
      </c>
      <c r="AC5460">
        <v>21.477</v>
      </c>
      <c r="AD5460">
        <v>-1.1204386514889999</v>
      </c>
      <c r="AE5460">
        <v>-1.1407799999999899</v>
      </c>
      <c r="AF5460">
        <v>0.38478803141048601</v>
      </c>
      <c r="AG5460">
        <v>-1.1204386514889999</v>
      </c>
      <c r="AH5460">
        <v>21.445611788779601</v>
      </c>
      <c r="AI5460">
        <v>92.990252223094302</v>
      </c>
      <c r="AJ5460">
        <v>88.972080394800102</v>
      </c>
      <c r="AK5460">
        <v>21.478307884838401</v>
      </c>
      <c r="AL5460">
        <v>77.679414602115699</v>
      </c>
      <c r="AM5460">
        <v>90.670195475038497</v>
      </c>
      <c r="AN5460">
        <v>0.99999996084621001</v>
      </c>
    </row>
    <row r="5461" spans="1:40" x14ac:dyDescent="0.25">
      <c r="A5461" t="str">
        <f>"20190303170644758"</f>
        <v>20190303170644758</v>
      </c>
      <c r="B5461" t="str">
        <f>"1551604004750212"</f>
        <v>1551604004750212</v>
      </c>
      <c r="C5461" t="s">
        <v>40</v>
      </c>
      <c r="D5461">
        <v>6.0978379999999897</v>
      </c>
      <c r="E5461">
        <v>0.51718589999999998</v>
      </c>
      <c r="F5461" t="s">
        <v>106</v>
      </c>
      <c r="G5461">
        <v>-224.09620000000001</v>
      </c>
      <c r="H5461" s="1">
        <v>-1.69452E-6</v>
      </c>
      <c r="I5461">
        <v>-64.067779999999999</v>
      </c>
      <c r="J5461">
        <v>-245.27289999999999</v>
      </c>
      <c r="K5461">
        <v>1.1204609999999999</v>
      </c>
      <c r="L5461">
        <v>-62.931429999999999</v>
      </c>
      <c r="M5461">
        <v>0.99933399999999994</v>
      </c>
      <c r="N5461">
        <v>-9.7586510000000001E-3</v>
      </c>
      <c r="O5461">
        <v>-3.516582E-2</v>
      </c>
      <c r="P5461">
        <v>0.97892020000000002</v>
      </c>
      <c r="Q5461">
        <v>0.20304059999999999</v>
      </c>
      <c r="R5461">
        <v>-2.214093E-2</v>
      </c>
      <c r="S5461">
        <v>3.095078</v>
      </c>
      <c r="T5461">
        <v>-0.1622151</v>
      </c>
      <c r="U5461">
        <v>-0.16555790000000001</v>
      </c>
      <c r="V5461">
        <v>-1.2194959999999999E-2</v>
      </c>
      <c r="W5461">
        <v>0.21259169999999999</v>
      </c>
      <c r="X5461">
        <v>0.97706499999999996</v>
      </c>
      <c r="Y5461">
        <v>1.8266190000000002E-2</v>
      </c>
      <c r="Z5461">
        <v>9.2962679999999997E-4</v>
      </c>
      <c r="AA5461">
        <v>0.99983270000000002</v>
      </c>
      <c r="AB5461">
        <v>36</v>
      </c>
      <c r="AC5461">
        <v>21.176699999999901</v>
      </c>
      <c r="AD5461">
        <v>-1.12046269452</v>
      </c>
      <c r="AE5461">
        <v>-1.13634999999999</v>
      </c>
      <c r="AF5461">
        <v>0.38982754088642002</v>
      </c>
      <c r="AG5461">
        <v>-1.12046269452</v>
      </c>
      <c r="AH5461">
        <v>21.1445394810222</v>
      </c>
      <c r="AI5461">
        <v>93.032788596072194</v>
      </c>
      <c r="AJ5461">
        <v>88.943796209287001</v>
      </c>
      <c r="AK5461">
        <v>21.177793842276099</v>
      </c>
      <c r="AL5461">
        <v>77.725723889562104</v>
      </c>
      <c r="AM5461">
        <v>90.7150839098272</v>
      </c>
      <c r="AN5461">
        <v>0.99999998109164501</v>
      </c>
    </row>
    <row r="5462" spans="1:40" x14ac:dyDescent="0.25">
      <c r="A5462" t="str">
        <f>"20190303170644772"</f>
        <v>20190303170644772</v>
      </c>
      <c r="B5462" t="str">
        <f>"1551604004760480"</f>
        <v>1551604004760480</v>
      </c>
      <c r="C5462" t="s">
        <v>40</v>
      </c>
      <c r="D5462">
        <v>6.0996489999999897</v>
      </c>
      <c r="E5462">
        <v>0.51739709999999905</v>
      </c>
      <c r="F5462" t="s">
        <v>106</v>
      </c>
      <c r="G5462">
        <v>-224.1489</v>
      </c>
      <c r="H5462" s="1">
        <v>-1.7149089999999999E-6</v>
      </c>
      <c r="I5462">
        <v>-64.057869999999994</v>
      </c>
      <c r="J5462">
        <v>-245.05600000000001</v>
      </c>
      <c r="K5462">
        <v>1.1204799999999999</v>
      </c>
      <c r="L5462">
        <v>-62.939120000000003</v>
      </c>
      <c r="M5462">
        <v>0.99933229999999995</v>
      </c>
      <c r="N5462">
        <v>-9.78038E-3</v>
      </c>
      <c r="O5462">
        <v>-3.5209280000000003E-2</v>
      </c>
      <c r="P5462">
        <v>0.97897869999999998</v>
      </c>
      <c r="Q5462">
        <v>0.2028239</v>
      </c>
      <c r="R5462">
        <v>-2.1532200000000001E-2</v>
      </c>
      <c r="S5462">
        <v>3.0949399999999998</v>
      </c>
      <c r="T5462">
        <v>-0.1641618</v>
      </c>
      <c r="U5462">
        <v>-0.16503909999999999</v>
      </c>
      <c r="V5462">
        <v>-1.2858949999999999E-2</v>
      </c>
      <c r="W5462">
        <v>0.21239649999999999</v>
      </c>
      <c r="X5462">
        <v>0.97709889999999999</v>
      </c>
      <c r="Y5462">
        <v>1.8058580000000001E-2</v>
      </c>
      <c r="Z5462">
        <v>9.534449E-4</v>
      </c>
      <c r="AA5462">
        <v>0.99983650000000002</v>
      </c>
      <c r="AB5462">
        <v>36</v>
      </c>
      <c r="AC5462">
        <v>20.9070999999999</v>
      </c>
      <c r="AD5462">
        <v>-1.1204817149089901</v>
      </c>
      <c r="AE5462">
        <v>-1.1187499999999899</v>
      </c>
      <c r="AF5462">
        <v>0.38080661493695001</v>
      </c>
      <c r="AG5462">
        <v>-1.1204817149089901</v>
      </c>
      <c r="AH5462">
        <v>20.873744416298798</v>
      </c>
      <c r="AI5462">
        <v>93.072120976875695</v>
      </c>
      <c r="AJ5462">
        <v>88.954850105259595</v>
      </c>
      <c r="AK5462">
        <v>20.907264261696</v>
      </c>
      <c r="AL5462">
        <v>77.7371689416686</v>
      </c>
      <c r="AM5462">
        <v>90.753988192941605</v>
      </c>
      <c r="AN5462">
        <v>0.99999994309427898</v>
      </c>
    </row>
    <row r="5463" spans="1:40" x14ac:dyDescent="0.25">
      <c r="A5463" t="str">
        <f>"20190303170644783"</f>
        <v>20190303170644783</v>
      </c>
      <c r="B5463" t="str">
        <f>"1551604004770239"</f>
        <v>1551604004770239</v>
      </c>
      <c r="C5463" t="s">
        <v>40</v>
      </c>
      <c r="D5463">
        <v>6.3530309999999997</v>
      </c>
      <c r="E5463">
        <v>0.51739709999999905</v>
      </c>
      <c r="F5463" t="s">
        <v>106</v>
      </c>
      <c r="G5463">
        <v>-224.0025</v>
      </c>
      <c r="H5463" s="1">
        <v>-1.6531450000000001E-6</v>
      </c>
      <c r="I5463">
        <v>-64.062439999999995</v>
      </c>
      <c r="J5463">
        <v>-244.86060000000001</v>
      </c>
      <c r="K5463">
        <v>1.1205020000000001</v>
      </c>
      <c r="L5463">
        <v>-62.946010000000001</v>
      </c>
      <c r="M5463">
        <v>0.99933079999999996</v>
      </c>
      <c r="N5463">
        <v>-9.8010500000000004E-3</v>
      </c>
      <c r="O5463">
        <v>-3.5243240000000002E-2</v>
      </c>
      <c r="P5463">
        <v>0.97900940000000003</v>
      </c>
      <c r="Q5463">
        <v>0.20277139999999999</v>
      </c>
      <c r="R5463">
        <v>-2.0600899999999998E-2</v>
      </c>
      <c r="S5463">
        <v>3.09491</v>
      </c>
      <c r="T5463">
        <v>-0.16471350000000001</v>
      </c>
      <c r="U5463">
        <v>-0.16513059999999999</v>
      </c>
      <c r="V5463">
        <v>-1.383421E-2</v>
      </c>
      <c r="W5463">
        <v>0.21236340000000001</v>
      </c>
      <c r="X5463">
        <v>0.97709279999999998</v>
      </c>
      <c r="Y5463">
        <v>1.805468E-2</v>
      </c>
      <c r="Z5463">
        <v>9.5878830000000002E-4</v>
      </c>
      <c r="AA5463">
        <v>0.99983659999999996</v>
      </c>
      <c r="AB5463">
        <v>36</v>
      </c>
      <c r="AC5463">
        <v>20.8581</v>
      </c>
      <c r="AD5463">
        <v>-1.1205036531449999</v>
      </c>
      <c r="AE5463">
        <v>-1.11643</v>
      </c>
      <c r="AF5463">
        <v>0.37950203867770899</v>
      </c>
      <c r="AG5463">
        <v>-1.1205036531449999</v>
      </c>
      <c r="AH5463">
        <v>20.824564107729898</v>
      </c>
      <c r="AI5463">
        <v>93.079423572631796</v>
      </c>
      <c r="AJ5463">
        <v>88.955970534970206</v>
      </c>
      <c r="AK5463">
        <v>20.858140389570401</v>
      </c>
      <c r="AL5463">
        <v>77.73911003421</v>
      </c>
      <c r="AM5463">
        <v>90.8111705324159</v>
      </c>
      <c r="AN5463">
        <v>0.99999996941886105</v>
      </c>
    </row>
    <row r="5464" spans="1:40" x14ac:dyDescent="0.25">
      <c r="A5464" t="str">
        <f>"20190303170644794"</f>
        <v>20190303170644794</v>
      </c>
      <c r="B5464" t="str">
        <f>"1551604004780001"</f>
        <v>1551604004780001</v>
      </c>
      <c r="C5464" t="s">
        <v>40</v>
      </c>
      <c r="D5464">
        <v>6.1596919999999997</v>
      </c>
      <c r="E5464">
        <v>0.48260560000000002</v>
      </c>
      <c r="F5464" t="s">
        <v>106</v>
      </c>
      <c r="G5464">
        <v>-223.82849999999999</v>
      </c>
      <c r="H5464" s="1">
        <v>-1.5753120000000001E-6</v>
      </c>
      <c r="I5464">
        <v>-64.048230000000004</v>
      </c>
      <c r="J5464">
        <v>-244.6859</v>
      </c>
      <c r="K5464">
        <v>1.12052</v>
      </c>
      <c r="L5464">
        <v>-62.952210000000001</v>
      </c>
      <c r="M5464">
        <v>0.99932980000000005</v>
      </c>
      <c r="N5464">
        <v>-9.8238140000000002E-3</v>
      </c>
      <c r="O5464">
        <v>-3.5264740000000003E-2</v>
      </c>
      <c r="P5464">
        <v>0.97908899999999999</v>
      </c>
      <c r="Q5464">
        <v>0.20246159999999999</v>
      </c>
      <c r="R5464">
        <v>-1.985605E-2</v>
      </c>
      <c r="S5464">
        <v>3.095062</v>
      </c>
      <c r="T5464">
        <v>-0.1648916</v>
      </c>
      <c r="U5464">
        <v>-0.16220090000000001</v>
      </c>
      <c r="V5464">
        <v>-1.4610420000000001E-2</v>
      </c>
      <c r="W5464">
        <v>0.2120764</v>
      </c>
      <c r="X5464">
        <v>0.97714389999999995</v>
      </c>
      <c r="Y5464">
        <v>1.708838E-2</v>
      </c>
      <c r="Z5464">
        <v>9.9064389999999991E-4</v>
      </c>
      <c r="AA5464">
        <v>0.99985349999999995</v>
      </c>
      <c r="AB5464">
        <v>36</v>
      </c>
      <c r="AC5464">
        <v>20.857399999999998</v>
      </c>
      <c r="AD5464">
        <v>-1.1205215753119999</v>
      </c>
      <c r="AE5464">
        <v>-1.09602</v>
      </c>
      <c r="AF5464">
        <v>0.35873946391910499</v>
      </c>
      <c r="AG5464">
        <v>-1.1205215753119999</v>
      </c>
      <c r="AH5464">
        <v>20.823144894847399</v>
      </c>
      <c r="AI5464">
        <v>93.079736453712499</v>
      </c>
      <c r="AJ5464">
        <v>89.013010561866906</v>
      </c>
      <c r="AK5464">
        <v>20.856356966534701</v>
      </c>
      <c r="AL5464">
        <v>77.755937999159997</v>
      </c>
      <c r="AM5464">
        <v>90.856632300926904</v>
      </c>
      <c r="AN5464">
        <v>1.00000003255837</v>
      </c>
    </row>
    <row r="5465" spans="1:40" x14ac:dyDescent="0.25">
      <c r="A5465" t="str">
        <f>"20190303170644805"</f>
        <v>20190303170644805</v>
      </c>
      <c r="B5465" t="str">
        <f>"1551604004800496"</f>
        <v>1551604004800496</v>
      </c>
      <c r="C5465" t="s">
        <v>40</v>
      </c>
      <c r="D5465">
        <v>5.9851929999999998</v>
      </c>
      <c r="E5465">
        <v>0.43437239999999999</v>
      </c>
      <c r="F5465" t="s">
        <v>106</v>
      </c>
      <c r="G5465">
        <v>-226.16059999999999</v>
      </c>
      <c r="H5465" s="1">
        <v>-2.1743699999999999E-6</v>
      </c>
      <c r="I5465">
        <v>-62.242919999999998</v>
      </c>
      <c r="J5465">
        <v>-244.5188</v>
      </c>
      <c r="K5465">
        <v>1.1205400000000001</v>
      </c>
      <c r="L5465">
        <v>-62.958129999999997</v>
      </c>
      <c r="M5465">
        <v>0.99932889999999996</v>
      </c>
      <c r="N5465">
        <v>-9.8461899999999995E-3</v>
      </c>
      <c r="O5465">
        <v>-3.5284469999999998E-2</v>
      </c>
      <c r="P5465">
        <v>0.9790856</v>
      </c>
      <c r="Q5465">
        <v>0.2025518</v>
      </c>
      <c r="R5465">
        <v>-1.9089410000000001E-2</v>
      </c>
      <c r="S5465">
        <v>3.1053470000000001</v>
      </c>
      <c r="T5465">
        <v>-0.18783040000000001</v>
      </c>
      <c r="U5465">
        <v>0.1188965</v>
      </c>
      <c r="V5465">
        <v>-1.5402600000000001E-2</v>
      </c>
      <c r="W5465">
        <v>0.21218780000000001</v>
      </c>
      <c r="X5465">
        <v>0.97710750000000002</v>
      </c>
      <c r="Y5465">
        <v>-7.3295369999999999E-2</v>
      </c>
      <c r="Z5465">
        <v>4.3597000000000002E-3</v>
      </c>
      <c r="AA5465">
        <v>0.99730070000000004</v>
      </c>
      <c r="AB5465">
        <v>36</v>
      </c>
      <c r="AC5465">
        <v>18.3582</v>
      </c>
      <c r="AD5465">
        <v>-1.1205421743699999</v>
      </c>
      <c r="AE5465">
        <v>0.71521000000000601</v>
      </c>
      <c r="AF5465">
        <v>-1.3575054412075001</v>
      </c>
      <c r="AG5465">
        <v>-1.1205421743699999</v>
      </c>
      <c r="AH5465">
        <v>18.253627730945201</v>
      </c>
      <c r="AI5465">
        <v>93.503178901343205</v>
      </c>
      <c r="AJ5465">
        <v>94.253204603146003</v>
      </c>
      <c r="AK5465">
        <v>18.338303114720901</v>
      </c>
      <c r="AL5465">
        <v>77.749406004269105</v>
      </c>
      <c r="AM5465">
        <v>90.903105223889895</v>
      </c>
      <c r="AN5465">
        <v>0.99999998455592398</v>
      </c>
    </row>
    <row r="5466" spans="1:40" x14ac:dyDescent="0.25">
      <c r="A5466" t="str">
        <f>"20190303170644817"</f>
        <v>20190303170644817</v>
      </c>
      <c r="B5466" t="str">
        <f>"1551604004810256"</f>
        <v>1551604004810256</v>
      </c>
      <c r="C5466" t="s">
        <v>40</v>
      </c>
      <c r="D5466">
        <v>6.1324990000000001</v>
      </c>
      <c r="E5466">
        <v>0.42522539999999998</v>
      </c>
      <c r="F5466" t="s">
        <v>71</v>
      </c>
      <c r="G5466">
        <v>-189.8509</v>
      </c>
      <c r="H5466" s="1">
        <v>-1.0966139999999999E-5</v>
      </c>
      <c r="I5466">
        <v>-54.101140000000001</v>
      </c>
      <c r="J5466">
        <v>-244.31819999999999</v>
      </c>
      <c r="K5466">
        <v>1.1205579999999999</v>
      </c>
      <c r="L5466">
        <v>-62.965240000000001</v>
      </c>
      <c r="M5466">
        <v>0.99932810000000005</v>
      </c>
      <c r="N5466">
        <v>-9.8771339999999992E-3</v>
      </c>
      <c r="O5466">
        <v>-3.5301609999999997E-2</v>
      </c>
      <c r="P5466">
        <v>0.97908260000000003</v>
      </c>
      <c r="Q5466">
        <v>0.2025854</v>
      </c>
      <c r="R5466">
        <v>-1.888509E-2</v>
      </c>
      <c r="S5466">
        <v>3.0868989999999998</v>
      </c>
      <c r="T5466">
        <v>-6.3273430000000006E-2</v>
      </c>
      <c r="U5466">
        <v>0.50012209999999901</v>
      </c>
      <c r="V5466">
        <v>-1.5631140000000002E-2</v>
      </c>
      <c r="W5466">
        <v>0.2122511</v>
      </c>
      <c r="X5466">
        <v>0.97709009999999996</v>
      </c>
      <c r="Y5466">
        <v>-0.19461680000000001</v>
      </c>
      <c r="Z5466">
        <v>3.321985E-3</v>
      </c>
      <c r="AA5466">
        <v>0.98087369999999996</v>
      </c>
      <c r="AB5466">
        <v>36</v>
      </c>
      <c r="AC5466">
        <v>54.467300000000002</v>
      </c>
      <c r="AD5466">
        <v>-1.12056896614</v>
      </c>
      <c r="AE5466">
        <v>8.8641000000000005</v>
      </c>
      <c r="AF5466">
        <v>-10.777007522253699</v>
      </c>
      <c r="AG5466">
        <v>-1.12056896614</v>
      </c>
      <c r="AH5466">
        <v>54.098108560113403</v>
      </c>
      <c r="AI5466">
        <v>91.163773358958196</v>
      </c>
      <c r="AJ5466">
        <v>101.266528733502</v>
      </c>
      <c r="AK5466">
        <v>55.172501445234502</v>
      </c>
      <c r="AL5466">
        <v>77.745694372810206</v>
      </c>
      <c r="AM5466">
        <v>90.916519326944794</v>
      </c>
      <c r="AN5466">
        <v>0.99999996275345904</v>
      </c>
    </row>
    <row r="5467" spans="1:40" x14ac:dyDescent="0.25">
      <c r="A5467" t="str">
        <f>"20190303170644828"</f>
        <v>20190303170644828</v>
      </c>
      <c r="B5467" t="str">
        <f>"1551604004820016"</f>
        <v>1551604004820016</v>
      </c>
      <c r="C5467" t="s">
        <v>40</v>
      </c>
      <c r="D5467">
        <v>6.0688810000000002</v>
      </c>
      <c r="E5467">
        <v>0.41783179999999998</v>
      </c>
      <c r="F5467" t="s">
        <v>54</v>
      </c>
      <c r="G5467">
        <v>-157.3501</v>
      </c>
      <c r="H5467">
        <v>0.18179609999999999</v>
      </c>
      <c r="I5467">
        <v>-46.829050000000002</v>
      </c>
      <c r="J5467">
        <v>-244.1275</v>
      </c>
      <c r="K5467">
        <v>1.120576</v>
      </c>
      <c r="L5467">
        <v>-62.971980000000002</v>
      </c>
      <c r="M5467">
        <v>0.99932710000000002</v>
      </c>
      <c r="N5467">
        <v>-9.9080660000000001E-3</v>
      </c>
      <c r="O5467">
        <v>-3.5315190000000003E-2</v>
      </c>
      <c r="P5467">
        <v>0.97903510000000005</v>
      </c>
      <c r="Q5467">
        <v>0.20282259999999999</v>
      </c>
      <c r="R5467">
        <v>-1.8799219999999998E-2</v>
      </c>
      <c r="S5467">
        <v>3.082001</v>
      </c>
      <c r="T5467">
        <v>-3.3268810000000003E-2</v>
      </c>
      <c r="U5467">
        <v>0.57183839999999997</v>
      </c>
      <c r="V5467">
        <v>-1.5735039999999999E-2</v>
      </c>
      <c r="W5467">
        <v>0.2125176</v>
      </c>
      <c r="X5467">
        <v>0.97703050000000002</v>
      </c>
      <c r="Y5467">
        <v>-0.2170144</v>
      </c>
      <c r="Z5467">
        <v>2.2771250000000001E-3</v>
      </c>
      <c r="AA5467">
        <v>0.97616579999999997</v>
      </c>
      <c r="AB5467">
        <v>36</v>
      </c>
      <c r="AC5467">
        <v>86.7774</v>
      </c>
      <c r="AD5467">
        <v>-0.9387799</v>
      </c>
      <c r="AE5467">
        <v>16.14293</v>
      </c>
      <c r="AF5467">
        <v>-19.1953988836934</v>
      </c>
      <c r="AG5467">
        <v>-0.9387799</v>
      </c>
      <c r="AH5467">
        <v>86.143401866161099</v>
      </c>
      <c r="AI5467">
        <v>90.609431684714906</v>
      </c>
      <c r="AJ5467">
        <v>102.56202876566999</v>
      </c>
      <c r="AK5467">
        <v>88.261148480402497</v>
      </c>
      <c r="AL5467">
        <v>77.730068526935199</v>
      </c>
      <c r="AM5467">
        <v>90.922666640929293</v>
      </c>
      <c r="AN5467">
        <v>0.99999995986190504</v>
      </c>
    </row>
    <row r="5468" spans="1:40" x14ac:dyDescent="0.25">
      <c r="A5468" t="str">
        <f>"20190303170644839"</f>
        <v>20190303170644839</v>
      </c>
      <c r="B5468" t="str">
        <f>"1551604004830752"</f>
        <v>1551604004830752</v>
      </c>
      <c r="C5468" t="s">
        <v>40</v>
      </c>
      <c r="D5468">
        <v>6.1221880000000004</v>
      </c>
      <c r="E5468">
        <v>0.40931269999999997</v>
      </c>
      <c r="F5468" t="s">
        <v>54</v>
      </c>
      <c r="G5468">
        <v>-157.3501</v>
      </c>
      <c r="H5468">
        <v>0.61255360000000003</v>
      </c>
      <c r="I5468">
        <v>-45.213850000000001</v>
      </c>
      <c r="J5468">
        <v>-243.94669999999999</v>
      </c>
      <c r="K5468">
        <v>1.1205909999999999</v>
      </c>
      <c r="L5468">
        <v>-62.978389999999997</v>
      </c>
      <c r="M5468">
        <v>0.99932639999999995</v>
      </c>
      <c r="N5468">
        <v>-9.9389290000000009E-3</v>
      </c>
      <c r="O5468">
        <v>-3.5325830000000003E-2</v>
      </c>
      <c r="P5468">
        <v>0.9789641</v>
      </c>
      <c r="Q5468">
        <v>0.20316870000000001</v>
      </c>
      <c r="R5468">
        <v>-1.8764900000000001E-2</v>
      </c>
      <c r="S5468">
        <v>3.0800930000000002</v>
      </c>
      <c r="T5468">
        <v>-1.8032550000000001E-2</v>
      </c>
      <c r="U5468">
        <v>0.63031009999999998</v>
      </c>
      <c r="V5468">
        <v>-1.5782640000000001E-2</v>
      </c>
      <c r="W5468">
        <v>0.21289269999999999</v>
      </c>
      <c r="X5468">
        <v>0.97694809999999999</v>
      </c>
      <c r="Y5468">
        <v>-0.23495920000000001</v>
      </c>
      <c r="Z5468">
        <v>1.71798E-3</v>
      </c>
      <c r="AA5468">
        <v>0.97200370000000003</v>
      </c>
      <c r="AB5468">
        <v>36</v>
      </c>
      <c r="AC5468">
        <v>86.596599999999995</v>
      </c>
      <c r="AD5468">
        <v>-0.50803739999999897</v>
      </c>
      <c r="AE5468">
        <v>17.76454</v>
      </c>
      <c r="AF5468">
        <v>-20.812011694538601</v>
      </c>
      <c r="AG5468">
        <v>-0.50803739999999897</v>
      </c>
      <c r="AH5468">
        <v>85.9121295497402</v>
      </c>
      <c r="AI5468">
        <v>90.3292879905635</v>
      </c>
      <c r="AJ5468">
        <v>103.617438225481</v>
      </c>
      <c r="AK5468">
        <v>88.398483790983406</v>
      </c>
      <c r="AL5468">
        <v>77.708073953827295</v>
      </c>
      <c r="AM5468">
        <v>90.925535354467002</v>
      </c>
      <c r="AN5468">
        <v>0.99999999176613397</v>
      </c>
    </row>
    <row r="5469" spans="1:40" x14ac:dyDescent="0.25">
      <c r="A5469" t="str">
        <f>"20190303170644849"</f>
        <v>20190303170644849</v>
      </c>
      <c r="B5469" t="str">
        <f>"1551604004840512"</f>
        <v>1551604004840512</v>
      </c>
      <c r="C5469" t="s">
        <v>40</v>
      </c>
      <c r="D5469">
        <v>6.0359109999999996</v>
      </c>
      <c r="E5469">
        <v>0.40228710000000001</v>
      </c>
      <c r="F5469" t="s">
        <v>54</v>
      </c>
      <c r="G5469">
        <v>-157.3501</v>
      </c>
      <c r="H5469">
        <v>1.3467089999999999</v>
      </c>
      <c r="I5469">
        <v>-43.355620000000002</v>
      </c>
      <c r="J5469">
        <v>-243.78540000000001</v>
      </c>
      <c r="K5469">
        <v>1.120603</v>
      </c>
      <c r="L5469">
        <v>-62.98413</v>
      </c>
      <c r="M5469">
        <v>0.99932589999999999</v>
      </c>
      <c r="N5469">
        <v>-9.9678920000000008E-3</v>
      </c>
      <c r="O5469">
        <v>-3.5333379999999998E-2</v>
      </c>
      <c r="P5469">
        <v>0.97892040000000002</v>
      </c>
      <c r="Q5469">
        <v>0.2034079</v>
      </c>
      <c r="R5469">
        <v>-1.8451660000000002E-2</v>
      </c>
      <c r="S5469">
        <v>3.0761409999999998</v>
      </c>
      <c r="T5469">
        <v>8.0316069999999996E-3</v>
      </c>
      <c r="U5469">
        <v>0.697052</v>
      </c>
      <c r="V5469">
        <v>-1.6105439999999999E-2</v>
      </c>
      <c r="W5469">
        <v>0.21315919999999999</v>
      </c>
      <c r="X5469">
        <v>0.97688470000000005</v>
      </c>
      <c r="Y5469">
        <v>-0.25531979999999999</v>
      </c>
      <c r="Z5469">
        <v>5.2064240000000001E-4</v>
      </c>
      <c r="AA5469">
        <v>0.96685650000000001</v>
      </c>
      <c r="AB5469">
        <v>36</v>
      </c>
      <c r="AC5469">
        <v>86.435299999999998</v>
      </c>
      <c r="AD5469">
        <v>0.226105999999999</v>
      </c>
      <c r="AE5469">
        <v>19.628509999999999</v>
      </c>
      <c r="AF5469">
        <v>-22.670307789819098</v>
      </c>
      <c r="AG5469">
        <v>0.226105999999999</v>
      </c>
      <c r="AH5469">
        <v>85.687189175375096</v>
      </c>
      <c r="AI5469">
        <v>89.853840690551493</v>
      </c>
      <c r="AJ5469">
        <v>104.819234131549</v>
      </c>
      <c r="AK5469">
        <v>88.635705942835997</v>
      </c>
      <c r="AL5469">
        <v>77.692445681409097</v>
      </c>
      <c r="AM5469">
        <v>90.944523082177994</v>
      </c>
      <c r="AN5469">
        <v>0.99999997341816105</v>
      </c>
    </row>
    <row r="5470" spans="1:40" x14ac:dyDescent="0.25">
      <c r="A5470" t="str">
        <f>"20190303170644859"</f>
        <v>20190303170644859</v>
      </c>
      <c r="B5470" t="str">
        <f>"1551604004850271"</f>
        <v>1551604004850271</v>
      </c>
      <c r="C5470" t="s">
        <v>40</v>
      </c>
      <c r="D5470">
        <v>6.0316460000000003</v>
      </c>
      <c r="E5470">
        <v>0.40228710000000001</v>
      </c>
      <c r="F5470" t="s">
        <v>54</v>
      </c>
      <c r="G5470">
        <v>-157.3501</v>
      </c>
      <c r="H5470">
        <v>1.992361</v>
      </c>
      <c r="I5470">
        <v>-41.794159999999998</v>
      </c>
      <c r="J5470">
        <v>-243.61850000000001</v>
      </c>
      <c r="K5470">
        <v>1.120617</v>
      </c>
      <c r="L5470">
        <v>-62.990049999999997</v>
      </c>
      <c r="M5470">
        <v>0.99932549999999998</v>
      </c>
      <c r="N5470">
        <v>-9.9985739999999997E-3</v>
      </c>
      <c r="O5470">
        <v>-3.5340469999999999E-2</v>
      </c>
      <c r="P5470">
        <v>0.97893850000000004</v>
      </c>
      <c r="Q5470">
        <v>0.20336099999999999</v>
      </c>
      <c r="R5470">
        <v>-1.8005400000000001E-2</v>
      </c>
      <c r="S5470">
        <v>3.0723720000000001</v>
      </c>
      <c r="T5470">
        <v>3.098619E-2</v>
      </c>
      <c r="U5470">
        <v>0.75320430000000005</v>
      </c>
      <c r="V5470">
        <v>-1.656293E-2</v>
      </c>
      <c r="W5470">
        <v>0.213142</v>
      </c>
      <c r="X5470">
        <v>0.97688079999999999</v>
      </c>
      <c r="Y5470">
        <v>-0.27227390000000001</v>
      </c>
      <c r="Z5470">
        <v>-6.7126589999999997E-4</v>
      </c>
      <c r="AA5470">
        <v>0.96221950000000001</v>
      </c>
      <c r="AB5470">
        <v>36</v>
      </c>
      <c r="AC5470">
        <v>86.2684</v>
      </c>
      <c r="AD5470">
        <v>0.87174399999999996</v>
      </c>
      <c r="AE5470">
        <v>21.195889999999999</v>
      </c>
      <c r="AF5470">
        <v>-24.229232658873801</v>
      </c>
      <c r="AG5470">
        <v>0.87174399999999996</v>
      </c>
      <c r="AH5470">
        <v>85.457165998673901</v>
      </c>
      <c r="AI5470">
        <v>89.437710951930995</v>
      </c>
      <c r="AJ5470">
        <v>105.829352643145</v>
      </c>
      <c r="AK5470">
        <v>88.8298535029991</v>
      </c>
      <c r="AL5470">
        <v>77.693454307335202</v>
      </c>
      <c r="AM5470">
        <v>90.971351946248603</v>
      </c>
      <c r="AN5470">
        <v>0.99999997011141195</v>
      </c>
    </row>
    <row r="5471" spans="1:40" x14ac:dyDescent="0.25">
      <c r="A5471" t="str">
        <f>"20190303170644869"</f>
        <v>20190303170644869</v>
      </c>
      <c r="B5471" t="str">
        <f>"1551604004860318"</f>
        <v>1551604004860318</v>
      </c>
      <c r="C5471" t="s">
        <v>40</v>
      </c>
      <c r="D5471">
        <v>5.9427510000000003</v>
      </c>
      <c r="E5471">
        <v>0.35325269999999998</v>
      </c>
      <c r="F5471" t="s">
        <v>54</v>
      </c>
      <c r="G5471">
        <v>-157.3501</v>
      </c>
      <c r="H5471">
        <v>1.9861009999999999</v>
      </c>
      <c r="I5471">
        <v>-41.798180000000002</v>
      </c>
      <c r="J5471">
        <v>-243.46680000000001</v>
      </c>
      <c r="K5471">
        <v>1.1206290000000001</v>
      </c>
      <c r="L5471">
        <v>-62.995420000000003</v>
      </c>
      <c r="M5471">
        <v>0.99932500000000002</v>
      </c>
      <c r="N5471">
        <v>-1.0027700000000001E-2</v>
      </c>
      <c r="O5471">
        <v>-3.5345670000000003E-2</v>
      </c>
      <c r="P5471">
        <v>0.97902480000000003</v>
      </c>
      <c r="Q5471">
        <v>0.20300109999999999</v>
      </c>
      <c r="R5471">
        <v>-1.7353360000000002E-2</v>
      </c>
      <c r="S5471">
        <v>3.072006</v>
      </c>
      <c r="T5471">
        <v>3.0819059999999999E-2</v>
      </c>
      <c r="U5471">
        <v>0.7546387</v>
      </c>
      <c r="V5471">
        <v>-1.7225649999999999E-2</v>
      </c>
      <c r="W5471">
        <v>0.21281159999999999</v>
      </c>
      <c r="X5471">
        <v>0.97694139999999996</v>
      </c>
      <c r="Y5471">
        <v>-0.27272929999999901</v>
      </c>
      <c r="Z5471">
        <v>-6.5910470000000001E-4</v>
      </c>
      <c r="AA5471">
        <v>0.96209060000000002</v>
      </c>
      <c r="AB5471">
        <v>36</v>
      </c>
      <c r="AC5471">
        <v>86.116699999999994</v>
      </c>
      <c r="AD5471">
        <v>0.86547199999999902</v>
      </c>
      <c r="AE5471">
        <v>21.197239999999901</v>
      </c>
      <c r="AF5471">
        <v>-24.225691444119001</v>
      </c>
      <c r="AG5471">
        <v>0.86547199999999902</v>
      </c>
      <c r="AH5471">
        <v>85.305492243866397</v>
      </c>
      <c r="AI5471">
        <v>89.440831668015093</v>
      </c>
      <c r="AJ5471">
        <v>105.853882422669</v>
      </c>
      <c r="AK5471">
        <v>88.682919295074996</v>
      </c>
      <c r="AL5471">
        <v>77.712829717875195</v>
      </c>
      <c r="AM5471">
        <v>91.010147367416096</v>
      </c>
      <c r="AN5471">
        <v>0.99999999957322105</v>
      </c>
    </row>
    <row r="5472" spans="1:40" x14ac:dyDescent="0.25">
      <c r="A5472" t="str">
        <f>"20190303170644878"</f>
        <v>20190303170644878</v>
      </c>
      <c r="B5472" t="str">
        <f>"1551604004870078"</f>
        <v>1551604004870078</v>
      </c>
      <c r="C5472" t="s">
        <v>40</v>
      </c>
      <c r="D5472">
        <v>5.8535519999999996</v>
      </c>
      <c r="E5472">
        <v>0.35168969999999999</v>
      </c>
      <c r="F5472" t="s">
        <v>86</v>
      </c>
      <c r="G5472">
        <v>-138.36250000000001</v>
      </c>
      <c r="H5472">
        <v>7.0450290000000004</v>
      </c>
      <c r="I5472">
        <v>-23.660599999999999</v>
      </c>
      <c r="J5472">
        <v>-243.29769999999999</v>
      </c>
      <c r="K5472">
        <v>1.1206400000000001</v>
      </c>
      <c r="L5472">
        <v>-63.001399999999997</v>
      </c>
      <c r="M5472">
        <v>0.9993244</v>
      </c>
      <c r="N5472">
        <v>-1.006085E-2</v>
      </c>
      <c r="O5472">
        <v>-3.5351130000000001E-2</v>
      </c>
      <c r="P5472">
        <v>0.97905469999999895</v>
      </c>
      <c r="Q5472">
        <v>0.20293310000000001</v>
      </c>
      <c r="R5472">
        <v>-1.6444219999999999E-2</v>
      </c>
      <c r="S5472">
        <v>3.0488590000000002</v>
      </c>
      <c r="T5472">
        <v>0.17185449999999999</v>
      </c>
      <c r="U5472">
        <v>1.141022</v>
      </c>
      <c r="V5472">
        <v>-1.8143969999999999E-2</v>
      </c>
      <c r="W5472">
        <v>0.21277579999999999</v>
      </c>
      <c r="X5472">
        <v>0.97693260000000004</v>
      </c>
      <c r="Y5472">
        <v>-0.38289600000000001</v>
      </c>
      <c r="Z5472">
        <v>-1.071192E-2</v>
      </c>
      <c r="AA5472">
        <v>0.92372940000000003</v>
      </c>
      <c r="AB5472">
        <v>36</v>
      </c>
      <c r="AC5472">
        <v>104.935199999999</v>
      </c>
      <c r="AD5472">
        <v>5.9243889999999997</v>
      </c>
      <c r="AE5472">
        <v>39.340800000000002</v>
      </c>
      <c r="AF5472">
        <v>-42.906065190634898</v>
      </c>
      <c r="AG5472">
        <v>5.9243889999999997</v>
      </c>
      <c r="AH5472">
        <v>103.190409994595</v>
      </c>
      <c r="AI5472">
        <v>86.965461129179104</v>
      </c>
      <c r="AJ5472">
        <v>112.577301055532</v>
      </c>
      <c r="AK5472">
        <v>111.911972237196</v>
      </c>
      <c r="AL5472">
        <v>77.714929301104107</v>
      </c>
      <c r="AM5472">
        <v>91.063997046968197</v>
      </c>
      <c r="AN5472">
        <v>1.00000002482788</v>
      </c>
    </row>
    <row r="5473" spans="1:40" x14ac:dyDescent="0.25">
      <c r="A5473" t="str">
        <f>"20190303170644888"</f>
        <v>20190303170644888</v>
      </c>
      <c r="B5473" t="str">
        <f>"1551604004880813"</f>
        <v>1551604004880813</v>
      </c>
      <c r="C5473" t="s">
        <v>40</v>
      </c>
      <c r="D5473">
        <v>5.8354949999999999</v>
      </c>
      <c r="E5473">
        <v>0.35101729999999998</v>
      </c>
      <c r="F5473" t="s">
        <v>86</v>
      </c>
      <c r="G5473">
        <v>-139.61959999999999</v>
      </c>
      <c r="H5473">
        <v>7.2913819999999996</v>
      </c>
      <c r="I5473">
        <v>-23.660599999999999</v>
      </c>
      <c r="J5473">
        <v>-243.14850000000001</v>
      </c>
      <c r="K5473">
        <v>1.120649</v>
      </c>
      <c r="L5473">
        <v>-63.00665</v>
      </c>
      <c r="M5473">
        <v>0.99932390000000004</v>
      </c>
      <c r="N5473">
        <v>-1.009112E-2</v>
      </c>
      <c r="O5473">
        <v>-3.535551E-2</v>
      </c>
      <c r="P5473">
        <v>0.97900830000000005</v>
      </c>
      <c r="Q5473">
        <v>0.20320779999999999</v>
      </c>
      <c r="R5473">
        <v>-1.579301E-2</v>
      </c>
      <c r="S5473">
        <v>3.046036</v>
      </c>
      <c r="T5473">
        <v>0.1812947</v>
      </c>
      <c r="U5473">
        <v>1.155823</v>
      </c>
      <c r="V5473">
        <v>-1.879952E-2</v>
      </c>
      <c r="W5473">
        <v>0.21307909999999999</v>
      </c>
      <c r="X5473">
        <v>0.97685409999999995</v>
      </c>
      <c r="Y5473">
        <v>-0.38704129999999998</v>
      </c>
      <c r="Z5473">
        <v>-1.148101E-2</v>
      </c>
      <c r="AA5473">
        <v>0.92199089999999995</v>
      </c>
      <c r="AB5473">
        <v>36</v>
      </c>
      <c r="AC5473">
        <v>103.52889999999999</v>
      </c>
      <c r="AD5473">
        <v>6.1707330000000002</v>
      </c>
      <c r="AE5473">
        <v>39.346049999999998</v>
      </c>
      <c r="AF5473">
        <v>-42.848937224886903</v>
      </c>
      <c r="AG5473">
        <v>6.1707330000000002</v>
      </c>
      <c r="AH5473">
        <v>101.757115833073</v>
      </c>
      <c r="AI5473">
        <v>86.801132083674204</v>
      </c>
      <c r="AJ5473">
        <v>112.83548872409401</v>
      </c>
      <c r="AK5473">
        <v>110.58309088520301</v>
      </c>
      <c r="AL5473">
        <v>77.697143679763201</v>
      </c>
      <c r="AM5473">
        <v>91.102518998141704</v>
      </c>
      <c r="AN5473">
        <v>1.00000002874792</v>
      </c>
    </row>
    <row r="5474" spans="1:40" x14ac:dyDescent="0.25">
      <c r="A5474" t="str">
        <f>"20190303170644900"</f>
        <v>20190303170644900</v>
      </c>
      <c r="B5474" t="str">
        <f>"1551604004890573"</f>
        <v>1551604004890573</v>
      </c>
      <c r="C5474" t="s">
        <v>40</v>
      </c>
      <c r="D5474">
        <v>5.8744110000000003</v>
      </c>
      <c r="E5474">
        <v>0.35050710000000002</v>
      </c>
      <c r="F5474" t="s">
        <v>86</v>
      </c>
      <c r="G5474">
        <v>-140.15950000000001</v>
      </c>
      <c r="H5474">
        <v>7.4673100000000003</v>
      </c>
      <c r="I5474">
        <v>-23.660599999999999</v>
      </c>
      <c r="J5474">
        <v>-242.95320000000001</v>
      </c>
      <c r="K5474">
        <v>1.12066</v>
      </c>
      <c r="L5474">
        <v>-63.013579999999997</v>
      </c>
      <c r="M5474">
        <v>0.99932319999999997</v>
      </c>
      <c r="N5474">
        <v>-1.013156E-2</v>
      </c>
      <c r="O5474">
        <v>-3.5360900000000001E-2</v>
      </c>
      <c r="P5474">
        <v>0.97889300000000001</v>
      </c>
      <c r="Q5474">
        <v>0.2038025</v>
      </c>
      <c r="R5474">
        <v>-1.5274569999999999E-2</v>
      </c>
      <c r="S5474">
        <v>3.0441590000000001</v>
      </c>
      <c r="T5474">
        <v>0.18759509999999999</v>
      </c>
      <c r="U5474">
        <v>1.1629940000000001</v>
      </c>
      <c r="V5474">
        <v>-1.932128E-2</v>
      </c>
      <c r="W5474">
        <v>0.2137117</v>
      </c>
      <c r="X5474">
        <v>0.97670570000000001</v>
      </c>
      <c r="Y5474">
        <v>-0.38908520000000002</v>
      </c>
      <c r="Z5474">
        <v>-1.1982430000000001E-2</v>
      </c>
      <c r="AA5474">
        <v>0.9211239</v>
      </c>
      <c r="AB5474">
        <v>36</v>
      </c>
      <c r="AC5474">
        <v>102.7937</v>
      </c>
      <c r="AD5474">
        <v>6.3466500000000003</v>
      </c>
      <c r="AE5474">
        <v>39.352980000000002</v>
      </c>
      <c r="AF5474">
        <v>-42.8210617792626</v>
      </c>
      <c r="AG5474">
        <v>6.3466500000000003</v>
      </c>
      <c r="AH5474">
        <v>101.00197284474601</v>
      </c>
      <c r="AI5474">
        <v>86.688997046969902</v>
      </c>
      <c r="AJ5474">
        <v>112.975129479541</v>
      </c>
      <c r="AK5474">
        <v>109.887769185914</v>
      </c>
      <c r="AL5474">
        <v>77.660043617318195</v>
      </c>
      <c r="AM5474">
        <v>91.133282449249094</v>
      </c>
      <c r="AN5474">
        <v>1.0000000134950999</v>
      </c>
    </row>
    <row r="5475" spans="1:40" x14ac:dyDescent="0.25">
      <c r="A5475" t="str">
        <f>"20190303170644912"</f>
        <v>20190303170644912</v>
      </c>
      <c r="B5475" t="str">
        <f>"1551604004900333"</f>
        <v>1551604004900333</v>
      </c>
      <c r="C5475" t="s">
        <v>40</v>
      </c>
      <c r="D5475">
        <v>6.1263339999999999</v>
      </c>
      <c r="E5475">
        <v>0.35136859999999998</v>
      </c>
      <c r="F5475" t="s">
        <v>86</v>
      </c>
      <c r="G5475">
        <v>-140.4923</v>
      </c>
      <c r="H5475">
        <v>7.6522690000000004</v>
      </c>
      <c r="I5475">
        <v>-23.660599999999999</v>
      </c>
      <c r="J5475">
        <v>-242.77709999999999</v>
      </c>
      <c r="K5475">
        <v>1.120671</v>
      </c>
      <c r="L5475">
        <v>-63.01981</v>
      </c>
      <c r="M5475">
        <v>0.99932279999999996</v>
      </c>
      <c r="N5475">
        <v>-1.0167290000000001E-2</v>
      </c>
      <c r="O5475">
        <v>-3.536591E-2</v>
      </c>
      <c r="P5475">
        <v>0.97872879999999995</v>
      </c>
      <c r="Q5475">
        <v>0.2046154</v>
      </c>
      <c r="R5475">
        <v>-1.49293E-2</v>
      </c>
      <c r="S5475">
        <v>3.042557</v>
      </c>
      <c r="T5475">
        <v>0.19395470000000001</v>
      </c>
      <c r="U5475">
        <v>1.168579</v>
      </c>
      <c r="V5475">
        <v>-1.9667299999999999E-2</v>
      </c>
      <c r="W5475">
        <v>0.21455750000000001</v>
      </c>
      <c r="X5475">
        <v>0.97651330000000003</v>
      </c>
      <c r="Y5475">
        <v>-0.39067790000000002</v>
      </c>
      <c r="Z5475">
        <v>-1.248179E-2</v>
      </c>
      <c r="AA5475">
        <v>0.92044280000000001</v>
      </c>
      <c r="AB5475">
        <v>36</v>
      </c>
      <c r="AC5475">
        <v>102.2848</v>
      </c>
      <c r="AD5475">
        <v>6.5315979999999998</v>
      </c>
      <c r="AE5475">
        <v>39.359209999999997</v>
      </c>
      <c r="AF5475">
        <v>-42.800149876584001</v>
      </c>
      <c r="AG5475">
        <v>6.5315979999999998</v>
      </c>
      <c r="AH5475">
        <v>100.47190544075799</v>
      </c>
      <c r="AI5475">
        <v>86.577296093980195</v>
      </c>
      <c r="AJ5475">
        <v>113.07357893195601</v>
      </c>
      <c r="AK5475">
        <v>109.40346605473</v>
      </c>
      <c r="AL5475">
        <v>77.610431570974697</v>
      </c>
      <c r="AM5475">
        <v>91.153799910939796</v>
      </c>
      <c r="AN5475">
        <v>0.99999997428621401</v>
      </c>
    </row>
    <row r="5476" spans="1:40" x14ac:dyDescent="0.25">
      <c r="A5476" t="str">
        <f>"20190303170644923"</f>
        <v>20190303170644923</v>
      </c>
      <c r="B5476" t="str">
        <f>"1551604004920829"</f>
        <v>1551604004920829</v>
      </c>
      <c r="C5476" t="s">
        <v>40</v>
      </c>
      <c r="D5476">
        <v>5.8348750000000003</v>
      </c>
      <c r="E5476">
        <v>0.35093990000000003</v>
      </c>
      <c r="F5476" t="s">
        <v>86</v>
      </c>
      <c r="G5476">
        <v>-139.803</v>
      </c>
      <c r="H5476">
        <v>7.7775949999999998</v>
      </c>
      <c r="I5476">
        <v>-23.660599999999999</v>
      </c>
      <c r="J5476">
        <v>-242.5829</v>
      </c>
      <c r="K5476">
        <v>1.120681</v>
      </c>
      <c r="L5476">
        <v>-63.026699999999998</v>
      </c>
      <c r="M5476">
        <v>0.99932220000000005</v>
      </c>
      <c r="N5476">
        <v>-1.02065E-2</v>
      </c>
      <c r="O5476">
        <v>-3.5371180000000002E-2</v>
      </c>
      <c r="P5476">
        <v>0.97856460000000001</v>
      </c>
      <c r="Q5476">
        <v>0.20540910000000001</v>
      </c>
      <c r="R5476">
        <v>-1.4784830000000001E-2</v>
      </c>
      <c r="S5476">
        <v>3.0418240000000001</v>
      </c>
      <c r="T5476">
        <v>0.1966434</v>
      </c>
      <c r="U5476">
        <v>1.1626590000000001</v>
      </c>
      <c r="V5476">
        <v>-1.9813069999999999E-2</v>
      </c>
      <c r="W5476">
        <v>0.21538740000000001</v>
      </c>
      <c r="X5476">
        <v>0.97632770000000002</v>
      </c>
      <c r="Y5476">
        <v>-0.38917629999999998</v>
      </c>
      <c r="Z5476">
        <v>-1.264175E-2</v>
      </c>
      <c r="AA5476">
        <v>0.92107649999999996</v>
      </c>
      <c r="AB5476">
        <v>36</v>
      </c>
      <c r="AC5476">
        <v>102.7799</v>
      </c>
      <c r="AD5476">
        <v>6.6569140000000004</v>
      </c>
      <c r="AE5476">
        <v>39.366100000000003</v>
      </c>
      <c r="AF5476">
        <v>-42.820449036945902</v>
      </c>
      <c r="AG5476">
        <v>6.6569140000000004</v>
      </c>
      <c r="AH5476">
        <v>100.953760682463</v>
      </c>
      <c r="AI5476">
        <v>86.526111714874105</v>
      </c>
      <c r="AJ5476">
        <v>112.98466726676899</v>
      </c>
      <c r="AK5476">
        <v>109.861581800287</v>
      </c>
      <c r="AL5476">
        <v>77.561744230708698</v>
      </c>
      <c r="AM5476">
        <v>91.162570204166698</v>
      </c>
      <c r="AN5476">
        <v>1.0000000338044299</v>
      </c>
    </row>
    <row r="5477" spans="1:40" x14ac:dyDescent="0.25">
      <c r="A5477" t="str">
        <f>"20190303170644935"</f>
        <v>20190303170644935</v>
      </c>
      <c r="B5477" t="str">
        <f>"1551604004930590"</f>
        <v>1551604004930590</v>
      </c>
      <c r="C5477" t="s">
        <v>40</v>
      </c>
      <c r="D5477">
        <v>5.8584759999999996</v>
      </c>
      <c r="E5477">
        <v>0.35072059999999999</v>
      </c>
      <c r="F5477" t="s">
        <v>86</v>
      </c>
      <c r="G5477">
        <v>-139.97450000000001</v>
      </c>
      <c r="H5477">
        <v>7.9416009999999897</v>
      </c>
      <c r="I5477">
        <v>-23.660599999999999</v>
      </c>
      <c r="J5477">
        <v>-242.3947</v>
      </c>
      <c r="K5477">
        <v>1.120689</v>
      </c>
      <c r="L5477">
        <v>-63.033360000000002</v>
      </c>
      <c r="M5477">
        <v>0.99932160000000003</v>
      </c>
      <c r="N5477">
        <v>-1.024457E-2</v>
      </c>
      <c r="O5477">
        <v>-3.5376579999999998E-2</v>
      </c>
      <c r="P5477">
        <v>0.9784697</v>
      </c>
      <c r="Q5477">
        <v>0.20586209999999999</v>
      </c>
      <c r="R5477">
        <v>-1.4765759999999999E-2</v>
      </c>
      <c r="S5477">
        <v>3.0409090000000001</v>
      </c>
      <c r="T5477">
        <v>0.20214509999999999</v>
      </c>
      <c r="U5477">
        <v>1.1666559999999999</v>
      </c>
      <c r="V5477">
        <v>-1.9836019999999999E-2</v>
      </c>
      <c r="W5477">
        <v>0.21587680000000001</v>
      </c>
      <c r="X5477">
        <v>0.97621910000000001</v>
      </c>
      <c r="Y5477">
        <v>-0.3902872</v>
      </c>
      <c r="Z5477">
        <v>-1.3066319999999999E-2</v>
      </c>
      <c r="AA5477">
        <v>0.92060050000000004</v>
      </c>
      <c r="AB5477">
        <v>36</v>
      </c>
      <c r="AC5477">
        <v>102.42019999999999</v>
      </c>
      <c r="AD5477">
        <v>6.8209119999999999</v>
      </c>
      <c r="AE5477">
        <v>39.37276</v>
      </c>
      <c r="AF5477">
        <v>-42.806168879664298</v>
      </c>
      <c r="AG5477">
        <v>6.8209119999999999</v>
      </c>
      <c r="AH5477">
        <v>100.574501713169</v>
      </c>
      <c r="AI5477">
        <v>86.4292290474406</v>
      </c>
      <c r="AJ5477">
        <v>113.05540484731399</v>
      </c>
      <c r="AK5477">
        <v>109.51768500803099</v>
      </c>
      <c r="AL5477">
        <v>77.533027640195996</v>
      </c>
      <c r="AM5477">
        <v>91.164045914444003</v>
      </c>
      <c r="AN5477">
        <v>0.99999999583624499</v>
      </c>
    </row>
    <row r="5478" spans="1:40" x14ac:dyDescent="0.25">
      <c r="A5478" t="str">
        <f>"20190303170644946"</f>
        <v>20190303170644946</v>
      </c>
      <c r="B5478" t="str">
        <f>"1551604004940349"</f>
        <v>1551604004940349</v>
      </c>
      <c r="C5478" t="s">
        <v>40</v>
      </c>
      <c r="D5478">
        <v>5.834041</v>
      </c>
      <c r="E5478">
        <v>0.3505723</v>
      </c>
      <c r="F5478" t="s">
        <v>86</v>
      </c>
      <c r="G5478">
        <v>-139.9357</v>
      </c>
      <c r="H5478">
        <v>8.0303240000000002</v>
      </c>
      <c r="I5478">
        <v>-23.660599999999999</v>
      </c>
      <c r="J5478">
        <v>-242.2149</v>
      </c>
      <c r="K5478">
        <v>1.120698</v>
      </c>
      <c r="L5478">
        <v>-63.039729999999999</v>
      </c>
      <c r="M5478">
        <v>0.99932100000000001</v>
      </c>
      <c r="N5478">
        <v>-1.0280610000000001E-2</v>
      </c>
      <c r="O5478">
        <v>-3.5381969999999999E-2</v>
      </c>
      <c r="P5478">
        <v>0.97841299999999998</v>
      </c>
      <c r="Q5478">
        <v>0.20615700000000001</v>
      </c>
      <c r="R5478">
        <v>-1.4394250000000001E-2</v>
      </c>
      <c r="S5478">
        <v>3.0404969999999998</v>
      </c>
      <c r="T5478">
        <v>0.2050449</v>
      </c>
      <c r="U5478">
        <v>1.168396</v>
      </c>
      <c r="V5478">
        <v>-2.0211090000000001E-2</v>
      </c>
      <c r="W5478">
        <v>0.21620549999999999</v>
      </c>
      <c r="X5478">
        <v>0.97613870000000003</v>
      </c>
      <c r="Y5478">
        <v>-0.39077010000000001</v>
      </c>
      <c r="Z5478">
        <v>-1.328561E-2</v>
      </c>
      <c r="AA5478">
        <v>0.92039249999999995</v>
      </c>
      <c r="AB5478">
        <v>36</v>
      </c>
      <c r="AC5478">
        <v>102.2792</v>
      </c>
      <c r="AD5478">
        <v>6.9096259999999896</v>
      </c>
      <c r="AE5478">
        <v>39.379129999999897</v>
      </c>
      <c r="AF5478">
        <v>-42.803371461462298</v>
      </c>
      <c r="AG5478">
        <v>6.9096259999999896</v>
      </c>
      <c r="AH5478">
        <v>100.42261920577999</v>
      </c>
      <c r="AI5478">
        <v>86.378255505496995</v>
      </c>
      <c r="AJ5478">
        <v>113.085272662805</v>
      </c>
      <c r="AK5478">
        <v>109.38269510337101</v>
      </c>
      <c r="AL5478">
        <v>77.513739486183098</v>
      </c>
      <c r="AM5478">
        <v>91.186147745340804</v>
      </c>
      <c r="AN5478">
        <v>1.00000003401346</v>
      </c>
    </row>
    <row r="5479" spans="1:40" x14ac:dyDescent="0.25">
      <c r="A5479" t="str">
        <f>"20190303170644958"</f>
        <v>20190303170644958</v>
      </c>
      <c r="B5479" t="str">
        <f>"1551604004950109"</f>
        <v>1551604004950109</v>
      </c>
      <c r="C5479" t="s">
        <v>40</v>
      </c>
      <c r="D5479">
        <v>5.842371</v>
      </c>
      <c r="E5479">
        <v>0.35042259999999997</v>
      </c>
      <c r="F5479" t="s">
        <v>86</v>
      </c>
      <c r="G5479">
        <v>-139.9735</v>
      </c>
      <c r="H5479">
        <v>8.0738749999999992</v>
      </c>
      <c r="I5479">
        <v>-23.660599999999999</v>
      </c>
      <c r="J5479">
        <v>-242.0136</v>
      </c>
      <c r="K5479">
        <v>1.1207049999999901</v>
      </c>
      <c r="L5479">
        <v>-63.046880000000002</v>
      </c>
      <c r="M5479">
        <v>0.9993204</v>
      </c>
      <c r="N5479">
        <v>-1.031992E-2</v>
      </c>
      <c r="O5479">
        <v>-3.5388099999999999E-2</v>
      </c>
      <c r="P5479">
        <v>0.97849940000000002</v>
      </c>
      <c r="Q5479">
        <v>0.20580319999999999</v>
      </c>
      <c r="R5479">
        <v>-1.3566299999999899E-2</v>
      </c>
      <c r="S5479">
        <v>3.0398860000000001</v>
      </c>
      <c r="T5479">
        <v>0.20673469999999999</v>
      </c>
      <c r="U5479">
        <v>1.1708369999999999</v>
      </c>
      <c r="V5479">
        <v>-2.1049479999999999E-2</v>
      </c>
      <c r="W5479">
        <v>0.21589120000000001</v>
      </c>
      <c r="X5479">
        <v>0.97619049999999996</v>
      </c>
      <c r="Y5479">
        <v>-0.39146750000000002</v>
      </c>
      <c r="Z5479">
        <v>-1.3422440000000001E-2</v>
      </c>
      <c r="AA5479">
        <v>0.92009399999999997</v>
      </c>
      <c r="AB5479">
        <v>37</v>
      </c>
      <c r="AC5479">
        <v>102.0401</v>
      </c>
      <c r="AD5479">
        <v>6.9531699999999903</v>
      </c>
      <c r="AE5479">
        <v>39.386279999999999</v>
      </c>
      <c r="AF5479">
        <v>-42.799842870042397</v>
      </c>
      <c r="AG5479">
        <v>6.9531699999999903</v>
      </c>
      <c r="AH5479">
        <v>100.177464305115</v>
      </c>
      <c r="AI5479">
        <v>86.3479234921668</v>
      </c>
      <c r="AJ5479">
        <v>113.13412271817199</v>
      </c>
      <c r="AK5479">
        <v>109.159046704118</v>
      </c>
      <c r="AL5479">
        <v>77.532182601323797</v>
      </c>
      <c r="AM5479">
        <v>91.235270673941102</v>
      </c>
      <c r="AN5479">
        <v>0.99999999156798003</v>
      </c>
    </row>
    <row r="5480" spans="1:40" x14ac:dyDescent="0.25">
      <c r="A5480" t="str">
        <f>"20190303170644969"</f>
        <v>20190303170644969</v>
      </c>
      <c r="B5480" t="str">
        <f>"1551604004960233"</f>
        <v>1551604004960233</v>
      </c>
      <c r="C5480" t="s">
        <v>40</v>
      </c>
      <c r="D5480">
        <v>5.8851599999999999</v>
      </c>
      <c r="E5480">
        <v>0.35043200000000002</v>
      </c>
      <c r="F5480" t="s">
        <v>86</v>
      </c>
      <c r="G5480">
        <v>-140.11000000000001</v>
      </c>
      <c r="H5480">
        <v>8.0289999999999999</v>
      </c>
      <c r="I5480">
        <v>-23.660599999999999</v>
      </c>
      <c r="J5480">
        <v>-241.84450000000001</v>
      </c>
      <c r="K5480">
        <v>1.1207100000000001</v>
      </c>
      <c r="L5480">
        <v>-63.052889999999998</v>
      </c>
      <c r="M5480">
        <v>0.99931970000000003</v>
      </c>
      <c r="N5480">
        <v>-1.0352979999999999E-2</v>
      </c>
      <c r="O5480">
        <v>-3.5393359999999999E-2</v>
      </c>
      <c r="P5480">
        <v>0.97853159999999895</v>
      </c>
      <c r="Q5480">
        <v>0.20571919999999999</v>
      </c>
      <c r="R5480">
        <v>-1.24736E-2</v>
      </c>
      <c r="S5480">
        <v>3.0388489999999999</v>
      </c>
      <c r="T5480">
        <v>0.20601069999999999</v>
      </c>
      <c r="U5480">
        <v>1.1745300000000001</v>
      </c>
      <c r="V5480">
        <v>-2.2148729999999998E-2</v>
      </c>
      <c r="W5480">
        <v>0.21583949999999999</v>
      </c>
      <c r="X5480">
        <v>0.97617759999999998</v>
      </c>
      <c r="Y5480">
        <v>-0.39255469999999998</v>
      </c>
      <c r="Z5480">
        <v>-1.339509E-2</v>
      </c>
      <c r="AA5480">
        <v>0.91963110000000003</v>
      </c>
      <c r="AB5480">
        <v>37</v>
      </c>
      <c r="AC5480">
        <v>101.7345</v>
      </c>
      <c r="AD5480">
        <v>6.9082899999999903</v>
      </c>
      <c r="AE5480">
        <v>39.392290000000003</v>
      </c>
      <c r="AF5480">
        <v>-42.796914347392303</v>
      </c>
      <c r="AG5480">
        <v>6.9082899999999903</v>
      </c>
      <c r="AH5480">
        <v>99.875959266804799</v>
      </c>
      <c r="AI5480">
        <v>86.362162754502606</v>
      </c>
      <c r="AJ5480">
        <v>113.195164812779</v>
      </c>
      <c r="AK5480">
        <v>108.878407353554</v>
      </c>
      <c r="AL5480">
        <v>77.535216189533799</v>
      </c>
      <c r="AM5480">
        <v>91.299774807121295</v>
      </c>
      <c r="AN5480">
        <v>0.99999998137131096</v>
      </c>
    </row>
    <row r="5481" spans="1:40" x14ac:dyDescent="0.25">
      <c r="A5481" t="str">
        <f>"20190303170644977"</f>
        <v>20190303170644977</v>
      </c>
      <c r="B5481" t="str">
        <f>"1551604004969993"</f>
        <v>1551604004969993</v>
      </c>
      <c r="C5481" t="s">
        <v>40</v>
      </c>
      <c r="D5481">
        <v>5.8298550000000002</v>
      </c>
      <c r="E5481">
        <v>0.35031430000000002</v>
      </c>
      <c r="F5481" t="s">
        <v>86</v>
      </c>
      <c r="G5481">
        <v>-140.24709999999999</v>
      </c>
      <c r="H5481">
        <v>7.9982490000000004</v>
      </c>
      <c r="I5481">
        <v>-23.660599999999999</v>
      </c>
      <c r="J5481">
        <v>-241.68790000000001</v>
      </c>
      <c r="K5481">
        <v>1.1207119999999999</v>
      </c>
      <c r="L5481">
        <v>-63.058439999999997</v>
      </c>
      <c r="M5481">
        <v>0.99931939999999997</v>
      </c>
      <c r="N5481">
        <v>-1.0383649999999999E-2</v>
      </c>
      <c r="O5481">
        <v>-3.5398859999999997E-2</v>
      </c>
      <c r="P5481">
        <v>0.97859359999999995</v>
      </c>
      <c r="Q5481">
        <v>0.20548949999999999</v>
      </c>
      <c r="R5481">
        <v>-1.135808E-2</v>
      </c>
      <c r="S5481">
        <v>3.037598</v>
      </c>
      <c r="T5481">
        <v>0.205627</v>
      </c>
      <c r="U5481">
        <v>1.177765</v>
      </c>
      <c r="V5481">
        <v>-2.3272040000000001E-2</v>
      </c>
      <c r="W5481">
        <v>0.21563979999999999</v>
      </c>
      <c r="X5481">
        <v>0.97619560000000005</v>
      </c>
      <c r="Y5481">
        <v>-0.39354</v>
      </c>
      <c r="Z5481">
        <v>-1.339153E-2</v>
      </c>
      <c r="AA5481">
        <v>0.91920999999999997</v>
      </c>
      <c r="AB5481">
        <v>37</v>
      </c>
      <c r="AC5481">
        <v>101.4408</v>
      </c>
      <c r="AD5481">
        <v>6.8775369999999896</v>
      </c>
      <c r="AE5481">
        <v>39.397840000000002</v>
      </c>
      <c r="AF5481">
        <v>-42.793304077593099</v>
      </c>
      <c r="AG5481">
        <v>6.8775369999999896</v>
      </c>
      <c r="AH5481">
        <v>99.584745673223793</v>
      </c>
      <c r="AI5481">
        <v>86.369348265188506</v>
      </c>
      <c r="AJ5481">
        <v>113.254041256406</v>
      </c>
      <c r="AK5481">
        <v>108.60795992865501</v>
      </c>
      <c r="AL5481">
        <v>77.546934089760995</v>
      </c>
      <c r="AM5481">
        <v>91.365645532611197</v>
      </c>
      <c r="AN5481">
        <v>0.99999998032458004</v>
      </c>
    </row>
    <row r="5482" spans="1:40" x14ac:dyDescent="0.25">
      <c r="A5482" t="str">
        <f>"20190303170644989"</f>
        <v>20190303170644989</v>
      </c>
      <c r="B5482" t="str">
        <f>"1551604004980729"</f>
        <v>1551604004980729</v>
      </c>
      <c r="C5482" t="s">
        <v>40</v>
      </c>
      <c r="D5482">
        <v>5.8333839999999997</v>
      </c>
      <c r="E5482">
        <v>0.35015819999999998</v>
      </c>
      <c r="F5482" t="s">
        <v>86</v>
      </c>
      <c r="G5482">
        <v>-140.4819</v>
      </c>
      <c r="H5482">
        <v>7.9677920000000002</v>
      </c>
      <c r="I5482">
        <v>-23.660599999999999</v>
      </c>
      <c r="J5482">
        <v>-241.50559999999999</v>
      </c>
      <c r="K5482">
        <v>1.1207129999999901</v>
      </c>
      <c r="L5482">
        <v>-63.064880000000002</v>
      </c>
      <c r="M5482">
        <v>0.99931879999999995</v>
      </c>
      <c r="N5482">
        <v>-1.042004E-2</v>
      </c>
      <c r="O5482">
        <v>-3.5404869999999998E-2</v>
      </c>
      <c r="P5482">
        <v>0.9787169</v>
      </c>
      <c r="Q5482">
        <v>0.204984</v>
      </c>
      <c r="R5482">
        <v>-9.7414890000000007E-3</v>
      </c>
      <c r="S5482">
        <v>3.0362089999999999</v>
      </c>
      <c r="T5482">
        <v>0.20541409999999999</v>
      </c>
      <c r="U5482">
        <v>1.1819459999999999</v>
      </c>
      <c r="V5482">
        <v>-2.4898719999999999E-2</v>
      </c>
      <c r="W5482">
        <v>0.2151709</v>
      </c>
      <c r="X5482">
        <v>0.97625890000000004</v>
      </c>
      <c r="Y5482">
        <v>-0.39478639999999998</v>
      </c>
      <c r="Z5482">
        <v>-1.340625E-2</v>
      </c>
      <c r="AA5482">
        <v>0.91867509999999997</v>
      </c>
      <c r="AB5482">
        <v>37</v>
      </c>
      <c r="AC5482">
        <v>101.02370000000001</v>
      </c>
      <c r="AD5482">
        <v>6.8470789999999999</v>
      </c>
      <c r="AE5482">
        <v>39.40428</v>
      </c>
      <c r="AF5482">
        <v>-42.785905208905803</v>
      </c>
      <c r="AG5482">
        <v>6.8470789999999999</v>
      </c>
      <c r="AH5482">
        <v>99.169775585803507</v>
      </c>
      <c r="AI5482">
        <v>86.372565097974103</v>
      </c>
      <c r="AJ5482">
        <v>113.337346893998</v>
      </c>
      <c r="AK5482">
        <v>108.22273589739</v>
      </c>
      <c r="AL5482">
        <v>77.574445561337299</v>
      </c>
      <c r="AM5482">
        <v>91.460967347811106</v>
      </c>
      <c r="AN5482">
        <v>0.99999995114682805</v>
      </c>
    </row>
    <row r="5483" spans="1:40" x14ac:dyDescent="0.25">
      <c r="A5483" t="str">
        <f>"20190303170645000"</f>
        <v>20190303170645000</v>
      </c>
      <c r="B5483" t="str">
        <f>"1551604004990488"</f>
        <v>1551604004990488</v>
      </c>
      <c r="C5483" t="s">
        <v>40</v>
      </c>
      <c r="D5483">
        <v>5.8650289999999998</v>
      </c>
      <c r="E5483">
        <v>0.350174599999999</v>
      </c>
      <c r="F5483" t="s">
        <v>86</v>
      </c>
      <c r="G5483">
        <v>-140.8921</v>
      </c>
      <c r="H5483">
        <v>7.9063039999999898</v>
      </c>
      <c r="I5483">
        <v>-23.660599999999999</v>
      </c>
      <c r="J5483">
        <v>-241.3236</v>
      </c>
      <c r="K5483">
        <v>1.120719</v>
      </c>
      <c r="L5483">
        <v>-63.071319999999901</v>
      </c>
      <c r="M5483">
        <v>0.99931809999999999</v>
      </c>
      <c r="N5483">
        <v>-1.045689E-2</v>
      </c>
      <c r="O5483">
        <v>-3.5410999999999998E-2</v>
      </c>
      <c r="P5483">
        <v>0.97875509999999999</v>
      </c>
      <c r="Q5483">
        <v>0.20486299999999999</v>
      </c>
      <c r="R5483">
        <v>-8.3453360000000001E-3</v>
      </c>
      <c r="S5483">
        <v>3.0342250000000002</v>
      </c>
      <c r="T5483">
        <v>0.2046345</v>
      </c>
      <c r="U5483">
        <v>1.1883239999999999</v>
      </c>
      <c r="V5483">
        <v>-2.6302269999999999E-2</v>
      </c>
      <c r="W5483">
        <v>0.2150852</v>
      </c>
      <c r="X5483">
        <v>0.97624109999999997</v>
      </c>
      <c r="Y5483">
        <v>-0.39667289999999999</v>
      </c>
      <c r="Z5483">
        <v>-1.3396689999999999E-2</v>
      </c>
      <c r="AA5483">
        <v>0.91786230000000002</v>
      </c>
      <c r="AB5483">
        <v>37</v>
      </c>
      <c r="AC5483">
        <v>100.4315</v>
      </c>
      <c r="AD5483">
        <v>6.7855849999999904</v>
      </c>
      <c r="AE5483">
        <v>39.410719999999998</v>
      </c>
      <c r="AF5483">
        <v>-42.773372173197302</v>
      </c>
      <c r="AG5483">
        <v>6.7855849999999904</v>
      </c>
      <c r="AH5483">
        <v>98.5828834213563</v>
      </c>
      <c r="AI5483">
        <v>86.386919934970393</v>
      </c>
      <c r="AJ5483">
        <v>113.455170388845</v>
      </c>
      <c r="AK5483">
        <v>107.676322534379</v>
      </c>
      <c r="AL5483">
        <v>77.579475022778396</v>
      </c>
      <c r="AM5483">
        <v>91.543311974031496</v>
      </c>
      <c r="AN5483">
        <v>1.00000006899769</v>
      </c>
    </row>
    <row r="5484" spans="1:40" x14ac:dyDescent="0.25">
      <c r="A5484" t="str">
        <f>"20190303170645011"</f>
        <v>20190303170645011</v>
      </c>
      <c r="B5484" t="str">
        <f>"1551604005000249"</f>
        <v>1551604005000249</v>
      </c>
      <c r="C5484" t="s">
        <v>40</v>
      </c>
      <c r="D5484">
        <v>5.863861</v>
      </c>
      <c r="E5484">
        <v>0.3501938</v>
      </c>
      <c r="F5484" t="s">
        <v>86</v>
      </c>
      <c r="G5484">
        <v>-141.11160000000001</v>
      </c>
      <c r="H5484">
        <v>7.8780839999999897</v>
      </c>
      <c r="I5484">
        <v>-23.660599999999999</v>
      </c>
      <c r="J5484">
        <v>-241.1438</v>
      </c>
      <c r="K5484">
        <v>1.1207210000000001</v>
      </c>
      <c r="L5484">
        <v>-63.0777</v>
      </c>
      <c r="M5484">
        <v>0.99931749999999997</v>
      </c>
      <c r="N5484">
        <v>-1.0492080000000001E-2</v>
      </c>
      <c r="O5484">
        <v>-3.5417120000000003E-2</v>
      </c>
      <c r="P5484">
        <v>0.97873460000000001</v>
      </c>
      <c r="Q5484">
        <v>0.2050014</v>
      </c>
      <c r="R5484">
        <v>-7.301386E-3</v>
      </c>
      <c r="S5484">
        <v>3.032486</v>
      </c>
      <c r="T5484">
        <v>0.20448259999999999</v>
      </c>
      <c r="U5484">
        <v>1.192596</v>
      </c>
      <c r="V5484">
        <v>-2.7351380000000002E-2</v>
      </c>
      <c r="W5484">
        <v>0.21525749999999999</v>
      </c>
      <c r="X5484">
        <v>0.97617419999999999</v>
      </c>
      <c r="Y5484">
        <v>-0.39797640000000001</v>
      </c>
      <c r="Z5484">
        <v>-1.341876E-2</v>
      </c>
      <c r="AA5484">
        <v>0.91729749999999999</v>
      </c>
      <c r="AB5484">
        <v>37</v>
      </c>
      <c r="AC5484">
        <v>100.0322</v>
      </c>
      <c r="AD5484">
        <v>6.7573629999999998</v>
      </c>
      <c r="AE5484">
        <v>39.417099999999998</v>
      </c>
      <c r="AF5484">
        <v>-42.766489953818898</v>
      </c>
      <c r="AG5484">
        <v>6.7573629999999998</v>
      </c>
      <c r="AH5484">
        <v>98.185490210284897</v>
      </c>
      <c r="AI5484">
        <v>86.389603641174304</v>
      </c>
      <c r="AJ5484">
        <v>113.536416130622</v>
      </c>
      <c r="AK5484">
        <v>107.308084996042</v>
      </c>
      <c r="AL5484">
        <v>77.569365037768705</v>
      </c>
      <c r="AM5484">
        <v>91.604947903700193</v>
      </c>
      <c r="AN5484">
        <v>0.99999997901989701</v>
      </c>
    </row>
    <row r="5485" spans="1:40" x14ac:dyDescent="0.25">
      <c r="A5485" t="str">
        <f>"20190303170645022"</f>
        <v>20190303170645022</v>
      </c>
      <c r="B5485" t="str">
        <f>"1551604005010009"</f>
        <v>1551604005010009</v>
      </c>
      <c r="C5485" t="s">
        <v>40</v>
      </c>
      <c r="D5485">
        <v>5.837504</v>
      </c>
      <c r="E5485">
        <v>0.35020309999999999</v>
      </c>
      <c r="F5485" t="s">
        <v>86</v>
      </c>
      <c r="G5485">
        <v>-141.24469999999999</v>
      </c>
      <c r="H5485">
        <v>7.8884899999999902</v>
      </c>
      <c r="I5485">
        <v>-23.660599999999999</v>
      </c>
      <c r="J5485">
        <v>-240.96100000000001</v>
      </c>
      <c r="K5485">
        <v>1.1207260000000001</v>
      </c>
      <c r="L5485">
        <v>-63.084200000000003</v>
      </c>
      <c r="M5485">
        <v>0.99931700000000001</v>
      </c>
      <c r="N5485">
        <v>-1.052749E-2</v>
      </c>
      <c r="O5485">
        <v>-3.5423490000000002E-2</v>
      </c>
      <c r="P5485">
        <v>0.97877970000000003</v>
      </c>
      <c r="Q5485">
        <v>0.20480950000000001</v>
      </c>
      <c r="R5485">
        <v>-6.5810570000000004E-3</v>
      </c>
      <c r="S5485">
        <v>3.0311129999999999</v>
      </c>
      <c r="T5485">
        <v>0.2053459</v>
      </c>
      <c r="U5485">
        <v>1.1959839999999999</v>
      </c>
      <c r="V5485">
        <v>-2.8079440000000001E-2</v>
      </c>
      <c r="W5485">
        <v>0.2151006</v>
      </c>
      <c r="X5485">
        <v>0.9761881</v>
      </c>
      <c r="Y5485">
        <v>-0.39900259999999999</v>
      </c>
      <c r="Z5485">
        <v>-1.3508030000000001E-2</v>
      </c>
      <c r="AA5485">
        <v>0.91685030000000001</v>
      </c>
      <c r="AB5485">
        <v>37</v>
      </c>
      <c r="AC5485">
        <v>99.716300000000004</v>
      </c>
      <c r="AD5485">
        <v>6.7677639999999899</v>
      </c>
      <c r="AE5485">
        <v>39.4236</v>
      </c>
      <c r="AF5485">
        <v>-42.761003311302503</v>
      </c>
      <c r="AG5485">
        <v>6.7677639999999899</v>
      </c>
      <c r="AH5485">
        <v>97.867239440116705</v>
      </c>
      <c r="AI5485">
        <v>86.374137383476906</v>
      </c>
      <c r="AJ5485">
        <v>113.601896470998</v>
      </c>
      <c r="AK5485">
        <v>107.015431547875</v>
      </c>
      <c r="AL5485">
        <v>77.578570205467599</v>
      </c>
      <c r="AM5485">
        <v>91.647622945571598</v>
      </c>
      <c r="AN5485">
        <v>0.99999996482634101</v>
      </c>
    </row>
    <row r="5486" spans="1:40" x14ac:dyDescent="0.25">
      <c r="A5486" t="str">
        <f>"20190303170645047"</f>
        <v>20190303170645047</v>
      </c>
      <c r="B5486" t="str">
        <f>"1551604005040649"</f>
        <v>1551604005040649</v>
      </c>
      <c r="C5486" t="s">
        <v>40</v>
      </c>
      <c r="D5486">
        <v>5.8446189999999998</v>
      </c>
      <c r="E5486">
        <v>0.35037839999999998</v>
      </c>
      <c r="F5486" t="s">
        <v>86</v>
      </c>
      <c r="G5486">
        <v>-141.23509999999999</v>
      </c>
      <c r="H5486">
        <v>7.8370009999999999</v>
      </c>
      <c r="I5486">
        <v>-23.660599999999999</v>
      </c>
      <c r="J5486">
        <v>-240.57339999999999</v>
      </c>
      <c r="K5486">
        <v>1.1207290000000001</v>
      </c>
      <c r="L5486">
        <v>-63.097929999999998</v>
      </c>
      <c r="M5486">
        <v>0.99931590000000003</v>
      </c>
      <c r="N5486">
        <v>-1.0595749999999999E-2</v>
      </c>
      <c r="O5486">
        <v>-3.5437049999999998E-2</v>
      </c>
      <c r="P5486">
        <v>0.97877409999999998</v>
      </c>
      <c r="Q5486">
        <v>0.204875</v>
      </c>
      <c r="R5486">
        <v>-5.278151E-3</v>
      </c>
      <c r="S5486">
        <v>3.0303800000000001</v>
      </c>
      <c r="T5486">
        <v>0.20408770000000001</v>
      </c>
      <c r="U5486">
        <v>1.1979679999999999</v>
      </c>
      <c r="V5486">
        <v>-2.9395399999999999E-2</v>
      </c>
      <c r="W5486">
        <v>0.2152319</v>
      </c>
      <c r="X5486">
        <v>0.97612049999999995</v>
      </c>
      <c r="Y5486">
        <v>-0.39961920000000001</v>
      </c>
      <c r="Z5486">
        <v>-1.3421499999999999E-2</v>
      </c>
      <c r="AA5486">
        <v>0.91658300000000004</v>
      </c>
      <c r="AB5486">
        <v>37</v>
      </c>
      <c r="AC5486">
        <v>99.338300000000004</v>
      </c>
      <c r="AD5486">
        <v>6.716272</v>
      </c>
      <c r="AE5486">
        <v>39.437329999999903</v>
      </c>
      <c r="AF5486">
        <v>-42.764144915959101</v>
      </c>
      <c r="AG5486">
        <v>6.716272</v>
      </c>
      <c r="AH5486">
        <v>97.493300802661196</v>
      </c>
      <c r="AI5486">
        <v>86.3901465149129</v>
      </c>
      <c r="AJ5486">
        <v>113.684022366382</v>
      </c>
      <c r="AK5486">
        <v>106.671571195746</v>
      </c>
      <c r="AL5486">
        <v>77.570867854388098</v>
      </c>
      <c r="AM5486">
        <v>91.724913572996897</v>
      </c>
      <c r="AN5486">
        <v>1.0000000454194999</v>
      </c>
    </row>
    <row r="5487" spans="1:40" x14ac:dyDescent="0.25">
      <c r="A5487" t="str">
        <f>"20190303170645057"</f>
        <v>20190303170645057</v>
      </c>
      <c r="B5487" t="str">
        <f>"1551604005050299"</f>
        <v>1551604005050299</v>
      </c>
      <c r="C5487" t="s">
        <v>40</v>
      </c>
      <c r="D5487">
        <v>5.8121910000000003</v>
      </c>
      <c r="E5487">
        <v>0.35043449999999998</v>
      </c>
      <c r="F5487" t="s">
        <v>86</v>
      </c>
      <c r="G5487">
        <v>-141.0729</v>
      </c>
      <c r="H5487">
        <v>7.771369</v>
      </c>
      <c r="I5487">
        <v>-23.660599999999999</v>
      </c>
      <c r="J5487">
        <v>-240.3938</v>
      </c>
      <c r="K5487">
        <v>1.1207309999999999</v>
      </c>
      <c r="L5487">
        <v>-63.104280000000003</v>
      </c>
      <c r="M5487">
        <v>0.99931519999999996</v>
      </c>
      <c r="N5487">
        <v>-1.0624990000000001E-2</v>
      </c>
      <c r="O5487">
        <v>-3.5443040000000002E-2</v>
      </c>
      <c r="P5487">
        <v>0.97883520000000002</v>
      </c>
      <c r="Q5487">
        <v>0.2046077</v>
      </c>
      <c r="R5487">
        <v>-4.1621310000000003E-3</v>
      </c>
      <c r="S5487">
        <v>3.029175</v>
      </c>
      <c r="T5487">
        <v>0.2024707</v>
      </c>
      <c r="U5487">
        <v>1.200623</v>
      </c>
      <c r="V5487">
        <v>-3.051922E-2</v>
      </c>
      <c r="W5487">
        <v>0.21499389999999999</v>
      </c>
      <c r="X5487">
        <v>0.97613839999999996</v>
      </c>
      <c r="Y5487">
        <v>-0.40045500000000001</v>
      </c>
      <c r="Z5487">
        <v>-1.3321380000000001E-2</v>
      </c>
      <c r="AA5487">
        <v>0.91621960000000002</v>
      </c>
      <c r="AB5487">
        <v>37</v>
      </c>
      <c r="AC5487">
        <v>99.320899999999995</v>
      </c>
      <c r="AD5487">
        <v>6.6506379999999998</v>
      </c>
      <c r="AE5487">
        <v>39.443680000000001</v>
      </c>
      <c r="AF5487">
        <v>-42.773667142160299</v>
      </c>
      <c r="AG5487">
        <v>6.6506379999999998</v>
      </c>
      <c r="AH5487">
        <v>97.482858854798195</v>
      </c>
      <c r="AI5487">
        <v>86.425139339171807</v>
      </c>
      <c r="AJ5487">
        <v>113.690973297895</v>
      </c>
      <c r="AK5487">
        <v>106.661733330655</v>
      </c>
      <c r="AL5487">
        <v>77.584830415573506</v>
      </c>
      <c r="AM5487">
        <v>91.790784037284496</v>
      </c>
      <c r="AN5487">
        <v>0.99999998789058897</v>
      </c>
    </row>
    <row r="5488" spans="1:40" x14ac:dyDescent="0.25">
      <c r="A5488" t="str">
        <f>"20190303170645068"</f>
        <v>20190303170645068</v>
      </c>
      <c r="B5488" t="str">
        <f>"1551604005060437"</f>
        <v>1551604005060437</v>
      </c>
      <c r="C5488" t="s">
        <v>40</v>
      </c>
      <c r="D5488">
        <v>5.8829029999999998</v>
      </c>
      <c r="E5488">
        <v>0.35069840000000002</v>
      </c>
      <c r="F5488" t="s">
        <v>86</v>
      </c>
      <c r="G5488">
        <v>-141.13499999999999</v>
      </c>
      <c r="H5488">
        <v>7.6766740000000002</v>
      </c>
      <c r="I5488">
        <v>-23.660599999999999</v>
      </c>
      <c r="J5488">
        <v>-240.21539999999999</v>
      </c>
      <c r="K5488">
        <v>1.120733</v>
      </c>
      <c r="L5488">
        <v>-63.11063</v>
      </c>
      <c r="M5488">
        <v>0.99931479999999995</v>
      </c>
      <c r="N5488">
        <v>-1.065285E-2</v>
      </c>
      <c r="O5488">
        <v>-3.5449139999999997E-2</v>
      </c>
      <c r="P5488">
        <v>0.97890359999999998</v>
      </c>
      <c r="Q5488">
        <v>0.2043024</v>
      </c>
      <c r="R5488">
        <v>-2.9567410000000001E-3</v>
      </c>
      <c r="S5488">
        <v>3.028168</v>
      </c>
      <c r="T5488">
        <v>0.20000709999999999</v>
      </c>
      <c r="U5488">
        <v>1.2033389999999999</v>
      </c>
      <c r="V5488">
        <v>-3.1732299999999998E-2</v>
      </c>
      <c r="W5488">
        <v>0.21471589999999999</v>
      </c>
      <c r="X5488">
        <v>0.9761609</v>
      </c>
      <c r="Y5488">
        <v>-0.4012926</v>
      </c>
      <c r="Z5488">
        <v>-1.3156670000000001E-2</v>
      </c>
      <c r="AA5488">
        <v>0.91585539999999999</v>
      </c>
      <c r="AB5488">
        <v>37</v>
      </c>
      <c r="AC5488">
        <v>99.080399999999997</v>
      </c>
      <c r="AD5488">
        <v>6.5559409999999998</v>
      </c>
      <c r="AE5488">
        <v>39.450029999999998</v>
      </c>
      <c r="AF5488">
        <v>-42.776091739014497</v>
      </c>
      <c r="AG5488">
        <v>6.5559409999999998</v>
      </c>
      <c r="AH5488">
        <v>97.252046852544396</v>
      </c>
      <c r="AI5488">
        <v>86.468952374755304</v>
      </c>
      <c r="AJ5488">
        <v>113.74218459098</v>
      </c>
      <c r="AK5488">
        <v>106.445925257238</v>
      </c>
      <c r="AL5488">
        <v>77.601139421794301</v>
      </c>
      <c r="AM5488">
        <v>91.861872210252599</v>
      </c>
      <c r="AN5488">
        <v>0.99999997963245402</v>
      </c>
    </row>
    <row r="5489" spans="1:40" x14ac:dyDescent="0.25">
      <c r="A5489" t="str">
        <f>"20190303170645078"</f>
        <v>20190303170645078</v>
      </c>
      <c r="B5489" t="str">
        <f>"1551604005070472"</f>
        <v>1551604005070472</v>
      </c>
      <c r="C5489" t="s">
        <v>40</v>
      </c>
      <c r="D5489">
        <v>6.1786289999999999</v>
      </c>
      <c r="E5489">
        <v>0.35069840000000002</v>
      </c>
      <c r="F5489" t="s">
        <v>86</v>
      </c>
      <c r="G5489">
        <v>-141.0787</v>
      </c>
      <c r="H5489">
        <v>7.5621229999999997</v>
      </c>
      <c r="I5489">
        <v>-23.660599999999999</v>
      </c>
      <c r="J5489">
        <v>-240.04339999999999</v>
      </c>
      <c r="K5489">
        <v>1.1207339999999999</v>
      </c>
      <c r="L5489">
        <v>-63.116700000000002</v>
      </c>
      <c r="M5489">
        <v>0.99931429999999999</v>
      </c>
      <c r="N5489">
        <v>-1.0678480000000001E-2</v>
      </c>
      <c r="O5489">
        <v>-3.5454989999999999E-2</v>
      </c>
      <c r="P5489">
        <v>0.97897829999999997</v>
      </c>
      <c r="Q5489">
        <v>0.2039588</v>
      </c>
      <c r="R5489">
        <v>-1.5931000000000001E-3</v>
      </c>
      <c r="S5489">
        <v>3.0272519999999998</v>
      </c>
      <c r="T5489">
        <v>0.19669500000000001</v>
      </c>
      <c r="U5489">
        <v>1.2046509999999999</v>
      </c>
      <c r="V5489">
        <v>-3.3103580000000001E-2</v>
      </c>
      <c r="W5489">
        <v>0.2143978</v>
      </c>
      <c r="X5489">
        <v>0.97618530000000003</v>
      </c>
      <c r="Y5489">
        <v>-0.40176020000000001</v>
      </c>
      <c r="Z5489">
        <v>-1.2919389999999999E-2</v>
      </c>
      <c r="AA5489">
        <v>0.91565379999999996</v>
      </c>
      <c r="AB5489">
        <v>37</v>
      </c>
      <c r="AC5489">
        <v>98.964699999999993</v>
      </c>
      <c r="AD5489">
        <v>6.4413889999999903</v>
      </c>
      <c r="AE5489">
        <v>39.456099999999999</v>
      </c>
      <c r="AF5489">
        <v>-42.783890893453901</v>
      </c>
      <c r="AG5489">
        <v>6.4413889999999903</v>
      </c>
      <c r="AH5489">
        <v>97.148361607597593</v>
      </c>
      <c r="AI5489">
        <v>86.527506618694005</v>
      </c>
      <c r="AJ5489">
        <v>113.76857037331</v>
      </c>
      <c r="AK5489">
        <v>106.347341176321</v>
      </c>
      <c r="AL5489">
        <v>77.619800060214899</v>
      </c>
      <c r="AM5489">
        <v>91.942222318097294</v>
      </c>
      <c r="AN5489">
        <v>1.00000000179487</v>
      </c>
    </row>
    <row r="5490" spans="1:40" x14ac:dyDescent="0.25">
      <c r="A5490" t="str">
        <f>"20190303170645089"</f>
        <v>20190303170645089</v>
      </c>
      <c r="B5490" t="str">
        <f>"1551604005080233"</f>
        <v>1551604005080233</v>
      </c>
      <c r="C5490" t="s">
        <v>40</v>
      </c>
      <c r="D5490">
        <v>6.0870300000000004</v>
      </c>
      <c r="E5490">
        <v>0.39159460000000001</v>
      </c>
      <c r="F5490" t="s">
        <v>86</v>
      </c>
      <c r="G5490">
        <v>-141.2413</v>
      </c>
      <c r="H5490">
        <v>7.4649080000000003</v>
      </c>
      <c r="I5490">
        <v>-23.660599999999999</v>
      </c>
      <c r="J5490">
        <v>-239.86330000000001</v>
      </c>
      <c r="K5490">
        <v>1.120738</v>
      </c>
      <c r="L5490">
        <v>-63.123109999999997</v>
      </c>
      <c r="M5490">
        <v>0.99931380000000003</v>
      </c>
      <c r="N5490">
        <v>-1.070373E-2</v>
      </c>
      <c r="O5490">
        <v>-3.5461079999999999E-2</v>
      </c>
      <c r="P5490">
        <v>0.97905359999999997</v>
      </c>
      <c r="Q5490">
        <v>0.2036019</v>
      </c>
      <c r="R5490">
        <v>-5.8035740000000001E-4</v>
      </c>
      <c r="S5490">
        <v>3.0258940000000001</v>
      </c>
      <c r="T5490">
        <v>0.1942952</v>
      </c>
      <c r="U5490">
        <v>1.2083740000000001</v>
      </c>
      <c r="V5490">
        <v>-3.4124120000000001E-2</v>
      </c>
      <c r="W5490">
        <v>0.21406620000000001</v>
      </c>
      <c r="X5490">
        <v>0.9762229</v>
      </c>
      <c r="Y5490">
        <v>-0.40289510000000001</v>
      </c>
      <c r="Z5490">
        <v>-1.276651E-2</v>
      </c>
      <c r="AA5490">
        <v>0.91515709999999995</v>
      </c>
      <c r="AB5490">
        <v>37</v>
      </c>
      <c r="AC5490">
        <v>98.622</v>
      </c>
      <c r="AD5490">
        <v>6.3441700000000001</v>
      </c>
      <c r="AE5490">
        <v>39.462510000000002</v>
      </c>
      <c r="AF5490">
        <v>-42.782525284058899</v>
      </c>
      <c r="AG5490">
        <v>6.3441700000000001</v>
      </c>
      <c r="AH5490">
        <v>96.815162980489603</v>
      </c>
      <c r="AI5490">
        <v>86.569946178100494</v>
      </c>
      <c r="AJ5490">
        <v>113.84058816971501</v>
      </c>
      <c r="AK5490">
        <v>106.03663869440901</v>
      </c>
      <c r="AL5490">
        <v>77.639250561610396</v>
      </c>
      <c r="AM5490">
        <v>92.001973441318299</v>
      </c>
      <c r="AN5490">
        <v>0.99999997201631097</v>
      </c>
    </row>
    <row r="5491" spans="1:40" x14ac:dyDescent="0.25">
      <c r="A5491" t="str">
        <f>"20190303170645100"</f>
        <v>20190303170645100</v>
      </c>
      <c r="B5491" t="str">
        <f>"1551604005089992"</f>
        <v>1551604005089992</v>
      </c>
      <c r="C5491" t="s">
        <v>40</v>
      </c>
      <c r="D5491">
        <v>6.0445690000000001</v>
      </c>
      <c r="E5491">
        <v>0.39650999999999997</v>
      </c>
      <c r="F5491" t="s">
        <v>54</v>
      </c>
      <c r="G5491">
        <v>-157.3501</v>
      </c>
      <c r="H5491">
        <v>2.1150060000000002</v>
      </c>
      <c r="I5491">
        <v>-39.027999999999999</v>
      </c>
      <c r="J5491">
        <v>-239.67959999999999</v>
      </c>
      <c r="K5491">
        <v>1.120738</v>
      </c>
      <c r="L5491">
        <v>-63.12961</v>
      </c>
      <c r="M5491">
        <v>0.99931329999999996</v>
      </c>
      <c r="N5491">
        <v>-1.072847E-2</v>
      </c>
      <c r="O5491">
        <v>-3.5467279999999997E-2</v>
      </c>
      <c r="P5491">
        <v>0.97905129999999996</v>
      </c>
      <c r="Q5491">
        <v>0.20361319999999999</v>
      </c>
      <c r="R5491">
        <v>6.3396619999999998E-4</v>
      </c>
      <c r="S5491">
        <v>3.0570369999999998</v>
      </c>
      <c r="T5491">
        <v>3.6835909999999999E-2</v>
      </c>
      <c r="U5491">
        <v>0.89270020000000005</v>
      </c>
      <c r="V5491">
        <v>-3.5344349999999997E-2</v>
      </c>
      <c r="W5491">
        <v>0.21410109999999999</v>
      </c>
      <c r="X5491">
        <v>0.97617189999999998</v>
      </c>
      <c r="Y5491">
        <v>-0.31416899999999998</v>
      </c>
      <c r="Z5491">
        <v>-9.2557139999999995E-4</v>
      </c>
      <c r="AA5491">
        <v>0.94936659999999995</v>
      </c>
      <c r="AB5491">
        <v>37</v>
      </c>
      <c r="AC5491">
        <v>82.329499999999996</v>
      </c>
      <c r="AD5491">
        <v>0.99426800000000004</v>
      </c>
      <c r="AE5491">
        <v>24.101610000000001</v>
      </c>
      <c r="AF5491">
        <v>-27.002988364123201</v>
      </c>
      <c r="AG5491">
        <v>0.99426800000000004</v>
      </c>
      <c r="AH5491">
        <v>81.411891360301198</v>
      </c>
      <c r="AI5491">
        <v>89.335867749412003</v>
      </c>
      <c r="AJ5491">
        <v>108.34983574421101</v>
      </c>
      <c r="AK5491">
        <v>85.779053412300399</v>
      </c>
      <c r="AL5491">
        <v>77.637204347017203</v>
      </c>
      <c r="AM5491">
        <v>92.073607988862193</v>
      </c>
      <c r="AN5491">
        <v>1.0000000412238701</v>
      </c>
    </row>
    <row r="5492" spans="1:40" x14ac:dyDescent="0.25">
      <c r="A5492" t="str">
        <f>"20190303170645112"</f>
        <v>20190303170645112</v>
      </c>
      <c r="B5492" t="str">
        <f>"1551604005100728"</f>
        <v>1551604005100728</v>
      </c>
      <c r="C5492" t="s">
        <v>40</v>
      </c>
      <c r="D5492">
        <v>6.0595019999999904</v>
      </c>
      <c r="E5492">
        <v>0.39838630000000003</v>
      </c>
      <c r="F5492" t="s">
        <v>54</v>
      </c>
      <c r="G5492">
        <v>-157.3501</v>
      </c>
      <c r="H5492">
        <v>1.873815</v>
      </c>
      <c r="I5492">
        <v>-40.037410000000001</v>
      </c>
      <c r="J5492">
        <v>-239.49590000000001</v>
      </c>
      <c r="K5492">
        <v>1.1207370000000001</v>
      </c>
      <c r="L5492">
        <v>-63.136110000000002</v>
      </c>
      <c r="M5492">
        <v>0.9993128</v>
      </c>
      <c r="N5492">
        <v>-1.075129E-2</v>
      </c>
      <c r="O5492">
        <v>-3.5473360000000002E-2</v>
      </c>
      <c r="P5492">
        <v>0.97909250000000003</v>
      </c>
      <c r="Q5492">
        <v>0.20340949999999999</v>
      </c>
      <c r="R5492">
        <v>1.625732E-3</v>
      </c>
      <c r="S5492">
        <v>3.0577999999999999</v>
      </c>
      <c r="T5492">
        <v>2.7969239999999999E-2</v>
      </c>
      <c r="U5492">
        <v>0.85766600000000004</v>
      </c>
      <c r="V5492">
        <v>-3.6343319999999998E-2</v>
      </c>
      <c r="W5492">
        <v>0.21391940000000001</v>
      </c>
      <c r="X5492">
        <v>0.97617500000000001</v>
      </c>
      <c r="Y5492">
        <v>-0.30404589999999998</v>
      </c>
      <c r="Z5492">
        <v>-3.9116200000000002E-4</v>
      </c>
      <c r="AA5492">
        <v>0.95265730000000004</v>
      </c>
      <c r="AB5492">
        <v>37</v>
      </c>
      <c r="AC5492">
        <v>82.145799999999994</v>
      </c>
      <c r="AD5492">
        <v>0.75307800000000003</v>
      </c>
      <c r="AE5492">
        <v>23.098700000000001</v>
      </c>
      <c r="AF5492">
        <v>-25.9962916951797</v>
      </c>
      <c r="AG5492">
        <v>0.75307800000000003</v>
      </c>
      <c r="AH5492">
        <v>81.268327760456899</v>
      </c>
      <c r="AI5492">
        <v>89.494320627304404</v>
      </c>
      <c r="AJ5492">
        <v>107.738549058027</v>
      </c>
      <c r="AK5492">
        <v>85.328280220311498</v>
      </c>
      <c r="AL5492">
        <v>77.647861250296998</v>
      </c>
      <c r="AM5492">
        <v>92.132156170499499</v>
      </c>
      <c r="AN5492">
        <v>0.99999998861499095</v>
      </c>
    </row>
    <row r="5493" spans="1:40" x14ac:dyDescent="0.25">
      <c r="A5493" t="str">
        <f>"20190303170645127"</f>
        <v>20190303170645127</v>
      </c>
      <c r="B5493" t="str">
        <f>"1551604005120248"</f>
        <v>1551604005120248</v>
      </c>
      <c r="C5493" t="s">
        <v>40</v>
      </c>
      <c r="D5493">
        <v>6.0407760000000001</v>
      </c>
      <c r="E5493">
        <v>0.40071849999999998</v>
      </c>
      <c r="F5493" t="s">
        <v>54</v>
      </c>
      <c r="G5493">
        <v>-157.3501</v>
      </c>
      <c r="H5493">
        <v>1.7777449999999999</v>
      </c>
      <c r="I5493">
        <v>-40.408549999999998</v>
      </c>
      <c r="J5493">
        <v>-239.26150000000001</v>
      </c>
      <c r="K5493">
        <v>1.120738</v>
      </c>
      <c r="L5493">
        <v>-63.144440000000003</v>
      </c>
      <c r="M5493">
        <v>0.99931230000000004</v>
      </c>
      <c r="N5493">
        <v>-1.0779149999999999E-2</v>
      </c>
      <c r="O5493">
        <v>-3.5481249999999999E-2</v>
      </c>
      <c r="P5493">
        <v>0.97914000000000001</v>
      </c>
      <c r="Q5493">
        <v>0.2031665</v>
      </c>
      <c r="R5493">
        <v>2.9351859999999998E-3</v>
      </c>
      <c r="S5493">
        <v>3.0575709999999998</v>
      </c>
      <c r="T5493">
        <v>2.4453880000000001E-2</v>
      </c>
      <c r="U5493">
        <v>0.84594729999999996</v>
      </c>
      <c r="V5493">
        <v>-3.7661479999999997E-2</v>
      </c>
      <c r="W5493">
        <v>0.21370430000000001</v>
      </c>
      <c r="X5493">
        <v>0.97617209999999999</v>
      </c>
      <c r="Y5493">
        <v>-0.30068349999999999</v>
      </c>
      <c r="Z5493">
        <v>-1.835672E-4</v>
      </c>
      <c r="AA5493">
        <v>0.95372400000000002</v>
      </c>
      <c r="AB5493">
        <v>37</v>
      </c>
      <c r="AC5493">
        <v>81.9114</v>
      </c>
      <c r="AD5493">
        <v>0.65700700000000001</v>
      </c>
      <c r="AE5493">
        <v>22.735890000000001</v>
      </c>
      <c r="AF5493">
        <v>-25.6265291995864</v>
      </c>
      <c r="AG5493">
        <v>0.65700700000000001</v>
      </c>
      <c r="AH5493">
        <v>81.048231974460506</v>
      </c>
      <c r="AI5493">
        <v>89.557157820706493</v>
      </c>
      <c r="AJ5493">
        <v>107.54636196099899</v>
      </c>
      <c r="AK5493">
        <v>85.005685475744897</v>
      </c>
      <c r="AL5493">
        <v>77.660476735100204</v>
      </c>
      <c r="AM5493">
        <v>92.209420015258004</v>
      </c>
      <c r="AN5493">
        <v>0.999999941866343</v>
      </c>
    </row>
    <row r="5494" spans="1:40" x14ac:dyDescent="0.25">
      <c r="A5494" t="str">
        <f>"20190303170645137"</f>
        <v>20190303170645137</v>
      </c>
      <c r="B5494" t="str">
        <f>"1551604005130007"</f>
        <v>1551604005130007</v>
      </c>
      <c r="C5494" t="s">
        <v>40</v>
      </c>
      <c r="D5494">
        <v>6.033531</v>
      </c>
      <c r="E5494">
        <v>0.40151890000000001</v>
      </c>
      <c r="F5494" t="s">
        <v>48</v>
      </c>
      <c r="G5494">
        <v>-177.5797</v>
      </c>
      <c r="H5494">
        <v>1.538875</v>
      </c>
      <c r="I5494">
        <v>-46.375</v>
      </c>
      <c r="J5494">
        <v>-239.07419999999999</v>
      </c>
      <c r="K5494">
        <v>1.120736</v>
      </c>
      <c r="L5494">
        <v>-63.151060000000001</v>
      </c>
      <c r="M5494">
        <v>0.99931179999999997</v>
      </c>
      <c r="N5494">
        <v>-1.0799599999999999E-2</v>
      </c>
      <c r="O5494">
        <v>-3.548755E-2</v>
      </c>
      <c r="P5494">
        <v>0.97920399999999996</v>
      </c>
      <c r="Q5494">
        <v>0.20283590000000001</v>
      </c>
      <c r="R5494">
        <v>4.1652249999999998E-3</v>
      </c>
      <c r="S5494">
        <v>3.0571440000000001</v>
      </c>
      <c r="T5494">
        <v>2.0724179999999998E-2</v>
      </c>
      <c r="U5494">
        <v>0.83114619999999995</v>
      </c>
      <c r="V5494">
        <v>-3.8899059999999999E-2</v>
      </c>
      <c r="W5494">
        <v>0.21339359999999999</v>
      </c>
      <c r="X5494">
        <v>0.97619160000000005</v>
      </c>
      <c r="Y5494">
        <v>-0.29642770000000002</v>
      </c>
      <c r="Z5494" s="1">
        <v>2.9869140000000001E-5</v>
      </c>
      <c r="AA5494">
        <v>0.95505530000000005</v>
      </c>
      <c r="AB5494">
        <v>37</v>
      </c>
      <c r="AC5494">
        <v>61.494499999999903</v>
      </c>
      <c r="AD5494">
        <v>0.41813899999999998</v>
      </c>
      <c r="AE5494">
        <v>16.776060000000001</v>
      </c>
      <c r="AF5494">
        <v>-18.947092841938499</v>
      </c>
      <c r="AG5494">
        <v>0.41813899999999998</v>
      </c>
      <c r="AH5494">
        <v>60.857766425789002</v>
      </c>
      <c r="AI5494">
        <v>89.624135043612199</v>
      </c>
      <c r="AJ5494">
        <v>107.293142091365</v>
      </c>
      <c r="AK5494">
        <v>63.740371051008601</v>
      </c>
      <c r="AL5494">
        <v>77.678699637373001</v>
      </c>
      <c r="AM5494">
        <v>92.281901882904194</v>
      </c>
      <c r="AN5494">
        <v>1.0000000026502001</v>
      </c>
    </row>
    <row r="5495" spans="1:40" x14ac:dyDescent="0.25">
      <c r="A5495" t="str">
        <f>"20190303170645148"</f>
        <v>20190303170645148</v>
      </c>
      <c r="B5495" t="str">
        <f>"1551604005140744"</f>
        <v>1551604005140744</v>
      </c>
      <c r="C5495" t="s">
        <v>40</v>
      </c>
      <c r="D5495">
        <v>6.294143</v>
      </c>
      <c r="E5495">
        <v>0.40206170000000002</v>
      </c>
      <c r="F5495" t="s">
        <v>54</v>
      </c>
      <c r="G5495">
        <v>-157.3501</v>
      </c>
      <c r="H5495">
        <v>1.605918</v>
      </c>
      <c r="I5495">
        <v>-41.004300000000001</v>
      </c>
      <c r="J5495">
        <v>-238.89859999999999</v>
      </c>
      <c r="K5495">
        <v>1.120738</v>
      </c>
      <c r="L5495">
        <v>-63.157319999999999</v>
      </c>
      <c r="M5495">
        <v>0.99931150000000002</v>
      </c>
      <c r="N5495">
        <v>-1.0817729999999999E-2</v>
      </c>
      <c r="O5495">
        <v>-3.54936E-2</v>
      </c>
      <c r="P5495">
        <v>0.97923640000000001</v>
      </c>
      <c r="Q5495">
        <v>0.20264840000000001</v>
      </c>
      <c r="R5495">
        <v>5.4591070000000004E-3</v>
      </c>
      <c r="S5495">
        <v>3.0564420000000001</v>
      </c>
      <c r="T5495">
        <v>1.8144850000000001E-2</v>
      </c>
      <c r="U5495">
        <v>0.82827759999999995</v>
      </c>
      <c r="V5495">
        <v>-4.0199239999999997E-2</v>
      </c>
      <c r="W5495">
        <v>0.213224</v>
      </c>
      <c r="X5495">
        <v>0.97617600000000004</v>
      </c>
      <c r="Y5495">
        <v>-0.29565469999999999</v>
      </c>
      <c r="Z5495">
        <v>1.8153409999999999E-4</v>
      </c>
      <c r="AA5495">
        <v>0.9552948</v>
      </c>
      <c r="AB5495">
        <v>37</v>
      </c>
      <c r="AC5495">
        <v>81.548499999999905</v>
      </c>
      <c r="AD5495">
        <v>0.48518</v>
      </c>
      <c r="AE5495">
        <v>22.153020000000001</v>
      </c>
      <c r="AF5495">
        <v>-25.0328534168132</v>
      </c>
      <c r="AG5495">
        <v>0.48518</v>
      </c>
      <c r="AH5495">
        <v>80.708113725924093</v>
      </c>
      <c r="AI5495">
        <v>89.671028586756094</v>
      </c>
      <c r="AJ5495">
        <v>107.23207454391201</v>
      </c>
      <c r="AK5495">
        <v>84.502537068520994</v>
      </c>
      <c r="AL5495">
        <v>77.688646109134197</v>
      </c>
      <c r="AM5495">
        <v>92.3581261491112</v>
      </c>
      <c r="AN5495">
        <v>1.0000000180242801</v>
      </c>
    </row>
    <row r="5496" spans="1:40" x14ac:dyDescent="0.25">
      <c r="A5496" t="str">
        <f>"20190303170645159"</f>
        <v>20190303170645159</v>
      </c>
      <c r="B5496" t="str">
        <f>"1551604005150504"</f>
        <v>1551604005150504</v>
      </c>
      <c r="C5496" t="s">
        <v>40</v>
      </c>
      <c r="D5496">
        <v>6.0208849999999998</v>
      </c>
      <c r="E5496">
        <v>0.40270400000000001</v>
      </c>
      <c r="F5496" t="s">
        <v>54</v>
      </c>
      <c r="G5496">
        <v>-157.3501</v>
      </c>
      <c r="H5496">
        <v>1.4961139999999999</v>
      </c>
      <c r="I5496">
        <v>-41.082360000000001</v>
      </c>
      <c r="J5496">
        <v>-238.71019999999999</v>
      </c>
      <c r="K5496">
        <v>1.1207400000000001</v>
      </c>
      <c r="L5496">
        <v>-63.164000000000001</v>
      </c>
      <c r="M5496">
        <v>0.99931099999999995</v>
      </c>
      <c r="N5496">
        <v>-1.0836129999999999E-2</v>
      </c>
      <c r="O5496">
        <v>-3.5499900000000001E-2</v>
      </c>
      <c r="P5496">
        <v>0.97932129999999995</v>
      </c>
      <c r="Q5496">
        <v>0.2022033</v>
      </c>
      <c r="R5496">
        <v>6.61503E-3</v>
      </c>
      <c r="S5496">
        <v>3.056076</v>
      </c>
      <c r="T5496">
        <v>1.40667E-2</v>
      </c>
      <c r="U5496">
        <v>0.82727050000000002</v>
      </c>
      <c r="V5496">
        <v>-4.1363589999999999E-2</v>
      </c>
      <c r="W5496">
        <v>0.21279719999999999</v>
      </c>
      <c r="X5496">
        <v>0.97622050000000005</v>
      </c>
      <c r="Y5496">
        <v>-0.29539690000000002</v>
      </c>
      <c r="Z5496">
        <v>4.2283209999999997E-4</v>
      </c>
      <c r="AA5496">
        <v>0.95537450000000002</v>
      </c>
      <c r="AB5496">
        <v>37</v>
      </c>
      <c r="AC5496">
        <v>81.360099999999903</v>
      </c>
      <c r="AD5496">
        <v>0.37537399999999899</v>
      </c>
      <c r="AE5496">
        <v>22.08164</v>
      </c>
      <c r="AF5496">
        <v>-24.9556698915877</v>
      </c>
      <c r="AG5496">
        <v>0.37537399999999899</v>
      </c>
      <c r="AH5496">
        <v>80.523272626381498</v>
      </c>
      <c r="AI5496">
        <v>89.744878284664196</v>
      </c>
      <c r="AJ5496">
        <v>107.219187593263</v>
      </c>
      <c r="AK5496">
        <v>84.302572913525793</v>
      </c>
      <c r="AL5496">
        <v>77.713674494955001</v>
      </c>
      <c r="AM5496">
        <v>92.426237088950799</v>
      </c>
      <c r="AN5496">
        <v>1.0000000297628799</v>
      </c>
    </row>
    <row r="5497" spans="1:40" x14ac:dyDescent="0.25">
      <c r="A5497" t="str">
        <f>"20190303170645171"</f>
        <v>20190303170645171</v>
      </c>
      <c r="B5497" t="str">
        <f>"1551604005160263"</f>
        <v>1551604005160263</v>
      </c>
      <c r="C5497" t="s">
        <v>40</v>
      </c>
      <c r="D5497">
        <v>6.1563910000000002</v>
      </c>
      <c r="E5497">
        <v>0.40270400000000001</v>
      </c>
      <c r="F5497" t="s">
        <v>54</v>
      </c>
      <c r="G5497">
        <v>-157.3501</v>
      </c>
      <c r="H5497">
        <v>1.4135340000000001</v>
      </c>
      <c r="I5497">
        <v>-41.188789999999997</v>
      </c>
      <c r="J5497">
        <v>-238.53550000000001</v>
      </c>
      <c r="K5497">
        <v>1.120746</v>
      </c>
      <c r="L5497">
        <v>-63.170200000000001</v>
      </c>
      <c r="M5497">
        <v>0.99931049999999999</v>
      </c>
      <c r="N5497">
        <v>-1.085184E-2</v>
      </c>
      <c r="O5497">
        <v>-3.5505589999999997E-2</v>
      </c>
      <c r="P5497">
        <v>0.97932669999999999</v>
      </c>
      <c r="Q5497">
        <v>0.2021367</v>
      </c>
      <c r="R5497">
        <v>7.7551259999999898E-3</v>
      </c>
      <c r="S5497">
        <v>3.0555110000000001</v>
      </c>
      <c r="T5497">
        <v>1.099527E-2</v>
      </c>
      <c r="U5497">
        <v>0.82528690000000005</v>
      </c>
      <c r="V5497">
        <v>-4.2509180000000001E-2</v>
      </c>
      <c r="W5497">
        <v>0.2127455</v>
      </c>
      <c r="X5497">
        <v>0.97618249999999995</v>
      </c>
      <c r="Y5497">
        <v>-0.29486889999999999</v>
      </c>
      <c r="Z5497">
        <v>6.0316109999999999E-4</v>
      </c>
      <c r="AA5497">
        <v>0.95553759999999999</v>
      </c>
      <c r="AB5497">
        <v>37</v>
      </c>
      <c r="AC5497">
        <v>81.185400000000001</v>
      </c>
      <c r="AD5497">
        <v>0.29278799999999999</v>
      </c>
      <c r="AE5497">
        <v>21.98141</v>
      </c>
      <c r="AF5497">
        <v>-24.849952904028299</v>
      </c>
      <c r="AG5497">
        <v>0.29278799999999999</v>
      </c>
      <c r="AH5497">
        <v>80.352722125053901</v>
      </c>
      <c r="AI5497">
        <v>89.800547646940302</v>
      </c>
      <c r="AJ5497">
        <v>107.184792117903</v>
      </c>
      <c r="AK5497">
        <v>84.108060476101201</v>
      </c>
      <c r="AL5497">
        <v>77.716705430348398</v>
      </c>
      <c r="AM5497">
        <v>92.493446487783601</v>
      </c>
      <c r="AN5497">
        <v>0.99999997573038502</v>
      </c>
    </row>
    <row r="5498" spans="1:40" x14ac:dyDescent="0.25">
      <c r="A5498" t="str">
        <f>"20190303170645180"</f>
        <v>20190303170645180</v>
      </c>
      <c r="B5498" t="str">
        <f>"1551604005170024"</f>
        <v>1551604005170024</v>
      </c>
      <c r="C5498" t="s">
        <v>40</v>
      </c>
      <c r="D5498">
        <v>6.3065280000000001</v>
      </c>
      <c r="E5498">
        <v>0.41576089999999999</v>
      </c>
      <c r="F5498" t="s">
        <v>54</v>
      </c>
      <c r="G5498">
        <v>-157.3501</v>
      </c>
      <c r="H5498">
        <v>1.386269</v>
      </c>
      <c r="I5498">
        <v>-41.159320000000001</v>
      </c>
      <c r="J5498">
        <v>-238.3717</v>
      </c>
      <c r="K5498">
        <v>1.120746</v>
      </c>
      <c r="L5498">
        <v>-63.176029999999997</v>
      </c>
      <c r="M5498">
        <v>0.99931029999999998</v>
      </c>
      <c r="N5498">
        <v>-1.086607E-2</v>
      </c>
      <c r="O5498">
        <v>-3.5511380000000002E-2</v>
      </c>
      <c r="P5498">
        <v>0.97941069999999997</v>
      </c>
      <c r="Q5498">
        <v>0.2016848</v>
      </c>
      <c r="R5498">
        <v>8.8547820000000003E-3</v>
      </c>
      <c r="S5498">
        <v>3.0547029999999999</v>
      </c>
      <c r="T5498">
        <v>9.9898580000000008E-3</v>
      </c>
      <c r="U5498">
        <v>0.82818599999999998</v>
      </c>
      <c r="V5498">
        <v>-4.3616580000000002E-2</v>
      </c>
      <c r="W5498">
        <v>0.21230840000000001</v>
      </c>
      <c r="X5498">
        <v>0.97622880000000001</v>
      </c>
      <c r="Y5498">
        <v>-0.29578290000000002</v>
      </c>
      <c r="Z5498">
        <v>6.6763229999999905E-4</v>
      </c>
      <c r="AA5498">
        <v>0.95525499999999997</v>
      </c>
      <c r="AB5498">
        <v>37</v>
      </c>
      <c r="AC5498">
        <v>81.021600000000007</v>
      </c>
      <c r="AD5498">
        <v>0.26552299999999901</v>
      </c>
      <c r="AE5498">
        <v>22.01671</v>
      </c>
      <c r="AF5498">
        <v>-24.879931375330099</v>
      </c>
      <c r="AG5498">
        <v>0.26552299999999901</v>
      </c>
      <c r="AH5498">
        <v>80.187799556611196</v>
      </c>
      <c r="AI5498">
        <v>89.818800633824395</v>
      </c>
      <c r="AJ5498">
        <v>107.23758959762399</v>
      </c>
      <c r="AK5498">
        <v>83.959303745540396</v>
      </c>
      <c r="AL5498">
        <v>77.742334800100494</v>
      </c>
      <c r="AM5498">
        <v>92.5581964903662</v>
      </c>
      <c r="AN5498">
        <v>0.99999996635544697</v>
      </c>
    </row>
    <row r="5499" spans="1:40" x14ac:dyDescent="0.25">
      <c r="A5499" t="str">
        <f>"20190303170645190"</f>
        <v>20190303170645190</v>
      </c>
      <c r="B5499" t="str">
        <f>"1551604005180760"</f>
        <v>1551604005180760</v>
      </c>
      <c r="C5499" t="s">
        <v>40</v>
      </c>
      <c r="D5499">
        <v>6.0271330000000001</v>
      </c>
      <c r="E5499">
        <v>0.41319519999999998</v>
      </c>
      <c r="F5499" t="s">
        <v>54</v>
      </c>
      <c r="G5499">
        <v>-157.3501</v>
      </c>
      <c r="H5499">
        <v>0.90524859999999896</v>
      </c>
      <c r="I5499">
        <v>-43.900129999999997</v>
      </c>
      <c r="J5499">
        <v>-238.21170000000001</v>
      </c>
      <c r="K5499">
        <v>1.1207450000000001</v>
      </c>
      <c r="L5499">
        <v>-63.181730000000002</v>
      </c>
      <c r="M5499">
        <v>0.99931000000000003</v>
      </c>
      <c r="N5499">
        <v>-1.0877059999999999E-2</v>
      </c>
      <c r="O5499">
        <v>-3.5516680000000002E-2</v>
      </c>
      <c r="P5499">
        <v>0.97941270000000002</v>
      </c>
      <c r="Q5499">
        <v>0.20163529999999999</v>
      </c>
      <c r="R5499">
        <v>9.6984319999999999E-3</v>
      </c>
      <c r="S5499">
        <v>3.0581670000000001</v>
      </c>
      <c r="T5499">
        <v>-8.134723E-3</v>
      </c>
      <c r="U5499">
        <v>0.72756960000000004</v>
      </c>
      <c r="V5499">
        <v>-4.44651E-2</v>
      </c>
      <c r="W5499">
        <v>0.21226929999999999</v>
      </c>
      <c r="X5499">
        <v>0.97619900000000004</v>
      </c>
      <c r="Y5499">
        <v>-0.26585259999999999</v>
      </c>
      <c r="Z5499">
        <v>1.527112E-3</v>
      </c>
      <c r="AA5499">
        <v>0.96401250000000005</v>
      </c>
      <c r="AB5499">
        <v>37</v>
      </c>
      <c r="AC5499">
        <v>80.861599999999996</v>
      </c>
      <c r="AD5499">
        <v>-0.2154964</v>
      </c>
      <c r="AE5499">
        <v>19.281600000000001</v>
      </c>
      <c r="AF5499">
        <v>-22.141389852747899</v>
      </c>
      <c r="AG5499">
        <v>-0.2154964</v>
      </c>
      <c r="AH5499">
        <v>80.1251797629685</v>
      </c>
      <c r="AI5499">
        <v>90.148529829046595</v>
      </c>
      <c r="AJ5499">
        <v>105.447337840925</v>
      </c>
      <c r="AK5499">
        <v>83.128406789483194</v>
      </c>
      <c r="AL5499">
        <v>77.74462704314</v>
      </c>
      <c r="AM5499">
        <v>92.607975270102102</v>
      </c>
      <c r="AN5499">
        <v>0.999999944220748</v>
      </c>
    </row>
    <row r="5500" spans="1:40" x14ac:dyDescent="0.25">
      <c r="A5500" t="str">
        <f>"20190303170645202"</f>
        <v>20190303170645202</v>
      </c>
      <c r="B5500" t="str">
        <f>"1551604005190520"</f>
        <v>1551604005190520</v>
      </c>
      <c r="C5500" t="s">
        <v>40</v>
      </c>
      <c r="D5500">
        <v>6.1888170000000002</v>
      </c>
      <c r="E5500">
        <v>0.41381079999999998</v>
      </c>
      <c r="F5500" t="s">
        <v>54</v>
      </c>
      <c r="G5500">
        <v>-157.3501</v>
      </c>
      <c r="H5500">
        <v>0.90150929999999996</v>
      </c>
      <c r="I5500">
        <v>-43.340629999999997</v>
      </c>
      <c r="J5500">
        <v>-238.02250000000001</v>
      </c>
      <c r="K5500">
        <v>1.1207450000000001</v>
      </c>
      <c r="L5500">
        <v>-63.188420000000001</v>
      </c>
      <c r="M5500">
        <v>0.99930960000000002</v>
      </c>
      <c r="N5500">
        <v>-1.0888979999999999E-2</v>
      </c>
      <c r="O5500">
        <v>-3.5523180000000001E-2</v>
      </c>
      <c r="P5500">
        <v>0.97938800000000004</v>
      </c>
      <c r="Q5500">
        <v>0.201683</v>
      </c>
      <c r="R5500">
        <v>1.1106130000000001E-2</v>
      </c>
      <c r="S5500">
        <v>3.0573429999999999</v>
      </c>
      <c r="T5500">
        <v>-8.2899329999999993E-3</v>
      </c>
      <c r="U5500">
        <v>0.75018309999999999</v>
      </c>
      <c r="V5500">
        <v>-4.5877210000000002E-2</v>
      </c>
      <c r="W5500">
        <v>0.2123275</v>
      </c>
      <c r="X5500">
        <v>0.97612109999999996</v>
      </c>
      <c r="Y5500">
        <v>-0.27264729999999998</v>
      </c>
      <c r="Z5500">
        <v>1.5846040000000001E-3</v>
      </c>
      <c r="AA5500">
        <v>0.96211279999999999</v>
      </c>
      <c r="AB5500">
        <v>37</v>
      </c>
      <c r="AC5500">
        <v>80.672399999999996</v>
      </c>
      <c r="AD5500">
        <v>-0.21923570000000001</v>
      </c>
      <c r="AE5500">
        <v>19.84779</v>
      </c>
      <c r="AF5500">
        <v>-22.701013441523401</v>
      </c>
      <c r="AG5500">
        <v>-0.21923570000000001</v>
      </c>
      <c r="AH5500">
        <v>79.915822906303703</v>
      </c>
      <c r="AI5500">
        <v>90.151199154431296</v>
      </c>
      <c r="AJ5500">
        <v>105.857810334834</v>
      </c>
      <c r="AK5500">
        <v>83.077811877516794</v>
      </c>
      <c r="AL5500">
        <v>77.741215881705998</v>
      </c>
      <c r="AM5500">
        <v>92.690893175614704</v>
      </c>
      <c r="AN5500">
        <v>1.0000000437594201</v>
      </c>
    </row>
    <row r="5501" spans="1:40" x14ac:dyDescent="0.25">
      <c r="A5501" t="str">
        <f>"20190303170645212"</f>
        <v>20190303170645212</v>
      </c>
      <c r="B5501" t="str">
        <f>"1551604005200280"</f>
        <v>1551604005200280</v>
      </c>
      <c r="C5501" t="s">
        <v>40</v>
      </c>
      <c r="D5501">
        <v>6.0238899999999997</v>
      </c>
      <c r="E5501">
        <v>0.41297889999999998</v>
      </c>
      <c r="F5501" t="s">
        <v>54</v>
      </c>
      <c r="G5501">
        <v>-157.3501</v>
      </c>
      <c r="H5501">
        <v>0.8956537</v>
      </c>
      <c r="I5501">
        <v>-43.401290000000003</v>
      </c>
      <c r="J5501">
        <v>-237.8407</v>
      </c>
      <c r="K5501">
        <v>1.120746</v>
      </c>
      <c r="L5501">
        <v>-63.194890000000001</v>
      </c>
      <c r="M5501">
        <v>0.99930940000000001</v>
      </c>
      <c r="N5501">
        <v>-1.0897820000000001E-2</v>
      </c>
      <c r="O5501">
        <v>-3.5529190000000002E-2</v>
      </c>
      <c r="P5501">
        <v>0.97937779999999997</v>
      </c>
      <c r="Q5501">
        <v>0.2016694</v>
      </c>
      <c r="R5501">
        <v>1.220917E-2</v>
      </c>
      <c r="S5501">
        <v>3.0563959999999999</v>
      </c>
      <c r="T5501">
        <v>-8.5287090000000006E-3</v>
      </c>
      <c r="U5501">
        <v>0.74966429999999995</v>
      </c>
      <c r="V5501">
        <v>-4.6984999999999999E-2</v>
      </c>
      <c r="W5501">
        <v>0.21232239999999999</v>
      </c>
      <c r="X5501">
        <v>0.97606950000000003</v>
      </c>
      <c r="Y5501">
        <v>-0.27256780000000003</v>
      </c>
      <c r="Z5501">
        <v>1.5982800000000001E-3</v>
      </c>
      <c r="AA5501">
        <v>0.96213530000000003</v>
      </c>
      <c r="AB5501">
        <v>37</v>
      </c>
      <c r="AC5501">
        <v>80.490600000000001</v>
      </c>
      <c r="AD5501">
        <v>-0.2250923</v>
      </c>
      <c r="AE5501">
        <v>19.793600000000001</v>
      </c>
      <c r="AF5501">
        <v>-22.640869781780399</v>
      </c>
      <c r="AG5501">
        <v>-0.2250923</v>
      </c>
      <c r="AH5501">
        <v>79.735895134364199</v>
      </c>
      <c r="AI5501">
        <v>90.155593158979897</v>
      </c>
      <c r="AJ5501">
        <v>105.85180389976</v>
      </c>
      <c r="AK5501">
        <v>82.888314157650598</v>
      </c>
      <c r="AL5501">
        <v>77.7415147406617</v>
      </c>
      <c r="AM5501">
        <v>92.7559162379561</v>
      </c>
      <c r="AN5501">
        <v>1.0000000302984999</v>
      </c>
    </row>
    <row r="5502" spans="1:40" x14ac:dyDescent="0.25">
      <c r="A5502" t="str">
        <f>"20190303170645224"</f>
        <v>20190303170645224</v>
      </c>
      <c r="B5502" t="str">
        <f>"1551604005220776"</f>
        <v>1551604005220776</v>
      </c>
      <c r="C5502" t="s">
        <v>40</v>
      </c>
      <c r="D5502">
        <v>5.9982660000000001</v>
      </c>
      <c r="E5502">
        <v>0.4116032</v>
      </c>
      <c r="F5502" t="s">
        <v>54</v>
      </c>
      <c r="G5502">
        <v>-157.3501</v>
      </c>
      <c r="H5502">
        <v>0.89489269999999999</v>
      </c>
      <c r="I5502">
        <v>-43.18506</v>
      </c>
      <c r="J5502">
        <v>-237.6558</v>
      </c>
      <c r="K5502">
        <v>1.1207480000000001</v>
      </c>
      <c r="L5502">
        <v>-63.201479999999997</v>
      </c>
      <c r="M5502">
        <v>0.99930890000000006</v>
      </c>
      <c r="N5502">
        <v>-1.090638E-2</v>
      </c>
      <c r="O5502">
        <v>-3.5535190000000001E-2</v>
      </c>
      <c r="P5502">
        <v>0.97931369999999895</v>
      </c>
      <c r="Q5502">
        <v>0.2018952</v>
      </c>
      <c r="R5502">
        <v>1.3531970000000001E-2</v>
      </c>
      <c r="S5502">
        <v>3.055466</v>
      </c>
      <c r="T5502">
        <v>-8.5742470000000001E-3</v>
      </c>
      <c r="U5502">
        <v>0.75958249999999905</v>
      </c>
      <c r="V5502">
        <v>-4.8310789999999999E-2</v>
      </c>
      <c r="W5502">
        <v>0.21255540000000001</v>
      </c>
      <c r="X5502">
        <v>0.97595410000000005</v>
      </c>
      <c r="Y5502">
        <v>-0.27558359999999998</v>
      </c>
      <c r="Z5502">
        <v>1.62319E-3</v>
      </c>
      <c r="AA5502">
        <v>0.96127580000000001</v>
      </c>
      <c r="AB5502">
        <v>37</v>
      </c>
      <c r="AC5502">
        <v>80.305700000000002</v>
      </c>
      <c r="AD5502">
        <v>-0.22585529999999901</v>
      </c>
      <c r="AE5502">
        <v>20.01642</v>
      </c>
      <c r="AF5502">
        <v>-22.8574544928859</v>
      </c>
      <c r="AG5502">
        <v>-0.22585529999999901</v>
      </c>
      <c r="AH5502">
        <v>79.543052972076794</v>
      </c>
      <c r="AI5502">
        <v>90.156358137133395</v>
      </c>
      <c r="AJ5502">
        <v>106.03250926454101</v>
      </c>
      <c r="AK5502">
        <v>82.762379814922497</v>
      </c>
      <c r="AL5502">
        <v>77.727853454696501</v>
      </c>
      <c r="AM5502">
        <v>92.833890265045895</v>
      </c>
      <c r="AN5502">
        <v>1.00000006790319</v>
      </c>
    </row>
    <row r="5503" spans="1:40" x14ac:dyDescent="0.25">
      <c r="A5503" t="str">
        <f>"20190303170645235"</f>
        <v>20190303170645235</v>
      </c>
      <c r="B5503" t="str">
        <f>"1551604005230536"</f>
        <v>1551604005230536</v>
      </c>
      <c r="C5503" t="s">
        <v>40</v>
      </c>
      <c r="D5503">
        <v>6.0077759999999998</v>
      </c>
      <c r="E5503">
        <v>0.41128019999999998</v>
      </c>
      <c r="F5503" t="s">
        <v>54</v>
      </c>
      <c r="G5503">
        <v>-157.3501</v>
      </c>
      <c r="H5503">
        <v>0.8816252</v>
      </c>
      <c r="I5503">
        <v>-42.840890000000002</v>
      </c>
      <c r="J5503">
        <v>-237.46610000000001</v>
      </c>
      <c r="K5503">
        <v>1.1207450000000001</v>
      </c>
      <c r="L5503">
        <v>-63.208219999999997</v>
      </c>
      <c r="M5503">
        <v>0.99930859999999999</v>
      </c>
      <c r="N5503">
        <v>-1.0914E-2</v>
      </c>
      <c r="O5503">
        <v>-3.5541429999999999E-2</v>
      </c>
      <c r="P5503">
        <v>0.97934540000000003</v>
      </c>
      <c r="Q5503">
        <v>0.2016521</v>
      </c>
      <c r="R5503">
        <v>1.480626E-2</v>
      </c>
      <c r="S5503">
        <v>3.0545499999999999</v>
      </c>
      <c r="T5503">
        <v>-9.0961459999999994E-3</v>
      </c>
      <c r="U5503">
        <v>0.77444460000000004</v>
      </c>
      <c r="V5503">
        <v>-4.9591719999999999E-2</v>
      </c>
      <c r="W5503">
        <v>0.2123196</v>
      </c>
      <c r="X5503">
        <v>0.97594110000000001</v>
      </c>
      <c r="Y5503">
        <v>-0.28005330000000001</v>
      </c>
      <c r="Z5503">
        <v>1.6853969999999999E-3</v>
      </c>
      <c r="AA5503">
        <v>0.95998300000000003</v>
      </c>
      <c r="AB5503">
        <v>37</v>
      </c>
      <c r="AC5503">
        <v>80.116</v>
      </c>
      <c r="AD5503">
        <v>-0.23911979999999999</v>
      </c>
      <c r="AE5503">
        <v>20.3673299999999</v>
      </c>
      <c r="AF5503">
        <v>-23.2018731504002</v>
      </c>
      <c r="AG5503">
        <v>-0.23911979999999999</v>
      </c>
      <c r="AH5503">
        <v>79.3407859459397</v>
      </c>
      <c r="AI5503">
        <v>90.165738010640894</v>
      </c>
      <c r="AJ5503">
        <v>106.300667722311</v>
      </c>
      <c r="AK5503">
        <v>82.664045451970495</v>
      </c>
      <c r="AL5503">
        <v>77.741678422141902</v>
      </c>
      <c r="AM5503">
        <v>92.908940363059102</v>
      </c>
      <c r="AN5503">
        <v>0.99999999095296399</v>
      </c>
    </row>
    <row r="5504" spans="1:40" x14ac:dyDescent="0.25">
      <c r="A5504" t="str">
        <f>"20190303170645247"</f>
        <v>20190303170645247</v>
      </c>
      <c r="B5504" t="str">
        <f>"1551604005240296"</f>
        <v>1551604005240296</v>
      </c>
      <c r="C5504" t="s">
        <v>40</v>
      </c>
      <c r="D5504">
        <v>5.9892629999999896</v>
      </c>
      <c r="E5504">
        <v>0.41099540000000001</v>
      </c>
      <c r="F5504" t="s">
        <v>54</v>
      </c>
      <c r="G5504">
        <v>-157.3501</v>
      </c>
      <c r="H5504">
        <v>0.82115169999999904</v>
      </c>
      <c r="I5504">
        <v>-42.727550000000001</v>
      </c>
      <c r="J5504">
        <v>-237.27770000000001</v>
      </c>
      <c r="K5504">
        <v>1.1207469999999999</v>
      </c>
      <c r="L5504">
        <v>-63.2149</v>
      </c>
      <c r="M5504">
        <v>0.99930839999999999</v>
      </c>
      <c r="N5504">
        <v>-1.0921210000000001E-2</v>
      </c>
      <c r="O5504">
        <v>-3.5547790000000003E-2</v>
      </c>
      <c r="P5504">
        <v>0.97932140000000001</v>
      </c>
      <c r="Q5504">
        <v>0.2016511</v>
      </c>
      <c r="R5504">
        <v>1.6331100000000001E-2</v>
      </c>
      <c r="S5504">
        <v>3.0538180000000001</v>
      </c>
      <c r="T5504">
        <v>-1.142049E-2</v>
      </c>
      <c r="U5504">
        <v>0.78067019999999998</v>
      </c>
      <c r="V5504">
        <v>-5.1120789999999999E-2</v>
      </c>
      <c r="W5504">
        <v>0.21232519999999999</v>
      </c>
      <c r="X5504">
        <v>0.97586099999999998</v>
      </c>
      <c r="Y5504">
        <v>-0.28194989999999998</v>
      </c>
      <c r="Z5504">
        <v>1.83216E-3</v>
      </c>
      <c r="AA5504">
        <v>0.95942740000000004</v>
      </c>
      <c r="AB5504">
        <v>37</v>
      </c>
      <c r="AC5504">
        <v>79.927599999999998</v>
      </c>
      <c r="AD5504">
        <v>-0.29959530000000001</v>
      </c>
      <c r="AE5504">
        <v>20.487349999999999</v>
      </c>
      <c r="AF5504">
        <v>-23.315511323859301</v>
      </c>
      <c r="AG5504">
        <v>-0.29959530000000001</v>
      </c>
      <c r="AH5504">
        <v>79.147711099891495</v>
      </c>
      <c r="AI5504">
        <v>90.208039978269298</v>
      </c>
      <c r="AJ5504">
        <v>106.41403796624201</v>
      </c>
      <c r="AK5504">
        <v>82.510987134979104</v>
      </c>
      <c r="AL5504">
        <v>77.741350298186902</v>
      </c>
      <c r="AM5504">
        <v>92.998716656507497</v>
      </c>
      <c r="AN5504">
        <v>1.00000000852313</v>
      </c>
    </row>
    <row r="5505" spans="1:40" x14ac:dyDescent="0.25">
      <c r="A5505" t="str">
        <f>"20190303170645256"</f>
        <v>20190303170645256</v>
      </c>
      <c r="B5505" t="str">
        <f>"1551604005250056"</f>
        <v>1551604005250056</v>
      </c>
      <c r="C5505" t="s">
        <v>40</v>
      </c>
      <c r="D5505">
        <v>5.973624</v>
      </c>
      <c r="E5505">
        <v>0.41069290000000003</v>
      </c>
      <c r="F5505" t="s">
        <v>54</v>
      </c>
      <c r="G5505">
        <v>-157.3501</v>
      </c>
      <c r="H5505">
        <v>0.79208279999999998</v>
      </c>
      <c r="I5505">
        <v>-42.607170000000004</v>
      </c>
      <c r="J5505">
        <v>-237.10429999999999</v>
      </c>
      <c r="K5505">
        <v>1.1207499999999999</v>
      </c>
      <c r="L5505">
        <v>-63.221069999999997</v>
      </c>
      <c r="M5505">
        <v>0.99930799999999997</v>
      </c>
      <c r="N5505">
        <v>-1.0927289999999999E-2</v>
      </c>
      <c r="O5505">
        <v>-3.5553660000000001E-2</v>
      </c>
      <c r="P5505">
        <v>0.97928959999999998</v>
      </c>
      <c r="Q5505">
        <v>0.20170830000000001</v>
      </c>
      <c r="R5505">
        <v>1.748854E-2</v>
      </c>
      <c r="S5505">
        <v>3.052826</v>
      </c>
      <c r="T5505">
        <v>-1.2554050000000001E-2</v>
      </c>
      <c r="U5505">
        <v>0.78710939999999996</v>
      </c>
      <c r="V5505">
        <v>-5.2282420000000003E-2</v>
      </c>
      <c r="W5505">
        <v>0.21238770000000001</v>
      </c>
      <c r="X5505">
        <v>0.97578589999999998</v>
      </c>
      <c r="Y5505">
        <v>-0.28392729999999999</v>
      </c>
      <c r="Z5505">
        <v>1.9128140000000001E-3</v>
      </c>
      <c r="AA5505">
        <v>0.95884389999999997</v>
      </c>
      <c r="AB5505">
        <v>37</v>
      </c>
      <c r="AC5505">
        <v>79.754199999999997</v>
      </c>
      <c r="AD5505">
        <v>-0.32866719999999899</v>
      </c>
      <c r="AE5505">
        <v>20.613899999999902</v>
      </c>
      <c r="AF5505">
        <v>-23.4362156970444</v>
      </c>
      <c r="AG5505">
        <v>-0.32866719999999899</v>
      </c>
      <c r="AH5505">
        <v>78.969570377162697</v>
      </c>
      <c r="AI5505">
        <v>90.228605876130203</v>
      </c>
      <c r="AJ5505">
        <v>106.52958651174499</v>
      </c>
      <c r="AK5505">
        <v>82.374494073592899</v>
      </c>
      <c r="AL5505">
        <v>77.737686305304393</v>
      </c>
      <c r="AM5505">
        <v>93.066964164323807</v>
      </c>
      <c r="AN5505">
        <v>1.0000000545955701</v>
      </c>
    </row>
    <row r="5506" spans="1:40" x14ac:dyDescent="0.25">
      <c r="A5506" t="str">
        <f>"20190303170645269"</f>
        <v>20190303170645269</v>
      </c>
      <c r="B5506" t="str">
        <f>"1551604005260792"</f>
        <v>1551604005260792</v>
      </c>
      <c r="C5506" t="s">
        <v>40</v>
      </c>
      <c r="D5506">
        <v>5.9696889999999998</v>
      </c>
      <c r="E5506">
        <v>0.41046519999999997</v>
      </c>
      <c r="F5506" t="s">
        <v>54</v>
      </c>
      <c r="G5506">
        <v>-157.3501</v>
      </c>
      <c r="H5506">
        <v>0.78901480000000002</v>
      </c>
      <c r="I5506">
        <v>-42.515500000000003</v>
      </c>
      <c r="J5506">
        <v>-236.9212</v>
      </c>
      <c r="K5506">
        <v>1.120754</v>
      </c>
      <c r="L5506">
        <v>-63.227600000000002</v>
      </c>
      <c r="M5506">
        <v>0.99930790000000003</v>
      </c>
      <c r="N5506">
        <v>-1.093177E-2</v>
      </c>
      <c r="O5506">
        <v>-3.5559880000000002E-2</v>
      </c>
      <c r="P5506">
        <v>0.97913070000000002</v>
      </c>
      <c r="Q5506">
        <v>0.20241819999999999</v>
      </c>
      <c r="R5506">
        <v>1.8177769999999999E-2</v>
      </c>
      <c r="S5506">
        <v>3.0519099999999999</v>
      </c>
      <c r="T5506">
        <v>-1.2695069999999999E-2</v>
      </c>
      <c r="U5506">
        <v>0.79232789999999997</v>
      </c>
      <c r="V5506">
        <v>-5.2971459999999998E-2</v>
      </c>
      <c r="W5506">
        <v>0.2130996</v>
      </c>
      <c r="X5506">
        <v>0.97559340000000005</v>
      </c>
      <c r="Y5506">
        <v>-0.28553889999999998</v>
      </c>
      <c r="Z5506">
        <v>1.934065E-3</v>
      </c>
      <c r="AA5506">
        <v>0.95836509999999997</v>
      </c>
      <c r="AB5506">
        <v>37</v>
      </c>
      <c r="AC5506">
        <v>79.571100000000001</v>
      </c>
      <c r="AD5506">
        <v>-0.33173920000000001</v>
      </c>
      <c r="AE5506">
        <v>20.7121</v>
      </c>
      <c r="AF5506">
        <v>-23.528323459933699</v>
      </c>
      <c r="AG5506">
        <v>-0.33173920000000001</v>
      </c>
      <c r="AH5506">
        <v>78.7829228980832</v>
      </c>
      <c r="AI5506">
        <v>90.231170860904498</v>
      </c>
      <c r="AJ5506">
        <v>106.628124050688</v>
      </c>
      <c r="AK5506">
        <v>82.221900951616405</v>
      </c>
      <c r="AL5506">
        <v>77.695940504169897</v>
      </c>
      <c r="AM5506">
        <v>93.107917494327495</v>
      </c>
      <c r="AN5506">
        <v>0.999999948609124</v>
      </c>
    </row>
    <row r="5507" spans="1:40" x14ac:dyDescent="0.25">
      <c r="A5507" t="str">
        <f>"20190303170645280"</f>
        <v>20190303170645280</v>
      </c>
      <c r="B5507" t="str">
        <f>"1551604005270552"</f>
        <v>1551604005270552</v>
      </c>
      <c r="C5507" t="s">
        <v>40</v>
      </c>
      <c r="D5507">
        <v>5.9748539999999997</v>
      </c>
      <c r="E5507">
        <v>0.41023229999999999</v>
      </c>
      <c r="F5507" t="s">
        <v>54</v>
      </c>
      <c r="G5507">
        <v>-157.3501</v>
      </c>
      <c r="H5507">
        <v>0.8205614</v>
      </c>
      <c r="I5507">
        <v>-42.474780000000003</v>
      </c>
      <c r="J5507">
        <v>-236.7364</v>
      </c>
      <c r="K5507">
        <v>1.120754</v>
      </c>
      <c r="L5507">
        <v>-63.234160000000003</v>
      </c>
      <c r="M5507">
        <v>0.99930750000000002</v>
      </c>
      <c r="N5507">
        <v>-1.093453E-2</v>
      </c>
      <c r="O5507">
        <v>-3.5566090000000002E-2</v>
      </c>
      <c r="P5507">
        <v>0.97898569999999996</v>
      </c>
      <c r="Q5507">
        <v>0.2030487</v>
      </c>
      <c r="R5507">
        <v>1.893311E-2</v>
      </c>
      <c r="S5507">
        <v>3.0515439999999998</v>
      </c>
      <c r="T5507">
        <v>-1.151311E-2</v>
      </c>
      <c r="U5507">
        <v>0.79586789999999996</v>
      </c>
      <c r="V5507">
        <v>-5.3727249999999997E-2</v>
      </c>
      <c r="W5507">
        <v>0.21373130000000001</v>
      </c>
      <c r="X5507">
        <v>0.97541389999999994</v>
      </c>
      <c r="Y5507">
        <v>-0.286614799999999</v>
      </c>
      <c r="Z5507">
        <v>1.874615E-3</v>
      </c>
      <c r="AA5507">
        <v>0.95804409999999895</v>
      </c>
      <c r="AB5507">
        <v>37</v>
      </c>
      <c r="AC5507">
        <v>79.386300000000006</v>
      </c>
      <c r="AD5507">
        <v>-0.30019259999999998</v>
      </c>
      <c r="AE5507">
        <v>20.75938</v>
      </c>
      <c r="AF5507">
        <v>-23.569558177866401</v>
      </c>
      <c r="AG5507">
        <v>-0.30019259999999998</v>
      </c>
      <c r="AH5507">
        <v>78.596642329037195</v>
      </c>
      <c r="AI5507">
        <v>90.209612791004702</v>
      </c>
      <c r="AJ5507">
        <v>106.692934277916</v>
      </c>
      <c r="AK5507">
        <v>82.055142274543201</v>
      </c>
      <c r="AL5507">
        <v>77.658893653658694</v>
      </c>
      <c r="AM5507">
        <v>93.152750973279893</v>
      </c>
      <c r="AN5507">
        <v>0.99999998115273103</v>
      </c>
    </row>
    <row r="5508" spans="1:40" x14ac:dyDescent="0.25">
      <c r="A5508" t="str">
        <f>"20190303170645292"</f>
        <v>20190303170645292</v>
      </c>
      <c r="B5508" t="str">
        <f>"1551604005280314"</f>
        <v>1551604005280314</v>
      </c>
      <c r="C5508" t="s">
        <v>40</v>
      </c>
      <c r="D5508">
        <v>5.9897739999999997</v>
      </c>
      <c r="E5508">
        <v>0.41007710000000003</v>
      </c>
      <c r="F5508" t="s">
        <v>54</v>
      </c>
      <c r="G5508">
        <v>-157.3501</v>
      </c>
      <c r="H5508">
        <v>0.86243340000000002</v>
      </c>
      <c r="I5508">
        <v>-42.427349999999997</v>
      </c>
      <c r="J5508">
        <v>-236.547</v>
      </c>
      <c r="K5508">
        <v>1.1207530000000001</v>
      </c>
      <c r="L5508">
        <v>-63.240940000000002</v>
      </c>
      <c r="M5508">
        <v>0.99930730000000001</v>
      </c>
      <c r="N5508">
        <v>-1.093569E-2</v>
      </c>
      <c r="O5508">
        <v>-3.5572409999999999E-2</v>
      </c>
      <c r="P5508">
        <v>0.9788386</v>
      </c>
      <c r="Q5508">
        <v>0.20369770000000001</v>
      </c>
      <c r="R5508">
        <v>1.9559900000000002E-2</v>
      </c>
      <c r="S5508">
        <v>3.0509949999999999</v>
      </c>
      <c r="T5508">
        <v>-9.9285840000000007E-3</v>
      </c>
      <c r="U5508">
        <v>0.79965209999999998</v>
      </c>
      <c r="V5508">
        <v>-5.4354680000000002E-2</v>
      </c>
      <c r="W5508">
        <v>0.2143796</v>
      </c>
      <c r="X5508">
        <v>0.97523689999999996</v>
      </c>
      <c r="Y5508">
        <v>-0.28777609999999998</v>
      </c>
      <c r="Z5508">
        <v>1.791958E-3</v>
      </c>
      <c r="AA5508">
        <v>0.95769599999999999</v>
      </c>
      <c r="AB5508">
        <v>37</v>
      </c>
      <c r="AC5508">
        <v>79.196899999999999</v>
      </c>
      <c r="AD5508">
        <v>-0.25831959999999998</v>
      </c>
      <c r="AE5508">
        <v>20.813590000000001</v>
      </c>
      <c r="AF5508">
        <v>-23.6175734785046</v>
      </c>
      <c r="AG5508">
        <v>-0.25831959999999998</v>
      </c>
      <c r="AH5508">
        <v>78.405556341666198</v>
      </c>
      <c r="AI5508">
        <v>90.180747376207805</v>
      </c>
      <c r="AJ5508">
        <v>106.763520599437</v>
      </c>
      <c r="AK5508">
        <v>81.885821552174093</v>
      </c>
      <c r="AL5508">
        <v>77.620867991798406</v>
      </c>
      <c r="AM5508">
        <v>93.190071087540403</v>
      </c>
      <c r="AN5508">
        <v>1.00000002762783</v>
      </c>
    </row>
    <row r="5509" spans="1:40" x14ac:dyDescent="0.25">
      <c r="A5509" t="str">
        <f>"20190303170645315"</f>
        <v>20190303170645315</v>
      </c>
      <c r="B5509" t="str">
        <f>"1551604005310569"</f>
        <v>1551604005310569</v>
      </c>
      <c r="C5509" t="s">
        <v>40</v>
      </c>
      <c r="D5509">
        <v>6.219964</v>
      </c>
      <c r="E5509">
        <v>0.40990290000000001</v>
      </c>
      <c r="F5509" t="s">
        <v>54</v>
      </c>
      <c r="G5509">
        <v>-157.3501</v>
      </c>
      <c r="H5509">
        <v>0.91335580000000005</v>
      </c>
      <c r="I5509">
        <v>-42.394570000000002</v>
      </c>
      <c r="J5509">
        <v>-236.1679</v>
      </c>
      <c r="K5509">
        <v>1.1207510000000001</v>
      </c>
      <c r="L5509">
        <v>-63.254390000000001</v>
      </c>
      <c r="M5509">
        <v>0.99930669999999999</v>
      </c>
      <c r="N5509">
        <v>-1.0936329999999999E-2</v>
      </c>
      <c r="O5509">
        <v>-3.5585169999999999E-2</v>
      </c>
      <c r="P5509">
        <v>0.97865579999999996</v>
      </c>
      <c r="Q5509">
        <v>0.2045052</v>
      </c>
      <c r="R5509">
        <v>2.025747E-2</v>
      </c>
      <c r="S5509">
        <v>3.0504609999999999</v>
      </c>
      <c r="T5509">
        <v>-7.9891679999999996E-3</v>
      </c>
      <c r="U5509">
        <v>0.802948</v>
      </c>
      <c r="V5509">
        <v>-5.5057099999999998E-2</v>
      </c>
      <c r="W5509">
        <v>0.2151853</v>
      </c>
      <c r="X5509">
        <v>0.97502</v>
      </c>
      <c r="Y5509">
        <v>-0.28879860000000002</v>
      </c>
      <c r="Z5509">
        <v>1.6870089999999999E-3</v>
      </c>
      <c r="AA5509">
        <v>0.95738840000000003</v>
      </c>
      <c r="AB5509">
        <v>37</v>
      </c>
      <c r="AC5509">
        <v>78.817800000000005</v>
      </c>
      <c r="AD5509">
        <v>-0.2073952</v>
      </c>
      <c r="AE5509">
        <v>20.859819999999999</v>
      </c>
      <c r="AF5509">
        <v>-23.651366605398099</v>
      </c>
      <c r="AG5509">
        <v>-0.2073952</v>
      </c>
      <c r="AH5509">
        <v>78.025024961652093</v>
      </c>
      <c r="AI5509">
        <v>90.145746464701702</v>
      </c>
      <c r="AJ5509">
        <v>106.86338883662</v>
      </c>
      <c r="AK5509">
        <v>81.531188359660007</v>
      </c>
      <c r="AL5509">
        <v>77.573601315431603</v>
      </c>
      <c r="AM5509">
        <v>93.231926535491397</v>
      </c>
      <c r="AN5509">
        <v>0.99999999899824998</v>
      </c>
    </row>
    <row r="5510" spans="1:40" x14ac:dyDescent="0.25">
      <c r="A5510" t="str">
        <f>"20190303170645326"</f>
        <v>20190303170645326</v>
      </c>
      <c r="B5510" t="str">
        <f>"1551604005320329"</f>
        <v>1551604005320329</v>
      </c>
      <c r="C5510" t="s">
        <v>40</v>
      </c>
      <c r="D5510">
        <v>5.9408329999999996</v>
      </c>
      <c r="E5510">
        <v>0.40990919999999997</v>
      </c>
      <c r="F5510" t="s">
        <v>54</v>
      </c>
      <c r="G5510">
        <v>-157.3501</v>
      </c>
      <c r="H5510">
        <v>0.99652189999999996</v>
      </c>
      <c r="I5510">
        <v>-42.393979999999999</v>
      </c>
      <c r="J5510">
        <v>-235.98699999999999</v>
      </c>
      <c r="K5510">
        <v>1.1207549999999999</v>
      </c>
      <c r="L5510">
        <v>-63.260860000000001</v>
      </c>
      <c r="M5510">
        <v>0.99930669999999999</v>
      </c>
      <c r="N5510">
        <v>-1.0936329999999999E-2</v>
      </c>
      <c r="O5510">
        <v>-3.5591249999999998E-2</v>
      </c>
      <c r="P5510">
        <v>0.97866770000000003</v>
      </c>
      <c r="Q5510">
        <v>0.20444010000000001</v>
      </c>
      <c r="R5510">
        <v>2.0346050000000001E-2</v>
      </c>
      <c r="S5510">
        <v>3.049728</v>
      </c>
      <c r="T5510">
        <v>-4.8075909999999999E-3</v>
      </c>
      <c r="U5510">
        <v>0.80715939999999997</v>
      </c>
      <c r="V5510">
        <v>-5.515275E-2</v>
      </c>
      <c r="W5510">
        <v>0.21512010000000001</v>
      </c>
      <c r="X5510">
        <v>0.97502900000000003</v>
      </c>
      <c r="Y5510">
        <v>-0.29009859999999998</v>
      </c>
      <c r="Z5510">
        <v>1.510941E-3</v>
      </c>
      <c r="AA5510">
        <v>0.9569955</v>
      </c>
      <c r="AB5510">
        <v>37</v>
      </c>
      <c r="AC5510">
        <v>78.636899999999997</v>
      </c>
      <c r="AD5510">
        <v>-0.124233099999999</v>
      </c>
      <c r="AE5510">
        <v>20.866879999999998</v>
      </c>
      <c r="AF5510">
        <v>-23.652555302080401</v>
      </c>
      <c r="AG5510">
        <v>-0.124233099999999</v>
      </c>
      <c r="AH5510">
        <v>77.844167942165697</v>
      </c>
      <c r="AI5510">
        <v>90.087489966055998</v>
      </c>
      <c r="AJ5510">
        <v>106.901137934389</v>
      </c>
      <c r="AK5510">
        <v>81.358301904533505</v>
      </c>
      <c r="AL5510">
        <v>77.577426814319594</v>
      </c>
      <c r="AM5510">
        <v>93.237499566358807</v>
      </c>
      <c r="AN5510">
        <v>1.0000000170487799</v>
      </c>
    </row>
    <row r="5511" spans="1:40" x14ac:dyDescent="0.25">
      <c r="A5511" t="str">
        <f>"20190303170645336"</f>
        <v>20190303170645336</v>
      </c>
      <c r="B5511" t="str">
        <f>"1551604005330089"</f>
        <v>1551604005330089</v>
      </c>
      <c r="C5511" t="s">
        <v>40</v>
      </c>
      <c r="D5511">
        <v>5.9767190000000001</v>
      </c>
      <c r="E5511">
        <v>0.4098598</v>
      </c>
      <c r="F5511" t="s">
        <v>54</v>
      </c>
      <c r="G5511">
        <v>-157.3501</v>
      </c>
      <c r="H5511">
        <v>0.99204159999999997</v>
      </c>
      <c r="I5511">
        <v>-42.432749999999999</v>
      </c>
      <c r="J5511">
        <v>-235.79480000000001</v>
      </c>
      <c r="K5511">
        <v>1.1207530000000001</v>
      </c>
      <c r="L5511">
        <v>-63.267699999999998</v>
      </c>
      <c r="M5511">
        <v>0.99930640000000004</v>
      </c>
      <c r="N5511">
        <v>-1.093616E-2</v>
      </c>
      <c r="O5511">
        <v>-3.5597690000000001E-2</v>
      </c>
      <c r="P5511">
        <v>0.97874519999999998</v>
      </c>
      <c r="Q5511">
        <v>0.2040391</v>
      </c>
      <c r="R5511">
        <v>2.0641960000000001E-2</v>
      </c>
      <c r="S5511">
        <v>3.0496370000000002</v>
      </c>
      <c r="T5511">
        <v>-4.9924849999999996E-3</v>
      </c>
      <c r="U5511">
        <v>0.80773930000000005</v>
      </c>
      <c r="V5511">
        <v>-5.545717E-2</v>
      </c>
      <c r="W5511">
        <v>0.21471960000000001</v>
      </c>
      <c r="X5511">
        <v>0.97509999999999997</v>
      </c>
      <c r="Y5511">
        <v>-0.29028179999999998</v>
      </c>
      <c r="Z5511">
        <v>1.5228489999999999E-3</v>
      </c>
      <c r="AA5511">
        <v>0.95694000000000001</v>
      </c>
      <c r="AB5511">
        <v>37</v>
      </c>
      <c r="AC5511">
        <v>78.444699999999997</v>
      </c>
      <c r="AD5511">
        <v>-0.1287114</v>
      </c>
      <c r="AE5511">
        <v>20.834949999999999</v>
      </c>
      <c r="AF5511">
        <v>-23.614300882632701</v>
      </c>
      <c r="AG5511">
        <v>-0.1287114</v>
      </c>
      <c r="AH5511">
        <v>77.653060212028905</v>
      </c>
      <c r="AI5511">
        <v>90.090860387660001</v>
      </c>
      <c r="AJ5511">
        <v>106.914520093523</v>
      </c>
      <c r="AK5511">
        <v>81.164336583828401</v>
      </c>
      <c r="AL5511">
        <v>77.600922711599097</v>
      </c>
      <c r="AM5511">
        <v>93.255094355915901</v>
      </c>
      <c r="AN5511">
        <v>1.0000000071642801</v>
      </c>
    </row>
    <row r="5512" spans="1:40" x14ac:dyDescent="0.25">
      <c r="A5512" t="str">
        <f>"20190303170645349"</f>
        <v>20190303170645349</v>
      </c>
      <c r="B5512" t="str">
        <f>"1551604005340824"</f>
        <v>1551604005340824</v>
      </c>
      <c r="C5512" t="s">
        <v>40</v>
      </c>
      <c r="D5512">
        <v>6.2324219999999997</v>
      </c>
      <c r="E5512">
        <v>0.4098598</v>
      </c>
      <c r="F5512" t="s">
        <v>54</v>
      </c>
      <c r="G5512">
        <v>-157.3501</v>
      </c>
      <c r="H5512">
        <v>0.94020459999999995</v>
      </c>
      <c r="I5512">
        <v>-42.457680000000003</v>
      </c>
      <c r="J5512">
        <v>-235.5984</v>
      </c>
      <c r="K5512">
        <v>1.120754</v>
      </c>
      <c r="L5512">
        <v>-63.274720000000002</v>
      </c>
      <c r="M5512">
        <v>0.99930629999999998</v>
      </c>
      <c r="N5512">
        <v>-1.0935830000000001E-2</v>
      </c>
      <c r="O5512">
        <v>-3.5604129999999998E-2</v>
      </c>
      <c r="P5512">
        <v>0.97884850000000001</v>
      </c>
      <c r="Q5512">
        <v>0.20355290000000001</v>
      </c>
      <c r="R5512">
        <v>2.0547670000000001E-2</v>
      </c>
      <c r="S5512">
        <v>3.0495450000000002</v>
      </c>
      <c r="T5512">
        <v>-7.0196390000000003E-3</v>
      </c>
      <c r="U5512">
        <v>0.80899049999999995</v>
      </c>
      <c r="V5512">
        <v>-5.537301E-2</v>
      </c>
      <c r="W5512">
        <v>0.21423429999999999</v>
      </c>
      <c r="X5512">
        <v>0.97521150000000001</v>
      </c>
      <c r="Y5512">
        <v>-0.29066069999999999</v>
      </c>
      <c r="Z5512">
        <v>1.6435179999999901E-3</v>
      </c>
      <c r="AA5512">
        <v>0.95682480000000003</v>
      </c>
      <c r="AB5512">
        <v>37</v>
      </c>
      <c r="AC5512">
        <v>78.2483</v>
      </c>
      <c r="AD5512">
        <v>-0.1805494</v>
      </c>
      <c r="AE5512">
        <v>20.817039999999999</v>
      </c>
      <c r="AF5512">
        <v>-23.589851340041399</v>
      </c>
      <c r="AG5512">
        <v>-0.1805494</v>
      </c>
      <c r="AH5512">
        <v>77.457080537036106</v>
      </c>
      <c r="AI5512">
        <v>90.127760271581593</v>
      </c>
      <c r="AJ5512">
        <v>106.938315528302</v>
      </c>
      <c r="AK5512">
        <v>80.969827773387294</v>
      </c>
      <c r="AL5512">
        <v>77.629390588306194</v>
      </c>
      <c r="AM5512">
        <v>93.249794320307899</v>
      </c>
      <c r="AN5512">
        <v>0.99999998763259901</v>
      </c>
    </row>
    <row r="5513" spans="1:40" x14ac:dyDescent="0.25">
      <c r="A5513" t="str">
        <f>"20190303170645362"</f>
        <v>20190303170645362</v>
      </c>
      <c r="B5513" t="str">
        <f>"1551604005350585"</f>
        <v>1551604005350585</v>
      </c>
      <c r="C5513" t="s">
        <v>40</v>
      </c>
      <c r="D5513">
        <v>6.0839339999999904</v>
      </c>
      <c r="E5513">
        <v>0.4358648</v>
      </c>
      <c r="F5513" t="s">
        <v>54</v>
      </c>
      <c r="G5513">
        <v>-157.3501</v>
      </c>
      <c r="H5513">
        <v>0.87965579999999999</v>
      </c>
      <c r="I5513">
        <v>-42.54607</v>
      </c>
      <c r="J5513">
        <v>-235.37629999999999</v>
      </c>
      <c r="K5513">
        <v>1.120754</v>
      </c>
      <c r="L5513">
        <v>-63.282620000000001</v>
      </c>
      <c r="M5513">
        <v>0.99930589999999997</v>
      </c>
      <c r="N5513">
        <v>-1.093528E-2</v>
      </c>
      <c r="O5513">
        <v>-3.561139E-2</v>
      </c>
      <c r="P5513">
        <v>0.97893459999999999</v>
      </c>
      <c r="Q5513">
        <v>0.20316519999999999</v>
      </c>
      <c r="R5513">
        <v>2.0278029999999999E-2</v>
      </c>
      <c r="S5513">
        <v>3.04982</v>
      </c>
      <c r="T5513">
        <v>-9.3978640000000006E-3</v>
      </c>
      <c r="U5513">
        <v>0.80792240000000004</v>
      </c>
      <c r="V5513">
        <v>-5.5113660000000002E-2</v>
      </c>
      <c r="W5513">
        <v>0.21384729999999999</v>
      </c>
      <c r="X5513">
        <v>0.97531120000000004</v>
      </c>
      <c r="Y5513">
        <v>-0.29033160000000002</v>
      </c>
      <c r="Z5513">
        <v>1.779692E-3</v>
      </c>
      <c r="AA5513">
        <v>0.95692440000000001</v>
      </c>
      <c r="AB5513">
        <v>37</v>
      </c>
      <c r="AC5513">
        <v>78.026199999999903</v>
      </c>
      <c r="AD5513">
        <v>-0.24109819999999901</v>
      </c>
      <c r="AE5513">
        <v>20.736549999999902</v>
      </c>
      <c r="AF5513">
        <v>-23.501973459708999</v>
      </c>
      <c r="AG5513">
        <v>-0.24109819999999901</v>
      </c>
      <c r="AH5513">
        <v>77.237512781760898</v>
      </c>
      <c r="AI5513">
        <v>90.171103513000702</v>
      </c>
      <c r="AJ5513">
        <v>106.924053434836</v>
      </c>
      <c r="AK5513">
        <v>80.734343779804107</v>
      </c>
      <c r="AL5513">
        <v>77.652091031680001</v>
      </c>
      <c r="AM5513">
        <v>93.234275736225797</v>
      </c>
      <c r="AN5513">
        <v>1.00000006004066</v>
      </c>
    </row>
    <row r="5514" spans="1:40" x14ac:dyDescent="0.25">
      <c r="A5514" t="str">
        <f>"20190303170645375"</f>
        <v>20190303170645375</v>
      </c>
      <c r="B5514" t="str">
        <f>"1551604005360345"</f>
        <v>1551604005360345</v>
      </c>
      <c r="C5514" t="s">
        <v>40</v>
      </c>
      <c r="D5514">
        <v>6.2029170000000002</v>
      </c>
      <c r="E5514">
        <v>0.44818649999999999</v>
      </c>
      <c r="F5514" t="s">
        <v>71</v>
      </c>
      <c r="G5514">
        <v>-176.8707</v>
      </c>
      <c r="H5514">
        <v>7.9986570000000007E-2</v>
      </c>
      <c r="I5514">
        <v>-51.805030000000002</v>
      </c>
      <c r="J5514">
        <v>-235.17009999999999</v>
      </c>
      <c r="K5514">
        <v>1.120754</v>
      </c>
      <c r="L5514">
        <v>-63.28998</v>
      </c>
      <c r="M5514">
        <v>0.99930569999999996</v>
      </c>
      <c r="N5514">
        <v>-1.0934579999999999E-2</v>
      </c>
      <c r="O5514">
        <v>-3.5618419999999998E-2</v>
      </c>
      <c r="P5514">
        <v>0.97896729999999998</v>
      </c>
      <c r="Q5514">
        <v>0.2030151</v>
      </c>
      <c r="R5514">
        <v>2.0198480000000001E-2</v>
      </c>
      <c r="S5514">
        <v>3.063431</v>
      </c>
      <c r="T5514">
        <v>-5.4496049999999997E-2</v>
      </c>
      <c r="U5514">
        <v>0.60098269999999998</v>
      </c>
      <c r="V5514">
        <v>-5.5042500000000001E-2</v>
      </c>
      <c r="W5514">
        <v>0.21369679999999999</v>
      </c>
      <c r="X5514">
        <v>0.97534810000000005</v>
      </c>
      <c r="Y5514">
        <v>-0.22728470000000001</v>
      </c>
      <c r="Z5514">
        <v>3.4994459999999998E-3</v>
      </c>
      <c r="AA5514">
        <v>0.97382210000000002</v>
      </c>
      <c r="AB5514">
        <v>37</v>
      </c>
      <c r="AC5514">
        <v>58.299399999999899</v>
      </c>
      <c r="AD5514">
        <v>-1.04076743</v>
      </c>
      <c r="AE5514">
        <v>11.48495</v>
      </c>
      <c r="AF5514">
        <v>-13.550160966703</v>
      </c>
      <c r="AG5514">
        <v>-1.04076743</v>
      </c>
      <c r="AH5514">
        <v>57.8355587635494</v>
      </c>
      <c r="AI5514">
        <v>91.003767700563401</v>
      </c>
      <c r="AJ5514">
        <v>103.185870024571</v>
      </c>
      <c r="AK5514">
        <v>59.4107895635034</v>
      </c>
      <c r="AL5514">
        <v>77.660916812932001</v>
      </c>
      <c r="AM5514">
        <v>93.229986704627294</v>
      </c>
      <c r="AN5514">
        <v>0.99999995765504901</v>
      </c>
    </row>
    <row r="5515" spans="1:40" x14ac:dyDescent="0.25">
      <c r="A5515" t="str">
        <f>"20190303170645388"</f>
        <v>20190303170645388</v>
      </c>
      <c r="B5515" t="str">
        <f>"1551604005380840"</f>
        <v>1551604005380840</v>
      </c>
      <c r="C5515" t="s">
        <v>40</v>
      </c>
      <c r="D5515">
        <v>5.9181280000000003</v>
      </c>
      <c r="E5515">
        <v>0.46339360000000002</v>
      </c>
      <c r="F5515" t="s">
        <v>71</v>
      </c>
      <c r="G5515">
        <v>-199.3912</v>
      </c>
      <c r="H5515" s="1">
        <v>-8.2615879999999995E-6</v>
      </c>
      <c r="I5515">
        <v>-57.4253199999999</v>
      </c>
      <c r="J5515">
        <v>-234.95529999999999</v>
      </c>
      <c r="K5515">
        <v>1.1207510000000001</v>
      </c>
      <c r="L5515">
        <v>-63.297669999999997</v>
      </c>
      <c r="M5515">
        <v>0.99930540000000001</v>
      </c>
      <c r="N5515">
        <v>-1.093382E-2</v>
      </c>
      <c r="O5515">
        <v>-3.5625570000000002E-2</v>
      </c>
      <c r="P5515">
        <v>0.97898719999999995</v>
      </c>
      <c r="Q5515">
        <v>0.20295360000000001</v>
      </c>
      <c r="R5515">
        <v>1.9847779999999999E-2</v>
      </c>
      <c r="S5515">
        <v>3.07402</v>
      </c>
      <c r="T5515">
        <v>-9.6292849999999999E-2</v>
      </c>
      <c r="U5515">
        <v>0.50387570000000004</v>
      </c>
      <c r="V5515">
        <v>-5.4699089999999999E-2</v>
      </c>
      <c r="W5515">
        <v>0.21363480000000001</v>
      </c>
      <c r="X5515">
        <v>0.97538100000000005</v>
      </c>
      <c r="Y5515">
        <v>-0.19667660000000001</v>
      </c>
      <c r="Z5515">
        <v>4.8642449999999997E-3</v>
      </c>
      <c r="AA5515">
        <v>0.98045640000000001</v>
      </c>
      <c r="AB5515">
        <v>37</v>
      </c>
      <c r="AC5515">
        <v>35.564100000000003</v>
      </c>
      <c r="AD5515">
        <v>-1.120759261588</v>
      </c>
      <c r="AE5515">
        <v>5.87235</v>
      </c>
      <c r="AF5515">
        <v>-7.1287970634748996</v>
      </c>
      <c r="AG5515">
        <v>-1.120759261588</v>
      </c>
      <c r="AH5515">
        <v>35.298178302438203</v>
      </c>
      <c r="AI5515">
        <v>91.782631027791297</v>
      </c>
      <c r="AJ5515">
        <v>101.41783625716801</v>
      </c>
      <c r="AK5515">
        <v>36.028283894259602</v>
      </c>
      <c r="AL5515">
        <v>77.664553113357798</v>
      </c>
      <c r="AM5515">
        <v>93.209769053473494</v>
      </c>
      <c r="AN5515">
        <v>0.99999995668943298</v>
      </c>
    </row>
    <row r="5516" spans="1:40" x14ac:dyDescent="0.25">
      <c r="A5516" t="str">
        <f>"20190303170645400"</f>
        <v>20190303170645400</v>
      </c>
      <c r="B5516" t="str">
        <f>"1551604005390600"</f>
        <v>1551604005390600</v>
      </c>
      <c r="C5516" t="s">
        <v>40</v>
      </c>
      <c r="D5516">
        <v>5.8809019999999999</v>
      </c>
      <c r="E5516">
        <v>0.46795239999999999</v>
      </c>
      <c r="F5516" t="s">
        <v>111</v>
      </c>
      <c r="G5516">
        <v>-210.59479999999999</v>
      </c>
      <c r="H5516" s="1">
        <v>7.5587219999999999E-7</v>
      </c>
      <c r="I5516">
        <v>-60.271450000000002</v>
      </c>
      <c r="J5516">
        <v>-234.74860000000001</v>
      </c>
      <c r="K5516">
        <v>1.1207499999999999</v>
      </c>
      <c r="L5516">
        <v>-63.305019999999899</v>
      </c>
      <c r="M5516">
        <v>0.9993052</v>
      </c>
      <c r="N5516">
        <v>-1.093306E-2</v>
      </c>
      <c r="O5516">
        <v>-3.5632480000000001E-2</v>
      </c>
      <c r="P5516">
        <v>0.97901490000000002</v>
      </c>
      <c r="Q5516">
        <v>0.20285900000000001</v>
      </c>
      <c r="R5516">
        <v>1.945003E-2</v>
      </c>
      <c r="S5516">
        <v>3.0860439999999998</v>
      </c>
      <c r="T5516">
        <v>-0.14197960000000001</v>
      </c>
      <c r="U5516">
        <v>0.38336179999999997</v>
      </c>
      <c r="V5516">
        <v>-5.430956E-2</v>
      </c>
      <c r="W5516">
        <v>0.21354029999999999</v>
      </c>
      <c r="X5516">
        <v>0.9754235</v>
      </c>
      <c r="Y5516">
        <v>-0.1583349</v>
      </c>
      <c r="Z5516">
        <v>5.7409280000000002E-3</v>
      </c>
      <c r="AA5516">
        <v>0.98736880000000005</v>
      </c>
      <c r="AB5516">
        <v>37</v>
      </c>
      <c r="AC5516">
        <v>24.1538</v>
      </c>
      <c r="AD5516">
        <v>-1.1207492441278</v>
      </c>
      <c r="AE5516">
        <v>3.0335699999999899</v>
      </c>
      <c r="AF5516">
        <v>-3.8841218456066402</v>
      </c>
      <c r="AG5516">
        <v>-1.1207492441278</v>
      </c>
      <c r="AH5516">
        <v>23.979533058164201</v>
      </c>
      <c r="AI5516">
        <v>92.6415497794586</v>
      </c>
      <c r="AJ5516">
        <v>99.200663494599496</v>
      </c>
      <c r="AK5516">
        <v>24.317904660297501</v>
      </c>
      <c r="AL5516">
        <v>77.670095955097906</v>
      </c>
      <c r="AM5516">
        <v>93.186819958424806</v>
      </c>
      <c r="AN5516">
        <v>0.99999999619186597</v>
      </c>
    </row>
    <row r="5517" spans="1:40" x14ac:dyDescent="0.25">
      <c r="A5517" t="str">
        <f>"20190303170645415"</f>
        <v>20190303170645415</v>
      </c>
      <c r="B5517" t="str">
        <f>"1551604005400361"</f>
        <v>1551604005400361</v>
      </c>
      <c r="C5517" t="s">
        <v>40</v>
      </c>
      <c r="D5517">
        <v>5.910469</v>
      </c>
      <c r="E5517">
        <v>0.4706748</v>
      </c>
      <c r="F5517" t="s">
        <v>111</v>
      </c>
      <c r="G5517">
        <v>-212.2465</v>
      </c>
      <c r="H5517" s="1">
        <v>-3.8224240000000002E-8</v>
      </c>
      <c r="I5517">
        <v>-60.780009999999997</v>
      </c>
      <c r="J5517">
        <v>-234.52340000000001</v>
      </c>
      <c r="K5517">
        <v>1.1207510000000001</v>
      </c>
      <c r="L5517">
        <v>-63.313079999999999</v>
      </c>
      <c r="M5517">
        <v>0.999305</v>
      </c>
      <c r="N5517">
        <v>-1.0932269999999999E-2</v>
      </c>
      <c r="O5517">
        <v>-3.5639990000000003E-2</v>
      </c>
      <c r="P5517">
        <v>0.97908720000000005</v>
      </c>
      <c r="Q5517">
        <v>0.20260439999999999</v>
      </c>
      <c r="R5517">
        <v>1.8442179999999999E-2</v>
      </c>
      <c r="S5517">
        <v>3.0892940000000002</v>
      </c>
      <c r="T5517">
        <v>-0.153866899999999</v>
      </c>
      <c r="U5517">
        <v>0.34664919999999999</v>
      </c>
      <c r="V5517">
        <v>-5.331255E-2</v>
      </c>
      <c r="W5517">
        <v>0.2132859</v>
      </c>
      <c r="X5517">
        <v>0.97553409999999996</v>
      </c>
      <c r="Y5517">
        <v>-0.14661289999999999</v>
      </c>
      <c r="Z5517">
        <v>5.8229809999999996E-3</v>
      </c>
      <c r="AA5517">
        <v>0.98917679999999997</v>
      </c>
      <c r="AB5517">
        <v>37</v>
      </c>
      <c r="AC5517">
        <v>22.276900000000001</v>
      </c>
      <c r="AD5517">
        <v>-1.12075103822424</v>
      </c>
      <c r="AE5517">
        <v>2.5330699999999999</v>
      </c>
      <c r="AF5517">
        <v>-3.3171674918485801</v>
      </c>
      <c r="AG5517">
        <v>-1.12075103822424</v>
      </c>
      <c r="AH5517">
        <v>22.117195483824698</v>
      </c>
      <c r="AI5517">
        <v>92.8688517207693</v>
      </c>
      <c r="AJ5517">
        <v>98.529722213893805</v>
      </c>
      <c r="AK5517">
        <v>22.392633144147499</v>
      </c>
      <c r="AL5517">
        <v>77.685015040687901</v>
      </c>
      <c r="AM5517">
        <v>93.128079919262603</v>
      </c>
      <c r="AN5517">
        <v>0.99999994169455897</v>
      </c>
    </row>
    <row r="5518" spans="1:40" x14ac:dyDescent="0.25">
      <c r="A5518" t="str">
        <f>"20190303170645426"</f>
        <v>20190303170645426</v>
      </c>
      <c r="B5518" t="str">
        <f>"1551604005420857"</f>
        <v>1551604005420857</v>
      </c>
      <c r="C5518" t="s">
        <v>40</v>
      </c>
      <c r="D5518">
        <v>5.9343050000000002</v>
      </c>
      <c r="E5518">
        <v>0.47467029999999899</v>
      </c>
      <c r="F5518" t="s">
        <v>111</v>
      </c>
      <c r="G5518">
        <v>-213.17830000000001</v>
      </c>
      <c r="H5518" s="1">
        <v>-5.1886699999999996E-7</v>
      </c>
      <c r="I5518">
        <v>-61.084000000000003</v>
      </c>
      <c r="J5518">
        <v>-234.32759999999999</v>
      </c>
      <c r="K5518">
        <v>1.120752</v>
      </c>
      <c r="L5518">
        <v>-63.320099999999996</v>
      </c>
      <c r="M5518">
        <v>0.99930469999999905</v>
      </c>
      <c r="N5518">
        <v>-1.093159E-2</v>
      </c>
      <c r="O5518">
        <v>-3.5646539999999997E-2</v>
      </c>
      <c r="P5518">
        <v>0.97911049999999999</v>
      </c>
      <c r="Q5518">
        <v>0.20254150000000001</v>
      </c>
      <c r="R5518">
        <v>1.7880099999999999E-2</v>
      </c>
      <c r="S5518">
        <v>3.0915680000000001</v>
      </c>
      <c r="T5518">
        <v>-0.1623269</v>
      </c>
      <c r="U5518">
        <v>0.32284550000000001</v>
      </c>
      <c r="V5518">
        <v>-5.2757890000000002E-2</v>
      </c>
      <c r="W5518">
        <v>0.21322260000000001</v>
      </c>
      <c r="X5518">
        <v>0.97557819999999995</v>
      </c>
      <c r="Y5518">
        <v>-0.13899300000000001</v>
      </c>
      <c r="Z5518">
        <v>5.8766319999999997E-3</v>
      </c>
      <c r="AA5518">
        <v>0.99027589999999999</v>
      </c>
      <c r="AB5518">
        <v>37</v>
      </c>
      <c r="AC5518">
        <v>21.149299999999901</v>
      </c>
      <c r="AD5518">
        <v>-1.120752518867</v>
      </c>
      <c r="AE5518">
        <v>2.2361</v>
      </c>
      <c r="AF5518">
        <v>-2.9803462225731199</v>
      </c>
      <c r="AG5518">
        <v>-1.120752518867</v>
      </c>
      <c r="AH5518">
        <v>20.997829032652099</v>
      </c>
      <c r="AI5518">
        <v>93.0249838121876</v>
      </c>
      <c r="AJ5518">
        <v>98.078369267235701</v>
      </c>
      <c r="AK5518">
        <v>21.237875927207</v>
      </c>
      <c r="AL5518">
        <v>77.688728588758494</v>
      </c>
      <c r="AM5518">
        <v>93.095459563223699</v>
      </c>
      <c r="AN5518">
        <v>1.00000004821162</v>
      </c>
    </row>
    <row r="5519" spans="1:40" x14ac:dyDescent="0.25">
      <c r="A5519" t="str">
        <f>"20190303170645436"</f>
        <v>20190303170645436</v>
      </c>
      <c r="B5519" t="str">
        <f>"1551604005430618"</f>
        <v>1551604005430618</v>
      </c>
      <c r="C5519" t="s">
        <v>40</v>
      </c>
      <c r="D5519">
        <v>5.9172359999999999</v>
      </c>
      <c r="E5519">
        <v>0.47600500000000001</v>
      </c>
      <c r="F5519" t="s">
        <v>111</v>
      </c>
      <c r="G5519">
        <v>-214.36259999999999</v>
      </c>
      <c r="H5519" s="1">
        <v>-1.124839E-6</v>
      </c>
      <c r="I5519">
        <v>-61.452019999999997</v>
      </c>
      <c r="J5519">
        <v>-234.1387</v>
      </c>
      <c r="K5519">
        <v>1.120744</v>
      </c>
      <c r="L5519">
        <v>-63.326810000000002</v>
      </c>
      <c r="M5519">
        <v>0.99930459999999999</v>
      </c>
      <c r="N5519">
        <v>-1.093098E-2</v>
      </c>
      <c r="O5519">
        <v>-3.5652860000000001E-2</v>
      </c>
      <c r="P5519">
        <v>0.97918919999999998</v>
      </c>
      <c r="Q5519">
        <v>0.20218549999999999</v>
      </c>
      <c r="R5519">
        <v>1.760712E-2</v>
      </c>
      <c r="S5519">
        <v>3.0946500000000001</v>
      </c>
      <c r="T5519">
        <v>-0.17372109999999999</v>
      </c>
      <c r="U5519">
        <v>0.2895508</v>
      </c>
      <c r="V5519">
        <v>-5.249409E-2</v>
      </c>
      <c r="W5519">
        <v>0.21286659999999999</v>
      </c>
      <c r="X5519">
        <v>0.97567009999999998</v>
      </c>
      <c r="Y5519">
        <v>-0.12832289999999999</v>
      </c>
      <c r="Z5519">
        <v>5.9021159999999998E-3</v>
      </c>
      <c r="AA5519">
        <v>0.99171489999999995</v>
      </c>
      <c r="AB5519">
        <v>37</v>
      </c>
      <c r="AC5519">
        <v>19.7761</v>
      </c>
      <c r="AD5519">
        <v>-1.1207451248389999</v>
      </c>
      <c r="AE5519">
        <v>1.87478999999999</v>
      </c>
      <c r="AF5519">
        <v>-2.5705322836992002</v>
      </c>
      <c r="AG5519">
        <v>-1.1207451248389999</v>
      </c>
      <c r="AH5519">
        <v>19.634182871906098</v>
      </c>
      <c r="AI5519">
        <v>93.239389111860405</v>
      </c>
      <c r="AJ5519">
        <v>97.458814008718605</v>
      </c>
      <c r="AK5519">
        <v>19.8334274119185</v>
      </c>
      <c r="AL5519">
        <v>77.709604326502301</v>
      </c>
      <c r="AM5519">
        <v>93.079721969031297</v>
      </c>
      <c r="AN5519">
        <v>0.999999981457248</v>
      </c>
    </row>
    <row r="5520" spans="1:40" x14ac:dyDescent="0.25">
      <c r="A5520" t="str">
        <f>"20190303170645448"</f>
        <v>20190303170645448</v>
      </c>
      <c r="B5520" t="str">
        <f>"1551604005440376"</f>
        <v>1551604005440376</v>
      </c>
      <c r="C5520" t="s">
        <v>40</v>
      </c>
      <c r="D5520">
        <v>5.9245279999999996</v>
      </c>
      <c r="E5520">
        <v>0.47687610000000002</v>
      </c>
      <c r="F5520" t="s">
        <v>111</v>
      </c>
      <c r="G5520">
        <v>-214.8133</v>
      </c>
      <c r="H5520" s="1">
        <v>-1.3550799999999901E-6</v>
      </c>
      <c r="I5520">
        <v>-61.590710000000001</v>
      </c>
      <c r="J5520">
        <v>-233.96379999999999</v>
      </c>
      <c r="K5520">
        <v>1.1207389999999999</v>
      </c>
      <c r="L5520">
        <v>-63.3330699999999</v>
      </c>
      <c r="M5520">
        <v>0.99930439999999998</v>
      </c>
      <c r="N5520">
        <v>-1.0930459999999999E-2</v>
      </c>
      <c r="O5520">
        <v>-3.5658580000000002E-2</v>
      </c>
      <c r="P5520">
        <v>0.97934259999999995</v>
      </c>
      <c r="Q5520">
        <v>0.2014572</v>
      </c>
      <c r="R5520">
        <v>1.741297E-2</v>
      </c>
      <c r="S5520">
        <v>3.0958399999999999</v>
      </c>
      <c r="T5520">
        <v>-0.17953820000000001</v>
      </c>
      <c r="U5520">
        <v>0.27810669999999998</v>
      </c>
      <c r="V5520">
        <v>-5.231135E-2</v>
      </c>
      <c r="W5520">
        <v>0.21213979999999999</v>
      </c>
      <c r="X5520">
        <v>0.97583819999999999</v>
      </c>
      <c r="Y5520">
        <v>-0.1246463</v>
      </c>
      <c r="Z5520">
        <v>5.9612880000000004E-3</v>
      </c>
      <c r="AA5520">
        <v>0.99218329999999999</v>
      </c>
      <c r="AB5520">
        <v>37</v>
      </c>
      <c r="AC5520">
        <v>19.150499999999901</v>
      </c>
      <c r="AD5520">
        <v>-1.1207403550799999</v>
      </c>
      <c r="AE5520">
        <v>1.7423599999999899</v>
      </c>
      <c r="AF5520">
        <v>-2.4159655693376898</v>
      </c>
      <c r="AG5520">
        <v>-1.1207403550799999</v>
      </c>
      <c r="AH5520">
        <v>19.011607062685201</v>
      </c>
      <c r="AI5520">
        <v>93.346846384874993</v>
      </c>
      <c r="AJ5520">
        <v>97.242240547546601</v>
      </c>
      <c r="AK5520">
        <v>19.197243335481101</v>
      </c>
      <c r="AL5520">
        <v>77.752220243321304</v>
      </c>
      <c r="AM5520">
        <v>93.068493848088806</v>
      </c>
      <c r="AN5520">
        <v>0.99999998233105103</v>
      </c>
    </row>
    <row r="5521" spans="1:40" x14ac:dyDescent="0.25">
      <c r="A5521" t="str">
        <f>"20190303170645458"</f>
        <v>20190303170645458</v>
      </c>
      <c r="B5521" t="str">
        <f>"1551604005450136"</f>
        <v>1551604005450136</v>
      </c>
      <c r="C5521" t="s">
        <v>40</v>
      </c>
      <c r="D5521">
        <v>5.9342560000000004</v>
      </c>
      <c r="E5521">
        <v>0.47776239999999998</v>
      </c>
      <c r="F5521" t="s">
        <v>111</v>
      </c>
      <c r="G5521">
        <v>-215.29669999999999</v>
      </c>
      <c r="H5521" s="1">
        <v>-1.5918729999999901E-6</v>
      </c>
      <c r="I5521">
        <v>-61.701270000000001</v>
      </c>
      <c r="J5521">
        <v>-233.78030000000001</v>
      </c>
      <c r="K5521">
        <v>1.120735</v>
      </c>
      <c r="L5521">
        <v>-63.33963</v>
      </c>
      <c r="M5521">
        <v>0.99930410000000003</v>
      </c>
      <c r="N5521">
        <v>-1.0929970000000001E-2</v>
      </c>
      <c r="O5521">
        <v>-3.5664660000000001E-2</v>
      </c>
      <c r="P5521">
        <v>0.97950970000000004</v>
      </c>
      <c r="Q5521">
        <v>0.20065060000000001</v>
      </c>
      <c r="R5521">
        <v>1.7326310000000001E-2</v>
      </c>
      <c r="S5521">
        <v>3.096695</v>
      </c>
      <c r="T5521">
        <v>-0.18592020000000001</v>
      </c>
      <c r="U5521">
        <v>0.27069090000000001</v>
      </c>
      <c r="V5521">
        <v>-5.2236909999999998E-2</v>
      </c>
      <c r="W5521">
        <v>0.21133489999999999</v>
      </c>
      <c r="X5521">
        <v>0.97601680000000002</v>
      </c>
      <c r="Y5521">
        <v>-0.1222553</v>
      </c>
      <c r="Z5521">
        <v>6.0768990000000002E-3</v>
      </c>
      <c r="AA5521">
        <v>0.99248009999999998</v>
      </c>
      <c r="AB5521">
        <v>37</v>
      </c>
      <c r="AC5521">
        <v>18.483599999999999</v>
      </c>
      <c r="AD5521">
        <v>-1.1207365918729999</v>
      </c>
      <c r="AE5521">
        <v>1.63836000000001</v>
      </c>
      <c r="AF5521">
        <v>-2.2882211714517902</v>
      </c>
      <c r="AG5521">
        <v>-1.1207365918729999</v>
      </c>
      <c r="AH5521">
        <v>18.346479617226301</v>
      </c>
      <c r="AI5521">
        <v>93.468889512536194</v>
      </c>
      <c r="AJ5521">
        <v>97.109368124769205</v>
      </c>
      <c r="AK5521">
        <v>18.522562484255399</v>
      </c>
      <c r="AL5521">
        <v>77.799407290844499</v>
      </c>
      <c r="AM5521">
        <v>93.063576018543699</v>
      </c>
      <c r="AN5521">
        <v>0.99999996430329796</v>
      </c>
    </row>
    <row r="5522" spans="1:40" x14ac:dyDescent="0.25">
      <c r="A5522" t="str">
        <f>"20190303170645469"</f>
        <v>20190303170645469</v>
      </c>
      <c r="B5522" t="str">
        <f>"1551604005459896"</f>
        <v>1551604005459896</v>
      </c>
      <c r="C5522" t="s">
        <v>40</v>
      </c>
      <c r="D5522">
        <v>5.9245519999999896</v>
      </c>
      <c r="E5522">
        <v>0.47845159999999998</v>
      </c>
      <c r="F5522" t="s">
        <v>111</v>
      </c>
      <c r="G5522">
        <v>-215.40530000000001</v>
      </c>
      <c r="H5522" s="1">
        <v>-1.658618E-6</v>
      </c>
      <c r="I5522">
        <v>-61.777030000000003</v>
      </c>
      <c r="J5522">
        <v>-233.60480000000001</v>
      </c>
      <c r="K5522">
        <v>1.12073</v>
      </c>
      <c r="L5522">
        <v>-63.3459199999999</v>
      </c>
      <c r="M5522">
        <v>0.99930390000000002</v>
      </c>
      <c r="N5522">
        <v>-1.092955E-2</v>
      </c>
      <c r="O5522">
        <v>-3.5670489999999999E-2</v>
      </c>
      <c r="P5522">
        <v>0.97961129999999996</v>
      </c>
      <c r="Q5522">
        <v>0.20019609999999999</v>
      </c>
      <c r="R5522">
        <v>1.683461E-2</v>
      </c>
      <c r="S5522">
        <v>3.0967709999999999</v>
      </c>
      <c r="T5522">
        <v>-0.18887889999999999</v>
      </c>
      <c r="U5522">
        <v>0.26333620000000002</v>
      </c>
      <c r="V5522">
        <v>-5.1754359999999999E-2</v>
      </c>
      <c r="W5522">
        <v>0.21088100000000001</v>
      </c>
      <c r="X5522">
        <v>0.97614069999999997</v>
      </c>
      <c r="Y5522">
        <v>-0.1199146</v>
      </c>
      <c r="Z5522">
        <v>6.0855739999999998E-3</v>
      </c>
      <c r="AA5522">
        <v>0.99276549999999997</v>
      </c>
      <c r="AB5522">
        <v>37</v>
      </c>
      <c r="AC5522">
        <v>18.1995</v>
      </c>
      <c r="AD5522">
        <v>-1.1207316586180001</v>
      </c>
      <c r="AE5522">
        <v>1.5688899999999799</v>
      </c>
      <c r="AF5522">
        <v>-2.2088009719241701</v>
      </c>
      <c r="AG5522">
        <v>-1.1207316586180001</v>
      </c>
      <c r="AH5522">
        <v>18.063954396021</v>
      </c>
      <c r="AI5522">
        <v>93.524038548357595</v>
      </c>
      <c r="AJ5522">
        <v>96.971332874939193</v>
      </c>
      <c r="AK5522">
        <v>18.232972593785401</v>
      </c>
      <c r="AL5522">
        <v>77.826013770332096</v>
      </c>
      <c r="AM5522">
        <v>93.034944175416996</v>
      </c>
      <c r="AN5522">
        <v>0.99999998806824897</v>
      </c>
    </row>
    <row r="5523" spans="1:40" x14ac:dyDescent="0.25">
      <c r="A5523" t="str">
        <f>"20190303170645480"</f>
        <v>20190303170645480</v>
      </c>
      <c r="B5523" t="str">
        <f>"1551604005470632"</f>
        <v>1551604005470632</v>
      </c>
      <c r="C5523" t="s">
        <v>40</v>
      </c>
      <c r="D5523">
        <v>5.92727</v>
      </c>
      <c r="E5523">
        <v>0.47900179999999998</v>
      </c>
      <c r="F5523" t="s">
        <v>111</v>
      </c>
      <c r="G5523">
        <v>-215.4588</v>
      </c>
      <c r="H5523" s="1">
        <v>-1.698532E-6</v>
      </c>
      <c r="I5523">
        <v>-61.840710000000001</v>
      </c>
      <c r="J5523">
        <v>-233.42140000000001</v>
      </c>
      <c r="K5523">
        <v>1.1207279999999999</v>
      </c>
      <c r="L5523">
        <v>-63.352449999999997</v>
      </c>
      <c r="M5523">
        <v>0.99930359999999996</v>
      </c>
      <c r="N5523">
        <v>-1.092915E-2</v>
      </c>
      <c r="O5523">
        <v>-3.5676689999999997E-2</v>
      </c>
      <c r="P5523">
        <v>0.97971870000000005</v>
      </c>
      <c r="Q5523">
        <v>0.19970070000000001</v>
      </c>
      <c r="R5523">
        <v>1.6465770000000001E-2</v>
      </c>
      <c r="S5523">
        <v>3.097137</v>
      </c>
      <c r="T5523">
        <v>-0.1912856</v>
      </c>
      <c r="U5523">
        <v>0.25689699999999999</v>
      </c>
      <c r="V5523">
        <v>-5.1395950000000003E-2</v>
      </c>
      <c r="W5523">
        <v>0.21038680000000001</v>
      </c>
      <c r="X5523">
        <v>0.97626630000000003</v>
      </c>
      <c r="Y5523">
        <v>-0.11785809999999999</v>
      </c>
      <c r="Z5523">
        <v>6.0849789999999999E-3</v>
      </c>
      <c r="AA5523">
        <v>0.9930118</v>
      </c>
      <c r="AB5523">
        <v>37</v>
      </c>
      <c r="AC5523">
        <v>17.962599999999998</v>
      </c>
      <c r="AD5523">
        <v>-1.1207296985320001</v>
      </c>
      <c r="AE5523">
        <v>1.5117400000000001</v>
      </c>
      <c r="AF5523">
        <v>-2.1433768110021898</v>
      </c>
      <c r="AG5523">
        <v>-1.1207296985320001</v>
      </c>
      <c r="AH5523">
        <v>17.828312117766401</v>
      </c>
      <c r="AI5523">
        <v>93.571364875783402</v>
      </c>
      <c r="AJ5523">
        <v>96.855380204349203</v>
      </c>
      <c r="AK5523">
        <v>17.991631726433599</v>
      </c>
      <c r="AL5523">
        <v>77.854979564060699</v>
      </c>
      <c r="AM5523">
        <v>93.013578382195405</v>
      </c>
      <c r="AN5523">
        <v>1.0000000189031599</v>
      </c>
    </row>
    <row r="5524" spans="1:40" x14ac:dyDescent="0.25">
      <c r="A5524" t="str">
        <f>"20190303170645493"</f>
        <v>20190303170645493</v>
      </c>
      <c r="B5524" t="str">
        <f>"1551604005480393"</f>
        <v>1551604005480393</v>
      </c>
      <c r="C5524" t="s">
        <v>40</v>
      </c>
      <c r="D5524">
        <v>5.9067740000000004</v>
      </c>
      <c r="E5524">
        <v>0.47943560000000002</v>
      </c>
      <c r="F5524" t="s">
        <v>111</v>
      </c>
      <c r="G5524">
        <v>-215.21080000000001</v>
      </c>
      <c r="H5524" s="1">
        <v>-1.6004399999999901E-6</v>
      </c>
      <c r="I5524">
        <v>-61.872010000000003</v>
      </c>
      <c r="J5524">
        <v>-233.22540000000001</v>
      </c>
      <c r="K5524">
        <v>1.1207279999999999</v>
      </c>
      <c r="L5524">
        <v>-63.359470000000002</v>
      </c>
      <c r="M5524">
        <v>0.99930350000000001</v>
      </c>
      <c r="N5524">
        <v>-1.0928820000000001E-2</v>
      </c>
      <c r="O5524">
        <v>-3.5683359999999997E-2</v>
      </c>
      <c r="P5524">
        <v>0.97982789999999997</v>
      </c>
      <c r="Q5524">
        <v>0.19919809999999999</v>
      </c>
      <c r="R5524">
        <v>1.6046410000000001E-2</v>
      </c>
      <c r="S5524">
        <v>3.0967250000000002</v>
      </c>
      <c r="T5524">
        <v>-0.19058020000000001</v>
      </c>
      <c r="U5524">
        <v>0.2517395</v>
      </c>
      <c r="V5524">
        <v>-5.0987270000000001E-2</v>
      </c>
      <c r="W5524">
        <v>0.20988480000000001</v>
      </c>
      <c r="X5524">
        <v>0.97639580000000004</v>
      </c>
      <c r="Y5524">
        <v>-0.11623840000000001</v>
      </c>
      <c r="Z5524">
        <v>6.0063369999999996E-3</v>
      </c>
      <c r="AA5524">
        <v>0.99320319999999995</v>
      </c>
      <c r="AB5524">
        <v>37</v>
      </c>
      <c r="AC5524">
        <v>18.014600000000002</v>
      </c>
      <c r="AD5524">
        <v>-1.12072960044</v>
      </c>
      <c r="AE5524">
        <v>1.48745999999999</v>
      </c>
      <c r="AF5524">
        <v>-2.1212180652248498</v>
      </c>
      <c r="AG5524">
        <v>-1.12072960044</v>
      </c>
      <c r="AH5524">
        <v>17.881306606840901</v>
      </c>
      <c r="AI5524">
        <v>93.561474746192403</v>
      </c>
      <c r="AJ5524">
        <v>96.765249367560799</v>
      </c>
      <c r="AK5524">
        <v>18.041527842324999</v>
      </c>
      <c r="AL5524">
        <v>77.884399230557904</v>
      </c>
      <c r="AM5524">
        <v>92.989263458705494</v>
      </c>
      <c r="AN5524">
        <v>1.0000000446153601</v>
      </c>
    </row>
    <row r="5525" spans="1:40" x14ac:dyDescent="0.25">
      <c r="A5525" t="str">
        <f>"20190303170645503"</f>
        <v>20190303170645503</v>
      </c>
      <c r="B5525" t="str">
        <f>"1551604005490152"</f>
        <v>1551604005490152</v>
      </c>
      <c r="C5525" t="s">
        <v>40</v>
      </c>
      <c r="D5525">
        <v>5.9732649999999996</v>
      </c>
      <c r="E5525">
        <v>0.47984700000000002</v>
      </c>
      <c r="F5525" t="s">
        <v>111</v>
      </c>
      <c r="G5525">
        <v>-215.0804</v>
      </c>
      <c r="H5525" s="1">
        <v>-1.554458E-6</v>
      </c>
      <c r="I5525">
        <v>-61.909329999999997</v>
      </c>
      <c r="J5525">
        <v>-233.0454</v>
      </c>
      <c r="K5525">
        <v>1.1207279999999999</v>
      </c>
      <c r="L5525">
        <v>-63.365940000000002</v>
      </c>
      <c r="M5525">
        <v>0.99930330000000001</v>
      </c>
      <c r="N5525">
        <v>-1.092855E-2</v>
      </c>
      <c r="O5525">
        <v>-3.5689680000000001E-2</v>
      </c>
      <c r="P5525">
        <v>0.97984519999999997</v>
      </c>
      <c r="Q5525">
        <v>0.19916400000000001</v>
      </c>
      <c r="R5525">
        <v>1.5407779999999999E-2</v>
      </c>
      <c r="S5525">
        <v>3.0965880000000001</v>
      </c>
      <c r="T5525">
        <v>-0.19126109999999999</v>
      </c>
      <c r="U5525">
        <v>0.24746699999999999</v>
      </c>
      <c r="V5525">
        <v>-5.0355829999999997E-2</v>
      </c>
      <c r="W5525">
        <v>0.20985119999999999</v>
      </c>
      <c r="X5525">
        <v>0.97643570000000002</v>
      </c>
      <c r="Y5525">
        <v>-0.1148874</v>
      </c>
      <c r="Z5525">
        <v>5.9786750000000001E-3</v>
      </c>
      <c r="AA5525">
        <v>0.99336049999999998</v>
      </c>
      <c r="AB5525">
        <v>37</v>
      </c>
      <c r="AC5525">
        <v>17.965</v>
      </c>
      <c r="AD5525">
        <v>-1.120729554458</v>
      </c>
      <c r="AE5525">
        <v>1.45660999999999</v>
      </c>
      <c r="AF5525">
        <v>-2.0888091454490301</v>
      </c>
      <c r="AG5525">
        <v>-1.120729554458</v>
      </c>
      <c r="AH5525">
        <v>17.8326172687816</v>
      </c>
      <c r="AI5525">
        <v>93.571792106932094</v>
      </c>
      <c r="AJ5525">
        <v>96.680850922067293</v>
      </c>
      <c r="AK5525">
        <v>17.9894801769032</v>
      </c>
      <c r="AL5525">
        <v>77.886367128761094</v>
      </c>
      <c r="AM5525">
        <v>92.952189095215701</v>
      </c>
      <c r="AN5525">
        <v>0.99999995599545799</v>
      </c>
    </row>
    <row r="5526" spans="1:40" x14ac:dyDescent="0.25">
      <c r="A5526" t="str">
        <f>"20190303170645515"</f>
        <v>20190303170645515</v>
      </c>
      <c r="B5526" t="str">
        <f>"1551604005500888"</f>
        <v>1551604005500888</v>
      </c>
      <c r="C5526" t="s">
        <v>40</v>
      </c>
      <c r="D5526">
        <v>5.9460689999999996</v>
      </c>
      <c r="E5526">
        <v>0.48021009999999997</v>
      </c>
      <c r="F5526" t="s">
        <v>111</v>
      </c>
      <c r="G5526">
        <v>-214.8509</v>
      </c>
      <c r="H5526" s="1">
        <v>-1.464579E-6</v>
      </c>
      <c r="I5526">
        <v>-61.94164</v>
      </c>
      <c r="J5526">
        <v>-232.84630000000001</v>
      </c>
      <c r="K5526">
        <v>1.1207279999999999</v>
      </c>
      <c r="L5526">
        <v>-63.373049999999999</v>
      </c>
      <c r="M5526">
        <v>0.99930300000000005</v>
      </c>
      <c r="N5526">
        <v>-1.092837E-2</v>
      </c>
      <c r="O5526">
        <v>-3.5696470000000001E-2</v>
      </c>
      <c r="P5526">
        <v>0.97993410000000003</v>
      </c>
      <c r="Q5526">
        <v>0.19873540000000001</v>
      </c>
      <c r="R5526">
        <v>1.529146E-2</v>
      </c>
      <c r="S5526">
        <v>3.0966640000000001</v>
      </c>
      <c r="T5526">
        <v>-0.190745</v>
      </c>
      <c r="U5526">
        <v>0.24240110000000001</v>
      </c>
      <c r="V5526">
        <v>-5.0249729999999999E-2</v>
      </c>
      <c r="W5526">
        <v>0.20942359999999999</v>
      </c>
      <c r="X5526">
        <v>0.97653299999999998</v>
      </c>
      <c r="Y5526">
        <v>-0.1132822</v>
      </c>
      <c r="Z5526">
        <v>5.9055879999999998E-3</v>
      </c>
      <c r="AA5526">
        <v>0.99354529999999996</v>
      </c>
      <c r="AB5526">
        <v>37</v>
      </c>
      <c r="AC5526">
        <v>17.9954</v>
      </c>
      <c r="AD5526">
        <v>-1.120729464579</v>
      </c>
      <c r="AE5526">
        <v>1.4314099999999901</v>
      </c>
      <c r="AF5526">
        <v>-2.0649493691904399</v>
      </c>
      <c r="AG5526">
        <v>-1.120729464579</v>
      </c>
      <c r="AH5526">
        <v>17.863978272090701</v>
      </c>
      <c r="AI5526">
        <v>93.566166928323</v>
      </c>
      <c r="AJ5526">
        <v>96.593722407829006</v>
      </c>
      <c r="AK5526">
        <v>18.017818129169399</v>
      </c>
      <c r="AL5526">
        <v>77.911423995244306</v>
      </c>
      <c r="AM5526">
        <v>92.945686770852106</v>
      </c>
      <c r="AN5526">
        <v>0.99999998984551597</v>
      </c>
    </row>
    <row r="5527" spans="1:40" x14ac:dyDescent="0.25">
      <c r="A5527" t="str">
        <f>"20190303170645526"</f>
        <v>20190303170645526</v>
      </c>
      <c r="B5527" t="str">
        <f>"1551604005520408"</f>
        <v>1551604005520408</v>
      </c>
      <c r="C5527" t="s">
        <v>40</v>
      </c>
      <c r="D5527">
        <v>5.952229</v>
      </c>
      <c r="E5527">
        <v>0.4808249</v>
      </c>
      <c r="F5527" t="s">
        <v>111</v>
      </c>
      <c r="G5527">
        <v>-214.75</v>
      </c>
      <c r="H5527" s="1">
        <v>-1.4302840000000001E-6</v>
      </c>
      <c r="I5527">
        <v>-61.975320000000004</v>
      </c>
      <c r="J5527">
        <v>-232.66040000000001</v>
      </c>
      <c r="K5527">
        <v>1.1207260000000001</v>
      </c>
      <c r="L5527">
        <v>-63.3797</v>
      </c>
      <c r="M5527">
        <v>0.99930269999999999</v>
      </c>
      <c r="N5527">
        <v>-1.0928220000000001E-2</v>
      </c>
      <c r="O5527">
        <v>-3.570255E-2</v>
      </c>
      <c r="P5527">
        <v>0.97999349999999996</v>
      </c>
      <c r="Q5527">
        <v>0.19845199999999999</v>
      </c>
      <c r="R5527">
        <v>1.515645E-2</v>
      </c>
      <c r="S5527">
        <v>3.0965880000000001</v>
      </c>
      <c r="T5527">
        <v>-0.19177659999999999</v>
      </c>
      <c r="U5527">
        <v>0.2391663</v>
      </c>
      <c r="V5527">
        <v>-5.0122920000000001E-2</v>
      </c>
      <c r="W5527">
        <v>0.20914060000000001</v>
      </c>
      <c r="X5527">
        <v>0.97660020000000003</v>
      </c>
      <c r="Y5527">
        <v>-0.1122576</v>
      </c>
      <c r="Z5527">
        <v>5.8995879999999999E-3</v>
      </c>
      <c r="AA5527">
        <v>0.99366160000000003</v>
      </c>
      <c r="AB5527">
        <v>37</v>
      </c>
      <c r="AC5527">
        <v>17.910399999999999</v>
      </c>
      <c r="AD5527">
        <v>-1.120727430284</v>
      </c>
      <c r="AE5527">
        <v>1.40438</v>
      </c>
      <c r="AF5527">
        <v>-2.03505010215479</v>
      </c>
      <c r="AG5527">
        <v>-1.120727430284</v>
      </c>
      <c r="AH5527">
        <v>17.779645964785299</v>
      </c>
      <c r="AI5527">
        <v>93.583491342226495</v>
      </c>
      <c r="AJ5527">
        <v>96.529632644366202</v>
      </c>
      <c r="AK5527">
        <v>17.930791101465001</v>
      </c>
      <c r="AL5527">
        <v>77.928006322785293</v>
      </c>
      <c r="AM5527">
        <v>92.938064263085195</v>
      </c>
      <c r="AN5527">
        <v>1.00000002415886</v>
      </c>
    </row>
    <row r="5528" spans="1:40" x14ac:dyDescent="0.25">
      <c r="A5528" t="str">
        <f>"20190303170645537"</f>
        <v>20190303170645537</v>
      </c>
      <c r="B5528" t="str">
        <f>"1551604005530169"</f>
        <v>1551604005530169</v>
      </c>
      <c r="C5528" t="s">
        <v>40</v>
      </c>
      <c r="D5528">
        <v>5.9415009999999997</v>
      </c>
      <c r="E5528">
        <v>0.48114449999999997</v>
      </c>
      <c r="F5528" t="s">
        <v>111</v>
      </c>
      <c r="G5528">
        <v>-214.61689999999999</v>
      </c>
      <c r="H5528" s="1">
        <v>-1.384761E-6</v>
      </c>
      <c r="I5528">
        <v>-62.018929999999997</v>
      </c>
      <c r="J5528">
        <v>-232.47810000000001</v>
      </c>
      <c r="K5528">
        <v>1.1207240000000001</v>
      </c>
      <c r="L5528">
        <v>-63.386229999999998</v>
      </c>
      <c r="M5528">
        <v>0.99930260000000004</v>
      </c>
      <c r="N5528">
        <v>-1.0928169999999999E-2</v>
      </c>
      <c r="O5528">
        <v>-3.5708749999999997E-2</v>
      </c>
      <c r="P5528">
        <v>0.98002199999999995</v>
      </c>
      <c r="Q5528">
        <v>0.1982931</v>
      </c>
      <c r="R5528">
        <v>1.5391480000000001E-2</v>
      </c>
      <c r="S5528">
        <v>3.0965729999999998</v>
      </c>
      <c r="T5528">
        <v>-0.1923358</v>
      </c>
      <c r="U5528">
        <v>0.23352049999999999</v>
      </c>
      <c r="V5528">
        <v>-5.036496E-2</v>
      </c>
      <c r="W5528">
        <v>0.20898159999999999</v>
      </c>
      <c r="X5528">
        <v>0.97662170000000004</v>
      </c>
      <c r="Y5528">
        <v>-0.1104651</v>
      </c>
      <c r="Z5528">
        <v>5.851396E-3</v>
      </c>
      <c r="AA5528">
        <v>0.99386280000000005</v>
      </c>
      <c r="AB5528">
        <v>37</v>
      </c>
      <c r="AC5528">
        <v>17.8612</v>
      </c>
      <c r="AD5528">
        <v>-1.1207253847609999</v>
      </c>
      <c r="AE5528">
        <v>1.3673</v>
      </c>
      <c r="AF5528">
        <v>-1.9964525745792201</v>
      </c>
      <c r="AG5528">
        <v>-1.1207253847609999</v>
      </c>
      <c r="AH5528">
        <v>17.731575602858801</v>
      </c>
      <c r="AI5528">
        <v>93.593924030293394</v>
      </c>
      <c r="AJ5528">
        <v>96.424052680256096</v>
      </c>
      <c r="AK5528">
        <v>17.878775730750998</v>
      </c>
      <c r="AL5528">
        <v>77.937321197963598</v>
      </c>
      <c r="AM5528">
        <v>92.952162050034602</v>
      </c>
      <c r="AN5528">
        <v>0.99999994162262396</v>
      </c>
    </row>
    <row r="5529" spans="1:40" x14ac:dyDescent="0.25">
      <c r="A5529" t="str">
        <f>"20190303170645549"</f>
        <v>20190303170645549</v>
      </c>
      <c r="B5529" t="str">
        <f>"1551604005539929"</f>
        <v>1551604005539929</v>
      </c>
      <c r="C5529" t="s">
        <v>40</v>
      </c>
      <c r="D5529">
        <v>5.9500140000000004</v>
      </c>
      <c r="E5529">
        <v>0.48136000000000001</v>
      </c>
      <c r="F5529" t="s">
        <v>111</v>
      </c>
      <c r="G5529">
        <v>-214.4718</v>
      </c>
      <c r="H5529" s="1">
        <v>-1.3277E-6</v>
      </c>
      <c r="I5529">
        <v>-62.038359999999997</v>
      </c>
      <c r="J5529">
        <v>-232.2783</v>
      </c>
      <c r="K5529">
        <v>1.120722</v>
      </c>
      <c r="L5529">
        <v>-63.393369999999997</v>
      </c>
      <c r="M5529">
        <v>0.99930229999999998</v>
      </c>
      <c r="N5529">
        <v>-1.0928159999999999E-2</v>
      </c>
      <c r="O5529">
        <v>-3.5715419999999998E-2</v>
      </c>
      <c r="P5529">
        <v>0.98001649999999996</v>
      </c>
      <c r="Q5529">
        <v>0.19833819999999999</v>
      </c>
      <c r="R5529">
        <v>1.516268E-2</v>
      </c>
      <c r="S5529">
        <v>3.0964969999999998</v>
      </c>
      <c r="T5529">
        <v>-0.19272880000000001</v>
      </c>
      <c r="U5529">
        <v>0.23178099999999999</v>
      </c>
      <c r="V5529">
        <v>-5.014279E-2</v>
      </c>
      <c r="W5529">
        <v>0.20902680000000001</v>
      </c>
      <c r="X5529">
        <v>0.97662349999999998</v>
      </c>
      <c r="Y5529">
        <v>-0.1099184</v>
      </c>
      <c r="Z5529">
        <v>5.8434940000000003E-3</v>
      </c>
      <c r="AA5529">
        <v>0.99392340000000001</v>
      </c>
      <c r="AB5529">
        <v>37</v>
      </c>
      <c r="AC5529">
        <v>17.8065</v>
      </c>
      <c r="AD5529">
        <v>-1.1207233276999999</v>
      </c>
      <c r="AE5529">
        <v>1.35501</v>
      </c>
      <c r="AF5529">
        <v>-1.9823424952594999</v>
      </c>
      <c r="AG5529">
        <v>-1.1207233276999999</v>
      </c>
      <c r="AH5529">
        <v>17.677118940375401</v>
      </c>
      <c r="AI5529">
        <v>93.605139912165399</v>
      </c>
      <c r="AJ5529">
        <v>96.398514464293299</v>
      </c>
      <c r="AK5529">
        <v>17.8231937816414</v>
      </c>
      <c r="AL5529">
        <v>77.934673431101103</v>
      </c>
      <c r="AM5529">
        <v>92.939156944282303</v>
      </c>
      <c r="AN5529">
        <v>0.99999998162973602</v>
      </c>
    </row>
    <row r="5530" spans="1:40" x14ac:dyDescent="0.25">
      <c r="A5530" t="str">
        <f>"20190303170645560"</f>
        <v>20190303170645560</v>
      </c>
      <c r="B5530" t="str">
        <f>"1551604005550664"</f>
        <v>1551604005550664</v>
      </c>
      <c r="C5530" t="s">
        <v>40</v>
      </c>
      <c r="D5530">
        <v>5.9671240000000001</v>
      </c>
      <c r="E5530">
        <v>0.48152339999999999</v>
      </c>
      <c r="F5530" t="s">
        <v>111</v>
      </c>
      <c r="G5530">
        <v>-214.25110000000001</v>
      </c>
      <c r="H5530" s="1">
        <v>-1.2376100000000001E-6</v>
      </c>
      <c r="I5530">
        <v>-62.055680000000002</v>
      </c>
      <c r="J5530">
        <v>-232.09450000000001</v>
      </c>
      <c r="K5530">
        <v>1.120722</v>
      </c>
      <c r="L5530">
        <v>-63.399929999999998</v>
      </c>
      <c r="M5530">
        <v>0.99930200000000002</v>
      </c>
      <c r="N5530">
        <v>-1.0928200000000001E-2</v>
      </c>
      <c r="O5530">
        <v>-3.5721620000000003E-2</v>
      </c>
      <c r="P5530">
        <v>0.97997129999999999</v>
      </c>
      <c r="Q5530">
        <v>0.19857440000000001</v>
      </c>
      <c r="R5530">
        <v>1.4984839999999999E-2</v>
      </c>
      <c r="S5530">
        <v>3.0965579999999999</v>
      </c>
      <c r="T5530">
        <v>-0.1925074</v>
      </c>
      <c r="U5530">
        <v>0.22976679999999999</v>
      </c>
      <c r="V5530">
        <v>-4.9968850000000002E-2</v>
      </c>
      <c r="W5530">
        <v>0.20926230000000001</v>
      </c>
      <c r="X5530">
        <v>0.97658199999999995</v>
      </c>
      <c r="Y5530">
        <v>-0.109282199999999</v>
      </c>
      <c r="Z5530">
        <v>5.8141340000000003E-3</v>
      </c>
      <c r="AA5530">
        <v>0.99399380000000004</v>
      </c>
      <c r="AB5530">
        <v>37</v>
      </c>
      <c r="AC5530">
        <v>17.843399999999999</v>
      </c>
      <c r="AD5530">
        <v>-1.12072323761</v>
      </c>
      <c r="AE5530">
        <v>1.3442499999999999</v>
      </c>
      <c r="AF5530">
        <v>-1.97308540802003</v>
      </c>
      <c r="AG5530">
        <v>-1.12072323761</v>
      </c>
      <c r="AH5530">
        <v>17.714500513439599</v>
      </c>
      <c r="AI5530">
        <v>93.597852682279495</v>
      </c>
      <c r="AJ5530">
        <v>96.355551273063597</v>
      </c>
      <c r="AK5530">
        <v>17.859244526107901</v>
      </c>
      <c r="AL5530">
        <v>77.920875339944402</v>
      </c>
      <c r="AM5530">
        <v>92.929103356691499</v>
      </c>
      <c r="AN5530">
        <v>0.99999999944780604</v>
      </c>
    </row>
    <row r="5531" spans="1:40" x14ac:dyDescent="0.25">
      <c r="A5531" t="str">
        <f>"20190303170645581"</f>
        <v>20190303170645581</v>
      </c>
      <c r="B5531" t="str">
        <f>"1551604005570184"</f>
        <v>1551604005570184</v>
      </c>
      <c r="C5531" t="s">
        <v>40</v>
      </c>
      <c r="D5531">
        <v>5.9714700000000001</v>
      </c>
      <c r="E5531">
        <v>0.48196909999999998</v>
      </c>
      <c r="F5531" t="s">
        <v>111</v>
      </c>
      <c r="G5531">
        <v>-213.9562</v>
      </c>
      <c r="H5531" s="1">
        <v>-1.112388E-6</v>
      </c>
      <c r="I5531">
        <v>-62.060450000000003</v>
      </c>
      <c r="J5531">
        <v>-231.74690000000001</v>
      </c>
      <c r="K5531">
        <v>1.1207290000000001</v>
      </c>
      <c r="L5531">
        <v>-63.412410000000001</v>
      </c>
      <c r="M5531">
        <v>0.99930169999999996</v>
      </c>
      <c r="N5531">
        <v>-1.092841E-2</v>
      </c>
      <c r="O5531">
        <v>-3.5733189999999998E-2</v>
      </c>
      <c r="P5531">
        <v>0.9798152</v>
      </c>
      <c r="Q5531">
        <v>0.1994013</v>
      </c>
      <c r="R5531">
        <v>1.4197319999999999E-2</v>
      </c>
      <c r="S5531">
        <v>3.0965880000000001</v>
      </c>
      <c r="T5531">
        <v>-0.19133140000000001</v>
      </c>
      <c r="U5531">
        <v>0.22866819999999999</v>
      </c>
      <c r="V5531">
        <v>-4.9188299999999997E-2</v>
      </c>
      <c r="W5531">
        <v>0.21008840000000001</v>
      </c>
      <c r="X5531">
        <v>0.97644419999999998</v>
      </c>
      <c r="Y5531">
        <v>-0.1089465</v>
      </c>
      <c r="Z5531">
        <v>5.7683519999999896E-3</v>
      </c>
      <c r="AA5531">
        <v>0.99403090000000005</v>
      </c>
      <c r="AB5531">
        <v>37</v>
      </c>
      <c r="AC5531">
        <v>17.790700000000001</v>
      </c>
      <c r="AD5531">
        <v>-1.120730112388</v>
      </c>
      <c r="AE5531">
        <v>1.3519599999999901</v>
      </c>
      <c r="AF5531">
        <v>-1.9790443044402299</v>
      </c>
      <c r="AG5531">
        <v>-1.120730112388</v>
      </c>
      <c r="AH5531">
        <v>17.6613392383708</v>
      </c>
      <c r="AI5531">
        <v>93.608408725354494</v>
      </c>
      <c r="AJ5531">
        <v>96.393616930734098</v>
      </c>
      <c r="AK5531">
        <v>17.807177093424102</v>
      </c>
      <c r="AL5531">
        <v>77.872466627594093</v>
      </c>
      <c r="AM5531">
        <v>92.883832678848293</v>
      </c>
      <c r="AN5531">
        <v>0.99999995019254295</v>
      </c>
    </row>
    <row r="5532" spans="1:40" x14ac:dyDescent="0.25">
      <c r="A5532" t="str">
        <f>"20190303170645605"</f>
        <v>20190303170645605</v>
      </c>
      <c r="B5532" t="str">
        <f>"1551604005600441"</f>
        <v>1551604005600441</v>
      </c>
      <c r="C5532" t="s">
        <v>40</v>
      </c>
      <c r="D5532">
        <v>6.0688599999999999</v>
      </c>
      <c r="E5532">
        <v>0.4542852</v>
      </c>
      <c r="F5532" t="s">
        <v>111</v>
      </c>
      <c r="G5532">
        <v>-213.26679999999999</v>
      </c>
      <c r="H5532" s="1">
        <v>-8.2106750000000002E-7</v>
      </c>
      <c r="I5532">
        <v>-62.077100000000002</v>
      </c>
      <c r="J5532">
        <v>-231.36699999999999</v>
      </c>
      <c r="K5532">
        <v>1.1207320000000001</v>
      </c>
      <c r="L5532">
        <v>-63.425989999999999</v>
      </c>
      <c r="M5532">
        <v>0.99930129999999995</v>
      </c>
      <c r="N5532">
        <v>-1.0928820000000001E-2</v>
      </c>
      <c r="O5532">
        <v>-3.5746069999999998E-2</v>
      </c>
      <c r="P5532">
        <v>0.97987729999999995</v>
      </c>
      <c r="Q5532">
        <v>0.1990692</v>
      </c>
      <c r="R5532">
        <v>1.4568289999999999E-2</v>
      </c>
      <c r="S5532">
        <v>3.0967859999999998</v>
      </c>
      <c r="T5532">
        <v>-0.18780579999999999</v>
      </c>
      <c r="U5532">
        <v>0.22375490000000001</v>
      </c>
      <c r="V5532">
        <v>-4.9573689999999997E-2</v>
      </c>
      <c r="W5532">
        <v>0.20975740000000001</v>
      </c>
      <c r="X5532">
        <v>0.97649589999999997</v>
      </c>
      <c r="Y5532">
        <v>-0.1073993</v>
      </c>
      <c r="Z5532">
        <v>5.6112849999999997E-3</v>
      </c>
      <c r="AA5532">
        <v>0.99420010000000003</v>
      </c>
      <c r="AB5532">
        <v>37</v>
      </c>
      <c r="AC5532">
        <v>18.100200000000001</v>
      </c>
      <c r="AD5532">
        <v>-1.1207328210675001</v>
      </c>
      <c r="AE5532">
        <v>1.3488899999999999</v>
      </c>
      <c r="AF5532">
        <v>-1.9874996560125799</v>
      </c>
      <c r="AG5532">
        <v>-1.1207328210675001</v>
      </c>
      <c r="AH5532">
        <v>17.9718891413048</v>
      </c>
      <c r="AI5532">
        <v>93.546795519211997</v>
      </c>
      <c r="AJ5532">
        <v>96.310660287789403</v>
      </c>
      <c r="AK5532">
        <v>18.116152909661</v>
      </c>
      <c r="AL5532">
        <v>77.8918641075511</v>
      </c>
      <c r="AM5532">
        <v>92.906235285755599</v>
      </c>
      <c r="AN5532">
        <v>0.99999998015589198</v>
      </c>
    </row>
    <row r="5533" spans="1:40" x14ac:dyDescent="0.25">
      <c r="A5533" t="str">
        <f>"20190303170645615"</f>
        <v>20190303170645615</v>
      </c>
      <c r="B5533" t="str">
        <f>"1551604005610200"</f>
        <v>1551604005610200</v>
      </c>
      <c r="C5533" t="s">
        <v>40</v>
      </c>
      <c r="D5533">
        <v>6.0708719999999996</v>
      </c>
      <c r="E5533">
        <v>0.4542852</v>
      </c>
      <c r="F5533" t="s">
        <v>111</v>
      </c>
      <c r="G5533">
        <v>-216.16919999999999</v>
      </c>
      <c r="H5533" s="1">
        <v>-1.8417019999999999E-6</v>
      </c>
      <c r="I5533">
        <v>-61.23348</v>
      </c>
      <c r="J5533">
        <v>-231.18350000000001</v>
      </c>
      <c r="K5533">
        <v>1.1207309999999999</v>
      </c>
      <c r="L5533">
        <v>-63.432589999999998</v>
      </c>
      <c r="M5533">
        <v>0.99930099999999999</v>
      </c>
      <c r="N5533">
        <v>-1.0929039999999999E-2</v>
      </c>
      <c r="O5533">
        <v>-3.5752150000000003E-2</v>
      </c>
      <c r="P5533">
        <v>0.97992100000000004</v>
      </c>
      <c r="Q5533">
        <v>0.19883519999999999</v>
      </c>
      <c r="R5533">
        <v>1.482209E-2</v>
      </c>
      <c r="S5533">
        <v>3.1014400000000002</v>
      </c>
      <c r="T5533">
        <v>-0.22870989999999999</v>
      </c>
      <c r="U5533">
        <v>0.44741819999999999</v>
      </c>
      <c r="V5533">
        <v>-4.9834679999999999E-2</v>
      </c>
      <c r="W5533">
        <v>0.20952390000000001</v>
      </c>
      <c r="X5533">
        <v>0.97653279999999998</v>
      </c>
      <c r="Y5533">
        <v>-0.17746689999999901</v>
      </c>
      <c r="Z5533">
        <v>9.7099279999999996E-3</v>
      </c>
      <c r="AA5533">
        <v>0.98407889999999998</v>
      </c>
      <c r="AB5533">
        <v>37</v>
      </c>
      <c r="AC5533">
        <v>15.0143</v>
      </c>
      <c r="AD5533">
        <v>-1.1207328417019999</v>
      </c>
      <c r="AE5533">
        <v>2.1991099999999899</v>
      </c>
      <c r="AF5533">
        <v>-2.7196941593664299</v>
      </c>
      <c r="AG5533">
        <v>-1.1207328417019999</v>
      </c>
      <c r="AH5533">
        <v>14.845095974977101</v>
      </c>
      <c r="AI5533">
        <v>94.246944964486204</v>
      </c>
      <c r="AJ5533">
        <v>100.381737642982</v>
      </c>
      <c r="AK5533">
        <v>15.1337256790666</v>
      </c>
      <c r="AL5533">
        <v>77.905547390680695</v>
      </c>
      <c r="AM5533">
        <v>92.921399066576797</v>
      </c>
      <c r="AN5533">
        <v>1.00000003473887</v>
      </c>
    </row>
    <row r="5534" spans="1:40" x14ac:dyDescent="0.25">
      <c r="A5534" t="str">
        <f>"20190303170645627"</f>
        <v>20190303170645627</v>
      </c>
      <c r="B5534" t="str">
        <f>"1551604005619960"</f>
        <v>1551604005619960</v>
      </c>
      <c r="C5534" t="s">
        <v>40</v>
      </c>
      <c r="D5534">
        <v>5.976299</v>
      </c>
      <c r="E5534">
        <v>0.39310440000000002</v>
      </c>
      <c r="F5534" t="s">
        <v>111</v>
      </c>
      <c r="G5534">
        <v>-216.04730000000001</v>
      </c>
      <c r="H5534" s="1">
        <v>-1.7928879999999999E-6</v>
      </c>
      <c r="I5534">
        <v>-61.246470000000002</v>
      </c>
      <c r="J5534">
        <v>-230.9898</v>
      </c>
      <c r="K5534">
        <v>1.1207309999999999</v>
      </c>
      <c r="L5534">
        <v>-63.439509999999999</v>
      </c>
      <c r="M5534">
        <v>0.99930070000000004</v>
      </c>
      <c r="N5534">
        <v>-1.0929309999999999E-2</v>
      </c>
      <c r="O5534">
        <v>-3.5758699999999997E-2</v>
      </c>
      <c r="P5534">
        <v>0.98000169999999998</v>
      </c>
      <c r="Q5534">
        <v>0.19838349999999999</v>
      </c>
      <c r="R5534">
        <v>1.5513590000000001E-2</v>
      </c>
      <c r="S5534">
        <v>3.1012879999999998</v>
      </c>
      <c r="T5534">
        <v>-0.229629</v>
      </c>
      <c r="U5534">
        <v>0.44790649999999999</v>
      </c>
      <c r="V5534">
        <v>-5.0534860000000001E-2</v>
      </c>
      <c r="W5534">
        <v>0.20907300000000001</v>
      </c>
      <c r="X5534">
        <v>0.97659339999999994</v>
      </c>
      <c r="Y5534">
        <v>-0.1776267</v>
      </c>
      <c r="Z5534">
        <v>9.7540430000000004E-3</v>
      </c>
      <c r="AA5534">
        <v>0.98404959999999997</v>
      </c>
      <c r="AB5534">
        <v>37</v>
      </c>
      <c r="AC5534">
        <v>14.9424999999999</v>
      </c>
      <c r="AD5534">
        <v>-1.120732792888</v>
      </c>
      <c r="AE5534">
        <v>2.1930399999999999</v>
      </c>
      <c r="AF5534">
        <v>-2.71106417550634</v>
      </c>
      <c r="AG5534">
        <v>-1.120732792888</v>
      </c>
      <c r="AH5534">
        <v>14.773164078175</v>
      </c>
      <c r="AI5534">
        <v>94.267315128242601</v>
      </c>
      <c r="AJ5534">
        <v>100.398803821464</v>
      </c>
      <c r="AK5534">
        <v>15.0616163753247</v>
      </c>
      <c r="AL5534">
        <v>77.931966539641294</v>
      </c>
      <c r="AM5534">
        <v>92.962188784024804</v>
      </c>
      <c r="AN5534">
        <v>0.99999998016388902</v>
      </c>
    </row>
    <row r="5535" spans="1:40" x14ac:dyDescent="0.25">
      <c r="A5535" t="str">
        <f>"20190303170645637"</f>
        <v>20190303170645637</v>
      </c>
      <c r="B5535" t="str">
        <f>"1551604005630697"</f>
        <v>1551604005630697</v>
      </c>
      <c r="C5535" t="s">
        <v>40</v>
      </c>
      <c r="D5535">
        <v>5.9418309999999996</v>
      </c>
      <c r="E5535">
        <v>0.3865519</v>
      </c>
      <c r="F5535" t="s">
        <v>54</v>
      </c>
      <c r="G5535">
        <v>-157.3501</v>
      </c>
      <c r="H5535">
        <v>2.4789469999999998</v>
      </c>
      <c r="I5535">
        <v>-41.008240000000001</v>
      </c>
      <c r="J5535">
        <v>-230.81270000000001</v>
      </c>
      <c r="K5535">
        <v>1.120725</v>
      </c>
      <c r="L5535">
        <v>-63.445860000000003</v>
      </c>
      <c r="M5535">
        <v>0.99930059999999998</v>
      </c>
      <c r="N5535">
        <v>-1.0929650000000001E-2</v>
      </c>
      <c r="O5535">
        <v>-3.5764669999999998E-2</v>
      </c>
      <c r="P5535">
        <v>0.97996119999999998</v>
      </c>
      <c r="Q5535">
        <v>0.1985365</v>
      </c>
      <c r="R5535">
        <v>1.6119649999999999E-2</v>
      </c>
      <c r="S5535">
        <v>3.0352480000000002</v>
      </c>
      <c r="T5535">
        <v>5.5981400000000001E-2</v>
      </c>
      <c r="U5535">
        <v>0.92456050000000001</v>
      </c>
      <c r="V5535">
        <v>-5.1145040000000003E-2</v>
      </c>
      <c r="W5535">
        <v>0.20922550000000001</v>
      </c>
      <c r="X5535">
        <v>0.97652899999999998</v>
      </c>
      <c r="Y5535">
        <v>-0.32538440000000002</v>
      </c>
      <c r="Z5535">
        <v>-2.1435920000000002E-3</v>
      </c>
      <c r="AA5535">
        <v>0.94557939999999996</v>
      </c>
      <c r="AB5535">
        <v>37</v>
      </c>
      <c r="AC5535">
        <v>73.462599999999995</v>
      </c>
      <c r="AD5535">
        <v>1.358222</v>
      </c>
      <c r="AE5535">
        <v>22.4376199999999</v>
      </c>
      <c r="AF5535">
        <v>-25.0429558619688</v>
      </c>
      <c r="AG5535">
        <v>1.358222</v>
      </c>
      <c r="AH5535">
        <v>72.590377787696397</v>
      </c>
      <c r="AI5535">
        <v>88.9866709488456</v>
      </c>
      <c r="AJ5535">
        <v>109.033923346012</v>
      </c>
      <c r="AK5535">
        <v>76.800764010954296</v>
      </c>
      <c r="AL5535">
        <v>77.923031641016095</v>
      </c>
      <c r="AM5535">
        <v>92.998088035281498</v>
      </c>
      <c r="AN5535">
        <v>1.0000000064039201</v>
      </c>
    </row>
    <row r="5536" spans="1:40" x14ac:dyDescent="0.25">
      <c r="A5536" t="str">
        <f>"20190303170645649"</f>
        <v>20190303170645649</v>
      </c>
      <c r="B5536" t="str">
        <f>"1551604005640456"</f>
        <v>1551604005640456</v>
      </c>
      <c r="C5536" t="s">
        <v>40</v>
      </c>
      <c r="D5536">
        <v>5.9652699999999896</v>
      </c>
      <c r="E5536">
        <v>0.38175399999999998</v>
      </c>
      <c r="F5536" t="s">
        <v>48</v>
      </c>
      <c r="G5536">
        <v>-177.6063</v>
      </c>
      <c r="H5536">
        <v>2.415448</v>
      </c>
      <c r="I5536">
        <v>-46.27467</v>
      </c>
      <c r="J5536">
        <v>-230.62289999999999</v>
      </c>
      <c r="K5536">
        <v>1.120725</v>
      </c>
      <c r="L5536">
        <v>-63.452669999999998</v>
      </c>
      <c r="M5536">
        <v>0.99930030000000003</v>
      </c>
      <c r="N5536">
        <v>-1.093007E-2</v>
      </c>
      <c r="O5536">
        <v>-3.5771110000000002E-2</v>
      </c>
      <c r="P5536">
        <v>0.9798943</v>
      </c>
      <c r="Q5536">
        <v>0.19883290000000001</v>
      </c>
      <c r="R5536">
        <v>1.6513179999999999E-2</v>
      </c>
      <c r="S5536">
        <v>3.030319</v>
      </c>
      <c r="T5536">
        <v>7.3739650000000004E-2</v>
      </c>
      <c r="U5536">
        <v>0.97796629999999996</v>
      </c>
      <c r="V5536">
        <v>-5.154214E-2</v>
      </c>
      <c r="W5536">
        <v>0.20952200000000001</v>
      </c>
      <c r="X5536">
        <v>0.97644450000000005</v>
      </c>
      <c r="Y5536">
        <v>-0.34090870000000001</v>
      </c>
      <c r="Z5536">
        <v>-3.3657259999999999E-3</v>
      </c>
      <c r="AA5536">
        <v>0.94009039999999999</v>
      </c>
      <c r="AB5536">
        <v>37</v>
      </c>
      <c r="AC5536">
        <v>53.016599999999897</v>
      </c>
      <c r="AD5536">
        <v>1.2947229999999901</v>
      </c>
      <c r="AE5536">
        <v>17.177999999999901</v>
      </c>
      <c r="AF5536">
        <v>-19.053297144575001</v>
      </c>
      <c r="AG5536">
        <v>1.2947229999999901</v>
      </c>
      <c r="AH5536">
        <v>52.339903749248897</v>
      </c>
      <c r="AI5536">
        <v>88.6684243498824</v>
      </c>
      <c r="AJ5536">
        <v>110.003025612876</v>
      </c>
      <c r="AK5536">
        <v>55.715078427718602</v>
      </c>
      <c r="AL5536">
        <v>77.905657820125597</v>
      </c>
      <c r="AM5536">
        <v>93.021583785684598</v>
      </c>
      <c r="AN5536">
        <v>0.99999996113001399</v>
      </c>
    </row>
    <row r="5537" spans="1:40" x14ac:dyDescent="0.25">
      <c r="A5537" t="str">
        <f>"20190303170645659"</f>
        <v>20190303170645659</v>
      </c>
      <c r="B5537" t="str">
        <f>"1551604005650217"</f>
        <v>1551604005650217</v>
      </c>
      <c r="C5537" t="s">
        <v>40</v>
      </c>
      <c r="D5537">
        <v>5.9303220000000003</v>
      </c>
      <c r="E5537">
        <v>0.37864880000000001</v>
      </c>
      <c r="F5537" t="s">
        <v>54</v>
      </c>
      <c r="G5537">
        <v>-157.3501</v>
      </c>
      <c r="H5537">
        <v>3.4571679999999998</v>
      </c>
      <c r="I5537">
        <v>-38.823239999999998</v>
      </c>
      <c r="J5537">
        <v>-230.44880000000001</v>
      </c>
      <c r="K5537">
        <v>1.1207260000000001</v>
      </c>
      <c r="L5537">
        <v>-63.458889999999997</v>
      </c>
      <c r="M5537">
        <v>0.99930010000000002</v>
      </c>
      <c r="N5537">
        <v>-1.0930530000000001E-2</v>
      </c>
      <c r="O5537">
        <v>-3.5776719999999998E-2</v>
      </c>
      <c r="P5537">
        <v>0.97971909999999895</v>
      </c>
      <c r="Q5537">
        <v>0.1996829</v>
      </c>
      <c r="R5537">
        <v>1.6658309999999999E-2</v>
      </c>
      <c r="S5537">
        <v>3.0248569999999999</v>
      </c>
      <c r="T5537">
        <v>9.6452469999999998E-2</v>
      </c>
      <c r="U5537">
        <v>1.0167539999999999</v>
      </c>
      <c r="V5537">
        <v>-5.1686160000000002E-2</v>
      </c>
      <c r="W5537">
        <v>0.21037</v>
      </c>
      <c r="X5537">
        <v>0.97625459999999997</v>
      </c>
      <c r="Y5537">
        <v>-0.3521939</v>
      </c>
      <c r="Z5537">
        <v>-4.9783880000000003E-3</v>
      </c>
      <c r="AA5537">
        <v>0.93591389999999997</v>
      </c>
      <c r="AB5537">
        <v>37</v>
      </c>
      <c r="AC5537">
        <v>73.098699999999994</v>
      </c>
      <c r="AD5537">
        <v>2.3364419999999999</v>
      </c>
      <c r="AE5537">
        <v>24.635649999999998</v>
      </c>
      <c r="AF5537">
        <v>-27.210301063216502</v>
      </c>
      <c r="AG5537">
        <v>2.3364419999999999</v>
      </c>
      <c r="AH5537">
        <v>72.104311884651693</v>
      </c>
      <c r="AI5537">
        <v>88.263510472476298</v>
      </c>
      <c r="AJ5537">
        <v>110.675208506882</v>
      </c>
      <c r="AK5537">
        <v>77.103120802788297</v>
      </c>
      <c r="AL5537">
        <v>77.855964182426305</v>
      </c>
      <c r="AM5537">
        <v>93.030599335960304</v>
      </c>
      <c r="AN5537">
        <v>1.0000000200283501</v>
      </c>
    </row>
    <row r="5538" spans="1:40" x14ac:dyDescent="0.25">
      <c r="A5538" t="str">
        <f>"20190303170645670"</f>
        <v>20190303170645670</v>
      </c>
      <c r="B5538" t="str">
        <f>"1551604005659977"</f>
        <v>1551604005659977</v>
      </c>
      <c r="C5538" t="s">
        <v>40</v>
      </c>
      <c r="D5538">
        <v>5.9292429999999996</v>
      </c>
      <c r="E5538">
        <v>0.37665850000000001</v>
      </c>
      <c r="F5538" t="s">
        <v>54</v>
      </c>
      <c r="G5538">
        <v>-157.3501</v>
      </c>
      <c r="H5538">
        <v>3.7977850000000002</v>
      </c>
      <c r="I5538">
        <v>-38.249209999999998</v>
      </c>
      <c r="J5538">
        <v>-230.26480000000001</v>
      </c>
      <c r="K5538">
        <v>1.1207229999999999</v>
      </c>
      <c r="L5538">
        <v>-63.465479999999999</v>
      </c>
      <c r="M5538">
        <v>0.99929990000000002</v>
      </c>
      <c r="N5538">
        <v>-1.0931049999999999E-2</v>
      </c>
      <c r="O5538">
        <v>-3.5782799999999997E-2</v>
      </c>
      <c r="P5538">
        <v>0.97963180000000005</v>
      </c>
      <c r="Q5538">
        <v>0.20012489999999999</v>
      </c>
      <c r="R5538">
        <v>1.649869E-2</v>
      </c>
      <c r="S5538">
        <v>3.0218349999999998</v>
      </c>
      <c r="T5538">
        <v>0.1106663</v>
      </c>
      <c r="U5538">
        <v>1.0421450000000001</v>
      </c>
      <c r="V5538">
        <v>-5.1529390000000001E-2</v>
      </c>
      <c r="W5538">
        <v>0.21081150000000001</v>
      </c>
      <c r="X5538">
        <v>0.97616760000000002</v>
      </c>
      <c r="Y5538">
        <v>-0.3594658</v>
      </c>
      <c r="Z5538">
        <v>-6.0294950000000002E-3</v>
      </c>
      <c r="AA5538">
        <v>0.93313880000000005</v>
      </c>
      <c r="AB5538">
        <v>37</v>
      </c>
      <c r="AC5538">
        <v>72.914699999999996</v>
      </c>
      <c r="AD5538">
        <v>2.6770619999999998</v>
      </c>
      <c r="AE5538">
        <v>25.216270000000002</v>
      </c>
      <c r="AF5538">
        <v>-27.775925106931599</v>
      </c>
      <c r="AG5538">
        <v>2.6770619999999998</v>
      </c>
      <c r="AH5538">
        <v>71.879094705461995</v>
      </c>
      <c r="AI5538">
        <v>88.010323572957006</v>
      </c>
      <c r="AJ5538">
        <v>111.12781014977099</v>
      </c>
      <c r="AK5538">
        <v>77.105595984821306</v>
      </c>
      <c r="AL5538">
        <v>77.830087243118896</v>
      </c>
      <c r="AM5538">
        <v>93.021693023828902</v>
      </c>
      <c r="AN5538">
        <v>0.99999997492788995</v>
      </c>
    </row>
    <row r="5539" spans="1:40" x14ac:dyDescent="0.25">
      <c r="A5539" t="str">
        <f>"20190303170645682"</f>
        <v>20190303170645682</v>
      </c>
      <c r="B5539" t="str">
        <f>"1551604005670712"</f>
        <v>1551604005670712</v>
      </c>
      <c r="C5539" t="s">
        <v>40</v>
      </c>
      <c r="D5539">
        <v>5.9533579999999997</v>
      </c>
      <c r="E5539">
        <v>0.3751022</v>
      </c>
      <c r="F5539" t="s">
        <v>54</v>
      </c>
      <c r="G5539">
        <v>-157.43600000000001</v>
      </c>
      <c r="H5539">
        <v>4.0415669999999997</v>
      </c>
      <c r="I5539">
        <v>-37.955309999999997</v>
      </c>
      <c r="J5539">
        <v>-230.07230000000001</v>
      </c>
      <c r="K5539">
        <v>1.1207229999999999</v>
      </c>
      <c r="L5539">
        <v>-63.472380000000001</v>
      </c>
      <c r="M5539">
        <v>0.99929970000000001</v>
      </c>
      <c r="N5539">
        <v>-1.0931639999999999E-2</v>
      </c>
      <c r="O5539">
        <v>-3.5789120000000001E-2</v>
      </c>
      <c r="P5539">
        <v>0.97958750000000006</v>
      </c>
      <c r="Q5539">
        <v>0.20033970000000001</v>
      </c>
      <c r="R5539">
        <v>1.6517069999999998E-2</v>
      </c>
      <c r="S5539">
        <v>3.0198209999999999</v>
      </c>
      <c r="T5539">
        <v>0.1211108</v>
      </c>
      <c r="U5539">
        <v>1.0577700000000001</v>
      </c>
      <c r="V5539">
        <v>-5.1552540000000001E-2</v>
      </c>
      <c r="W5539">
        <v>0.21102679999999999</v>
      </c>
      <c r="X5539">
        <v>0.97611990000000004</v>
      </c>
      <c r="Y5539">
        <v>-0.36392330000000001</v>
      </c>
      <c r="Z5539">
        <v>-6.8111100000000004E-3</v>
      </c>
      <c r="AA5539">
        <v>0.93140400000000001</v>
      </c>
      <c r="AB5539">
        <v>37</v>
      </c>
      <c r="AC5539">
        <v>72.636300000000006</v>
      </c>
      <c r="AD5539">
        <v>2.9208440000000002</v>
      </c>
      <c r="AE5539">
        <v>25.51707</v>
      </c>
      <c r="AF5539">
        <v>-28.060076511867798</v>
      </c>
      <c r="AG5539">
        <v>2.9208440000000002</v>
      </c>
      <c r="AH5539">
        <v>71.573452860457493</v>
      </c>
      <c r="AI5539">
        <v>87.824176077869794</v>
      </c>
      <c r="AJ5539">
        <v>111.407457432578</v>
      </c>
      <c r="AK5539">
        <v>76.932817301151502</v>
      </c>
      <c r="AL5539">
        <v>77.817468082565199</v>
      </c>
      <c r="AM5539">
        <v>93.023195479785102</v>
      </c>
      <c r="AN5539">
        <v>1.00000001693735</v>
      </c>
    </row>
    <row r="5540" spans="1:40" x14ac:dyDescent="0.25">
      <c r="A5540" t="str">
        <f>"20190303170645694"</f>
        <v>20190303170645694</v>
      </c>
      <c r="B5540" t="str">
        <f>"1551604005680472"</f>
        <v>1551604005680472</v>
      </c>
      <c r="C5540" t="s">
        <v>40</v>
      </c>
      <c r="D5540">
        <v>5.9258069999999998</v>
      </c>
      <c r="E5540">
        <v>0.37392890000000001</v>
      </c>
      <c r="F5540" t="s">
        <v>54</v>
      </c>
      <c r="G5540">
        <v>-165.61490000000001</v>
      </c>
      <c r="H5540">
        <v>3.8792789999999999</v>
      </c>
      <c r="I5540">
        <v>-40.619770000000003</v>
      </c>
      <c r="J5540">
        <v>-229.89</v>
      </c>
      <c r="K5540">
        <v>1.1207240000000001</v>
      </c>
      <c r="L5540">
        <v>-63.478940000000001</v>
      </c>
      <c r="M5540">
        <v>0.9992993</v>
      </c>
      <c r="N5540">
        <v>-1.0932239999999999E-2</v>
      </c>
      <c r="O5540">
        <v>-3.5794960000000001E-2</v>
      </c>
      <c r="P5540">
        <v>0.97967360000000003</v>
      </c>
      <c r="Q5540">
        <v>0.1999223</v>
      </c>
      <c r="R5540">
        <v>1.6454880000000002E-2</v>
      </c>
      <c r="S5540">
        <v>3.0180359999999999</v>
      </c>
      <c r="T5540">
        <v>0.12916050000000001</v>
      </c>
      <c r="U5540">
        <v>1.0700069999999999</v>
      </c>
      <c r="V5540">
        <v>-5.1499089999999997E-2</v>
      </c>
      <c r="W5540">
        <v>0.21061060000000001</v>
      </c>
      <c r="X5540">
        <v>0.97621259999999999</v>
      </c>
      <c r="Y5540">
        <v>-0.36742019999999997</v>
      </c>
      <c r="Z5540">
        <v>-7.42479199999999E-3</v>
      </c>
      <c r="AA5540">
        <v>0.9300254</v>
      </c>
      <c r="AB5540">
        <v>37</v>
      </c>
      <c r="AC5540">
        <v>64.275099999999895</v>
      </c>
      <c r="AD5540">
        <v>2.7585549999999999</v>
      </c>
      <c r="AE5540">
        <v>22.859169999999999</v>
      </c>
      <c r="AF5540">
        <v>-25.1043324347349</v>
      </c>
      <c r="AG5540">
        <v>2.7585549999999999</v>
      </c>
      <c r="AH5540">
        <v>63.312089064697197</v>
      </c>
      <c r="AI5540">
        <v>87.6806235178816</v>
      </c>
      <c r="AJ5540">
        <v>111.629177640528</v>
      </c>
      <c r="AK5540">
        <v>68.163463486077802</v>
      </c>
      <c r="AL5540">
        <v>77.841862777533805</v>
      </c>
      <c r="AM5540">
        <v>93.019780565944203</v>
      </c>
      <c r="AN5540">
        <v>1.0000000107509699</v>
      </c>
    </row>
    <row r="5541" spans="1:40" x14ac:dyDescent="0.25">
      <c r="A5541" t="str">
        <f>"20190303170645704"</f>
        <v>20190303170645704</v>
      </c>
      <c r="B5541" t="str">
        <f>"1551604005690234"</f>
        <v>1551604005690234</v>
      </c>
      <c r="C5541" t="s">
        <v>40</v>
      </c>
      <c r="D5541">
        <v>5.912496</v>
      </c>
      <c r="E5541">
        <v>0.37303609999999998</v>
      </c>
      <c r="F5541" t="s">
        <v>54</v>
      </c>
      <c r="G5541">
        <v>-165.9588</v>
      </c>
      <c r="H5541">
        <v>3.9081830000000002</v>
      </c>
      <c r="I5541">
        <v>-40.619770000000003</v>
      </c>
      <c r="J5541">
        <v>-229.69409999999999</v>
      </c>
      <c r="K5541">
        <v>1.1207260000000001</v>
      </c>
      <c r="L5541">
        <v>-63.485990000000001</v>
      </c>
      <c r="M5541">
        <v>0.99929920000000005</v>
      </c>
      <c r="N5541">
        <v>-1.0932890000000001E-2</v>
      </c>
      <c r="O5541">
        <v>-3.5801399999999997E-2</v>
      </c>
      <c r="P5541">
        <v>0.97981910000000005</v>
      </c>
      <c r="Q5541">
        <v>0.199183</v>
      </c>
      <c r="R5541">
        <v>1.6760270000000001E-2</v>
      </c>
      <c r="S5541">
        <v>3.0172880000000002</v>
      </c>
      <c r="T5541">
        <v>0.13155559999999999</v>
      </c>
      <c r="U5541">
        <v>1.078857</v>
      </c>
      <c r="V5541">
        <v>-5.1815640000000003E-2</v>
      </c>
      <c r="W5541">
        <v>0.20987359999999999</v>
      </c>
      <c r="X5541">
        <v>0.97635450000000001</v>
      </c>
      <c r="Y5541">
        <v>-0.36990610000000002</v>
      </c>
      <c r="Z5541">
        <v>-7.6290129999999996E-3</v>
      </c>
      <c r="AA5541">
        <v>0.92903780000000002</v>
      </c>
      <c r="AB5541">
        <v>37</v>
      </c>
      <c r="AC5541">
        <v>63.735300000000002</v>
      </c>
      <c r="AD5541">
        <v>2.7874569999999999</v>
      </c>
      <c r="AE5541">
        <v>22.866219999999998</v>
      </c>
      <c r="AF5541">
        <v>-25.090988780109299</v>
      </c>
      <c r="AG5541">
        <v>2.7874569999999999</v>
      </c>
      <c r="AH5541">
        <v>62.769374254003303</v>
      </c>
      <c r="AI5541">
        <v>87.638717100586504</v>
      </c>
      <c r="AJ5541">
        <v>111.788219184973</v>
      </c>
      <c r="AK5541">
        <v>67.655908675662303</v>
      </c>
      <c r="AL5541">
        <v>77.885054386755996</v>
      </c>
      <c r="AM5541">
        <v>93.037866861240502</v>
      </c>
      <c r="AN5541">
        <v>0.99999994909790801</v>
      </c>
    </row>
    <row r="5542" spans="1:40" x14ac:dyDescent="0.25">
      <c r="A5542" t="str">
        <f>"20190303170645715"</f>
        <v>20190303170645715</v>
      </c>
      <c r="B5542" t="str">
        <f>"1551604005699992"</f>
        <v>1551604005699992</v>
      </c>
      <c r="C5542" t="s">
        <v>40</v>
      </c>
      <c r="D5542">
        <v>5.9715669999999896</v>
      </c>
      <c r="E5542">
        <v>0.37236459999999999</v>
      </c>
      <c r="F5542" t="s">
        <v>54</v>
      </c>
      <c r="G5542">
        <v>-166.2191</v>
      </c>
      <c r="H5542">
        <v>3.905602</v>
      </c>
      <c r="I5542">
        <v>-40.619770000000003</v>
      </c>
      <c r="J5542">
        <v>-229.50399999999999</v>
      </c>
      <c r="K5542">
        <v>1.1207229999999999</v>
      </c>
      <c r="L5542">
        <v>-63.492800000000003</v>
      </c>
      <c r="M5542">
        <v>0.99929900000000005</v>
      </c>
      <c r="N5542">
        <v>-1.093356E-2</v>
      </c>
      <c r="O5542">
        <v>-3.5807840000000001E-2</v>
      </c>
      <c r="P5542">
        <v>0.97997789999999996</v>
      </c>
      <c r="Q5542">
        <v>0.1983627</v>
      </c>
      <c r="R5542">
        <v>1.7212539999999998E-2</v>
      </c>
      <c r="S5542">
        <v>3.0162659999999999</v>
      </c>
      <c r="T5542">
        <v>0.13233339999999999</v>
      </c>
      <c r="U5542">
        <v>1.086578</v>
      </c>
      <c r="V5542">
        <v>-5.2280319999999998E-2</v>
      </c>
      <c r="W5542">
        <v>0.20905580000000001</v>
      </c>
      <c r="X5542">
        <v>0.97650519999999996</v>
      </c>
      <c r="Y5542">
        <v>-0.37211260000000002</v>
      </c>
      <c r="Z5542">
        <v>-7.7168979999999998E-3</v>
      </c>
      <c r="AA5542">
        <v>0.92815550000000002</v>
      </c>
      <c r="AB5542">
        <v>37</v>
      </c>
      <c r="AC5542">
        <v>63.2849</v>
      </c>
      <c r="AD5542">
        <v>2.7848790000000001</v>
      </c>
      <c r="AE5542">
        <v>22.87303</v>
      </c>
      <c r="AF5542">
        <v>-25.081632079490401</v>
      </c>
      <c r="AG5542">
        <v>2.7848790000000001</v>
      </c>
      <c r="AH5542">
        <v>62.318492106692702</v>
      </c>
      <c r="AI5542">
        <v>87.626097089485597</v>
      </c>
      <c r="AJ5542">
        <v>111.923550120654</v>
      </c>
      <c r="AK5542">
        <v>67.234204667471801</v>
      </c>
      <c r="AL5542">
        <v>77.932974325223199</v>
      </c>
      <c r="AM5542">
        <v>93.064586463152594</v>
      </c>
      <c r="AN5542">
        <v>0.999999982499991</v>
      </c>
    </row>
    <row r="5543" spans="1:40" x14ac:dyDescent="0.25">
      <c r="A5543" t="str">
        <f>"20190303170645727"</f>
        <v>20190303170645727</v>
      </c>
      <c r="B5543" t="str">
        <f>"1551604005720488"</f>
        <v>1551604005720488</v>
      </c>
      <c r="C5543" t="s">
        <v>40</v>
      </c>
      <c r="D5543">
        <v>5.950196</v>
      </c>
      <c r="E5543">
        <v>0.37122110000000003</v>
      </c>
      <c r="F5543" t="s">
        <v>54</v>
      </c>
      <c r="G5543">
        <v>-166.38120000000001</v>
      </c>
      <c r="H5543">
        <v>3.883521</v>
      </c>
      <c r="I5543">
        <v>-40.619770000000003</v>
      </c>
      <c r="J5543">
        <v>-229.31979999999999</v>
      </c>
      <c r="K5543">
        <v>1.1207210000000001</v>
      </c>
      <c r="L5543">
        <v>-63.499419999999901</v>
      </c>
      <c r="M5543">
        <v>0.99929880000000004</v>
      </c>
      <c r="N5543">
        <v>-1.093423E-2</v>
      </c>
      <c r="O5543">
        <v>-3.58138E-2</v>
      </c>
      <c r="P5543">
        <v>0.98004789999999997</v>
      </c>
      <c r="Q5543">
        <v>0.1980384</v>
      </c>
      <c r="R5543">
        <v>1.6940480000000001E-2</v>
      </c>
      <c r="S5543">
        <v>3.015396</v>
      </c>
      <c r="T5543">
        <v>0.13197879999999901</v>
      </c>
      <c r="U5543">
        <v>1.092651</v>
      </c>
      <c r="V5543">
        <v>-5.2016720000000002E-2</v>
      </c>
      <c r="W5543">
        <v>0.20873259999999999</v>
      </c>
      <c r="X5543">
        <v>0.97658840000000002</v>
      </c>
      <c r="Y5543">
        <v>-0.3738571</v>
      </c>
      <c r="Z5543">
        <v>-7.7176240000000002E-3</v>
      </c>
      <c r="AA5543">
        <v>0.92745420000000001</v>
      </c>
      <c r="AB5543">
        <v>37</v>
      </c>
      <c r="AC5543">
        <v>62.938599999999902</v>
      </c>
      <c r="AD5543">
        <v>2.7627999999999999</v>
      </c>
      <c r="AE5543">
        <v>22.879649999999899</v>
      </c>
      <c r="AF5543">
        <v>-25.0764950319085</v>
      </c>
      <c r="AG5543">
        <v>2.7627999999999999</v>
      </c>
      <c r="AH5543">
        <v>61.973283837618197</v>
      </c>
      <c r="AI5543">
        <v>87.633564551739894</v>
      </c>
      <c r="AJ5543">
        <v>112.02992772805899</v>
      </c>
      <c r="AK5543">
        <v>66.911520506885196</v>
      </c>
      <c r="AL5543">
        <v>77.951909927558106</v>
      </c>
      <c r="AM5543">
        <v>93.048904613937907</v>
      </c>
      <c r="AN5543">
        <v>0.99999997023843801</v>
      </c>
    </row>
    <row r="5544" spans="1:40" x14ac:dyDescent="0.25">
      <c r="A5544" t="str">
        <f>"20190303170645738"</f>
        <v>20190303170645738</v>
      </c>
      <c r="B5544" t="str">
        <f>"1551604005730249"</f>
        <v>1551604005730249</v>
      </c>
      <c r="C5544" t="s">
        <v>40</v>
      </c>
      <c r="D5544">
        <v>5.9000490000000001</v>
      </c>
      <c r="E5544">
        <v>0.37061889999999997</v>
      </c>
      <c r="F5544" t="s">
        <v>54</v>
      </c>
      <c r="G5544">
        <v>-166.64760000000001</v>
      </c>
      <c r="H5544">
        <v>3.934037</v>
      </c>
      <c r="I5544">
        <v>-40.619779999999999</v>
      </c>
      <c r="J5544">
        <v>-229.13249999999999</v>
      </c>
      <c r="K5544">
        <v>1.120725</v>
      </c>
      <c r="L5544">
        <v>-63.506129999999999</v>
      </c>
      <c r="M5544">
        <v>0.99929849999999998</v>
      </c>
      <c r="N5544">
        <v>-1.0934930000000001E-2</v>
      </c>
      <c r="O5544">
        <v>-3.5820129999999999E-2</v>
      </c>
      <c r="P5544">
        <v>0.97993540000000001</v>
      </c>
      <c r="Q5544">
        <v>0.19860559999999999</v>
      </c>
      <c r="R5544">
        <v>1.6806890000000001E-2</v>
      </c>
      <c r="S5544">
        <v>3.0147400000000002</v>
      </c>
      <c r="T5544">
        <v>0.135328799999999</v>
      </c>
      <c r="U5544">
        <v>1.1005860000000001</v>
      </c>
      <c r="V5544">
        <v>-5.1884560000000003E-2</v>
      </c>
      <c r="W5544">
        <v>0.2092996</v>
      </c>
      <c r="X5544">
        <v>0.97647410000000001</v>
      </c>
      <c r="Y5544">
        <v>-0.37606499999999998</v>
      </c>
      <c r="Z5544">
        <v>-7.9896199999999994E-3</v>
      </c>
      <c r="AA5544">
        <v>0.92655889999999996</v>
      </c>
      <c r="AB5544">
        <v>37</v>
      </c>
      <c r="AC5544">
        <v>62.484899999999897</v>
      </c>
      <c r="AD5544">
        <v>2.8133119999999998</v>
      </c>
      <c r="AE5544">
        <v>22.88635</v>
      </c>
      <c r="AF5544">
        <v>-25.065211180615801</v>
      </c>
      <c r="AG5544">
        <v>2.8133119999999998</v>
      </c>
      <c r="AH5544">
        <v>61.515004857498496</v>
      </c>
      <c r="AI5544">
        <v>87.574811174790696</v>
      </c>
      <c r="AJ5544">
        <v>112.16917562101899</v>
      </c>
      <c r="AK5544">
        <v>66.485151414103598</v>
      </c>
      <c r="AL5544">
        <v>77.918689805122398</v>
      </c>
      <c r="AM5544">
        <v>93.041528068550306</v>
      </c>
      <c r="AN5544">
        <v>0.99999999904868098</v>
      </c>
    </row>
    <row r="5545" spans="1:40" x14ac:dyDescent="0.25">
      <c r="A5545" t="str">
        <f>"20190303170645752"</f>
        <v>20190303170645752</v>
      </c>
      <c r="B5545" t="str">
        <f>"1551604005740010"</f>
        <v>1551604005740010</v>
      </c>
      <c r="C5545" t="s">
        <v>40</v>
      </c>
      <c r="D5545">
        <v>5.9101100000000004</v>
      </c>
      <c r="E5545">
        <v>0.37007820000000002</v>
      </c>
      <c r="F5545" t="s">
        <v>54</v>
      </c>
      <c r="G5545">
        <v>-166.69319999999999</v>
      </c>
      <c r="H5545">
        <v>3.9997389999999999</v>
      </c>
      <c r="I5545">
        <v>-40.619770000000003</v>
      </c>
      <c r="J5545">
        <v>-228.92949999999999</v>
      </c>
      <c r="K5545">
        <v>1.1207279999999999</v>
      </c>
      <c r="L5545">
        <v>-63.513460000000002</v>
      </c>
      <c r="M5545">
        <v>0.99929820000000003</v>
      </c>
      <c r="N5545">
        <v>-1.0937489999999999E-2</v>
      </c>
      <c r="O5545">
        <v>-3.5827060000000001E-2</v>
      </c>
      <c r="P5545">
        <v>0.97976909999999895</v>
      </c>
      <c r="Q5545">
        <v>0.19948370000000001</v>
      </c>
      <c r="R5545">
        <v>1.6093110000000001E-2</v>
      </c>
      <c r="S5545">
        <v>3.014313</v>
      </c>
      <c r="T5545">
        <v>0.1389859</v>
      </c>
      <c r="U5545">
        <v>1.1048579999999999</v>
      </c>
      <c r="V5545">
        <v>-5.1172059999999998E-2</v>
      </c>
      <c r="W5545">
        <v>0.21017849999999999</v>
      </c>
      <c r="X5545">
        <v>0.97632289999999999</v>
      </c>
      <c r="Y5545">
        <v>-0.3772529</v>
      </c>
      <c r="Z5545">
        <v>-8.2705000000000001E-3</v>
      </c>
      <c r="AA5545">
        <v>0.92607340000000005</v>
      </c>
      <c r="AB5545">
        <v>37</v>
      </c>
      <c r="AC5545">
        <v>62.2363</v>
      </c>
      <c r="AD5545">
        <v>2.8790110000000002</v>
      </c>
      <c r="AE5545">
        <v>22.8936899999999</v>
      </c>
      <c r="AF5545">
        <v>-25.061629446013999</v>
      </c>
      <c r="AG5545">
        <v>2.8790110000000002</v>
      </c>
      <c r="AH5545">
        <v>61.260608488533798</v>
      </c>
      <c r="AI5545">
        <v>87.509375436831604</v>
      </c>
      <c r="AJ5545">
        <v>112.24940136194</v>
      </c>
      <c r="AK5545">
        <v>66.251310381100097</v>
      </c>
      <c r="AL5545">
        <v>77.867186915365906</v>
      </c>
      <c r="AM5545">
        <v>93.000301105594005</v>
      </c>
      <c r="AN5545">
        <v>0.99999999332565104</v>
      </c>
    </row>
    <row r="5546" spans="1:40" x14ac:dyDescent="0.25">
      <c r="A5546" t="str">
        <f>"20190303170645765"</f>
        <v>20190303170645765</v>
      </c>
      <c r="B5546" t="str">
        <f>"1551604005750746"</f>
        <v>1551604005750746</v>
      </c>
      <c r="C5546" t="s">
        <v>40</v>
      </c>
      <c r="D5546">
        <v>5.9042289999999999</v>
      </c>
      <c r="E5546">
        <v>0.3695524</v>
      </c>
      <c r="F5546" t="s">
        <v>54</v>
      </c>
      <c r="G5546">
        <v>-166.62309999999999</v>
      </c>
      <c r="H5546">
        <v>4.1252550000000001</v>
      </c>
      <c r="I5546">
        <v>-40.619770000000003</v>
      </c>
      <c r="J5546">
        <v>-228.7012</v>
      </c>
      <c r="K5546">
        <v>1.120733</v>
      </c>
      <c r="L5546">
        <v>-63.521639999999998</v>
      </c>
      <c r="M5546">
        <v>0.99929789999999996</v>
      </c>
      <c r="N5546">
        <v>-1.094204E-2</v>
      </c>
      <c r="O5546">
        <v>-3.5834829999999998E-2</v>
      </c>
      <c r="P5546">
        <v>0.97950729999999997</v>
      </c>
      <c r="Q5546">
        <v>0.2008404</v>
      </c>
      <c r="R5546">
        <v>1.51369E-2</v>
      </c>
      <c r="S5546">
        <v>3.01416</v>
      </c>
      <c r="T5546">
        <v>0.14534710000000001</v>
      </c>
      <c r="U5546">
        <v>1.107513</v>
      </c>
      <c r="V5546">
        <v>-5.0215179999999998E-2</v>
      </c>
      <c r="W5546">
        <v>0.21153669999999999</v>
      </c>
      <c r="X5546">
        <v>0.97607920000000004</v>
      </c>
      <c r="Y5546">
        <v>-0.37796069999999998</v>
      </c>
      <c r="Z5546">
        <v>-8.7394120000000002E-3</v>
      </c>
      <c r="AA5546">
        <v>0.92578039999999995</v>
      </c>
      <c r="AB5546">
        <v>37</v>
      </c>
      <c r="AC5546">
        <v>62.078099999999999</v>
      </c>
      <c r="AD5546">
        <v>3.0045220000000001</v>
      </c>
      <c r="AE5546">
        <v>22.901869999999999</v>
      </c>
      <c r="AF5546">
        <v>-25.060179868603999</v>
      </c>
      <c r="AG5546">
        <v>3.0045220000000001</v>
      </c>
      <c r="AH5546">
        <v>61.091528986343</v>
      </c>
      <c r="AI5546">
        <v>87.394770483131197</v>
      </c>
      <c r="AJ5546">
        <v>112.30378750577</v>
      </c>
      <c r="AK5546">
        <v>66.100035411370698</v>
      </c>
      <c r="AL5546">
        <v>77.787577652129301</v>
      </c>
      <c r="AM5546">
        <v>92.945031144321703</v>
      </c>
      <c r="AN5546">
        <v>0.99999997221098003</v>
      </c>
    </row>
    <row r="5547" spans="1:40" x14ac:dyDescent="0.25">
      <c r="A5547" t="str">
        <f>"20190303170645778"</f>
        <v>20190303170645778</v>
      </c>
      <c r="B5547" t="str">
        <f>"1551604005770264"</f>
        <v>1551604005770264</v>
      </c>
      <c r="C5547" t="s">
        <v>40</v>
      </c>
      <c r="D5547">
        <v>5.9641659999999996</v>
      </c>
      <c r="E5547">
        <v>0.36891960000000001</v>
      </c>
      <c r="F5547" t="s">
        <v>54</v>
      </c>
      <c r="G5547">
        <v>-166.47790000000001</v>
      </c>
      <c r="H5547">
        <v>4.2832650000000001</v>
      </c>
      <c r="I5547">
        <v>-40.619770000000003</v>
      </c>
      <c r="J5547">
        <v>-228.4796</v>
      </c>
      <c r="K5547">
        <v>1.1207400000000001</v>
      </c>
      <c r="L5547">
        <v>-63.529600000000002</v>
      </c>
      <c r="M5547">
        <v>0.99929749999999995</v>
      </c>
      <c r="N5547">
        <v>-1.0950730000000001E-2</v>
      </c>
      <c r="O5547">
        <v>-3.5842029999999997E-2</v>
      </c>
      <c r="P5547">
        <v>0.97932839999999999</v>
      </c>
      <c r="Q5547">
        <v>0.2017601</v>
      </c>
      <c r="R5547">
        <v>1.445539E-2</v>
      </c>
      <c r="S5547">
        <v>3.0142060000000002</v>
      </c>
      <c r="T5547">
        <v>0.15319749999999999</v>
      </c>
      <c r="U5547">
        <v>1.1094059999999999</v>
      </c>
      <c r="V5547">
        <v>-4.9534290000000002E-2</v>
      </c>
      <c r="W5547">
        <v>0.2124636</v>
      </c>
      <c r="X5547">
        <v>0.97591269999999997</v>
      </c>
      <c r="Y5547">
        <v>-0.37843169999999998</v>
      </c>
      <c r="Z5547">
        <v>-9.3118669999999997E-3</v>
      </c>
      <c r="AA5547">
        <v>0.92558229999999997</v>
      </c>
      <c r="AB5547">
        <v>37</v>
      </c>
      <c r="AC5547">
        <v>62.0017</v>
      </c>
      <c r="AD5547">
        <v>3.162525</v>
      </c>
      <c r="AE5547">
        <v>22.909829999999999</v>
      </c>
      <c r="AF5547">
        <v>-25.060140890067199</v>
      </c>
      <c r="AG5547">
        <v>3.162525</v>
      </c>
      <c r="AH5547">
        <v>61.001031140926997</v>
      </c>
      <c r="AI5547">
        <v>87.254493331732604</v>
      </c>
      <c r="AJ5547">
        <v>112.333595635698</v>
      </c>
      <c r="AK5547">
        <v>66.023768644799404</v>
      </c>
      <c r="AL5547">
        <v>77.733235464344602</v>
      </c>
      <c r="AM5547">
        <v>92.905661832681801</v>
      </c>
      <c r="AN5547">
        <v>1.00000001261602</v>
      </c>
    </row>
    <row r="5548" spans="1:40" x14ac:dyDescent="0.25">
      <c r="A5548" t="str">
        <f>"20190303170645789"</f>
        <v>20190303170645789</v>
      </c>
      <c r="B5548" t="str">
        <f>"1551604005780025"</f>
        <v>1551604005780025</v>
      </c>
      <c r="C5548" t="s">
        <v>40</v>
      </c>
      <c r="D5548">
        <v>5.9088649999999996</v>
      </c>
      <c r="E5548">
        <v>0.3686507</v>
      </c>
      <c r="F5548" t="s">
        <v>54</v>
      </c>
      <c r="G5548">
        <v>-166.4264</v>
      </c>
      <c r="H5548">
        <v>4.3572069999999998</v>
      </c>
      <c r="I5548">
        <v>-40.619770000000003</v>
      </c>
      <c r="J5548">
        <v>-228.26660000000001</v>
      </c>
      <c r="K5548">
        <v>1.1207419999999999</v>
      </c>
      <c r="L5548">
        <v>-63.537230000000001</v>
      </c>
      <c r="M5548">
        <v>0.9992972</v>
      </c>
      <c r="N5548">
        <v>-1.095995E-2</v>
      </c>
      <c r="O5548">
        <v>-3.5849350000000002E-2</v>
      </c>
      <c r="P5548">
        <v>0.97930439999999996</v>
      </c>
      <c r="Q5548">
        <v>0.20192160000000001</v>
      </c>
      <c r="R5548">
        <v>1.3820320000000001E-2</v>
      </c>
      <c r="S5548">
        <v>3.0145110000000002</v>
      </c>
      <c r="T5548">
        <v>0.1572247</v>
      </c>
      <c r="U5548">
        <v>1.112946</v>
      </c>
      <c r="V5548">
        <v>-4.8906070000000003E-2</v>
      </c>
      <c r="W5548">
        <v>0.21263370000000001</v>
      </c>
      <c r="X5548">
        <v>0.97590730000000003</v>
      </c>
      <c r="Y5548">
        <v>-0.3793415</v>
      </c>
      <c r="Z5548">
        <v>-9.6154989999999996E-3</v>
      </c>
      <c r="AA5548">
        <v>0.9252068</v>
      </c>
      <c r="AB5548">
        <v>37</v>
      </c>
      <c r="AC5548">
        <v>61.840200000000003</v>
      </c>
      <c r="AD5548">
        <v>3.2364649999999999</v>
      </c>
      <c r="AE5548">
        <v>22.917459999999998</v>
      </c>
      <c r="AF5548">
        <v>-25.059440307170401</v>
      </c>
      <c r="AG5548">
        <v>3.2364649999999999</v>
      </c>
      <c r="AH5548">
        <v>60.832316949040901</v>
      </c>
      <c r="AI5548">
        <v>87.183741209018905</v>
      </c>
      <c r="AJ5548">
        <v>112.388863556069</v>
      </c>
      <c r="AK5548">
        <v>65.871245924101302</v>
      </c>
      <c r="AL5548">
        <v>77.723261098376696</v>
      </c>
      <c r="AM5548">
        <v>92.868888501386095</v>
      </c>
      <c r="AN5548">
        <v>0.99999997612591196</v>
      </c>
    </row>
    <row r="5549" spans="1:40" x14ac:dyDescent="0.25">
      <c r="A5549" t="str">
        <f>"20190303170645805"</f>
        <v>20190303170645805</v>
      </c>
      <c r="B5549" t="str">
        <f>"1551604005790762"</f>
        <v>1551604005790762</v>
      </c>
      <c r="C5549" t="s">
        <v>40</v>
      </c>
      <c r="D5549">
        <v>5.9378289999999998</v>
      </c>
      <c r="E5549">
        <v>0.36837419999999998</v>
      </c>
      <c r="F5549" t="s">
        <v>54</v>
      </c>
      <c r="G5549">
        <v>-166.2166</v>
      </c>
      <c r="H5549">
        <v>4.3929280000000004</v>
      </c>
      <c r="I5549">
        <v>-40.619779999999999</v>
      </c>
      <c r="J5549">
        <v>-228.01669999999999</v>
      </c>
      <c r="K5549">
        <v>1.1207389999999999</v>
      </c>
      <c r="L5549">
        <v>-63.546230000000001</v>
      </c>
      <c r="M5549">
        <v>0.99929679999999999</v>
      </c>
      <c r="N5549">
        <v>-1.0971989999999999E-2</v>
      </c>
      <c r="O5549">
        <v>-3.5857640000000003E-2</v>
      </c>
      <c r="P5549">
        <v>0.9797382</v>
      </c>
      <c r="Q5549">
        <v>0.19980319999999999</v>
      </c>
      <c r="R5549">
        <v>1.385918E-2</v>
      </c>
      <c r="S5549">
        <v>3.014923</v>
      </c>
      <c r="T5549">
        <v>0.15898979999999999</v>
      </c>
      <c r="U5549">
        <v>1.1135250000000001</v>
      </c>
      <c r="V5549">
        <v>-4.8968879999999999E-2</v>
      </c>
      <c r="W5549">
        <v>0.21053230000000001</v>
      </c>
      <c r="X5549">
        <v>0.97635970000000005</v>
      </c>
      <c r="Y5549">
        <v>-0.37945459999999998</v>
      </c>
      <c r="Z5549">
        <v>-9.7420100000000006E-3</v>
      </c>
      <c r="AA5549">
        <v>0.92515910000000001</v>
      </c>
      <c r="AB5549">
        <v>37</v>
      </c>
      <c r="AC5549">
        <v>61.800099999999901</v>
      </c>
      <c r="AD5549">
        <v>3.272189</v>
      </c>
      <c r="AE5549">
        <v>22.926449999999999</v>
      </c>
      <c r="AF5549">
        <v>-25.066072104443101</v>
      </c>
      <c r="AG5549">
        <v>3.272189</v>
      </c>
      <c r="AH5549">
        <v>60.788411365679202</v>
      </c>
      <c r="AI5549">
        <v>87.151060669424197</v>
      </c>
      <c r="AJ5549">
        <v>112.408778837974</v>
      </c>
      <c r="AK5549">
        <v>65.834991820155196</v>
      </c>
      <c r="AL5549">
        <v>77.846452197174102</v>
      </c>
      <c r="AM5549">
        <v>92.871238056768206</v>
      </c>
      <c r="AN5549">
        <v>1.0000000321679099</v>
      </c>
    </row>
    <row r="5550" spans="1:40" x14ac:dyDescent="0.25">
      <c r="A5550" t="str">
        <f>"20190303170645817"</f>
        <v>20190303170645817</v>
      </c>
      <c r="B5550" t="str">
        <f>"1551604005810281"</f>
        <v>1551604005810281</v>
      </c>
      <c r="C5550" t="s">
        <v>40</v>
      </c>
      <c r="D5550">
        <v>5.8435350000000001</v>
      </c>
      <c r="E5550">
        <v>0.36770229999999998</v>
      </c>
      <c r="F5550" t="s">
        <v>54</v>
      </c>
      <c r="G5550">
        <v>-166.0635</v>
      </c>
      <c r="H5550">
        <v>4.2581189999999998</v>
      </c>
      <c r="I5550">
        <v>-40.619770000000003</v>
      </c>
      <c r="J5550">
        <v>-227.8115</v>
      </c>
      <c r="K5550">
        <v>1.120736</v>
      </c>
      <c r="L5550">
        <v>-63.553620000000002</v>
      </c>
      <c r="M5550">
        <v>0.99929639999999997</v>
      </c>
      <c r="N5550">
        <v>-1.0984000000000001E-2</v>
      </c>
      <c r="O5550">
        <v>-3.5864380000000001E-2</v>
      </c>
      <c r="P5550">
        <v>0.97997060000000002</v>
      </c>
      <c r="Q5550">
        <v>0.19864039999999999</v>
      </c>
      <c r="R5550">
        <v>1.413442E-2</v>
      </c>
      <c r="S5550">
        <v>3.0151370000000002</v>
      </c>
      <c r="T5550">
        <v>0.15268889999999999</v>
      </c>
      <c r="U5550">
        <v>1.1157840000000001</v>
      </c>
      <c r="V5550">
        <v>-4.925877E-2</v>
      </c>
      <c r="W5550">
        <v>0.2093835</v>
      </c>
      <c r="X5550">
        <v>0.97659209999999996</v>
      </c>
      <c r="Y5550">
        <v>-0.3800848</v>
      </c>
      <c r="Z5550">
        <v>-9.2943790000000002E-3</v>
      </c>
      <c r="AA5550">
        <v>0.92490490000000003</v>
      </c>
      <c r="AB5550">
        <v>37</v>
      </c>
      <c r="AC5550">
        <v>61.747999999999898</v>
      </c>
      <c r="AD5550">
        <v>3.1373829999999998</v>
      </c>
      <c r="AE5550">
        <v>22.93385</v>
      </c>
      <c r="AF5550">
        <v>-25.076890501404201</v>
      </c>
      <c r="AG5550">
        <v>3.1373829999999998</v>
      </c>
      <c r="AH5550">
        <v>60.747896988555098</v>
      </c>
      <c r="AI5550">
        <v>87.266865103865797</v>
      </c>
      <c r="AJ5550">
        <v>112.430963017411</v>
      </c>
      <c r="AK5550">
        <v>65.795141141578299</v>
      </c>
      <c r="AL5550">
        <v>77.913773812576395</v>
      </c>
      <c r="AM5550">
        <v>92.887520608467995</v>
      </c>
      <c r="AN5550">
        <v>1.0000000031382801</v>
      </c>
    </row>
    <row r="5551" spans="1:40" x14ac:dyDescent="0.25">
      <c r="A5551" t="str">
        <f>"20190303170645829"</f>
        <v>20190303170645829</v>
      </c>
      <c r="B5551" t="str">
        <f>"1551604005820040"</f>
        <v>1551604005820040</v>
      </c>
      <c r="C5551" t="s">
        <v>40</v>
      </c>
      <c r="D5551">
        <v>5.8432620000000002</v>
      </c>
      <c r="E5551">
        <v>0.3675003</v>
      </c>
      <c r="F5551" t="s">
        <v>54</v>
      </c>
      <c r="G5551">
        <v>-166.17910000000001</v>
      </c>
      <c r="H5551">
        <v>4.1972610000000001</v>
      </c>
      <c r="I5551">
        <v>-40.619770000000003</v>
      </c>
      <c r="J5551">
        <v>-227.61</v>
      </c>
      <c r="K5551">
        <v>1.1207320000000001</v>
      </c>
      <c r="L5551">
        <v>-63.560850000000002</v>
      </c>
      <c r="M5551">
        <v>0.99929610000000002</v>
      </c>
      <c r="N5551">
        <v>-1.099786E-2</v>
      </c>
      <c r="O5551">
        <v>-3.5871130000000001E-2</v>
      </c>
      <c r="P5551">
        <v>0.98007979999999995</v>
      </c>
      <c r="Q5551">
        <v>0.1980729</v>
      </c>
      <c r="R5551">
        <v>1.451596E-2</v>
      </c>
      <c r="S5551">
        <v>3.0146329999999999</v>
      </c>
      <c r="T5551">
        <v>0.15048129999999901</v>
      </c>
      <c r="U5551">
        <v>1.1217649999999999</v>
      </c>
      <c r="V5551">
        <v>-4.9650809999999997E-2</v>
      </c>
      <c r="W5551">
        <v>0.2088305</v>
      </c>
      <c r="X5551">
        <v>0.97669059999999996</v>
      </c>
      <c r="Y5551">
        <v>-0.38176490000000002</v>
      </c>
      <c r="Z5551">
        <v>-9.1609800000000009E-3</v>
      </c>
      <c r="AA5551">
        <v>0.92421410000000004</v>
      </c>
      <c r="AB5551">
        <v>37</v>
      </c>
      <c r="AC5551">
        <v>61.430900000000001</v>
      </c>
      <c r="AD5551">
        <v>3.0765289999999998</v>
      </c>
      <c r="AE5551">
        <v>22.941079999999999</v>
      </c>
      <c r="AF5551">
        <v>-25.074849160971802</v>
      </c>
      <c r="AG5551">
        <v>3.0765289999999998</v>
      </c>
      <c r="AH5551">
        <v>60.4353607033229</v>
      </c>
      <c r="AI5551">
        <v>87.307956270237696</v>
      </c>
      <c r="AJ5551">
        <v>112.533738414225</v>
      </c>
      <c r="AK5551">
        <v>65.503022178171904</v>
      </c>
      <c r="AL5551">
        <v>77.946174076047001</v>
      </c>
      <c r="AM5551">
        <v>92.9101693917452</v>
      </c>
      <c r="AN5551">
        <v>0.99999995439613198</v>
      </c>
    </row>
    <row r="5552" spans="1:40" x14ac:dyDescent="0.25">
      <c r="A5552" t="str">
        <f>"20190303170645840"</f>
        <v>20190303170645840</v>
      </c>
      <c r="B5552" t="str">
        <f>"1551604005830777"</f>
        <v>1551604005830777</v>
      </c>
      <c r="C5552" t="s">
        <v>40</v>
      </c>
      <c r="D5552">
        <v>5.9015879999999896</v>
      </c>
      <c r="E5552">
        <v>0.36722310000000002</v>
      </c>
      <c r="F5552" t="s">
        <v>54</v>
      </c>
      <c r="G5552">
        <v>-166.11240000000001</v>
      </c>
      <c r="H5552">
        <v>4.168069</v>
      </c>
      <c r="I5552">
        <v>-40.619770000000003</v>
      </c>
      <c r="J5552">
        <v>-227.42580000000001</v>
      </c>
      <c r="K5552">
        <v>1.120727</v>
      </c>
      <c r="L5552">
        <v>-63.567469999999901</v>
      </c>
      <c r="M5552">
        <v>0.99929570000000001</v>
      </c>
      <c r="N5552">
        <v>-1.101219E-2</v>
      </c>
      <c r="O5552">
        <v>-3.5877159999999998E-2</v>
      </c>
      <c r="P5552">
        <v>0.97999749999999997</v>
      </c>
      <c r="Q5552">
        <v>0.19847010000000001</v>
      </c>
      <c r="R5552">
        <v>1.466045E-2</v>
      </c>
      <c r="S5552">
        <v>3.0141300000000002</v>
      </c>
      <c r="T5552">
        <v>0.1493553</v>
      </c>
      <c r="U5552">
        <v>1.12439</v>
      </c>
      <c r="V5552">
        <v>-4.9798189999999999E-2</v>
      </c>
      <c r="W5552">
        <v>0.20924039999999999</v>
      </c>
      <c r="X5552">
        <v>0.9765954</v>
      </c>
      <c r="Y5552">
        <v>-0.38253310000000001</v>
      </c>
      <c r="Z5552">
        <v>-9.0909530000000006E-3</v>
      </c>
      <c r="AA5552">
        <v>0.92389699999999997</v>
      </c>
      <c r="AB5552">
        <v>37</v>
      </c>
      <c r="AC5552">
        <v>61.313400000000001</v>
      </c>
      <c r="AD5552">
        <v>3.047342</v>
      </c>
      <c r="AE5552">
        <v>22.947699999999902</v>
      </c>
      <c r="AF5552">
        <v>-25.078470999420801</v>
      </c>
      <c r="AG5552">
        <v>3.047342</v>
      </c>
      <c r="AH5552">
        <v>60.319879379641002</v>
      </c>
      <c r="AI5552">
        <v>87.329168220896506</v>
      </c>
      <c r="AJ5552">
        <v>112.57548832539101</v>
      </c>
      <c r="AK5552">
        <v>65.396512516404101</v>
      </c>
      <c r="AL5552">
        <v>77.922158409102707</v>
      </c>
      <c r="AM5552">
        <v>92.9190768564211</v>
      </c>
      <c r="AN5552">
        <v>0.99999999001029805</v>
      </c>
    </row>
    <row r="5553" spans="1:40" x14ac:dyDescent="0.25">
      <c r="A5553" t="str">
        <f>"20190303170645850"</f>
        <v>20190303170645850</v>
      </c>
      <c r="B5553" t="str">
        <f>"1551604005840538"</f>
        <v>1551604005840538</v>
      </c>
      <c r="C5553" t="s">
        <v>40</v>
      </c>
      <c r="D5553">
        <v>5.821796</v>
      </c>
      <c r="E5553">
        <v>0.3668864</v>
      </c>
      <c r="F5553" t="s">
        <v>54</v>
      </c>
      <c r="G5553">
        <v>-166.08170000000001</v>
      </c>
      <c r="H5553">
        <v>4.2248789999999996</v>
      </c>
      <c r="I5553">
        <v>-40.619770000000003</v>
      </c>
      <c r="J5553">
        <v>-227.26990000000001</v>
      </c>
      <c r="K5553">
        <v>1.1207320000000001</v>
      </c>
      <c r="L5553">
        <v>-63.573090000000001</v>
      </c>
      <c r="M5553">
        <v>0.99929520000000005</v>
      </c>
      <c r="N5553">
        <v>-1.1028130000000001E-2</v>
      </c>
      <c r="O5553">
        <v>-3.5882259999999999E-2</v>
      </c>
      <c r="P5553">
        <v>0.97977950000000003</v>
      </c>
      <c r="Q5553">
        <v>0.19953460000000001</v>
      </c>
      <c r="R5553">
        <v>1.477324E-2</v>
      </c>
      <c r="S5553">
        <v>3.0134889999999999</v>
      </c>
      <c r="T5553">
        <v>0.15248819999999999</v>
      </c>
      <c r="U5553">
        <v>1.127289</v>
      </c>
      <c r="V5553">
        <v>-4.990791E-2</v>
      </c>
      <c r="W5553">
        <v>0.2103188</v>
      </c>
      <c r="X5553">
        <v>0.97635810000000001</v>
      </c>
      <c r="Y5553">
        <v>-0.38336409999999999</v>
      </c>
      <c r="Z5553">
        <v>-9.3322549999999994E-3</v>
      </c>
      <c r="AA5553">
        <v>0.92355010000000004</v>
      </c>
      <c r="AB5553">
        <v>37</v>
      </c>
      <c r="AC5553">
        <v>61.188200000000002</v>
      </c>
      <c r="AD5553">
        <v>3.1041470000000002</v>
      </c>
      <c r="AE5553">
        <v>22.953320000000001</v>
      </c>
      <c r="AF5553">
        <v>-25.077661937655702</v>
      </c>
      <c r="AG5553">
        <v>3.1041470000000002</v>
      </c>
      <c r="AH5553">
        <v>60.189327595872001</v>
      </c>
      <c r="AI5553">
        <v>87.274421564689803</v>
      </c>
      <c r="AJ5553">
        <v>112.61887168939001</v>
      </c>
      <c r="AK5553">
        <v>65.278480476341997</v>
      </c>
      <c r="AL5553">
        <v>77.858964221456304</v>
      </c>
      <c r="AM5553">
        <v>92.926207072477396</v>
      </c>
      <c r="AN5553">
        <v>0.99999996827480797</v>
      </c>
    </row>
    <row r="5554" spans="1:40" x14ac:dyDescent="0.25">
      <c r="A5554" t="str">
        <f>"20190303170645860"</f>
        <v>20190303170645860</v>
      </c>
      <c r="B5554" t="str">
        <f>"1551604005850296"</f>
        <v>1551604005850296</v>
      </c>
      <c r="C5554" t="s">
        <v>40</v>
      </c>
      <c r="D5554">
        <v>5.800084</v>
      </c>
      <c r="E5554">
        <v>0.36658079999999998</v>
      </c>
      <c r="F5554" t="s">
        <v>54</v>
      </c>
      <c r="G5554">
        <v>-166.1078</v>
      </c>
      <c r="H5554">
        <v>4.3215379999999897</v>
      </c>
      <c r="I5554">
        <v>-40.619770000000003</v>
      </c>
      <c r="J5554">
        <v>-227.09610000000001</v>
      </c>
      <c r="K5554">
        <v>1.120741</v>
      </c>
      <c r="L5554">
        <v>-63.579349999999998</v>
      </c>
      <c r="M5554">
        <v>0.99929489999999999</v>
      </c>
      <c r="N5554">
        <v>-1.104752E-2</v>
      </c>
      <c r="O5554">
        <v>-3.5888080000000003E-2</v>
      </c>
      <c r="P5554">
        <v>0.97953219999999996</v>
      </c>
      <c r="Q5554">
        <v>0.20075119999999999</v>
      </c>
      <c r="R5554">
        <v>1.46978E-2</v>
      </c>
      <c r="S5554">
        <v>3.012756</v>
      </c>
      <c r="T5554">
        <v>0.15766579999999999</v>
      </c>
      <c r="U5554">
        <v>1.13064599999999</v>
      </c>
      <c r="V5554">
        <v>-4.9828709999999998E-2</v>
      </c>
      <c r="W5554">
        <v>0.21155119999999999</v>
      </c>
      <c r="X5554">
        <v>0.97609590000000002</v>
      </c>
      <c r="Y5554">
        <v>-0.38431480000000001</v>
      </c>
      <c r="Z5554">
        <v>-9.7255250000000005E-3</v>
      </c>
      <c r="AA5554">
        <v>0.9231509</v>
      </c>
      <c r="AB5554">
        <v>37</v>
      </c>
      <c r="AC5554">
        <v>60.988300000000002</v>
      </c>
      <c r="AD5554">
        <v>3.2007970000000001</v>
      </c>
      <c r="AE5554">
        <v>22.9595799999999</v>
      </c>
      <c r="AF5554">
        <v>-25.073185752013899</v>
      </c>
      <c r="AG5554">
        <v>3.2007970000000001</v>
      </c>
      <c r="AH5554">
        <v>59.980281046842599</v>
      </c>
      <c r="AI5554">
        <v>87.181291884866198</v>
      </c>
      <c r="AJ5554">
        <v>112.68608896308901</v>
      </c>
      <c r="AK5554">
        <v>65.0887383473395</v>
      </c>
      <c r="AL5554">
        <v>77.786728073229298</v>
      </c>
      <c r="AM5554">
        <v>92.922354894928205</v>
      </c>
      <c r="AN5554">
        <v>1.00000000827925</v>
      </c>
    </row>
    <row r="5555" spans="1:40" x14ac:dyDescent="0.25">
      <c r="A5555" t="str">
        <f>"20190303170645872"</f>
        <v>20190303170645872</v>
      </c>
      <c r="B5555" t="str">
        <f>"1551604005860057"</f>
        <v>1551604005860057</v>
      </c>
      <c r="C5555" t="s">
        <v>40</v>
      </c>
      <c r="D5555">
        <v>5.8143510000000003</v>
      </c>
      <c r="E5555">
        <v>0.36658079999999998</v>
      </c>
      <c r="F5555" t="s">
        <v>54</v>
      </c>
      <c r="G5555">
        <v>-166.08539999999999</v>
      </c>
      <c r="H5555">
        <v>4.4388509999999997</v>
      </c>
      <c r="I5555">
        <v>-40.619770000000003</v>
      </c>
      <c r="J5555">
        <v>-226.90170000000001</v>
      </c>
      <c r="K5555">
        <v>1.120754</v>
      </c>
      <c r="L5555">
        <v>-63.586300000000001</v>
      </c>
      <c r="M5555">
        <v>0.99929420000000002</v>
      </c>
      <c r="N5555">
        <v>-1.107906E-2</v>
      </c>
      <c r="O5555">
        <v>-3.5894330000000002E-2</v>
      </c>
      <c r="P5555">
        <v>0.97924239999999996</v>
      </c>
      <c r="Q5555">
        <v>0.20213539999999999</v>
      </c>
      <c r="R5555">
        <v>1.5015880000000001E-2</v>
      </c>
      <c r="S5555">
        <v>3.0121000000000002</v>
      </c>
      <c r="T5555">
        <v>0.16381419999999999</v>
      </c>
      <c r="U5555">
        <v>1.1335139999999999</v>
      </c>
      <c r="V5555">
        <v>-5.0142029999999997E-2</v>
      </c>
      <c r="W5555">
        <v>0.2129626</v>
      </c>
      <c r="X5555">
        <v>0.97577290000000005</v>
      </c>
      <c r="Y5555">
        <v>-0.38511970000000001</v>
      </c>
      <c r="Z5555">
        <v>-1.0186560000000001E-2</v>
      </c>
      <c r="AA5555">
        <v>0.92281040000000003</v>
      </c>
      <c r="AB5555">
        <v>37</v>
      </c>
      <c r="AC5555">
        <v>60.816299999999998</v>
      </c>
      <c r="AD5555">
        <v>3.3180969999999999</v>
      </c>
      <c r="AE5555">
        <v>22.966529999999999</v>
      </c>
      <c r="AF5555">
        <v>-25.069511681815499</v>
      </c>
      <c r="AG5555">
        <v>3.3180969999999999</v>
      </c>
      <c r="AH5555">
        <v>59.796903300896297</v>
      </c>
      <c r="AI5555">
        <v>87.070497133984205</v>
      </c>
      <c r="AJ5555">
        <v>112.745590601149</v>
      </c>
      <c r="AK5555">
        <v>64.924262244886904</v>
      </c>
      <c r="AL5555">
        <v>77.703975362010198</v>
      </c>
      <c r="AM5555">
        <v>92.941670057210999</v>
      </c>
      <c r="AN5555">
        <v>1.00000002227284</v>
      </c>
    </row>
    <row r="5556" spans="1:40" x14ac:dyDescent="0.25">
      <c r="A5556" t="str">
        <f>"20190303170645882"</f>
        <v>20190303170645882</v>
      </c>
      <c r="B5556" t="str">
        <f>"1551604005870793"</f>
        <v>1551604005870793</v>
      </c>
      <c r="C5556" t="s">
        <v>40</v>
      </c>
      <c r="D5556">
        <v>5.8092779999999999</v>
      </c>
      <c r="E5556">
        <v>0.3566414</v>
      </c>
      <c r="F5556" t="s">
        <v>54</v>
      </c>
      <c r="G5556">
        <v>-165.96539999999999</v>
      </c>
      <c r="H5556">
        <v>4.5469660000000003</v>
      </c>
      <c r="I5556">
        <v>-40.619770000000003</v>
      </c>
      <c r="J5556">
        <v>-226.71360000000001</v>
      </c>
      <c r="K5556">
        <v>1.120763</v>
      </c>
      <c r="L5556">
        <v>-63.59308</v>
      </c>
      <c r="M5556">
        <v>0.99929369999999995</v>
      </c>
      <c r="N5556">
        <v>-1.1112729999999999E-2</v>
      </c>
      <c r="O5556">
        <v>-3.5900710000000002E-2</v>
      </c>
      <c r="P5556">
        <v>0.97914100000000004</v>
      </c>
      <c r="Q5556">
        <v>0.2025893</v>
      </c>
      <c r="R5556">
        <v>1.5517609999999999E-2</v>
      </c>
      <c r="S5556">
        <v>3.0112459999999999</v>
      </c>
      <c r="T5556">
        <v>0.1693093</v>
      </c>
      <c r="U5556">
        <v>1.1349180000000001</v>
      </c>
      <c r="V5556">
        <v>-5.0646499999999997E-2</v>
      </c>
      <c r="W5556">
        <v>0.2134481</v>
      </c>
      <c r="X5556">
        <v>0.97564079999999997</v>
      </c>
      <c r="Y5556">
        <v>-0.38555420000000001</v>
      </c>
      <c r="Z5556">
        <v>-1.059496E-2</v>
      </c>
      <c r="AA5556">
        <v>0.92262429999999995</v>
      </c>
      <c r="AB5556">
        <v>37</v>
      </c>
      <c r="AC5556">
        <v>60.748199999999997</v>
      </c>
      <c r="AD5556">
        <v>3.4262029999999899</v>
      </c>
      <c r="AE5556">
        <v>22.973310000000001</v>
      </c>
      <c r="AF5556">
        <v>-25.069768348392302</v>
      </c>
      <c r="AG5556">
        <v>3.4262029999999899</v>
      </c>
      <c r="AH5556">
        <v>59.718032458272198</v>
      </c>
      <c r="AI5556">
        <v>86.971840540127701</v>
      </c>
      <c r="AJ5556">
        <v>112.77277699586899</v>
      </c>
      <c r="AK5556">
        <v>64.8573477157871</v>
      </c>
      <c r="AL5556">
        <v>77.675504157078294</v>
      </c>
      <c r="AM5556">
        <v>92.971614482604593</v>
      </c>
      <c r="AN5556">
        <v>1.0000000649902401</v>
      </c>
    </row>
    <row r="5557" spans="1:40" x14ac:dyDescent="0.25">
      <c r="A5557" t="str">
        <f>"20190303170645895"</f>
        <v>20190303170645895</v>
      </c>
      <c r="B5557" t="str">
        <f>"1551604005890313"</f>
        <v>1551604005890313</v>
      </c>
      <c r="C5557" t="s">
        <v>40</v>
      </c>
      <c r="D5557">
        <v>5.7768680000000003</v>
      </c>
      <c r="E5557">
        <v>0.35665150000000001</v>
      </c>
      <c r="F5557" t="s">
        <v>54</v>
      </c>
      <c r="G5557">
        <v>-168.45060000000001</v>
      </c>
      <c r="H5557">
        <v>5.3364849999999997</v>
      </c>
      <c r="I5557">
        <v>-40.026220000000002</v>
      </c>
      <c r="J5557">
        <v>-226.50880000000001</v>
      </c>
      <c r="K5557">
        <v>1.1207750000000001</v>
      </c>
      <c r="L5557">
        <v>-63.600459999999998</v>
      </c>
      <c r="M5557">
        <v>0.99929270000000003</v>
      </c>
      <c r="N5557">
        <v>-1.1165889999999999E-2</v>
      </c>
      <c r="O5557">
        <v>-3.5907559999999998E-2</v>
      </c>
      <c r="P5557">
        <v>0.97923059999999995</v>
      </c>
      <c r="Q5557">
        <v>0.2020991</v>
      </c>
      <c r="R5557">
        <v>1.6237669999999999E-2</v>
      </c>
      <c r="S5557">
        <v>2.999771</v>
      </c>
      <c r="T5557">
        <v>0.21705250000000001</v>
      </c>
      <c r="U5557">
        <v>1.213379</v>
      </c>
      <c r="V5557">
        <v>-5.1375860000000002E-2</v>
      </c>
      <c r="W5557">
        <v>0.21301059999999999</v>
      </c>
      <c r="X5557">
        <v>0.97569819999999996</v>
      </c>
      <c r="Y5557">
        <v>-0.40715590000000002</v>
      </c>
      <c r="Z5557">
        <v>-1.4679950000000001E-2</v>
      </c>
      <c r="AA5557">
        <v>0.91324070000000002</v>
      </c>
      <c r="AB5557">
        <v>37</v>
      </c>
      <c r="AC5557">
        <v>58.058199999999999</v>
      </c>
      <c r="AD5557">
        <v>4.2157099999999996</v>
      </c>
      <c r="AE5557">
        <v>23.57424</v>
      </c>
      <c r="AF5557">
        <v>-25.5283468035671</v>
      </c>
      <c r="AG5557">
        <v>4.2157099999999996</v>
      </c>
      <c r="AH5557">
        <v>56.916591091356501</v>
      </c>
      <c r="AI5557">
        <v>86.133731649500206</v>
      </c>
      <c r="AJ5557">
        <v>114.157286755108</v>
      </c>
      <c r="AK5557">
        <v>62.521732563869101</v>
      </c>
      <c r="AL5557">
        <v>77.701160127888201</v>
      </c>
      <c r="AM5557">
        <v>93.014153321351401</v>
      </c>
      <c r="AN5557">
        <v>0.99999998609316898</v>
      </c>
    </row>
    <row r="5558" spans="1:40" x14ac:dyDescent="0.25">
      <c r="A5558" t="str">
        <f>"20190303170645905"</f>
        <v>20190303170645905</v>
      </c>
      <c r="B5558" t="str">
        <f>"1551604005900073"</f>
        <v>1551604005900073</v>
      </c>
      <c r="C5558" t="s">
        <v>40</v>
      </c>
      <c r="D5558">
        <v>5.9816289999999999</v>
      </c>
      <c r="E5558">
        <v>0.35714170000000001</v>
      </c>
      <c r="F5558" t="s">
        <v>54</v>
      </c>
      <c r="G5558">
        <v>-168.45060000000001</v>
      </c>
      <c r="H5558">
        <v>5.0921580000000004</v>
      </c>
      <c r="I5558">
        <v>-40.077370000000002</v>
      </c>
      <c r="J5558">
        <v>-226.33090000000001</v>
      </c>
      <c r="K5558">
        <v>1.1207819999999999</v>
      </c>
      <c r="L5558">
        <v>-63.606839999999998</v>
      </c>
      <c r="M5558">
        <v>0.99929199999999996</v>
      </c>
      <c r="N5558">
        <v>-1.121636E-2</v>
      </c>
      <c r="O5558">
        <v>-3.5913790000000001E-2</v>
      </c>
      <c r="P5558">
        <v>0.97939500000000002</v>
      </c>
      <c r="Q5558">
        <v>0.2011927</v>
      </c>
      <c r="R5558">
        <v>1.7520790000000001E-2</v>
      </c>
      <c r="S5558">
        <v>3.0011139999999998</v>
      </c>
      <c r="T5558">
        <v>0.20528550000000001</v>
      </c>
      <c r="U5558">
        <v>1.2159420000000001</v>
      </c>
      <c r="V5558">
        <v>-5.267086E-2</v>
      </c>
      <c r="W5558">
        <v>0.2121547</v>
      </c>
      <c r="X5558">
        <v>0.97581569999999995</v>
      </c>
      <c r="Y5558">
        <v>-0.40778829999999999</v>
      </c>
      <c r="Z5558">
        <v>-1.377857E-2</v>
      </c>
      <c r="AA5558">
        <v>0.91297260000000002</v>
      </c>
      <c r="AB5558">
        <v>37</v>
      </c>
      <c r="AC5558">
        <v>57.880299999999998</v>
      </c>
      <c r="AD5558">
        <v>3.9713759999999998</v>
      </c>
      <c r="AE5558">
        <v>23.52947</v>
      </c>
      <c r="AF5558">
        <v>-25.490136456548399</v>
      </c>
      <c r="AG5558">
        <v>3.9713759999999998</v>
      </c>
      <c r="AH5558">
        <v>56.768516915257997</v>
      </c>
      <c r="AI5558">
        <v>86.348390614804998</v>
      </c>
      <c r="AJ5558">
        <v>114.180981000429</v>
      </c>
      <c r="AK5558">
        <v>62.3552996678292</v>
      </c>
      <c r="AL5558">
        <v>77.751347596140604</v>
      </c>
      <c r="AM5558">
        <v>93.089612470611996</v>
      </c>
      <c r="AN5558">
        <v>1.0000000582958499</v>
      </c>
    </row>
    <row r="5559" spans="1:40" x14ac:dyDescent="0.25">
      <c r="A5559" t="str">
        <f>"20190303170645917"</f>
        <v>20190303170645917</v>
      </c>
      <c r="B5559" t="str">
        <f>"1551604005910810"</f>
        <v>1551604005910810</v>
      </c>
      <c r="C5559" t="s">
        <v>40</v>
      </c>
      <c r="D5559">
        <v>5.9939679999999997</v>
      </c>
      <c r="E5559">
        <v>0.35893649999999999</v>
      </c>
      <c r="F5559" t="s">
        <v>54</v>
      </c>
      <c r="G5559">
        <v>-168.45060000000001</v>
      </c>
      <c r="H5559">
        <v>4.901923</v>
      </c>
      <c r="I5559">
        <v>-40.154510000000002</v>
      </c>
      <c r="J5559">
        <v>-226.12819999999999</v>
      </c>
      <c r="K5559">
        <v>1.1207929999999999</v>
      </c>
      <c r="L5559">
        <v>-63.614139999999999</v>
      </c>
      <c r="M5559">
        <v>0.99929100000000004</v>
      </c>
      <c r="N5559">
        <v>-1.1287510000000001E-2</v>
      </c>
      <c r="O5559">
        <v>-3.592074E-2</v>
      </c>
      <c r="P5559">
        <v>0.97964830000000003</v>
      </c>
      <c r="Q5559">
        <v>0.19984560000000001</v>
      </c>
      <c r="R5559">
        <v>1.8744259999999999E-2</v>
      </c>
      <c r="S5559">
        <v>3.001099</v>
      </c>
      <c r="T5559">
        <v>0.19605110000000001</v>
      </c>
      <c r="U5559">
        <v>1.2160029999999999</v>
      </c>
      <c r="V5559">
        <v>-5.3908850000000001E-2</v>
      </c>
      <c r="W5559">
        <v>0.21088000000000001</v>
      </c>
      <c r="X5559">
        <v>0.97602429999999996</v>
      </c>
      <c r="Y5559">
        <v>-0.40788560000000001</v>
      </c>
      <c r="Z5559">
        <v>-1.306126E-2</v>
      </c>
      <c r="AA5559">
        <v>0.91293959999999996</v>
      </c>
      <c r="AB5559">
        <v>37</v>
      </c>
      <c r="AC5559">
        <v>57.677599999999899</v>
      </c>
      <c r="AD5559">
        <v>3.7811300000000001</v>
      </c>
      <c r="AE5559">
        <v>23.459630000000001</v>
      </c>
      <c r="AF5559">
        <v>-25.4226940040869</v>
      </c>
      <c r="AG5559">
        <v>3.7811300000000001</v>
      </c>
      <c r="AH5559">
        <v>56.588955741777198</v>
      </c>
      <c r="AI5559">
        <v>86.512175463181194</v>
      </c>
      <c r="AJ5559">
        <v>114.192088871678</v>
      </c>
      <c r="AK5559">
        <v>62.152395178682902</v>
      </c>
      <c r="AL5559">
        <v>77.826072362984704</v>
      </c>
      <c r="AM5559">
        <v>93.161411427190899</v>
      </c>
      <c r="AN5559">
        <v>0.99999998634940601</v>
      </c>
    </row>
    <row r="5560" spans="1:40" x14ac:dyDescent="0.25">
      <c r="A5560" t="str">
        <f>"20190303170645927"</f>
        <v>20190303170645927</v>
      </c>
      <c r="B5560" t="str">
        <f>"1551604005920569"</f>
        <v>1551604005920569</v>
      </c>
      <c r="C5560" t="s">
        <v>40</v>
      </c>
      <c r="D5560">
        <v>5.8265719999999996</v>
      </c>
      <c r="E5560">
        <v>0.35840820000000001</v>
      </c>
      <c r="F5560" t="s">
        <v>54</v>
      </c>
      <c r="G5560">
        <v>-168.45060000000001</v>
      </c>
      <c r="H5560">
        <v>4.4675750000000001</v>
      </c>
      <c r="I5560">
        <v>-40.455179999999999</v>
      </c>
      <c r="J5560">
        <v>-225.96530000000001</v>
      </c>
      <c r="K5560">
        <v>1.1208009999999999</v>
      </c>
      <c r="L5560">
        <v>-63.62</v>
      </c>
      <c r="M5560">
        <v>0.99929000000000001</v>
      </c>
      <c r="N5560">
        <v>-1.1350829999999999E-2</v>
      </c>
      <c r="O5560">
        <v>-3.5925499999999999E-2</v>
      </c>
      <c r="P5560">
        <v>0.97972090000000001</v>
      </c>
      <c r="Q5560">
        <v>0.19940550000000001</v>
      </c>
      <c r="R5560">
        <v>1.9608690000000002E-2</v>
      </c>
      <c r="S5560">
        <v>3.0036930000000002</v>
      </c>
      <c r="T5560">
        <v>0.17429020000000001</v>
      </c>
      <c r="U5560">
        <v>1.2060550000000001</v>
      </c>
      <c r="V5560">
        <v>-5.4779979999999999E-2</v>
      </c>
      <c r="W5560">
        <v>0.21050250000000001</v>
      </c>
      <c r="X5560">
        <v>0.97605730000000002</v>
      </c>
      <c r="Y5560">
        <v>-0.40517360000000002</v>
      </c>
      <c r="Z5560">
        <v>-1.1320749999999999E-2</v>
      </c>
      <c r="AA5560">
        <v>0.91416969999999997</v>
      </c>
      <c r="AB5560">
        <v>37</v>
      </c>
      <c r="AC5560">
        <v>57.514699999999998</v>
      </c>
      <c r="AD5560">
        <v>3.3467739999999999</v>
      </c>
      <c r="AE5560">
        <v>23.164819999999999</v>
      </c>
      <c r="AF5560">
        <v>-25.142989199006799</v>
      </c>
      <c r="AG5560">
        <v>3.3467739999999999</v>
      </c>
      <c r="AH5560">
        <v>56.480752688146602</v>
      </c>
      <c r="AI5560">
        <v>86.901396185059795</v>
      </c>
      <c r="AJ5560">
        <v>113.996730260459</v>
      </c>
      <c r="AK5560">
        <v>61.914830422831898</v>
      </c>
      <c r="AL5560">
        <v>77.848198364427006</v>
      </c>
      <c r="AM5560">
        <v>93.212283139144105</v>
      </c>
      <c r="AN5560">
        <v>1.0000000007991701</v>
      </c>
    </row>
    <row r="5561" spans="1:40" x14ac:dyDescent="0.25">
      <c r="A5561" t="str">
        <f>"20190303170645938"</f>
        <v>20190303170645938</v>
      </c>
      <c r="B5561" t="str">
        <f>"1551604005930329"</f>
        <v>1551604005930329</v>
      </c>
      <c r="C5561" t="s">
        <v>40</v>
      </c>
      <c r="D5561">
        <v>5.8056179999999999</v>
      </c>
      <c r="E5561">
        <v>0.35796860000000003</v>
      </c>
      <c r="F5561" t="s">
        <v>54</v>
      </c>
      <c r="G5561">
        <v>-168.45060000000001</v>
      </c>
      <c r="H5561">
        <v>4.5045250000000001</v>
      </c>
      <c r="I5561">
        <v>-40.393169999999998</v>
      </c>
      <c r="J5561">
        <v>-225.77670000000001</v>
      </c>
      <c r="K5561">
        <v>1.120817</v>
      </c>
      <c r="L5561">
        <v>-63.626769999999901</v>
      </c>
      <c r="M5561">
        <v>0.99928899999999998</v>
      </c>
      <c r="N5561">
        <v>-1.1432039999999999E-2</v>
      </c>
      <c r="O5561">
        <v>-3.5930249999999997E-2</v>
      </c>
      <c r="P5561">
        <v>0.97973509999999997</v>
      </c>
      <c r="Q5561">
        <v>0.19931740000000001</v>
      </c>
      <c r="R5561">
        <v>1.97944E-2</v>
      </c>
      <c r="S5561">
        <v>3.0018769999999999</v>
      </c>
      <c r="T5561">
        <v>0.17660609999999999</v>
      </c>
      <c r="U5561">
        <v>1.21228</v>
      </c>
      <c r="V5561">
        <v>-5.4970430000000001E-2</v>
      </c>
      <c r="W5561">
        <v>0.2104936</v>
      </c>
      <c r="X5561">
        <v>0.97604849999999999</v>
      </c>
      <c r="Y5561">
        <v>-0.40698240000000002</v>
      </c>
      <c r="Z5561">
        <v>-1.15253E-2</v>
      </c>
      <c r="AA5561">
        <v>0.91336329999999999</v>
      </c>
      <c r="AB5561">
        <v>37</v>
      </c>
      <c r="AC5561">
        <v>57.326099999999997</v>
      </c>
      <c r="AD5561">
        <v>3.3837079999999999</v>
      </c>
      <c r="AE5561">
        <v>23.233599999999999</v>
      </c>
      <c r="AF5561">
        <v>-25.2030519658001</v>
      </c>
      <c r="AG5561">
        <v>3.3837079999999999</v>
      </c>
      <c r="AH5561">
        <v>56.285801945122003</v>
      </c>
      <c r="AI5561">
        <v>86.859485367230604</v>
      </c>
      <c r="AJ5561">
        <v>114.12136815088</v>
      </c>
      <c r="AK5561">
        <v>61.763539477798602</v>
      </c>
      <c r="AL5561">
        <v>77.848719839600506</v>
      </c>
      <c r="AM5561">
        <v>93.223456566657106</v>
      </c>
      <c r="AN5561">
        <v>0.99999998908379695</v>
      </c>
    </row>
    <row r="5562" spans="1:40" x14ac:dyDescent="0.25">
      <c r="A5562" t="str">
        <f>"20190303170645950"</f>
        <v>20190303170645950</v>
      </c>
      <c r="B5562" t="str">
        <f>"1551604005940089"</f>
        <v>1551604005940089</v>
      </c>
      <c r="C5562" t="s">
        <v>40</v>
      </c>
      <c r="D5562">
        <v>5.7878319999999999</v>
      </c>
      <c r="E5562">
        <v>0.35753220000000002</v>
      </c>
      <c r="F5562" t="s">
        <v>54</v>
      </c>
      <c r="G5562">
        <v>-168.45060000000001</v>
      </c>
      <c r="H5562">
        <v>4.5571809999999999</v>
      </c>
      <c r="I5562">
        <v>-40.397919999999999</v>
      </c>
      <c r="J5562">
        <v>-225.58359999999999</v>
      </c>
      <c r="K5562">
        <v>1.120835</v>
      </c>
      <c r="L5562">
        <v>-63.63373</v>
      </c>
      <c r="M5562">
        <v>0.9992877</v>
      </c>
      <c r="N5562">
        <v>-1.1527310000000001E-2</v>
      </c>
      <c r="O5562">
        <v>-3.593532E-2</v>
      </c>
      <c r="P5562">
        <v>0.97950930000000003</v>
      </c>
      <c r="Q5562">
        <v>0.20044880000000001</v>
      </c>
      <c r="R5562">
        <v>1.9551229999999999E-2</v>
      </c>
      <c r="S5562">
        <v>3.0008849999999998</v>
      </c>
      <c r="T5562">
        <v>0.17988409999999999</v>
      </c>
      <c r="U5562">
        <v>1.215973</v>
      </c>
      <c r="V5562">
        <v>-5.4724340000000003E-2</v>
      </c>
      <c r="W5562">
        <v>0.21171570000000001</v>
      </c>
      <c r="X5562">
        <v>0.97579800000000005</v>
      </c>
      <c r="Y5562">
        <v>-0.40803440000000002</v>
      </c>
      <c r="Z5562">
        <v>-1.1784309999999999E-2</v>
      </c>
      <c r="AA5562">
        <v>0.91289050000000005</v>
      </c>
      <c r="AB5562">
        <v>37</v>
      </c>
      <c r="AC5562">
        <v>57.132999999999903</v>
      </c>
      <c r="AD5562">
        <v>3.4363459999999999</v>
      </c>
      <c r="AE5562">
        <v>23.235810000000001</v>
      </c>
      <c r="AF5562">
        <v>-25.195817529310698</v>
      </c>
      <c r="AG5562">
        <v>3.4363459999999999</v>
      </c>
      <c r="AH5562">
        <v>56.086949457570398</v>
      </c>
      <c r="AI5562">
        <v>86.801185721338001</v>
      </c>
      <c r="AJ5562">
        <v>114.19094202946999</v>
      </c>
      <c r="AK5562">
        <v>61.582331835178998</v>
      </c>
      <c r="AL5562">
        <v>77.777084551517007</v>
      </c>
      <c r="AM5562">
        <v>93.209878202911497</v>
      </c>
      <c r="AN5562">
        <v>1.00000001390946</v>
      </c>
    </row>
    <row r="5563" spans="1:40" x14ac:dyDescent="0.25">
      <c r="A5563" t="str">
        <f>"20190303170645961"</f>
        <v>20190303170645961</v>
      </c>
      <c r="B5563" t="str">
        <f>"1551604005950825"</f>
        <v>1551604005950825</v>
      </c>
      <c r="C5563" t="s">
        <v>40</v>
      </c>
      <c r="D5563">
        <v>5.7685959999999996</v>
      </c>
      <c r="E5563">
        <v>0.35710209999999998</v>
      </c>
      <c r="F5563" t="s">
        <v>54</v>
      </c>
      <c r="G5563">
        <v>-168.45060000000001</v>
      </c>
      <c r="H5563">
        <v>4.6803030000000003</v>
      </c>
      <c r="I5563">
        <v>-40.420780000000001</v>
      </c>
      <c r="J5563">
        <v>-225.39259999999999</v>
      </c>
      <c r="K5563">
        <v>1.120859</v>
      </c>
      <c r="L5563">
        <v>-63.640630000000002</v>
      </c>
      <c r="M5563">
        <v>0.99928640000000002</v>
      </c>
      <c r="N5563">
        <v>-1.1628080000000001E-2</v>
      </c>
      <c r="O5563">
        <v>-3.5940529999999998E-2</v>
      </c>
      <c r="P5563">
        <v>0.97924169999999999</v>
      </c>
      <c r="Q5563">
        <v>0.20178270000000001</v>
      </c>
      <c r="R5563">
        <v>1.9231080000000001E-2</v>
      </c>
      <c r="S5563">
        <v>3.0001829999999998</v>
      </c>
      <c r="T5563">
        <v>0.18691459999999999</v>
      </c>
      <c r="U5563">
        <v>1.2189639999999999</v>
      </c>
      <c r="V5563">
        <v>-5.4399950000000002E-2</v>
      </c>
      <c r="W5563">
        <v>0.21314430000000001</v>
      </c>
      <c r="X5563">
        <v>0.97550510000000001</v>
      </c>
      <c r="Y5563">
        <v>-0.4088444</v>
      </c>
      <c r="Z5563">
        <v>-1.2325600000000001E-2</v>
      </c>
      <c r="AA5563">
        <v>0.91252089999999997</v>
      </c>
      <c r="AB5563">
        <v>37</v>
      </c>
      <c r="AC5563">
        <v>56.941999999999901</v>
      </c>
      <c r="AD5563">
        <v>3.5594440000000001</v>
      </c>
      <c r="AE5563">
        <v>23.219850000000001</v>
      </c>
      <c r="AF5563">
        <v>-25.167190448651901</v>
      </c>
      <c r="AG5563">
        <v>3.5594440000000001</v>
      </c>
      <c r="AH5563">
        <v>55.883385882010003</v>
      </c>
      <c r="AI5563">
        <v>86.676200852238296</v>
      </c>
      <c r="AJ5563">
        <v>114.24451139168001</v>
      </c>
      <c r="AK5563">
        <v>61.392262821185298</v>
      </c>
      <c r="AL5563">
        <v>77.6933200968937</v>
      </c>
      <c r="AM5563">
        <v>93.191846511016095</v>
      </c>
      <c r="AN5563">
        <v>1.0000000236542499</v>
      </c>
    </row>
    <row r="5564" spans="1:40" x14ac:dyDescent="0.25">
      <c r="A5564" t="str">
        <f>"20190303170645974"</f>
        <v>20190303170645974</v>
      </c>
      <c r="B5564" t="str">
        <f>"1551604005970345"</f>
        <v>1551604005970345</v>
      </c>
      <c r="C5564" t="s">
        <v>40</v>
      </c>
      <c r="D5564">
        <v>5.7949270000000004</v>
      </c>
      <c r="E5564">
        <v>0.35651260000000001</v>
      </c>
      <c r="F5564" t="s">
        <v>54</v>
      </c>
      <c r="G5564">
        <v>-168.45060000000001</v>
      </c>
      <c r="H5564">
        <v>4.7980239999999998</v>
      </c>
      <c r="I5564">
        <v>-40.45111</v>
      </c>
      <c r="J5564">
        <v>-225.1867</v>
      </c>
      <c r="K5564">
        <v>1.120887</v>
      </c>
      <c r="L5564">
        <v>-63.648069999999997</v>
      </c>
      <c r="M5564">
        <v>0.99928470000000003</v>
      </c>
      <c r="N5564">
        <v>-1.1751340000000001E-2</v>
      </c>
      <c r="O5564">
        <v>-3.5945980000000002E-2</v>
      </c>
      <c r="P5564">
        <v>0.9790084</v>
      </c>
      <c r="Q5564">
        <v>0.20297850000000001</v>
      </c>
      <c r="R5564">
        <v>1.8501670000000001E-2</v>
      </c>
      <c r="S5564">
        <v>2.999695</v>
      </c>
      <c r="T5564">
        <v>0.1937113</v>
      </c>
      <c r="U5564">
        <v>1.221619</v>
      </c>
      <c r="V5564">
        <v>-5.3667800000000002E-2</v>
      </c>
      <c r="W5564">
        <v>0.21445790000000001</v>
      </c>
      <c r="X5564">
        <v>0.97525770000000001</v>
      </c>
      <c r="Y5564">
        <v>-0.40954380000000001</v>
      </c>
      <c r="Z5564">
        <v>-1.2843200000000001E-2</v>
      </c>
      <c r="AA5564">
        <v>0.91220000000000001</v>
      </c>
      <c r="AB5564">
        <v>37</v>
      </c>
      <c r="AC5564">
        <v>56.736099999999901</v>
      </c>
      <c r="AD5564">
        <v>3.6771370000000001</v>
      </c>
      <c r="AE5564">
        <v>23.196960000000001</v>
      </c>
      <c r="AF5564">
        <v>-25.131097872994001</v>
      </c>
      <c r="AG5564">
        <v>3.6771370000000001</v>
      </c>
      <c r="AH5564">
        <v>55.665200360694897</v>
      </c>
      <c r="AI5564">
        <v>86.554571541791802</v>
      </c>
      <c r="AJ5564">
        <v>114.297688218791</v>
      </c>
      <c r="AK5564">
        <v>61.185847612132399</v>
      </c>
      <c r="AL5564">
        <v>77.616274589733294</v>
      </c>
      <c r="AM5564">
        <v>93.149772813754097</v>
      </c>
      <c r="AN5564">
        <v>1.0000000025192699</v>
      </c>
    </row>
    <row r="5565" spans="1:40" x14ac:dyDescent="0.25">
      <c r="A5565" t="str">
        <f>"20190303170645986"</f>
        <v>20190303170645986</v>
      </c>
      <c r="B5565" t="str">
        <f>"1551604005980104"</f>
        <v>1551604005980104</v>
      </c>
      <c r="C5565" t="s">
        <v>40</v>
      </c>
      <c r="D5565">
        <v>5.8186239999999998</v>
      </c>
      <c r="E5565">
        <v>0.356213</v>
      </c>
      <c r="F5565" t="s">
        <v>54</v>
      </c>
      <c r="G5565">
        <v>-168.45060000000001</v>
      </c>
      <c r="H5565">
        <v>4.9567100000000002</v>
      </c>
      <c r="I5565">
        <v>-40.49015</v>
      </c>
      <c r="J5565">
        <v>-224.9871</v>
      </c>
      <c r="K5565">
        <v>1.120914</v>
      </c>
      <c r="L5565">
        <v>-63.655239999999999</v>
      </c>
      <c r="M5565">
        <v>0.99928300000000003</v>
      </c>
      <c r="N5565">
        <v>-1.187329E-2</v>
      </c>
      <c r="O5565">
        <v>-3.5951070000000002E-2</v>
      </c>
      <c r="P5565">
        <v>0.97890529999999998</v>
      </c>
      <c r="Q5565">
        <v>0.20350750000000001</v>
      </c>
      <c r="R5565">
        <v>1.8142780000000001E-2</v>
      </c>
      <c r="S5565">
        <v>2.9991300000000001</v>
      </c>
      <c r="T5565">
        <v>0.20276449999999999</v>
      </c>
      <c r="U5565">
        <v>1.2241519999999999</v>
      </c>
      <c r="V5565">
        <v>-5.3311709999999998E-2</v>
      </c>
      <c r="W5565">
        <v>0.21510480000000001</v>
      </c>
      <c r="X5565">
        <v>0.97513470000000002</v>
      </c>
      <c r="Y5565">
        <v>-0.41019889999999998</v>
      </c>
      <c r="Z5565">
        <v>-1.3535500000000001E-2</v>
      </c>
      <c r="AA5565">
        <v>0.91189560000000003</v>
      </c>
      <c r="AB5565">
        <v>37</v>
      </c>
      <c r="AC5565">
        <v>56.536499999999897</v>
      </c>
      <c r="AD5565">
        <v>3.83579599999999</v>
      </c>
      <c r="AE5565">
        <v>23.165089999999999</v>
      </c>
      <c r="AF5565">
        <v>-25.083937357693301</v>
      </c>
      <c r="AG5565">
        <v>3.83579599999999</v>
      </c>
      <c r="AH5565">
        <v>55.448532139200303</v>
      </c>
      <c r="AI5565">
        <v>86.393519596656304</v>
      </c>
      <c r="AJ5565">
        <v>114.34115648303801</v>
      </c>
      <c r="AK5565">
        <v>60.979151852991698</v>
      </c>
      <c r="AL5565">
        <v>77.578323586194003</v>
      </c>
      <c r="AM5565">
        <v>93.129309377571801</v>
      </c>
      <c r="AN5565">
        <v>0.99999994827512495</v>
      </c>
    </row>
    <row r="5566" spans="1:40" x14ac:dyDescent="0.25">
      <c r="A5566" t="str">
        <f>"20190303170646007"</f>
        <v>20190303170646007</v>
      </c>
      <c r="B5566" t="str">
        <f>"1551604006000601"</f>
        <v>1551604006000601</v>
      </c>
      <c r="C5566" t="s">
        <v>40</v>
      </c>
      <c r="D5566">
        <v>5.765352</v>
      </c>
      <c r="E5566">
        <v>0.3556494</v>
      </c>
      <c r="F5566" t="s">
        <v>54</v>
      </c>
      <c r="G5566">
        <v>-168.45060000000001</v>
      </c>
      <c r="H5566">
        <v>5.0191019999999904</v>
      </c>
      <c r="I5566">
        <v>-40.553789999999999</v>
      </c>
      <c r="J5566">
        <v>-224.6421</v>
      </c>
      <c r="K5566">
        <v>1.120957</v>
      </c>
      <c r="L5566">
        <v>-63.667659999999998</v>
      </c>
      <c r="M5566">
        <v>0.99928019999999995</v>
      </c>
      <c r="N5566">
        <v>-1.208735E-2</v>
      </c>
      <c r="O5566">
        <v>-3.5958820000000002E-2</v>
      </c>
      <c r="P5566">
        <v>0.97903629999999997</v>
      </c>
      <c r="Q5566">
        <v>0.20284160000000001</v>
      </c>
      <c r="R5566">
        <v>1.8533089999999999E-2</v>
      </c>
      <c r="S5566">
        <v>2.9989469999999998</v>
      </c>
      <c r="T5566">
        <v>0.20677599999999999</v>
      </c>
      <c r="U5566">
        <v>1.225403</v>
      </c>
      <c r="V5566">
        <v>-5.3716189999999997E-2</v>
      </c>
      <c r="W5566">
        <v>0.21464839999999999</v>
      </c>
      <c r="X5566">
        <v>0.97521310000000005</v>
      </c>
      <c r="Y5566">
        <v>-0.41052109999999897</v>
      </c>
      <c r="Z5566">
        <v>-1.3814989999999999E-2</v>
      </c>
      <c r="AA5566">
        <v>0.91174639999999996</v>
      </c>
      <c r="AB5566">
        <v>37</v>
      </c>
      <c r="AC5566">
        <v>56.191499999999898</v>
      </c>
      <c r="AD5566">
        <v>3.898145</v>
      </c>
      <c r="AE5566">
        <v>23.113869999999999</v>
      </c>
      <c r="AF5566">
        <v>-25.0166760252731</v>
      </c>
      <c r="AG5566">
        <v>3.898145</v>
      </c>
      <c r="AH5566">
        <v>55.097160767731602</v>
      </c>
      <c r="AI5566">
        <v>86.314049074528995</v>
      </c>
      <c r="AJ5566">
        <v>114.420260144309</v>
      </c>
      <c r="AK5566">
        <v>60.636018491155603</v>
      </c>
      <c r="AL5566">
        <v>77.605099187417906</v>
      </c>
      <c r="AM5566">
        <v>93.152750994541805</v>
      </c>
      <c r="AN5566">
        <v>0.99999997755114201</v>
      </c>
    </row>
    <row r="5567" spans="1:40" x14ac:dyDescent="0.25">
      <c r="A5567" t="str">
        <f>"20190303170646017"</f>
        <v>20190303170646017</v>
      </c>
      <c r="B5567" t="str">
        <f>"1551604006010361"</f>
        <v>1551604006010361</v>
      </c>
      <c r="C5567" t="s">
        <v>40</v>
      </c>
      <c r="D5567">
        <v>5.7749689999999996</v>
      </c>
      <c r="E5567">
        <v>0.35542590000000002</v>
      </c>
      <c r="F5567" t="s">
        <v>54</v>
      </c>
      <c r="G5567">
        <v>-168.45060000000001</v>
      </c>
      <c r="H5567">
        <v>4.9859970000000002</v>
      </c>
      <c r="I5567">
        <v>-40.611330000000002</v>
      </c>
      <c r="J5567">
        <v>-224.45660000000001</v>
      </c>
      <c r="K5567">
        <v>1.120973</v>
      </c>
      <c r="L5567">
        <v>-63.674349999999997</v>
      </c>
      <c r="M5567">
        <v>0.99927869999999996</v>
      </c>
      <c r="N5567">
        <v>-1.219814E-2</v>
      </c>
      <c r="O5567">
        <v>-3.5962189999999998E-2</v>
      </c>
      <c r="P5567">
        <v>0.97913689999999998</v>
      </c>
      <c r="Q5567">
        <v>0.202343</v>
      </c>
      <c r="R5567">
        <v>1.8662689999999999E-2</v>
      </c>
      <c r="S5567">
        <v>2.99823</v>
      </c>
      <c r="T5567">
        <v>0.2062272</v>
      </c>
      <c r="U5567">
        <v>1.2302249999999999</v>
      </c>
      <c r="V5567">
        <v>-5.3853440000000002E-2</v>
      </c>
      <c r="W5567">
        <v>0.21425859999999999</v>
      </c>
      <c r="X5567">
        <v>0.97529129999999997</v>
      </c>
      <c r="Y5567">
        <v>-0.41185959999999999</v>
      </c>
      <c r="Z5567">
        <v>-1.378684E-2</v>
      </c>
      <c r="AA5567">
        <v>0.91114300000000004</v>
      </c>
      <c r="AB5567">
        <v>37</v>
      </c>
      <c r="AC5567">
        <v>56.006</v>
      </c>
      <c r="AD5567">
        <v>3.865024</v>
      </c>
      <c r="AE5567">
        <v>23.063019999999899</v>
      </c>
      <c r="AF5567">
        <v>-24.960707950688999</v>
      </c>
      <c r="AG5567">
        <v>3.865024</v>
      </c>
      <c r="AH5567">
        <v>54.916688416307103</v>
      </c>
      <c r="AI5567">
        <v>86.3339553798331</v>
      </c>
      <c r="AJ5567">
        <v>114.44272421416299</v>
      </c>
      <c r="AK5567">
        <v>60.446819755334701</v>
      </c>
      <c r="AL5567">
        <v>77.627965738678398</v>
      </c>
      <c r="AM5567">
        <v>93.160537339582703</v>
      </c>
      <c r="AN5567">
        <v>1.00000003026474</v>
      </c>
    </row>
    <row r="5568" spans="1:40" x14ac:dyDescent="0.25">
      <c r="A5568" t="str">
        <f>"20190303170646027"</f>
        <v>20190303170646027</v>
      </c>
      <c r="B5568" t="str">
        <f>"1551604006020121"</f>
        <v>1551604006020121</v>
      </c>
      <c r="C5568" t="s">
        <v>40</v>
      </c>
      <c r="D5568">
        <v>5.77027</v>
      </c>
      <c r="E5568">
        <v>0.35525040000000002</v>
      </c>
      <c r="F5568" t="s">
        <v>54</v>
      </c>
      <c r="G5568">
        <v>-168.3561</v>
      </c>
      <c r="H5568">
        <v>4.9565939999999999</v>
      </c>
      <c r="I5568">
        <v>-40.619770000000003</v>
      </c>
      <c r="J5568">
        <v>-224.29060000000001</v>
      </c>
      <c r="K5568">
        <v>1.1209830000000001</v>
      </c>
      <c r="L5568">
        <v>-63.680329999999998</v>
      </c>
      <c r="M5568">
        <v>0.99927739999999998</v>
      </c>
      <c r="N5568">
        <v>-1.229395E-2</v>
      </c>
      <c r="O5568">
        <v>-3.5964650000000001E-2</v>
      </c>
      <c r="P5568">
        <v>0.97919460000000003</v>
      </c>
      <c r="Q5568">
        <v>0.20204240000000001</v>
      </c>
      <c r="R5568">
        <v>1.8891720000000001E-2</v>
      </c>
      <c r="S5568">
        <v>2.998062</v>
      </c>
      <c r="T5568">
        <v>0.20497779999999999</v>
      </c>
      <c r="U5568">
        <v>1.232056</v>
      </c>
      <c r="V5568">
        <v>-5.4087540000000003E-2</v>
      </c>
      <c r="W5568">
        <v>0.2140522</v>
      </c>
      <c r="X5568">
        <v>0.97532359999999896</v>
      </c>
      <c r="Y5568">
        <v>-0.41236630000000002</v>
      </c>
      <c r="Z5568">
        <v>-1.3685370000000001E-2</v>
      </c>
      <c r="AA5568">
        <v>0.91091529999999998</v>
      </c>
      <c r="AB5568">
        <v>37</v>
      </c>
      <c r="AC5568">
        <v>55.9345</v>
      </c>
      <c r="AD5568">
        <v>3.8356110000000001</v>
      </c>
      <c r="AE5568">
        <v>23.060559999999999</v>
      </c>
      <c r="AF5568">
        <v>-24.9571494312253</v>
      </c>
      <c r="AG5568">
        <v>3.8356110000000001</v>
      </c>
      <c r="AH5568">
        <v>54.8484368841685</v>
      </c>
      <c r="AI5568">
        <v>86.357949235911803</v>
      </c>
      <c r="AJ5568">
        <v>114.466496314727</v>
      </c>
      <c r="AK5568">
        <v>60.381472722288301</v>
      </c>
      <c r="AL5568">
        <v>77.640071655165698</v>
      </c>
      <c r="AM5568">
        <v>93.1741432007681</v>
      </c>
      <c r="AN5568">
        <v>0.99999996551252501</v>
      </c>
    </row>
    <row r="5569" spans="1:40" x14ac:dyDescent="0.25">
      <c r="A5569" t="str">
        <f>"20190303170646051"</f>
        <v>20190303170646051</v>
      </c>
      <c r="B5569" t="str">
        <f>"1551604006040617"</f>
        <v>1551604006040617</v>
      </c>
      <c r="C5569" t="s">
        <v>40</v>
      </c>
      <c r="D5569">
        <v>5.7922880000000001</v>
      </c>
      <c r="E5569">
        <v>0.35480200000000001</v>
      </c>
      <c r="F5569" t="s">
        <v>54</v>
      </c>
      <c r="G5569">
        <v>-168.26650000000001</v>
      </c>
      <c r="H5569">
        <v>4.9431979999999998</v>
      </c>
      <c r="I5569">
        <v>-40.619770000000003</v>
      </c>
      <c r="J5569">
        <v>-223.9126</v>
      </c>
      <c r="K5569">
        <v>1.1210009999999999</v>
      </c>
      <c r="L5569">
        <v>-63.693969999999901</v>
      </c>
      <c r="M5569">
        <v>0.99927480000000002</v>
      </c>
      <c r="N5569">
        <v>-1.249927E-2</v>
      </c>
      <c r="O5569">
        <v>-3.5968460000000001E-2</v>
      </c>
      <c r="P5569">
        <v>0.9790046</v>
      </c>
      <c r="Q5569">
        <v>0.20305590000000001</v>
      </c>
      <c r="R5569">
        <v>1.7847910000000002E-2</v>
      </c>
      <c r="S5569">
        <v>2.9977260000000001</v>
      </c>
      <c r="T5569">
        <v>0.2045169</v>
      </c>
      <c r="U5569">
        <v>1.2339169999999999</v>
      </c>
      <c r="V5569">
        <v>-5.3042449999999998E-2</v>
      </c>
      <c r="W5569">
        <v>0.2152635</v>
      </c>
      <c r="X5569">
        <v>0.97511440000000005</v>
      </c>
      <c r="Y5569">
        <v>-0.41289480000000001</v>
      </c>
      <c r="Z5569">
        <v>-1.362644E-2</v>
      </c>
      <c r="AA5569">
        <v>0.91067679999999995</v>
      </c>
      <c r="AB5569">
        <v>37</v>
      </c>
      <c r="AC5569">
        <v>55.646099999999898</v>
      </c>
      <c r="AD5569">
        <v>3.8221970000000001</v>
      </c>
      <c r="AE5569">
        <v>23.074199999999902</v>
      </c>
      <c r="AF5569">
        <v>-24.960442439405799</v>
      </c>
      <c r="AG5569">
        <v>3.8221970000000001</v>
      </c>
      <c r="AH5569">
        <v>54.560430553466396</v>
      </c>
      <c r="AI5569">
        <v>86.354927475861004</v>
      </c>
      <c r="AJ5569">
        <v>114.583265789961</v>
      </c>
      <c r="AK5569">
        <v>60.120491172788398</v>
      </c>
      <c r="AL5569">
        <v>77.569013079736806</v>
      </c>
      <c r="AM5569">
        <v>93.113600125531605</v>
      </c>
      <c r="AN5569">
        <v>0.99999998451080596</v>
      </c>
    </row>
    <row r="5570" spans="1:40" x14ac:dyDescent="0.25">
      <c r="A5570" t="str">
        <f>"20190303170646062"</f>
        <v>20190303170646062</v>
      </c>
      <c r="B5570" t="str">
        <f>"1551604006050377"</f>
        <v>1551604006050377</v>
      </c>
      <c r="C5570" t="s">
        <v>40</v>
      </c>
      <c r="D5570">
        <v>5.7590430000000001</v>
      </c>
      <c r="E5570">
        <v>0.35456850000000001</v>
      </c>
      <c r="F5570" t="s">
        <v>54</v>
      </c>
      <c r="G5570">
        <v>-167.8792</v>
      </c>
      <c r="H5570">
        <v>5.06243</v>
      </c>
      <c r="I5570">
        <v>-40.619770000000003</v>
      </c>
      <c r="J5570">
        <v>-223.72499999999999</v>
      </c>
      <c r="K5570">
        <v>1.12101299999999</v>
      </c>
      <c r="L5570">
        <v>-63.700710000000001</v>
      </c>
      <c r="M5570">
        <v>0.99927370000000004</v>
      </c>
      <c r="N5570">
        <v>-1.259614E-2</v>
      </c>
      <c r="O5570">
        <v>-3.5969519999999998E-2</v>
      </c>
      <c r="P5570">
        <v>0.97882000000000002</v>
      </c>
      <c r="Q5570">
        <v>0.2040101</v>
      </c>
      <c r="R5570">
        <v>1.7073350000000001E-2</v>
      </c>
      <c r="S5570">
        <v>2.9980769999999999</v>
      </c>
      <c r="T5570">
        <v>0.21088580000000001</v>
      </c>
      <c r="U5570">
        <v>1.2345889999999999</v>
      </c>
      <c r="V5570">
        <v>-5.226285E-2</v>
      </c>
      <c r="W5570">
        <v>0.21631020000000001</v>
      </c>
      <c r="X5570">
        <v>0.97492489999999998</v>
      </c>
      <c r="Y5570">
        <v>-0.41298170000000001</v>
      </c>
      <c r="Z5570">
        <v>-1.4102150000000001E-2</v>
      </c>
      <c r="AA5570">
        <v>0.91063019999999995</v>
      </c>
      <c r="AB5570">
        <v>37</v>
      </c>
      <c r="AC5570">
        <v>55.845799999999997</v>
      </c>
      <c r="AD5570">
        <v>3.9414169999999999</v>
      </c>
      <c r="AE5570">
        <v>23.080939999999998</v>
      </c>
      <c r="AF5570">
        <v>-24.9686812062676</v>
      </c>
      <c r="AG5570">
        <v>3.9414169999999999</v>
      </c>
      <c r="AH5570">
        <v>54.7464678779303</v>
      </c>
      <c r="AI5570">
        <v>86.2523060791398</v>
      </c>
      <c r="AJ5570">
        <v>114.51670419448</v>
      </c>
      <c r="AK5570">
        <v>60.300460647140703</v>
      </c>
      <c r="AL5570">
        <v>77.507595226785099</v>
      </c>
      <c r="AM5570">
        <v>93.068520739566196</v>
      </c>
      <c r="AN5570">
        <v>1.0000000343770801</v>
      </c>
    </row>
    <row r="5571" spans="1:40" x14ac:dyDescent="0.25">
      <c r="A5571" t="str">
        <f>"20190303170646072"</f>
        <v>20190303170646072</v>
      </c>
      <c r="B5571" t="str">
        <f>"1551604006060138"</f>
        <v>1551604006060138</v>
      </c>
      <c r="C5571" t="s">
        <v>40</v>
      </c>
      <c r="D5571">
        <v>5.7744070000000001</v>
      </c>
      <c r="E5571">
        <v>0.35431479999999999</v>
      </c>
      <c r="F5571" t="s">
        <v>54</v>
      </c>
      <c r="G5571">
        <v>-167.67240000000001</v>
      </c>
      <c r="H5571">
        <v>5.1638289999999998</v>
      </c>
      <c r="I5571">
        <v>-40.619770000000003</v>
      </c>
      <c r="J5571">
        <v>-223.54509999999999</v>
      </c>
      <c r="K5571">
        <v>1.1210310000000001</v>
      </c>
      <c r="L5571">
        <v>-63.707180000000001</v>
      </c>
      <c r="M5571">
        <v>0.99927259999999996</v>
      </c>
      <c r="N5571">
        <v>-1.268239E-2</v>
      </c>
      <c r="O5571">
        <v>-3.5969679999999997E-2</v>
      </c>
      <c r="P5571">
        <v>0.97868549999999999</v>
      </c>
      <c r="Q5571">
        <v>0.2047243</v>
      </c>
      <c r="R5571">
        <v>1.622345E-2</v>
      </c>
      <c r="S5571">
        <v>2.9983059999999999</v>
      </c>
      <c r="T5571">
        <v>0.21625259999999999</v>
      </c>
      <c r="U5571">
        <v>1.2346189999999999</v>
      </c>
      <c r="V5571">
        <v>-5.1409759999999999E-2</v>
      </c>
      <c r="W5571">
        <v>0.21710670000000001</v>
      </c>
      <c r="X5571">
        <v>0.97479320000000003</v>
      </c>
      <c r="Y5571">
        <v>-0.41292129999999999</v>
      </c>
      <c r="Z5571">
        <v>-1.44993E-2</v>
      </c>
      <c r="AA5571">
        <v>0.91065130000000005</v>
      </c>
      <c r="AB5571">
        <v>37</v>
      </c>
      <c r="AC5571">
        <v>55.872699999999902</v>
      </c>
      <c r="AD5571">
        <v>4.0427980000000003</v>
      </c>
      <c r="AE5571">
        <v>23.087409999999998</v>
      </c>
      <c r="AF5571">
        <v>-24.970682761705401</v>
      </c>
      <c r="AG5571">
        <v>4.0427980000000003</v>
      </c>
      <c r="AH5571">
        <v>54.761132665299897</v>
      </c>
      <c r="AI5571">
        <v>86.157095867216299</v>
      </c>
      <c r="AJ5571">
        <v>114.512644762977</v>
      </c>
      <c r="AK5571">
        <v>60.3213135138909</v>
      </c>
      <c r="AL5571">
        <v>77.460848239403703</v>
      </c>
      <c r="AM5571">
        <v>93.018933529910498</v>
      </c>
      <c r="AN5571">
        <v>1.0000000326871901</v>
      </c>
    </row>
    <row r="5572" spans="1:40" x14ac:dyDescent="0.25">
      <c r="A5572" t="str">
        <f>"20190303170646085"</f>
        <v>20190303170646085</v>
      </c>
      <c r="B5572" t="str">
        <f>"1551604006080633"</f>
        <v>1551604006080633</v>
      </c>
      <c r="C5572" t="s">
        <v>40</v>
      </c>
      <c r="D5572">
        <v>5.9420650000000004</v>
      </c>
      <c r="E5572">
        <v>0.35432409999999998</v>
      </c>
      <c r="F5572" t="s">
        <v>54</v>
      </c>
      <c r="G5572">
        <v>-167.46770000000001</v>
      </c>
      <c r="H5572">
        <v>5.246982</v>
      </c>
      <c r="I5572">
        <v>-40.619770000000003</v>
      </c>
      <c r="J5572">
        <v>-223.3492</v>
      </c>
      <c r="K5572">
        <v>1.121043</v>
      </c>
      <c r="L5572">
        <v>-63.714230000000001</v>
      </c>
      <c r="M5572">
        <v>0.99927149999999998</v>
      </c>
      <c r="N5572">
        <v>-1.277443E-2</v>
      </c>
      <c r="O5572">
        <v>-3.5968199999999999E-2</v>
      </c>
      <c r="P5572">
        <v>0.9786724</v>
      </c>
      <c r="Q5572">
        <v>0.20483580000000001</v>
      </c>
      <c r="R5572">
        <v>1.559031E-2</v>
      </c>
      <c r="S5572">
        <v>2.9987180000000002</v>
      </c>
      <c r="T5572">
        <v>0.2206322</v>
      </c>
      <c r="U5572">
        <v>1.2345889999999999</v>
      </c>
      <c r="V5572">
        <v>-5.0775269999999997E-2</v>
      </c>
      <c r="W5572">
        <v>0.2173078</v>
      </c>
      <c r="X5572">
        <v>0.97478160000000003</v>
      </c>
      <c r="Y5572">
        <v>-0.41283180000000003</v>
      </c>
      <c r="Z5572">
        <v>-1.4816930000000001E-2</v>
      </c>
      <c r="AA5572">
        <v>0.91068680000000002</v>
      </c>
      <c r="AB5572">
        <v>37</v>
      </c>
      <c r="AC5572">
        <v>55.881499999999903</v>
      </c>
      <c r="AD5572">
        <v>4.1259389999999998</v>
      </c>
      <c r="AE5572">
        <v>23.094460000000002</v>
      </c>
      <c r="AF5572">
        <v>-24.9733545426093</v>
      </c>
      <c r="AG5572">
        <v>4.1259389999999998</v>
      </c>
      <c r="AH5572">
        <v>54.759631714916601</v>
      </c>
      <c r="AI5572">
        <v>86.078293156712505</v>
      </c>
      <c r="AJ5572">
        <v>114.51555185501999</v>
      </c>
      <c r="AK5572">
        <v>60.326686261520202</v>
      </c>
      <c r="AL5572">
        <v>77.449043672108701</v>
      </c>
      <c r="AM5572">
        <v>92.981777469687501</v>
      </c>
      <c r="AN5572">
        <v>0.99999998784148603</v>
      </c>
    </row>
    <row r="5573" spans="1:40" x14ac:dyDescent="0.25">
      <c r="A5573" t="str">
        <f>"20190303170646095"</f>
        <v>20190303170646095</v>
      </c>
      <c r="B5573" t="str">
        <f>"1551604006090393"</f>
        <v>1551604006090393</v>
      </c>
      <c r="C5573" t="s">
        <v>40</v>
      </c>
      <c r="D5573">
        <v>5.9977159999999996</v>
      </c>
      <c r="E5573">
        <v>0.35449170000000002</v>
      </c>
      <c r="F5573" t="s">
        <v>54</v>
      </c>
      <c r="G5573">
        <v>-167.1448</v>
      </c>
      <c r="H5573">
        <v>5.2102500000000003</v>
      </c>
      <c r="I5573">
        <v>-40.619770000000003</v>
      </c>
      <c r="J5573">
        <v>-223.16489999999999</v>
      </c>
      <c r="K5573">
        <v>1.1210549999999999</v>
      </c>
      <c r="L5573">
        <v>-63.720860000000002</v>
      </c>
      <c r="M5573">
        <v>0.99927069999999996</v>
      </c>
      <c r="N5573">
        <v>-1.285407E-2</v>
      </c>
      <c r="O5573">
        <v>-3.5955380000000002E-2</v>
      </c>
      <c r="P5573">
        <v>0.97869019999999995</v>
      </c>
      <c r="Q5573">
        <v>0.20475640000000001</v>
      </c>
      <c r="R5573">
        <v>1.5503380000000001E-2</v>
      </c>
      <c r="S5573">
        <v>3.0000610000000001</v>
      </c>
      <c r="T5573">
        <v>0.21827099999999999</v>
      </c>
      <c r="U5573">
        <v>1.2327269999999999</v>
      </c>
      <c r="V5573">
        <v>-5.0679540000000002E-2</v>
      </c>
      <c r="W5573">
        <v>0.2173059</v>
      </c>
      <c r="X5573">
        <v>0.97478699999999996</v>
      </c>
      <c r="Y5573">
        <v>-0.41221609999999997</v>
      </c>
      <c r="Z5573">
        <v>-1.459678E-2</v>
      </c>
      <c r="AA5573">
        <v>0.91096909999999998</v>
      </c>
      <c r="AB5573">
        <v>37</v>
      </c>
      <c r="AC5573">
        <v>56.0200999999999</v>
      </c>
      <c r="AD5573">
        <v>4.0891950000000001</v>
      </c>
      <c r="AE5573">
        <v>23.1010899999999</v>
      </c>
      <c r="AF5573">
        <v>-24.986753588188801</v>
      </c>
      <c r="AG5573">
        <v>4.0891950000000001</v>
      </c>
      <c r="AH5573">
        <v>54.903170599432002</v>
      </c>
      <c r="AI5573">
        <v>86.121858724788297</v>
      </c>
      <c r="AJ5573">
        <v>114.470558998176</v>
      </c>
      <c r="AK5573">
        <v>60.460048895904997</v>
      </c>
      <c r="AL5573">
        <v>77.449155133113706</v>
      </c>
      <c r="AM5573">
        <v>92.976149384923403</v>
      </c>
      <c r="AN5573">
        <v>0.99999998265920997</v>
      </c>
    </row>
    <row r="5574" spans="1:40" x14ac:dyDescent="0.25">
      <c r="A5574" t="str">
        <f>"20190303170646106"</f>
        <v>20190303170646106</v>
      </c>
      <c r="B5574" t="str">
        <f>"1551604006100153"</f>
        <v>1551604006100153</v>
      </c>
      <c r="C5574" t="s">
        <v>40</v>
      </c>
      <c r="D5574">
        <v>5.9653859999999996</v>
      </c>
      <c r="E5574">
        <v>0.35476429999999998</v>
      </c>
      <c r="F5574" t="s">
        <v>54</v>
      </c>
      <c r="G5574">
        <v>-166.8612</v>
      </c>
      <c r="H5574">
        <v>5.1530329999999998</v>
      </c>
      <c r="I5574">
        <v>-40.619770000000003</v>
      </c>
      <c r="J5574">
        <v>-222.97829999999999</v>
      </c>
      <c r="K5574">
        <v>1.1210610000000001</v>
      </c>
      <c r="L5574">
        <v>-63.727569999999901</v>
      </c>
      <c r="M5574">
        <v>0.9992704</v>
      </c>
      <c r="N5574">
        <v>-1.293215E-2</v>
      </c>
      <c r="O5574">
        <v>-3.5936669999999997E-2</v>
      </c>
      <c r="P5574">
        <v>0.97886450000000003</v>
      </c>
      <c r="Q5574">
        <v>0.20390759999999999</v>
      </c>
      <c r="R5574">
        <v>1.568483E-2</v>
      </c>
      <c r="S5574">
        <v>3.0008539999999999</v>
      </c>
      <c r="T5574">
        <v>0.21489359999999999</v>
      </c>
      <c r="U5574">
        <v>1.2312320000000001</v>
      </c>
      <c r="V5574">
        <v>-5.0853009999999997E-2</v>
      </c>
      <c r="W5574">
        <v>0.21653420000000001</v>
      </c>
      <c r="X5574">
        <v>0.97494970000000003</v>
      </c>
      <c r="Y5574">
        <v>-0.41175669999999998</v>
      </c>
      <c r="Z5574">
        <v>-1.430535E-2</v>
      </c>
      <c r="AA5574">
        <v>0.91118160000000004</v>
      </c>
      <c r="AB5574">
        <v>37</v>
      </c>
      <c r="AC5574">
        <v>56.117099999999901</v>
      </c>
      <c r="AD5574">
        <v>4.0319719999999997</v>
      </c>
      <c r="AE5574">
        <v>23.107799999999902</v>
      </c>
      <c r="AF5574">
        <v>-24.999357373074702</v>
      </c>
      <c r="AG5574">
        <v>4.0319719999999997</v>
      </c>
      <c r="AH5574">
        <v>55.007561980389099</v>
      </c>
      <c r="AI5574">
        <v>86.182291671707901</v>
      </c>
      <c r="AJ5574">
        <v>114.440432747448</v>
      </c>
      <c r="AK5574">
        <v>60.556226288482101</v>
      </c>
      <c r="AL5574">
        <v>77.494449015915805</v>
      </c>
      <c r="AM5574">
        <v>92.985820523962403</v>
      </c>
      <c r="AN5574">
        <v>1.0000000029628899</v>
      </c>
    </row>
    <row r="5575" spans="1:40" x14ac:dyDescent="0.25">
      <c r="A5575" t="str">
        <f>"20190303170646117"</f>
        <v>20190303170646117</v>
      </c>
      <c r="B5575" t="str">
        <f>"1551604006110890"</f>
        <v>1551604006110890</v>
      </c>
      <c r="C5575" t="s">
        <v>40</v>
      </c>
      <c r="D5575">
        <v>5.9907750000000002</v>
      </c>
      <c r="E5575">
        <v>0.3548673</v>
      </c>
      <c r="F5575" t="s">
        <v>54</v>
      </c>
      <c r="G5575">
        <v>-166.55539999999999</v>
      </c>
      <c r="H5575">
        <v>5.0187860000000004</v>
      </c>
      <c r="I5575">
        <v>-40.619770000000003</v>
      </c>
      <c r="J5575">
        <v>-222.79159999999999</v>
      </c>
      <c r="K5575">
        <v>1.1210719999999901</v>
      </c>
      <c r="L5575">
        <v>-63.734279999999998</v>
      </c>
      <c r="M5575">
        <v>0.99927060000000001</v>
      </c>
      <c r="N5575">
        <v>-1.3004979999999999E-2</v>
      </c>
      <c r="O5575">
        <v>-3.5906180000000003E-2</v>
      </c>
      <c r="P5575">
        <v>0.97887679999999999</v>
      </c>
      <c r="Q5575">
        <v>0.2038412</v>
      </c>
      <c r="R5575">
        <v>1.5788630000000001E-2</v>
      </c>
      <c r="S5575">
        <v>3.001862</v>
      </c>
      <c r="T5575">
        <v>0.2073691</v>
      </c>
      <c r="U5575">
        <v>1.229401</v>
      </c>
      <c r="V5575">
        <v>-5.0933880000000001E-2</v>
      </c>
      <c r="W5575">
        <v>0.21653739999999999</v>
      </c>
      <c r="X5575">
        <v>0.97494479999999994</v>
      </c>
      <c r="Y5575">
        <v>-0.41120990000000002</v>
      </c>
      <c r="Z5575">
        <v>-1.369186E-2</v>
      </c>
      <c r="AA5575">
        <v>0.91143790000000002</v>
      </c>
      <c r="AB5575">
        <v>37</v>
      </c>
      <c r="AC5575">
        <v>56.236199999999997</v>
      </c>
      <c r="AD5575">
        <v>3.8977140000000001</v>
      </c>
      <c r="AE5575">
        <v>23.114509999999999</v>
      </c>
      <c r="AF5575">
        <v>-25.016194727702501</v>
      </c>
      <c r="AG5575">
        <v>3.8977140000000001</v>
      </c>
      <c r="AH5575">
        <v>55.143292373380604</v>
      </c>
      <c r="AI5575">
        <v>86.316993187045497</v>
      </c>
      <c r="AJ5575">
        <v>114.401799176675</v>
      </c>
      <c r="AK5575">
        <v>60.677713098437302</v>
      </c>
      <c r="AL5575">
        <v>77.494261613121907</v>
      </c>
      <c r="AM5575">
        <v>92.990575174497906</v>
      </c>
      <c r="AN5575">
        <v>1.00000003438882</v>
      </c>
    </row>
    <row r="5576" spans="1:40" x14ac:dyDescent="0.25">
      <c r="A5576" t="str">
        <f>"20190303170646128"</f>
        <v>20190303170646128</v>
      </c>
      <c r="B5576" t="str">
        <f>"1551604006120648"</f>
        <v>1551604006120648</v>
      </c>
      <c r="C5576" t="s">
        <v>40</v>
      </c>
      <c r="D5576">
        <v>5.9901019999999896</v>
      </c>
      <c r="E5576">
        <v>0.35487550000000001</v>
      </c>
      <c r="F5576" t="s">
        <v>54</v>
      </c>
      <c r="G5576">
        <v>-166.31960000000001</v>
      </c>
      <c r="H5576">
        <v>4.9620959999999998</v>
      </c>
      <c r="I5576">
        <v>-40.619770000000003</v>
      </c>
      <c r="J5576">
        <v>-222.6122</v>
      </c>
      <c r="K5576">
        <v>1.121089</v>
      </c>
      <c r="L5576">
        <v>-63.740690000000001</v>
      </c>
      <c r="M5576">
        <v>0.99927129999999997</v>
      </c>
      <c r="N5576">
        <v>-1.307119E-2</v>
      </c>
      <c r="O5576">
        <v>-3.5863310000000002E-2</v>
      </c>
      <c r="P5576">
        <v>0.97889579999999998</v>
      </c>
      <c r="Q5576">
        <v>0.2037621</v>
      </c>
      <c r="R5576">
        <v>1.562391E-2</v>
      </c>
      <c r="S5576">
        <v>3.0024109999999999</v>
      </c>
      <c r="T5576">
        <v>0.204212</v>
      </c>
      <c r="U5576">
        <v>1.228912</v>
      </c>
      <c r="V5576">
        <v>-5.073602E-2</v>
      </c>
      <c r="W5576">
        <v>0.21652109999999999</v>
      </c>
      <c r="X5576">
        <v>0.97495869999999996</v>
      </c>
      <c r="Y5576">
        <v>-0.41101209999999999</v>
      </c>
      <c r="Z5576">
        <v>-1.342609E-2</v>
      </c>
      <c r="AA5576">
        <v>0.91153099999999998</v>
      </c>
      <c r="AB5576">
        <v>37</v>
      </c>
      <c r="AC5576">
        <v>56.292599999999901</v>
      </c>
      <c r="AD5576">
        <v>3.8410069999999998</v>
      </c>
      <c r="AE5576">
        <v>23.120920000000002</v>
      </c>
      <c r="AF5576">
        <v>-25.0253618620747</v>
      </c>
      <c r="AG5576">
        <v>3.8410069999999998</v>
      </c>
      <c r="AH5576">
        <v>55.207189176881499</v>
      </c>
      <c r="AI5576">
        <v>86.374133537374405</v>
      </c>
      <c r="AJ5576">
        <v>114.384737742593</v>
      </c>
      <c r="AK5576">
        <v>60.735951527195297</v>
      </c>
      <c r="AL5576">
        <v>77.4952177739967</v>
      </c>
      <c r="AM5576">
        <v>92.978936425112707</v>
      </c>
      <c r="AN5576">
        <v>0.99999999858817001</v>
      </c>
    </row>
    <row r="5577" spans="1:40" x14ac:dyDescent="0.25">
      <c r="A5577" t="str">
        <f>"20190303170646139"</f>
        <v>20190303170646139</v>
      </c>
      <c r="B5577" t="str">
        <f>"1551604006130409"</f>
        <v>1551604006130409</v>
      </c>
      <c r="C5577" t="s">
        <v>40</v>
      </c>
      <c r="D5577">
        <v>5.9946780000000004</v>
      </c>
      <c r="E5577">
        <v>0.35495379999999999</v>
      </c>
      <c r="F5577" t="s">
        <v>54</v>
      </c>
      <c r="G5577">
        <v>-166.09289999999999</v>
      </c>
      <c r="H5577">
        <v>4.9205540000000001</v>
      </c>
      <c r="I5577">
        <v>-40.619770000000003</v>
      </c>
      <c r="J5577">
        <v>-222.42920000000001</v>
      </c>
      <c r="K5577">
        <v>1.1211169999999999</v>
      </c>
      <c r="L5577">
        <v>-63.747219999999999</v>
      </c>
      <c r="M5577">
        <v>0.99927239999999995</v>
      </c>
      <c r="N5577">
        <v>-1.31352999999999E-2</v>
      </c>
      <c r="O5577">
        <v>-3.580701E-2</v>
      </c>
      <c r="P5577">
        <v>0.97889859999999995</v>
      </c>
      <c r="Q5577">
        <v>0.2037687</v>
      </c>
      <c r="R5577">
        <v>1.53554E-2</v>
      </c>
      <c r="S5577">
        <v>3.0030519999999998</v>
      </c>
      <c r="T5577">
        <v>0.20187620000000001</v>
      </c>
      <c r="U5577">
        <v>1.228485</v>
      </c>
      <c r="V5577">
        <v>-5.0423290000000003E-2</v>
      </c>
      <c r="W5577">
        <v>0.21658859999999999</v>
      </c>
      <c r="X5577">
        <v>0.97495989999999999</v>
      </c>
      <c r="Y5577">
        <v>-0.41080139999999998</v>
      </c>
      <c r="Z5577">
        <v>-1.32224E-2</v>
      </c>
      <c r="AA5577">
        <v>0.91162900000000002</v>
      </c>
      <c r="AB5577">
        <v>37</v>
      </c>
      <c r="AC5577">
        <v>56.336300000000001</v>
      </c>
      <c r="AD5577">
        <v>3.7994370000000002</v>
      </c>
      <c r="AE5577">
        <v>23.12745</v>
      </c>
      <c r="AF5577">
        <v>-25.032587039041701</v>
      </c>
      <c r="AG5577">
        <v>3.7994370000000002</v>
      </c>
      <c r="AH5577">
        <v>55.256886305082801</v>
      </c>
      <c r="AI5577">
        <v>86.416117432543402</v>
      </c>
      <c r="AJ5577">
        <v>114.37157388214</v>
      </c>
      <c r="AK5577">
        <v>60.781490764187602</v>
      </c>
      <c r="AL5577">
        <v>77.491255918938904</v>
      </c>
      <c r="AM5577">
        <v>92.960603792243106</v>
      </c>
      <c r="AN5577">
        <v>0.99999996821619597</v>
      </c>
    </row>
    <row r="5578" spans="1:40" x14ac:dyDescent="0.25">
      <c r="A5578" t="str">
        <f>"20190303170646150"</f>
        <v>20190303170646150</v>
      </c>
      <c r="B5578" t="str">
        <f>"1551604006140170"</f>
        <v>1551604006140170</v>
      </c>
      <c r="C5578" t="s">
        <v>40</v>
      </c>
      <c r="D5578">
        <v>6.0383779999999998</v>
      </c>
      <c r="E5578">
        <v>0.35497440000000002</v>
      </c>
      <c r="F5578" t="s">
        <v>54</v>
      </c>
      <c r="G5578">
        <v>-165.8253</v>
      </c>
      <c r="H5578">
        <v>4.8950449999999996</v>
      </c>
      <c r="I5578">
        <v>-40.619770000000003</v>
      </c>
      <c r="J5578">
        <v>-222.24629999999999</v>
      </c>
      <c r="K5578">
        <v>1.121149</v>
      </c>
      <c r="L5578">
        <v>-63.753720000000001</v>
      </c>
      <c r="M5578">
        <v>0.99927469999999996</v>
      </c>
      <c r="N5578">
        <v>-1.3194590000000001E-2</v>
      </c>
      <c r="O5578">
        <v>-3.5724350000000002E-2</v>
      </c>
      <c r="P5578">
        <v>0.97884919999999997</v>
      </c>
      <c r="Q5578">
        <v>0.2040228</v>
      </c>
      <c r="R5578">
        <v>1.5133209999999999E-2</v>
      </c>
      <c r="S5578">
        <v>3.003708</v>
      </c>
      <c r="T5578">
        <v>0.20026350000000001</v>
      </c>
      <c r="U5578">
        <v>1.2272639999999999</v>
      </c>
      <c r="V5578">
        <v>-5.0132940000000001E-2</v>
      </c>
      <c r="W5578">
        <v>0.2168968</v>
      </c>
      <c r="X5578">
        <v>0.97490639999999995</v>
      </c>
      <c r="Y5578">
        <v>-0.41035300000000002</v>
      </c>
      <c r="Z5578">
        <v>-1.30683E-2</v>
      </c>
      <c r="AA5578">
        <v>0.91183309999999995</v>
      </c>
      <c r="AB5578">
        <v>37</v>
      </c>
      <c r="AC5578">
        <v>56.4209999999999</v>
      </c>
      <c r="AD5578">
        <v>3.7738960000000001</v>
      </c>
      <c r="AE5578">
        <v>23.133949999999899</v>
      </c>
      <c r="AF5578">
        <v>-25.039057087302901</v>
      </c>
      <c r="AG5578">
        <v>3.7738960000000001</v>
      </c>
      <c r="AH5578">
        <v>55.3464790076765</v>
      </c>
      <c r="AI5578">
        <v>86.445073893455401</v>
      </c>
      <c r="AJ5578">
        <v>114.342262259523</v>
      </c>
      <c r="AK5578">
        <v>60.864023933578402</v>
      </c>
      <c r="AL5578">
        <v>77.473167918382302</v>
      </c>
      <c r="AM5578">
        <v>92.9437472098287</v>
      </c>
      <c r="AN5578">
        <v>1.0000000111421199</v>
      </c>
    </row>
    <row r="5579" spans="1:40" x14ac:dyDescent="0.25">
      <c r="A5579" t="str">
        <f>"20190303170646162"</f>
        <v>20190303170646162</v>
      </c>
      <c r="B5579" t="str">
        <f>"1551604006150905"</f>
        <v>1551604006150905</v>
      </c>
      <c r="C5579" t="s">
        <v>40</v>
      </c>
      <c r="D5579">
        <v>6.0001449999999998</v>
      </c>
      <c r="E5579">
        <v>0.35503499999999999</v>
      </c>
      <c r="F5579" t="s">
        <v>54</v>
      </c>
      <c r="G5579">
        <v>-165.6122</v>
      </c>
      <c r="H5579">
        <v>4.9057459999999997</v>
      </c>
      <c r="I5579">
        <v>-40.619770000000003</v>
      </c>
      <c r="J5579">
        <v>-222.04730000000001</v>
      </c>
      <c r="K5579">
        <v>1.1211850000000001</v>
      </c>
      <c r="L5579">
        <v>-63.760770000000001</v>
      </c>
      <c r="M5579">
        <v>0.99927750000000004</v>
      </c>
      <c r="N5579">
        <v>-1.325689E-2</v>
      </c>
      <c r="O5579">
        <v>-3.5622180000000003E-2</v>
      </c>
      <c r="P5579">
        <v>0.97876629999999998</v>
      </c>
      <c r="Q5579">
        <v>0.2044356</v>
      </c>
      <c r="R5579">
        <v>1.492509E-2</v>
      </c>
      <c r="S5579">
        <v>3.004013</v>
      </c>
      <c r="T5579">
        <v>0.20074320000000001</v>
      </c>
      <c r="U5579">
        <v>1.2270810000000001</v>
      </c>
      <c r="V5579">
        <v>-4.9839399999999999E-2</v>
      </c>
      <c r="W5579">
        <v>0.21736510000000001</v>
      </c>
      <c r="X5579">
        <v>0.97481719999999905</v>
      </c>
      <c r="Y5579">
        <v>-0.41017740000000003</v>
      </c>
      <c r="Z5579">
        <v>-1.30805E-2</v>
      </c>
      <c r="AA5579">
        <v>0.91191199999999994</v>
      </c>
      <c r="AB5579">
        <v>37</v>
      </c>
      <c r="AC5579">
        <v>56.435099999999998</v>
      </c>
      <c r="AD5579">
        <v>3.7845610000000001</v>
      </c>
      <c r="AE5579">
        <v>23.140999999999899</v>
      </c>
      <c r="AF5579">
        <v>-25.040427584752099</v>
      </c>
      <c r="AG5579">
        <v>3.7845610000000001</v>
      </c>
      <c r="AH5579">
        <v>55.361739056705098</v>
      </c>
      <c r="AI5579">
        <v>86.435900270896695</v>
      </c>
      <c r="AJ5579">
        <v>114.337508470891</v>
      </c>
      <c r="AK5579">
        <v>60.879126693577298</v>
      </c>
      <c r="AL5579">
        <v>77.445681184987393</v>
      </c>
      <c r="AM5579">
        <v>92.926808263604798</v>
      </c>
      <c r="AN5579">
        <v>1.0000000629531001</v>
      </c>
    </row>
    <row r="5580" spans="1:40" x14ac:dyDescent="0.25">
      <c r="A5580" t="str">
        <f>"20190303170646175"</f>
        <v>20190303170646175</v>
      </c>
      <c r="B5580" t="str">
        <f>"1551604006160664"</f>
        <v>1551604006160664</v>
      </c>
      <c r="C5580" t="s">
        <v>40</v>
      </c>
      <c r="D5580">
        <v>6.3944330000000003</v>
      </c>
      <c r="E5580">
        <v>0.35525329999999999</v>
      </c>
      <c r="F5580" t="s">
        <v>54</v>
      </c>
      <c r="G5580">
        <v>-157.9383</v>
      </c>
      <c r="H5580">
        <v>5.3980739999999896</v>
      </c>
      <c r="I5580">
        <v>-37.597209999999997</v>
      </c>
      <c r="J5580">
        <v>-221.84450000000001</v>
      </c>
      <c r="K5580">
        <v>1.121237</v>
      </c>
      <c r="L5580">
        <v>-63.767850000000003</v>
      </c>
      <c r="M5580">
        <v>0.99928240000000002</v>
      </c>
      <c r="N5580">
        <v>-1.331363E-2</v>
      </c>
      <c r="O5580">
        <v>-3.5462319999999999E-2</v>
      </c>
      <c r="P5580">
        <v>0.97878779999999999</v>
      </c>
      <c r="Q5580">
        <v>0.20432829999999999</v>
      </c>
      <c r="R5580">
        <v>1.497923E-2</v>
      </c>
      <c r="S5580">
        <v>3.0045009999999999</v>
      </c>
      <c r="T5580">
        <v>0.20043720000000001</v>
      </c>
      <c r="U5580">
        <v>1.2261660000000001</v>
      </c>
      <c r="V5580">
        <v>-4.9762420000000002E-2</v>
      </c>
      <c r="W5580">
        <v>0.2173078</v>
      </c>
      <c r="X5580">
        <v>0.97483379999999997</v>
      </c>
      <c r="Y5580">
        <v>-0.40974559999999999</v>
      </c>
      <c r="Z5580">
        <v>-1.302242E-2</v>
      </c>
      <c r="AA5580">
        <v>0.91210690000000005</v>
      </c>
      <c r="AB5580">
        <v>37</v>
      </c>
      <c r="AC5580">
        <v>63.906199999999998</v>
      </c>
      <c r="AD5580">
        <v>4.2768370000000004</v>
      </c>
      <c r="AE5580">
        <v>26.170639999999999</v>
      </c>
      <c r="AF5580">
        <v>-28.3120469032641</v>
      </c>
      <c r="AG5580">
        <v>4.2768370000000004</v>
      </c>
      <c r="AH5580">
        <v>62.6973645974862</v>
      </c>
      <c r="AI5580">
        <v>86.442540300730698</v>
      </c>
      <c r="AJ5580">
        <v>114.30235413085499</v>
      </c>
      <c r="AK5580">
        <v>68.926213170660304</v>
      </c>
      <c r="AL5580">
        <v>77.449043291509398</v>
      </c>
      <c r="AM5580">
        <v>92.922245795018497</v>
      </c>
      <c r="AN5580">
        <v>0.99999995800376695</v>
      </c>
    </row>
    <row r="5581" spans="1:40" x14ac:dyDescent="0.25">
      <c r="A5581" t="str">
        <f>"20190303170646187"</f>
        <v>20190303170646187</v>
      </c>
      <c r="B5581" t="str">
        <f>"1551604006180185"</f>
        <v>1551604006180185</v>
      </c>
      <c r="C5581" t="s">
        <v>40</v>
      </c>
      <c r="D5581">
        <v>6.6454339999999998</v>
      </c>
      <c r="E5581">
        <v>0.40255950000000001</v>
      </c>
      <c r="F5581" t="s">
        <v>54</v>
      </c>
      <c r="G5581">
        <v>-157.9383</v>
      </c>
      <c r="H5581">
        <v>5.3454730000000001</v>
      </c>
      <c r="I5581">
        <v>-37.723469999999999</v>
      </c>
      <c r="J5581">
        <v>-221.6523</v>
      </c>
      <c r="K5581">
        <v>1.1212839999999999</v>
      </c>
      <c r="L5581">
        <v>-63.774569999999997</v>
      </c>
      <c r="M5581">
        <v>0.99928779999999995</v>
      </c>
      <c r="N5581">
        <v>-1.3365429999999999E-2</v>
      </c>
      <c r="O5581">
        <v>-3.5288569999999998E-2</v>
      </c>
      <c r="P5581">
        <v>0.97874309999999998</v>
      </c>
      <c r="Q5581">
        <v>0.20453099999999999</v>
      </c>
      <c r="R5581">
        <v>1.5135549999999999E-2</v>
      </c>
      <c r="S5581">
        <v>3.004807</v>
      </c>
      <c r="T5581">
        <v>0.19861819999999999</v>
      </c>
      <c r="U5581">
        <v>1.2245790000000001</v>
      </c>
      <c r="V5581">
        <v>-4.9772629999999998E-2</v>
      </c>
      <c r="W5581">
        <v>0.2175549</v>
      </c>
      <c r="X5581">
        <v>0.97477820000000004</v>
      </c>
      <c r="Y5581">
        <v>-0.4091574</v>
      </c>
      <c r="Z5581">
        <v>-1.2846140000000001E-2</v>
      </c>
      <c r="AA5581">
        <v>0.9123734</v>
      </c>
      <c r="AB5581">
        <v>37</v>
      </c>
      <c r="AC5581">
        <v>63.713999999999999</v>
      </c>
      <c r="AD5581">
        <v>4.224189</v>
      </c>
      <c r="AE5581">
        <v>26.051100000000002</v>
      </c>
      <c r="AF5581">
        <v>-28.177332709745599</v>
      </c>
      <c r="AG5581">
        <v>4.224189</v>
      </c>
      <c r="AH5581">
        <v>62.519473559213402</v>
      </c>
      <c r="AI5581">
        <v>86.475103223350303</v>
      </c>
      <c r="AJ5581">
        <v>114.260941840619</v>
      </c>
      <c r="AK5581">
        <v>68.705825265872605</v>
      </c>
      <c r="AL5581">
        <v>77.434538947464503</v>
      </c>
      <c r="AM5581">
        <v>92.9230107528725</v>
      </c>
      <c r="AN5581">
        <v>0.99999999420318297</v>
      </c>
    </row>
    <row r="5582" spans="1:40" x14ac:dyDescent="0.25">
      <c r="A5582" t="str">
        <f>"20190303170646198"</f>
        <v>20190303170646198</v>
      </c>
      <c r="B5582" t="str">
        <f>"1551604006190922"</f>
        <v>1551604006190922</v>
      </c>
      <c r="C5582" t="s">
        <v>40</v>
      </c>
      <c r="D5582">
        <v>6.0232020000000004</v>
      </c>
      <c r="E5582">
        <v>0.41329250000000001</v>
      </c>
      <c r="F5582" t="s">
        <v>54</v>
      </c>
      <c r="G5582">
        <v>-157.3501</v>
      </c>
      <c r="H5582">
        <v>1.632501</v>
      </c>
      <c r="I5582">
        <v>-45.687449999999998</v>
      </c>
      <c r="J5582">
        <v>-221.44579999999999</v>
      </c>
      <c r="K5582">
        <v>1.121346</v>
      </c>
      <c r="L5582">
        <v>-63.781649999999999</v>
      </c>
      <c r="M5582">
        <v>0.9992955</v>
      </c>
      <c r="N5582">
        <v>-1.341666E-2</v>
      </c>
      <c r="O5582">
        <v>-3.5051440000000003E-2</v>
      </c>
      <c r="P5582">
        <v>0.9788616</v>
      </c>
      <c r="Q5582">
        <v>0.2039078</v>
      </c>
      <c r="R5582">
        <v>1.58639E-2</v>
      </c>
      <c r="S5582">
        <v>3.0468440000000001</v>
      </c>
      <c r="T5582">
        <v>2.422214E-2</v>
      </c>
      <c r="U5582">
        <v>0.85702509999999998</v>
      </c>
      <c r="V5582">
        <v>-5.0304040000000001E-2</v>
      </c>
      <c r="W5582">
        <v>0.21697540000000001</v>
      </c>
      <c r="X5582">
        <v>0.97488010000000003</v>
      </c>
      <c r="Y5582">
        <v>-0.30435269999999998</v>
      </c>
      <c r="Z5582">
        <v>1.5943359999999999E-4</v>
      </c>
      <c r="AA5582">
        <v>0.95255939999999995</v>
      </c>
      <c r="AB5582">
        <v>37</v>
      </c>
      <c r="AC5582">
        <v>64.095699999999994</v>
      </c>
      <c r="AD5582">
        <v>0.51115500000000003</v>
      </c>
      <c r="AE5582">
        <v>18.094200000000001</v>
      </c>
      <c r="AF5582">
        <v>-20.328730530661399</v>
      </c>
      <c r="AG5582">
        <v>0.51115500000000003</v>
      </c>
      <c r="AH5582">
        <v>63.418286278024901</v>
      </c>
      <c r="AI5582">
        <v>89.560242524129194</v>
      </c>
      <c r="AJ5582">
        <v>107.77325165053399</v>
      </c>
      <c r="AK5582">
        <v>66.598780761090495</v>
      </c>
      <c r="AL5582">
        <v>77.468554657162102</v>
      </c>
      <c r="AM5582">
        <v>92.953855783839998</v>
      </c>
      <c r="AN5582">
        <v>1.00000001501074</v>
      </c>
    </row>
    <row r="5583" spans="1:40" x14ac:dyDescent="0.25">
      <c r="A5583" t="str">
        <f>"20190303170646209"</f>
        <v>20190303170646209</v>
      </c>
      <c r="B5583" t="str">
        <f>"1551604006200681"</f>
        <v>1551604006200681</v>
      </c>
      <c r="C5583" t="s">
        <v>40</v>
      </c>
      <c r="D5583">
        <v>5.9930729999999999</v>
      </c>
      <c r="E5583">
        <v>0.41329250000000001</v>
      </c>
      <c r="F5583" t="s">
        <v>54</v>
      </c>
      <c r="G5583">
        <v>-157.3501</v>
      </c>
      <c r="H5583">
        <v>0.86528919999999998</v>
      </c>
      <c r="I5583">
        <v>-47.517890000000001</v>
      </c>
      <c r="J5583">
        <v>-221.27500000000001</v>
      </c>
      <c r="K5583">
        <v>1.121397</v>
      </c>
      <c r="L5583">
        <v>-63.787480000000002</v>
      </c>
      <c r="M5583">
        <v>0.99930319999999995</v>
      </c>
      <c r="N5583">
        <v>-1.345609E-2</v>
      </c>
      <c r="O5583">
        <v>-3.4815510000000001E-2</v>
      </c>
      <c r="P5583">
        <v>0.97899950000000002</v>
      </c>
      <c r="Q5583">
        <v>0.2031635</v>
      </c>
      <c r="R5583">
        <v>1.687522E-2</v>
      </c>
      <c r="S5583">
        <v>3.0547490000000002</v>
      </c>
      <c r="T5583">
        <v>-1.2204410000000001E-2</v>
      </c>
      <c r="U5583">
        <v>0.77511600000000003</v>
      </c>
      <c r="V5583">
        <v>-5.1117879999999997E-2</v>
      </c>
      <c r="W5583">
        <v>0.21626409999999999</v>
      </c>
      <c r="X5583">
        <v>0.97499579999999997</v>
      </c>
      <c r="Y5583">
        <v>-0.27953600000000001</v>
      </c>
      <c r="Z5583">
        <v>2.136181E-3</v>
      </c>
      <c r="AA5583">
        <v>0.96013280000000001</v>
      </c>
      <c r="AB5583">
        <v>37</v>
      </c>
      <c r="AC5583">
        <v>63.924900000000001</v>
      </c>
      <c r="AD5583">
        <v>-0.2561078</v>
      </c>
      <c r="AE5583">
        <v>16.269590000000001</v>
      </c>
      <c r="AF5583">
        <v>-18.485225651699999</v>
      </c>
      <c r="AG5583">
        <v>-0.2561078</v>
      </c>
      <c r="AH5583">
        <v>63.318699070176898</v>
      </c>
      <c r="AI5583">
        <v>90.222459342554103</v>
      </c>
      <c r="AJ5583">
        <v>106.27460720432499</v>
      </c>
      <c r="AK5583">
        <v>65.962313562663297</v>
      </c>
      <c r="AL5583">
        <v>77.510300217257907</v>
      </c>
      <c r="AM5583">
        <v>93.001202281992505</v>
      </c>
      <c r="AN5583">
        <v>1.0000000043110699</v>
      </c>
    </row>
    <row r="5584" spans="1:40" x14ac:dyDescent="0.25">
      <c r="A5584" t="str">
        <f>"20190303170646220"</f>
        <v>20190303170646220</v>
      </c>
      <c r="B5584" t="str">
        <f>"1551604006210441"</f>
        <v>1551604006210441</v>
      </c>
      <c r="C5584" t="s">
        <v>40</v>
      </c>
      <c r="D5584">
        <v>5.9939070000000001</v>
      </c>
      <c r="E5584">
        <v>0.46280739999999998</v>
      </c>
      <c r="F5584" t="s">
        <v>54</v>
      </c>
      <c r="G5584">
        <v>-157.3501</v>
      </c>
      <c r="H5584">
        <v>0.80723140000000004</v>
      </c>
      <c r="I5584">
        <v>-47.505940000000002</v>
      </c>
      <c r="J5584">
        <v>-221.0966</v>
      </c>
      <c r="K5584">
        <v>1.1214569999999999</v>
      </c>
      <c r="L5584">
        <v>-63.793460000000003</v>
      </c>
      <c r="M5584">
        <v>0.99931210000000004</v>
      </c>
      <c r="N5584">
        <v>-1.34953E-2</v>
      </c>
      <c r="O5584">
        <v>-3.4543619999999997E-2</v>
      </c>
      <c r="P5584">
        <v>0.97908770000000001</v>
      </c>
      <c r="Q5584">
        <v>0.202657</v>
      </c>
      <c r="R5584">
        <v>1.7824349999999999E-2</v>
      </c>
      <c r="S5584">
        <v>3.0540620000000001</v>
      </c>
      <c r="T5584">
        <v>-1.501048E-2</v>
      </c>
      <c r="U5584">
        <v>0.77786250000000001</v>
      </c>
      <c r="V5584">
        <v>-5.1835249999999999E-2</v>
      </c>
      <c r="W5584">
        <v>0.2157878</v>
      </c>
      <c r="X5584">
        <v>0.97506340000000002</v>
      </c>
      <c r="Y5584">
        <v>-0.28013460000000001</v>
      </c>
      <c r="Z5584">
        <v>2.3065120000000001E-3</v>
      </c>
      <c r="AA5584">
        <v>0.95995799999999998</v>
      </c>
      <c r="AB5584">
        <v>37</v>
      </c>
      <c r="AC5584">
        <v>63.746499999999997</v>
      </c>
      <c r="AD5584">
        <v>-0.31422559999999899</v>
      </c>
      <c r="AE5584">
        <v>16.287519999999901</v>
      </c>
      <c r="AF5584">
        <v>-18.4796115476823</v>
      </c>
      <c r="AG5584">
        <v>-0.31422559999999899</v>
      </c>
      <c r="AH5584">
        <v>63.1443272063919</v>
      </c>
      <c r="AI5584">
        <v>90.273641552077606</v>
      </c>
      <c r="AJ5584">
        <v>106.312469237212</v>
      </c>
      <c r="AK5584">
        <v>65.793623087870799</v>
      </c>
      <c r="AL5584">
        <v>77.538249485526094</v>
      </c>
      <c r="AM5584">
        <v>93.043030867841793</v>
      </c>
      <c r="AN5584">
        <v>0.99999995089547999</v>
      </c>
    </row>
    <row r="5585" spans="1:40" x14ac:dyDescent="0.25">
      <c r="A5585" t="str">
        <f>"20190303170646230"</f>
        <v>20190303170646230</v>
      </c>
      <c r="B5585" t="str">
        <f>"1551604006220201"</f>
        <v>1551604006220201</v>
      </c>
      <c r="C5585" t="s">
        <v>40</v>
      </c>
      <c r="D5585">
        <v>6.016451</v>
      </c>
      <c r="E5585">
        <v>0.46504830000000003</v>
      </c>
      <c r="F5585" t="s">
        <v>71</v>
      </c>
      <c r="G5585">
        <v>-198.7329</v>
      </c>
      <c r="H5585" s="1">
        <v>-6.2558070000000003E-6</v>
      </c>
      <c r="I5585">
        <v>-60.946629999999999</v>
      </c>
      <c r="J5585">
        <v>-220.9239</v>
      </c>
      <c r="K5585">
        <v>1.121521</v>
      </c>
      <c r="L5585">
        <v>-63.799160000000001</v>
      </c>
      <c r="M5585">
        <v>0.99932270000000001</v>
      </c>
      <c r="N5585">
        <v>-1.3530260000000001E-2</v>
      </c>
      <c r="O5585">
        <v>-3.4223000000000003E-2</v>
      </c>
      <c r="P5585">
        <v>0.97914939999999995</v>
      </c>
      <c r="Q5585">
        <v>0.20229249999999999</v>
      </c>
      <c r="R5585">
        <v>1.855534E-2</v>
      </c>
      <c r="S5585">
        <v>3.0890049999999998</v>
      </c>
      <c r="T5585">
        <v>-0.1549027</v>
      </c>
      <c r="U5585">
        <v>0.39321899999999999</v>
      </c>
      <c r="V5585">
        <v>-5.2288849999999998E-2</v>
      </c>
      <c r="W5585">
        <v>0.21544930000000001</v>
      </c>
      <c r="X5585">
        <v>0.97511400000000004</v>
      </c>
      <c r="Y5585">
        <v>-0.159881</v>
      </c>
      <c r="Z5585">
        <v>6.3250800000000003E-3</v>
      </c>
      <c r="AA5585">
        <v>0.98711599999999999</v>
      </c>
      <c r="AB5585">
        <v>37</v>
      </c>
      <c r="AC5585">
        <v>22.190999999999999</v>
      </c>
      <c r="AD5585">
        <v>-1.121527255807</v>
      </c>
      <c r="AE5585">
        <v>2.85252999999999</v>
      </c>
      <c r="AF5585">
        <v>-3.6013216047563699</v>
      </c>
      <c r="AG5585">
        <v>-1.121527255807</v>
      </c>
      <c r="AH5585">
        <v>22.025024277619799</v>
      </c>
      <c r="AI5585">
        <v>92.8768787387082</v>
      </c>
      <c r="AJ5585">
        <v>99.286282211323595</v>
      </c>
      <c r="AK5585">
        <v>22.345671507389198</v>
      </c>
      <c r="AL5585">
        <v>77.558110899157896</v>
      </c>
      <c r="AM5585">
        <v>93.069450141081504</v>
      </c>
      <c r="AN5585">
        <v>0.99999991885040296</v>
      </c>
    </row>
    <row r="5586" spans="1:40" x14ac:dyDescent="0.25">
      <c r="A5586" t="str">
        <f>"20190303170646240"</f>
        <v>20190303170646240</v>
      </c>
      <c r="B5586" t="str">
        <f>"1551604006230937"</f>
        <v>1551604006230937</v>
      </c>
      <c r="C5586" t="s">
        <v>40</v>
      </c>
      <c r="D5586">
        <v>6.0152939999999999</v>
      </c>
      <c r="E5586">
        <v>0.46627679999999999</v>
      </c>
      <c r="F5586" t="s">
        <v>71</v>
      </c>
      <c r="G5586">
        <v>-199.3604</v>
      </c>
      <c r="H5586" s="1">
        <v>-6.01269699999999E-6</v>
      </c>
      <c r="I5586">
        <v>-61.161720000000003</v>
      </c>
      <c r="J5586">
        <v>-220.75710000000001</v>
      </c>
      <c r="K5586">
        <v>1.1215869999999999</v>
      </c>
      <c r="L5586">
        <v>-63.804600000000001</v>
      </c>
      <c r="M5586">
        <v>0.99933360000000004</v>
      </c>
      <c r="N5586">
        <v>-1.3562899999999999E-2</v>
      </c>
      <c r="O5586">
        <v>-3.389271E-2</v>
      </c>
      <c r="P5586">
        <v>0.97911130000000002</v>
      </c>
      <c r="Q5586">
        <v>0.2024203</v>
      </c>
      <c r="R5586">
        <v>1.9167130000000001E-2</v>
      </c>
      <c r="S5586">
        <v>3.0899200000000002</v>
      </c>
      <c r="T5586">
        <v>-0.16070809999999999</v>
      </c>
      <c r="U5586">
        <v>0.37792969999999998</v>
      </c>
      <c r="V5586">
        <v>-5.2610669999999998E-2</v>
      </c>
      <c r="W5586">
        <v>0.21559970000000001</v>
      </c>
      <c r="X5586">
        <v>0.97506349999999997</v>
      </c>
      <c r="Y5586">
        <v>-0.15469579999999999</v>
      </c>
      <c r="Z5586">
        <v>6.3572849999999998E-3</v>
      </c>
      <c r="AA5586">
        <v>0.98794170000000003</v>
      </c>
      <c r="AB5586">
        <v>37</v>
      </c>
      <c r="AC5586">
        <v>21.396699999999999</v>
      </c>
      <c r="AD5586">
        <v>-1.121593012697</v>
      </c>
      <c r="AE5586">
        <v>2.6428799999999999</v>
      </c>
      <c r="AF5586">
        <v>-3.3575330516733799</v>
      </c>
      <c r="AG5586">
        <v>-1.121593012697</v>
      </c>
      <c r="AH5586">
        <v>21.237344297659501</v>
      </c>
      <c r="AI5586">
        <v>92.986094479137904</v>
      </c>
      <c r="AJ5586">
        <v>98.983861157712198</v>
      </c>
      <c r="AK5586">
        <v>21.530345837829501</v>
      </c>
      <c r="AL5586">
        <v>77.549286880799897</v>
      </c>
      <c r="AM5586">
        <v>93.088464738154798</v>
      </c>
      <c r="AN5586">
        <v>0.99999997113509398</v>
      </c>
    </row>
    <row r="5587" spans="1:40" x14ac:dyDescent="0.25">
      <c r="A5587" t="str">
        <f>"20190303170646251"</f>
        <v>20190303170646251</v>
      </c>
      <c r="B5587" t="str">
        <f>"1551604006240698"</f>
        <v>1551604006240698</v>
      </c>
      <c r="C5587" t="s">
        <v>40</v>
      </c>
      <c r="D5587">
        <v>6.0150540000000001</v>
      </c>
      <c r="E5587">
        <v>0.46720109999999898</v>
      </c>
      <c r="F5587" t="s">
        <v>71</v>
      </c>
      <c r="G5587">
        <v>-200.3039</v>
      </c>
      <c r="H5587" s="1">
        <v>-5.60390499999999E-6</v>
      </c>
      <c r="I5587">
        <v>-61.34948</v>
      </c>
      <c r="J5587">
        <v>-220.57990000000001</v>
      </c>
      <c r="K5587">
        <v>1.121669</v>
      </c>
      <c r="L5587">
        <v>-63.810270000000003</v>
      </c>
      <c r="M5587">
        <v>0.9993474</v>
      </c>
      <c r="N5587">
        <v>-1.3594699999999999E-2</v>
      </c>
      <c r="O5587">
        <v>-3.346387E-2</v>
      </c>
      <c r="P5587">
        <v>0.97906210000000005</v>
      </c>
      <c r="Q5587">
        <v>0.20261119999999999</v>
      </c>
      <c r="R5587">
        <v>1.9649369999999999E-2</v>
      </c>
      <c r="S5587">
        <v>3.0917819999999998</v>
      </c>
      <c r="T5587">
        <v>-0.16954420000000001</v>
      </c>
      <c r="U5587">
        <v>0.37112430000000002</v>
      </c>
      <c r="V5587">
        <v>-5.2714160000000003E-2</v>
      </c>
      <c r="W5587">
        <v>0.21581110000000001</v>
      </c>
      <c r="X5587">
        <v>0.97501119999999997</v>
      </c>
      <c r="Y5587">
        <v>-0.1520319</v>
      </c>
      <c r="Z5587">
        <v>6.563503E-3</v>
      </c>
      <c r="AA5587">
        <v>0.98835379999999995</v>
      </c>
      <c r="AB5587">
        <v>37</v>
      </c>
      <c r="AC5587">
        <v>20.276</v>
      </c>
      <c r="AD5587">
        <v>-1.1216746039049901</v>
      </c>
      <c r="AE5587">
        <v>2.4607899999999798</v>
      </c>
      <c r="AF5587">
        <v>-3.12855226023808</v>
      </c>
      <c r="AG5587">
        <v>-1.1216746039049901</v>
      </c>
      <c r="AH5587">
        <v>20.121601680634502</v>
      </c>
      <c r="AI5587">
        <v>93.152835292133204</v>
      </c>
      <c r="AJ5587">
        <v>98.8377146399434</v>
      </c>
      <c r="AK5587">
        <v>20.3942356404009</v>
      </c>
      <c r="AL5587">
        <v>77.536883240960194</v>
      </c>
      <c r="AM5587">
        <v>93.094693903736001</v>
      </c>
      <c r="AN5587">
        <v>1.0000000268365701</v>
      </c>
    </row>
    <row r="5588" spans="1:40" x14ac:dyDescent="0.25">
      <c r="A5588" t="str">
        <f>"20190303170646262"</f>
        <v>20190303170646262</v>
      </c>
      <c r="B5588" t="str">
        <f>"1551604006250457"</f>
        <v>1551604006250457</v>
      </c>
      <c r="C5588" t="s">
        <v>40</v>
      </c>
      <c r="D5588">
        <v>6.0469889999999999</v>
      </c>
      <c r="E5588">
        <v>0.46792030000000001</v>
      </c>
      <c r="F5588" t="s">
        <v>71</v>
      </c>
      <c r="G5588">
        <v>-200.37780000000001</v>
      </c>
      <c r="H5588" s="1">
        <v>-5.5702859999999999E-6</v>
      </c>
      <c r="I5588">
        <v>-61.418430000000001</v>
      </c>
      <c r="J5588">
        <v>-220.39859999999999</v>
      </c>
      <c r="K5588">
        <v>1.121756</v>
      </c>
      <c r="L5588">
        <v>-63.815980000000003</v>
      </c>
      <c r="M5588">
        <v>0.99936239999999998</v>
      </c>
      <c r="N5588">
        <v>-1.3626360000000001E-2</v>
      </c>
      <c r="O5588">
        <v>-3.3003400000000002E-2</v>
      </c>
      <c r="P5588">
        <v>0.97902990000000001</v>
      </c>
      <c r="Q5588">
        <v>0.2027543</v>
      </c>
      <c r="R5588">
        <v>1.9781719999999999E-2</v>
      </c>
      <c r="S5588">
        <v>3.092346</v>
      </c>
      <c r="T5588">
        <v>-0.17169489999999901</v>
      </c>
      <c r="U5588">
        <v>0.36611939999999998</v>
      </c>
      <c r="V5588">
        <v>-5.2440250000000001E-2</v>
      </c>
      <c r="W5588">
        <v>0.2159741</v>
      </c>
      <c r="X5588">
        <v>0.97498980000000002</v>
      </c>
      <c r="Y5588">
        <v>-0.14997439999999901</v>
      </c>
      <c r="Z5588">
        <v>6.5497530000000002E-3</v>
      </c>
      <c r="AA5588">
        <v>0.9886682</v>
      </c>
      <c r="AB5588">
        <v>37</v>
      </c>
      <c r="AC5588">
        <v>20.020799999999898</v>
      </c>
      <c r="AD5588">
        <v>-1.121761570286</v>
      </c>
      <c r="AE5588">
        <v>2.3975499999999901</v>
      </c>
      <c r="AF5588">
        <v>-3.04762718395386</v>
      </c>
      <c r="AG5588">
        <v>-1.121761570286</v>
      </c>
      <c r="AH5588">
        <v>19.869262309482998</v>
      </c>
      <c r="AI5588">
        <v>93.194049608401698</v>
      </c>
      <c r="AJ5588">
        <v>98.720293959889005</v>
      </c>
      <c r="AK5588">
        <v>20.13290751968</v>
      </c>
      <c r="AL5588">
        <v>77.527317501716396</v>
      </c>
      <c r="AM5588">
        <v>93.078711907197004</v>
      </c>
      <c r="AN5588">
        <v>0.99999995089745497</v>
      </c>
    </row>
    <row r="5589" spans="1:40" x14ac:dyDescent="0.25">
      <c r="A5589" t="str">
        <f>"20190303170646274"</f>
        <v>20190303170646274</v>
      </c>
      <c r="B5589" t="str">
        <f>"1551604006260216"</f>
        <v>1551604006260216</v>
      </c>
      <c r="C5589" t="s">
        <v>40</v>
      </c>
      <c r="D5589">
        <v>6.0347200000000001</v>
      </c>
      <c r="E5589">
        <v>0.46824680000000002</v>
      </c>
      <c r="F5589" t="s">
        <v>71</v>
      </c>
      <c r="G5589">
        <v>-200.06209999999999</v>
      </c>
      <c r="H5589" s="1">
        <v>-5.7322820000000001E-6</v>
      </c>
      <c r="I5589">
        <v>-61.438499999999998</v>
      </c>
      <c r="J5589">
        <v>-220.20150000000001</v>
      </c>
      <c r="K5589">
        <v>1.121864</v>
      </c>
      <c r="L5589">
        <v>-63.821930000000002</v>
      </c>
      <c r="M5589">
        <v>0.9993824</v>
      </c>
      <c r="N5589">
        <v>-1.365737E-2</v>
      </c>
      <c r="O5589">
        <v>-3.2382309999999997E-2</v>
      </c>
      <c r="P5589">
        <v>0.97902789999999995</v>
      </c>
      <c r="Q5589">
        <v>0.20273179999999999</v>
      </c>
      <c r="R5589">
        <v>2.0115109999999999E-2</v>
      </c>
      <c r="S5589">
        <v>3.092285</v>
      </c>
      <c r="T5589">
        <v>-0.17057069999999999</v>
      </c>
      <c r="U5589">
        <v>0.36151119999999998</v>
      </c>
      <c r="V5589">
        <v>-5.2221799999999999E-2</v>
      </c>
      <c r="W5589">
        <v>0.21596899999999999</v>
      </c>
      <c r="X5589">
        <v>0.9750027</v>
      </c>
      <c r="Y5589">
        <v>-0.14791689999999999</v>
      </c>
      <c r="Z5589">
        <v>6.4161919999999898E-3</v>
      </c>
      <c r="AA5589">
        <v>0.98897900000000005</v>
      </c>
      <c r="AB5589">
        <v>37</v>
      </c>
      <c r="AC5589">
        <v>20.139399999999998</v>
      </c>
      <c r="AD5589">
        <v>-1.1218697322819999</v>
      </c>
      <c r="AE5589">
        <v>2.3834300000000002</v>
      </c>
      <c r="AF5589">
        <v>-3.0251432350635499</v>
      </c>
      <c r="AG5589">
        <v>-1.1218697322819999</v>
      </c>
      <c r="AH5589">
        <v>19.990472821826</v>
      </c>
      <c r="AI5589">
        <v>93.175997559350293</v>
      </c>
      <c r="AJ5589">
        <v>98.605235491898995</v>
      </c>
      <c r="AK5589">
        <v>20.249174969095002</v>
      </c>
      <c r="AL5589">
        <v>77.527617334338501</v>
      </c>
      <c r="AM5589">
        <v>93.0658709692119</v>
      </c>
      <c r="AN5589">
        <v>0.99999999518176497</v>
      </c>
    </row>
    <row r="5590" spans="1:40" x14ac:dyDescent="0.25">
      <c r="A5590" t="str">
        <f>"20190303170646286"</f>
        <v>20190303170646286</v>
      </c>
      <c r="B5590" t="str">
        <f>"1551604006280714"</f>
        <v>1551604006280714</v>
      </c>
      <c r="C5590" t="s">
        <v>40</v>
      </c>
      <c r="D5590">
        <v>6.0031230000000004</v>
      </c>
      <c r="E5590">
        <v>0.46853440000000002</v>
      </c>
      <c r="F5590" t="s">
        <v>71</v>
      </c>
      <c r="G5590">
        <v>-199.9246</v>
      </c>
      <c r="H5590" s="1">
        <v>-5.8001969999999899E-6</v>
      </c>
      <c r="I5590">
        <v>-61.459620000000001</v>
      </c>
      <c r="J5590">
        <v>-220.00800000000001</v>
      </c>
      <c r="K5590">
        <v>1.1219730000000001</v>
      </c>
      <c r="L5590">
        <v>-63.8277</v>
      </c>
      <c r="M5590">
        <v>0.99940289999999998</v>
      </c>
      <c r="N5590">
        <v>-1.3686800000000001E-2</v>
      </c>
      <c r="O5590">
        <v>-3.1729489999999999E-2</v>
      </c>
      <c r="P5590">
        <v>0.97905059999999999</v>
      </c>
      <c r="Q5590">
        <v>0.20257600000000001</v>
      </c>
      <c r="R5590">
        <v>2.0569380000000002E-2</v>
      </c>
      <c r="S5590">
        <v>3.0922999999999998</v>
      </c>
      <c r="T5590">
        <v>-0.17108889999999999</v>
      </c>
      <c r="U5590">
        <v>0.36026000000000002</v>
      </c>
      <c r="V5590">
        <v>-5.2094660000000001E-2</v>
      </c>
      <c r="W5590">
        <v>0.2158293</v>
      </c>
      <c r="X5590">
        <v>0.97504040000000003</v>
      </c>
      <c r="Y5590">
        <v>-0.14687610000000001</v>
      </c>
      <c r="Z5590">
        <v>6.3723089999999996E-3</v>
      </c>
      <c r="AA5590">
        <v>0.98913439999999997</v>
      </c>
      <c r="AB5590">
        <v>37</v>
      </c>
      <c r="AC5590">
        <v>20.083399999999902</v>
      </c>
      <c r="AD5590">
        <v>-1.1219788001969999</v>
      </c>
      <c r="AE5590">
        <v>2.36808</v>
      </c>
      <c r="AF5590">
        <v>-2.9949639588962902</v>
      </c>
      <c r="AG5590">
        <v>-1.1219788001969999</v>
      </c>
      <c r="AH5590">
        <v>19.936771399500099</v>
      </c>
      <c r="AI5590">
        <v>93.185362091096806</v>
      </c>
      <c r="AJ5590">
        <v>98.543267605841507</v>
      </c>
      <c r="AK5590">
        <v>20.1916690587753</v>
      </c>
      <c r="AL5590">
        <v>77.535814455544397</v>
      </c>
      <c r="AM5590">
        <v>93.058302910948498</v>
      </c>
      <c r="AN5590">
        <v>0.99999996098558197</v>
      </c>
    </row>
    <row r="5591" spans="1:40" x14ac:dyDescent="0.25">
      <c r="A5591" t="str">
        <f>"20190303170646297"</f>
        <v>20190303170646297</v>
      </c>
      <c r="B5591" t="str">
        <f>"1551604006290473"</f>
        <v>1551604006290473</v>
      </c>
      <c r="C5591" t="s">
        <v>40</v>
      </c>
      <c r="D5591">
        <v>6.0714240000000004</v>
      </c>
      <c r="E5591">
        <v>0.46870400000000001</v>
      </c>
      <c r="F5591" t="s">
        <v>71</v>
      </c>
      <c r="G5591">
        <v>-199.72190000000001</v>
      </c>
      <c r="H5591" s="1">
        <v>-5.8835230000000001E-6</v>
      </c>
      <c r="I5591">
        <v>-61.472720000000002</v>
      </c>
      <c r="J5591">
        <v>-219.82650000000001</v>
      </c>
      <c r="K5591">
        <v>1.1220870000000001</v>
      </c>
      <c r="L5591">
        <v>-63.832859999999997</v>
      </c>
      <c r="M5591">
        <v>0.9994248</v>
      </c>
      <c r="N5591">
        <v>-1.3712449999999999E-2</v>
      </c>
      <c r="O5591">
        <v>-3.1020120000000002E-2</v>
      </c>
      <c r="P5591">
        <v>0.97909590000000002</v>
      </c>
      <c r="Q5591">
        <v>0.20225070000000001</v>
      </c>
      <c r="R5591">
        <v>2.1591590000000001E-2</v>
      </c>
      <c r="S5591">
        <v>3.092041</v>
      </c>
      <c r="T5591">
        <v>-0.17101340000000001</v>
      </c>
      <c r="U5591">
        <v>0.35894779999999998</v>
      </c>
      <c r="V5591">
        <v>-5.2481960000000001E-2</v>
      </c>
      <c r="W5591">
        <v>0.2155145</v>
      </c>
      <c r="X5591">
        <v>0.97508930000000005</v>
      </c>
      <c r="Y5591">
        <v>-0.14577219999999999</v>
      </c>
      <c r="Z5591">
        <v>6.3040049999999997E-3</v>
      </c>
      <c r="AA5591">
        <v>0.98929809999999996</v>
      </c>
      <c r="AB5591">
        <v>37</v>
      </c>
      <c r="AC5591">
        <v>20.104600000000001</v>
      </c>
      <c r="AD5591">
        <v>-1.122092883523</v>
      </c>
      <c r="AE5591">
        <v>2.3601399999999999</v>
      </c>
      <c r="AF5591">
        <v>-2.97357272637145</v>
      </c>
      <c r="AG5591">
        <v>-1.122092883523</v>
      </c>
      <c r="AH5591">
        <v>19.960371777007499</v>
      </c>
      <c r="AI5591">
        <v>93.182506947653494</v>
      </c>
      <c r="AJ5591">
        <v>98.473254686035801</v>
      </c>
      <c r="AK5591">
        <v>20.2118200238036</v>
      </c>
      <c r="AL5591">
        <v>77.554286362058804</v>
      </c>
      <c r="AM5591">
        <v>93.080842139593997</v>
      </c>
      <c r="AN5591">
        <v>0.99999999940508999</v>
      </c>
    </row>
    <row r="5592" spans="1:40" x14ac:dyDescent="0.25">
      <c r="A5592" t="str">
        <f>"20190303170646309"</f>
        <v>20190303170646309</v>
      </c>
      <c r="B5592" t="str">
        <f>"1551604006300233"</f>
        <v>1551604006300233</v>
      </c>
      <c r="C5592" t="s">
        <v>40</v>
      </c>
      <c r="D5592">
        <v>6.0172489999999996</v>
      </c>
      <c r="E5592">
        <v>0.46876790000000002</v>
      </c>
      <c r="F5592" t="s">
        <v>71</v>
      </c>
      <c r="G5592">
        <v>-199.7045</v>
      </c>
      <c r="H5592" s="1">
        <v>-5.8914320000000001E-6</v>
      </c>
      <c r="I5592">
        <v>-61.487160000000003</v>
      </c>
      <c r="J5592">
        <v>-219.6326</v>
      </c>
      <c r="K5592">
        <v>1.1222190000000001</v>
      </c>
      <c r="L5592">
        <v>-63.838200000000001</v>
      </c>
      <c r="M5592">
        <v>0.99944980000000005</v>
      </c>
      <c r="N5592">
        <v>-1.373863E-2</v>
      </c>
      <c r="O5592">
        <v>-3.0192730000000001E-2</v>
      </c>
      <c r="P5592">
        <v>0.97917589999999999</v>
      </c>
      <c r="Q5592">
        <v>0.2017216</v>
      </c>
      <c r="R5592">
        <v>2.2870350000000001E-2</v>
      </c>
      <c r="S5592">
        <v>3.0917210000000002</v>
      </c>
      <c r="T5592">
        <v>-0.17240800000000001</v>
      </c>
      <c r="U5592">
        <v>0.36041260000000003</v>
      </c>
      <c r="V5592">
        <v>-5.3017300000000003E-2</v>
      </c>
      <c r="W5592">
        <v>0.21499489999999999</v>
      </c>
      <c r="X5592">
        <v>0.97517500000000001</v>
      </c>
      <c r="Y5592">
        <v>-0.1454241</v>
      </c>
      <c r="Z5592">
        <v>6.305494E-3</v>
      </c>
      <c r="AA5592">
        <v>0.98934929999999999</v>
      </c>
      <c r="AB5592">
        <v>37</v>
      </c>
      <c r="AC5592">
        <v>19.928100000000001</v>
      </c>
      <c r="AD5592">
        <v>-1.1222248914319899</v>
      </c>
      <c r="AE5592">
        <v>2.3510399999999998</v>
      </c>
      <c r="AF5592">
        <v>-2.94250513496053</v>
      </c>
      <c r="AG5592">
        <v>-1.1222248914319899</v>
      </c>
      <c r="AH5592">
        <v>19.786136881379001</v>
      </c>
      <c r="AI5592">
        <v>93.210970874937502</v>
      </c>
      <c r="AJ5592">
        <v>98.458774838980403</v>
      </c>
      <c r="AK5592">
        <v>20.035192483849102</v>
      </c>
      <c r="AL5592">
        <v>77.584771407112697</v>
      </c>
      <c r="AM5592">
        <v>93.111933703481796</v>
      </c>
      <c r="AN5592">
        <v>0.99999996087514897</v>
      </c>
    </row>
    <row r="5593" spans="1:40" x14ac:dyDescent="0.25">
      <c r="A5593" t="str">
        <f>"20190303170646320"</f>
        <v>20190303170646320</v>
      </c>
      <c r="B5593" t="str">
        <f>"1551604006310969"</f>
        <v>1551604006310969</v>
      </c>
      <c r="C5593" t="s">
        <v>40</v>
      </c>
      <c r="D5593">
        <v>6.0187629999999999</v>
      </c>
      <c r="E5593">
        <v>0.46874080000000001</v>
      </c>
      <c r="F5593" t="s">
        <v>71</v>
      </c>
      <c r="G5593">
        <v>-199.7714</v>
      </c>
      <c r="H5593" s="1">
        <v>-5.8650739999999997E-6</v>
      </c>
      <c r="I5593">
        <v>-61.502589999999998</v>
      </c>
      <c r="J5593">
        <v>-219.4401</v>
      </c>
      <c r="K5593">
        <v>1.1223479999999999</v>
      </c>
      <c r="L5593">
        <v>-63.843319999999999</v>
      </c>
      <c r="M5593">
        <v>0.99947580000000003</v>
      </c>
      <c r="N5593">
        <v>-1.3763360000000001E-2</v>
      </c>
      <c r="O5593">
        <v>-2.9301549999999999E-2</v>
      </c>
      <c r="P5593">
        <v>0.97916080000000005</v>
      </c>
      <c r="Q5593">
        <v>0.20163890000000001</v>
      </c>
      <c r="R5593">
        <v>2.4207780000000002E-2</v>
      </c>
      <c r="S5593">
        <v>3.0912929999999998</v>
      </c>
      <c r="T5593">
        <v>-0.1746684</v>
      </c>
      <c r="U5593">
        <v>0.3635254</v>
      </c>
      <c r="V5593">
        <v>-5.354971E-2</v>
      </c>
      <c r="W5593">
        <v>0.214918</v>
      </c>
      <c r="X5593">
        <v>0.97516290000000005</v>
      </c>
      <c r="Y5593">
        <v>-0.14553329999999901</v>
      </c>
      <c r="Z5593">
        <v>6.3478220000000004E-3</v>
      </c>
      <c r="AA5593">
        <v>0.98933300000000002</v>
      </c>
      <c r="AB5593">
        <v>37</v>
      </c>
      <c r="AC5593">
        <v>19.668700000000001</v>
      </c>
      <c r="AD5593">
        <v>-1.1223538650739999</v>
      </c>
      <c r="AE5593">
        <v>2.34072999999999</v>
      </c>
      <c r="AF5593">
        <v>-2.9067699793970099</v>
      </c>
      <c r="AG5593">
        <v>-1.1223538650739999</v>
      </c>
      <c r="AH5593">
        <v>19.528957733295499</v>
      </c>
      <c r="AI5593">
        <v>93.253478599060898</v>
      </c>
      <c r="AJ5593">
        <v>98.465983350526201</v>
      </c>
      <c r="AK5593">
        <v>19.775974819472498</v>
      </c>
      <c r="AL5593">
        <v>77.5892834068284</v>
      </c>
      <c r="AM5593">
        <v>93.1431609184758</v>
      </c>
      <c r="AN5593">
        <v>0.99999999985074695</v>
      </c>
    </row>
    <row r="5594" spans="1:40" x14ac:dyDescent="0.25">
      <c r="A5594" t="str">
        <f>"20190303170646331"</f>
        <v>20190303170646331</v>
      </c>
      <c r="B5594" t="str">
        <f>"1551604006320730"</f>
        <v>1551604006320730</v>
      </c>
      <c r="C5594" t="s">
        <v>40</v>
      </c>
      <c r="D5594">
        <v>5.9990709999999998</v>
      </c>
      <c r="E5594">
        <v>0.46863470000000002</v>
      </c>
      <c r="F5594" t="s">
        <v>71</v>
      </c>
      <c r="G5594">
        <v>-199.7276</v>
      </c>
      <c r="H5594" s="1">
        <v>-5.88273E-6</v>
      </c>
      <c r="I5594">
        <v>-61.499299999999998</v>
      </c>
      <c r="J5594">
        <v>-219.2697</v>
      </c>
      <c r="K5594">
        <v>1.1224700000000001</v>
      </c>
      <c r="L5594">
        <v>-63.847560000000001</v>
      </c>
      <c r="M5594">
        <v>0.99950119999999998</v>
      </c>
      <c r="N5594">
        <v>-1.378382E-2</v>
      </c>
      <c r="O5594">
        <v>-2.8413000000000001E-2</v>
      </c>
      <c r="P5594">
        <v>0.9790335</v>
      </c>
      <c r="Q5594">
        <v>0.20214070000000001</v>
      </c>
      <c r="R5594">
        <v>2.5149990000000001E-2</v>
      </c>
      <c r="S5594">
        <v>3.0910190000000002</v>
      </c>
      <c r="T5594">
        <v>-0.17599049999999999</v>
      </c>
      <c r="U5594">
        <v>0.36755369999999998</v>
      </c>
      <c r="V5594">
        <v>-5.3682649999999998E-2</v>
      </c>
      <c r="W5594">
        <v>0.2154218</v>
      </c>
      <c r="X5594">
        <v>0.97504440000000003</v>
      </c>
      <c r="Y5594">
        <v>-0.14593110000000001</v>
      </c>
      <c r="Z5594">
        <v>6.3681469999999898E-3</v>
      </c>
      <c r="AA5594">
        <v>0.98927430000000005</v>
      </c>
      <c r="AB5594">
        <v>37</v>
      </c>
      <c r="AC5594">
        <v>19.542100000000001</v>
      </c>
      <c r="AD5594">
        <v>-1.1224758827299901</v>
      </c>
      <c r="AE5594">
        <v>2.34825999999999</v>
      </c>
      <c r="AF5594">
        <v>-2.89320475467157</v>
      </c>
      <c r="AG5594">
        <v>-1.1224758827299901</v>
      </c>
      <c r="AH5594">
        <v>19.404373204523299</v>
      </c>
      <c r="AI5594">
        <v>93.274555064601799</v>
      </c>
      <c r="AJ5594">
        <v>98.480364183309405</v>
      </c>
      <c r="AK5594">
        <v>19.650961435008401</v>
      </c>
      <c r="AL5594">
        <v>77.559725199812902</v>
      </c>
      <c r="AM5594">
        <v>93.151330450555093</v>
      </c>
      <c r="AN5594">
        <v>0.99999998039881099</v>
      </c>
    </row>
    <row r="5595" spans="1:40" x14ac:dyDescent="0.25">
      <c r="A5595" t="str">
        <f>"20190303170646342"</f>
        <v>20190303170646342</v>
      </c>
      <c r="B5595" t="str">
        <f>"1551604006330489"</f>
        <v>1551604006330489</v>
      </c>
      <c r="C5595" t="s">
        <v>40</v>
      </c>
      <c r="D5595">
        <v>6.0155960000000004</v>
      </c>
      <c r="E5595">
        <v>0.46865089999999998</v>
      </c>
      <c r="F5595" t="s">
        <v>71</v>
      </c>
      <c r="G5595">
        <v>-199.40880000000001</v>
      </c>
      <c r="H5595" s="1">
        <v>-6.0103519999999996E-6</v>
      </c>
      <c r="I5595">
        <v>-61.460599999999999</v>
      </c>
      <c r="J5595">
        <v>-219.07919999999999</v>
      </c>
      <c r="K5595">
        <v>1.1226119999999999</v>
      </c>
      <c r="L5595">
        <v>-63.852170000000001</v>
      </c>
      <c r="M5595">
        <v>0.99952960000000002</v>
      </c>
      <c r="N5595">
        <v>-1.3805960000000001E-2</v>
      </c>
      <c r="O5595">
        <v>-2.7386029999999999E-2</v>
      </c>
      <c r="P5595">
        <v>0.97887349999999995</v>
      </c>
      <c r="Q5595">
        <v>0.2028142</v>
      </c>
      <c r="R5595">
        <v>2.5950129999999998E-2</v>
      </c>
      <c r="S5595">
        <v>3.0907589999999998</v>
      </c>
      <c r="T5595">
        <v>-0.1746801</v>
      </c>
      <c r="U5595">
        <v>0.37146000000000001</v>
      </c>
      <c r="V5595">
        <v>-5.3547520000000001E-2</v>
      </c>
      <c r="W5595">
        <v>0.2160984</v>
      </c>
      <c r="X5595">
        <v>0.97490209999999999</v>
      </c>
      <c r="Y5595">
        <v>-0.14616189999999901</v>
      </c>
      <c r="Z5595">
        <v>6.2909489999999997E-3</v>
      </c>
      <c r="AA5595">
        <v>0.98924069999999997</v>
      </c>
      <c r="AB5595">
        <v>37</v>
      </c>
      <c r="AC5595">
        <v>19.670399999999901</v>
      </c>
      <c r="AD5595">
        <v>-1.122618010352</v>
      </c>
      <c r="AE5595">
        <v>2.39156999999999</v>
      </c>
      <c r="AF5595">
        <v>-2.92004585514881</v>
      </c>
      <c r="AG5595">
        <v>-1.122618010352</v>
      </c>
      <c r="AH5595">
        <v>19.5348180589036</v>
      </c>
      <c r="AI5595">
        <v>93.252967752846203</v>
      </c>
      <c r="AJ5595">
        <v>98.501571406506898</v>
      </c>
      <c r="AK5595">
        <v>19.783732094521699</v>
      </c>
      <c r="AL5595">
        <v>77.520023756791502</v>
      </c>
      <c r="AM5595">
        <v>93.143871750597995</v>
      </c>
      <c r="AN5595">
        <v>0.99999997998255996</v>
      </c>
    </row>
    <row r="5596" spans="1:40" x14ac:dyDescent="0.25">
      <c r="A5596" t="str">
        <f>"20190303170646353"</f>
        <v>20190303170646353</v>
      </c>
      <c r="B5596" t="str">
        <f>"1551604006340249"</f>
        <v>1551604006340249</v>
      </c>
      <c r="C5596" t="s">
        <v>40</v>
      </c>
      <c r="D5596">
        <v>6.0148570000000001</v>
      </c>
      <c r="E5596">
        <v>0.46870420000000002</v>
      </c>
      <c r="F5596" t="s">
        <v>71</v>
      </c>
      <c r="G5596">
        <v>-199.05080000000001</v>
      </c>
      <c r="H5596" s="1">
        <v>-6.1541430000000002E-6</v>
      </c>
      <c r="I5596">
        <v>-61.426049999999996</v>
      </c>
      <c r="J5596">
        <v>-218.90119999999999</v>
      </c>
      <c r="K5596">
        <v>1.1227499999999999</v>
      </c>
      <c r="L5596">
        <v>-63.856110000000001</v>
      </c>
      <c r="M5596">
        <v>0.99955870000000002</v>
      </c>
      <c r="N5596">
        <v>-1.382512E-2</v>
      </c>
      <c r="O5596">
        <v>-2.6288789999999999E-2</v>
      </c>
      <c r="P5596">
        <v>0.97879450000000001</v>
      </c>
      <c r="Q5596">
        <v>0.20308870000000001</v>
      </c>
      <c r="R5596">
        <v>2.6762729999999998E-2</v>
      </c>
      <c r="S5596">
        <v>3.0906980000000002</v>
      </c>
      <c r="T5596">
        <v>-0.1732378</v>
      </c>
      <c r="U5596">
        <v>0.37438959999999999</v>
      </c>
      <c r="V5596">
        <v>-5.3355909999999999E-2</v>
      </c>
      <c r="W5596">
        <v>0.2163745</v>
      </c>
      <c r="X5596">
        <v>0.97485140000000003</v>
      </c>
      <c r="Y5596">
        <v>-0.14600859999999999</v>
      </c>
      <c r="Z5596">
        <v>6.1935749999999998E-3</v>
      </c>
      <c r="AA5596">
        <v>0.98926400000000003</v>
      </c>
      <c r="AB5596">
        <v>37</v>
      </c>
      <c r="AC5596">
        <v>19.850399999999901</v>
      </c>
      <c r="AD5596">
        <v>-1.122756154143</v>
      </c>
      <c r="AE5596">
        <v>2.4300600000000001</v>
      </c>
      <c r="AF5596">
        <v>-2.94184052449158</v>
      </c>
      <c r="AG5596">
        <v>-1.122756154143</v>
      </c>
      <c r="AH5596">
        <v>19.717501188150401</v>
      </c>
      <c r="AI5596">
        <v>93.223419883400695</v>
      </c>
      <c r="AJ5596">
        <v>98.485902082609201</v>
      </c>
      <c r="AK5596">
        <v>19.967344844969301</v>
      </c>
      <c r="AL5596">
        <v>77.503821493554497</v>
      </c>
      <c r="AM5596">
        <v>93.132807025133502</v>
      </c>
      <c r="AN5596">
        <v>1.00000001473206</v>
      </c>
    </row>
    <row r="5597" spans="1:40" x14ac:dyDescent="0.25">
      <c r="A5597" t="str">
        <f>"20190303170646366"</f>
        <v>20190303170646366</v>
      </c>
      <c r="B5597" t="str">
        <f>"1551604006350985"</f>
        <v>1551604006350985</v>
      </c>
      <c r="C5597" t="s">
        <v>40</v>
      </c>
      <c r="D5597">
        <v>6.0302600000000002</v>
      </c>
      <c r="E5597">
        <v>0.46867579999999998</v>
      </c>
      <c r="F5597" t="s">
        <v>71</v>
      </c>
      <c r="G5597">
        <v>-198.7859</v>
      </c>
      <c r="H5597" s="1">
        <v>-6.2604390000000003E-6</v>
      </c>
      <c r="I5597">
        <v>-61.398440000000001</v>
      </c>
      <c r="J5597">
        <v>-218.6985</v>
      </c>
      <c r="K5597">
        <v>1.122906</v>
      </c>
      <c r="L5597">
        <v>-63.860410000000002</v>
      </c>
      <c r="M5597">
        <v>0.99959180000000003</v>
      </c>
      <c r="N5597">
        <v>-1.3846260000000001E-2</v>
      </c>
      <c r="O5597">
        <v>-2.4995400000000001E-2</v>
      </c>
      <c r="P5597">
        <v>0.97873339999999998</v>
      </c>
      <c r="Q5597">
        <v>0.2032477</v>
      </c>
      <c r="R5597">
        <v>2.7779669999999999E-2</v>
      </c>
      <c r="S5597">
        <v>3.0905</v>
      </c>
      <c r="T5597">
        <v>-0.17249919999999999</v>
      </c>
      <c r="U5597">
        <v>0.37759399999999999</v>
      </c>
      <c r="V5597">
        <v>-5.3188489999999998E-2</v>
      </c>
      <c r="W5597">
        <v>0.21653459999999999</v>
      </c>
      <c r="X5597">
        <v>0.97482500000000005</v>
      </c>
      <c r="Y5597">
        <v>-0.14575089999999999</v>
      </c>
      <c r="Z5597">
        <v>6.1080359999999998E-3</v>
      </c>
      <c r="AA5597">
        <v>0.98930249999999997</v>
      </c>
      <c r="AB5597">
        <v>37</v>
      </c>
      <c r="AC5597">
        <v>19.912600000000001</v>
      </c>
      <c r="AD5597">
        <v>-1.1229122604390001</v>
      </c>
      <c r="AE5597">
        <v>2.4619699999999902</v>
      </c>
      <c r="AF5597">
        <v>-2.9497326056076201</v>
      </c>
      <c r="AG5597">
        <v>-1.1229122604390001</v>
      </c>
      <c r="AH5597">
        <v>19.782870060370701</v>
      </c>
      <c r="AI5597">
        <v>93.213280807395606</v>
      </c>
      <c r="AJ5597">
        <v>98.480629720079406</v>
      </c>
      <c r="AK5597">
        <v>20.0330677185183</v>
      </c>
      <c r="AL5597">
        <v>77.494425687842806</v>
      </c>
      <c r="AM5597">
        <v>93.123080811294798</v>
      </c>
      <c r="AN5597">
        <v>1.0000000145453201</v>
      </c>
    </row>
    <row r="5598" spans="1:40" x14ac:dyDescent="0.25">
      <c r="A5598" t="str">
        <f>"20190303170646379"</f>
        <v>20190303170646379</v>
      </c>
      <c r="B5598" t="str">
        <f>"1551604006370506"</f>
        <v>1551604006370506</v>
      </c>
      <c r="C5598" t="s">
        <v>40</v>
      </c>
      <c r="D5598">
        <v>6.0687030000000002</v>
      </c>
      <c r="E5598">
        <v>0.46881699999999998</v>
      </c>
      <c r="F5598" t="s">
        <v>71</v>
      </c>
      <c r="G5598">
        <v>-198.47020000000001</v>
      </c>
      <c r="H5598" s="1">
        <v>-6.3868140000000004E-6</v>
      </c>
      <c r="I5598">
        <v>-61.360759999999999</v>
      </c>
      <c r="J5598">
        <v>-218.47200000000001</v>
      </c>
      <c r="K5598">
        <v>1.123078</v>
      </c>
      <c r="L5598">
        <v>-63.864780000000003</v>
      </c>
      <c r="M5598">
        <v>0.99962989999999996</v>
      </c>
      <c r="N5598">
        <v>-1.386853E-2</v>
      </c>
      <c r="O5598">
        <v>-2.340536E-2</v>
      </c>
      <c r="P5598">
        <v>0.97877999999999998</v>
      </c>
      <c r="Q5598">
        <v>0.20280219999999999</v>
      </c>
      <c r="R5598">
        <v>2.934459E-2</v>
      </c>
      <c r="S5598">
        <v>3.0899809999999999</v>
      </c>
      <c r="T5598">
        <v>-0.1715313</v>
      </c>
      <c r="U5598">
        <v>0.38183590000000001</v>
      </c>
      <c r="V5598">
        <v>-5.3290549999999999E-2</v>
      </c>
      <c r="W5598">
        <v>0.21608910000000001</v>
      </c>
      <c r="X5598">
        <v>0.97491819999999896</v>
      </c>
      <c r="Y5598">
        <v>-0.14554</v>
      </c>
      <c r="Z5598">
        <v>6.0059400000000004E-3</v>
      </c>
      <c r="AA5598">
        <v>0.98933419999999905</v>
      </c>
      <c r="AB5598">
        <v>37</v>
      </c>
      <c r="AC5598">
        <v>20.001799999999999</v>
      </c>
      <c r="AD5598">
        <v>-1.1230843868139999</v>
      </c>
      <c r="AE5598">
        <v>2.5040200000000001</v>
      </c>
      <c r="AF5598">
        <v>-2.9623329278427999</v>
      </c>
      <c r="AG5598">
        <v>-1.1230843868139999</v>
      </c>
      <c r="AH5598">
        <v>19.876009740945499</v>
      </c>
      <c r="AI5598">
        <v>93.198773971249906</v>
      </c>
      <c r="AJ5598">
        <v>98.476999526274199</v>
      </c>
      <c r="AK5598">
        <v>20.126909800996501</v>
      </c>
      <c r="AL5598">
        <v>77.520568985884097</v>
      </c>
      <c r="AM5598">
        <v>93.128763057811</v>
      </c>
      <c r="AN5598">
        <v>0.99999993927467401</v>
      </c>
    </row>
    <row r="5599" spans="1:40" x14ac:dyDescent="0.25">
      <c r="A5599" t="str">
        <f>"20190303170646391"</f>
        <v>20190303170646391</v>
      </c>
      <c r="B5599" t="str">
        <f>"1551604006380265"</f>
        <v>1551604006380265</v>
      </c>
      <c r="C5599" t="s">
        <v>40</v>
      </c>
      <c r="D5599">
        <v>6.0409670000000002</v>
      </c>
      <c r="E5599">
        <v>0.46882180000000001</v>
      </c>
      <c r="F5599" t="s">
        <v>71</v>
      </c>
      <c r="G5599">
        <v>-198.52269999999999</v>
      </c>
      <c r="H5599" s="1">
        <v>-6.3660170000000004E-6</v>
      </c>
      <c r="I5599">
        <v>-61.370420000000003</v>
      </c>
      <c r="J5599">
        <v>-218.27940000000001</v>
      </c>
      <c r="K5599">
        <v>1.1232260000000001</v>
      </c>
      <c r="L5599">
        <v>-63.868040000000001</v>
      </c>
      <c r="M5599">
        <v>0.99966250000000001</v>
      </c>
      <c r="N5599">
        <v>-1.388664E-2</v>
      </c>
      <c r="O5599">
        <v>-2.195252E-2</v>
      </c>
      <c r="P5599">
        <v>0.97883410000000004</v>
      </c>
      <c r="Q5599">
        <v>0.2023027</v>
      </c>
      <c r="R5599">
        <v>3.094396E-2</v>
      </c>
      <c r="S5599">
        <v>3.0894780000000002</v>
      </c>
      <c r="T5599">
        <v>-0.17392769999999999</v>
      </c>
      <c r="U5599">
        <v>0.38629150000000001</v>
      </c>
      <c r="V5599">
        <v>-5.3545799999999998E-2</v>
      </c>
      <c r="W5599">
        <v>0.21558859999999999</v>
      </c>
      <c r="X5599">
        <v>0.97501510000000002</v>
      </c>
      <c r="Y5599">
        <v>-0.14552039999999999</v>
      </c>
      <c r="Z5599">
        <v>6.0194690000000004E-3</v>
      </c>
      <c r="AA5599">
        <v>0.98933689999999996</v>
      </c>
      <c r="AB5599">
        <v>37</v>
      </c>
      <c r="AC5599">
        <v>19.756699999999999</v>
      </c>
      <c r="AD5599">
        <v>-1.1232323660169901</v>
      </c>
      <c r="AE5599">
        <v>2.49762</v>
      </c>
      <c r="AF5599">
        <v>-2.9214746854677198</v>
      </c>
      <c r="AG5599">
        <v>-1.1232323660169901</v>
      </c>
      <c r="AH5599">
        <v>19.634637125876498</v>
      </c>
      <c r="AI5599">
        <v>93.238556830357794</v>
      </c>
      <c r="AJ5599">
        <v>98.463056973190504</v>
      </c>
      <c r="AK5599">
        <v>19.882546123440701</v>
      </c>
      <c r="AL5599">
        <v>77.549938813706305</v>
      </c>
      <c r="AM5599">
        <v>93.143407350212897</v>
      </c>
      <c r="AN5599">
        <v>1.0000000211878</v>
      </c>
    </row>
    <row r="5600" spans="1:40" x14ac:dyDescent="0.25">
      <c r="A5600" t="str">
        <f>"20190303170646404"</f>
        <v>20190303170646404</v>
      </c>
      <c r="B5600" t="str">
        <f>"1551604006390025"</f>
        <v>1551604006390025</v>
      </c>
      <c r="C5600" t="s">
        <v>40</v>
      </c>
      <c r="D5600">
        <v>5.9875369999999997</v>
      </c>
      <c r="E5600">
        <v>0.46877740000000001</v>
      </c>
      <c r="F5600" t="s">
        <v>71</v>
      </c>
      <c r="G5600">
        <v>-198.54060000000001</v>
      </c>
      <c r="H5600" s="1">
        <v>-6.3585439999999997E-6</v>
      </c>
      <c r="I5600">
        <v>-61.367109999999997</v>
      </c>
      <c r="J5600">
        <v>-218.07079999999999</v>
      </c>
      <c r="K5600">
        <v>1.1233879999999901</v>
      </c>
      <c r="L5600">
        <v>-63.871339999999996</v>
      </c>
      <c r="M5600">
        <v>0.99969680000000005</v>
      </c>
      <c r="N5600">
        <v>-1.390543E-2</v>
      </c>
      <c r="O5600">
        <v>-2.0321309999999999E-2</v>
      </c>
      <c r="P5600">
        <v>0.97900560000000003</v>
      </c>
      <c r="Q5600">
        <v>0.20114000000000001</v>
      </c>
      <c r="R5600">
        <v>3.3029669999999997E-2</v>
      </c>
      <c r="S5600">
        <v>3.0888209999999998</v>
      </c>
      <c r="T5600">
        <v>-0.17576849999999999</v>
      </c>
      <c r="U5600">
        <v>0.39135740000000002</v>
      </c>
      <c r="V5600">
        <v>-5.4116980000000002E-2</v>
      </c>
      <c r="W5600">
        <v>0.214423</v>
      </c>
      <c r="X5600">
        <v>0.97524060000000001</v>
      </c>
      <c r="Y5600">
        <v>-0.14552470000000001</v>
      </c>
      <c r="Z5600">
        <v>6.007559E-3</v>
      </c>
      <c r="AA5600">
        <v>0.9893364</v>
      </c>
      <c r="AB5600">
        <v>37</v>
      </c>
      <c r="AC5600">
        <v>19.530199999999901</v>
      </c>
      <c r="AD5600">
        <v>-1.1233943585439901</v>
      </c>
      <c r="AE5600">
        <v>2.5042300000000002</v>
      </c>
      <c r="AF5600">
        <v>-2.8912190972788601</v>
      </c>
      <c r="AG5600">
        <v>-1.1233943585439901</v>
      </c>
      <c r="AH5600">
        <v>19.4120831727009</v>
      </c>
      <c r="AI5600">
        <v>93.276006831953197</v>
      </c>
      <c r="AJ5600">
        <v>98.471311454563605</v>
      </c>
      <c r="AK5600">
        <v>19.658335022507298</v>
      </c>
      <c r="AL5600">
        <v>77.618322424211399</v>
      </c>
      <c r="AM5600">
        <v>93.176137096002094</v>
      </c>
      <c r="AN5600">
        <v>1.0000000491708301</v>
      </c>
    </row>
    <row r="5601" spans="1:40" x14ac:dyDescent="0.25">
      <c r="A5601" t="str">
        <f>"20190303170646421"</f>
        <v>20190303170646421</v>
      </c>
      <c r="B5601" t="str">
        <f>"1551604006410522"</f>
        <v>1551604006410522</v>
      </c>
      <c r="C5601" t="s">
        <v>40</v>
      </c>
      <c r="D5601">
        <v>6.0443920000000002</v>
      </c>
      <c r="E5601">
        <v>0.46882390000000002</v>
      </c>
      <c r="F5601" t="s">
        <v>71</v>
      </c>
      <c r="G5601">
        <v>-198.86490000000001</v>
      </c>
      <c r="H5601" s="1">
        <v>-6.2280579999999998E-6</v>
      </c>
      <c r="I5601">
        <v>-61.395359999999997</v>
      </c>
      <c r="J5601">
        <v>-217.7825</v>
      </c>
      <c r="K5601">
        <v>1.1236109999999999</v>
      </c>
      <c r="L5601">
        <v>-63.875059999999998</v>
      </c>
      <c r="M5601">
        <v>0.9997433</v>
      </c>
      <c r="N5601">
        <v>-1.3929189999999999E-2</v>
      </c>
      <c r="O5601">
        <v>-1.7876079999999999E-2</v>
      </c>
      <c r="P5601">
        <v>0.97922500000000001</v>
      </c>
      <c r="Q5601">
        <v>0.19929240000000001</v>
      </c>
      <c r="R5601">
        <v>3.743208E-2</v>
      </c>
      <c r="S5601">
        <v>3.0880130000000001</v>
      </c>
      <c r="T5601">
        <v>-0.18062529999999999</v>
      </c>
      <c r="U5601">
        <v>0.39810180000000001</v>
      </c>
      <c r="V5601">
        <v>-5.6232440000000002E-2</v>
      </c>
      <c r="W5601">
        <v>0.2125619</v>
      </c>
      <c r="X5601">
        <v>0.97552819999999996</v>
      </c>
      <c r="Y5601">
        <v>-0.14525009999999999</v>
      </c>
      <c r="Z5601">
        <v>6.0367440000000001E-3</v>
      </c>
      <c r="AA5601">
        <v>0.98937649999999999</v>
      </c>
      <c r="AB5601">
        <v>37</v>
      </c>
      <c r="AC5601">
        <v>18.9176</v>
      </c>
      <c r="AD5601">
        <v>-1.1236172280579999</v>
      </c>
      <c r="AE5601">
        <v>2.4796999999999998</v>
      </c>
      <c r="AF5601">
        <v>-2.80777103650603</v>
      </c>
      <c r="AG5601">
        <v>-1.1236172280579999</v>
      </c>
      <c r="AH5601">
        <v>18.805025069262602</v>
      </c>
      <c r="AI5601">
        <v>93.382007248559802</v>
      </c>
      <c r="AJ5601">
        <v>98.492075929673504</v>
      </c>
      <c r="AK5601">
        <v>19.0466548696674</v>
      </c>
      <c r="AL5601">
        <v>77.727470963031806</v>
      </c>
      <c r="AM5601">
        <v>93.299053894453294</v>
      </c>
      <c r="AN5601">
        <v>0.99999995881760095</v>
      </c>
    </row>
    <row r="5602" spans="1:40" x14ac:dyDescent="0.25">
      <c r="A5602" t="str">
        <f>"20190303170646431"</f>
        <v>20190303170646431</v>
      </c>
      <c r="B5602" t="str">
        <f>"1551604006420282"</f>
        <v>1551604006420282</v>
      </c>
      <c r="C5602" t="s">
        <v>40</v>
      </c>
      <c r="D5602">
        <v>6.3129960000000001</v>
      </c>
      <c r="E5602">
        <v>0.46865040000000002</v>
      </c>
      <c r="F5602" t="s">
        <v>71</v>
      </c>
      <c r="G5602">
        <v>-199.39089999999999</v>
      </c>
      <c r="H5602" s="1">
        <v>-6.0156740000000004E-6</v>
      </c>
      <c r="I5602">
        <v>-61.426929999999999</v>
      </c>
      <c r="J5602">
        <v>-217.61510000000001</v>
      </c>
      <c r="K5602">
        <v>1.1237330000000001</v>
      </c>
      <c r="L5602">
        <v>-63.876769999999901</v>
      </c>
      <c r="M5602">
        <v>0.99976900000000002</v>
      </c>
      <c r="N5602">
        <v>-1.3942E-2</v>
      </c>
      <c r="O5602">
        <v>-1.6366619999999998E-2</v>
      </c>
      <c r="P5602">
        <v>0.97925410000000002</v>
      </c>
      <c r="Q5602">
        <v>0.19858999999999999</v>
      </c>
      <c r="R5602">
        <v>4.0291019999999997E-2</v>
      </c>
      <c r="S5602">
        <v>3.0863339999999999</v>
      </c>
      <c r="T5602">
        <v>-0.1885568</v>
      </c>
      <c r="U5602">
        <v>0.41082760000000001</v>
      </c>
      <c r="V5602">
        <v>-5.7670989999999998E-2</v>
      </c>
      <c r="W5602">
        <v>0.2118476</v>
      </c>
      <c r="X5602">
        <v>0.97559960000000001</v>
      </c>
      <c r="Y5602">
        <v>-0.14780380000000001</v>
      </c>
      <c r="Z5602">
        <v>6.2949470000000004E-3</v>
      </c>
      <c r="AA5602">
        <v>0.98899669999999895</v>
      </c>
      <c r="AB5602">
        <v>37</v>
      </c>
      <c r="AC5602">
        <v>18.2242</v>
      </c>
      <c r="AD5602">
        <v>-1.1237390156739999</v>
      </c>
      <c r="AE5602">
        <v>2.44983999999998</v>
      </c>
      <c r="AF5602">
        <v>-2.73758523856106</v>
      </c>
      <c r="AG5602">
        <v>-1.1237390156739999</v>
      </c>
      <c r="AH5602">
        <v>18.1140086197675</v>
      </c>
      <c r="AI5602">
        <v>93.510150556480795</v>
      </c>
      <c r="AJ5602">
        <v>98.594121375363699</v>
      </c>
      <c r="AK5602">
        <v>18.354140420917201</v>
      </c>
      <c r="AL5602">
        <v>77.769351218781097</v>
      </c>
      <c r="AM5602">
        <v>93.3830103377733</v>
      </c>
      <c r="AN5602">
        <v>0.99999996411674896</v>
      </c>
    </row>
    <row r="5603" spans="1:40" x14ac:dyDescent="0.25">
      <c r="A5603" t="str">
        <f>"20190303170646442"</f>
        <v>20190303170646442</v>
      </c>
      <c r="B5603" t="str">
        <f>"1551604006431019"</f>
        <v>1551604006431019</v>
      </c>
      <c r="C5603" t="s">
        <v>40</v>
      </c>
      <c r="D5603">
        <v>6.0594479999999997</v>
      </c>
      <c r="E5603">
        <v>0.46842610000000001</v>
      </c>
      <c r="F5603" t="s">
        <v>71</v>
      </c>
      <c r="G5603">
        <v>-199.6593</v>
      </c>
      <c r="H5603" s="1">
        <v>-5.9064620000000003E-6</v>
      </c>
      <c r="I5603">
        <v>-61.428539999999998</v>
      </c>
      <c r="J5603">
        <v>-217.44049999999999</v>
      </c>
      <c r="K5603">
        <v>1.123853</v>
      </c>
      <c r="L5603">
        <v>-63.878450000000001</v>
      </c>
      <c r="M5603">
        <v>0.9997935</v>
      </c>
      <c r="N5603">
        <v>-1.395483E-2</v>
      </c>
      <c r="O5603">
        <v>-1.477562E-2</v>
      </c>
      <c r="P5603">
        <v>0.97908980000000001</v>
      </c>
      <c r="Q5603">
        <v>0.1987429</v>
      </c>
      <c r="R5603">
        <v>4.3411350000000001E-2</v>
      </c>
      <c r="S5603">
        <v>3.0854029999999999</v>
      </c>
      <c r="T5603">
        <v>-0.19309470000000001</v>
      </c>
      <c r="U5603">
        <v>0.42068480000000003</v>
      </c>
      <c r="V5603">
        <v>-5.9295929999999997E-2</v>
      </c>
      <c r="W5603">
        <v>0.21198410000000001</v>
      </c>
      <c r="X5603">
        <v>0.97547260000000002</v>
      </c>
      <c r="Y5603">
        <v>-0.1493544</v>
      </c>
      <c r="Z5603">
        <v>6.4104419999999997E-3</v>
      </c>
      <c r="AA5603">
        <v>0.9887629</v>
      </c>
      <c r="AB5603">
        <v>37</v>
      </c>
      <c r="AC5603">
        <v>17.781199999999899</v>
      </c>
      <c r="AD5603">
        <v>-1.1238589064619999</v>
      </c>
      <c r="AE5603">
        <v>2.4499099999999898</v>
      </c>
      <c r="AF5603">
        <v>-2.7018040816028002</v>
      </c>
      <c r="AG5603">
        <v>-1.1238589064619999</v>
      </c>
      <c r="AH5603">
        <v>17.6737672106653</v>
      </c>
      <c r="AI5603">
        <v>93.5968144630842</v>
      </c>
      <c r="AJ5603">
        <v>98.691566364541899</v>
      </c>
      <c r="AK5603">
        <v>17.914375555787199</v>
      </c>
      <c r="AL5603">
        <v>77.761349402741203</v>
      </c>
      <c r="AM5603">
        <v>93.478551075472794</v>
      </c>
      <c r="AN5603">
        <v>1.0000000296590601</v>
      </c>
    </row>
    <row r="5604" spans="1:40" x14ac:dyDescent="0.25">
      <c r="A5604" t="str">
        <f>"20190303170646453"</f>
        <v>20190303170646453</v>
      </c>
      <c r="B5604" t="str">
        <f>"1551604006440778"</f>
        <v>1551604006440778</v>
      </c>
      <c r="C5604" t="s">
        <v>40</v>
      </c>
      <c r="D5604">
        <v>6.055288</v>
      </c>
      <c r="E5604">
        <v>0.46827679999999999</v>
      </c>
      <c r="F5604" t="s">
        <v>71</v>
      </c>
      <c r="G5604">
        <v>-199.601</v>
      </c>
      <c r="H5604" s="1">
        <v>-5.9274969999999997E-6</v>
      </c>
      <c r="I5604">
        <v>-61.382080000000002</v>
      </c>
      <c r="J5604">
        <v>-217.26570000000001</v>
      </c>
      <c r="K5604">
        <v>1.1239730000000001</v>
      </c>
      <c r="L5604">
        <v>-63.8795199999999</v>
      </c>
      <c r="M5604">
        <v>0.99981690000000001</v>
      </c>
      <c r="N5604">
        <v>-1.396672E-2</v>
      </c>
      <c r="O5604">
        <v>-1.308375E-2</v>
      </c>
      <c r="P5604">
        <v>0.97881450000000003</v>
      </c>
      <c r="Q5604">
        <v>0.19948879999999999</v>
      </c>
      <c r="R5604">
        <v>4.6113359999999999E-2</v>
      </c>
      <c r="S5604">
        <v>3.0843660000000002</v>
      </c>
      <c r="T5604">
        <v>-0.1943096</v>
      </c>
      <c r="U5604">
        <v>0.4316101</v>
      </c>
      <c r="V5604">
        <v>-6.0403350000000001E-2</v>
      </c>
      <c r="W5604">
        <v>0.2127143</v>
      </c>
      <c r="X5604">
        <v>0.97524569999999999</v>
      </c>
      <c r="Y5604">
        <v>-0.1511556</v>
      </c>
      <c r="Z5604">
        <v>6.4335039999999996E-3</v>
      </c>
      <c r="AA5604">
        <v>0.98848899999999995</v>
      </c>
      <c r="AB5604">
        <v>37</v>
      </c>
      <c r="AC5604">
        <v>17.6647</v>
      </c>
      <c r="AD5604">
        <v>-1.12397892749699</v>
      </c>
      <c r="AE5604">
        <v>2.4974399999999899</v>
      </c>
      <c r="AF5604">
        <v>-2.7175824742989501</v>
      </c>
      <c r="AG5604">
        <v>-1.12397892749699</v>
      </c>
      <c r="AH5604">
        <v>17.560805364914099</v>
      </c>
      <c r="AI5604">
        <v>93.6192547923267</v>
      </c>
      <c r="AJ5604">
        <v>98.796897021386599</v>
      </c>
      <c r="AK5604">
        <v>17.8053494264636</v>
      </c>
      <c r="AL5604">
        <v>77.718535944615198</v>
      </c>
      <c r="AM5604">
        <v>93.544175321668305</v>
      </c>
      <c r="AN5604">
        <v>1.0000000567420899</v>
      </c>
    </row>
    <row r="5605" spans="1:40" x14ac:dyDescent="0.25">
      <c r="A5605" t="str">
        <f>"20190303170646465"</f>
        <v>20190303170646465</v>
      </c>
      <c r="B5605" t="str">
        <f>"1551604006450537"</f>
        <v>1551604006450537</v>
      </c>
      <c r="C5605" t="s">
        <v>40</v>
      </c>
      <c r="D5605">
        <v>6.0561740000000004</v>
      </c>
      <c r="E5605">
        <v>0.4682789</v>
      </c>
      <c r="F5605" t="s">
        <v>71</v>
      </c>
      <c r="G5605">
        <v>-199.3766</v>
      </c>
      <c r="H5605" s="1">
        <v>-6.0154470000000003E-6</v>
      </c>
      <c r="I5605">
        <v>-61.322679999999998</v>
      </c>
      <c r="J5605">
        <v>-217.0909</v>
      </c>
      <c r="K5605">
        <v>1.12409</v>
      </c>
      <c r="L5605">
        <v>-63.880519999999997</v>
      </c>
      <c r="M5605">
        <v>0.99983759999999999</v>
      </c>
      <c r="N5605">
        <v>-1.397807E-2</v>
      </c>
      <c r="O5605">
        <v>-1.1380360000000001E-2</v>
      </c>
      <c r="P5605">
        <v>0.97842289999999998</v>
      </c>
      <c r="Q5605">
        <v>0.20082430000000001</v>
      </c>
      <c r="R5605">
        <v>4.8565659999999997E-2</v>
      </c>
      <c r="S5605">
        <v>3.0836329999999998</v>
      </c>
      <c r="T5605">
        <v>-0.193746</v>
      </c>
      <c r="U5605">
        <v>0.44073489999999999</v>
      </c>
      <c r="V5605">
        <v>-6.1253000000000002E-2</v>
      </c>
      <c r="W5605">
        <v>0.21403359999999999</v>
      </c>
      <c r="X5605">
        <v>0.97490390000000005</v>
      </c>
      <c r="Y5605">
        <v>-0.15237249999999999</v>
      </c>
      <c r="Z5605">
        <v>6.382357E-3</v>
      </c>
      <c r="AA5605">
        <v>0.98830249999999997</v>
      </c>
      <c r="AB5605">
        <v>37</v>
      </c>
      <c r="AC5605">
        <v>17.714300000000001</v>
      </c>
      <c r="AD5605">
        <v>-1.1240960154469899</v>
      </c>
      <c r="AE5605">
        <v>2.5578399999999899</v>
      </c>
      <c r="AF5605">
        <v>-2.7484477429310199</v>
      </c>
      <c r="AG5605">
        <v>-1.1240960154469899</v>
      </c>
      <c r="AH5605">
        <v>17.6145592022059</v>
      </c>
      <c r="AI5605">
        <v>93.607915205120193</v>
      </c>
      <c r="AJ5605">
        <v>98.868506718627401</v>
      </c>
      <c r="AK5605">
        <v>17.863097512345998</v>
      </c>
      <c r="AL5605">
        <v>77.641162610652898</v>
      </c>
      <c r="AM5605">
        <v>93.595155611607495</v>
      </c>
      <c r="AN5605">
        <v>0.99999996308658401</v>
      </c>
    </row>
    <row r="5606" spans="1:40" x14ac:dyDescent="0.25">
      <c r="A5606" t="str">
        <f>"20190303170646476"</f>
        <v>20190303170646476</v>
      </c>
      <c r="B5606" t="str">
        <f>"1551604006470057"</f>
        <v>1551604006470057</v>
      </c>
      <c r="C5606" t="s">
        <v>40</v>
      </c>
      <c r="D5606">
        <v>6.0295920000000001</v>
      </c>
      <c r="E5606">
        <v>0.46833399999999997</v>
      </c>
      <c r="F5606" t="s">
        <v>71</v>
      </c>
      <c r="G5606">
        <v>-198.82409999999999</v>
      </c>
      <c r="H5606" s="1">
        <v>-6.2346969999999999E-6</v>
      </c>
      <c r="I5606">
        <v>-61.223100000000002</v>
      </c>
      <c r="J5606">
        <v>-216.88579999999999</v>
      </c>
      <c r="K5606">
        <v>1.1242259999999999</v>
      </c>
      <c r="L5606">
        <v>-63.881010000000003</v>
      </c>
      <c r="M5606">
        <v>0.99985919999999895</v>
      </c>
      <c r="N5606">
        <v>-1.3990539999999999E-2</v>
      </c>
      <c r="O5606">
        <v>-9.279608E-3</v>
      </c>
      <c r="P5606">
        <v>0.9781147</v>
      </c>
      <c r="Q5606">
        <v>0.20178570000000001</v>
      </c>
      <c r="R5606">
        <v>5.0738310000000002E-2</v>
      </c>
      <c r="S5606">
        <v>3.08284</v>
      </c>
      <c r="T5606">
        <v>-0.18971060000000001</v>
      </c>
      <c r="U5606">
        <v>0.4484863</v>
      </c>
      <c r="V5606">
        <v>-6.144115E-2</v>
      </c>
      <c r="W5606">
        <v>0.2149846</v>
      </c>
      <c r="X5606">
        <v>0.97468279999999996</v>
      </c>
      <c r="Y5606">
        <v>-0.15278149999999999</v>
      </c>
      <c r="Z5606">
        <v>6.1861349999999997E-3</v>
      </c>
      <c r="AA5606">
        <v>0.98824060000000002</v>
      </c>
      <c r="AB5606">
        <v>37</v>
      </c>
      <c r="AC5606">
        <v>18.061699999999998</v>
      </c>
      <c r="AD5606">
        <v>-1.124232234697</v>
      </c>
      <c r="AE5606">
        <v>2.65790999999999</v>
      </c>
      <c r="AF5606">
        <v>-2.8147433660072698</v>
      </c>
      <c r="AG5606">
        <v>-1.124232234697</v>
      </c>
      <c r="AH5606">
        <v>17.9681168318698</v>
      </c>
      <c r="AI5606">
        <v>93.537198519975107</v>
      </c>
      <c r="AJ5606">
        <v>98.903147749790506</v>
      </c>
      <c r="AK5606">
        <v>18.2219620463258</v>
      </c>
      <c r="AL5606">
        <v>77.5853758857928</v>
      </c>
      <c r="AM5606">
        <v>93.606985580177593</v>
      </c>
      <c r="AN5606">
        <v>0.999999976883161</v>
      </c>
    </row>
    <row r="5607" spans="1:40" x14ac:dyDescent="0.25">
      <c r="A5607" t="str">
        <f>"20190303170646486"</f>
        <v>20190303170646486</v>
      </c>
      <c r="B5607" t="str">
        <f>"1551604006480793"</f>
        <v>1551604006480793</v>
      </c>
      <c r="C5607" t="s">
        <v>40</v>
      </c>
      <c r="D5607">
        <v>6.0232830000000002</v>
      </c>
      <c r="E5607">
        <v>0.4683619</v>
      </c>
      <c r="F5607" t="s">
        <v>71</v>
      </c>
      <c r="G5607">
        <v>-198.31989999999999</v>
      </c>
      <c r="H5607" s="1">
        <v>-6.4351940000000001E-6</v>
      </c>
      <c r="I5607">
        <v>-61.139279999999999</v>
      </c>
      <c r="J5607">
        <v>-216.72139999999999</v>
      </c>
      <c r="K5607">
        <v>1.1243289999999999</v>
      </c>
      <c r="L5607">
        <v>-63.881230000000002</v>
      </c>
      <c r="M5607">
        <v>0.99987340000000002</v>
      </c>
      <c r="N5607">
        <v>-1.400002E-2</v>
      </c>
      <c r="O5607">
        <v>-7.5705629999999998E-3</v>
      </c>
      <c r="P5607">
        <v>0.9779639</v>
      </c>
      <c r="Q5607">
        <v>0.2020757</v>
      </c>
      <c r="R5607">
        <v>5.2460590000000001E-2</v>
      </c>
      <c r="S5607">
        <v>3.0820159999999999</v>
      </c>
      <c r="T5607">
        <v>-0.1866273</v>
      </c>
      <c r="U5607">
        <v>0.45513920000000002</v>
      </c>
      <c r="V5607">
        <v>-6.1544590000000003E-2</v>
      </c>
      <c r="W5607">
        <v>0.21526770000000001</v>
      </c>
      <c r="X5607">
        <v>0.97461379999999997</v>
      </c>
      <c r="Y5607">
        <v>-0.153229799999999</v>
      </c>
      <c r="Z5607">
        <v>6.0400369999999998E-3</v>
      </c>
      <c r="AA5607">
        <v>0.9881721</v>
      </c>
      <c r="AB5607">
        <v>37</v>
      </c>
      <c r="AC5607">
        <v>18.401499999999999</v>
      </c>
      <c r="AD5607">
        <v>-1.124335435194</v>
      </c>
      <c r="AE5607">
        <v>2.7419499999999899</v>
      </c>
      <c r="AF5607">
        <v>-2.8707105136581301</v>
      </c>
      <c r="AG5607">
        <v>-1.124335435194</v>
      </c>
      <c r="AH5607">
        <v>18.3133294647531</v>
      </c>
      <c r="AI5607">
        <v>93.470948839924304</v>
      </c>
      <c r="AJ5607">
        <v>98.908915675520007</v>
      </c>
      <c r="AK5607">
        <v>18.571029726664399</v>
      </c>
      <c r="AL5607">
        <v>77.568766719335699</v>
      </c>
      <c r="AM5607">
        <v>93.613297208627102</v>
      </c>
      <c r="AN5607">
        <v>0.99999998918599797</v>
      </c>
    </row>
    <row r="5608" spans="1:40" x14ac:dyDescent="0.25">
      <c r="A5608" t="str">
        <f>"20190303170646498"</f>
        <v>20190303170646498</v>
      </c>
      <c r="B5608" t="str">
        <f>"1551604006490553"</f>
        <v>1551604006490553</v>
      </c>
      <c r="C5608" t="s">
        <v>40</v>
      </c>
      <c r="D5608">
        <v>6.0885030000000002</v>
      </c>
      <c r="E5608">
        <v>0.46839579999999997</v>
      </c>
      <c r="F5608" t="s">
        <v>71</v>
      </c>
      <c r="G5608">
        <v>-198.0992</v>
      </c>
      <c r="H5608" s="1">
        <v>-6.5226469999999901E-6</v>
      </c>
      <c r="I5608">
        <v>-61.097529999999999</v>
      </c>
      <c r="J5608">
        <v>-216.52690000000001</v>
      </c>
      <c r="K5608">
        <v>1.1244400000000001</v>
      </c>
      <c r="L5608">
        <v>-63.880980000000001</v>
      </c>
      <c r="M5608">
        <v>0.99988679999999996</v>
      </c>
      <c r="N5608">
        <v>-1.401061E-2</v>
      </c>
      <c r="O5608">
        <v>-5.4930020000000003E-3</v>
      </c>
      <c r="P5608">
        <v>0.97787919999999995</v>
      </c>
      <c r="Q5608">
        <v>0.20198840000000001</v>
      </c>
      <c r="R5608">
        <v>5.4343120000000002E-2</v>
      </c>
      <c r="S5608">
        <v>3.081299</v>
      </c>
      <c r="T5608">
        <v>-0.18603710000000001</v>
      </c>
      <c r="U5608">
        <v>0.46060180000000001</v>
      </c>
      <c r="V5608">
        <v>-6.1451510000000001E-2</v>
      </c>
      <c r="W5608">
        <v>0.21517649999999999</v>
      </c>
      <c r="X5608">
        <v>0.97463979999999995</v>
      </c>
      <c r="Y5608">
        <v>-0.1529286</v>
      </c>
      <c r="Z5608">
        <v>5.9185469999999997E-3</v>
      </c>
      <c r="AA5608">
        <v>0.98821950000000003</v>
      </c>
      <c r="AB5608">
        <v>37</v>
      </c>
      <c r="AC5608">
        <v>18.427700000000002</v>
      </c>
      <c r="AD5608">
        <v>-1.124446522647</v>
      </c>
      <c r="AE5608">
        <v>2.7834500000000002</v>
      </c>
      <c r="AF5608">
        <v>-2.87417842841535</v>
      </c>
      <c r="AG5608">
        <v>-1.124446522647</v>
      </c>
      <c r="AH5608">
        <v>18.345348213389499</v>
      </c>
      <c r="AI5608">
        <v>93.465291864925007</v>
      </c>
      <c r="AJ5608">
        <v>98.904187154584207</v>
      </c>
      <c r="AK5608">
        <v>18.6031471179253</v>
      </c>
      <c r="AL5608">
        <v>77.574117335114593</v>
      </c>
      <c r="AM5608">
        <v>93.607750914391104</v>
      </c>
      <c r="AN5608">
        <v>0.99999997698878396</v>
      </c>
    </row>
    <row r="5609" spans="1:40" x14ac:dyDescent="0.25">
      <c r="A5609" t="str">
        <f>"20190303170646509"</f>
        <v>20190303170646509</v>
      </c>
      <c r="B5609" t="str">
        <f>"1551604006500316"</f>
        <v>1551604006500316</v>
      </c>
      <c r="C5609" t="s">
        <v>40</v>
      </c>
      <c r="D5609">
        <v>6.0363730000000002</v>
      </c>
      <c r="E5609">
        <v>0.4684199</v>
      </c>
      <c r="F5609" t="s">
        <v>71</v>
      </c>
      <c r="G5609">
        <v>-197.947</v>
      </c>
      <c r="H5609" s="1">
        <v>-6.5831319999999997E-6</v>
      </c>
      <c r="I5609">
        <v>-61.071190000000001</v>
      </c>
      <c r="J5609">
        <v>-216.36070000000001</v>
      </c>
      <c r="K5609">
        <v>1.1245309999999999</v>
      </c>
      <c r="L5609">
        <v>-63.880400000000002</v>
      </c>
      <c r="M5609">
        <v>0.99989510000000004</v>
      </c>
      <c r="N5609">
        <v>-1.4019169999999999E-2</v>
      </c>
      <c r="O5609">
        <v>-3.6783269999999999E-3</v>
      </c>
      <c r="P5609">
        <v>0.97788660000000005</v>
      </c>
      <c r="Q5609">
        <v>0.2014917</v>
      </c>
      <c r="R5609">
        <v>5.6030429999999999E-2</v>
      </c>
      <c r="S5609">
        <v>3.0804749999999999</v>
      </c>
      <c r="T5609">
        <v>-0.18642829999999999</v>
      </c>
      <c r="U5609">
        <v>0.46585080000000001</v>
      </c>
      <c r="V5609">
        <v>-6.140777E-2</v>
      </c>
      <c r="W5609">
        <v>0.21467729999999999</v>
      </c>
      <c r="X5609">
        <v>0.97475270000000003</v>
      </c>
      <c r="Y5609">
        <v>-0.15282119999999999</v>
      </c>
      <c r="Z5609">
        <v>5.8424810000000001E-3</v>
      </c>
      <c r="AA5609">
        <v>0.98823660000000002</v>
      </c>
      <c r="AB5609">
        <v>37</v>
      </c>
      <c r="AC5609">
        <v>18.413699999999999</v>
      </c>
      <c r="AD5609">
        <v>-1.1245375831319999</v>
      </c>
      <c r="AE5609">
        <v>2.80920999999999</v>
      </c>
      <c r="AF5609">
        <v>-2.8664815013203402</v>
      </c>
      <c r="AG5609">
        <v>-1.1245375831319999</v>
      </c>
      <c r="AH5609">
        <v>18.336408681703201</v>
      </c>
      <c r="AI5609">
        <v>93.467438687551805</v>
      </c>
      <c r="AJ5609">
        <v>98.884983244549403</v>
      </c>
      <c r="AK5609">
        <v>18.593148854234698</v>
      </c>
      <c r="AL5609">
        <v>77.603404625797594</v>
      </c>
      <c r="AM5609">
        <v>93.604773294606005</v>
      </c>
      <c r="AN5609">
        <v>1.0000000417544701</v>
      </c>
    </row>
    <row r="5610" spans="1:40" x14ac:dyDescent="0.25">
      <c r="A5610" t="str">
        <f>"20190303170646519"</f>
        <v>20190303170646519</v>
      </c>
      <c r="B5610" t="str">
        <f>"1551604006510073"</f>
        <v>1551604006510073</v>
      </c>
      <c r="C5610" t="s">
        <v>40</v>
      </c>
      <c r="D5610">
        <v>6.0434279999999996</v>
      </c>
      <c r="E5610">
        <v>0.4684316</v>
      </c>
      <c r="F5610" t="s">
        <v>71</v>
      </c>
      <c r="G5610">
        <v>-197.96129999999999</v>
      </c>
      <c r="H5610" s="1">
        <v>-6.5771920000000001E-6</v>
      </c>
      <c r="I5610">
        <v>-61.069319999999998</v>
      </c>
      <c r="J5610">
        <v>-216.1694</v>
      </c>
      <c r="K5610">
        <v>1.12463</v>
      </c>
      <c r="L5610">
        <v>-63.879429999999999</v>
      </c>
      <c r="M5610">
        <v>0.99990049999999997</v>
      </c>
      <c r="N5610">
        <v>-1.402844E-2</v>
      </c>
      <c r="O5610">
        <v>-1.5556999999999999E-3</v>
      </c>
      <c r="P5610">
        <v>0.97801830000000001</v>
      </c>
      <c r="Q5610">
        <v>0.20032079999999999</v>
      </c>
      <c r="R5610">
        <v>5.7894719999999997E-2</v>
      </c>
      <c r="S5610">
        <v>3.0796969999999999</v>
      </c>
      <c r="T5610">
        <v>-0.1882259</v>
      </c>
      <c r="U5610">
        <v>0.47051999999999999</v>
      </c>
      <c r="V5610">
        <v>-6.1238389999999997E-2</v>
      </c>
      <c r="W5610">
        <v>0.2135058</v>
      </c>
      <c r="X5610">
        <v>0.97502060000000002</v>
      </c>
      <c r="Y5610">
        <v>-0.1522223</v>
      </c>
      <c r="Z5610">
        <v>5.7686159999999998E-3</v>
      </c>
      <c r="AA5610">
        <v>0.98832949999999997</v>
      </c>
      <c r="AB5610">
        <v>37</v>
      </c>
      <c r="AC5610">
        <v>18.208100000000002</v>
      </c>
      <c r="AD5610">
        <v>-1.1246365771919999</v>
      </c>
      <c r="AE5610">
        <v>2.8101099999999999</v>
      </c>
      <c r="AF5610">
        <v>-2.8278982656793898</v>
      </c>
      <c r="AG5610">
        <v>-1.1246365771919999</v>
      </c>
      <c r="AH5610">
        <v>18.136126086021001</v>
      </c>
      <c r="AI5610">
        <v>93.506157270865003</v>
      </c>
      <c r="AJ5610">
        <v>98.862551242395597</v>
      </c>
      <c r="AK5610">
        <v>18.389695088278199</v>
      </c>
      <c r="AL5610">
        <v>77.672119604606095</v>
      </c>
      <c r="AM5610">
        <v>93.5938712737359</v>
      </c>
      <c r="AN5610">
        <v>1.00000001873389</v>
      </c>
    </row>
    <row r="5611" spans="1:40" x14ac:dyDescent="0.25">
      <c r="A5611" t="str">
        <f>"20190303170646531"</f>
        <v>20190303170646531</v>
      </c>
      <c r="B5611" t="str">
        <f>"1551604006520810"</f>
        <v>1551604006520810</v>
      </c>
      <c r="C5611" t="s">
        <v>40</v>
      </c>
      <c r="D5611">
        <v>6.0532409999999999</v>
      </c>
      <c r="E5611">
        <v>0.46850999999999998</v>
      </c>
      <c r="F5611" t="s">
        <v>71</v>
      </c>
      <c r="G5611">
        <v>-198.2012</v>
      </c>
      <c r="H5611" s="1">
        <v>-6.4816540000000001E-6</v>
      </c>
      <c r="I5611">
        <v>-61.106879999999997</v>
      </c>
      <c r="J5611">
        <v>-215.99950000000001</v>
      </c>
      <c r="K5611">
        <v>1.1247119999999999</v>
      </c>
      <c r="L5611">
        <v>-63.8780199999999</v>
      </c>
      <c r="M5611">
        <v>0.9999015</v>
      </c>
      <c r="N5611">
        <v>-1.403628E-2</v>
      </c>
      <c r="O5611">
        <v>3.7954269999999999E-4</v>
      </c>
      <c r="P5611">
        <v>0.97802029999999995</v>
      </c>
      <c r="Q5611">
        <v>0.1997285</v>
      </c>
      <c r="R5611">
        <v>5.987605E-2</v>
      </c>
      <c r="S5611">
        <v>3.0787960000000001</v>
      </c>
      <c r="T5611">
        <v>-0.19270319999999999</v>
      </c>
      <c r="U5611">
        <v>0.47506710000000002</v>
      </c>
      <c r="V5611">
        <v>-6.1366039999999997E-2</v>
      </c>
      <c r="W5611">
        <v>0.2129095</v>
      </c>
      <c r="X5611">
        <v>0.97514299999999998</v>
      </c>
      <c r="Y5611">
        <v>-0.15176689999999901</v>
      </c>
      <c r="Z5611">
        <v>5.7714949999999998E-3</v>
      </c>
      <c r="AA5611">
        <v>0.98839940000000004</v>
      </c>
      <c r="AB5611">
        <v>37</v>
      </c>
      <c r="AC5611">
        <v>17.798300000000001</v>
      </c>
      <c r="AD5611">
        <v>-1.1247184816539999</v>
      </c>
      <c r="AE5611">
        <v>2.77113999999998</v>
      </c>
      <c r="AF5611">
        <v>-2.75364806466649</v>
      </c>
      <c r="AG5611">
        <v>-1.1247184816539999</v>
      </c>
      <c r="AH5611">
        <v>17.730224420881601</v>
      </c>
      <c r="AI5611">
        <v>93.586813765974895</v>
      </c>
      <c r="AJ5611">
        <v>98.827972736869896</v>
      </c>
      <c r="AK5611">
        <v>17.977998424236301</v>
      </c>
      <c r="AL5611">
        <v>77.707089628901699</v>
      </c>
      <c r="AM5611">
        <v>93.600892068408598</v>
      </c>
      <c r="AN5611">
        <v>1.0000000582522599</v>
      </c>
    </row>
    <row r="5612" spans="1:40" x14ac:dyDescent="0.25">
      <c r="A5612" t="str">
        <f>"20190303170646541"</f>
        <v>20190303170646541</v>
      </c>
      <c r="B5612" t="str">
        <f>"1551604006530569"</f>
        <v>1551604006530569</v>
      </c>
      <c r="C5612" t="s">
        <v>40</v>
      </c>
      <c r="D5612">
        <v>6.0373020000000004</v>
      </c>
      <c r="E5612">
        <v>0.46854620000000002</v>
      </c>
      <c r="F5612" t="s">
        <v>71</v>
      </c>
      <c r="G5612">
        <v>-198.24379999999999</v>
      </c>
      <c r="H5612" s="1">
        <v>-6.4644759999999999E-6</v>
      </c>
      <c r="I5612">
        <v>-61.109990000000003</v>
      </c>
      <c r="J5612">
        <v>-215.8192</v>
      </c>
      <c r="K5612">
        <v>1.124803</v>
      </c>
      <c r="L5612">
        <v>-63.876399999999997</v>
      </c>
      <c r="M5612">
        <v>0.99989859999999997</v>
      </c>
      <c r="N5612">
        <v>-1.404417E-2</v>
      </c>
      <c r="O5612">
        <v>2.4518209999999999E-3</v>
      </c>
      <c r="P5612">
        <v>0.97794309999999995</v>
      </c>
      <c r="Q5612">
        <v>0.1995304</v>
      </c>
      <c r="R5612">
        <v>6.1767599999999902E-2</v>
      </c>
      <c r="S5612">
        <v>3.0778810000000001</v>
      </c>
      <c r="T5612">
        <v>-0.19496559999999999</v>
      </c>
      <c r="U5612">
        <v>0.47982789999999997</v>
      </c>
      <c r="V5612">
        <v>-6.1274889999999999E-2</v>
      </c>
      <c r="W5612">
        <v>0.2127077</v>
      </c>
      <c r="X5612">
        <v>0.97519270000000002</v>
      </c>
      <c r="Y5612">
        <v>-0.15125160000000001</v>
      </c>
      <c r="Z5612">
        <v>5.7068029999999999E-3</v>
      </c>
      <c r="AA5612">
        <v>0.98847879999999999</v>
      </c>
      <c r="AB5612">
        <v>37</v>
      </c>
      <c r="AC5612">
        <v>17.575399999999998</v>
      </c>
      <c r="AD5612">
        <v>-1.1248094644760001</v>
      </c>
      <c r="AE5612">
        <v>2.7664099999999898</v>
      </c>
      <c r="AF5612">
        <v>-2.7124643724600799</v>
      </c>
      <c r="AG5612">
        <v>-1.1248094644760001</v>
      </c>
      <c r="AH5612">
        <v>17.512137042671899</v>
      </c>
      <c r="AI5612">
        <v>93.631885407850007</v>
      </c>
      <c r="AJ5612">
        <v>98.8046084584917</v>
      </c>
      <c r="AK5612">
        <v>17.756621387655901</v>
      </c>
      <c r="AL5612">
        <v>77.718922120402198</v>
      </c>
      <c r="AM5612">
        <v>93.595374763335798</v>
      </c>
      <c r="AN5612">
        <v>0.999999989958546</v>
      </c>
    </row>
    <row r="5613" spans="1:40" x14ac:dyDescent="0.25">
      <c r="A5613" t="str">
        <f>"20190303170646554"</f>
        <v>20190303170646554</v>
      </c>
      <c r="B5613" t="str">
        <f>"1551604006540330"</f>
        <v>1551604006540330</v>
      </c>
      <c r="C5613" t="s">
        <v>40</v>
      </c>
      <c r="D5613">
        <v>6.0370400000000002</v>
      </c>
      <c r="E5613">
        <v>0.46862490000000001</v>
      </c>
      <c r="F5613" t="s">
        <v>71</v>
      </c>
      <c r="G5613">
        <v>-198.1739</v>
      </c>
      <c r="H5613" s="1">
        <v>-6.49222E-6</v>
      </c>
      <c r="I5613">
        <v>-61.097239999999999</v>
      </c>
      <c r="J5613">
        <v>-215.62029999999999</v>
      </c>
      <c r="K5613">
        <v>1.124898</v>
      </c>
      <c r="L5613">
        <v>-63.873869999999997</v>
      </c>
      <c r="M5613">
        <v>0.99988969999999999</v>
      </c>
      <c r="N5613">
        <v>-1.4052790000000001E-2</v>
      </c>
      <c r="O5613">
        <v>4.8062139999999996E-3</v>
      </c>
      <c r="P5613">
        <v>0.97779570000000005</v>
      </c>
      <c r="Q5613">
        <v>0.19974819999999999</v>
      </c>
      <c r="R5613">
        <v>6.3373940000000004E-2</v>
      </c>
      <c r="S5613">
        <v>3.0771030000000001</v>
      </c>
      <c r="T5613">
        <v>-0.19615189999999999</v>
      </c>
      <c r="U5613">
        <v>0.48464970000000002</v>
      </c>
      <c r="V5613">
        <v>-6.0629290000000002E-2</v>
      </c>
      <c r="W5613">
        <v>0.21292630000000001</v>
      </c>
      <c r="X5613">
        <v>0.97518539999999998</v>
      </c>
      <c r="Y5613">
        <v>-0.15047469999999999</v>
      </c>
      <c r="Z5613">
        <v>5.5899540000000003E-3</v>
      </c>
      <c r="AA5613">
        <v>0.98859799999999998</v>
      </c>
      <c r="AB5613">
        <v>37</v>
      </c>
      <c r="AC5613">
        <v>17.446399999999901</v>
      </c>
      <c r="AD5613">
        <v>-1.12490449222</v>
      </c>
      <c r="AE5613">
        <v>2.7766299999999902</v>
      </c>
      <c r="AF5613">
        <v>-2.6818644171427302</v>
      </c>
      <c r="AG5613">
        <v>-1.12490449222</v>
      </c>
      <c r="AH5613">
        <v>17.389037921161101</v>
      </c>
      <c r="AI5613">
        <v>93.6581998207525</v>
      </c>
      <c r="AJ5613">
        <v>98.767494336831007</v>
      </c>
      <c r="AK5613">
        <v>17.6305543501085</v>
      </c>
      <c r="AL5613">
        <v>77.706104269906305</v>
      </c>
      <c r="AM5613">
        <v>93.557617807731702</v>
      </c>
      <c r="AN5613">
        <v>1.0000000422053701</v>
      </c>
    </row>
    <row r="5614" spans="1:40" x14ac:dyDescent="0.25">
      <c r="A5614" t="str">
        <f>"20190303170646567"</f>
        <v>20190303170646567</v>
      </c>
      <c r="B5614" t="str">
        <f>"1551604006560825"</f>
        <v>1551604006560825</v>
      </c>
      <c r="C5614" t="s">
        <v>40</v>
      </c>
      <c r="D5614">
        <v>6.5261649999999998</v>
      </c>
      <c r="E5614">
        <v>0.46870240000000002</v>
      </c>
      <c r="F5614" t="s">
        <v>71</v>
      </c>
      <c r="G5614">
        <v>-197.9802</v>
      </c>
      <c r="H5614" s="1">
        <v>-6.56983899999999E-6</v>
      </c>
      <c r="I5614">
        <v>-61.07508</v>
      </c>
      <c r="J5614">
        <v>-215.41820000000001</v>
      </c>
      <c r="K5614">
        <v>1.124995</v>
      </c>
      <c r="L5614">
        <v>-63.8709699999999</v>
      </c>
      <c r="M5614">
        <v>0.99987519999999996</v>
      </c>
      <c r="N5614">
        <v>-1.4061189999999999E-2</v>
      </c>
      <c r="O5614">
        <v>7.2256759999999899E-3</v>
      </c>
      <c r="P5614">
        <v>0.97753000000000001</v>
      </c>
      <c r="Q5614">
        <v>0.2006742</v>
      </c>
      <c r="R5614">
        <v>6.4539289999999999E-2</v>
      </c>
      <c r="S5614">
        <v>3.0765530000000001</v>
      </c>
      <c r="T5614">
        <v>-0.19619110000000001</v>
      </c>
      <c r="U5614">
        <v>0.48812870000000003</v>
      </c>
      <c r="V5614">
        <v>-5.9487829999999998E-2</v>
      </c>
      <c r="W5614">
        <v>0.21385609999999999</v>
      </c>
      <c r="X5614">
        <v>0.97505220000000004</v>
      </c>
      <c r="Y5614">
        <v>-0.14920610000000001</v>
      </c>
      <c r="Z5614">
        <v>5.4235159999999998E-3</v>
      </c>
      <c r="AA5614">
        <v>0.98879119999999998</v>
      </c>
      <c r="AB5614">
        <v>37</v>
      </c>
      <c r="AC5614">
        <v>17.437999999999999</v>
      </c>
      <c r="AD5614">
        <v>-1.1250015698389999</v>
      </c>
      <c r="AE5614">
        <v>2.79588999999998</v>
      </c>
      <c r="AF5614">
        <v>-2.6590135009270601</v>
      </c>
      <c r="AG5614">
        <v>-1.1250015698389999</v>
      </c>
      <c r="AH5614">
        <v>17.387195261515998</v>
      </c>
      <c r="AI5614">
        <v>93.659611979358203</v>
      </c>
      <c r="AJ5614">
        <v>98.694844077672798</v>
      </c>
      <c r="AK5614">
        <v>17.6252812854813</v>
      </c>
      <c r="AL5614">
        <v>77.651574299365393</v>
      </c>
      <c r="AM5614">
        <v>93.491281887780204</v>
      </c>
      <c r="AN5614">
        <v>1.0000000130750699</v>
      </c>
    </row>
    <row r="5615" spans="1:40" x14ac:dyDescent="0.25">
      <c r="A5615" t="str">
        <f>"20190303170646580"</f>
        <v>20190303170646580</v>
      </c>
      <c r="B5615" t="str">
        <f>"1551604006570115"</f>
        <v>1551604006570115</v>
      </c>
      <c r="C5615" t="s">
        <v>40</v>
      </c>
      <c r="D5615">
        <v>6.04115</v>
      </c>
      <c r="E5615">
        <v>0.46869670000000002</v>
      </c>
      <c r="F5615" t="s">
        <v>71</v>
      </c>
      <c r="G5615">
        <v>-197.65960000000001</v>
      </c>
      <c r="H5615" s="1">
        <v>-6.6981070000000003E-6</v>
      </c>
      <c r="I5615">
        <v>-61.035200000000003</v>
      </c>
      <c r="J5615">
        <v>-215.19239999999999</v>
      </c>
      <c r="K5615">
        <v>1.125103</v>
      </c>
      <c r="L5615">
        <v>-63.86703</v>
      </c>
      <c r="M5615">
        <v>0.99985119999999905</v>
      </c>
      <c r="N5615">
        <v>-1.4070300000000001E-2</v>
      </c>
      <c r="O5615">
        <v>9.9887789999999997E-3</v>
      </c>
      <c r="P5615">
        <v>0.97727350000000002</v>
      </c>
      <c r="Q5615">
        <v>0.2016184</v>
      </c>
      <c r="R5615">
        <v>6.547356E-2</v>
      </c>
      <c r="S5615">
        <v>3.0765229999999999</v>
      </c>
      <c r="T5615">
        <v>-0.19489670000000001</v>
      </c>
      <c r="U5615">
        <v>0.49127199999999999</v>
      </c>
      <c r="V5615">
        <v>-5.7785309999999999E-2</v>
      </c>
      <c r="W5615">
        <v>0.21480949999999999</v>
      </c>
      <c r="X5615">
        <v>0.97494499999999995</v>
      </c>
      <c r="Y5615">
        <v>-0.14747189999999999</v>
      </c>
      <c r="Z5615">
        <v>5.1940370000000003E-3</v>
      </c>
      <c r="AA5615">
        <v>0.98905259999999995</v>
      </c>
      <c r="AB5615">
        <v>37</v>
      </c>
      <c r="AC5615">
        <v>17.532799999999899</v>
      </c>
      <c r="AD5615">
        <v>-1.1251096981069999</v>
      </c>
      <c r="AE5615">
        <v>2.8318300000000001</v>
      </c>
      <c r="AF5615">
        <v>-2.6459212026548098</v>
      </c>
      <c r="AG5615">
        <v>-1.1251096981069999</v>
      </c>
      <c r="AH5615">
        <v>17.490021560176601</v>
      </c>
      <c r="AI5615">
        <v>93.639392263643899</v>
      </c>
      <c r="AJ5615">
        <v>98.602575348675799</v>
      </c>
      <c r="AK5615">
        <v>17.724774329138199</v>
      </c>
      <c r="AL5615">
        <v>77.595648770688697</v>
      </c>
      <c r="AM5615">
        <v>93.391971396223099</v>
      </c>
      <c r="AN5615">
        <v>1.0000000081835201</v>
      </c>
    </row>
    <row r="5616" spans="1:40" x14ac:dyDescent="0.25">
      <c r="A5616" t="str">
        <f>"20190303170646592"</f>
        <v>20190303170646592</v>
      </c>
      <c r="B5616" t="str">
        <f>"1551604006580852"</f>
        <v>1551604006580852</v>
      </c>
      <c r="C5616" t="s">
        <v>40</v>
      </c>
      <c r="D5616">
        <v>6.0097589999999999</v>
      </c>
      <c r="E5616">
        <v>0.46871000000000002</v>
      </c>
      <c r="F5616" t="s">
        <v>71</v>
      </c>
      <c r="G5616">
        <v>-197.28819999999999</v>
      </c>
      <c r="H5616" s="1">
        <v>-6.846562E-6</v>
      </c>
      <c r="I5616">
        <v>-60.987050000000004</v>
      </c>
      <c r="J5616">
        <v>-215.0026</v>
      </c>
      <c r="K5616">
        <v>1.1251899999999999</v>
      </c>
      <c r="L5616">
        <v>-63.863100000000003</v>
      </c>
      <c r="M5616">
        <v>0.99982459999999995</v>
      </c>
      <c r="N5616">
        <v>-1.4077879999999999E-2</v>
      </c>
      <c r="O5616">
        <v>1.2362130000000001E-2</v>
      </c>
      <c r="P5616">
        <v>0.97710870000000005</v>
      </c>
      <c r="Q5616">
        <v>0.2022476</v>
      </c>
      <c r="R5616">
        <v>6.5989899999999893E-2</v>
      </c>
      <c r="S5616">
        <v>3.076508</v>
      </c>
      <c r="T5616">
        <v>-0.1933299</v>
      </c>
      <c r="U5616">
        <v>0.49487300000000001</v>
      </c>
      <c r="V5616">
        <v>-5.6032360000000003E-2</v>
      </c>
      <c r="W5616">
        <v>0.2154517</v>
      </c>
      <c r="X5616">
        <v>0.97490560000000004</v>
      </c>
      <c r="Y5616">
        <v>-0.14626420000000001</v>
      </c>
      <c r="Z5616">
        <v>5.0012110000000002E-3</v>
      </c>
      <c r="AA5616">
        <v>0.98923300000000003</v>
      </c>
      <c r="AB5616">
        <v>37</v>
      </c>
      <c r="AC5616">
        <v>17.714400000000001</v>
      </c>
      <c r="AD5616">
        <v>-1.1251968465619999</v>
      </c>
      <c r="AE5616">
        <v>2.8760500000000002</v>
      </c>
      <c r="AF5616">
        <v>-2.6464176892139801</v>
      </c>
      <c r="AG5616">
        <v>-1.1251968465619999</v>
      </c>
      <c r="AH5616">
        <v>17.6791069176472</v>
      </c>
      <c r="AI5616">
        <v>93.601688922885302</v>
      </c>
      <c r="AJ5616">
        <v>98.513495961817299</v>
      </c>
      <c r="AK5616">
        <v>17.911460463482602</v>
      </c>
      <c r="AL5616">
        <v>77.557971040437096</v>
      </c>
      <c r="AM5616">
        <v>93.289436131060498</v>
      </c>
      <c r="AN5616">
        <v>0.99999999465570899</v>
      </c>
    </row>
    <row r="5617" spans="1:40" x14ac:dyDescent="0.25">
      <c r="A5617" t="str">
        <f>"20190303170646609"</f>
        <v>20190303170646609</v>
      </c>
      <c r="B5617" t="str">
        <f>"1551604006600371"</f>
        <v>1551604006600371</v>
      </c>
      <c r="C5617" t="s">
        <v>40</v>
      </c>
      <c r="D5617">
        <v>6.0465920000000004</v>
      </c>
      <c r="E5617">
        <v>0.46882509999999999</v>
      </c>
      <c r="F5617" t="s">
        <v>71</v>
      </c>
      <c r="G5617">
        <v>-197.0087</v>
      </c>
      <c r="H5617" s="1">
        <v>-6.9587669999999999E-6</v>
      </c>
      <c r="I5617">
        <v>-60.9589199999999</v>
      </c>
      <c r="J5617">
        <v>-214.73099999999999</v>
      </c>
      <c r="K5617">
        <v>1.1253070000000001</v>
      </c>
      <c r="L5617">
        <v>-63.856810000000003</v>
      </c>
      <c r="M5617">
        <v>0.99977579999999999</v>
      </c>
      <c r="N5617">
        <v>-1.408828E-2</v>
      </c>
      <c r="O5617">
        <v>1.5814990000000001E-2</v>
      </c>
      <c r="P5617">
        <v>0.97715289999999999</v>
      </c>
      <c r="Q5617">
        <v>0.2020952</v>
      </c>
      <c r="R5617">
        <v>6.5802250000000007E-2</v>
      </c>
      <c r="S5617">
        <v>3.0765690000000001</v>
      </c>
      <c r="T5617">
        <v>-0.19238450000000001</v>
      </c>
      <c r="U5617">
        <v>0.49655149999999998</v>
      </c>
      <c r="V5617">
        <v>-5.2527829999999998E-2</v>
      </c>
      <c r="W5617">
        <v>0.21533250000000001</v>
      </c>
      <c r="X5617">
        <v>0.97512699999999997</v>
      </c>
      <c r="Y5617">
        <v>-0.14338380000000001</v>
      </c>
      <c r="Z5617">
        <v>4.7077009999999999E-3</v>
      </c>
      <c r="AA5617">
        <v>0.98965599999999998</v>
      </c>
      <c r="AB5617">
        <v>37</v>
      </c>
      <c r="AC5617">
        <v>17.722299999999901</v>
      </c>
      <c r="AD5617">
        <v>-1.125313958767</v>
      </c>
      <c r="AE5617">
        <v>2.8978899999999999</v>
      </c>
      <c r="AF5617">
        <v>-2.6069844045375099</v>
      </c>
      <c r="AG5617">
        <v>-1.125313958767</v>
      </c>
      <c r="AH5617">
        <v>17.6964260097024</v>
      </c>
      <c r="AI5617">
        <v>93.599785482322204</v>
      </c>
      <c r="AJ5617">
        <v>98.380364918946697</v>
      </c>
      <c r="AK5617">
        <v>17.922784178474298</v>
      </c>
      <c r="AL5617">
        <v>77.564964450057303</v>
      </c>
      <c r="AM5617">
        <v>93.083410662343397</v>
      </c>
      <c r="AN5617">
        <v>0.99999996230487798</v>
      </c>
    </row>
    <row r="5618" spans="1:40" x14ac:dyDescent="0.25">
      <c r="A5618" t="str">
        <f>"20190303170646619"</f>
        <v>20190303170646619</v>
      </c>
      <c r="B5618" t="str">
        <f>"1551604006610132"</f>
        <v>1551604006610132</v>
      </c>
      <c r="C5618" t="s">
        <v>40</v>
      </c>
      <c r="D5618">
        <v>6.012454</v>
      </c>
      <c r="E5618">
        <v>0.46888200000000002</v>
      </c>
      <c r="F5618" t="s">
        <v>71</v>
      </c>
      <c r="G5618">
        <v>-196.92259999999999</v>
      </c>
      <c r="H5618" s="1">
        <v>-6.9958019999999996E-6</v>
      </c>
      <c r="I5618">
        <v>-60.992359999999998</v>
      </c>
      <c r="J5618">
        <v>-214.54810000000001</v>
      </c>
      <c r="K5618">
        <v>1.1253820000000001</v>
      </c>
      <c r="L5618">
        <v>-63.852020000000003</v>
      </c>
      <c r="M5618">
        <v>0.99973520000000005</v>
      </c>
      <c r="N5618">
        <v>-1.409499E-2</v>
      </c>
      <c r="O5618">
        <v>1.8184949999999998E-2</v>
      </c>
      <c r="P5618">
        <v>0.97730680000000003</v>
      </c>
      <c r="Q5618">
        <v>0.2008839</v>
      </c>
      <c r="R5618">
        <v>6.7209260000000007E-2</v>
      </c>
      <c r="S5618">
        <v>3.077026</v>
      </c>
      <c r="T5618">
        <v>-0.194437</v>
      </c>
      <c r="U5618">
        <v>0.49493409999999899</v>
      </c>
      <c r="V5618">
        <v>-5.164204E-2</v>
      </c>
      <c r="W5618">
        <v>0.2141314</v>
      </c>
      <c r="X5618">
        <v>0.97543880000000005</v>
      </c>
      <c r="Y5618">
        <v>-0.14051069999999999</v>
      </c>
      <c r="Z5618">
        <v>4.5189890000000002E-3</v>
      </c>
      <c r="AA5618">
        <v>0.99006890000000003</v>
      </c>
      <c r="AB5618">
        <v>36</v>
      </c>
      <c r="AC5618">
        <v>17.625499999999999</v>
      </c>
      <c r="AD5618">
        <v>-1.12538899580199</v>
      </c>
      <c r="AE5618">
        <v>2.8596599999999901</v>
      </c>
      <c r="AF5618">
        <v>-2.52859209102016</v>
      </c>
      <c r="AG5618">
        <v>-1.12538899580199</v>
      </c>
      <c r="AH5618">
        <v>17.604662447773201</v>
      </c>
      <c r="AI5618">
        <v>93.620635302076707</v>
      </c>
      <c r="AJ5618">
        <v>98.173603244310797</v>
      </c>
      <c r="AK5618">
        <v>17.820898357116501</v>
      </c>
      <c r="AL5618">
        <v>77.635426607284501</v>
      </c>
      <c r="AM5618">
        <v>93.030544929862202</v>
      </c>
      <c r="AN5618">
        <v>1.0000000046533799</v>
      </c>
    </row>
    <row r="5619" spans="1:40" x14ac:dyDescent="0.25">
      <c r="A5619" t="str">
        <f>"20190303170646632"</f>
        <v>20190303170646632</v>
      </c>
      <c r="B5619" t="str">
        <f>"1551604006620868"</f>
        <v>1551604006620868</v>
      </c>
      <c r="C5619" t="s">
        <v>40</v>
      </c>
      <c r="D5619">
        <v>5.9766750000000002</v>
      </c>
      <c r="E5619">
        <v>0.46894829999999998</v>
      </c>
      <c r="F5619" t="s">
        <v>71</v>
      </c>
      <c r="G5619">
        <v>-197.11850000000001</v>
      </c>
      <c r="H5619" s="1">
        <v>-6.9180609999999999E-6</v>
      </c>
      <c r="I5619">
        <v>-61.027869999999901</v>
      </c>
      <c r="J5619">
        <v>-214.36070000000001</v>
      </c>
      <c r="K5619">
        <v>1.1254569999999999</v>
      </c>
      <c r="L5619">
        <v>-63.846469999999997</v>
      </c>
      <c r="M5619">
        <v>0.99968710000000005</v>
      </c>
      <c r="N5619">
        <v>-1.410194E-2</v>
      </c>
      <c r="O5619">
        <v>2.066349E-2</v>
      </c>
      <c r="P5619">
        <v>0.97750150000000002</v>
      </c>
      <c r="Q5619">
        <v>0.1992236</v>
      </c>
      <c r="R5619">
        <v>6.9289370000000003E-2</v>
      </c>
      <c r="S5619">
        <v>3.0762019999999999</v>
      </c>
      <c r="T5619">
        <v>-0.19862369999999999</v>
      </c>
      <c r="U5619">
        <v>0.49844359999999999</v>
      </c>
      <c r="V5619">
        <v>-5.131542E-2</v>
      </c>
      <c r="W5619">
        <v>0.2124771</v>
      </c>
      <c r="X5619">
        <v>0.97581770000000001</v>
      </c>
      <c r="Y5619">
        <v>-0.1391927</v>
      </c>
      <c r="Z5619">
        <v>4.4149339999999997E-3</v>
      </c>
      <c r="AA5619">
        <v>0.99025549999999996</v>
      </c>
      <c r="AB5619">
        <v>36</v>
      </c>
      <c r="AC5619">
        <v>17.242199999999901</v>
      </c>
      <c r="AD5619">
        <v>-1.125463918061</v>
      </c>
      <c r="AE5619">
        <v>2.8186</v>
      </c>
      <c r="AF5619">
        <v>-2.4515054429426399</v>
      </c>
      <c r="AG5619">
        <v>-1.125463918061</v>
      </c>
      <c r="AH5619">
        <v>17.225284676217498</v>
      </c>
      <c r="AI5619">
        <v>93.701082669687196</v>
      </c>
      <c r="AJ5619">
        <v>98.099949135727698</v>
      </c>
      <c r="AK5619">
        <v>17.435222400198001</v>
      </c>
      <c r="AL5619">
        <v>77.732443578685903</v>
      </c>
      <c r="AM5619">
        <v>93.010245908221805</v>
      </c>
      <c r="AN5619">
        <v>0.99999998699373804</v>
      </c>
    </row>
    <row r="5620" spans="1:40" x14ac:dyDescent="0.25">
      <c r="A5620" t="str">
        <f>"20190303170646642"</f>
        <v>20190303170646642</v>
      </c>
      <c r="B5620" t="str">
        <f>"1551604006630628"</f>
        <v>1551604006630628</v>
      </c>
      <c r="C5620" t="s">
        <v>40</v>
      </c>
      <c r="D5620">
        <v>6.0789939999999998</v>
      </c>
      <c r="E5620">
        <v>0.4689507</v>
      </c>
      <c r="F5620" t="s">
        <v>71</v>
      </c>
      <c r="G5620">
        <v>-197.4341</v>
      </c>
      <c r="H5620" s="1">
        <v>-6.7921679999999999E-6</v>
      </c>
      <c r="I5620">
        <v>-61.073360000000001</v>
      </c>
      <c r="J5620">
        <v>-214.1858</v>
      </c>
      <c r="K5620">
        <v>1.1255189999999999</v>
      </c>
      <c r="L5620">
        <v>-63.84113</v>
      </c>
      <c r="M5620">
        <v>0.99963619999999997</v>
      </c>
      <c r="N5620">
        <v>-1.410815E-2</v>
      </c>
      <c r="O5620">
        <v>2.2990900000000002E-2</v>
      </c>
      <c r="P5620">
        <v>0.97767969999999904</v>
      </c>
      <c r="Q5620">
        <v>0.1975751</v>
      </c>
      <c r="R5620">
        <v>7.1459289999999995E-2</v>
      </c>
      <c r="S5620">
        <v>3.0750120000000001</v>
      </c>
      <c r="T5620">
        <v>-0.20446030000000001</v>
      </c>
      <c r="U5620">
        <v>0.50378420000000002</v>
      </c>
      <c r="V5620">
        <v>-5.1222419999999998E-2</v>
      </c>
      <c r="W5620">
        <v>0.21083160000000001</v>
      </c>
      <c r="X5620">
        <v>0.97617949999999998</v>
      </c>
      <c r="Y5620">
        <v>-0.13861089999999901</v>
      </c>
      <c r="Z5620">
        <v>4.3643090000000002E-3</v>
      </c>
      <c r="AA5620">
        <v>0.99033729999999998</v>
      </c>
      <c r="AB5620">
        <v>36</v>
      </c>
      <c r="AC5620">
        <v>16.7517</v>
      </c>
      <c r="AD5620">
        <v>-1.125525792168</v>
      </c>
      <c r="AE5620">
        <v>2.7677700000000001</v>
      </c>
      <c r="AF5620">
        <v>-2.3714423081003702</v>
      </c>
      <c r="AG5620">
        <v>-1.125525792168</v>
      </c>
      <c r="AH5620">
        <v>16.737360950065799</v>
      </c>
      <c r="AI5620">
        <v>93.809206963207004</v>
      </c>
      <c r="AJ5620">
        <v>98.064307202015598</v>
      </c>
      <c r="AK5620">
        <v>16.9419537982569</v>
      </c>
      <c r="AL5620">
        <v>77.828910146187894</v>
      </c>
      <c r="AM5620">
        <v>93.003688758592006</v>
      </c>
      <c r="AN5620">
        <v>1.0000000580447299</v>
      </c>
    </row>
    <row r="5621" spans="1:40" x14ac:dyDescent="0.25">
      <c r="A5621" t="str">
        <f>"20190303170646654"</f>
        <v>20190303170646654</v>
      </c>
      <c r="B5621" t="str">
        <f>"1551604006640388"</f>
        <v>1551604006640388</v>
      </c>
      <c r="C5621" t="s">
        <v>40</v>
      </c>
      <c r="D5621">
        <v>5.9939799999999996</v>
      </c>
      <c r="E5621">
        <v>0.46903230000000001</v>
      </c>
      <c r="F5621" t="s">
        <v>71</v>
      </c>
      <c r="G5621">
        <v>-197.78749999999999</v>
      </c>
      <c r="H5621" s="1">
        <v>-6.6508579999999901E-6</v>
      </c>
      <c r="I5621">
        <v>-61.11918</v>
      </c>
      <c r="J5621">
        <v>-214.0078</v>
      </c>
      <c r="K5621">
        <v>1.1255869999999999</v>
      </c>
      <c r="L5621">
        <v>-63.83484</v>
      </c>
      <c r="M5621">
        <v>0.99957700000000005</v>
      </c>
      <c r="N5621">
        <v>-1.4114730000000001E-2</v>
      </c>
      <c r="O5621">
        <v>2.542755E-2</v>
      </c>
      <c r="P5621">
        <v>0.97782899999999995</v>
      </c>
      <c r="Q5621">
        <v>0.19582959999999999</v>
      </c>
      <c r="R5621">
        <v>7.417087E-2</v>
      </c>
      <c r="S5621">
        <v>3.0738219999999998</v>
      </c>
      <c r="T5621">
        <v>-0.21097759999999999</v>
      </c>
      <c r="U5621">
        <v>0.51022339999999999</v>
      </c>
      <c r="V5621">
        <v>-5.156198E-2</v>
      </c>
      <c r="W5621">
        <v>0.20908470000000001</v>
      </c>
      <c r="X5621">
        <v>0.97653719999999999</v>
      </c>
      <c r="Y5621">
        <v>-0.13826329999999901</v>
      </c>
      <c r="Z5621">
        <v>4.3171249999999998E-3</v>
      </c>
      <c r="AA5621">
        <v>0.99038610000000005</v>
      </c>
      <c r="AB5621">
        <v>36</v>
      </c>
      <c r="AC5621">
        <v>16.220300000000002</v>
      </c>
      <c r="AD5621">
        <v>-1.125593650858</v>
      </c>
      <c r="AE5621">
        <v>2.71565999999999</v>
      </c>
      <c r="AF5621">
        <v>-2.2915639338046399</v>
      </c>
      <c r="AG5621">
        <v>-1.125593650858</v>
      </c>
      <c r="AH5621">
        <v>16.2081907577323</v>
      </c>
      <c r="AI5621">
        <v>93.933587935431405</v>
      </c>
      <c r="AJ5621">
        <v>98.047316909836198</v>
      </c>
      <c r="AK5621">
        <v>16.408036871259299</v>
      </c>
      <c r="AL5621">
        <v>77.931280980670294</v>
      </c>
      <c r="AM5621">
        <v>93.022458311787005</v>
      </c>
      <c r="AN5621">
        <v>0.99999997626972403</v>
      </c>
    </row>
    <row r="5622" spans="1:40" x14ac:dyDescent="0.25">
      <c r="A5622" t="str">
        <f>"20190303170646665"</f>
        <v>20190303170646665</v>
      </c>
      <c r="B5622" t="str">
        <f>"1551604006660884"</f>
        <v>1551604006660884</v>
      </c>
      <c r="C5622" t="s">
        <v>40</v>
      </c>
      <c r="D5622">
        <v>5.9844790000000003</v>
      </c>
      <c r="E5622">
        <v>0.46913280000000002</v>
      </c>
      <c r="F5622" t="s">
        <v>71</v>
      </c>
      <c r="G5622">
        <v>-198.06559999999999</v>
      </c>
      <c r="H5622" s="1">
        <v>-6.5391940000000003E-6</v>
      </c>
      <c r="I5622">
        <v>-61.146459999999998</v>
      </c>
      <c r="J5622">
        <v>-213.8186</v>
      </c>
      <c r="K5622">
        <v>1.125659</v>
      </c>
      <c r="L5622">
        <v>-63.827969999999901</v>
      </c>
      <c r="M5622">
        <v>0.99950720000000004</v>
      </c>
      <c r="N5622">
        <v>-1.4121450000000001E-2</v>
      </c>
      <c r="O5622">
        <v>2.8035399999999999E-2</v>
      </c>
      <c r="P5622">
        <v>0.97780679999999998</v>
      </c>
      <c r="Q5622">
        <v>0.19470229999999999</v>
      </c>
      <c r="R5622">
        <v>7.7364769999999999E-2</v>
      </c>
      <c r="S5622">
        <v>3.0721590000000001</v>
      </c>
      <c r="T5622">
        <v>-0.2169083</v>
      </c>
      <c r="U5622">
        <v>0.51806640000000004</v>
      </c>
      <c r="V5622">
        <v>-5.2227719999999998E-2</v>
      </c>
      <c r="W5622">
        <v>0.20794950000000001</v>
      </c>
      <c r="X5622">
        <v>0.97674419999999995</v>
      </c>
      <c r="Y5622">
        <v>-0.13821229999999901</v>
      </c>
      <c r="Z5622">
        <v>4.2545200000000004E-3</v>
      </c>
      <c r="AA5622">
        <v>0.99039350000000004</v>
      </c>
      <c r="AB5622">
        <v>36</v>
      </c>
      <c r="AC5622">
        <v>15.753</v>
      </c>
      <c r="AD5622">
        <v>-1.125665539194</v>
      </c>
      <c r="AE5622">
        <v>2.6815099999999901</v>
      </c>
      <c r="AF5622">
        <v>-2.2277153859056402</v>
      </c>
      <c r="AG5622">
        <v>-1.125665539194</v>
      </c>
      <c r="AH5622">
        <v>15.7438649287967</v>
      </c>
      <c r="AI5622">
        <v>94.049412643827594</v>
      </c>
      <c r="AJ5622">
        <v>98.0537364614067</v>
      </c>
      <c r="AK5622">
        <v>15.940486869695199</v>
      </c>
      <c r="AL5622">
        <v>77.997785053395603</v>
      </c>
      <c r="AM5622">
        <v>93.060761308502094</v>
      </c>
      <c r="AN5622">
        <v>0.99999998076014396</v>
      </c>
    </row>
    <row r="5623" spans="1:40" x14ac:dyDescent="0.25">
      <c r="A5623" t="str">
        <f>"20190303170646675"</f>
        <v>20190303170646675</v>
      </c>
      <c r="B5623" t="str">
        <f>"1551604006670949"</f>
        <v>1551604006670949</v>
      </c>
      <c r="C5623" t="s">
        <v>40</v>
      </c>
      <c r="D5623">
        <v>6.1325409999999998</v>
      </c>
      <c r="E5623">
        <v>0.46918919999999997</v>
      </c>
      <c r="F5623" t="s">
        <v>71</v>
      </c>
      <c r="G5623">
        <v>-198.27070000000001</v>
      </c>
      <c r="H5623" s="1">
        <v>-6.4565139999999999E-6</v>
      </c>
      <c r="I5623">
        <v>-61.161439999999999</v>
      </c>
      <c r="J5623">
        <v>-213.63550000000001</v>
      </c>
      <c r="K5623">
        <v>1.1257349999999999</v>
      </c>
      <c r="L5623">
        <v>-63.820650000000001</v>
      </c>
      <c r="M5623">
        <v>0.99943139999999997</v>
      </c>
      <c r="N5623">
        <v>-1.412825E-2</v>
      </c>
      <c r="O5623">
        <v>3.0617889999999998E-2</v>
      </c>
      <c r="P5623">
        <v>0.97775239999999997</v>
      </c>
      <c r="Q5623">
        <v>0.19385579999999999</v>
      </c>
      <c r="R5623">
        <v>8.0126580000000003E-2</v>
      </c>
      <c r="S5623">
        <v>3.0707089999999999</v>
      </c>
      <c r="T5623">
        <v>-0.22231970000000001</v>
      </c>
      <c r="U5623">
        <v>0.52664180000000005</v>
      </c>
      <c r="V5623">
        <v>-5.2487970000000002E-2</v>
      </c>
      <c r="W5623">
        <v>0.20710010000000001</v>
      </c>
      <c r="X5623">
        <v>0.97691070000000002</v>
      </c>
      <c r="Y5623">
        <v>-0.1384058</v>
      </c>
      <c r="Z5623">
        <v>4.1871510000000001E-3</v>
      </c>
      <c r="AA5623">
        <v>0.99036679999999999</v>
      </c>
      <c r="AB5623">
        <v>36</v>
      </c>
      <c r="AC5623">
        <v>15.364800000000001</v>
      </c>
      <c r="AD5623">
        <v>-1.125741456514</v>
      </c>
      <c r="AE5623">
        <v>2.6592099999999999</v>
      </c>
      <c r="AF5623">
        <v>-2.1761362851015602</v>
      </c>
      <c r="AG5623">
        <v>-1.125741456514</v>
      </c>
      <c r="AH5623">
        <v>15.358971278508999</v>
      </c>
      <c r="AI5623">
        <v>94.150711219996694</v>
      </c>
      <c r="AJ5623">
        <v>98.064277526355696</v>
      </c>
      <c r="AK5623">
        <v>15.553162433804699</v>
      </c>
      <c r="AL5623">
        <v>78.047535118751199</v>
      </c>
      <c r="AM5623">
        <v>93.075460573554693</v>
      </c>
      <c r="AN5623">
        <v>0.99999997709460997</v>
      </c>
    </row>
    <row r="5624" spans="1:40" x14ac:dyDescent="0.25">
      <c r="A5624" t="str">
        <f>"20190303170646687"</f>
        <v>20190303170646687</v>
      </c>
      <c r="B5624" t="str">
        <f>"1551604006680709"</f>
        <v>1551604006680709</v>
      </c>
      <c r="C5624" t="s">
        <v>40</v>
      </c>
      <c r="D5624">
        <v>5.9639540000000002</v>
      </c>
      <c r="E5624">
        <v>0.4691747</v>
      </c>
      <c r="F5624" t="s">
        <v>71</v>
      </c>
      <c r="G5624">
        <v>-198.32910000000001</v>
      </c>
      <c r="H5624" s="1">
        <v>-6.4323159999999998E-6</v>
      </c>
      <c r="I5624">
        <v>-61.154510000000002</v>
      </c>
      <c r="J5624">
        <v>-213.45820000000001</v>
      </c>
      <c r="K5624">
        <v>1.1258060000000001</v>
      </c>
      <c r="L5624">
        <v>-63.8131699999999</v>
      </c>
      <c r="M5624">
        <v>0.99935059999999998</v>
      </c>
      <c r="N5624">
        <v>-1.413479E-2</v>
      </c>
      <c r="O5624">
        <v>3.3147139999999999E-2</v>
      </c>
      <c r="P5624">
        <v>0.97757320000000003</v>
      </c>
      <c r="Q5624">
        <v>0.1935357</v>
      </c>
      <c r="R5624">
        <v>8.303489E-2</v>
      </c>
      <c r="S5624">
        <v>3.0691830000000002</v>
      </c>
      <c r="T5624">
        <v>-0.22573029999999999</v>
      </c>
      <c r="U5624">
        <v>0.5346069</v>
      </c>
      <c r="V5624">
        <v>-5.2955679999999998E-2</v>
      </c>
      <c r="W5624">
        <v>0.20677209999999999</v>
      </c>
      <c r="X5624">
        <v>0.97695489999999996</v>
      </c>
      <c r="Y5624">
        <v>-0.13847100000000001</v>
      </c>
      <c r="Z5624">
        <v>4.0854419999999999E-3</v>
      </c>
      <c r="AA5624">
        <v>0.99035810000000002</v>
      </c>
      <c r="AB5624">
        <v>36</v>
      </c>
      <c r="AC5624">
        <v>15.1290999999999</v>
      </c>
      <c r="AD5624">
        <v>-1.1258124323159999</v>
      </c>
      <c r="AE5624">
        <v>2.65865999999999</v>
      </c>
      <c r="AF5624">
        <v>-2.1441449498282501</v>
      </c>
      <c r="AG5624">
        <v>-1.1258124323159999</v>
      </c>
      <c r="AH5624">
        <v>15.127661885548701</v>
      </c>
      <c r="AI5624">
        <v>94.214185306998701</v>
      </c>
      <c r="AJ5624">
        <v>98.067180075483407</v>
      </c>
      <c r="AK5624">
        <v>15.320279544516</v>
      </c>
      <c r="AL5624">
        <v>78.066743482879104</v>
      </c>
      <c r="AM5624">
        <v>93.1026719814123</v>
      </c>
      <c r="AN5624">
        <v>0.999999941008339</v>
      </c>
    </row>
    <row r="5625" spans="1:40" x14ac:dyDescent="0.25">
      <c r="A5625" t="str">
        <f>"20190303170646698"</f>
        <v>20190303170646698</v>
      </c>
      <c r="B5625" t="str">
        <f>"1551604006690469"</f>
        <v>1551604006690469</v>
      </c>
      <c r="C5625" t="s">
        <v>40</v>
      </c>
      <c r="D5625">
        <v>5.747115</v>
      </c>
      <c r="E5625">
        <v>0.46921679999999999</v>
      </c>
      <c r="F5625" t="s">
        <v>71</v>
      </c>
      <c r="G5625">
        <v>-198.2739</v>
      </c>
      <c r="H5625" s="1">
        <v>-6.452926E-6</v>
      </c>
      <c r="I5625">
        <v>-61.121969999999997</v>
      </c>
      <c r="J5625">
        <v>-213.27940000000001</v>
      </c>
      <c r="K5625">
        <v>1.12588</v>
      </c>
      <c r="L5625">
        <v>-63.805079999999997</v>
      </c>
      <c r="M5625">
        <v>0.99926130000000002</v>
      </c>
      <c r="N5625">
        <v>-1.4141519999999999E-2</v>
      </c>
      <c r="O5625">
        <v>3.5736570000000002E-2</v>
      </c>
      <c r="P5625">
        <v>0.97734889999999996</v>
      </c>
      <c r="Q5625">
        <v>0.19360269999999999</v>
      </c>
      <c r="R5625">
        <v>8.5482169999999996E-2</v>
      </c>
      <c r="S5625">
        <v>3.0676730000000001</v>
      </c>
      <c r="T5625">
        <v>-0.2274468</v>
      </c>
      <c r="U5625">
        <v>0.5437012</v>
      </c>
      <c r="V5625">
        <v>-5.290835E-2</v>
      </c>
      <c r="W5625">
        <v>0.20683750000000001</v>
      </c>
      <c r="X5625">
        <v>0.97694369999999997</v>
      </c>
      <c r="Y5625">
        <v>-0.1388335</v>
      </c>
      <c r="Z5625">
        <v>3.9692909999999998E-3</v>
      </c>
      <c r="AA5625">
        <v>0.99030779999999996</v>
      </c>
      <c r="AB5625">
        <v>36</v>
      </c>
      <c r="AC5625">
        <v>15.0055</v>
      </c>
      <c r="AD5625">
        <v>-1.125886452926</v>
      </c>
      <c r="AE5625">
        <v>2.6831100000000001</v>
      </c>
      <c r="AF5625">
        <v>-2.1334584437617399</v>
      </c>
      <c r="AG5625">
        <v>-1.125886452926</v>
      </c>
      <c r="AH5625">
        <v>15.0099240478464</v>
      </c>
      <c r="AI5625">
        <v>94.247163702479099</v>
      </c>
      <c r="AJ5625">
        <v>98.089635680307794</v>
      </c>
      <c r="AK5625">
        <v>15.202535484525599</v>
      </c>
      <c r="AL5625">
        <v>78.062914487849795</v>
      </c>
      <c r="AM5625">
        <v>93.099939797652993</v>
      </c>
      <c r="AN5625">
        <v>1.00000001893783</v>
      </c>
    </row>
    <row r="5626" spans="1:40" x14ac:dyDescent="0.25">
      <c r="A5626" t="str">
        <f>"20190303170646709"</f>
        <v>20190303170646709</v>
      </c>
      <c r="B5626" t="str">
        <f>"1551604006700230"</f>
        <v>1551604006700230</v>
      </c>
      <c r="C5626" t="s">
        <v>40</v>
      </c>
      <c r="D5626">
        <v>5.9635699999999998</v>
      </c>
      <c r="E5626">
        <v>0.46925020000000001</v>
      </c>
      <c r="F5626" t="s">
        <v>71</v>
      </c>
      <c r="G5626">
        <v>-198.1182</v>
      </c>
      <c r="H5626" s="1">
        <v>-6.5139170000000003E-6</v>
      </c>
      <c r="I5626">
        <v>-61.0800699999999</v>
      </c>
      <c r="J5626">
        <v>-213.1078</v>
      </c>
      <c r="K5626">
        <v>1.125953</v>
      </c>
      <c r="L5626">
        <v>-63.796840000000003</v>
      </c>
      <c r="M5626">
        <v>0.99916749999999999</v>
      </c>
      <c r="N5626">
        <v>-1.414789E-2</v>
      </c>
      <c r="O5626">
        <v>3.8262869999999997E-2</v>
      </c>
      <c r="P5626">
        <v>0.97701559999999998</v>
      </c>
      <c r="Q5626">
        <v>0.19410630000000001</v>
      </c>
      <c r="R5626">
        <v>8.8110170000000002E-2</v>
      </c>
      <c r="S5626">
        <v>3.0664370000000001</v>
      </c>
      <c r="T5626">
        <v>-0.22771569999999999</v>
      </c>
      <c r="U5626">
        <v>0.55114750000000001</v>
      </c>
      <c r="V5626">
        <v>-5.3111329999999998E-2</v>
      </c>
      <c r="W5626">
        <v>0.2073343</v>
      </c>
      <c r="X5626">
        <v>0.97682729999999995</v>
      </c>
      <c r="Y5626">
        <v>-0.13873279999999999</v>
      </c>
      <c r="Z5626">
        <v>3.8190950000000002E-3</v>
      </c>
      <c r="AA5626">
        <v>0.99032249999999999</v>
      </c>
      <c r="AB5626">
        <v>36</v>
      </c>
      <c r="AC5626">
        <v>14.9895999999999</v>
      </c>
      <c r="AD5626">
        <v>-1.125959513917</v>
      </c>
      <c r="AE5626">
        <v>2.7167700000000101</v>
      </c>
      <c r="AF5626">
        <v>-2.1295439526340099</v>
      </c>
      <c r="AG5626">
        <v>-1.125959513917</v>
      </c>
      <c r="AH5626">
        <v>15.000634905681901</v>
      </c>
      <c r="AI5626">
        <v>94.250160858849597</v>
      </c>
      <c r="AJ5626">
        <v>98.079923102840198</v>
      </c>
      <c r="AK5626">
        <v>15.1928203387897</v>
      </c>
      <c r="AL5626">
        <v>78.033818399208499</v>
      </c>
      <c r="AM5626">
        <v>93.112179297446602</v>
      </c>
      <c r="AN5626">
        <v>0.99999994967807304</v>
      </c>
    </row>
    <row r="5627" spans="1:40" x14ac:dyDescent="0.25">
      <c r="A5627" t="str">
        <f>"20190303170646720"</f>
        <v>20190303170646720</v>
      </c>
      <c r="B5627" t="str">
        <f>"1551604006710965"</f>
        <v>1551604006710965</v>
      </c>
      <c r="C5627" t="s">
        <v>40</v>
      </c>
      <c r="D5627">
        <v>5.8870300000000002</v>
      </c>
      <c r="E5627">
        <v>0.46928449999999999</v>
      </c>
      <c r="F5627" t="s">
        <v>71</v>
      </c>
      <c r="G5627">
        <v>-197.9006</v>
      </c>
      <c r="H5627" s="1">
        <v>-6.5991430000000002E-6</v>
      </c>
      <c r="I5627">
        <v>-61.02176</v>
      </c>
      <c r="J5627">
        <v>-212.91210000000001</v>
      </c>
      <c r="K5627">
        <v>1.1260349999999999</v>
      </c>
      <c r="L5627">
        <v>-63.787050000000001</v>
      </c>
      <c r="M5627">
        <v>0.99905169999999999</v>
      </c>
      <c r="N5627">
        <v>-1.41549E-2</v>
      </c>
      <c r="O5627">
        <v>4.1174099999999998E-2</v>
      </c>
      <c r="P5627">
        <v>0.97671569999999996</v>
      </c>
      <c r="Q5627">
        <v>0.19442119999999999</v>
      </c>
      <c r="R5627">
        <v>9.0702669999999999E-2</v>
      </c>
      <c r="S5627">
        <v>3.0652159999999999</v>
      </c>
      <c r="T5627">
        <v>-0.22695299999999999</v>
      </c>
      <c r="U5627">
        <v>0.55935669999999904</v>
      </c>
      <c r="V5627">
        <v>-5.2903720000000001E-2</v>
      </c>
      <c r="W5627">
        <v>0.2076482</v>
      </c>
      <c r="X5627">
        <v>0.97677199999999997</v>
      </c>
      <c r="Y5627">
        <v>-0.1384918</v>
      </c>
      <c r="Z5627">
        <v>3.6300709999999999E-3</v>
      </c>
      <c r="AA5627">
        <v>0.99035689999999998</v>
      </c>
      <c r="AB5627">
        <v>36</v>
      </c>
      <c r="AC5627">
        <v>15.0115</v>
      </c>
      <c r="AD5627">
        <v>-1.1260415991429999</v>
      </c>
      <c r="AE5627">
        <v>2.7652899999999998</v>
      </c>
      <c r="AF5627">
        <v>-2.1331885235324499</v>
      </c>
      <c r="AG5627">
        <v>-1.1260415991429999</v>
      </c>
      <c r="AH5627">
        <v>15.030837651815499</v>
      </c>
      <c r="AI5627">
        <v>94.241985107657399</v>
      </c>
      <c r="AJ5627">
        <v>98.077520024159796</v>
      </c>
      <c r="AK5627">
        <v>15.2231581307942</v>
      </c>
      <c r="AL5627">
        <v>78.015434464986797</v>
      </c>
      <c r="AM5627">
        <v>93.100212858120997</v>
      </c>
      <c r="AN5627">
        <v>1.0000000592685301</v>
      </c>
    </row>
    <row r="5628" spans="1:40" x14ac:dyDescent="0.25">
      <c r="A5628" t="str">
        <f>"20190303170646732"</f>
        <v>20190303170646732</v>
      </c>
      <c r="B5628" t="str">
        <f>"1551604006720726"</f>
        <v>1551604006720726</v>
      </c>
      <c r="C5628" t="s">
        <v>40</v>
      </c>
      <c r="D5628">
        <v>5.903772</v>
      </c>
      <c r="E5628">
        <v>0.46938459999999899</v>
      </c>
      <c r="F5628" t="s">
        <v>71</v>
      </c>
      <c r="G5628">
        <v>-197.68700000000001</v>
      </c>
      <c r="H5628" s="1">
        <v>-6.6831649999999999E-6</v>
      </c>
      <c r="I5628">
        <v>-60.969970000000004</v>
      </c>
      <c r="J5628">
        <v>-212.7465</v>
      </c>
      <c r="K5628">
        <v>1.1261049999999999</v>
      </c>
      <c r="L5628">
        <v>-63.778019999999998</v>
      </c>
      <c r="M5628">
        <v>0.99894459999999996</v>
      </c>
      <c r="N5628">
        <v>-1.416105E-2</v>
      </c>
      <c r="O5628">
        <v>4.3695709999999999E-2</v>
      </c>
      <c r="P5628">
        <v>0.97644050000000004</v>
      </c>
      <c r="Q5628">
        <v>0.194575</v>
      </c>
      <c r="R5628">
        <v>9.3297320000000003E-2</v>
      </c>
      <c r="S5628">
        <v>3.0639949999999998</v>
      </c>
      <c r="T5628">
        <v>-0.22661110000000001</v>
      </c>
      <c r="U5628">
        <v>0.56692500000000001</v>
      </c>
      <c r="V5628">
        <v>-5.3071090000000001E-2</v>
      </c>
      <c r="W5628">
        <v>0.2077966</v>
      </c>
      <c r="X5628">
        <v>0.97673129999999997</v>
      </c>
      <c r="Y5628">
        <v>-0.13843349999999999</v>
      </c>
      <c r="Z5628">
        <v>3.476855E-3</v>
      </c>
      <c r="AA5628">
        <v>0.99036559999999996</v>
      </c>
      <c r="AB5628">
        <v>36</v>
      </c>
      <c r="AC5628">
        <v>15.0594999999999</v>
      </c>
      <c r="AD5628">
        <v>-1.126111683165</v>
      </c>
      <c r="AE5628">
        <v>2.8080500000000002</v>
      </c>
      <c r="AF5628">
        <v>-2.1357249639226499</v>
      </c>
      <c r="AG5628">
        <v>-1.126111683165</v>
      </c>
      <c r="AH5628">
        <v>15.086302391404001</v>
      </c>
      <c r="AI5628">
        <v>94.226915128061506</v>
      </c>
      <c r="AJ5628">
        <v>98.057656870961196</v>
      </c>
      <c r="AK5628">
        <v>15.278284212874301</v>
      </c>
      <c r="AL5628">
        <v>78.006741452376204</v>
      </c>
      <c r="AM5628">
        <v>93.110131028481206</v>
      </c>
      <c r="AN5628">
        <v>0.99999999998251898</v>
      </c>
    </row>
    <row r="5629" spans="1:40" x14ac:dyDescent="0.25">
      <c r="A5629" t="str">
        <f>"20190303170646742"</f>
        <v>20190303170646742</v>
      </c>
      <c r="B5629" t="str">
        <f>"1551604006730486"</f>
        <v>1551604006730486</v>
      </c>
      <c r="C5629" t="s">
        <v>40</v>
      </c>
      <c r="D5629">
        <v>5.8658890000000001</v>
      </c>
      <c r="E5629">
        <v>0.46949000000000002</v>
      </c>
      <c r="F5629" t="s">
        <v>71</v>
      </c>
      <c r="G5629">
        <v>-197.49459999999999</v>
      </c>
      <c r="H5629" s="1">
        <v>-6.7586059999999997E-6</v>
      </c>
      <c r="I5629">
        <v>-60.919609999999999</v>
      </c>
      <c r="J5629">
        <v>-212.57210000000001</v>
      </c>
      <c r="K5629">
        <v>1.126179</v>
      </c>
      <c r="L5629">
        <v>-63.768340000000002</v>
      </c>
      <c r="M5629">
        <v>0.99882439999999995</v>
      </c>
      <c r="N5629">
        <v>-1.416719E-2</v>
      </c>
      <c r="O5629">
        <v>4.6362470000000003E-2</v>
      </c>
      <c r="P5629">
        <v>0.97619449999999997</v>
      </c>
      <c r="Q5629">
        <v>0.19438710000000001</v>
      </c>
      <c r="R5629">
        <v>9.6219869999999999E-2</v>
      </c>
      <c r="S5629">
        <v>3.0626220000000002</v>
      </c>
      <c r="T5629">
        <v>-0.22612570000000001</v>
      </c>
      <c r="U5629">
        <v>0.5739746</v>
      </c>
      <c r="V5629">
        <v>-5.3421240000000002E-2</v>
      </c>
      <c r="W5629">
        <v>0.20760210000000001</v>
      </c>
      <c r="X5629">
        <v>0.9767536</v>
      </c>
      <c r="Y5629">
        <v>-0.13807910000000001</v>
      </c>
      <c r="Z5629">
        <v>3.301755E-3</v>
      </c>
      <c r="AA5629">
        <v>0.99041570000000001</v>
      </c>
      <c r="AB5629">
        <v>36</v>
      </c>
      <c r="AC5629">
        <v>15.077500000000001</v>
      </c>
      <c r="AD5629">
        <v>-1.126185758606</v>
      </c>
      <c r="AE5629">
        <v>2.8487300000000002</v>
      </c>
      <c r="AF5629">
        <v>-2.1350648248610198</v>
      </c>
      <c r="AG5629">
        <v>-1.126185758606</v>
      </c>
      <c r="AH5629">
        <v>15.1119663885055</v>
      </c>
      <c r="AI5629">
        <v>94.220204900095197</v>
      </c>
      <c r="AJ5629">
        <v>98.041698296081293</v>
      </c>
      <c r="AK5629">
        <v>15.303539600254799</v>
      </c>
      <c r="AL5629">
        <v>78.0181342605525</v>
      </c>
      <c r="AM5629">
        <v>93.130538892902393</v>
      </c>
      <c r="AN5629">
        <v>1.0000000279602499</v>
      </c>
    </row>
    <row r="5630" spans="1:40" x14ac:dyDescent="0.25">
      <c r="A5630" t="str">
        <f>"20190303170646754"</f>
        <v>20190303170646754</v>
      </c>
      <c r="B5630" t="str">
        <f>"1551604006750981"</f>
        <v>1551604006750981</v>
      </c>
      <c r="C5630" t="s">
        <v>40</v>
      </c>
      <c r="D5630">
        <v>5.8816620000000004</v>
      </c>
      <c r="E5630">
        <v>0.46967409999999998</v>
      </c>
      <c r="F5630" t="s">
        <v>71</v>
      </c>
      <c r="G5630">
        <v>-197.36340000000001</v>
      </c>
      <c r="H5630" s="1">
        <v>-6.8095709999999998E-6</v>
      </c>
      <c r="I5630">
        <v>-60.877490000000002</v>
      </c>
      <c r="J5630">
        <v>-212.37819999999999</v>
      </c>
      <c r="K5630">
        <v>1.12626</v>
      </c>
      <c r="L5630">
        <v>-63.756619999999998</v>
      </c>
      <c r="M5630">
        <v>0.99867799999999995</v>
      </c>
      <c r="N5630">
        <v>-1.4174590000000001E-2</v>
      </c>
      <c r="O5630">
        <v>4.9410049999999997E-2</v>
      </c>
      <c r="P5630">
        <v>0.97587219999999997</v>
      </c>
      <c r="Q5630">
        <v>0.19420270000000001</v>
      </c>
      <c r="R5630">
        <v>9.9793740000000006E-2</v>
      </c>
      <c r="S5630">
        <v>3.0609130000000002</v>
      </c>
      <c r="T5630">
        <v>-0.2266581</v>
      </c>
      <c r="U5630">
        <v>0.58181759999999905</v>
      </c>
      <c r="V5630">
        <v>-5.4056479999999997E-2</v>
      </c>
      <c r="W5630">
        <v>0.20740710000000001</v>
      </c>
      <c r="X5630">
        <v>0.97675999999999996</v>
      </c>
      <c r="Y5630">
        <v>-0.1376127</v>
      </c>
      <c r="Z5630">
        <v>3.1069750000000001E-3</v>
      </c>
      <c r="AA5630">
        <v>0.99048130000000001</v>
      </c>
      <c r="AB5630">
        <v>36</v>
      </c>
      <c r="AC5630">
        <v>15.0147999999999</v>
      </c>
      <c r="AD5630">
        <v>-1.126266809571</v>
      </c>
      <c r="AE5630">
        <v>2.8791299999999902</v>
      </c>
      <c r="AF5630">
        <v>-2.12213921556538</v>
      </c>
      <c r="AG5630">
        <v>-1.126266809571</v>
      </c>
      <c r="AH5630">
        <v>15.057014432149099</v>
      </c>
      <c r="AI5630">
        <v>94.236054881352104</v>
      </c>
      <c r="AJ5630">
        <v>98.022439707766097</v>
      </c>
      <c r="AK5630">
        <v>15.2474796404694</v>
      </c>
      <c r="AL5630">
        <v>78.029554620119598</v>
      </c>
      <c r="AM5630">
        <v>93.167668522517801</v>
      </c>
      <c r="AN5630">
        <v>0.99999995288019905</v>
      </c>
    </row>
    <row r="5631" spans="1:40" x14ac:dyDescent="0.25">
      <c r="A5631" t="str">
        <f>"20190303170646767"</f>
        <v>20190303170646767</v>
      </c>
      <c r="B5631" t="str">
        <f>"1551604006760741"</f>
        <v>1551604006760741</v>
      </c>
      <c r="C5631" t="s">
        <v>40</v>
      </c>
      <c r="D5631">
        <v>5.8554700000000004</v>
      </c>
      <c r="E5631">
        <v>0.4697173</v>
      </c>
      <c r="F5631" t="s">
        <v>71</v>
      </c>
      <c r="G5631">
        <v>-197.23249999999999</v>
      </c>
      <c r="H5631" s="1">
        <v>-6.8600109999999996E-6</v>
      </c>
      <c r="I5631">
        <v>-60.828009999999999</v>
      </c>
      <c r="J5631">
        <v>-212.19399999999999</v>
      </c>
      <c r="K5631">
        <v>1.126339</v>
      </c>
      <c r="L5631">
        <v>-63.745179999999998</v>
      </c>
      <c r="M5631">
        <v>0.99852929999999995</v>
      </c>
      <c r="N5631">
        <v>-1.418148E-2</v>
      </c>
      <c r="O5631">
        <v>5.2329639999999997E-2</v>
      </c>
      <c r="P5631">
        <v>0.97562059999999995</v>
      </c>
      <c r="Q5631">
        <v>0.1935123</v>
      </c>
      <c r="R5631">
        <v>0.10352649999999999</v>
      </c>
      <c r="S5631">
        <v>3.0589599999999999</v>
      </c>
      <c r="T5631">
        <v>-0.22747210000000001</v>
      </c>
      <c r="U5631">
        <v>0.59149169999999995</v>
      </c>
      <c r="V5631">
        <v>-5.4963739999999997E-2</v>
      </c>
      <c r="W5631">
        <v>0.20670269999999999</v>
      </c>
      <c r="X5631">
        <v>0.97685869999999997</v>
      </c>
      <c r="Y5631">
        <v>-0.13785639999999999</v>
      </c>
      <c r="Z5631">
        <v>2.9512879999999998E-3</v>
      </c>
      <c r="AA5631">
        <v>0.99044779999999999</v>
      </c>
      <c r="AB5631">
        <v>36</v>
      </c>
      <c r="AC5631">
        <v>14.961499999999999</v>
      </c>
      <c r="AD5631">
        <v>-1.1263458600109999</v>
      </c>
      <c r="AE5631">
        <v>2.91717</v>
      </c>
      <c r="AF5631">
        <v>-2.1185962993888099</v>
      </c>
      <c r="AG5631">
        <v>-1.1263458600109999</v>
      </c>
      <c r="AH5631">
        <v>15.011703198671</v>
      </c>
      <c r="AI5631">
        <v>94.248980452571701</v>
      </c>
      <c r="AJ5631">
        <v>98.033080048261098</v>
      </c>
      <c r="AK5631">
        <v>15.2022478009384</v>
      </c>
      <c r="AL5631">
        <v>78.070807952589504</v>
      </c>
      <c r="AM5631">
        <v>93.220397533758401</v>
      </c>
      <c r="AN5631">
        <v>0.99999996933388302</v>
      </c>
    </row>
    <row r="5632" spans="1:40" x14ac:dyDescent="0.25">
      <c r="A5632" t="str">
        <f>"20190303170646776"</f>
        <v>20190303170646776</v>
      </c>
      <c r="B5632" t="str">
        <f>"1551604006771009"</f>
        <v>1551604006771009</v>
      </c>
      <c r="C5632" t="s">
        <v>40</v>
      </c>
      <c r="D5632">
        <v>5.9217659999999999</v>
      </c>
      <c r="E5632">
        <v>0.46961530000000001</v>
      </c>
      <c r="F5632" t="s">
        <v>71</v>
      </c>
      <c r="G5632">
        <v>-197.245</v>
      </c>
      <c r="H5632" s="1">
        <v>-6.8532589999999996E-6</v>
      </c>
      <c r="I5632">
        <v>-60.799069999999901</v>
      </c>
      <c r="J5632">
        <v>-212.01419999999999</v>
      </c>
      <c r="K5632">
        <v>1.1264149999999999</v>
      </c>
      <c r="L5632">
        <v>-63.733310000000003</v>
      </c>
      <c r="M5632">
        <v>0.9983725</v>
      </c>
      <c r="N5632">
        <v>-1.4188660000000001E-2</v>
      </c>
      <c r="O5632">
        <v>5.5236649999999998E-2</v>
      </c>
      <c r="P5632">
        <v>0.97523119999999996</v>
      </c>
      <c r="Q5632">
        <v>0.1935153</v>
      </c>
      <c r="R5632">
        <v>0.10712670000000001</v>
      </c>
      <c r="S5632">
        <v>3.0567470000000001</v>
      </c>
      <c r="T5632">
        <v>-0.23031380000000001</v>
      </c>
      <c r="U5632">
        <v>0.60241699999999998</v>
      </c>
      <c r="V5632">
        <v>-5.576735E-2</v>
      </c>
      <c r="W5632">
        <v>0.20669190000000001</v>
      </c>
      <c r="X5632">
        <v>0.97681549999999995</v>
      </c>
      <c r="Y5632">
        <v>-0.13851189999999999</v>
      </c>
      <c r="Z5632">
        <v>2.8223689999999999E-3</v>
      </c>
      <c r="AA5632">
        <v>0.99035669999999998</v>
      </c>
      <c r="AB5632">
        <v>36</v>
      </c>
      <c r="AC5632">
        <v>14.7691999999999</v>
      </c>
      <c r="AD5632">
        <v>-1.126421853259</v>
      </c>
      <c r="AE5632">
        <v>2.93424</v>
      </c>
      <c r="AF5632">
        <v>-2.1021127546667899</v>
      </c>
      <c r="AG5632">
        <v>-1.126421853259</v>
      </c>
      <c r="AH5632">
        <v>14.8257763957069</v>
      </c>
      <c r="AI5632">
        <v>94.301965180598003</v>
      </c>
      <c r="AJ5632">
        <v>98.070044384479502</v>
      </c>
      <c r="AK5632">
        <v>15.0163694001024</v>
      </c>
      <c r="AL5632">
        <v>78.071441138518296</v>
      </c>
      <c r="AM5632">
        <v>93.267525003064506</v>
      </c>
      <c r="AN5632">
        <v>1.0000000299459399</v>
      </c>
    </row>
    <row r="5633" spans="1:40" x14ac:dyDescent="0.25">
      <c r="A5633" t="str">
        <f>"20190303170646790"</f>
        <v>20190303170646790</v>
      </c>
      <c r="B5633" t="str">
        <f>"1551604006780769"</f>
        <v>1551604006780769</v>
      </c>
      <c r="C5633" t="s">
        <v>40</v>
      </c>
      <c r="D5633">
        <v>5.9603640000000002</v>
      </c>
      <c r="E5633">
        <v>0.46961530000000001</v>
      </c>
      <c r="F5633" t="s">
        <v>71</v>
      </c>
      <c r="G5633">
        <v>-197.0634</v>
      </c>
      <c r="H5633" s="1">
        <v>-6.9230749999999998E-6</v>
      </c>
      <c r="I5633">
        <v>-60.727209999999999</v>
      </c>
      <c r="J5633">
        <v>-211.81379999999999</v>
      </c>
      <c r="K5633">
        <v>1.126501</v>
      </c>
      <c r="L5633">
        <v>-63.719450000000002</v>
      </c>
      <c r="M5633">
        <v>0.99818530000000005</v>
      </c>
      <c r="N5633">
        <v>-1.4196729999999999E-2</v>
      </c>
      <c r="O5633">
        <v>5.8522079999999997E-2</v>
      </c>
      <c r="P5633">
        <v>0.97475109999999998</v>
      </c>
      <c r="Q5633">
        <v>0.19372130000000001</v>
      </c>
      <c r="R5633">
        <v>0.1110515</v>
      </c>
      <c r="S5633">
        <v>3.0544129999999998</v>
      </c>
      <c r="T5633">
        <v>-0.23012460000000001</v>
      </c>
      <c r="U5633">
        <v>0.61413569999999995</v>
      </c>
      <c r="V5633">
        <v>-5.65354E-2</v>
      </c>
      <c r="W5633">
        <v>0.20688319999999999</v>
      </c>
      <c r="X5633">
        <v>0.97673080000000001</v>
      </c>
      <c r="Y5633">
        <v>-0.1390554</v>
      </c>
      <c r="Z5633">
        <v>2.6498300000000002E-3</v>
      </c>
      <c r="AA5633">
        <v>0.99028099999999997</v>
      </c>
      <c r="AB5633">
        <v>36</v>
      </c>
      <c r="AC5633">
        <v>14.7503999999999</v>
      </c>
      <c r="AD5633">
        <v>-1.1265079230749999</v>
      </c>
      <c r="AE5633">
        <v>2.9922399999999998</v>
      </c>
      <c r="AF5633">
        <v>-2.1119682835108402</v>
      </c>
      <c r="AG5633">
        <v>-1.1265079230749999</v>
      </c>
      <c r="AH5633">
        <v>14.817237235528699</v>
      </c>
      <c r="AI5633">
        <v>94.304316459448501</v>
      </c>
      <c r="AJ5633">
        <v>98.111988150429397</v>
      </c>
      <c r="AK5633">
        <v>15.009328746657699</v>
      </c>
      <c r="AL5633">
        <v>78.060237745549401</v>
      </c>
      <c r="AM5633">
        <v>93.312713728733598</v>
      </c>
      <c r="AN5633">
        <v>0.99999998278201896</v>
      </c>
    </row>
    <row r="5634" spans="1:40" x14ac:dyDescent="0.25">
      <c r="A5634" t="str">
        <f>"20190303170646803"</f>
        <v>20190303170646803</v>
      </c>
      <c r="B5634" t="str">
        <f>"1551604006790529"</f>
        <v>1551604006790529</v>
      </c>
      <c r="C5634" t="s">
        <v>40</v>
      </c>
      <c r="D5634">
        <v>5.9352049999999998</v>
      </c>
      <c r="E5634">
        <v>0.4283942</v>
      </c>
      <c r="F5634" t="s">
        <v>71</v>
      </c>
      <c r="G5634">
        <v>-196.8356</v>
      </c>
      <c r="H5634" s="1">
        <v>-7.0110950000000002E-6</v>
      </c>
      <c r="I5634">
        <v>-60.645710000000001</v>
      </c>
      <c r="J5634">
        <v>-211.60050000000001</v>
      </c>
      <c r="K5634">
        <v>1.1265889999999901</v>
      </c>
      <c r="L5634">
        <v>-63.704129999999999</v>
      </c>
      <c r="M5634">
        <v>0.99797139999999995</v>
      </c>
      <c r="N5634">
        <v>-1.4205189999999999E-2</v>
      </c>
      <c r="O5634">
        <v>6.206155E-2</v>
      </c>
      <c r="P5634">
        <v>0.97422869999999995</v>
      </c>
      <c r="Q5634">
        <v>0.19410749999999999</v>
      </c>
      <c r="R5634">
        <v>0.1148956</v>
      </c>
      <c r="S5634">
        <v>3.051987</v>
      </c>
      <c r="T5634">
        <v>-0.22953979999999999</v>
      </c>
      <c r="U5634">
        <v>0.62631230000000004</v>
      </c>
      <c r="V5634">
        <v>-5.6982079999999997E-2</v>
      </c>
      <c r="W5634">
        <v>0.20725830000000001</v>
      </c>
      <c r="X5634">
        <v>0.97662530000000003</v>
      </c>
      <c r="Y5634">
        <v>-0.13949619999999999</v>
      </c>
      <c r="Z5634">
        <v>2.4568950000000002E-3</v>
      </c>
      <c r="AA5634">
        <v>0.99021950000000003</v>
      </c>
      <c r="AB5634">
        <v>36</v>
      </c>
      <c r="AC5634">
        <v>14.764900000000001</v>
      </c>
      <c r="AD5634">
        <v>-1.12659601109499</v>
      </c>
      <c r="AE5634">
        <v>3.0584199999999999</v>
      </c>
      <c r="AF5634">
        <v>-2.1242396856920598</v>
      </c>
      <c r="AG5634">
        <v>-1.12659601109499</v>
      </c>
      <c r="AH5634">
        <v>14.8433982860866</v>
      </c>
      <c r="AI5634">
        <v>94.296748561576905</v>
      </c>
      <c r="AJ5634">
        <v>98.144303365227998</v>
      </c>
      <c r="AK5634">
        <v>15.0368908187126</v>
      </c>
      <c r="AL5634">
        <v>78.0382697942498</v>
      </c>
      <c r="AM5634">
        <v>93.339187996181096</v>
      </c>
      <c r="AN5634">
        <v>0.99999996848005201</v>
      </c>
    </row>
    <row r="5635" spans="1:40" x14ac:dyDescent="0.25">
      <c r="A5635" t="str">
        <f>"20190303170646817"</f>
        <v>20190303170646817</v>
      </c>
      <c r="B5635" t="str">
        <f>"1551604006812000"</f>
        <v>1551604006812000</v>
      </c>
      <c r="C5635" t="s">
        <v>40</v>
      </c>
      <c r="D5635">
        <v>5.821968</v>
      </c>
      <c r="E5635">
        <v>0.41224490000000003</v>
      </c>
      <c r="F5635" t="s">
        <v>71</v>
      </c>
      <c r="G5635">
        <v>-179.9546</v>
      </c>
      <c r="H5635">
        <v>5.3098880000000001E-2</v>
      </c>
      <c r="I5635">
        <v>-53.562739999999998</v>
      </c>
      <c r="J5635">
        <v>-211.36500000000001</v>
      </c>
      <c r="K5635">
        <v>1.126692</v>
      </c>
      <c r="L5635">
        <v>-63.68591</v>
      </c>
      <c r="M5635">
        <v>0.99771410000000005</v>
      </c>
      <c r="N5635">
        <v>-1.421467E-2</v>
      </c>
      <c r="O5635">
        <v>6.6066699999999895E-2</v>
      </c>
      <c r="P5635">
        <v>0.97357479999999996</v>
      </c>
      <c r="Q5635">
        <v>0.1949022</v>
      </c>
      <c r="R5635">
        <v>0.119019899999999</v>
      </c>
      <c r="S5635">
        <v>2.9866640000000002</v>
      </c>
      <c r="T5635">
        <v>-0.10131370000000001</v>
      </c>
      <c r="U5635">
        <v>0.95712280000000005</v>
      </c>
      <c r="V5635">
        <v>-5.7270370000000001E-2</v>
      </c>
      <c r="W5635">
        <v>0.20804239999999999</v>
      </c>
      <c r="X5635">
        <v>0.97644169999999997</v>
      </c>
      <c r="Y5635">
        <v>-0.2414183</v>
      </c>
      <c r="Z5635">
        <v>4.4922069999999998E-3</v>
      </c>
      <c r="AA5635">
        <v>0.97041080000000002</v>
      </c>
      <c r="AB5635">
        <v>36</v>
      </c>
      <c r="AC5635">
        <v>31.410399999999999</v>
      </c>
      <c r="AD5635">
        <v>-1.07359312</v>
      </c>
      <c r="AE5635">
        <v>10.123169999999901</v>
      </c>
      <c r="AF5635">
        <v>-8.0171729701178904</v>
      </c>
      <c r="AG5635">
        <v>-1.07359312</v>
      </c>
      <c r="AH5635">
        <v>31.976791372698099</v>
      </c>
      <c r="AI5635">
        <v>91.865245602749496</v>
      </c>
      <c r="AJ5635">
        <v>104.074982007968</v>
      </c>
      <c r="AK5635">
        <v>32.983978703503297</v>
      </c>
      <c r="AL5635">
        <v>77.992343063383501</v>
      </c>
      <c r="AM5635">
        <v>93.356673058049594</v>
      </c>
      <c r="AN5635">
        <v>0.99999996448829198</v>
      </c>
    </row>
    <row r="5636" spans="1:40" x14ac:dyDescent="0.25">
      <c r="A5636" t="str">
        <f>"20190303170646829"</f>
        <v>20190303170646829</v>
      </c>
      <c r="B5636" t="str">
        <f>"1551604006820784"</f>
        <v>1551604006820784</v>
      </c>
      <c r="C5636" t="s">
        <v>40</v>
      </c>
      <c r="D5636">
        <v>5.8215830000000004</v>
      </c>
      <c r="E5636">
        <v>0.40410960000000001</v>
      </c>
      <c r="F5636" t="s">
        <v>54</v>
      </c>
      <c r="G5636">
        <v>-157.3501</v>
      </c>
      <c r="H5636">
        <v>0.42250349999999998</v>
      </c>
      <c r="I5636">
        <v>-43.679079999999999</v>
      </c>
      <c r="J5636">
        <v>-211.17449999999999</v>
      </c>
      <c r="K5636">
        <v>1.1267739999999999</v>
      </c>
      <c r="L5636">
        <v>-63.670529999999999</v>
      </c>
      <c r="M5636">
        <v>0.99749109999999996</v>
      </c>
      <c r="N5636">
        <v>-1.4222139999999999E-2</v>
      </c>
      <c r="O5636">
        <v>6.9349099999999997E-2</v>
      </c>
      <c r="P5636">
        <v>0.97315790000000002</v>
      </c>
      <c r="Q5636">
        <v>0.19509580000000001</v>
      </c>
      <c r="R5636">
        <v>0.12207129999999999</v>
      </c>
      <c r="S5636">
        <v>2.9553219999999998</v>
      </c>
      <c r="T5636">
        <v>-3.8529399999999998E-2</v>
      </c>
      <c r="U5636">
        <v>1.094635</v>
      </c>
      <c r="V5636">
        <v>-5.7163690000000003E-2</v>
      </c>
      <c r="W5636">
        <v>0.208234</v>
      </c>
      <c r="X5636">
        <v>0.97640709999999997</v>
      </c>
      <c r="Y5636">
        <v>-0.28141260000000001</v>
      </c>
      <c r="Z5636">
        <v>3.9277419999999997E-3</v>
      </c>
      <c r="AA5636">
        <v>0.95957879999999995</v>
      </c>
      <c r="AB5636">
        <v>36</v>
      </c>
      <c r="AC5636">
        <v>53.824399999999997</v>
      </c>
      <c r="AD5636">
        <v>-0.70427050000000002</v>
      </c>
      <c r="AE5636">
        <v>19.99145</v>
      </c>
      <c r="AF5636">
        <v>-16.207820265755601</v>
      </c>
      <c r="AG5636">
        <v>-0.70427050000000002</v>
      </c>
      <c r="AH5636">
        <v>55.073032426466199</v>
      </c>
      <c r="AI5636">
        <v>90.702852797635799</v>
      </c>
      <c r="AJ5636">
        <v>106.39899025570099</v>
      </c>
      <c r="AK5636">
        <v>57.412788952904997</v>
      </c>
      <c r="AL5636">
        <v>77.981119277869993</v>
      </c>
      <c r="AM5636">
        <v>93.3505531505417</v>
      </c>
      <c r="AN5636">
        <v>0.99999995557041199</v>
      </c>
    </row>
    <row r="5637" spans="1:40" x14ac:dyDescent="0.25">
      <c r="A5637" t="str">
        <f>"20190303170646844"</f>
        <v>20190303170646844</v>
      </c>
      <c r="B5637" t="str">
        <f>"1551604006830545"</f>
        <v>1551604006830545</v>
      </c>
      <c r="C5637" t="s">
        <v>40</v>
      </c>
      <c r="D5637">
        <v>5.7980839999999896</v>
      </c>
      <c r="E5637">
        <v>0.39802939999999998</v>
      </c>
      <c r="F5637" t="s">
        <v>54</v>
      </c>
      <c r="G5637">
        <v>-157.3501</v>
      </c>
      <c r="H5637">
        <v>1.018702</v>
      </c>
      <c r="I5637">
        <v>-42.296410000000002</v>
      </c>
      <c r="J5637">
        <v>-210.9521</v>
      </c>
      <c r="K5637">
        <v>1.1268670000000001</v>
      </c>
      <c r="L5637">
        <v>-63.651949999999999</v>
      </c>
      <c r="M5637">
        <v>0.99721400000000004</v>
      </c>
      <c r="N5637">
        <v>-1.423057E-2</v>
      </c>
      <c r="O5637">
        <v>7.3225650000000003E-2</v>
      </c>
      <c r="P5637">
        <v>0.97261180000000003</v>
      </c>
      <c r="Q5637">
        <v>0.19554949999999999</v>
      </c>
      <c r="R5637">
        <v>0.12564520000000001</v>
      </c>
      <c r="S5637">
        <v>2.937576</v>
      </c>
      <c r="T5637">
        <v>-5.8993099999999996E-3</v>
      </c>
      <c r="U5637">
        <v>1.166534</v>
      </c>
      <c r="V5637">
        <v>-5.7013750000000002E-2</v>
      </c>
      <c r="W5637">
        <v>0.20868500000000001</v>
      </c>
      <c r="X5637">
        <v>0.97631959999999995</v>
      </c>
      <c r="Y5637">
        <v>-0.30001719999999998</v>
      </c>
      <c r="Z5637">
        <v>3.3705499999999999E-3</v>
      </c>
      <c r="AA5637">
        <v>0.95392779999999999</v>
      </c>
      <c r="AB5637">
        <v>36</v>
      </c>
      <c r="AC5637">
        <v>53.601999999999997</v>
      </c>
      <c r="AD5637">
        <v>-0.108165</v>
      </c>
      <c r="AE5637">
        <v>21.355540000000001</v>
      </c>
      <c r="AF5637">
        <v>-17.372697965683699</v>
      </c>
      <c r="AG5637">
        <v>-0.108165</v>
      </c>
      <c r="AH5637">
        <v>55.021808938580101</v>
      </c>
      <c r="AI5637">
        <v>90.107408407359699</v>
      </c>
      <c r="AJ5637">
        <v>107.523096815283</v>
      </c>
      <c r="AK5637">
        <v>57.6994089497259</v>
      </c>
      <c r="AL5637">
        <v>77.954698728498499</v>
      </c>
      <c r="AM5637">
        <v>93.342083433973599</v>
      </c>
      <c r="AN5637">
        <v>0.99999997912911098</v>
      </c>
    </row>
    <row r="5638" spans="1:40" x14ac:dyDescent="0.25">
      <c r="A5638" t="str">
        <f>"20190303170646857"</f>
        <v>20190303170646857</v>
      </c>
      <c r="B5638" t="str">
        <f>"1551604006850065"</f>
        <v>1551604006850065</v>
      </c>
      <c r="C5638" t="s">
        <v>40</v>
      </c>
      <c r="D5638">
        <v>5.7496029999999996</v>
      </c>
      <c r="E5638">
        <v>0.39077909999999999</v>
      </c>
      <c r="F5638" t="s">
        <v>54</v>
      </c>
      <c r="G5638">
        <v>-157.3501</v>
      </c>
      <c r="H5638">
        <v>1.4412069999999999</v>
      </c>
      <c r="I5638">
        <v>-41.195569999999996</v>
      </c>
      <c r="J5638">
        <v>-210.71780000000001</v>
      </c>
      <c r="K5638">
        <v>1.126959</v>
      </c>
      <c r="L5638">
        <v>-63.631039999999999</v>
      </c>
      <c r="M5638">
        <v>0.99689839999999996</v>
      </c>
      <c r="N5638">
        <v>-1.4239669999999999E-2</v>
      </c>
      <c r="O5638">
        <v>7.7400990000000003E-2</v>
      </c>
      <c r="P5638">
        <v>0.97215439999999997</v>
      </c>
      <c r="Q5638">
        <v>0.19522819999999999</v>
      </c>
      <c r="R5638">
        <v>0.12962209999999999</v>
      </c>
      <c r="S5638">
        <v>2.9228519999999998</v>
      </c>
      <c r="T5638">
        <v>1.7139430000000001E-2</v>
      </c>
      <c r="U5638">
        <v>1.224518</v>
      </c>
      <c r="V5638">
        <v>-5.6956779999999999E-2</v>
      </c>
      <c r="W5638">
        <v>0.20836180000000001</v>
      </c>
      <c r="X5638">
        <v>0.97639200000000004</v>
      </c>
      <c r="Y5638">
        <v>-0.31387019999999999</v>
      </c>
      <c r="Z5638">
        <v>2.9384910000000001E-3</v>
      </c>
      <c r="AA5638">
        <v>0.94946129999999995</v>
      </c>
      <c r="AB5638">
        <v>36</v>
      </c>
      <c r="AC5638">
        <v>53.367699999999999</v>
      </c>
      <c r="AD5638">
        <v>0.31424799999999897</v>
      </c>
      <c r="AE5638">
        <v>22.435469999999999</v>
      </c>
      <c r="AF5638">
        <v>-18.236482101966502</v>
      </c>
      <c r="AG5638">
        <v>0.31424799999999897</v>
      </c>
      <c r="AH5638">
        <v>54.942651401924998</v>
      </c>
      <c r="AI5638">
        <v>89.688981262621795</v>
      </c>
      <c r="AJ5638">
        <v>108.361959984648</v>
      </c>
      <c r="AK5638">
        <v>57.890957621499901</v>
      </c>
      <c r="AL5638">
        <v>77.973633521779803</v>
      </c>
      <c r="AM5638">
        <v>93.338504463393804</v>
      </c>
      <c r="AN5638">
        <v>1.0000000260755999</v>
      </c>
    </row>
    <row r="5639" spans="1:40" x14ac:dyDescent="0.25">
      <c r="A5639" t="str">
        <f>"20190303170646866"</f>
        <v>20190303170646866</v>
      </c>
      <c r="B5639" t="str">
        <f>"1551604006860800"</f>
        <v>1551604006860800</v>
      </c>
      <c r="C5639" t="s">
        <v>40</v>
      </c>
      <c r="D5639">
        <v>5.7351080000000003</v>
      </c>
      <c r="E5639">
        <v>0.38841429999999999</v>
      </c>
      <c r="F5639" t="s">
        <v>54</v>
      </c>
      <c r="G5639">
        <v>-157.3501</v>
      </c>
      <c r="H5639">
        <v>1.916042</v>
      </c>
      <c r="I5639">
        <v>-39.890239999999999</v>
      </c>
      <c r="J5639">
        <v>-210.58330000000001</v>
      </c>
      <c r="K5639">
        <v>1.127011</v>
      </c>
      <c r="L5639">
        <v>-63.618679999999998</v>
      </c>
      <c r="M5639">
        <v>0.99670749999999997</v>
      </c>
      <c r="N5639">
        <v>-1.424489E-2</v>
      </c>
      <c r="O5639">
        <v>7.9821279999999994E-2</v>
      </c>
      <c r="P5639">
        <v>0.97197739999999999</v>
      </c>
      <c r="Q5639">
        <v>0.1942817</v>
      </c>
      <c r="R5639">
        <v>0.1323443</v>
      </c>
      <c r="S5639">
        <v>2.9049990000000001</v>
      </c>
      <c r="T5639">
        <v>4.2951580000000003E-2</v>
      </c>
      <c r="U5639">
        <v>1.292297</v>
      </c>
      <c r="V5639">
        <v>-5.7320610000000001E-2</v>
      </c>
      <c r="W5639">
        <v>0.20741029999999999</v>
      </c>
      <c r="X5639">
        <v>0.97657320000000003</v>
      </c>
      <c r="Y5639">
        <v>-0.3322446</v>
      </c>
      <c r="Z5639">
        <v>2.3408930000000001E-3</v>
      </c>
      <c r="AA5639">
        <v>0.94319030000000004</v>
      </c>
      <c r="AB5639">
        <v>36</v>
      </c>
      <c r="AC5639">
        <v>53.233199999999997</v>
      </c>
      <c r="AD5639">
        <v>0.78903099999999904</v>
      </c>
      <c r="AE5639">
        <v>23.728439999999999</v>
      </c>
      <c r="AF5639">
        <v>-19.399583209061898</v>
      </c>
      <c r="AG5639">
        <v>0.78903099999999904</v>
      </c>
      <c r="AH5639">
        <v>54.947464188820703</v>
      </c>
      <c r="AI5639">
        <v>89.224228242133904</v>
      </c>
      <c r="AJ5639">
        <v>109.445932337511</v>
      </c>
      <c r="AK5639">
        <v>58.276841192587099</v>
      </c>
      <c r="AL5639">
        <v>78.029367162016001</v>
      </c>
      <c r="AM5639">
        <v>93.359159581472696</v>
      </c>
      <c r="AN5639">
        <v>0.99999994991754904</v>
      </c>
    </row>
    <row r="5640" spans="1:40" x14ac:dyDescent="0.25">
      <c r="A5640" t="str">
        <f>"20190303170646877"</f>
        <v>20190303170646877</v>
      </c>
      <c r="B5640" t="str">
        <f>"1551604006870560"</f>
        <v>1551604006870560</v>
      </c>
      <c r="C5640" t="s">
        <v>40</v>
      </c>
      <c r="D5640">
        <v>5.7434200000000004</v>
      </c>
      <c r="E5640">
        <v>0.38646999999999998</v>
      </c>
      <c r="F5640" t="s">
        <v>54</v>
      </c>
      <c r="G5640">
        <v>-157.3501</v>
      </c>
      <c r="H5640">
        <v>2.0301209999999998</v>
      </c>
      <c r="I5640">
        <v>-39.391779999999997</v>
      </c>
      <c r="J5640">
        <v>-210.41470000000001</v>
      </c>
      <c r="K5640">
        <v>1.1270739999999999</v>
      </c>
      <c r="L5640">
        <v>-63.602600000000002</v>
      </c>
      <c r="M5640">
        <v>0.99645669999999997</v>
      </c>
      <c r="N5640">
        <v>-1.425161E-2</v>
      </c>
      <c r="O5640">
        <v>8.2891439999999997E-2</v>
      </c>
      <c r="P5640">
        <v>0.97164070000000002</v>
      </c>
      <c r="Q5640">
        <v>0.19382720000000001</v>
      </c>
      <c r="R5640">
        <v>0.13544600000000001</v>
      </c>
      <c r="S5640">
        <v>2.897141</v>
      </c>
      <c r="T5640">
        <v>4.9149270000000002E-2</v>
      </c>
      <c r="U5640">
        <v>1.3185119999999999</v>
      </c>
      <c r="V5640">
        <v>-5.7449220000000002E-2</v>
      </c>
      <c r="W5640">
        <v>0.20695369999999999</v>
      </c>
      <c r="X5640">
        <v>0.97666260000000005</v>
      </c>
      <c r="Y5640">
        <v>-0.33737869999999998</v>
      </c>
      <c r="Z5640">
        <v>2.2554329999999998E-3</v>
      </c>
      <c r="AA5640">
        <v>0.94136629999999999</v>
      </c>
      <c r="AB5640">
        <v>36</v>
      </c>
      <c r="AC5640">
        <v>53.064599999999999</v>
      </c>
      <c r="AD5640">
        <v>0.90304700000000004</v>
      </c>
      <c r="AE5640">
        <v>24.210819999999998</v>
      </c>
      <c r="AF5640">
        <v>-19.723707815985598</v>
      </c>
      <c r="AG5640">
        <v>0.90304700000000004</v>
      </c>
      <c r="AH5640">
        <v>54.875864701250897</v>
      </c>
      <c r="AI5640">
        <v>89.112774092453293</v>
      </c>
      <c r="AJ5640">
        <v>109.769659657901</v>
      </c>
      <c r="AK5640">
        <v>58.319813705160101</v>
      </c>
      <c r="AL5640">
        <v>78.056109740292001</v>
      </c>
      <c r="AM5640">
        <v>93.366371731532297</v>
      </c>
      <c r="AN5640">
        <v>1.0000000405305201</v>
      </c>
    </row>
    <row r="5641" spans="1:40" x14ac:dyDescent="0.25">
      <c r="A5641" t="str">
        <f>"20190303170646888"</f>
        <v>20190303170646888</v>
      </c>
      <c r="B5641" t="str">
        <f>"1551604006880321"</f>
        <v>1551604006880321</v>
      </c>
      <c r="C5641" t="s">
        <v>40</v>
      </c>
      <c r="D5641">
        <v>5.7017600000000002</v>
      </c>
      <c r="E5641">
        <v>0.38497619999999999</v>
      </c>
      <c r="F5641" t="s">
        <v>54</v>
      </c>
      <c r="G5641">
        <v>-157.3501</v>
      </c>
      <c r="H5641">
        <v>2.1475930000000001</v>
      </c>
      <c r="I5641">
        <v>-38.94088</v>
      </c>
      <c r="J5641">
        <v>-210.244</v>
      </c>
      <c r="K5641">
        <v>1.1271409999999999</v>
      </c>
      <c r="L5641">
        <v>-63.585819999999998</v>
      </c>
      <c r="M5641">
        <v>0.99619040000000003</v>
      </c>
      <c r="N5641">
        <v>-1.4258369999999999E-2</v>
      </c>
      <c r="O5641">
        <v>8.6031399999999994E-2</v>
      </c>
      <c r="P5641">
        <v>0.97125609999999996</v>
      </c>
      <c r="Q5641">
        <v>0.1933222</v>
      </c>
      <c r="R5641">
        <v>0.1388818</v>
      </c>
      <c r="S5641">
        <v>2.889313</v>
      </c>
      <c r="T5641">
        <v>5.5565000000000003E-2</v>
      </c>
      <c r="U5641">
        <v>1.3428040000000001</v>
      </c>
      <c r="V5641">
        <v>-5.7844010000000001E-2</v>
      </c>
      <c r="W5641">
        <v>0.2064414</v>
      </c>
      <c r="X5641">
        <v>0.9767477</v>
      </c>
      <c r="Y5641">
        <v>-0.34189890000000001</v>
      </c>
      <c r="Z5641">
        <v>2.168531E-3</v>
      </c>
      <c r="AA5641">
        <v>0.93973419999999996</v>
      </c>
      <c r="AB5641">
        <v>36</v>
      </c>
      <c r="AC5641">
        <v>52.893900000000002</v>
      </c>
      <c r="AD5641">
        <v>1.0204519999999999</v>
      </c>
      <c r="AE5641">
        <v>24.644939999999998</v>
      </c>
      <c r="AF5641">
        <v>-19.996434489517501</v>
      </c>
      <c r="AG5641">
        <v>1.0204519999999999</v>
      </c>
      <c r="AH5641">
        <v>54.801447452596499</v>
      </c>
      <c r="AI5641">
        <v>88.997841598167</v>
      </c>
      <c r="AJ5641">
        <v>110.04645976354099</v>
      </c>
      <c r="AK5641">
        <v>58.344642920130802</v>
      </c>
      <c r="AL5641">
        <v>78.086110047043903</v>
      </c>
      <c r="AM5641">
        <v>93.389157005981403</v>
      </c>
      <c r="AN5641">
        <v>1.0000000252910599</v>
      </c>
    </row>
    <row r="5642" spans="1:40" x14ac:dyDescent="0.25">
      <c r="A5642" t="str">
        <f>"20190303170646898"</f>
        <v>20190303170646898</v>
      </c>
      <c r="B5642" t="str">
        <f>"1551604006890081"</f>
        <v>1551604006890081</v>
      </c>
      <c r="C5642" t="s">
        <v>40</v>
      </c>
      <c r="D5642">
        <v>5.6866430000000001</v>
      </c>
      <c r="E5642">
        <v>0.38375480000000001</v>
      </c>
      <c r="F5642" t="s">
        <v>54</v>
      </c>
      <c r="G5642">
        <v>-157.3501</v>
      </c>
      <c r="H5642">
        <v>2.2321610000000001</v>
      </c>
      <c r="I5642">
        <v>-38.54034</v>
      </c>
      <c r="J5642">
        <v>-210.0642</v>
      </c>
      <c r="K5642">
        <v>1.127203</v>
      </c>
      <c r="L5642">
        <v>-63.567570000000003</v>
      </c>
      <c r="M5642">
        <v>0.995896</v>
      </c>
      <c r="N5642">
        <v>-1.4265440000000001E-2</v>
      </c>
      <c r="O5642">
        <v>8.9373830000000001E-2</v>
      </c>
      <c r="P5642">
        <v>0.9707595</v>
      </c>
      <c r="Q5642">
        <v>0.19316050000000001</v>
      </c>
      <c r="R5642">
        <v>0.1425295</v>
      </c>
      <c r="S5642">
        <v>2.8817140000000001</v>
      </c>
      <c r="T5642">
        <v>6.0201409999999997E-2</v>
      </c>
      <c r="U5642">
        <v>1.3645020000000001</v>
      </c>
      <c r="V5642">
        <v>-5.8266720000000001E-2</v>
      </c>
      <c r="W5642">
        <v>0.2062715</v>
      </c>
      <c r="X5642">
        <v>0.97675840000000003</v>
      </c>
      <c r="Y5642">
        <v>-0.34548649999999997</v>
      </c>
      <c r="Z5642">
        <v>2.143266E-3</v>
      </c>
      <c r="AA5642">
        <v>0.93842130000000001</v>
      </c>
      <c r="AB5642">
        <v>36</v>
      </c>
      <c r="AC5642">
        <v>52.714100000000002</v>
      </c>
      <c r="AD5642">
        <v>1.1049579999999899</v>
      </c>
      <c r="AE5642">
        <v>25.027229999999999</v>
      </c>
      <c r="AF5642">
        <v>-20.208068283188201</v>
      </c>
      <c r="AG5642">
        <v>1.1049579999999899</v>
      </c>
      <c r="AH5642">
        <v>54.720489808395598</v>
      </c>
      <c r="AI5642">
        <v>88.914812549361798</v>
      </c>
      <c r="AJ5642">
        <v>110.26899591969401</v>
      </c>
      <c r="AK5642">
        <v>58.3431140820447</v>
      </c>
      <c r="AL5642">
        <v>78.096057903534501</v>
      </c>
      <c r="AM5642">
        <v>93.413828469666001</v>
      </c>
      <c r="AN5642">
        <v>0.99999995717118295</v>
      </c>
    </row>
    <row r="5643" spans="1:40" x14ac:dyDescent="0.25">
      <c r="A5643" t="str">
        <f>"20190303170646910"</f>
        <v>20190303170646910</v>
      </c>
      <c r="B5643" t="str">
        <f>"1551604006900818"</f>
        <v>1551604006900818</v>
      </c>
      <c r="C5643" t="s">
        <v>40</v>
      </c>
      <c r="D5643">
        <v>5.7126140000000003</v>
      </c>
      <c r="E5643">
        <v>0.38277430000000001</v>
      </c>
      <c r="F5643" t="s">
        <v>54</v>
      </c>
      <c r="G5643">
        <v>-157.3501</v>
      </c>
      <c r="H5643">
        <v>2.313631</v>
      </c>
      <c r="I5643">
        <v>-38.167299999999997</v>
      </c>
      <c r="J5643">
        <v>-209.892</v>
      </c>
      <c r="K5643">
        <v>1.1272690000000001</v>
      </c>
      <c r="L5643">
        <v>-63.549349999999997</v>
      </c>
      <c r="M5643">
        <v>0.99559920000000002</v>
      </c>
      <c r="N5643">
        <v>-1.427234E-2</v>
      </c>
      <c r="O5643">
        <v>9.2620049999999995E-2</v>
      </c>
      <c r="P5643">
        <v>0.97026259999999998</v>
      </c>
      <c r="Q5643">
        <v>0.1931522</v>
      </c>
      <c r="R5643">
        <v>0.14588579999999901</v>
      </c>
      <c r="S5643">
        <v>2.8741759999999998</v>
      </c>
      <c r="T5643">
        <v>6.468749E-2</v>
      </c>
      <c r="U5643">
        <v>1.3849180000000001</v>
      </c>
      <c r="V5643">
        <v>-5.8494200000000003E-2</v>
      </c>
      <c r="W5643">
        <v>0.20625660000000001</v>
      </c>
      <c r="X5643">
        <v>0.97674799999999995</v>
      </c>
      <c r="Y5643">
        <v>-0.34880109999999998</v>
      </c>
      <c r="Z5643">
        <v>2.123804E-3</v>
      </c>
      <c r="AA5643">
        <v>0.93719430000000004</v>
      </c>
      <c r="AB5643">
        <v>36</v>
      </c>
      <c r="AC5643">
        <v>52.541899999999998</v>
      </c>
      <c r="AD5643">
        <v>1.1863619999999999</v>
      </c>
      <c r="AE5643">
        <v>25.38205</v>
      </c>
      <c r="AF5643">
        <v>-20.397562761532399</v>
      </c>
      <c r="AG5643">
        <v>1.1863619999999999</v>
      </c>
      <c r="AH5643">
        <v>54.644542142958699</v>
      </c>
      <c r="AI5643">
        <v>88.834781686388496</v>
      </c>
      <c r="AJ5643">
        <v>110.46945768577601</v>
      </c>
      <c r="AK5643">
        <v>58.339472121534399</v>
      </c>
      <c r="AL5643">
        <v>78.096930961534696</v>
      </c>
      <c r="AM5643">
        <v>93.427161148120305</v>
      </c>
      <c r="AN5643">
        <v>1.0000000059906</v>
      </c>
    </row>
    <row r="5644" spans="1:40" x14ac:dyDescent="0.25">
      <c r="A5644" t="str">
        <f>"20190303170646921"</f>
        <v>20190303170646921</v>
      </c>
      <c r="B5644" t="str">
        <f>"1551604006910577"</f>
        <v>1551604006910577</v>
      </c>
      <c r="C5644" t="s">
        <v>40</v>
      </c>
      <c r="D5644">
        <v>5.6736040000000001</v>
      </c>
      <c r="E5644">
        <v>0.38200689999999998</v>
      </c>
      <c r="F5644" t="s">
        <v>54</v>
      </c>
      <c r="G5644">
        <v>-157.56370000000001</v>
      </c>
      <c r="H5644">
        <v>2.39276</v>
      </c>
      <c r="I5644">
        <v>-37.955309999999997</v>
      </c>
      <c r="J5644">
        <v>-209.7158</v>
      </c>
      <c r="K5644">
        <v>1.127335</v>
      </c>
      <c r="L5644">
        <v>-63.530360000000002</v>
      </c>
      <c r="M5644">
        <v>0.99528260000000002</v>
      </c>
      <c r="N5644">
        <v>-1.4279170000000001E-2</v>
      </c>
      <c r="O5644">
        <v>9.5961930000000001E-2</v>
      </c>
      <c r="P5644">
        <v>0.96969070000000002</v>
      </c>
      <c r="Q5644">
        <v>0.19341720000000001</v>
      </c>
      <c r="R5644">
        <v>0.14929770000000001</v>
      </c>
      <c r="S5644">
        <v>2.8672939999999998</v>
      </c>
      <c r="T5644">
        <v>6.9340470000000001E-2</v>
      </c>
      <c r="U5644">
        <v>1.4024049999999999</v>
      </c>
      <c r="V5644">
        <v>-5.8694429999999999E-2</v>
      </c>
      <c r="W5644">
        <v>0.20651559999999999</v>
      </c>
      <c r="X5644">
        <v>0.97668120000000003</v>
      </c>
      <c r="Y5644">
        <v>-0.35115580000000002</v>
      </c>
      <c r="Z5644">
        <v>2.1112819999999999E-3</v>
      </c>
      <c r="AA5644">
        <v>0.9363146</v>
      </c>
      <c r="AB5644">
        <v>36</v>
      </c>
      <c r="AC5644">
        <v>52.152099999999898</v>
      </c>
      <c r="AD5644">
        <v>1.265425</v>
      </c>
      <c r="AE5644">
        <v>25.575050000000001</v>
      </c>
      <c r="AF5644">
        <v>-20.442168725026999</v>
      </c>
      <c r="AG5644">
        <v>1.265425</v>
      </c>
      <c r="AH5644">
        <v>54.340060106787597</v>
      </c>
      <c r="AI5644">
        <v>88.7513846704516</v>
      </c>
      <c r="AJ5644">
        <v>110.615780725547</v>
      </c>
      <c r="AK5644">
        <v>58.071728879226498</v>
      </c>
      <c r="AL5644">
        <v>78.081764133852104</v>
      </c>
      <c r="AM5644">
        <v>93.439099106432394</v>
      </c>
      <c r="AN5644">
        <v>0.99999994779491097</v>
      </c>
    </row>
    <row r="5645" spans="1:40" x14ac:dyDescent="0.25">
      <c r="A5645" t="str">
        <f>"20190303170646934"</f>
        <v>20190303170646934</v>
      </c>
      <c r="B5645" t="str">
        <f>"1551604006920337"</f>
        <v>1551604006920337</v>
      </c>
      <c r="C5645" t="s">
        <v>40</v>
      </c>
      <c r="D5645">
        <v>5.6544780000000001</v>
      </c>
      <c r="E5645">
        <v>0.3814901</v>
      </c>
      <c r="F5645" t="s">
        <v>54</v>
      </c>
      <c r="G5645">
        <v>-157.9383</v>
      </c>
      <c r="H5645">
        <v>2.4619949999999999</v>
      </c>
      <c r="I5645">
        <v>-37.85765</v>
      </c>
      <c r="J5645">
        <v>-209.53129999999999</v>
      </c>
      <c r="K5645">
        <v>1.1274029999999999</v>
      </c>
      <c r="L5645">
        <v>-63.509430000000002</v>
      </c>
      <c r="M5645">
        <v>0.9949327</v>
      </c>
      <c r="N5645">
        <v>-1.428667E-2</v>
      </c>
      <c r="O5645">
        <v>9.9523089999999995E-2</v>
      </c>
      <c r="P5645">
        <v>0.96900399999999998</v>
      </c>
      <c r="Q5645">
        <v>0.19397880000000001</v>
      </c>
      <c r="R5645">
        <v>0.1529827</v>
      </c>
      <c r="S5645">
        <v>2.8606720000000001</v>
      </c>
      <c r="T5645">
        <v>7.3737739999999996E-2</v>
      </c>
      <c r="U5645">
        <v>1.418396</v>
      </c>
      <c r="V5645">
        <v>-5.8967760000000001E-2</v>
      </c>
      <c r="W5645">
        <v>0.20706939999999999</v>
      </c>
      <c r="X5645">
        <v>0.97654750000000001</v>
      </c>
      <c r="Y5645">
        <v>-0.35286970000000001</v>
      </c>
      <c r="Z5645">
        <v>2.1229740000000001E-3</v>
      </c>
      <c r="AA5645">
        <v>0.93567009999999995</v>
      </c>
      <c r="AB5645">
        <v>36</v>
      </c>
      <c r="AC5645">
        <v>51.592999999999897</v>
      </c>
      <c r="AD5645">
        <v>1.33459199999999</v>
      </c>
      <c r="AE5645">
        <v>25.651779999999999</v>
      </c>
      <c r="AF5645">
        <v>-20.378247393066498</v>
      </c>
      <c r="AG5645">
        <v>1.33459199999999</v>
      </c>
      <c r="AH5645">
        <v>53.861109276436899</v>
      </c>
      <c r="AI5645">
        <v>88.672400650432195</v>
      </c>
      <c r="AJ5645">
        <v>110.724040397145</v>
      </c>
      <c r="AK5645">
        <v>57.602718643374502</v>
      </c>
      <c r="AL5645">
        <v>78.049333065610597</v>
      </c>
      <c r="AM5645">
        <v>93.455547591316503</v>
      </c>
      <c r="AN5645">
        <v>0.99999997644601302</v>
      </c>
    </row>
    <row r="5646" spans="1:40" x14ac:dyDescent="0.25">
      <c r="A5646" t="str">
        <f>"20190303170646945"</f>
        <v>20190303170646945</v>
      </c>
      <c r="B5646" t="str">
        <f>"1551604006940833"</f>
        <v>1551604006940833</v>
      </c>
      <c r="C5646" t="s">
        <v>40</v>
      </c>
      <c r="D5646">
        <v>5.7153150000000004</v>
      </c>
      <c r="E5646">
        <v>0.38079849999999998</v>
      </c>
      <c r="F5646" t="s">
        <v>54</v>
      </c>
      <c r="G5646">
        <v>-157.9383</v>
      </c>
      <c r="H5646">
        <v>2.5358890000000001</v>
      </c>
      <c r="I5646">
        <v>-37.599379999999996</v>
      </c>
      <c r="J5646">
        <v>-209.3502</v>
      </c>
      <c r="K5646">
        <v>1.1274729999999999</v>
      </c>
      <c r="L5646">
        <v>-63.488590000000002</v>
      </c>
      <c r="M5646">
        <v>0.99457499999999999</v>
      </c>
      <c r="N5646">
        <v>-1.4293719999999999E-2</v>
      </c>
      <c r="O5646">
        <v>0.1030354</v>
      </c>
      <c r="P5646">
        <v>0.96838360000000001</v>
      </c>
      <c r="Q5646">
        <v>0.19437170000000001</v>
      </c>
      <c r="R5646">
        <v>0.15637419999999999</v>
      </c>
      <c r="S5646">
        <v>2.8540800000000002</v>
      </c>
      <c r="T5646">
        <v>7.7914949999999997E-2</v>
      </c>
      <c r="U5646">
        <v>1.433319</v>
      </c>
      <c r="V5646">
        <v>-5.898747E-2</v>
      </c>
      <c r="W5646">
        <v>0.2074579</v>
      </c>
      <c r="X5646">
        <v>0.97646390000000005</v>
      </c>
      <c r="Y5646">
        <v>-0.35434009999999999</v>
      </c>
      <c r="Z5646">
        <v>2.146738E-3</v>
      </c>
      <c r="AA5646">
        <v>0.93511409999999995</v>
      </c>
      <c r="AB5646">
        <v>36</v>
      </c>
      <c r="AC5646">
        <v>51.411900000000003</v>
      </c>
      <c r="AD5646">
        <v>1.4084159999999999</v>
      </c>
      <c r="AE5646">
        <v>25.889209999999999</v>
      </c>
      <c r="AF5646">
        <v>-20.441367028281501</v>
      </c>
      <c r="AG5646">
        <v>1.4084159999999999</v>
      </c>
      <c r="AH5646">
        <v>53.773798996779298</v>
      </c>
      <c r="AI5646">
        <v>88.597549474756093</v>
      </c>
      <c r="AJ5646">
        <v>110.8136091814</v>
      </c>
      <c r="AK5646">
        <v>57.5452394222146</v>
      </c>
      <c r="AL5646">
        <v>78.026580154379303</v>
      </c>
      <c r="AM5646">
        <v>93.456995037262303</v>
      </c>
      <c r="AN5646">
        <v>1.0000000249463099</v>
      </c>
    </row>
    <row r="5647" spans="1:40" x14ac:dyDescent="0.25">
      <c r="A5647" t="str">
        <f>"20190303170646956"</f>
        <v>20190303170646956</v>
      </c>
      <c r="B5647" t="str">
        <f>"1551604006950593"</f>
        <v>1551604006950593</v>
      </c>
      <c r="C5647" t="s">
        <v>40</v>
      </c>
      <c r="D5647">
        <v>5.706893</v>
      </c>
      <c r="E5647">
        <v>0.38061830000000002</v>
      </c>
      <c r="F5647" t="s">
        <v>54</v>
      </c>
      <c r="G5647">
        <v>-157.9383</v>
      </c>
      <c r="H5647">
        <v>2.6093410000000001</v>
      </c>
      <c r="I5647">
        <v>-37.3294</v>
      </c>
      <c r="J5647">
        <v>-209.1628</v>
      </c>
      <c r="K5647">
        <v>1.127548</v>
      </c>
      <c r="L5647">
        <v>-63.465910000000001</v>
      </c>
      <c r="M5647">
        <v>0.99418479999999998</v>
      </c>
      <c r="N5647">
        <v>-1.4301410000000001E-2</v>
      </c>
      <c r="O5647">
        <v>0.1067336</v>
      </c>
      <c r="P5647">
        <v>0.9677017</v>
      </c>
      <c r="Q5647">
        <v>0.19461339999999999</v>
      </c>
      <c r="R5647">
        <v>0.16024769999999999</v>
      </c>
      <c r="S5647">
        <v>2.8475039999999998</v>
      </c>
      <c r="T5647">
        <v>8.2073569999999998E-2</v>
      </c>
      <c r="U5647">
        <v>1.4488529999999999</v>
      </c>
      <c r="V5647">
        <v>-5.9308989999999999E-2</v>
      </c>
      <c r="W5647">
        <v>0.20769109999999999</v>
      </c>
      <c r="X5647">
        <v>0.97639480000000001</v>
      </c>
      <c r="Y5647">
        <v>-0.3557883</v>
      </c>
      <c r="Z5647">
        <v>2.1863239999999999E-3</v>
      </c>
      <c r="AA5647">
        <v>0.93456410000000001</v>
      </c>
      <c r="AB5647">
        <v>36</v>
      </c>
      <c r="AC5647">
        <v>51.224499999999999</v>
      </c>
      <c r="AD5647">
        <v>1.4817929999999999</v>
      </c>
      <c r="AE5647">
        <v>26.136510000000001</v>
      </c>
      <c r="AF5647">
        <v>-20.505629489034401</v>
      </c>
      <c r="AG5647">
        <v>1.4817929999999999</v>
      </c>
      <c r="AH5647">
        <v>53.686112386014301</v>
      </c>
      <c r="AI5647">
        <v>88.522999168612699</v>
      </c>
      <c r="AJ5647">
        <v>110.90456070981899</v>
      </c>
      <c r="AK5647">
        <v>57.488044099274902</v>
      </c>
      <c r="AL5647">
        <v>78.012920699295904</v>
      </c>
      <c r="AM5647">
        <v>93.476037214096607</v>
      </c>
      <c r="AN5647">
        <v>0.99999997739053403</v>
      </c>
    </row>
    <row r="5648" spans="1:40" x14ac:dyDescent="0.25">
      <c r="A5648" t="str">
        <f>"20190303170646967"</f>
        <v>20190303170646967</v>
      </c>
      <c r="B5648" t="str">
        <f>"1551604006960355"</f>
        <v>1551604006960355</v>
      </c>
      <c r="C5648" t="s">
        <v>40</v>
      </c>
      <c r="D5648">
        <v>5.6862370000000002</v>
      </c>
      <c r="E5648">
        <v>0.38047249999999999</v>
      </c>
      <c r="F5648" t="s">
        <v>54</v>
      </c>
      <c r="G5648">
        <v>-157.93819999999999</v>
      </c>
      <c r="H5648">
        <v>2.6356649999999999</v>
      </c>
      <c r="I5648">
        <v>-37.113039999999998</v>
      </c>
      <c r="J5648">
        <v>-208.99440000000001</v>
      </c>
      <c r="K5648">
        <v>1.1276200000000001</v>
      </c>
      <c r="L5648">
        <v>-63.445129999999999</v>
      </c>
      <c r="M5648">
        <v>0.99381980000000003</v>
      </c>
      <c r="N5648">
        <v>-1.43082E-2</v>
      </c>
      <c r="O5648">
        <v>0.1100792</v>
      </c>
      <c r="P5648">
        <v>0.96710059999999998</v>
      </c>
      <c r="Q5648">
        <v>0.1950634</v>
      </c>
      <c r="R5648">
        <v>0.1633</v>
      </c>
      <c r="S5648">
        <v>2.8412480000000002</v>
      </c>
      <c r="T5648">
        <v>8.3648799999999995E-2</v>
      </c>
      <c r="U5648">
        <v>1.4617</v>
      </c>
      <c r="V5648">
        <v>-5.9152360000000001E-2</v>
      </c>
      <c r="W5648">
        <v>0.20814070000000001</v>
      </c>
      <c r="X5648">
        <v>0.97630859999999997</v>
      </c>
      <c r="Y5648">
        <v>-0.35682269999999999</v>
      </c>
      <c r="Z5648">
        <v>2.28043E-3</v>
      </c>
      <c r="AA5648">
        <v>0.93416940000000004</v>
      </c>
      <c r="AB5648">
        <v>36</v>
      </c>
      <c r="AC5648">
        <v>51.056199999999997</v>
      </c>
      <c r="AD5648">
        <v>1.5080450000000001</v>
      </c>
      <c r="AE5648">
        <v>26.332090000000001</v>
      </c>
      <c r="AF5648">
        <v>-20.537078395944299</v>
      </c>
      <c r="AG5648">
        <v>1.5080450000000001</v>
      </c>
      <c r="AH5648">
        <v>53.607828076199603</v>
      </c>
      <c r="AI5648">
        <v>88.495224401934706</v>
      </c>
      <c r="AJ5648">
        <v>110.961761247166</v>
      </c>
      <c r="AK5648">
        <v>57.426866707235298</v>
      </c>
      <c r="AL5648">
        <v>77.986585483847406</v>
      </c>
      <c r="AM5648">
        <v>93.467185065489701</v>
      </c>
      <c r="AN5648">
        <v>1.0000000175620001</v>
      </c>
    </row>
    <row r="5649" spans="1:40" x14ac:dyDescent="0.25">
      <c r="A5649" t="str">
        <f>"20190303170646978"</f>
        <v>20190303170646978</v>
      </c>
      <c r="B5649" t="str">
        <f>"1551604006970112"</f>
        <v>1551604006970112</v>
      </c>
      <c r="C5649" t="s">
        <v>40</v>
      </c>
      <c r="D5649">
        <v>5.6843029999999999</v>
      </c>
      <c r="E5649">
        <v>0.38033460000000002</v>
      </c>
      <c r="F5649" t="s">
        <v>54</v>
      </c>
      <c r="G5649">
        <v>-157.9383</v>
      </c>
      <c r="H5649">
        <v>2.6726209999999999</v>
      </c>
      <c r="I5649">
        <v>-36.942309999999999</v>
      </c>
      <c r="J5649">
        <v>-208.7979</v>
      </c>
      <c r="K5649">
        <v>1.1276949999999999</v>
      </c>
      <c r="L5649">
        <v>-63.420070000000003</v>
      </c>
      <c r="M5649">
        <v>0.99337439999999999</v>
      </c>
      <c r="N5649">
        <v>-1.4316300000000001E-2</v>
      </c>
      <c r="O5649">
        <v>0.1140272</v>
      </c>
      <c r="P5649">
        <v>0.9664142</v>
      </c>
      <c r="Q5649">
        <v>0.19516790000000001</v>
      </c>
      <c r="R5649">
        <v>0.16719120000000001</v>
      </c>
      <c r="S5649">
        <v>2.836166</v>
      </c>
      <c r="T5649">
        <v>8.5823540000000004E-2</v>
      </c>
      <c r="U5649">
        <v>1.472229</v>
      </c>
      <c r="V5649">
        <v>-5.9244169999999999E-2</v>
      </c>
      <c r="W5649">
        <v>0.2082415</v>
      </c>
      <c r="X5649">
        <v>0.97628150000000002</v>
      </c>
      <c r="Y5649">
        <v>-0.35652879999999998</v>
      </c>
      <c r="Z5649">
        <v>2.3987290000000001E-3</v>
      </c>
      <c r="AA5649">
        <v>0.93428120000000003</v>
      </c>
      <c r="AB5649">
        <v>36</v>
      </c>
      <c r="AC5649">
        <v>50.8596</v>
      </c>
      <c r="AD5649">
        <v>1.54492599999999</v>
      </c>
      <c r="AE5649">
        <v>26.47776</v>
      </c>
      <c r="AF5649">
        <v>-20.490178974139798</v>
      </c>
      <c r="AG5649">
        <v>1.54492599999999</v>
      </c>
      <c r="AH5649">
        <v>53.508455900326503</v>
      </c>
      <c r="AI5649">
        <v>88.455494324167802</v>
      </c>
      <c r="AJ5649">
        <v>110.953515783451</v>
      </c>
      <c r="AK5649">
        <v>57.318313683978403</v>
      </c>
      <c r="AL5649">
        <v>77.980680233780305</v>
      </c>
      <c r="AM5649">
        <v>93.472649459505902</v>
      </c>
      <c r="AN5649">
        <v>0.999999980621744</v>
      </c>
    </row>
    <row r="5650" spans="1:40" x14ac:dyDescent="0.25">
      <c r="A5650" t="str">
        <f>"20190303170646990"</f>
        <v>20190303170646990</v>
      </c>
      <c r="B5650" t="str">
        <f>"1551604006980848"</f>
        <v>1551604006980848</v>
      </c>
      <c r="C5650" t="s">
        <v>40</v>
      </c>
      <c r="D5650">
        <v>5.6813500000000001</v>
      </c>
      <c r="E5650">
        <v>0.38023950000000001</v>
      </c>
      <c r="F5650" t="s">
        <v>54</v>
      </c>
      <c r="G5650">
        <v>-157.9383</v>
      </c>
      <c r="H5650">
        <v>2.68655</v>
      </c>
      <c r="I5650">
        <v>-36.732700000000001</v>
      </c>
      <c r="J5650">
        <v>-208.63030000000001</v>
      </c>
      <c r="K5650">
        <v>1.127759</v>
      </c>
      <c r="L5650">
        <v>-63.3979199999999</v>
      </c>
      <c r="M5650">
        <v>0.99297709999999995</v>
      </c>
      <c r="N5650">
        <v>-1.4323249999999999E-2</v>
      </c>
      <c r="O5650">
        <v>0.1174361</v>
      </c>
      <c r="P5650">
        <v>0.96579340000000002</v>
      </c>
      <c r="Q5650">
        <v>0.19514909999999999</v>
      </c>
      <c r="R5650">
        <v>0.170763</v>
      </c>
      <c r="S5650">
        <v>2.8298489999999998</v>
      </c>
      <c r="T5650">
        <v>8.6734060000000002E-2</v>
      </c>
      <c r="U5650">
        <v>1.4848939999999999</v>
      </c>
      <c r="V5650">
        <v>-5.9534999999999998E-2</v>
      </c>
      <c r="W5650">
        <v>0.20821590000000001</v>
      </c>
      <c r="X5650">
        <v>0.97626930000000001</v>
      </c>
      <c r="Y5650">
        <v>-0.35746080000000002</v>
      </c>
      <c r="Z5650">
        <v>2.5169609999999999E-3</v>
      </c>
      <c r="AA5650">
        <v>0.93392470000000005</v>
      </c>
      <c r="AB5650">
        <v>36</v>
      </c>
      <c r="AC5650">
        <v>50.692</v>
      </c>
      <c r="AD5650">
        <v>1.558791</v>
      </c>
      <c r="AE5650">
        <v>26.665219999999898</v>
      </c>
      <c r="AF5650">
        <v>-20.511796775044498</v>
      </c>
      <c r="AG5650">
        <v>1.558791</v>
      </c>
      <c r="AH5650">
        <v>53.433367379468002</v>
      </c>
      <c r="AI5650">
        <v>88.439942491462006</v>
      </c>
      <c r="AJ5650">
        <v>111.000606318341</v>
      </c>
      <c r="AK5650">
        <v>57.2563392632781</v>
      </c>
      <c r="AL5650">
        <v>77.982180256539905</v>
      </c>
      <c r="AM5650">
        <v>93.4896981937178</v>
      </c>
      <c r="AN5650">
        <v>1.00000001168015</v>
      </c>
    </row>
    <row r="5651" spans="1:40" x14ac:dyDescent="0.25">
      <c r="A5651" t="str">
        <f>"20190303170647002"</f>
        <v>20190303170647002</v>
      </c>
      <c r="B5651" t="str">
        <f>"1551604006990609"</f>
        <v>1551604006990609</v>
      </c>
      <c r="C5651" t="s">
        <v>40</v>
      </c>
      <c r="D5651">
        <v>5.6758329999999999</v>
      </c>
      <c r="E5651">
        <v>0.38011909999999999</v>
      </c>
      <c r="F5651" t="s">
        <v>54</v>
      </c>
      <c r="G5651">
        <v>-165.63659999999999</v>
      </c>
      <c r="H5651">
        <v>2.4580120000000001</v>
      </c>
      <c r="I5651">
        <v>-40.619770000000003</v>
      </c>
      <c r="J5651">
        <v>-208.44120000000001</v>
      </c>
      <c r="K5651">
        <v>1.127834</v>
      </c>
      <c r="L5651">
        <v>-63.372529999999998</v>
      </c>
      <c r="M5651">
        <v>0.99251160000000005</v>
      </c>
      <c r="N5651">
        <v>-1.4330819999999999E-2</v>
      </c>
      <c r="O5651">
        <v>0.1213077</v>
      </c>
      <c r="P5651">
        <v>0.96506400000000003</v>
      </c>
      <c r="Q5651">
        <v>0.1953405</v>
      </c>
      <c r="R5651">
        <v>0.174624799999999</v>
      </c>
      <c r="S5651">
        <v>2.8240509999999999</v>
      </c>
      <c r="T5651">
        <v>8.7376480000000006E-2</v>
      </c>
      <c r="U5651">
        <v>1.4961850000000001</v>
      </c>
      <c r="V5651">
        <v>-5.9676890000000003E-2</v>
      </c>
      <c r="W5651">
        <v>0.2084019</v>
      </c>
      <c r="X5651">
        <v>0.97622089999999995</v>
      </c>
      <c r="Y5651">
        <v>-0.35753040000000003</v>
      </c>
      <c r="Z5651">
        <v>2.667951E-3</v>
      </c>
      <c r="AA5651">
        <v>0.93389770000000005</v>
      </c>
      <c r="AB5651">
        <v>36</v>
      </c>
      <c r="AC5651">
        <v>42.804600000000001</v>
      </c>
      <c r="AD5651">
        <v>1.3301780000000001</v>
      </c>
      <c r="AE5651">
        <v>22.752759999999999</v>
      </c>
      <c r="AF5651">
        <v>-17.3785496545465</v>
      </c>
      <c r="AG5651">
        <v>1.3301780000000001</v>
      </c>
      <c r="AH5651">
        <v>45.214744568547403</v>
      </c>
      <c r="AI5651">
        <v>88.427019164529398</v>
      </c>
      <c r="AJ5651">
        <v>111.02455380163001</v>
      </c>
      <c r="AK5651">
        <v>48.457780469251901</v>
      </c>
      <c r="AL5651">
        <v>77.971283638462694</v>
      </c>
      <c r="AM5651">
        <v>93.498167574642295</v>
      </c>
      <c r="AN5651">
        <v>0.99999996436024496</v>
      </c>
    </row>
    <row r="5652" spans="1:40" x14ac:dyDescent="0.25">
      <c r="A5652" t="str">
        <f>"20190303170647016"</f>
        <v>20190303170647016</v>
      </c>
      <c r="B5652" t="str">
        <f>"1551604007010128"</f>
        <v>1551604007010128</v>
      </c>
      <c r="C5652" t="s">
        <v>40</v>
      </c>
      <c r="D5652">
        <v>5.6881899999999996</v>
      </c>
      <c r="E5652">
        <v>0.38009769999999998</v>
      </c>
      <c r="F5652" t="s">
        <v>54</v>
      </c>
      <c r="G5652">
        <v>-165.94040000000001</v>
      </c>
      <c r="H5652">
        <v>2.4604149999999998</v>
      </c>
      <c r="I5652">
        <v>-40.619770000000003</v>
      </c>
      <c r="J5652">
        <v>-208.20740000000001</v>
      </c>
      <c r="K5652">
        <v>1.1279269999999999</v>
      </c>
      <c r="L5652">
        <v>-63.339570000000002</v>
      </c>
      <c r="M5652">
        <v>0.99190290000000003</v>
      </c>
      <c r="N5652">
        <v>-1.4340810000000001E-2</v>
      </c>
      <c r="O5652">
        <v>0.12618650000000001</v>
      </c>
      <c r="P5652">
        <v>0.96419319999999997</v>
      </c>
      <c r="Q5652">
        <v>0.1954563</v>
      </c>
      <c r="R5652">
        <v>0.17924379999999901</v>
      </c>
      <c r="S5652">
        <v>2.8177639999999999</v>
      </c>
      <c r="T5652">
        <v>8.8347430000000005E-2</v>
      </c>
      <c r="U5652">
        <v>1.5084839999999999</v>
      </c>
      <c r="V5652">
        <v>-5.960232E-2</v>
      </c>
      <c r="W5652">
        <v>0.20851620000000001</v>
      </c>
      <c r="X5652">
        <v>0.97620110000000004</v>
      </c>
      <c r="Y5652">
        <v>-0.35697699999999999</v>
      </c>
      <c r="Z5652">
        <v>2.8625479999999999E-3</v>
      </c>
      <c r="AA5652">
        <v>0.93410879999999996</v>
      </c>
      <c r="AB5652">
        <v>36</v>
      </c>
      <c r="AC5652">
        <v>42.267000000000003</v>
      </c>
      <c r="AD5652">
        <v>1.3324879999999999</v>
      </c>
      <c r="AE5652">
        <v>22.7197999999999</v>
      </c>
      <c r="AF5652">
        <v>-17.190824162834101</v>
      </c>
      <c r="AG5652">
        <v>1.3324879999999999</v>
      </c>
      <c r="AH5652">
        <v>44.761783029963802</v>
      </c>
      <c r="AI5652">
        <v>88.408189679954106</v>
      </c>
      <c r="AJ5652">
        <v>111.009354512792</v>
      </c>
      <c r="AK5652">
        <v>47.967876539296398</v>
      </c>
      <c r="AL5652">
        <v>77.964588244270701</v>
      </c>
      <c r="AM5652">
        <v>93.493877918638503</v>
      </c>
      <c r="AN5652">
        <v>1.00000001492651</v>
      </c>
    </row>
    <row r="5653" spans="1:40" x14ac:dyDescent="0.25">
      <c r="A5653" t="str">
        <f>"20190303170647028"</f>
        <v>20190303170647028</v>
      </c>
      <c r="B5653" t="str">
        <f>"1551604007020865"</f>
        <v>1551604007020865</v>
      </c>
      <c r="C5653" t="s">
        <v>40</v>
      </c>
      <c r="D5653">
        <v>5.6505380000000001</v>
      </c>
      <c r="E5653">
        <v>0.38012580000000001</v>
      </c>
      <c r="F5653" t="s">
        <v>54</v>
      </c>
      <c r="G5653">
        <v>-166.2526</v>
      </c>
      <c r="H5653">
        <v>2.4458229999999999</v>
      </c>
      <c r="I5653">
        <v>-40.619770000000003</v>
      </c>
      <c r="J5653">
        <v>-208.02930000000001</v>
      </c>
      <c r="K5653">
        <v>1.1280019999999999</v>
      </c>
      <c r="L5653">
        <v>-63.313780000000001</v>
      </c>
      <c r="M5653">
        <v>0.99141769999999996</v>
      </c>
      <c r="N5653">
        <v>-1.4348659999999999E-2</v>
      </c>
      <c r="O5653">
        <v>0.12994269999999999</v>
      </c>
      <c r="P5653">
        <v>0.96339059999999999</v>
      </c>
      <c r="Q5653">
        <v>0.19589819999999999</v>
      </c>
      <c r="R5653">
        <v>0.1830367</v>
      </c>
      <c r="S5653">
        <v>2.810562</v>
      </c>
      <c r="T5653">
        <v>8.8284730000000006E-2</v>
      </c>
      <c r="U5653">
        <v>1.522003</v>
      </c>
      <c r="V5653">
        <v>-5.9801930000000003E-2</v>
      </c>
      <c r="W5653">
        <v>0.20895079999999999</v>
      </c>
      <c r="X5653">
        <v>0.97609590000000002</v>
      </c>
      <c r="Y5653">
        <v>-0.35791830000000002</v>
      </c>
      <c r="Z5653">
        <v>3.0180770000000001E-3</v>
      </c>
      <c r="AA5653">
        <v>0.93374809999999997</v>
      </c>
      <c r="AB5653">
        <v>36</v>
      </c>
      <c r="AC5653">
        <v>41.776699999999998</v>
      </c>
      <c r="AD5653">
        <v>1.3178209999999999</v>
      </c>
      <c r="AE5653">
        <v>22.694009999999999</v>
      </c>
      <c r="AF5653">
        <v>-17.059316086287701</v>
      </c>
      <c r="AG5653">
        <v>1.3178209999999999</v>
      </c>
      <c r="AH5653">
        <v>44.337582048446698</v>
      </c>
      <c r="AI5653">
        <v>88.411024607668494</v>
      </c>
      <c r="AJ5653">
        <v>111.04471527453001</v>
      </c>
      <c r="AK5653">
        <v>47.524499991295599</v>
      </c>
      <c r="AL5653">
        <v>77.939125933469498</v>
      </c>
      <c r="AM5653">
        <v>93.505926764967299</v>
      </c>
      <c r="AN5653">
        <v>0.99999995682458598</v>
      </c>
    </row>
    <row r="5654" spans="1:40" x14ac:dyDescent="0.25">
      <c r="A5654" t="str">
        <f>"20190303170647039"</f>
        <v>20190303170647039</v>
      </c>
      <c r="B5654" t="str">
        <f>"1551604007030625"</f>
        <v>1551604007030625</v>
      </c>
      <c r="C5654" t="s">
        <v>40</v>
      </c>
      <c r="D5654">
        <v>5.70303</v>
      </c>
      <c r="E5654">
        <v>0.3799498</v>
      </c>
      <c r="F5654" t="s">
        <v>54</v>
      </c>
      <c r="G5654">
        <v>-166.50309999999999</v>
      </c>
      <c r="H5654">
        <v>2.446075</v>
      </c>
      <c r="I5654">
        <v>-40.619770000000003</v>
      </c>
      <c r="J5654">
        <v>-207.8467</v>
      </c>
      <c r="K5654">
        <v>1.1280829999999999</v>
      </c>
      <c r="L5654">
        <v>-63.286679999999997</v>
      </c>
      <c r="M5654">
        <v>0.99089910000000003</v>
      </c>
      <c r="N5654">
        <v>-1.435706E-2</v>
      </c>
      <c r="O5654">
        <v>0.133839299999999</v>
      </c>
      <c r="P5654">
        <v>0.96252879999999996</v>
      </c>
      <c r="Q5654">
        <v>0.1968433</v>
      </c>
      <c r="R5654">
        <v>0.18652379999999999</v>
      </c>
      <c r="S5654">
        <v>2.8046720000000001</v>
      </c>
      <c r="T5654">
        <v>8.9020849999999999E-2</v>
      </c>
      <c r="U5654">
        <v>1.532745</v>
      </c>
      <c r="V5654">
        <v>-5.9578289999999999E-2</v>
      </c>
      <c r="W5654">
        <v>0.20989550000000001</v>
      </c>
      <c r="X5654">
        <v>0.97590690000000002</v>
      </c>
      <c r="Y5654">
        <v>-0.35782920000000001</v>
      </c>
      <c r="Z5654">
        <v>3.1747479999999998E-3</v>
      </c>
      <c r="AA5654">
        <v>0.93378170000000005</v>
      </c>
      <c r="AB5654">
        <v>36</v>
      </c>
      <c r="AC5654">
        <v>41.343600000000002</v>
      </c>
      <c r="AD5654">
        <v>1.3179920000000001</v>
      </c>
      <c r="AE5654">
        <v>22.666910000000001</v>
      </c>
      <c r="AF5654">
        <v>-16.915748275336099</v>
      </c>
      <c r="AG5654">
        <v>1.3179920000000001</v>
      </c>
      <c r="AH5654">
        <v>43.971233689950402</v>
      </c>
      <c r="AI5654">
        <v>88.397553184529002</v>
      </c>
      <c r="AJ5654">
        <v>111.041750910997</v>
      </c>
      <c r="AK5654">
        <v>47.131189618370897</v>
      </c>
      <c r="AL5654">
        <v>77.883771471633196</v>
      </c>
      <c r="AM5654">
        <v>93.493523016210503</v>
      </c>
      <c r="AN5654">
        <v>0.99999998551359204</v>
      </c>
    </row>
    <row r="5655" spans="1:40" x14ac:dyDescent="0.25">
      <c r="A5655" t="str">
        <f>"20190303170647050"</f>
        <v>20190303170647050</v>
      </c>
      <c r="B5655" t="str">
        <f>"1551604007040385"</f>
        <v>1551604007040385</v>
      </c>
      <c r="C5655" t="s">
        <v>40</v>
      </c>
      <c r="D5655">
        <v>5.6929089999999896</v>
      </c>
      <c r="E5655">
        <v>0.37984400000000001</v>
      </c>
      <c r="F5655" t="s">
        <v>54</v>
      </c>
      <c r="G5655">
        <v>-166.76140000000001</v>
      </c>
      <c r="H5655">
        <v>2.492286</v>
      </c>
      <c r="I5655">
        <v>-40.619770000000003</v>
      </c>
      <c r="J5655">
        <v>-207.68119999999999</v>
      </c>
      <c r="K5655">
        <v>1.1281589999999999</v>
      </c>
      <c r="L5655">
        <v>-63.26126</v>
      </c>
      <c r="M5655">
        <v>0.99040790000000001</v>
      </c>
      <c r="N5655">
        <v>-1.4365370000000001E-2</v>
      </c>
      <c r="O5655">
        <v>0.13742589999999999</v>
      </c>
      <c r="P5655">
        <v>0.96166669999999999</v>
      </c>
      <c r="Q5655">
        <v>0.19773279999999999</v>
      </c>
      <c r="R5655">
        <v>0.18999769999999999</v>
      </c>
      <c r="S5655">
        <v>2.7985690000000001</v>
      </c>
      <c r="T5655">
        <v>9.2922450000000004E-2</v>
      </c>
      <c r="U5655">
        <v>1.543976</v>
      </c>
      <c r="V5655">
        <v>-5.9645789999999997E-2</v>
      </c>
      <c r="W5655">
        <v>0.2107793</v>
      </c>
      <c r="X5655">
        <v>0.97571229999999998</v>
      </c>
      <c r="Y5655">
        <v>-0.35818339999999999</v>
      </c>
      <c r="Z5655">
        <v>3.2712040000000002E-3</v>
      </c>
      <c r="AA5655">
        <v>0.93364550000000002</v>
      </c>
      <c r="AB5655">
        <v>36</v>
      </c>
      <c r="AC5655">
        <v>40.919799999999903</v>
      </c>
      <c r="AD5655">
        <v>1.3641270000000001</v>
      </c>
      <c r="AE5655">
        <v>22.641490000000001</v>
      </c>
      <c r="AF5655">
        <v>-16.788319452736602</v>
      </c>
      <c r="AG5655">
        <v>1.3641270000000001</v>
      </c>
      <c r="AH5655">
        <v>43.606220782352302</v>
      </c>
      <c r="AI5655">
        <v>88.327783881173005</v>
      </c>
      <c r="AJ5655">
        <v>111.05661913909</v>
      </c>
      <c r="AK5655">
        <v>46.746240527325</v>
      </c>
      <c r="AL5655">
        <v>77.831975045247901</v>
      </c>
      <c r="AM5655">
        <v>93.498167047048298</v>
      </c>
      <c r="AN5655">
        <v>1.0000000129722499</v>
      </c>
    </row>
    <row r="5656" spans="1:40" x14ac:dyDescent="0.25">
      <c r="A5656" t="str">
        <f>"20190303170647060"</f>
        <v>20190303170647060</v>
      </c>
      <c r="B5656" t="str">
        <f>"1551604007050146"</f>
        <v>1551604007050146</v>
      </c>
      <c r="C5656" t="s">
        <v>40</v>
      </c>
      <c r="D5656">
        <v>5.6700059999999999</v>
      </c>
      <c r="E5656">
        <v>0.37975629999999999</v>
      </c>
      <c r="F5656" t="s">
        <v>54</v>
      </c>
      <c r="G5656">
        <v>-167.02680000000001</v>
      </c>
      <c r="H5656">
        <v>2.5412689999999998</v>
      </c>
      <c r="I5656">
        <v>-40.619770000000003</v>
      </c>
      <c r="J5656">
        <v>-207.52209999999999</v>
      </c>
      <c r="K5656">
        <v>1.128231</v>
      </c>
      <c r="L5656">
        <v>-63.236449999999998</v>
      </c>
      <c r="M5656">
        <v>0.98992040000000003</v>
      </c>
      <c r="N5656">
        <v>-1.437328E-2</v>
      </c>
      <c r="O5656">
        <v>0.14089360000000001</v>
      </c>
      <c r="P5656">
        <v>0.96088410000000002</v>
      </c>
      <c r="Q5656">
        <v>0.19863030000000001</v>
      </c>
      <c r="R5656">
        <v>0.19299620000000001</v>
      </c>
      <c r="S5656">
        <v>2.7923740000000001</v>
      </c>
      <c r="T5656">
        <v>9.7059010000000001E-2</v>
      </c>
      <c r="U5656">
        <v>1.555145</v>
      </c>
      <c r="V5656">
        <v>-5.9348329999999998E-2</v>
      </c>
      <c r="W5656">
        <v>0.2116779</v>
      </c>
      <c r="X5656">
        <v>0.97553590000000001</v>
      </c>
      <c r="Y5656">
        <v>-0.35864479999999999</v>
      </c>
      <c r="Z5656">
        <v>3.3666770000000002E-3</v>
      </c>
      <c r="AA5656">
        <v>0.93346799999999996</v>
      </c>
      <c r="AB5656">
        <v>36</v>
      </c>
      <c r="AC5656">
        <v>40.495299999999901</v>
      </c>
      <c r="AD5656">
        <v>1.41303799999999</v>
      </c>
      <c r="AE5656">
        <v>22.616679999999899</v>
      </c>
      <c r="AF5656">
        <v>-16.6694371826934</v>
      </c>
      <c r="AG5656">
        <v>1.41303799999999</v>
      </c>
      <c r="AH5656">
        <v>43.238011054595397</v>
      </c>
      <c r="AI5656">
        <v>88.2534304656497</v>
      </c>
      <c r="AJ5656">
        <v>111.08301697489</v>
      </c>
      <c r="AK5656">
        <v>46.361540228237899</v>
      </c>
      <c r="AL5656">
        <v>77.779300693302304</v>
      </c>
      <c r="AM5656">
        <v>93.481392166306506</v>
      </c>
      <c r="AN5656">
        <v>1.0000000249055001</v>
      </c>
    </row>
    <row r="5657" spans="1:40" x14ac:dyDescent="0.25">
      <c r="A5657" t="str">
        <f>"20190303170647071"</f>
        <v>20190303170647071</v>
      </c>
      <c r="B5657" t="str">
        <f>"1551604007060882"</f>
        <v>1551604007060882</v>
      </c>
      <c r="C5657" t="s">
        <v>40</v>
      </c>
      <c r="D5657">
        <v>5.6525850000000002</v>
      </c>
      <c r="E5657">
        <v>0.3797199</v>
      </c>
      <c r="F5657" t="s">
        <v>48</v>
      </c>
      <c r="G5657">
        <v>-177.53099999999901</v>
      </c>
      <c r="H5657">
        <v>2.2164239999999999</v>
      </c>
      <c r="I5657">
        <v>-46.398440000000001</v>
      </c>
      <c r="J5657">
        <v>-207.3597</v>
      </c>
      <c r="K5657">
        <v>1.128304</v>
      </c>
      <c r="L5657">
        <v>-63.210209999999996</v>
      </c>
      <c r="M5657">
        <v>0.98940070000000002</v>
      </c>
      <c r="N5657">
        <v>-1.438211E-2</v>
      </c>
      <c r="O5657">
        <v>0.14449719999999999</v>
      </c>
      <c r="P5657">
        <v>0.96013899999999996</v>
      </c>
      <c r="Q5657">
        <v>0.19884869999999999</v>
      </c>
      <c r="R5657">
        <v>0.1964497</v>
      </c>
      <c r="S5657">
        <v>2.7869109999999999</v>
      </c>
      <c r="T5657">
        <v>0.10112</v>
      </c>
      <c r="U5657">
        <v>1.564667</v>
      </c>
      <c r="V5657">
        <v>-5.935199E-2</v>
      </c>
      <c r="W5657">
        <v>0.21189459999999999</v>
      </c>
      <c r="X5657">
        <v>0.97548860000000004</v>
      </c>
      <c r="Y5657">
        <v>-0.3584524</v>
      </c>
      <c r="Z5657">
        <v>3.4844799999999999E-3</v>
      </c>
      <c r="AA5657">
        <v>0.93354150000000002</v>
      </c>
      <c r="AB5657">
        <v>36</v>
      </c>
      <c r="AC5657">
        <v>29.828700000000001</v>
      </c>
      <c r="AD5657">
        <v>1.08811999999999</v>
      </c>
      <c r="AE5657">
        <v>16.8117699999999</v>
      </c>
      <c r="AF5657">
        <v>-12.312253635460801</v>
      </c>
      <c r="AG5657">
        <v>1.08811999999999</v>
      </c>
      <c r="AH5657">
        <v>31.912864753281902</v>
      </c>
      <c r="AI5657">
        <v>88.177968491615204</v>
      </c>
      <c r="AJ5657">
        <v>111.09703702232</v>
      </c>
      <c r="AK5657">
        <v>34.222894843650799</v>
      </c>
      <c r="AL5657">
        <v>77.766596138775995</v>
      </c>
      <c r="AM5657">
        <v>93.481774737641501</v>
      </c>
      <c r="AN5657">
        <v>0.99999999447804</v>
      </c>
    </row>
    <row r="5658" spans="1:40" x14ac:dyDescent="0.25">
      <c r="A5658" t="str">
        <f>"20190303170647084"</f>
        <v>20190303170647084</v>
      </c>
      <c r="B5658" t="str">
        <f>"1551604007070640"</f>
        <v>1551604007070640</v>
      </c>
      <c r="C5658" t="s">
        <v>40</v>
      </c>
      <c r="D5658">
        <v>5.6750040000000004</v>
      </c>
      <c r="E5658">
        <v>0.37973750000000001</v>
      </c>
      <c r="F5658" t="s">
        <v>48</v>
      </c>
      <c r="G5658">
        <v>-177.58879999999999</v>
      </c>
      <c r="H5658">
        <v>2.218099</v>
      </c>
      <c r="I5658">
        <v>-46.351010000000002</v>
      </c>
      <c r="J5658">
        <v>-207.16210000000001</v>
      </c>
      <c r="K5658">
        <v>1.1283939999999999</v>
      </c>
      <c r="L5658">
        <v>-63.17783</v>
      </c>
      <c r="M5658">
        <v>0.98874589999999996</v>
      </c>
      <c r="N5658">
        <v>-1.439257E-2</v>
      </c>
      <c r="O5658">
        <v>0.14891009999999999</v>
      </c>
      <c r="P5658">
        <v>0.95916699999999999</v>
      </c>
      <c r="Q5658">
        <v>0.1991513</v>
      </c>
      <c r="R5658">
        <v>0.20084160000000001</v>
      </c>
      <c r="S5658">
        <v>2.7811889999999999</v>
      </c>
      <c r="T5658">
        <v>0.1018083</v>
      </c>
      <c r="U5658">
        <v>1.5749820000000001</v>
      </c>
      <c r="V5658">
        <v>-5.9526229999999999E-2</v>
      </c>
      <c r="W5658">
        <v>0.21219060000000001</v>
      </c>
      <c r="X5658">
        <v>0.97541369999999905</v>
      </c>
      <c r="Y5658">
        <v>-0.35773640000000001</v>
      </c>
      <c r="Z5658">
        <v>3.692542E-3</v>
      </c>
      <c r="AA5658">
        <v>0.93381530000000001</v>
      </c>
      <c r="AB5658">
        <v>36</v>
      </c>
      <c r="AC5658">
        <v>29.5733</v>
      </c>
      <c r="AD5658">
        <v>1.0897049999999999</v>
      </c>
      <c r="AE5658">
        <v>16.826820000000001</v>
      </c>
      <c r="AF5658">
        <v>-12.222418270771399</v>
      </c>
      <c r="AG5658">
        <v>1.0897049999999999</v>
      </c>
      <c r="AH5658">
        <v>31.716922466080302</v>
      </c>
      <c r="AI5658">
        <v>88.163774803074404</v>
      </c>
      <c r="AJ5658">
        <v>111.07464367140901</v>
      </c>
      <c r="AK5658">
        <v>34.007912845278597</v>
      </c>
      <c r="AL5658">
        <v>77.749242707542606</v>
      </c>
      <c r="AM5658">
        <v>93.492238426835698</v>
      </c>
      <c r="AN5658">
        <v>1.00000005446702</v>
      </c>
    </row>
    <row r="5659" spans="1:40" x14ac:dyDescent="0.25">
      <c r="A5659" t="str">
        <f>"20190303170647093"</f>
        <v>20190303170647093</v>
      </c>
      <c r="B5659" t="str">
        <f>"1551604007080401"</f>
        <v>1551604007080401</v>
      </c>
      <c r="C5659" t="s">
        <v>40</v>
      </c>
      <c r="D5659">
        <v>5.6595690000000003</v>
      </c>
      <c r="E5659">
        <v>0.37978889999999998</v>
      </c>
      <c r="F5659" t="s">
        <v>48</v>
      </c>
      <c r="G5659">
        <v>-177.58760000000001</v>
      </c>
      <c r="H5659">
        <v>2.224227</v>
      </c>
      <c r="I5659">
        <v>-46.249139999999997</v>
      </c>
      <c r="J5659">
        <v>-207.01320000000001</v>
      </c>
      <c r="K5659">
        <v>1.1284670000000001</v>
      </c>
      <c r="L5659">
        <v>-63.152369999999998</v>
      </c>
      <c r="M5659">
        <v>0.98822739999999998</v>
      </c>
      <c r="N5659">
        <v>-1.4401539999999999E-2</v>
      </c>
      <c r="O5659">
        <v>0.15231310000000001</v>
      </c>
      <c r="P5659">
        <v>0.95854689999999998</v>
      </c>
      <c r="Q5659">
        <v>0.19860739999999999</v>
      </c>
      <c r="R5659">
        <v>0.20431150000000001</v>
      </c>
      <c r="S5659">
        <v>2.773895</v>
      </c>
      <c r="T5659">
        <v>0.1027819</v>
      </c>
      <c r="U5659">
        <v>1.587799</v>
      </c>
      <c r="V5659">
        <v>-5.9710220000000001E-2</v>
      </c>
      <c r="W5659">
        <v>0.21164350000000001</v>
      </c>
      <c r="X5659">
        <v>0.97552130000000004</v>
      </c>
      <c r="Y5659">
        <v>-0.358832599999999</v>
      </c>
      <c r="Z5659">
        <v>3.834606E-3</v>
      </c>
      <c r="AA5659">
        <v>0.9333941</v>
      </c>
      <c r="AB5659">
        <v>36</v>
      </c>
      <c r="AC5659">
        <v>29.425599999999999</v>
      </c>
      <c r="AD5659">
        <v>1.0957599999999901</v>
      </c>
      <c r="AE5659">
        <v>16.903229999999901</v>
      </c>
      <c r="AF5659">
        <v>-12.2108663252239</v>
      </c>
      <c r="AG5659">
        <v>1.0957599999999901</v>
      </c>
      <c r="AH5659">
        <v>31.6240768067162</v>
      </c>
      <c r="AI5659">
        <v>88.148637570935193</v>
      </c>
      <c r="AJ5659">
        <v>111.112852281274</v>
      </c>
      <c r="AK5659">
        <v>33.917372838520002</v>
      </c>
      <c r="AL5659">
        <v>77.781317597511901</v>
      </c>
      <c r="AM5659">
        <v>93.502620351495295</v>
      </c>
      <c r="AN5659">
        <v>1.0000000441091901</v>
      </c>
    </row>
    <row r="5660" spans="1:40" x14ac:dyDescent="0.25">
      <c r="A5660" t="str">
        <f>"20190303170647101"</f>
        <v>20190303170647101</v>
      </c>
      <c r="B5660" t="str">
        <f>"1551604007090161"</f>
        <v>1551604007090161</v>
      </c>
      <c r="C5660" t="s">
        <v>40</v>
      </c>
      <c r="D5660">
        <v>5.682347</v>
      </c>
      <c r="E5660">
        <v>0.37984089999999998</v>
      </c>
      <c r="F5660" t="s">
        <v>54</v>
      </c>
      <c r="G5660">
        <v>-167.96559999999999</v>
      </c>
      <c r="H5660">
        <v>2.5523880000000001</v>
      </c>
      <c r="I5660">
        <v>-40.619779999999999</v>
      </c>
      <c r="J5660">
        <v>-206.87309999999999</v>
      </c>
      <c r="K5660">
        <v>1.1285320000000001</v>
      </c>
      <c r="L5660">
        <v>-63.128419999999998</v>
      </c>
      <c r="M5660">
        <v>0.98772870000000002</v>
      </c>
      <c r="N5660">
        <v>-1.4409399999999999E-2</v>
      </c>
      <c r="O5660">
        <v>0.1555134</v>
      </c>
      <c r="P5660">
        <v>0.9578276</v>
      </c>
      <c r="Q5660">
        <v>0.19817080000000001</v>
      </c>
      <c r="R5660">
        <v>0.20807339999999999</v>
      </c>
      <c r="S5660">
        <v>2.7683260000000001</v>
      </c>
      <c r="T5660">
        <v>0.100949</v>
      </c>
      <c r="U5660">
        <v>1.5974729999999999</v>
      </c>
      <c r="V5660">
        <v>-6.0396289999999998E-2</v>
      </c>
      <c r="W5660">
        <v>0.21119370000000001</v>
      </c>
      <c r="X5660">
        <v>0.97557649999999996</v>
      </c>
      <c r="Y5660">
        <v>-0.35907299999999998</v>
      </c>
      <c r="Z5660">
        <v>4.0015609999999998E-3</v>
      </c>
      <c r="AA5660">
        <v>0.93330089999999999</v>
      </c>
      <c r="AB5660">
        <v>36</v>
      </c>
      <c r="AC5660">
        <v>38.907499999999999</v>
      </c>
      <c r="AD5660">
        <v>1.423856</v>
      </c>
      <c r="AE5660">
        <v>22.50864</v>
      </c>
      <c r="AF5660">
        <v>-16.167249297644901</v>
      </c>
      <c r="AG5660">
        <v>1.423856</v>
      </c>
      <c r="AH5660">
        <v>41.892766010905497</v>
      </c>
      <c r="AI5660">
        <v>88.183829517274106</v>
      </c>
      <c r="AJ5660">
        <v>111.102590618077</v>
      </c>
      <c r="AK5660">
        <v>44.926731016238101</v>
      </c>
      <c r="AL5660">
        <v>77.807684705533006</v>
      </c>
      <c r="AM5660">
        <v>93.542563567083604</v>
      </c>
      <c r="AN5660">
        <v>0.99999999905885195</v>
      </c>
    </row>
    <row r="5661" spans="1:40" x14ac:dyDescent="0.25">
      <c r="A5661" t="str">
        <f>"20190303170647111"</f>
        <v>20190303170647111</v>
      </c>
      <c r="B5661" t="str">
        <f>"1551604007100897"</f>
        <v>1551604007100897</v>
      </c>
      <c r="C5661" t="s">
        <v>40</v>
      </c>
      <c r="D5661">
        <v>5.6456689999999998</v>
      </c>
      <c r="E5661">
        <v>0.37992959999999998</v>
      </c>
      <c r="F5661" t="s">
        <v>54</v>
      </c>
      <c r="G5661">
        <v>-168.20930000000001</v>
      </c>
      <c r="H5661">
        <v>2.5214110000000001</v>
      </c>
      <c r="I5661">
        <v>-40.619770000000003</v>
      </c>
      <c r="J5661">
        <v>-206.733</v>
      </c>
      <c r="K5661">
        <v>1.1286</v>
      </c>
      <c r="L5661">
        <v>-63.103450000000002</v>
      </c>
      <c r="M5661">
        <v>0.98720819999999998</v>
      </c>
      <c r="N5661">
        <v>-1.4418459999999999E-2</v>
      </c>
      <c r="O5661">
        <v>0.1587828</v>
      </c>
      <c r="P5661">
        <v>0.95710240000000002</v>
      </c>
      <c r="Q5661">
        <v>0.19761980000000001</v>
      </c>
      <c r="R5661">
        <v>0.21189910000000001</v>
      </c>
      <c r="S5661">
        <v>2.7621769999999999</v>
      </c>
      <c r="T5661">
        <v>9.9506739999999996E-2</v>
      </c>
      <c r="U5661">
        <v>1.6080319999999999</v>
      </c>
      <c r="V5661">
        <v>-6.1074209999999997E-2</v>
      </c>
      <c r="W5661">
        <v>0.2106307</v>
      </c>
      <c r="X5661">
        <v>0.97565599999999997</v>
      </c>
      <c r="Y5661">
        <v>-0.3595546</v>
      </c>
      <c r="Z5661">
        <v>4.163333E-3</v>
      </c>
      <c r="AA5661">
        <v>0.93311480000000002</v>
      </c>
      <c r="AB5661">
        <v>36</v>
      </c>
      <c r="AC5661">
        <v>38.523699999999899</v>
      </c>
      <c r="AD5661">
        <v>1.392811</v>
      </c>
      <c r="AE5661">
        <v>22.48368</v>
      </c>
      <c r="AF5661">
        <v>-16.065180618648998</v>
      </c>
      <c r="AG5661">
        <v>1.392811</v>
      </c>
      <c r="AH5661">
        <v>41.564734112848299</v>
      </c>
      <c r="AI5661">
        <v>88.209745555120705</v>
      </c>
      <c r="AJ5661">
        <v>111.132009852813</v>
      </c>
      <c r="AK5661">
        <v>44.583147855028301</v>
      </c>
      <c r="AL5661">
        <v>77.840684457232797</v>
      </c>
      <c r="AM5661">
        <v>93.581933077836894</v>
      </c>
      <c r="AN5661">
        <v>0.99999999062280698</v>
      </c>
    </row>
    <row r="5662" spans="1:40" x14ac:dyDescent="0.25">
      <c r="A5662" t="str">
        <f>"20190303170647122"</f>
        <v>20190303170647122</v>
      </c>
      <c r="B5662" t="str">
        <f>"1551604007110657"</f>
        <v>1551604007110657</v>
      </c>
      <c r="C5662" t="s">
        <v>40</v>
      </c>
      <c r="D5662">
        <v>5.6712400000000001</v>
      </c>
      <c r="E5662">
        <v>0.3800096</v>
      </c>
      <c r="F5662" t="s">
        <v>54</v>
      </c>
      <c r="G5662">
        <v>-168.4348</v>
      </c>
      <c r="H5662">
        <v>2.4750770000000002</v>
      </c>
      <c r="I5662">
        <v>-40.619770000000003</v>
      </c>
      <c r="J5662">
        <v>-206.55420000000001</v>
      </c>
      <c r="K5662">
        <v>1.128682</v>
      </c>
      <c r="L5662">
        <v>-63.071440000000003</v>
      </c>
      <c r="M5662">
        <v>0.98652689999999998</v>
      </c>
      <c r="N5662">
        <v>-1.44293999999999E-2</v>
      </c>
      <c r="O5662">
        <v>0.16296169999999999</v>
      </c>
      <c r="P5662">
        <v>0.95609639999999996</v>
      </c>
      <c r="Q5662">
        <v>0.19719690000000001</v>
      </c>
      <c r="R5662">
        <v>0.21677869999999999</v>
      </c>
      <c r="S5662">
        <v>2.756195</v>
      </c>
      <c r="T5662">
        <v>9.6899750000000007E-2</v>
      </c>
      <c r="U5662">
        <v>1.6180730000000001</v>
      </c>
      <c r="V5662">
        <v>-6.1946439999999998E-2</v>
      </c>
      <c r="W5662">
        <v>0.21019009999999999</v>
      </c>
      <c r="X5662">
        <v>0.97569600000000001</v>
      </c>
      <c r="Y5662">
        <v>-0.35902009999999901</v>
      </c>
      <c r="Z5662">
        <v>4.3809269999999997E-3</v>
      </c>
      <c r="AA5662">
        <v>0.93331960000000003</v>
      </c>
      <c r="AB5662">
        <v>36</v>
      </c>
      <c r="AC5662">
        <v>38.119399999999999</v>
      </c>
      <c r="AD5662">
        <v>1.346395</v>
      </c>
      <c r="AE5662">
        <v>22.45167</v>
      </c>
      <c r="AF5662">
        <v>-15.9240838660028</v>
      </c>
      <c r="AG5662">
        <v>1.346395</v>
      </c>
      <c r="AH5662">
        <v>41.230682350720798</v>
      </c>
      <c r="AI5662">
        <v>88.255186290653796</v>
      </c>
      <c r="AJ5662">
        <v>111.117521380577</v>
      </c>
      <c r="AK5662">
        <v>44.219434568677599</v>
      </c>
      <c r="AL5662">
        <v>77.866506712437896</v>
      </c>
      <c r="AM5662">
        <v>93.632803797319895</v>
      </c>
      <c r="AN5662">
        <v>0.999999961991341</v>
      </c>
    </row>
    <row r="5663" spans="1:40" x14ac:dyDescent="0.25">
      <c r="A5663" t="str">
        <f>"20190303170647136"</f>
        <v>20190303170647136</v>
      </c>
      <c r="B5663" t="str">
        <f>"1551604007130177"</f>
        <v>1551604007130177</v>
      </c>
      <c r="C5663" t="s">
        <v>40</v>
      </c>
      <c r="D5663">
        <v>5.6797380000000004</v>
      </c>
      <c r="E5663">
        <v>0.38028919999999999</v>
      </c>
      <c r="F5663" t="s">
        <v>54</v>
      </c>
      <c r="G5663">
        <v>-168.45060000000001</v>
      </c>
      <c r="H5663">
        <v>2.4455529999999999</v>
      </c>
      <c r="I5663">
        <v>-40.449730000000002</v>
      </c>
      <c r="J5663">
        <v>-206.35890000000001</v>
      </c>
      <c r="K5663">
        <v>1.1287780000000001</v>
      </c>
      <c r="L5663">
        <v>-63.034910000000004</v>
      </c>
      <c r="M5663">
        <v>0.98574150000000005</v>
      </c>
      <c r="N5663">
        <v>-1.444233E-2</v>
      </c>
      <c r="O5663">
        <v>0.16764609999999999</v>
      </c>
      <c r="P5663">
        <v>0.95503899999999997</v>
      </c>
      <c r="Q5663">
        <v>0.1966939</v>
      </c>
      <c r="R5663">
        <v>0.22183829999999999</v>
      </c>
      <c r="S5663">
        <v>2.74823</v>
      </c>
      <c r="T5663">
        <v>9.4977969999999995E-2</v>
      </c>
      <c r="U5663">
        <v>1.6315919999999999</v>
      </c>
      <c r="V5663">
        <v>-6.2506210000000006E-2</v>
      </c>
      <c r="W5663">
        <v>0.20967540000000001</v>
      </c>
      <c r="X5663">
        <v>0.9757711</v>
      </c>
      <c r="Y5663">
        <v>-0.35917339999999998</v>
      </c>
      <c r="Z5663">
        <v>4.6053409999999998E-3</v>
      </c>
      <c r="AA5663">
        <v>0.93325950000000002</v>
      </c>
      <c r="AB5663">
        <v>36</v>
      </c>
      <c r="AC5663">
        <v>37.908299999999997</v>
      </c>
      <c r="AD5663">
        <v>1.31677499999999</v>
      </c>
      <c r="AE5663">
        <v>22.585179999999902</v>
      </c>
      <c r="AF5663">
        <v>-15.895474330762299</v>
      </c>
      <c r="AG5663">
        <v>1.31677499999999</v>
      </c>
      <c r="AH5663">
        <v>41.121773965526003</v>
      </c>
      <c r="AI5663">
        <v>88.289219661604406</v>
      </c>
      <c r="AJ5663">
        <v>111.13383082092</v>
      </c>
      <c r="AK5663">
        <v>44.106692175591299</v>
      </c>
      <c r="AL5663">
        <v>77.896669701279805</v>
      </c>
      <c r="AM5663">
        <v>93.6652606519377</v>
      </c>
      <c r="AN5663">
        <v>1.0000000196244601</v>
      </c>
    </row>
    <row r="5664" spans="1:40" x14ac:dyDescent="0.25">
      <c r="A5664" t="str">
        <f>"20190303170647145"</f>
        <v>20190303170647145</v>
      </c>
      <c r="B5664" t="str">
        <f>"1551604007140913"</f>
        <v>1551604007140913</v>
      </c>
      <c r="C5664" t="s">
        <v>40</v>
      </c>
      <c r="D5664">
        <v>5.6797870000000001</v>
      </c>
      <c r="E5664">
        <v>0.38048490000000001</v>
      </c>
      <c r="F5664" t="s">
        <v>54</v>
      </c>
      <c r="G5664">
        <v>-168.45060000000001</v>
      </c>
      <c r="H5664">
        <v>2.4067129999999999</v>
      </c>
      <c r="I5664">
        <v>-40.290939999999999</v>
      </c>
      <c r="J5664">
        <v>-206.20150000000001</v>
      </c>
      <c r="K5664">
        <v>1.12886</v>
      </c>
      <c r="L5664">
        <v>-63.005159999999997</v>
      </c>
      <c r="M5664">
        <v>0.98508759999999995</v>
      </c>
      <c r="N5664">
        <v>-1.445259E-2</v>
      </c>
      <c r="O5664">
        <v>0.17144579999999901</v>
      </c>
      <c r="P5664">
        <v>0.95396630000000004</v>
      </c>
      <c r="Q5664">
        <v>0.19683909999999999</v>
      </c>
      <c r="R5664">
        <v>0.22628039999999999</v>
      </c>
      <c r="S5664">
        <v>2.7402950000000001</v>
      </c>
      <c r="T5664">
        <v>9.2377189999999998E-2</v>
      </c>
      <c r="U5664">
        <v>1.644104</v>
      </c>
      <c r="V5664">
        <v>-6.3338679999999994E-2</v>
      </c>
      <c r="W5664">
        <v>0.20980219999999999</v>
      </c>
      <c r="X5664">
        <v>0.9756901</v>
      </c>
      <c r="Y5664">
        <v>-0.35990319999999998</v>
      </c>
      <c r="Z5664">
        <v>4.7822180000000004E-3</v>
      </c>
      <c r="AA5664">
        <v>0.93297739999999996</v>
      </c>
      <c r="AB5664">
        <v>36</v>
      </c>
      <c r="AC5664">
        <v>37.750900000000001</v>
      </c>
      <c r="AD5664">
        <v>1.2778529999999999</v>
      </c>
      <c r="AE5664">
        <v>22.714220000000001</v>
      </c>
      <c r="AF5664">
        <v>-15.891554782599901</v>
      </c>
      <c r="AG5664">
        <v>1.2778529999999999</v>
      </c>
      <c r="AH5664">
        <v>41.051955220562199</v>
      </c>
      <c r="AI5664">
        <v>88.337251357955793</v>
      </c>
      <c r="AJ5664">
        <v>111.16183678883201</v>
      </c>
      <c r="AK5664">
        <v>44.039044598277002</v>
      </c>
      <c r="AL5664">
        <v>77.889238609946403</v>
      </c>
      <c r="AM5664">
        <v>93.7142470482096</v>
      </c>
      <c r="AN5664">
        <v>0.99999996137349501</v>
      </c>
    </row>
    <row r="5665" spans="1:40" x14ac:dyDescent="0.25">
      <c r="A5665" t="str">
        <f>"20190303170647156"</f>
        <v>20190303170647156</v>
      </c>
      <c r="B5665" t="str">
        <f>"1551604007150673"</f>
        <v>1551604007150673</v>
      </c>
      <c r="C5665" t="s">
        <v>40</v>
      </c>
      <c r="D5665">
        <v>5.6815020000000001</v>
      </c>
      <c r="E5665">
        <v>0.38071660000000002</v>
      </c>
      <c r="F5665" t="s">
        <v>54</v>
      </c>
      <c r="G5665">
        <v>-168.45060000000001</v>
      </c>
      <c r="H5665">
        <v>2.4026380000000001</v>
      </c>
      <c r="I5665">
        <v>-40.138019999999997</v>
      </c>
      <c r="J5665">
        <v>-206.0196</v>
      </c>
      <c r="K5665">
        <v>1.1289629999999999</v>
      </c>
      <c r="L5665">
        <v>-62.9696</v>
      </c>
      <c r="M5665">
        <v>0.98429670000000002</v>
      </c>
      <c r="N5665">
        <v>-1.4465749999999999E-2</v>
      </c>
      <c r="O5665">
        <v>0.175928799999999</v>
      </c>
      <c r="P5665">
        <v>0.95272570000000001</v>
      </c>
      <c r="Q5665">
        <v>0.19704650000000001</v>
      </c>
      <c r="R5665">
        <v>0.23127159999999999</v>
      </c>
      <c r="S5665">
        <v>2.733063</v>
      </c>
      <c r="T5665">
        <v>9.2216610000000004E-2</v>
      </c>
      <c r="U5665">
        <v>1.655518</v>
      </c>
      <c r="V5665">
        <v>-6.4071089999999997E-2</v>
      </c>
      <c r="W5665">
        <v>0.20999200000000001</v>
      </c>
      <c r="X5665">
        <v>0.97560150000000001</v>
      </c>
      <c r="Y5665">
        <v>-0.35960340000000002</v>
      </c>
      <c r="Z5665">
        <v>4.9861130000000004E-3</v>
      </c>
      <c r="AA5665">
        <v>0.93309189999999997</v>
      </c>
      <c r="AB5665">
        <v>36</v>
      </c>
      <c r="AC5665">
        <v>37.568999999999903</v>
      </c>
      <c r="AD5665">
        <v>1.2736749999999999</v>
      </c>
      <c r="AE5665">
        <v>22.831579999999899</v>
      </c>
      <c r="AF5665">
        <v>-15.851932729229301</v>
      </c>
      <c r="AG5665">
        <v>1.2736749999999999</v>
      </c>
      <c r="AH5665">
        <v>40.965676113501203</v>
      </c>
      <c r="AI5665">
        <v>88.339111310699906</v>
      </c>
      <c r="AJ5665">
        <v>111.154267403322</v>
      </c>
      <c r="AK5665">
        <v>43.944199147258502</v>
      </c>
      <c r="AL5665">
        <v>77.878116768528699</v>
      </c>
      <c r="AM5665">
        <v>93.757414256303804</v>
      </c>
      <c r="AN5665">
        <v>1.00000001572001</v>
      </c>
    </row>
    <row r="5666" spans="1:40" x14ac:dyDescent="0.25">
      <c r="A5666" t="str">
        <f>"20190303170647168"</f>
        <v>20190303170647168</v>
      </c>
      <c r="B5666" t="str">
        <f>"1551604007160433"</f>
        <v>1551604007160433</v>
      </c>
      <c r="C5666" t="s">
        <v>40</v>
      </c>
      <c r="D5666">
        <v>5.6685140000000001</v>
      </c>
      <c r="E5666">
        <v>0.38071660000000002</v>
      </c>
      <c r="F5666" t="s">
        <v>54</v>
      </c>
      <c r="G5666">
        <v>-168.45060000000001</v>
      </c>
      <c r="H5666">
        <v>2.4062920000000001</v>
      </c>
      <c r="I5666">
        <v>-39.965789999999998</v>
      </c>
      <c r="J5666">
        <v>-205.85730000000001</v>
      </c>
      <c r="K5666">
        <v>1.1290560000000001</v>
      </c>
      <c r="L5666">
        <v>-62.93723</v>
      </c>
      <c r="M5666">
        <v>0.98356429999999995</v>
      </c>
      <c r="N5666">
        <v>-1.447795E-2</v>
      </c>
      <c r="O5666">
        <v>0.17997669999999999</v>
      </c>
      <c r="P5666">
        <v>0.95146960000000003</v>
      </c>
      <c r="Q5666">
        <v>0.19772300000000001</v>
      </c>
      <c r="R5666">
        <v>0.23582030000000001</v>
      </c>
      <c r="S5666">
        <v>2.7247159999999999</v>
      </c>
      <c r="T5666">
        <v>9.2637659999999997E-2</v>
      </c>
      <c r="U5666">
        <v>1.6683650000000001</v>
      </c>
      <c r="V5666">
        <v>-6.480648E-2</v>
      </c>
      <c r="W5666">
        <v>0.2106498</v>
      </c>
      <c r="X5666">
        <v>0.97541109999999998</v>
      </c>
      <c r="Y5666">
        <v>-0.36024010000000001</v>
      </c>
      <c r="Z5666">
        <v>5.1623839999999999E-3</v>
      </c>
      <c r="AA5666">
        <v>0.93284540000000005</v>
      </c>
      <c r="AB5666">
        <v>36</v>
      </c>
      <c r="AC5666">
        <v>37.406700000000001</v>
      </c>
      <c r="AD5666">
        <v>1.27723599999999</v>
      </c>
      <c r="AE5666">
        <v>22.971440000000001</v>
      </c>
      <c r="AF5666">
        <v>-15.8497986163674</v>
      </c>
      <c r="AG5666">
        <v>1.27723599999999</v>
      </c>
      <c r="AH5666">
        <v>40.895887559901198</v>
      </c>
      <c r="AI5666">
        <v>88.331971176871406</v>
      </c>
      <c r="AJ5666">
        <v>111.18456790184599</v>
      </c>
      <c r="AK5666">
        <v>43.878480685766398</v>
      </c>
      <c r="AL5666">
        <v>77.839565304988596</v>
      </c>
      <c r="AM5666">
        <v>93.801154799613599</v>
      </c>
      <c r="AN5666">
        <v>1.00000001604662</v>
      </c>
    </row>
    <row r="5667" spans="1:40" x14ac:dyDescent="0.25">
      <c r="A5667" t="str">
        <f>"20190303170647178"</f>
        <v>20190303170647178</v>
      </c>
      <c r="B5667" t="str">
        <f>"1551604007170193"</f>
        <v>1551604007170193</v>
      </c>
      <c r="C5667" t="s">
        <v>40</v>
      </c>
      <c r="D5667">
        <v>5.6794000000000002</v>
      </c>
      <c r="E5667">
        <v>0.39066529999999999</v>
      </c>
      <c r="F5667" t="s">
        <v>54</v>
      </c>
      <c r="G5667">
        <v>-168.45060000000001</v>
      </c>
      <c r="H5667">
        <v>2.4426770000000002</v>
      </c>
      <c r="I5667">
        <v>-39.777090000000001</v>
      </c>
      <c r="J5667">
        <v>-205.6908</v>
      </c>
      <c r="K5667">
        <v>1.1291530000000001</v>
      </c>
      <c r="L5667">
        <v>-62.903260000000003</v>
      </c>
      <c r="M5667">
        <v>0.98278410000000005</v>
      </c>
      <c r="N5667">
        <v>-1.4491240000000001E-2</v>
      </c>
      <c r="O5667">
        <v>0.1841882</v>
      </c>
      <c r="P5667">
        <v>0.95014829999999995</v>
      </c>
      <c r="Q5667">
        <v>0.19809180000000001</v>
      </c>
      <c r="R5667">
        <v>0.24078579999999999</v>
      </c>
      <c r="S5667">
        <v>2.71637</v>
      </c>
      <c r="T5667">
        <v>9.5390080000000002E-2</v>
      </c>
      <c r="U5667">
        <v>1.681824</v>
      </c>
      <c r="V5667">
        <v>-6.5796759999999996E-2</v>
      </c>
      <c r="W5667">
        <v>0.21099560000000001</v>
      </c>
      <c r="X5667">
        <v>0.97526999999999997</v>
      </c>
      <c r="Y5667">
        <v>-0.36087140000000001</v>
      </c>
      <c r="Z5667">
        <v>5.3479759999999999E-3</v>
      </c>
      <c r="AA5667">
        <v>0.93260030000000005</v>
      </c>
      <c r="AB5667">
        <v>36</v>
      </c>
      <c r="AC5667">
        <v>37.240199999999902</v>
      </c>
      <c r="AD5667">
        <v>1.3135239999999999</v>
      </c>
      <c r="AE5667">
        <v>23.126169999999899</v>
      </c>
      <c r="AF5667">
        <v>-15.856257746952</v>
      </c>
      <c r="AG5667">
        <v>1.3135239999999999</v>
      </c>
      <c r="AH5667">
        <v>40.826281685861197</v>
      </c>
      <c r="AI5667">
        <v>88.282159481903307</v>
      </c>
      <c r="AJ5667">
        <v>111.22535287843699</v>
      </c>
      <c r="AK5667">
        <v>43.817023305213702</v>
      </c>
      <c r="AL5667">
        <v>77.819296244998498</v>
      </c>
      <c r="AM5667">
        <v>93.859621057994204</v>
      </c>
      <c r="AN5667">
        <v>0.99999996487292797</v>
      </c>
    </row>
    <row r="5668" spans="1:40" x14ac:dyDescent="0.25">
      <c r="A5668" t="str">
        <f>"20190303170647190"</f>
        <v>20190303170647190</v>
      </c>
      <c r="B5668" t="str">
        <f>"1551604007180929"</f>
        <v>1551604007180929</v>
      </c>
      <c r="C5668" t="s">
        <v>40</v>
      </c>
      <c r="D5668">
        <v>5.6856450000000001</v>
      </c>
      <c r="E5668">
        <v>0.3907891</v>
      </c>
      <c r="F5668" t="s">
        <v>54</v>
      </c>
      <c r="G5668">
        <v>-168.1703</v>
      </c>
      <c r="H5668">
        <v>1.793723</v>
      </c>
      <c r="I5668">
        <v>-40.619770000000003</v>
      </c>
      <c r="J5668">
        <v>-205.50739999999999</v>
      </c>
      <c r="K5668">
        <v>1.1292610000000001</v>
      </c>
      <c r="L5668">
        <v>-62.864840000000001</v>
      </c>
      <c r="M5668">
        <v>0.98188850000000005</v>
      </c>
      <c r="N5668">
        <v>-1.450652E-2</v>
      </c>
      <c r="O5668">
        <v>0.18890409999999999</v>
      </c>
      <c r="P5668">
        <v>0.9488666</v>
      </c>
      <c r="Q5668">
        <v>0.1977912</v>
      </c>
      <c r="R5668">
        <v>0.24603050000000001</v>
      </c>
      <c r="S5668">
        <v>2.7355800000000001</v>
      </c>
      <c r="T5668">
        <v>4.8451540000000001E-2</v>
      </c>
      <c r="U5668">
        <v>1.6246640000000001</v>
      </c>
      <c r="V5668">
        <v>-6.6543599999999994E-2</v>
      </c>
      <c r="W5668">
        <v>0.21067910000000001</v>
      </c>
      <c r="X5668">
        <v>0.97528780000000004</v>
      </c>
      <c r="Y5668">
        <v>-0.33907320000000002</v>
      </c>
      <c r="Z5668">
        <v>5.4931479999999998E-3</v>
      </c>
      <c r="AA5668">
        <v>0.94074389999999997</v>
      </c>
      <c r="AB5668">
        <v>36</v>
      </c>
      <c r="AC5668">
        <v>37.3370999999999</v>
      </c>
      <c r="AD5668">
        <v>0.664461999999999</v>
      </c>
      <c r="AE5668">
        <v>22.245069999999998</v>
      </c>
      <c r="AF5668">
        <v>-14.787145494489501</v>
      </c>
      <c r="AG5668">
        <v>0.664461999999999</v>
      </c>
      <c r="AH5668">
        <v>40.857799669564201</v>
      </c>
      <c r="AI5668">
        <v>89.123895929519904</v>
      </c>
      <c r="AJ5668">
        <v>109.89606770163699</v>
      </c>
      <c r="AK5668">
        <v>43.4564261699336</v>
      </c>
      <c r="AL5668">
        <v>77.837847966396396</v>
      </c>
      <c r="AM5668">
        <v>93.903224815490802</v>
      </c>
      <c r="AN5668">
        <v>1.0000000133533</v>
      </c>
    </row>
    <row r="5669" spans="1:40" x14ac:dyDescent="0.25">
      <c r="A5669" t="str">
        <f>"20190303170647202"</f>
        <v>20190303170647202</v>
      </c>
      <c r="B5669" t="str">
        <f>"1551604007190689"</f>
        <v>1551604007190689</v>
      </c>
      <c r="C5669" t="s">
        <v>40</v>
      </c>
      <c r="D5669">
        <v>5.6732670000000001</v>
      </c>
      <c r="E5669">
        <v>0.39154889999999998</v>
      </c>
      <c r="F5669" t="s">
        <v>54</v>
      </c>
      <c r="G5669">
        <v>-168.45060000000001</v>
      </c>
      <c r="H5669">
        <v>1.7938609999999999</v>
      </c>
      <c r="I5669">
        <v>-40.589010000000002</v>
      </c>
      <c r="J5669">
        <v>-205.32669999999999</v>
      </c>
      <c r="K5669">
        <v>1.1293759999999999</v>
      </c>
      <c r="L5669">
        <v>-62.826349999999998</v>
      </c>
      <c r="M5669">
        <v>0.9809734</v>
      </c>
      <c r="N5669">
        <v>-1.452138E-2</v>
      </c>
      <c r="O5669">
        <v>0.1935984</v>
      </c>
      <c r="P5669">
        <v>0.94742910000000002</v>
      </c>
      <c r="Q5669">
        <v>0.19742760000000001</v>
      </c>
      <c r="R5669">
        <v>0.25179410000000002</v>
      </c>
      <c r="S5669">
        <v>2.7265169999999999</v>
      </c>
      <c r="T5669">
        <v>4.8897500000000003E-2</v>
      </c>
      <c r="U5669">
        <v>1.6389769999999999</v>
      </c>
      <c r="V5669">
        <v>-6.784598E-2</v>
      </c>
      <c r="W5669">
        <v>0.2102861</v>
      </c>
      <c r="X5669">
        <v>0.97528280000000001</v>
      </c>
      <c r="Y5669">
        <v>-0.33958319999999997</v>
      </c>
      <c r="Z5669">
        <v>5.6411909999999899E-3</v>
      </c>
      <c r="AA5669">
        <v>0.94055909999999998</v>
      </c>
      <c r="AB5669">
        <v>36</v>
      </c>
      <c r="AC5669">
        <v>36.876099999999902</v>
      </c>
      <c r="AD5669">
        <v>0.66448499999999999</v>
      </c>
      <c r="AE5669">
        <v>22.23734</v>
      </c>
      <c r="AF5669">
        <v>-14.673138582763199</v>
      </c>
      <c r="AG5669">
        <v>0.66448499999999999</v>
      </c>
      <c r="AH5669">
        <v>40.474217475980602</v>
      </c>
      <c r="AI5669">
        <v>89.115737234034398</v>
      </c>
      <c r="AJ5669">
        <v>109.92712555538399</v>
      </c>
      <c r="AK5669">
        <v>43.056994977322397</v>
      </c>
      <c r="AL5669">
        <v>77.860880185261607</v>
      </c>
      <c r="AM5669">
        <v>93.9793953149629</v>
      </c>
      <c r="AN5669">
        <v>0.99999993041560198</v>
      </c>
    </row>
    <row r="5670" spans="1:40" x14ac:dyDescent="0.25">
      <c r="A5670" t="str">
        <f>"20190303170647215"</f>
        <v>20190303170647215</v>
      </c>
      <c r="B5670" t="str">
        <f>"1551604007200449"</f>
        <v>1551604007200449</v>
      </c>
      <c r="C5670" t="s">
        <v>40</v>
      </c>
      <c r="D5670">
        <v>5.7201440000000003</v>
      </c>
      <c r="E5670">
        <v>0.39205649999999997</v>
      </c>
      <c r="F5670" t="s">
        <v>54</v>
      </c>
      <c r="G5670">
        <v>-168.45060000000001</v>
      </c>
      <c r="H5670">
        <v>1.7324729999999999</v>
      </c>
      <c r="I5670">
        <v>-40.442129999999999</v>
      </c>
      <c r="J5670">
        <v>-205.14099999999999</v>
      </c>
      <c r="K5670">
        <v>1.1294919999999999</v>
      </c>
      <c r="L5670">
        <v>-62.785249999999998</v>
      </c>
      <c r="M5670">
        <v>0.97998370000000001</v>
      </c>
      <c r="N5670">
        <v>-1.453811E-2</v>
      </c>
      <c r="O5670">
        <v>0.198546</v>
      </c>
      <c r="P5670">
        <v>0.94591670000000005</v>
      </c>
      <c r="Q5670">
        <v>0.19696910000000001</v>
      </c>
      <c r="R5670">
        <v>0.25776890000000002</v>
      </c>
      <c r="S5670">
        <v>2.7186279999999998</v>
      </c>
      <c r="T5670">
        <v>4.4460890000000003E-2</v>
      </c>
      <c r="U5670">
        <v>1.6502380000000001</v>
      </c>
      <c r="V5670">
        <v>-6.9115910000000003E-2</v>
      </c>
      <c r="W5670">
        <v>0.20979990000000001</v>
      </c>
      <c r="X5670">
        <v>0.97529840000000001</v>
      </c>
      <c r="Y5670">
        <v>-0.33889089999999999</v>
      </c>
      <c r="Z5670">
        <v>5.7576479999999998E-3</v>
      </c>
      <c r="AA5670">
        <v>0.94080810000000004</v>
      </c>
      <c r="AB5670">
        <v>36</v>
      </c>
      <c r="AC5670">
        <v>36.690399999999897</v>
      </c>
      <c r="AD5670">
        <v>0.60298099999999999</v>
      </c>
      <c r="AE5670">
        <v>22.343119999999999</v>
      </c>
      <c r="AF5670">
        <v>-14.609827668970601</v>
      </c>
      <c r="AG5670">
        <v>0.60298099999999999</v>
      </c>
      <c r="AH5670">
        <v>40.388444407435799</v>
      </c>
      <c r="AI5670">
        <v>89.195663134879396</v>
      </c>
      <c r="AJ5670">
        <v>109.88672242051</v>
      </c>
      <c r="AK5670">
        <v>42.9538949602467</v>
      </c>
      <c r="AL5670">
        <v>77.889373717848002</v>
      </c>
      <c r="AM5670">
        <v>94.053570327219404</v>
      </c>
      <c r="AN5670">
        <v>0.99999998804884804</v>
      </c>
    </row>
    <row r="5671" spans="1:40" x14ac:dyDescent="0.25">
      <c r="A5671" t="str">
        <f>"20190303170647228"</f>
        <v>20190303170647228</v>
      </c>
      <c r="B5671" t="str">
        <f>"1551604007220944"</f>
        <v>1551604007220944</v>
      </c>
      <c r="C5671" t="s">
        <v>40</v>
      </c>
      <c r="D5671">
        <v>5.6917759999999999</v>
      </c>
      <c r="E5671">
        <v>0.39273029999999998</v>
      </c>
      <c r="F5671" t="s">
        <v>54</v>
      </c>
      <c r="G5671">
        <v>-168.45060000000001</v>
      </c>
      <c r="H5671">
        <v>1.7216419999999999</v>
      </c>
      <c r="I5671">
        <v>-40.262869999999999</v>
      </c>
      <c r="J5671">
        <v>-204.93799999999999</v>
      </c>
      <c r="K5671">
        <v>1.1296219999999999</v>
      </c>
      <c r="L5671">
        <v>-62.7395</v>
      </c>
      <c r="M5671">
        <v>0.97885919999999904</v>
      </c>
      <c r="N5671">
        <v>-1.4556319999999999E-2</v>
      </c>
      <c r="O5671">
        <v>0.20401630000000001</v>
      </c>
      <c r="P5671">
        <v>0.94422410000000001</v>
      </c>
      <c r="Q5671">
        <v>0.1965896</v>
      </c>
      <c r="R5671">
        <v>0.26418469999999999</v>
      </c>
      <c r="S5671">
        <v>2.7092290000000001</v>
      </c>
      <c r="T5671">
        <v>4.3722869999999997E-2</v>
      </c>
      <c r="U5671">
        <v>1.6630549999999999</v>
      </c>
      <c r="V5671">
        <v>-7.0336419999999997E-2</v>
      </c>
      <c r="W5671">
        <v>0.20939199999999999</v>
      </c>
      <c r="X5671">
        <v>0.97529880000000002</v>
      </c>
      <c r="Y5671">
        <v>-0.3383234</v>
      </c>
      <c r="Z5671">
        <v>5.9126439999999999E-3</v>
      </c>
      <c r="AA5671">
        <v>0.94101140000000005</v>
      </c>
      <c r="AB5671">
        <v>36</v>
      </c>
      <c r="AC5671">
        <v>36.487399999999901</v>
      </c>
      <c r="AD5671">
        <v>0.59201999999999999</v>
      </c>
      <c r="AE5671">
        <v>22.47663</v>
      </c>
      <c r="AF5671">
        <v>-14.5561972250221</v>
      </c>
      <c r="AG5671">
        <v>0.59201999999999999</v>
      </c>
      <c r="AH5671">
        <v>40.298208428105703</v>
      </c>
      <c r="AI5671">
        <v>89.208382613868494</v>
      </c>
      <c r="AJ5671">
        <v>109.860328840885</v>
      </c>
      <c r="AK5671">
        <v>42.850658896325001</v>
      </c>
      <c r="AL5671">
        <v>77.9132755410443</v>
      </c>
      <c r="AM5671">
        <v>94.124905228319605</v>
      </c>
      <c r="AN5671">
        <v>0.99999998546192803</v>
      </c>
    </row>
    <row r="5672" spans="1:40" x14ac:dyDescent="0.25">
      <c r="A5672" t="str">
        <f>"20190303170647238"</f>
        <v>20190303170647238</v>
      </c>
      <c r="B5672" t="str">
        <f>"1551604007230705"</f>
        <v>1551604007230705</v>
      </c>
      <c r="C5672" t="s">
        <v>40</v>
      </c>
      <c r="D5672">
        <v>5.7126890000000001</v>
      </c>
      <c r="E5672">
        <v>0.39298290000000002</v>
      </c>
      <c r="F5672" t="s">
        <v>54</v>
      </c>
      <c r="G5672">
        <v>-168.45060000000001</v>
      </c>
      <c r="H5672">
        <v>1.695322</v>
      </c>
      <c r="I5672">
        <v>-40.083730000000003</v>
      </c>
      <c r="J5672">
        <v>-204.7569</v>
      </c>
      <c r="K5672">
        <v>1.129742</v>
      </c>
      <c r="L5672">
        <v>-62.697629999999997</v>
      </c>
      <c r="M5672">
        <v>0.97781059999999997</v>
      </c>
      <c r="N5672">
        <v>-1.4573340000000001E-2</v>
      </c>
      <c r="O5672">
        <v>0.2089829</v>
      </c>
      <c r="P5672">
        <v>0.9425753</v>
      </c>
      <c r="Q5672">
        <v>0.19639909999999999</v>
      </c>
      <c r="R5672">
        <v>0.27014640000000001</v>
      </c>
      <c r="S5672">
        <v>2.6995089999999999</v>
      </c>
      <c r="T5672">
        <v>4.1851520000000003E-2</v>
      </c>
      <c r="U5672">
        <v>1.6761779999999999</v>
      </c>
      <c r="V5672">
        <v>-7.1601059999999994E-2</v>
      </c>
      <c r="W5672">
        <v>0.20917189999999999</v>
      </c>
      <c r="X5672">
        <v>0.97525399999999995</v>
      </c>
      <c r="Y5672">
        <v>-0.33836359999999999</v>
      </c>
      <c r="Z5672">
        <v>6.0371380000000001E-3</v>
      </c>
      <c r="AA5672">
        <v>0.9409961</v>
      </c>
      <c r="AB5672">
        <v>35</v>
      </c>
      <c r="AC5672">
        <v>36.306299999999901</v>
      </c>
      <c r="AD5672">
        <v>0.56557999999999997</v>
      </c>
      <c r="AE5672">
        <v>22.613900000000001</v>
      </c>
      <c r="AF5672">
        <v>-14.5237199646088</v>
      </c>
      <c r="AG5672">
        <v>0.56557999999999997</v>
      </c>
      <c r="AH5672">
        <v>40.223846876747203</v>
      </c>
      <c r="AI5672">
        <v>89.242300819661295</v>
      </c>
      <c r="AJ5672">
        <v>109.8532510094</v>
      </c>
      <c r="AK5672">
        <v>42.769336912217703</v>
      </c>
      <c r="AL5672">
        <v>77.926171861875005</v>
      </c>
      <c r="AM5672">
        <v>94.198999778932702</v>
      </c>
      <c r="AN5672">
        <v>0.99999998002936596</v>
      </c>
    </row>
    <row r="5673" spans="1:40" x14ac:dyDescent="0.25">
      <c r="A5673" t="str">
        <f>"20190303170647249"</f>
        <v>20190303170647249</v>
      </c>
      <c r="B5673" t="str">
        <f>"1551604007240464"</f>
        <v>1551604007240464</v>
      </c>
      <c r="C5673" t="s">
        <v>40</v>
      </c>
      <c r="D5673">
        <v>5.7209130000000004</v>
      </c>
      <c r="E5673">
        <v>0.39331840000000001</v>
      </c>
      <c r="F5673" t="s">
        <v>54</v>
      </c>
      <c r="G5673">
        <v>-168.45060000000001</v>
      </c>
      <c r="H5673">
        <v>1.706216</v>
      </c>
      <c r="I5673">
        <v>-39.861159999999998</v>
      </c>
      <c r="J5673">
        <v>-204.61439999999999</v>
      </c>
      <c r="K5673">
        <v>1.1298349999999999</v>
      </c>
      <c r="L5673">
        <v>-62.663789999999999</v>
      </c>
      <c r="M5673">
        <v>0.9769525</v>
      </c>
      <c r="N5673">
        <v>-1.4587579999999999E-2</v>
      </c>
      <c r="O5673">
        <v>0.2129578</v>
      </c>
      <c r="P5673">
        <v>0.94120760000000003</v>
      </c>
      <c r="Q5673">
        <v>0.19655549999999999</v>
      </c>
      <c r="R5673">
        <v>0.27476230000000001</v>
      </c>
      <c r="S5673">
        <v>2.689117</v>
      </c>
      <c r="T5673">
        <v>4.2696480000000002E-2</v>
      </c>
      <c r="U5673">
        <v>1.6914370000000001</v>
      </c>
      <c r="V5673">
        <v>-7.2475949999999997E-2</v>
      </c>
      <c r="W5673">
        <v>0.2093062</v>
      </c>
      <c r="X5673">
        <v>0.97516060000000004</v>
      </c>
      <c r="Y5673">
        <v>-0.34000160000000001</v>
      </c>
      <c r="Z5673">
        <v>6.1651309999999999E-3</v>
      </c>
      <c r="AA5673">
        <v>0.94040469999999998</v>
      </c>
      <c r="AB5673">
        <v>35</v>
      </c>
      <c r="AC5673">
        <v>36.163799999999902</v>
      </c>
      <c r="AD5673">
        <v>0.57638099999999903</v>
      </c>
      <c r="AE5673">
        <v>22.802630000000001</v>
      </c>
      <c r="AF5673">
        <v>-14.574625050145899</v>
      </c>
      <c r="AG5673">
        <v>0.57638099999999903</v>
      </c>
      <c r="AH5673">
        <v>40.183285343477202</v>
      </c>
      <c r="AI5673">
        <v>89.227456585762795</v>
      </c>
      <c r="AJ5673">
        <v>109.93589405904299</v>
      </c>
      <c r="AK5673">
        <v>42.748664673938201</v>
      </c>
      <c r="AL5673">
        <v>77.918303371926697</v>
      </c>
      <c r="AM5673">
        <v>94.250525865342595</v>
      </c>
      <c r="AN5673">
        <v>1.0000000222395999</v>
      </c>
    </row>
    <row r="5674" spans="1:40" x14ac:dyDescent="0.25">
      <c r="A5674" t="str">
        <f>"20190303170647258"</f>
        <v>20190303170647258</v>
      </c>
      <c r="B5674" t="str">
        <f>"1551604007250225"</f>
        <v>1551604007250225</v>
      </c>
      <c r="C5674" t="s">
        <v>40</v>
      </c>
      <c r="D5674">
        <v>5.7405809999999997</v>
      </c>
      <c r="E5674">
        <v>0.39361499999999999</v>
      </c>
      <c r="F5674" t="s">
        <v>54</v>
      </c>
      <c r="G5674">
        <v>-168.45060000000001</v>
      </c>
      <c r="H5674">
        <v>1.7083440000000001</v>
      </c>
      <c r="I5674">
        <v>-39.705179999999999</v>
      </c>
      <c r="J5674">
        <v>-204.46420000000001</v>
      </c>
      <c r="K5674">
        <v>1.1299319999999999</v>
      </c>
      <c r="L5674">
        <v>-62.627560000000003</v>
      </c>
      <c r="M5674">
        <v>0.97602060000000002</v>
      </c>
      <c r="N5674">
        <v>-1.4602810000000001E-2</v>
      </c>
      <c r="O5674">
        <v>0.21718789999999999</v>
      </c>
      <c r="P5674">
        <v>0.93976700000000002</v>
      </c>
      <c r="Q5674">
        <v>0.19676440000000001</v>
      </c>
      <c r="R5674">
        <v>0.27950330000000001</v>
      </c>
      <c r="S5674">
        <v>2.681473</v>
      </c>
      <c r="T5674">
        <v>4.2893769999999998E-2</v>
      </c>
      <c r="U5674">
        <v>1.702332</v>
      </c>
      <c r="V5674">
        <v>-7.3234079999999993E-2</v>
      </c>
      <c r="W5674">
        <v>0.20949590000000001</v>
      </c>
      <c r="X5674">
        <v>0.97506320000000002</v>
      </c>
      <c r="Y5674">
        <v>-0.33986499999999997</v>
      </c>
      <c r="Z5674">
        <v>6.2923190000000002E-3</v>
      </c>
      <c r="AA5674">
        <v>0.94045319999999999</v>
      </c>
      <c r="AB5674">
        <v>35</v>
      </c>
      <c r="AC5674">
        <v>36.013599999999997</v>
      </c>
      <c r="AD5674">
        <v>0.57841199999999904</v>
      </c>
      <c r="AE5674">
        <v>22.92238</v>
      </c>
      <c r="AF5674">
        <v>-14.5498772638835</v>
      </c>
      <c r="AG5674">
        <v>0.57841199999999904</v>
      </c>
      <c r="AH5674">
        <v>40.125391272340202</v>
      </c>
      <c r="AI5674">
        <v>89.223593010440695</v>
      </c>
      <c r="AJ5674">
        <v>109.93116252250501</v>
      </c>
      <c r="AK5674">
        <v>42.685835046233002</v>
      </c>
      <c r="AL5674">
        <v>77.907187699132194</v>
      </c>
      <c r="AM5674">
        <v>94.295250117885004</v>
      </c>
      <c r="AN5674">
        <v>1.00000000329224</v>
      </c>
    </row>
    <row r="5675" spans="1:40" x14ac:dyDescent="0.25">
      <c r="A5675" t="str">
        <f>"20190303170647268"</f>
        <v>20190303170647268</v>
      </c>
      <c r="B5675" t="str">
        <f>"1551604007260962"</f>
        <v>1551604007260962</v>
      </c>
      <c r="C5675" t="s">
        <v>40</v>
      </c>
      <c r="D5675">
        <v>5.7043860000000004</v>
      </c>
      <c r="E5675">
        <v>0.39393640000000002</v>
      </c>
      <c r="F5675" t="s">
        <v>54</v>
      </c>
      <c r="G5675">
        <v>-168.45060000000001</v>
      </c>
      <c r="H5675">
        <v>1.731886</v>
      </c>
      <c r="I5675">
        <v>-39.541069999999998</v>
      </c>
      <c r="J5675">
        <v>-204.3135</v>
      </c>
      <c r="K5675">
        <v>1.130026</v>
      </c>
      <c r="L5675">
        <v>-62.590359999999997</v>
      </c>
      <c r="M5675">
        <v>0.97505169999999997</v>
      </c>
      <c r="N5675">
        <v>-1.4618519999999999E-2</v>
      </c>
      <c r="O5675">
        <v>0.22149650000000001</v>
      </c>
      <c r="P5675">
        <v>0.93831100000000001</v>
      </c>
      <c r="Q5675">
        <v>0.19717509999999999</v>
      </c>
      <c r="R5675">
        <v>0.28406809999999899</v>
      </c>
      <c r="S5675">
        <v>2.6732480000000001</v>
      </c>
      <c r="T5675">
        <v>4.4680829999999998E-2</v>
      </c>
      <c r="U5675">
        <v>1.713684</v>
      </c>
      <c r="V5675">
        <v>-7.3749800000000004E-2</v>
      </c>
      <c r="W5675">
        <v>0.2098922</v>
      </c>
      <c r="X5675">
        <v>0.97493909999999995</v>
      </c>
      <c r="Y5675">
        <v>-0.33985880000000002</v>
      </c>
      <c r="Z5675">
        <v>6.4480850000000001E-3</v>
      </c>
      <c r="AA5675">
        <v>0.94045440000000002</v>
      </c>
      <c r="AB5675">
        <v>35</v>
      </c>
      <c r="AC5675">
        <v>35.862900000000003</v>
      </c>
      <c r="AD5675">
        <v>0.60185999999999995</v>
      </c>
      <c r="AE5675">
        <v>23.049289999999999</v>
      </c>
      <c r="AF5675">
        <v>-14.5293979464318</v>
      </c>
      <c r="AG5675">
        <v>0.60185999999999995</v>
      </c>
      <c r="AH5675">
        <v>40.069810416903799</v>
      </c>
      <c r="AI5675">
        <v>89.191000103755499</v>
      </c>
      <c r="AJ5675">
        <v>109.93075164218</v>
      </c>
      <c r="AK5675">
        <v>42.626932178987403</v>
      </c>
      <c r="AL5675">
        <v>77.883965140251107</v>
      </c>
      <c r="AM5675">
        <v>94.325931694540699</v>
      </c>
      <c r="AN5675">
        <v>1.00000000866484</v>
      </c>
    </row>
    <row r="5676" spans="1:40" x14ac:dyDescent="0.25">
      <c r="A5676" t="str">
        <f>"20190303170647279"</f>
        <v>20190303170647279</v>
      </c>
      <c r="B5676" t="str">
        <f>"1551604007270721"</f>
        <v>1551604007270721</v>
      </c>
      <c r="C5676" t="s">
        <v>40</v>
      </c>
      <c r="D5676">
        <v>5.7350640000000004</v>
      </c>
      <c r="E5676">
        <v>0.39425070000000001</v>
      </c>
      <c r="F5676" t="s">
        <v>54</v>
      </c>
      <c r="G5676">
        <v>-168.45060000000001</v>
      </c>
      <c r="H5676">
        <v>1.7658640000000001</v>
      </c>
      <c r="I5676">
        <v>-39.381500000000003</v>
      </c>
      <c r="J5676">
        <v>-204.15459999999999</v>
      </c>
      <c r="K5676">
        <v>1.130134</v>
      </c>
      <c r="L5676">
        <v>-62.550539999999998</v>
      </c>
      <c r="M5676">
        <v>0.97399639999999998</v>
      </c>
      <c r="N5676">
        <v>-1.463512E-2</v>
      </c>
      <c r="O5676">
        <v>0.22609019999999999</v>
      </c>
      <c r="P5676">
        <v>0.93675260000000005</v>
      </c>
      <c r="Q5676">
        <v>0.19766890000000001</v>
      </c>
      <c r="R5676">
        <v>0.28882809999999998</v>
      </c>
      <c r="S5676">
        <v>2.665146</v>
      </c>
      <c r="T5676">
        <v>4.7250630000000002E-2</v>
      </c>
      <c r="U5676">
        <v>1.7247619999999999</v>
      </c>
      <c r="V5676">
        <v>-7.4195239999999996E-2</v>
      </c>
      <c r="W5676">
        <v>0.2103719</v>
      </c>
      <c r="X5676">
        <v>0.9748019</v>
      </c>
      <c r="Y5676">
        <v>-0.33948850000000003</v>
      </c>
      <c r="Z5676">
        <v>6.6314850000000003E-3</v>
      </c>
      <c r="AA5676">
        <v>0.9405869</v>
      </c>
      <c r="AB5676">
        <v>35</v>
      </c>
      <c r="AC5676">
        <v>35.703999999999901</v>
      </c>
      <c r="AD5676">
        <v>0.63572999999999902</v>
      </c>
      <c r="AE5676">
        <v>23.169039999999999</v>
      </c>
      <c r="AF5676">
        <v>-14.4925566787515</v>
      </c>
      <c r="AG5676">
        <v>0.63572999999999902</v>
      </c>
      <c r="AH5676">
        <v>40.009221394331298</v>
      </c>
      <c r="AI5676">
        <v>89.144083996863401</v>
      </c>
      <c r="AJ5676">
        <v>109.91192712755</v>
      </c>
      <c r="AK5676">
        <v>42.557915225024097</v>
      </c>
      <c r="AL5676">
        <v>77.855852669081401</v>
      </c>
      <c r="AM5676">
        <v>94.352569897005694</v>
      </c>
      <c r="AN5676">
        <v>1.0000000070959301</v>
      </c>
    </row>
    <row r="5677" spans="1:40" x14ac:dyDescent="0.25">
      <c r="A5677" t="str">
        <f>"20190303170647291"</f>
        <v>20190303170647291</v>
      </c>
      <c r="B5677" t="str">
        <f>"1551604007280481"</f>
        <v>1551604007280481</v>
      </c>
      <c r="C5677" t="s">
        <v>40</v>
      </c>
      <c r="D5677">
        <v>5.731846</v>
      </c>
      <c r="E5677">
        <v>0.39425070000000001</v>
      </c>
      <c r="F5677" t="s">
        <v>54</v>
      </c>
      <c r="G5677">
        <v>-168.45060000000001</v>
      </c>
      <c r="H5677">
        <v>1.7730319999999999</v>
      </c>
      <c r="I5677">
        <v>-39.218029999999999</v>
      </c>
      <c r="J5677">
        <v>-203.97319999999999</v>
      </c>
      <c r="K5677">
        <v>1.13026</v>
      </c>
      <c r="L5677">
        <v>-62.503749999999997</v>
      </c>
      <c r="M5677">
        <v>0.97274070000000001</v>
      </c>
      <c r="N5677">
        <v>-1.4655049999999999E-2</v>
      </c>
      <c r="O5677">
        <v>0.2314321</v>
      </c>
      <c r="P5677">
        <v>0.93480410000000003</v>
      </c>
      <c r="Q5677">
        <v>0.1985431</v>
      </c>
      <c r="R5677">
        <v>0.29448600000000003</v>
      </c>
      <c r="S5677">
        <v>2.6570740000000002</v>
      </c>
      <c r="T5677">
        <v>4.7842500000000003E-2</v>
      </c>
      <c r="U5677">
        <v>1.736389</v>
      </c>
      <c r="V5677">
        <v>-7.4868130000000005E-2</v>
      </c>
      <c r="W5677">
        <v>0.21122540000000001</v>
      </c>
      <c r="X5677">
        <v>0.97456589999999998</v>
      </c>
      <c r="Y5677">
        <v>-0.33852100000000002</v>
      </c>
      <c r="Z5677">
        <v>6.8089719999999999E-3</v>
      </c>
      <c r="AA5677">
        <v>0.94093419999999905</v>
      </c>
      <c r="AB5677">
        <v>35</v>
      </c>
      <c r="AC5677">
        <v>35.522599999999898</v>
      </c>
      <c r="AD5677">
        <v>0.64277199999999901</v>
      </c>
      <c r="AE5677">
        <v>23.285720000000001</v>
      </c>
      <c r="AF5677">
        <v>-14.4281428377837</v>
      </c>
      <c r="AG5677">
        <v>0.64277199999999901</v>
      </c>
      <c r="AH5677">
        <v>39.938484360440597</v>
      </c>
      <c r="AI5677">
        <v>89.1328025642635</v>
      </c>
      <c r="AJ5677">
        <v>109.862717453333</v>
      </c>
      <c r="AK5677">
        <v>42.469600829306501</v>
      </c>
      <c r="AL5677">
        <v>77.805827140273607</v>
      </c>
      <c r="AM5677">
        <v>94.392949757411301</v>
      </c>
      <c r="AN5677">
        <v>1.00000004996883</v>
      </c>
    </row>
    <row r="5678" spans="1:40" x14ac:dyDescent="0.25">
      <c r="A5678" t="str">
        <f>"20190303170647301"</f>
        <v>20190303170647301</v>
      </c>
      <c r="B5678" t="str">
        <f>"1551604007290242"</f>
        <v>1551604007290242</v>
      </c>
      <c r="C5678" t="s">
        <v>40</v>
      </c>
      <c r="D5678">
        <v>5.7381169999999999</v>
      </c>
      <c r="E5678">
        <v>0.40042640000000002</v>
      </c>
      <c r="F5678" t="s">
        <v>54</v>
      </c>
      <c r="G5678">
        <v>-168.45060000000001</v>
      </c>
      <c r="H5678">
        <v>1.819288</v>
      </c>
      <c r="I5678">
        <v>-38.973010000000002</v>
      </c>
      <c r="J5678">
        <v>-203.80959999999999</v>
      </c>
      <c r="K5678">
        <v>1.1303810000000001</v>
      </c>
      <c r="L5678">
        <v>-62.461030000000001</v>
      </c>
      <c r="M5678">
        <v>0.97157199999999999</v>
      </c>
      <c r="N5678">
        <v>-1.4672670000000001E-2</v>
      </c>
      <c r="O5678">
        <v>0.2362891</v>
      </c>
      <c r="P5678">
        <v>0.93311569999999999</v>
      </c>
      <c r="Q5678">
        <v>0.19902880000000001</v>
      </c>
      <c r="R5678">
        <v>0.29947109999999999</v>
      </c>
      <c r="S5678">
        <v>2.6461329999999998</v>
      </c>
      <c r="T5678">
        <v>5.1325200000000001E-2</v>
      </c>
      <c r="U5678">
        <v>1.7528379999999999</v>
      </c>
      <c r="V5678">
        <v>-7.5296600000000005E-2</v>
      </c>
      <c r="W5678">
        <v>0.211698</v>
      </c>
      <c r="X5678">
        <v>0.97443029999999997</v>
      </c>
      <c r="Y5678">
        <v>-0.33968189999999998</v>
      </c>
      <c r="Z5678">
        <v>7.0329619999999898E-3</v>
      </c>
      <c r="AA5678">
        <v>0.94051410000000002</v>
      </c>
      <c r="AB5678">
        <v>35</v>
      </c>
      <c r="AC5678">
        <v>35.358999999999902</v>
      </c>
      <c r="AD5678">
        <v>0.68890700000000005</v>
      </c>
      <c r="AE5678">
        <v>23.488019999999999</v>
      </c>
      <c r="AF5678">
        <v>-14.4631045372678</v>
      </c>
      <c r="AG5678">
        <v>0.68890700000000005</v>
      </c>
      <c r="AH5678">
        <v>39.897565850756003</v>
      </c>
      <c r="AI5678">
        <v>89.069987955202194</v>
      </c>
      <c r="AJ5678">
        <v>109.925881370974</v>
      </c>
      <c r="AK5678">
        <v>42.443748026370102</v>
      </c>
      <c r="AL5678">
        <v>77.778122225204697</v>
      </c>
      <c r="AM5678">
        <v>94.418603702394805</v>
      </c>
      <c r="AN5678">
        <v>1.00000001536682</v>
      </c>
    </row>
    <row r="5679" spans="1:40" x14ac:dyDescent="0.25">
      <c r="A5679" t="str">
        <f>"20190303170647314"</f>
        <v>20190303170647314</v>
      </c>
      <c r="B5679" t="str">
        <f>"1551604007310737"</f>
        <v>1551604007310737</v>
      </c>
      <c r="C5679" t="s">
        <v>40</v>
      </c>
      <c r="D5679">
        <v>5.7401629999999999</v>
      </c>
      <c r="E5679">
        <v>0.40151540000000002</v>
      </c>
      <c r="F5679" t="s">
        <v>54</v>
      </c>
      <c r="G5679">
        <v>-168.45060000000001</v>
      </c>
      <c r="H5679">
        <v>1.5964769999999999</v>
      </c>
      <c r="I5679">
        <v>-39.514400000000002</v>
      </c>
      <c r="J5679">
        <v>-203.63740000000001</v>
      </c>
      <c r="K5679">
        <v>1.130504</v>
      </c>
      <c r="L5679">
        <v>-62.414400000000001</v>
      </c>
      <c r="M5679">
        <v>0.97028230000000004</v>
      </c>
      <c r="N5679">
        <v>-1.4693339999999999E-2</v>
      </c>
      <c r="O5679">
        <v>0.2415293</v>
      </c>
      <c r="P5679">
        <v>0.93125400000000003</v>
      </c>
      <c r="Q5679">
        <v>0.19934789999999999</v>
      </c>
      <c r="R5679">
        <v>0.3050022</v>
      </c>
      <c r="S5679">
        <v>2.6546780000000001</v>
      </c>
      <c r="T5679">
        <v>3.499186E-2</v>
      </c>
      <c r="U5679">
        <v>1.7227779999999999</v>
      </c>
      <c r="V5679">
        <v>-7.5908059999999999E-2</v>
      </c>
      <c r="W5679">
        <v>0.21200040000000001</v>
      </c>
      <c r="X5679">
        <v>0.97431710000000005</v>
      </c>
      <c r="Y5679">
        <v>-0.3256985</v>
      </c>
      <c r="Z5679">
        <v>6.8102409999999999E-3</v>
      </c>
      <c r="AA5679">
        <v>0.94544910000000004</v>
      </c>
      <c r="AB5679">
        <v>35</v>
      </c>
      <c r="AC5679">
        <v>35.186799999999998</v>
      </c>
      <c r="AD5679">
        <v>0.46597300000000003</v>
      </c>
      <c r="AE5679">
        <v>22.9</v>
      </c>
      <c r="AF5679">
        <v>-13.720612306200501</v>
      </c>
      <c r="AG5679">
        <v>0.46597300000000003</v>
      </c>
      <c r="AH5679">
        <v>39.671545353609801</v>
      </c>
      <c r="AI5679">
        <v>89.364007623773901</v>
      </c>
      <c r="AJ5679">
        <v>109.07821299216999</v>
      </c>
      <c r="AK5679">
        <v>41.979802806079398</v>
      </c>
      <c r="AL5679">
        <v>77.760393482748199</v>
      </c>
      <c r="AM5679">
        <v>94.454857405384999</v>
      </c>
      <c r="AN5679">
        <v>1.0000000072627599</v>
      </c>
    </row>
    <row r="5680" spans="1:40" x14ac:dyDescent="0.25">
      <c r="A5680" t="str">
        <f>"20190303170647325"</f>
        <v>20190303170647325</v>
      </c>
      <c r="B5680" t="str">
        <f>"1551604007320497"</f>
        <v>1551604007320497</v>
      </c>
      <c r="C5680" t="s">
        <v>40</v>
      </c>
      <c r="D5680">
        <v>5.7643899999999997</v>
      </c>
      <c r="E5680">
        <v>0.4020493</v>
      </c>
      <c r="F5680" t="s">
        <v>54</v>
      </c>
      <c r="G5680">
        <v>-168.45060000000001</v>
      </c>
      <c r="H5680">
        <v>1.5827580000000001</v>
      </c>
      <c r="I5680">
        <v>-39.409460000000003</v>
      </c>
      <c r="J5680">
        <v>-203.46129999999999</v>
      </c>
      <c r="K5680">
        <v>1.130628</v>
      </c>
      <c r="L5680">
        <v>-62.366210000000002</v>
      </c>
      <c r="M5680">
        <v>0.96892449999999997</v>
      </c>
      <c r="N5680">
        <v>-1.4713850000000001E-2</v>
      </c>
      <c r="O5680">
        <v>0.24691879999999999</v>
      </c>
      <c r="P5680">
        <v>0.9293382</v>
      </c>
      <c r="Q5680">
        <v>0.19978209999999999</v>
      </c>
      <c r="R5680">
        <v>0.31051190000000001</v>
      </c>
      <c r="S5680">
        <v>2.6473239999999998</v>
      </c>
      <c r="T5680">
        <v>3.4024359999999997E-2</v>
      </c>
      <c r="U5680">
        <v>1.730804</v>
      </c>
      <c r="V5680">
        <v>-7.6362269999999996E-2</v>
      </c>
      <c r="W5680">
        <v>0.21242030000000001</v>
      </c>
      <c r="X5680">
        <v>0.97419009999999995</v>
      </c>
      <c r="Y5680">
        <v>-0.32365159999999998</v>
      </c>
      <c r="Z5680">
        <v>6.9269519999999897E-3</v>
      </c>
      <c r="AA5680">
        <v>0.94615099999999996</v>
      </c>
      <c r="AB5680">
        <v>35</v>
      </c>
      <c r="AC5680">
        <v>35.0106999999999</v>
      </c>
      <c r="AD5680">
        <v>0.45212999999999898</v>
      </c>
      <c r="AE5680">
        <v>22.95675</v>
      </c>
      <c r="AF5680">
        <v>-13.5984432567623</v>
      </c>
      <c r="AG5680">
        <v>0.45212999999999898</v>
      </c>
      <c r="AH5680">
        <v>39.590845589405902</v>
      </c>
      <c r="AI5680">
        <v>89.381188597645405</v>
      </c>
      <c r="AJ5680">
        <v>108.956286320529</v>
      </c>
      <c r="AK5680">
        <v>41.863553779253699</v>
      </c>
      <c r="AL5680">
        <v>77.735773737976601</v>
      </c>
      <c r="AM5680">
        <v>94.481987447878694</v>
      </c>
      <c r="AN5680">
        <v>0.99999996553482495</v>
      </c>
    </row>
    <row r="5681" spans="1:40" x14ac:dyDescent="0.25">
      <c r="A5681" t="str">
        <f>"20190303170647335"</f>
        <v>20190303170647335</v>
      </c>
      <c r="B5681" t="str">
        <f>"1551604007330258"</f>
        <v>1551604007330258</v>
      </c>
      <c r="C5681" t="s">
        <v>40</v>
      </c>
      <c r="D5681">
        <v>5.7556839999999996</v>
      </c>
      <c r="E5681">
        <v>0.40249790000000002</v>
      </c>
      <c r="F5681" t="s">
        <v>54</v>
      </c>
      <c r="G5681">
        <v>-168.45060000000001</v>
      </c>
      <c r="H5681">
        <v>1.559518</v>
      </c>
      <c r="I5681">
        <v>-39.239229999999999</v>
      </c>
      <c r="J5681">
        <v>-203.30529999999999</v>
      </c>
      <c r="K5681">
        <v>1.1307430000000001</v>
      </c>
      <c r="L5681">
        <v>-62.322139999999997</v>
      </c>
      <c r="M5681">
        <v>0.96766669999999999</v>
      </c>
      <c r="N5681">
        <v>-1.473343E-2</v>
      </c>
      <c r="O5681">
        <v>0.25180200000000003</v>
      </c>
      <c r="P5681">
        <v>0.92747329999999994</v>
      </c>
      <c r="Q5681">
        <v>0.20010269999999999</v>
      </c>
      <c r="R5681">
        <v>0.31583610000000001</v>
      </c>
      <c r="S5681">
        <v>2.6387480000000001</v>
      </c>
      <c r="T5681">
        <v>3.232384E-2</v>
      </c>
      <c r="U5681">
        <v>1.7430730000000001</v>
      </c>
      <c r="V5681">
        <v>-7.7122640000000006E-2</v>
      </c>
      <c r="W5681">
        <v>0.21272079999999999</v>
      </c>
      <c r="X5681">
        <v>0.97406459999999995</v>
      </c>
      <c r="Y5681">
        <v>-0.32335459999999999</v>
      </c>
      <c r="Z5681">
        <v>7.0091800000000003E-3</v>
      </c>
      <c r="AA5681">
        <v>0.94625190000000003</v>
      </c>
      <c r="AB5681">
        <v>35</v>
      </c>
      <c r="AC5681">
        <v>34.854699999999902</v>
      </c>
      <c r="AD5681">
        <v>0.42877499999999902</v>
      </c>
      <c r="AE5681">
        <v>23.082909999999998</v>
      </c>
      <c r="AF5681">
        <v>-13.5601246069154</v>
      </c>
      <c r="AG5681">
        <v>0.42877499999999902</v>
      </c>
      <c r="AH5681">
        <v>39.540184987097099</v>
      </c>
      <c r="AI5681">
        <v>89.412304020490694</v>
      </c>
      <c r="AJ5681">
        <v>108.929169218826</v>
      </c>
      <c r="AK5681">
        <v>41.8029551128812</v>
      </c>
      <c r="AL5681">
        <v>77.718153376109598</v>
      </c>
      <c r="AM5681">
        <v>94.527012626065797</v>
      </c>
      <c r="AN5681">
        <v>0.99999994266318304</v>
      </c>
    </row>
    <row r="5682" spans="1:40" x14ac:dyDescent="0.25">
      <c r="A5682" t="str">
        <f>"20190303170647347"</f>
        <v>20190303170647347</v>
      </c>
      <c r="B5682" t="str">
        <f>"1551604007340993"</f>
        <v>1551604007340993</v>
      </c>
      <c r="C5682" t="s">
        <v>40</v>
      </c>
      <c r="D5682">
        <v>5.7826430000000002</v>
      </c>
      <c r="E5682">
        <v>0.40295789999999998</v>
      </c>
      <c r="F5682" t="s">
        <v>54</v>
      </c>
      <c r="G5682">
        <v>-168.45060000000001</v>
      </c>
      <c r="H5682">
        <v>1.5386569999999999</v>
      </c>
      <c r="I5682">
        <v>-39.058709999999998</v>
      </c>
      <c r="J5682">
        <v>-203.13399999999999</v>
      </c>
      <c r="K5682">
        <v>1.1308670000000001</v>
      </c>
      <c r="L5682">
        <v>-62.273099999999999</v>
      </c>
      <c r="M5682">
        <v>0.96624520000000003</v>
      </c>
      <c r="N5682">
        <v>-1.4754629999999999E-2</v>
      </c>
      <c r="O5682">
        <v>0.25720130000000002</v>
      </c>
      <c r="P5682">
        <v>0.92548750000000002</v>
      </c>
      <c r="Q5682">
        <v>0.2003752</v>
      </c>
      <c r="R5682">
        <v>0.32143880000000002</v>
      </c>
      <c r="S5682">
        <v>2.6301420000000002</v>
      </c>
      <c r="T5682">
        <v>3.077972E-2</v>
      </c>
      <c r="U5682">
        <v>1.755463</v>
      </c>
      <c r="V5682">
        <v>-7.766207E-2</v>
      </c>
      <c r="W5682">
        <v>0.21297749999999999</v>
      </c>
      <c r="X5682">
        <v>0.97396570000000005</v>
      </c>
      <c r="Y5682">
        <v>-0.32258249999999999</v>
      </c>
      <c r="Z5682">
        <v>7.1025979999999999E-3</v>
      </c>
      <c r="AA5682">
        <v>0.94651470000000004</v>
      </c>
      <c r="AB5682">
        <v>35</v>
      </c>
      <c r="AC5682">
        <v>34.683399999999999</v>
      </c>
      <c r="AD5682">
        <v>0.40778999999999899</v>
      </c>
      <c r="AE5682">
        <v>23.214389999999899</v>
      </c>
      <c r="AF5682">
        <v>-13.510358371784401</v>
      </c>
      <c r="AG5682">
        <v>0.40778999999999899</v>
      </c>
      <c r="AH5682">
        <v>39.483969121040602</v>
      </c>
      <c r="AI5682">
        <v>89.440136769078407</v>
      </c>
      <c r="AJ5682">
        <v>108.889574959803</v>
      </c>
      <c r="AK5682">
        <v>41.733438554346698</v>
      </c>
      <c r="AL5682">
        <v>77.703101315520499</v>
      </c>
      <c r="AM5682">
        <v>94.5590045095433</v>
      </c>
      <c r="AN5682">
        <v>0.99999999869971201</v>
      </c>
    </row>
    <row r="5683" spans="1:40" x14ac:dyDescent="0.25">
      <c r="A5683" t="str">
        <f>"20190303170647358"</f>
        <v>20190303170647358</v>
      </c>
      <c r="B5683" t="str">
        <f>"1551604007350753"</f>
        <v>1551604007350753</v>
      </c>
      <c r="C5683" t="s">
        <v>40</v>
      </c>
      <c r="D5683">
        <v>5.7715620000000003</v>
      </c>
      <c r="E5683">
        <v>0.40309109999999998</v>
      </c>
      <c r="F5683" t="s">
        <v>54</v>
      </c>
      <c r="G5683">
        <v>-168.45060000000001</v>
      </c>
      <c r="H5683">
        <v>1.5367090000000001</v>
      </c>
      <c r="I5683">
        <v>-38.871859999999998</v>
      </c>
      <c r="J5683">
        <v>-202.96180000000001</v>
      </c>
      <c r="K5683">
        <v>1.1309899999999999</v>
      </c>
      <c r="L5683">
        <v>-62.222529999999999</v>
      </c>
      <c r="M5683">
        <v>0.9647599</v>
      </c>
      <c r="N5683">
        <v>-1.477682E-2</v>
      </c>
      <c r="O5683">
        <v>0.26271689999999998</v>
      </c>
      <c r="P5683">
        <v>0.92349049999999999</v>
      </c>
      <c r="Q5683">
        <v>0.20069509999999999</v>
      </c>
      <c r="R5683">
        <v>0.32693559999999999</v>
      </c>
      <c r="S5683">
        <v>2.6207579999999999</v>
      </c>
      <c r="T5683">
        <v>3.0664799999999999E-2</v>
      </c>
      <c r="U5683">
        <v>1.7682500000000001</v>
      </c>
      <c r="V5683">
        <v>-7.7979450000000006E-2</v>
      </c>
      <c r="W5683">
        <v>0.21328820000000001</v>
      </c>
      <c r="X5683">
        <v>0.97387239999999997</v>
      </c>
      <c r="Y5683">
        <v>-0.32192019999999999</v>
      </c>
      <c r="Z5683">
        <v>7.2405200000000003E-3</v>
      </c>
      <c r="AA5683">
        <v>0.94673909999999994</v>
      </c>
      <c r="AB5683">
        <v>35</v>
      </c>
      <c r="AC5683">
        <v>34.511200000000002</v>
      </c>
      <c r="AD5683">
        <v>0.405719</v>
      </c>
      <c r="AE5683">
        <v>23.350670000000001</v>
      </c>
      <c r="AF5683">
        <v>-13.461306991911201</v>
      </c>
      <c r="AG5683">
        <v>0.405719</v>
      </c>
      <c r="AH5683">
        <v>39.4302011148256</v>
      </c>
      <c r="AI5683">
        <v>89.442087678133305</v>
      </c>
      <c r="AJ5683">
        <v>108.84969171594901</v>
      </c>
      <c r="AK5683">
        <v>41.666679178847801</v>
      </c>
      <c r="AL5683">
        <v>77.684881526149795</v>
      </c>
      <c r="AM5683">
        <v>94.577993360301903</v>
      </c>
      <c r="AN5683">
        <v>1.00000005118165</v>
      </c>
    </row>
    <row r="5684" spans="1:40" x14ac:dyDescent="0.25">
      <c r="A5684" t="str">
        <f>"20190303170647369"</f>
        <v>20190303170647369</v>
      </c>
      <c r="B5684" t="str">
        <f>"1551604007360513"</f>
        <v>1551604007360513</v>
      </c>
      <c r="C5684" t="s">
        <v>40</v>
      </c>
      <c r="D5684">
        <v>5.7760579999999999</v>
      </c>
      <c r="E5684">
        <v>0.40344770000000002</v>
      </c>
      <c r="F5684" t="s">
        <v>54</v>
      </c>
      <c r="G5684">
        <v>-168.45060000000001</v>
      </c>
      <c r="H5684">
        <v>1.556883</v>
      </c>
      <c r="I5684">
        <v>-38.646410000000003</v>
      </c>
      <c r="J5684">
        <v>-202.80289999999999</v>
      </c>
      <c r="K5684">
        <v>1.1311</v>
      </c>
      <c r="L5684">
        <v>-62.174869999999999</v>
      </c>
      <c r="M5684">
        <v>0.96334010000000003</v>
      </c>
      <c r="N5684">
        <v>-1.4797360000000001E-2</v>
      </c>
      <c r="O5684">
        <v>0.26787470000000002</v>
      </c>
      <c r="P5684">
        <v>0.92150849999999995</v>
      </c>
      <c r="Q5684">
        <v>0.2007941</v>
      </c>
      <c r="R5684">
        <v>0.33242110000000002</v>
      </c>
      <c r="S5684">
        <v>2.6102449999999999</v>
      </c>
      <c r="T5684">
        <v>3.2210830000000003E-2</v>
      </c>
      <c r="U5684">
        <v>1.7831729999999999</v>
      </c>
      <c r="V5684">
        <v>-7.8629489999999996E-2</v>
      </c>
      <c r="W5684">
        <v>0.21337020000000001</v>
      </c>
      <c r="X5684">
        <v>0.9738021</v>
      </c>
      <c r="Y5684">
        <v>-0.32232440000000001</v>
      </c>
      <c r="Z5684">
        <v>7.4284980000000004E-3</v>
      </c>
      <c r="AA5684">
        <v>0.94660010000000006</v>
      </c>
      <c r="AB5684">
        <v>35</v>
      </c>
      <c r="AC5684">
        <v>34.3522999999999</v>
      </c>
      <c r="AD5684">
        <v>0.42578299999999902</v>
      </c>
      <c r="AE5684">
        <v>23.528459999999999</v>
      </c>
      <c r="AF5684">
        <v>-13.463863531969899</v>
      </c>
      <c r="AG5684">
        <v>0.42578299999999902</v>
      </c>
      <c r="AH5684">
        <v>39.395822095664798</v>
      </c>
      <c r="AI5684">
        <v>89.414053267755904</v>
      </c>
      <c r="AJ5684">
        <v>108.86830748750199</v>
      </c>
      <c r="AK5684">
        <v>41.635173963415497</v>
      </c>
      <c r="AL5684">
        <v>77.680071737185898</v>
      </c>
      <c r="AM5684">
        <v>94.616323261274303</v>
      </c>
      <c r="AN5684">
        <v>0.999999984455054</v>
      </c>
    </row>
    <row r="5685" spans="1:40" x14ac:dyDescent="0.25">
      <c r="A5685" t="str">
        <f>"20190303170647379"</f>
        <v>20190303170647379</v>
      </c>
      <c r="B5685" t="str">
        <f>"1551604007370273"</f>
        <v>1551604007370273</v>
      </c>
      <c r="C5685" t="s">
        <v>40</v>
      </c>
      <c r="D5685">
        <v>5.7937880000000002</v>
      </c>
      <c r="E5685">
        <v>0.40378360000000002</v>
      </c>
      <c r="F5685" t="s">
        <v>54</v>
      </c>
      <c r="G5685">
        <v>-168.45060000000001</v>
      </c>
      <c r="H5685">
        <v>1.552133</v>
      </c>
      <c r="I5685">
        <v>-38.443530000000003</v>
      </c>
      <c r="J5685">
        <v>-202.64619999999999</v>
      </c>
      <c r="K5685">
        <v>1.131205</v>
      </c>
      <c r="L5685">
        <v>-62.127079999999999</v>
      </c>
      <c r="M5685">
        <v>0.96189740000000001</v>
      </c>
      <c r="N5685">
        <v>-1.481733E-2</v>
      </c>
      <c r="O5685">
        <v>0.2730088</v>
      </c>
      <c r="P5685">
        <v>0.91953879999999999</v>
      </c>
      <c r="Q5685">
        <v>0.2005874</v>
      </c>
      <c r="R5685">
        <v>0.33795459999999999</v>
      </c>
      <c r="S5685">
        <v>2.6005400000000001</v>
      </c>
      <c r="T5685">
        <v>3.187156E-2</v>
      </c>
      <c r="U5685">
        <v>1.7965089999999999</v>
      </c>
      <c r="V5685">
        <v>-7.9332749999999994E-2</v>
      </c>
      <c r="W5685">
        <v>0.21314569999999999</v>
      </c>
      <c r="X5685">
        <v>0.97379420000000005</v>
      </c>
      <c r="Y5685">
        <v>-0.32221369999999999</v>
      </c>
      <c r="Z5685">
        <v>7.552006E-3</v>
      </c>
      <c r="AA5685">
        <v>0.9466369</v>
      </c>
      <c r="AB5685">
        <v>35</v>
      </c>
      <c r="AC5685">
        <v>34.195599999999899</v>
      </c>
      <c r="AD5685">
        <v>0.42092800000000002</v>
      </c>
      <c r="AE5685">
        <v>23.68355</v>
      </c>
      <c r="AF5685">
        <v>-13.445545066395001</v>
      </c>
      <c r="AG5685">
        <v>0.42092800000000002</v>
      </c>
      <c r="AH5685">
        <v>39.358767911240797</v>
      </c>
      <c r="AI5685">
        <v>89.420163282418102</v>
      </c>
      <c r="AJ5685">
        <v>108.86093611457601</v>
      </c>
      <c r="AK5685">
        <v>41.5941398998051</v>
      </c>
      <c r="AL5685">
        <v>77.693237191805196</v>
      </c>
      <c r="AM5685">
        <v>94.657468307949102</v>
      </c>
      <c r="AN5685">
        <v>0.99999995930234498</v>
      </c>
    </row>
    <row r="5686" spans="1:40" x14ac:dyDescent="0.25">
      <c r="A5686" t="str">
        <f>"20190303170647391"</f>
        <v>20190303170647391</v>
      </c>
      <c r="B5686" t="str">
        <f>"1551604007381009"</f>
        <v>1551604007381009</v>
      </c>
      <c r="C5686" t="s">
        <v>40</v>
      </c>
      <c r="D5686">
        <v>5.8000040000000004</v>
      </c>
      <c r="E5686">
        <v>0.40412049999999999</v>
      </c>
      <c r="F5686" t="s">
        <v>54</v>
      </c>
      <c r="G5686">
        <v>-168.45060000000001</v>
      </c>
      <c r="H5686">
        <v>1.538432</v>
      </c>
      <c r="I5686">
        <v>-38.230980000000002</v>
      </c>
      <c r="J5686">
        <v>-202.47210000000001</v>
      </c>
      <c r="K5686">
        <v>1.1313230000000001</v>
      </c>
      <c r="L5686">
        <v>-62.072479999999999</v>
      </c>
      <c r="M5686">
        <v>0.96023009999999998</v>
      </c>
      <c r="N5686">
        <v>-1.4840249999999999E-2</v>
      </c>
      <c r="O5686">
        <v>0.27881499999999998</v>
      </c>
      <c r="P5686">
        <v>0.91737519999999995</v>
      </c>
      <c r="Q5686">
        <v>0.19974829999999999</v>
      </c>
      <c r="R5686">
        <v>0.34427239999999998</v>
      </c>
      <c r="S5686">
        <v>2.5904850000000001</v>
      </c>
      <c r="T5686">
        <v>3.084779E-2</v>
      </c>
      <c r="U5686">
        <v>1.8102419999999999</v>
      </c>
      <c r="V5686">
        <v>-8.0143930000000002E-2</v>
      </c>
      <c r="W5686">
        <v>0.21228739999999999</v>
      </c>
      <c r="X5686">
        <v>0.97391530000000004</v>
      </c>
      <c r="Y5686">
        <v>-0.3215904</v>
      </c>
      <c r="Z5686">
        <v>7.665013E-3</v>
      </c>
      <c r="AA5686">
        <v>0.94684789999999996</v>
      </c>
      <c r="AB5686">
        <v>35</v>
      </c>
      <c r="AC5686">
        <v>34.021500000000003</v>
      </c>
      <c r="AD5686">
        <v>0.407109</v>
      </c>
      <c r="AE5686">
        <v>23.8415</v>
      </c>
      <c r="AF5686">
        <v>-13.407811277129699</v>
      </c>
      <c r="AG5686">
        <v>0.407109</v>
      </c>
      <c r="AH5686">
        <v>39.316392936316298</v>
      </c>
      <c r="AI5686">
        <v>89.438492075441104</v>
      </c>
      <c r="AJ5686">
        <v>108.83057899937</v>
      </c>
      <c r="AK5686">
        <v>41.541712705470196</v>
      </c>
      <c r="AL5686">
        <v>77.743566505299995</v>
      </c>
      <c r="AM5686">
        <v>94.704295964200895</v>
      </c>
      <c r="AN5686">
        <v>1.0000000006443399</v>
      </c>
    </row>
    <row r="5687" spans="1:40" x14ac:dyDescent="0.25">
      <c r="A5687" t="str">
        <f>"20190303170647404"</f>
        <v>20190303170647404</v>
      </c>
      <c r="B5687" t="str">
        <f>"1551604007400529"</f>
        <v>1551604007400529</v>
      </c>
      <c r="C5687" t="s">
        <v>40</v>
      </c>
      <c r="D5687">
        <v>5.8009110000000002</v>
      </c>
      <c r="E5687">
        <v>0.40932659999999998</v>
      </c>
      <c r="F5687" t="s">
        <v>54</v>
      </c>
      <c r="G5687">
        <v>-168.45060000000001</v>
      </c>
      <c r="H5687">
        <v>1.49875</v>
      </c>
      <c r="I5687">
        <v>-37.983980000000003</v>
      </c>
      <c r="J5687">
        <v>-202.29490000000001</v>
      </c>
      <c r="K5687">
        <v>1.1314409999999999</v>
      </c>
      <c r="L5687">
        <v>-62.016269999999999</v>
      </c>
      <c r="M5687">
        <v>0.95848359999999999</v>
      </c>
      <c r="N5687">
        <v>-1.4862800000000001E-2</v>
      </c>
      <c r="O5687">
        <v>0.28476030000000002</v>
      </c>
      <c r="P5687">
        <v>0.91505610000000004</v>
      </c>
      <c r="Q5687">
        <v>0.19934650000000001</v>
      </c>
      <c r="R5687">
        <v>0.35061870000000001</v>
      </c>
      <c r="S5687">
        <v>2.5789029999999999</v>
      </c>
      <c r="T5687">
        <v>2.7850150000000001E-2</v>
      </c>
      <c r="U5687">
        <v>1.825958</v>
      </c>
      <c r="V5687">
        <v>-8.0887559999999997E-2</v>
      </c>
      <c r="W5687">
        <v>0.21186669999999999</v>
      </c>
      <c r="X5687">
        <v>0.97394539999999996</v>
      </c>
      <c r="Y5687">
        <v>-0.32156649999999998</v>
      </c>
      <c r="Z5687">
        <v>7.7000100000000002E-3</v>
      </c>
      <c r="AA5687">
        <v>0.94685569999999997</v>
      </c>
      <c r="AB5687">
        <v>35</v>
      </c>
      <c r="AC5687">
        <v>33.844299999999997</v>
      </c>
      <c r="AD5687">
        <v>0.367309</v>
      </c>
      <c r="AE5687">
        <v>24.03229</v>
      </c>
      <c r="AF5687">
        <v>-13.3974727565728</v>
      </c>
      <c r="AG5687">
        <v>0.367309</v>
      </c>
      <c r="AH5687">
        <v>39.283909285582297</v>
      </c>
      <c r="AI5687">
        <v>89.492967504424499</v>
      </c>
      <c r="AJ5687">
        <v>108.831544755306</v>
      </c>
      <c r="AK5687">
        <v>41.5072610626437</v>
      </c>
      <c r="AL5687">
        <v>77.768231512706905</v>
      </c>
      <c r="AM5687">
        <v>94.747600942367399</v>
      </c>
      <c r="AN5687">
        <v>0.99999996905640098</v>
      </c>
    </row>
    <row r="5688" spans="1:40" x14ac:dyDescent="0.25">
      <c r="A5688" t="str">
        <f>"20190303170647416"</f>
        <v>20190303170647416</v>
      </c>
      <c r="B5688" t="str">
        <f>"1551604007410289"</f>
        <v>1551604007410289</v>
      </c>
      <c r="C5688" t="s">
        <v>40</v>
      </c>
      <c r="D5688">
        <v>5.8080499999999997</v>
      </c>
      <c r="E5688">
        <v>0.41011209999999998</v>
      </c>
      <c r="F5688" t="s">
        <v>54</v>
      </c>
      <c r="G5688">
        <v>-168.45060000000001</v>
      </c>
      <c r="H5688">
        <v>1.097404</v>
      </c>
      <c r="I5688">
        <v>-38.341050000000003</v>
      </c>
      <c r="J5688">
        <v>-202.10839999999999</v>
      </c>
      <c r="K5688">
        <v>1.1315710000000001</v>
      </c>
      <c r="L5688">
        <v>-61.95496</v>
      </c>
      <c r="M5688">
        <v>0.95655679999999998</v>
      </c>
      <c r="N5688">
        <v>-1.4888729999999999E-2</v>
      </c>
      <c r="O5688">
        <v>0.29116589999999998</v>
      </c>
      <c r="P5688">
        <v>0.91245140000000002</v>
      </c>
      <c r="Q5688">
        <v>0.19870940000000001</v>
      </c>
      <c r="R5688">
        <v>0.35769689999999998</v>
      </c>
      <c r="S5688">
        <v>2.5859529999999999</v>
      </c>
      <c r="T5688">
        <v>-2.6022200000000001E-3</v>
      </c>
      <c r="U5688">
        <v>1.8089599999999999</v>
      </c>
      <c r="V5688">
        <v>-8.1932850000000002E-2</v>
      </c>
      <c r="W5688">
        <v>0.2112039</v>
      </c>
      <c r="X5688">
        <v>0.97400200000000003</v>
      </c>
      <c r="Y5688">
        <v>-0.30976749999999997</v>
      </c>
      <c r="Z5688">
        <v>6.4824380000000001E-3</v>
      </c>
      <c r="AA5688">
        <v>0.95079020000000003</v>
      </c>
      <c r="AB5688">
        <v>35</v>
      </c>
      <c r="AC5688">
        <v>33.657799999999902</v>
      </c>
      <c r="AD5688">
        <v>-3.4166999999999802E-2</v>
      </c>
      <c r="AE5688">
        <v>23.613910000000001</v>
      </c>
      <c r="AF5688">
        <v>-12.789450280191501</v>
      </c>
      <c r="AG5688">
        <v>-3.4166999999999802E-2</v>
      </c>
      <c r="AH5688">
        <v>39.075463824415998</v>
      </c>
      <c r="AI5688">
        <v>90.047613124846393</v>
      </c>
      <c r="AJ5688">
        <v>108.123339178959</v>
      </c>
      <c r="AK5688">
        <v>41.115241443370202</v>
      </c>
      <c r="AL5688">
        <v>77.807086660423593</v>
      </c>
      <c r="AM5688">
        <v>94.808389021924697</v>
      </c>
      <c r="AN5688">
        <v>0.99999998764416598</v>
      </c>
    </row>
    <row r="5689" spans="1:40" x14ac:dyDescent="0.25">
      <c r="A5689" t="str">
        <f>"20190303170647427"</f>
        <v>20190303170647427</v>
      </c>
      <c r="B5689" t="str">
        <f>"1551604007420049"</f>
        <v>1551604007420049</v>
      </c>
      <c r="C5689" t="s">
        <v>40</v>
      </c>
      <c r="D5689">
        <v>5.8090489999999999</v>
      </c>
      <c r="E5689">
        <v>0.4108888</v>
      </c>
      <c r="F5689" t="s">
        <v>54</v>
      </c>
      <c r="G5689">
        <v>-168.45060000000001</v>
      </c>
      <c r="H5689">
        <v>1.0626869999999999</v>
      </c>
      <c r="I5689">
        <v>-38.128140000000002</v>
      </c>
      <c r="J5689">
        <v>-201.94669999999999</v>
      </c>
      <c r="K5689">
        <v>1.1316870000000001</v>
      </c>
      <c r="L5689">
        <v>-61.901090000000003</v>
      </c>
      <c r="M5689">
        <v>0.95483680000000004</v>
      </c>
      <c r="N5689">
        <v>-1.4910949999999999E-2</v>
      </c>
      <c r="O5689">
        <v>0.29675639999999998</v>
      </c>
      <c r="P5689">
        <v>0.91003420000000002</v>
      </c>
      <c r="Q5689">
        <v>0.19862630000000001</v>
      </c>
      <c r="R5689">
        <v>0.36384810000000001</v>
      </c>
      <c r="S5689">
        <v>2.5745239999999998</v>
      </c>
      <c r="T5689">
        <v>-5.2704809999999996E-3</v>
      </c>
      <c r="U5689">
        <v>1.82254</v>
      </c>
      <c r="V5689">
        <v>-8.2865069999999999E-2</v>
      </c>
      <c r="W5689">
        <v>0.21109539999999999</v>
      </c>
      <c r="X5689">
        <v>0.97394669999999905</v>
      </c>
      <c r="Y5689">
        <v>-0.30952950000000001</v>
      </c>
      <c r="Z5689">
        <v>6.4419159999999998E-3</v>
      </c>
      <c r="AA5689">
        <v>0.95086800000000005</v>
      </c>
      <c r="AB5689">
        <v>35</v>
      </c>
      <c r="AC5689">
        <v>33.496099999999899</v>
      </c>
      <c r="AD5689">
        <v>-6.8999999999999895E-2</v>
      </c>
      <c r="AE5689">
        <v>23.772950000000002</v>
      </c>
      <c r="AF5689">
        <v>-12.7604880122192</v>
      </c>
      <c r="AG5689">
        <v>-6.8999999999999895E-2</v>
      </c>
      <c r="AH5689">
        <v>39.0423141046072</v>
      </c>
      <c r="AI5689">
        <v>90.096249113651794</v>
      </c>
      <c r="AJ5689">
        <v>108.099327438907</v>
      </c>
      <c r="AK5689">
        <v>41.074774569713703</v>
      </c>
      <c r="AL5689">
        <v>77.8134471839589</v>
      </c>
      <c r="AM5689">
        <v>94.863112071027004</v>
      </c>
      <c r="AN5689">
        <v>1.00000003108407</v>
      </c>
    </row>
    <row r="5690" spans="1:40" x14ac:dyDescent="0.25">
      <c r="A5690" t="str">
        <f>"20190303170647437"</f>
        <v>20190303170647437</v>
      </c>
      <c r="B5690" t="str">
        <f>"1551604007430785"</f>
        <v>1551604007430785</v>
      </c>
      <c r="C5690" t="s">
        <v>40</v>
      </c>
      <c r="D5690">
        <v>5.8230389999999996</v>
      </c>
      <c r="E5690">
        <v>0.4115914</v>
      </c>
      <c r="F5690" t="s">
        <v>54</v>
      </c>
      <c r="G5690">
        <v>-168.45060000000001</v>
      </c>
      <c r="H5690">
        <v>1.046378</v>
      </c>
      <c r="I5690">
        <v>-37.945839999999997</v>
      </c>
      <c r="J5690">
        <v>-201.786</v>
      </c>
      <c r="K5690">
        <v>1.1317980000000001</v>
      </c>
      <c r="L5690">
        <v>-61.84628</v>
      </c>
      <c r="M5690">
        <v>0.95306619999999997</v>
      </c>
      <c r="N5690">
        <v>-1.4933989999999999E-2</v>
      </c>
      <c r="O5690">
        <v>0.30239329999999998</v>
      </c>
      <c r="P5690">
        <v>0.90748099999999998</v>
      </c>
      <c r="Q5690">
        <v>0.19873109999999999</v>
      </c>
      <c r="R5690">
        <v>0.37011379999999999</v>
      </c>
      <c r="S5690">
        <v>2.5646819999999999</v>
      </c>
      <c r="T5690">
        <v>-6.5332649999999999E-3</v>
      </c>
      <c r="U5690">
        <v>1.8341670000000001</v>
      </c>
      <c r="V5690">
        <v>-8.3896899999999996E-2</v>
      </c>
      <c r="W5690">
        <v>0.21117320000000001</v>
      </c>
      <c r="X5690">
        <v>0.97384150000000003</v>
      </c>
      <c r="Y5690">
        <v>-0.30848510000000001</v>
      </c>
      <c r="Z5690">
        <v>6.4525959999999997E-3</v>
      </c>
      <c r="AA5690">
        <v>0.95120729999999998</v>
      </c>
      <c r="AB5690">
        <v>35</v>
      </c>
      <c r="AC5690">
        <v>33.3353999999999</v>
      </c>
      <c r="AD5690">
        <v>-8.5419999999999802E-2</v>
      </c>
      <c r="AE5690">
        <v>23.90044</v>
      </c>
      <c r="AF5690">
        <v>-12.699661639745299</v>
      </c>
      <c r="AG5690">
        <v>-8.5419999999999802E-2</v>
      </c>
      <c r="AH5690">
        <v>39.002357961176003</v>
      </c>
      <c r="AI5690">
        <v>90.119318699059093</v>
      </c>
      <c r="AJ5690">
        <v>108.03590535353899</v>
      </c>
      <c r="AK5690">
        <v>41.017954957215103</v>
      </c>
      <c r="AL5690">
        <v>77.8088868612288</v>
      </c>
      <c r="AM5690">
        <v>94.923900606987303</v>
      </c>
      <c r="AN5690">
        <v>1.0000000386750401</v>
      </c>
    </row>
    <row r="5691" spans="1:40" x14ac:dyDescent="0.25">
      <c r="A5691" t="str">
        <f>"20190303170647447"</f>
        <v>20190303170647447</v>
      </c>
      <c r="B5691" t="str">
        <f>"1551604007440545"</f>
        <v>1551604007440545</v>
      </c>
      <c r="C5691" t="s">
        <v>40</v>
      </c>
      <c r="D5691">
        <v>5.8132419999999998</v>
      </c>
      <c r="E5691">
        <v>0.4115914</v>
      </c>
      <c r="F5691" t="s">
        <v>54</v>
      </c>
      <c r="G5691">
        <v>-168.45060000000001</v>
      </c>
      <c r="H5691">
        <v>1.0480640000000001</v>
      </c>
      <c r="I5691">
        <v>-37.748049999999999</v>
      </c>
      <c r="J5691">
        <v>-201.6514</v>
      </c>
      <c r="K5691">
        <v>1.1318919999999999</v>
      </c>
      <c r="L5691">
        <v>-61.79956</v>
      </c>
      <c r="M5691">
        <v>0.95154039999999995</v>
      </c>
      <c r="N5691">
        <v>-1.4953289999999999E-2</v>
      </c>
      <c r="O5691">
        <v>0.30716009999999999</v>
      </c>
      <c r="P5691">
        <v>0.90511790000000003</v>
      </c>
      <c r="Q5691">
        <v>0.19920399999999999</v>
      </c>
      <c r="R5691">
        <v>0.37560510000000003</v>
      </c>
      <c r="S5691">
        <v>2.5541990000000001</v>
      </c>
      <c r="T5691">
        <v>-6.4172739999999997E-3</v>
      </c>
      <c r="U5691">
        <v>1.846436</v>
      </c>
      <c r="V5691">
        <v>-8.5019280000000003E-2</v>
      </c>
      <c r="W5691">
        <v>0.2116141</v>
      </c>
      <c r="X5691">
        <v>0.97364839999999997</v>
      </c>
      <c r="Y5691">
        <v>-0.30857620000000002</v>
      </c>
      <c r="Z5691">
        <v>6.525065E-3</v>
      </c>
      <c r="AA5691">
        <v>0.95117719999999994</v>
      </c>
      <c r="AB5691">
        <v>35</v>
      </c>
      <c r="AC5691">
        <v>33.200799999999902</v>
      </c>
      <c r="AD5691">
        <v>-8.3828E-2</v>
      </c>
      <c r="AE5691">
        <v>24.05151</v>
      </c>
      <c r="AF5691">
        <v>-12.689387723718401</v>
      </c>
      <c r="AG5691">
        <v>-8.3828E-2</v>
      </c>
      <c r="AH5691">
        <v>38.983761221029098</v>
      </c>
      <c r="AI5691">
        <v>90.117154514692103</v>
      </c>
      <c r="AJ5691">
        <v>108.03029933122799</v>
      </c>
      <c r="AK5691">
        <v>40.9970880292083</v>
      </c>
      <c r="AL5691">
        <v>77.783040659124495</v>
      </c>
      <c r="AM5691">
        <v>94.990427178511098</v>
      </c>
      <c r="AN5691">
        <v>1.0000000060565399</v>
      </c>
    </row>
    <row r="5692" spans="1:40" x14ac:dyDescent="0.25">
      <c r="A5692" t="str">
        <f>"20190303170647458"</f>
        <v>20190303170647458</v>
      </c>
      <c r="B5692" t="str">
        <f>"1551604007450305"</f>
        <v>1551604007450305</v>
      </c>
      <c r="C5692" t="s">
        <v>40</v>
      </c>
      <c r="D5692">
        <v>5.8255910000000002</v>
      </c>
      <c r="E5692">
        <v>0.4177806</v>
      </c>
      <c r="F5692" t="s">
        <v>86</v>
      </c>
      <c r="G5692">
        <v>-148.18719999999999</v>
      </c>
      <c r="H5692">
        <v>1.029552</v>
      </c>
      <c r="I5692">
        <v>-22.650010000000002</v>
      </c>
      <c r="J5692">
        <v>-201.4949</v>
      </c>
      <c r="K5692">
        <v>1.131999</v>
      </c>
      <c r="L5692">
        <v>-61.744199999999999</v>
      </c>
      <c r="M5692">
        <v>0.94971269999999997</v>
      </c>
      <c r="N5692">
        <v>-1.497599E-2</v>
      </c>
      <c r="O5692">
        <v>0.3127643</v>
      </c>
      <c r="P5692">
        <v>0.90254939999999995</v>
      </c>
      <c r="Q5692">
        <v>0.19947989999999999</v>
      </c>
      <c r="R5692">
        <v>0.38159179999999998</v>
      </c>
      <c r="S5692">
        <v>2.542862</v>
      </c>
      <c r="T5692">
        <v>-4.8676730000000003E-3</v>
      </c>
      <c r="U5692">
        <v>1.8620300000000001</v>
      </c>
      <c r="V5692">
        <v>-8.5813890000000004E-2</v>
      </c>
      <c r="W5692">
        <v>0.21186759999999999</v>
      </c>
      <c r="X5692">
        <v>0.97352360000000004</v>
      </c>
      <c r="Y5692">
        <v>-0.30879050000000002</v>
      </c>
      <c r="Z5692">
        <v>6.684789E-3</v>
      </c>
      <c r="AA5692">
        <v>0.95110660000000002</v>
      </c>
      <c r="AB5692">
        <v>35</v>
      </c>
      <c r="AC5692">
        <v>53.307699999999997</v>
      </c>
      <c r="AD5692">
        <v>-0.102446999999999</v>
      </c>
      <c r="AE5692">
        <v>39.094189999999998</v>
      </c>
      <c r="AF5692">
        <v>-20.457748398798</v>
      </c>
      <c r="AG5692">
        <v>-0.102446999999999</v>
      </c>
      <c r="AH5692">
        <v>62.861165363025002</v>
      </c>
      <c r="AI5692">
        <v>90.088792962613098</v>
      </c>
      <c r="AJ5692">
        <v>108.027134057282</v>
      </c>
      <c r="AK5692">
        <v>66.106399657929501</v>
      </c>
      <c r="AL5692">
        <v>77.768179775226798</v>
      </c>
      <c r="AM5692">
        <v>95.037472417217998</v>
      </c>
      <c r="AN5692">
        <v>1.0000000517018199</v>
      </c>
    </row>
    <row r="5693" spans="1:40" x14ac:dyDescent="0.25">
      <c r="A5693" t="str">
        <f>"20190303170647469"</f>
        <v>20190303170647469</v>
      </c>
      <c r="B5693" t="str">
        <f>"1551604007460065"</f>
        <v>1551604007460065</v>
      </c>
      <c r="C5693" t="s">
        <v>40</v>
      </c>
      <c r="D5693">
        <v>5.806813</v>
      </c>
      <c r="E5693">
        <v>0.41847319999999999</v>
      </c>
      <c r="F5693" t="s">
        <v>54</v>
      </c>
      <c r="G5693">
        <v>-168.45060000000001</v>
      </c>
      <c r="H5693">
        <v>0.83608819999999995</v>
      </c>
      <c r="I5693">
        <v>-37.981789999999997</v>
      </c>
      <c r="J5693">
        <v>-201.3296</v>
      </c>
      <c r="K5693">
        <v>1.132109</v>
      </c>
      <c r="L5693">
        <v>-61.684539999999998</v>
      </c>
      <c r="M5693">
        <v>0.94771749999999999</v>
      </c>
      <c r="N5693">
        <v>-1.5000339999999999E-2</v>
      </c>
      <c r="O5693">
        <v>0.31875759999999997</v>
      </c>
      <c r="P5693">
        <v>0.89971789999999996</v>
      </c>
      <c r="Q5693">
        <v>0.19952719999999999</v>
      </c>
      <c r="R5693">
        <v>0.38819690000000001</v>
      </c>
      <c r="S5693">
        <v>2.552826</v>
      </c>
      <c r="T5693">
        <v>-2.2861960000000001E-2</v>
      </c>
      <c r="U5693">
        <v>1.8357540000000001</v>
      </c>
      <c r="V5693">
        <v>-8.686866E-2</v>
      </c>
      <c r="W5693">
        <v>0.21188580000000001</v>
      </c>
      <c r="X5693">
        <v>0.97342600000000001</v>
      </c>
      <c r="Y5693">
        <v>-0.29452040000000002</v>
      </c>
      <c r="Z5693">
        <v>5.6435210000000003E-3</v>
      </c>
      <c r="AA5693">
        <v>0.95562849999999999</v>
      </c>
      <c r="AB5693">
        <v>35</v>
      </c>
      <c r="AC5693">
        <v>32.878999999999898</v>
      </c>
      <c r="AD5693">
        <v>-0.29602079999999997</v>
      </c>
      <c r="AE5693">
        <v>23.702750000000002</v>
      </c>
      <c r="AF5693">
        <v>-11.983789755487299</v>
      </c>
      <c r="AG5693">
        <v>-0.29602079999999997</v>
      </c>
      <c r="AH5693">
        <v>38.717729001735002</v>
      </c>
      <c r="AI5693">
        <v>90.418467253604803</v>
      </c>
      <c r="AJ5693">
        <v>107.198177648712</v>
      </c>
      <c r="AK5693">
        <v>40.530992885316202</v>
      </c>
      <c r="AL5693">
        <v>77.767111713800006</v>
      </c>
      <c r="AM5693">
        <v>95.099573948398302</v>
      </c>
      <c r="AN5693">
        <v>0.99999996690391701</v>
      </c>
    </row>
    <row r="5694" spans="1:40" x14ac:dyDescent="0.25">
      <c r="A5694" t="str">
        <f>"20190303170647479"</f>
        <v>20190303170647479</v>
      </c>
      <c r="B5694" t="str">
        <f>"1551604007470801"</f>
        <v>1551604007470801</v>
      </c>
      <c r="C5694" t="s">
        <v>40</v>
      </c>
      <c r="D5694">
        <v>5.837885</v>
      </c>
      <c r="E5694">
        <v>0.41933680000000001</v>
      </c>
      <c r="F5694" t="s">
        <v>54</v>
      </c>
      <c r="G5694">
        <v>-168.45060000000001</v>
      </c>
      <c r="H5694">
        <v>0.83897880000000002</v>
      </c>
      <c r="I5694">
        <v>-37.76211</v>
      </c>
      <c r="J5694">
        <v>-201.1739</v>
      </c>
      <c r="K5694">
        <v>1.132215</v>
      </c>
      <c r="L5694">
        <v>-61.62744</v>
      </c>
      <c r="M5694">
        <v>0.94578309999999999</v>
      </c>
      <c r="N5694">
        <v>-1.5023160000000001E-2</v>
      </c>
      <c r="O5694">
        <v>0.32445109999999999</v>
      </c>
      <c r="P5694">
        <v>0.897109499999999</v>
      </c>
      <c r="Q5694">
        <v>0.19903470000000001</v>
      </c>
      <c r="R5694">
        <v>0.39443600000000001</v>
      </c>
      <c r="S5694">
        <v>2.5415190000000001</v>
      </c>
      <c r="T5694">
        <v>-2.2660260000000002E-2</v>
      </c>
      <c r="U5694">
        <v>1.8491820000000001</v>
      </c>
      <c r="V5694">
        <v>-8.7786569999999994E-2</v>
      </c>
      <c r="W5694">
        <v>0.2113689</v>
      </c>
      <c r="X5694">
        <v>0.97345599999999999</v>
      </c>
      <c r="Y5694">
        <v>-0.29409540000000001</v>
      </c>
      <c r="Z5694">
        <v>5.6980599999999996E-3</v>
      </c>
      <c r="AA5694">
        <v>0.95575900000000003</v>
      </c>
      <c r="AB5694">
        <v>35</v>
      </c>
      <c r="AC5694">
        <v>32.723299999999902</v>
      </c>
      <c r="AD5694">
        <v>-0.293236199999999</v>
      </c>
      <c r="AE5694">
        <v>23.86533</v>
      </c>
      <c r="AF5694">
        <v>-11.955038370162301</v>
      </c>
      <c r="AG5694">
        <v>-0.293236199999999</v>
      </c>
      <c r="AH5694">
        <v>38.694617649618998</v>
      </c>
      <c r="AI5694">
        <v>90.414843893820603</v>
      </c>
      <c r="AJ5694">
        <v>107.168988385736</v>
      </c>
      <c r="AK5694">
        <v>40.500399565328401</v>
      </c>
      <c r="AL5694">
        <v>77.7974138952478</v>
      </c>
      <c r="AM5694">
        <v>95.153012745046993</v>
      </c>
      <c r="AN5694">
        <v>0.99999993884778504</v>
      </c>
    </row>
    <row r="5695" spans="1:40" x14ac:dyDescent="0.25">
      <c r="A5695" t="str">
        <f>"20190303170647491"</f>
        <v>20190303170647491</v>
      </c>
      <c r="B5695" t="str">
        <f>"1551604007480561"</f>
        <v>1551604007480561</v>
      </c>
      <c r="C5695" t="s">
        <v>40</v>
      </c>
      <c r="D5695">
        <v>5.8352760000000004</v>
      </c>
      <c r="E5695">
        <v>0.41933680000000001</v>
      </c>
      <c r="F5695" t="s">
        <v>86</v>
      </c>
      <c r="G5695">
        <v>-148.12549999999999</v>
      </c>
      <c r="H5695">
        <v>0.58831409999999995</v>
      </c>
      <c r="I5695">
        <v>-22.65</v>
      </c>
      <c r="J5695">
        <v>-201.01509999999999</v>
      </c>
      <c r="K5695">
        <v>1.1323240000000001</v>
      </c>
      <c r="L5695">
        <v>-61.567630000000001</v>
      </c>
      <c r="M5695">
        <v>0.9437373</v>
      </c>
      <c r="N5695">
        <v>-1.504787E-2</v>
      </c>
      <c r="O5695">
        <v>0.33035360000000003</v>
      </c>
      <c r="P5695">
        <v>0.89412649999999905</v>
      </c>
      <c r="Q5695">
        <v>0.19857379999999999</v>
      </c>
      <c r="R5695">
        <v>0.40138040000000003</v>
      </c>
      <c r="S5695">
        <v>2.5319060000000002</v>
      </c>
      <c r="T5695">
        <v>-2.5959610000000001E-2</v>
      </c>
      <c r="U5695">
        <v>1.8603209999999999</v>
      </c>
      <c r="V5695">
        <v>-8.9270150000000006E-2</v>
      </c>
      <c r="W5695">
        <v>0.21086740000000001</v>
      </c>
      <c r="X5695">
        <v>0.97342989999999996</v>
      </c>
      <c r="Y5695">
        <v>-0.2925779</v>
      </c>
      <c r="Z5695">
        <v>5.532805E-3</v>
      </c>
      <c r="AA5695">
        <v>0.95622569999999996</v>
      </c>
      <c r="AB5695">
        <v>35</v>
      </c>
      <c r="AC5695">
        <v>52.889600000000002</v>
      </c>
      <c r="AD5695">
        <v>-0.54400989999999905</v>
      </c>
      <c r="AE5695">
        <v>38.917629999999903</v>
      </c>
      <c r="AF5695">
        <v>-19.256607812170898</v>
      </c>
      <c r="AG5695">
        <v>-0.54400989999999905</v>
      </c>
      <c r="AH5695">
        <v>62.773266092612197</v>
      </c>
      <c r="AI5695">
        <v>90.474695792706896</v>
      </c>
      <c r="AJ5695">
        <v>107.054152943334</v>
      </c>
      <c r="AK5695">
        <v>65.662743067411995</v>
      </c>
      <c r="AL5695">
        <v>77.826811005633701</v>
      </c>
      <c r="AM5695">
        <v>95.239756884544505</v>
      </c>
      <c r="AN5695">
        <v>0.99999999513889604</v>
      </c>
    </row>
    <row r="5696" spans="1:40" x14ac:dyDescent="0.25">
      <c r="A5696" t="str">
        <f>"20190303170647503"</f>
        <v>20190303170647503</v>
      </c>
      <c r="B5696" t="str">
        <f>"1551604007490321"</f>
        <v>1551604007490321</v>
      </c>
      <c r="C5696" t="s">
        <v>40</v>
      </c>
      <c r="D5696">
        <v>5.8618790000000001</v>
      </c>
      <c r="E5696">
        <v>0.42315809999999998</v>
      </c>
      <c r="F5696" t="s">
        <v>86</v>
      </c>
      <c r="G5696">
        <v>-148.89169999999999</v>
      </c>
      <c r="H5696">
        <v>0.56231119999999901</v>
      </c>
      <c r="I5696">
        <v>-22.650010000000002</v>
      </c>
      <c r="J5696">
        <v>-200.84729999999999</v>
      </c>
      <c r="K5696">
        <v>1.1324369999999999</v>
      </c>
      <c r="L5696">
        <v>-61.50385</v>
      </c>
      <c r="M5696">
        <v>0.94152150000000001</v>
      </c>
      <c r="N5696">
        <v>-1.507325E-2</v>
      </c>
      <c r="O5696">
        <v>0.33661580000000002</v>
      </c>
      <c r="P5696">
        <v>0.89094619999999902</v>
      </c>
      <c r="Q5696">
        <v>0.1981648</v>
      </c>
      <c r="R5696">
        <v>0.40859020000000001</v>
      </c>
      <c r="S5696">
        <v>2.5175320000000001</v>
      </c>
      <c r="T5696">
        <v>-2.75315E-2</v>
      </c>
      <c r="U5696">
        <v>1.8796999999999999</v>
      </c>
      <c r="V5696">
        <v>-9.0691930000000004E-2</v>
      </c>
      <c r="W5696">
        <v>0.21041850000000001</v>
      </c>
      <c r="X5696">
        <v>0.97339560000000003</v>
      </c>
      <c r="Y5696">
        <v>-0.29356500000000002</v>
      </c>
      <c r="Z5696">
        <v>5.4935969999999898E-3</v>
      </c>
      <c r="AA5696">
        <v>0.95592330000000003</v>
      </c>
      <c r="AB5696">
        <v>35</v>
      </c>
      <c r="AC5696">
        <v>51.955599999999997</v>
      </c>
      <c r="AD5696">
        <v>-0.57012580000000002</v>
      </c>
      <c r="AE5696">
        <v>38.853839999999998</v>
      </c>
      <c r="AF5696">
        <v>-19.093343398353198</v>
      </c>
      <c r="AG5696">
        <v>-0.57012580000000002</v>
      </c>
      <c r="AH5696">
        <v>61.998382885522702</v>
      </c>
      <c r="AI5696">
        <v>90.503530694441494</v>
      </c>
      <c r="AJ5696">
        <v>107.117010351735</v>
      </c>
      <c r="AK5696">
        <v>64.874342277784507</v>
      </c>
      <c r="AL5696">
        <v>77.853121252826099</v>
      </c>
      <c r="AM5696">
        <v>95.322919876257203</v>
      </c>
      <c r="AN5696">
        <v>0.99999998270436696</v>
      </c>
    </row>
    <row r="5697" spans="1:40" x14ac:dyDescent="0.25">
      <c r="A5697" t="str">
        <f>"20190303170647514"</f>
        <v>20190303170647514</v>
      </c>
      <c r="B5697" t="str">
        <f>"1551604007510817"</f>
        <v>1551604007510817</v>
      </c>
      <c r="C5697" t="s">
        <v>40</v>
      </c>
      <c r="D5697">
        <v>5.8362600000000002</v>
      </c>
      <c r="E5697">
        <v>0.42485650000000003</v>
      </c>
      <c r="F5697" t="s">
        <v>86</v>
      </c>
      <c r="G5697">
        <v>-148.67250000000001</v>
      </c>
      <c r="H5697">
        <v>0.24555589999999999</v>
      </c>
      <c r="I5697">
        <v>-22.650010000000002</v>
      </c>
      <c r="J5697">
        <v>-200.68729999999999</v>
      </c>
      <c r="K5697">
        <v>1.1325499999999999</v>
      </c>
      <c r="L5697">
        <v>-61.440890000000003</v>
      </c>
      <c r="M5697">
        <v>0.93931739999999997</v>
      </c>
      <c r="N5697">
        <v>-1.5099680000000001E-2</v>
      </c>
      <c r="O5697">
        <v>0.34271679999999999</v>
      </c>
      <c r="P5697">
        <v>0.88789269999999998</v>
      </c>
      <c r="Q5697">
        <v>0.19800989999999999</v>
      </c>
      <c r="R5697">
        <v>0.4152574</v>
      </c>
      <c r="S5697">
        <v>2.5171049999999999</v>
      </c>
      <c r="T5697">
        <v>-4.2786360000000002E-2</v>
      </c>
      <c r="U5697">
        <v>1.8744510000000001</v>
      </c>
      <c r="V5697">
        <v>-9.1719969999999998E-2</v>
      </c>
      <c r="W5697">
        <v>0.2102358</v>
      </c>
      <c r="X5697">
        <v>0.97333879999999995</v>
      </c>
      <c r="Y5697">
        <v>-0.28612340000000003</v>
      </c>
      <c r="Z5697">
        <v>4.4474029999999999E-3</v>
      </c>
      <c r="AA5697">
        <v>0.95818250000000005</v>
      </c>
      <c r="AB5697">
        <v>35</v>
      </c>
      <c r="AC5697">
        <v>52.014799999999902</v>
      </c>
      <c r="AD5697">
        <v>-0.88699409999999901</v>
      </c>
      <c r="AE5697">
        <v>38.790880000000001</v>
      </c>
      <c r="AF5697">
        <v>-18.6092474230432</v>
      </c>
      <c r="AG5697">
        <v>-0.88699409999999901</v>
      </c>
      <c r="AH5697">
        <v>62.1481667021798</v>
      </c>
      <c r="AI5697">
        <v>90.783325717603304</v>
      </c>
      <c r="AJ5697">
        <v>106.669465236555</v>
      </c>
      <c r="AK5697">
        <v>64.880547721388794</v>
      </c>
      <c r="AL5697">
        <v>77.863829314219899</v>
      </c>
      <c r="AM5697">
        <v>95.383217753764796</v>
      </c>
      <c r="AN5697">
        <v>1.00000003204193</v>
      </c>
    </row>
    <row r="5698" spans="1:40" x14ac:dyDescent="0.25">
      <c r="A5698" t="str">
        <f>"20190303170647526"</f>
        <v>20190303170647526</v>
      </c>
      <c r="B5698" t="str">
        <f>"1551604007520577"</f>
        <v>1551604007520577</v>
      </c>
      <c r="C5698" t="s">
        <v>40</v>
      </c>
      <c r="D5698">
        <v>5.8386089999999999</v>
      </c>
      <c r="E5698">
        <v>0.4257783</v>
      </c>
      <c r="F5698" t="s">
        <v>86</v>
      </c>
      <c r="G5698">
        <v>-148.96549999999999</v>
      </c>
      <c r="H5698">
        <v>0.14431759999999999</v>
      </c>
      <c r="I5698">
        <v>-22.650010000000002</v>
      </c>
      <c r="J5698">
        <v>-200.51779999999999</v>
      </c>
      <c r="K5698">
        <v>1.132671</v>
      </c>
      <c r="L5698">
        <v>-61.373570000000001</v>
      </c>
      <c r="M5698">
        <v>0.93692399999999998</v>
      </c>
      <c r="N5698">
        <v>-1.5126809999999999E-2</v>
      </c>
      <c r="O5698">
        <v>0.34920559999999901</v>
      </c>
      <c r="P5698">
        <v>0.88455030000000001</v>
      </c>
      <c r="Q5698">
        <v>0.19773209999999999</v>
      </c>
      <c r="R5698">
        <v>0.42246089999999997</v>
      </c>
      <c r="S5698">
        <v>2.5093079999999999</v>
      </c>
      <c r="T5698">
        <v>-4.7944550000000002E-2</v>
      </c>
      <c r="U5698">
        <v>1.881958</v>
      </c>
      <c r="V5698">
        <v>-9.2936699999999997E-2</v>
      </c>
      <c r="W5698">
        <v>0.20992350000000001</v>
      </c>
      <c r="X5698">
        <v>0.97329069999999995</v>
      </c>
      <c r="Y5698">
        <v>-0.28274709999999997</v>
      </c>
      <c r="Z5698">
        <v>4.05815E-3</v>
      </c>
      <c r="AA5698">
        <v>0.95918590000000004</v>
      </c>
      <c r="AB5698">
        <v>35</v>
      </c>
      <c r="AC5698">
        <v>51.552300000000002</v>
      </c>
      <c r="AD5698">
        <v>-0.98835340000000005</v>
      </c>
      <c r="AE5698">
        <v>38.7235599999999</v>
      </c>
      <c r="AF5698">
        <v>-18.276478347970901</v>
      </c>
      <c r="AG5698">
        <v>-0.98835340000000005</v>
      </c>
      <c r="AH5698">
        <v>61.815621626485999</v>
      </c>
      <c r="AI5698">
        <v>90.878425347551897</v>
      </c>
      <c r="AJ5698">
        <v>106.470901875378</v>
      </c>
      <c r="AK5698">
        <v>64.4684231257135</v>
      </c>
      <c r="AL5698">
        <v>77.882130151867997</v>
      </c>
      <c r="AM5698">
        <v>95.454470005036001</v>
      </c>
      <c r="AN5698">
        <v>0.99999994638281298</v>
      </c>
    </row>
    <row r="5699" spans="1:40" x14ac:dyDescent="0.25">
      <c r="A5699" t="str">
        <f>"20190303170647537"</f>
        <v>20190303170647537</v>
      </c>
      <c r="B5699" t="str">
        <f>"1551604007530337"</f>
        <v>1551604007530337</v>
      </c>
      <c r="C5699" t="s">
        <v>40</v>
      </c>
      <c r="D5699">
        <v>5.8275519999999998</v>
      </c>
      <c r="E5699">
        <v>0.42636069999999998</v>
      </c>
      <c r="F5699" t="s">
        <v>86</v>
      </c>
      <c r="G5699">
        <v>-149.50489999999999</v>
      </c>
      <c r="H5699">
        <v>7.8769679999999995E-2</v>
      </c>
      <c r="I5699">
        <v>-22.650010000000002</v>
      </c>
      <c r="J5699">
        <v>-200.3562</v>
      </c>
      <c r="K5699">
        <v>1.1327879999999999</v>
      </c>
      <c r="L5699">
        <v>-61.307650000000002</v>
      </c>
      <c r="M5699">
        <v>0.93455639999999995</v>
      </c>
      <c r="N5699">
        <v>-1.515384E-2</v>
      </c>
      <c r="O5699">
        <v>0.35549209999999998</v>
      </c>
      <c r="P5699">
        <v>0.88109249999999995</v>
      </c>
      <c r="Q5699">
        <v>0.19777359999999999</v>
      </c>
      <c r="R5699">
        <v>0.4296063</v>
      </c>
      <c r="S5699">
        <v>2.4975890000000001</v>
      </c>
      <c r="T5699">
        <v>-5.1598909999999998E-2</v>
      </c>
      <c r="U5699">
        <v>1.895905</v>
      </c>
      <c r="V5699">
        <v>-9.4343769999999993E-2</v>
      </c>
      <c r="W5699">
        <v>0.2099239</v>
      </c>
      <c r="X5699">
        <v>0.97315529999999995</v>
      </c>
      <c r="Y5699">
        <v>-0.281860099999999</v>
      </c>
      <c r="Z5699">
        <v>3.7880050000000001E-3</v>
      </c>
      <c r="AA5699">
        <v>0.95944799999999997</v>
      </c>
      <c r="AB5699">
        <v>35</v>
      </c>
      <c r="AC5699">
        <v>50.851300000000002</v>
      </c>
      <c r="AD5699">
        <v>-1.05401832</v>
      </c>
      <c r="AE5699">
        <v>38.657640000000001</v>
      </c>
      <c r="AF5699">
        <v>-18.047668995241501</v>
      </c>
      <c r="AG5699">
        <v>-1.05401832</v>
      </c>
      <c r="AH5699">
        <v>61.256252609720804</v>
      </c>
      <c r="AI5699">
        <v>90.945595189919899</v>
      </c>
      <c r="AJ5699">
        <v>106.41633063438999</v>
      </c>
      <c r="AK5699">
        <v>63.868284731677498</v>
      </c>
      <c r="AL5699">
        <v>77.882107547043603</v>
      </c>
      <c r="AM5699">
        <v>95.537307390093702</v>
      </c>
      <c r="AN5699">
        <v>1.0000000143235499</v>
      </c>
    </row>
    <row r="5700" spans="1:40" x14ac:dyDescent="0.25">
      <c r="A5700" t="str">
        <f>"20190303170647547"</f>
        <v>20190303170647547</v>
      </c>
      <c r="B5700" t="str">
        <f>"1551604007540097"</f>
        <v>1551604007540097</v>
      </c>
      <c r="C5700" t="s">
        <v>40</v>
      </c>
      <c r="D5700">
        <v>5.8601020000000004</v>
      </c>
      <c r="E5700">
        <v>0.4269888</v>
      </c>
      <c r="F5700" t="s">
        <v>86</v>
      </c>
      <c r="G5700">
        <v>-150.11879999999999</v>
      </c>
      <c r="H5700">
        <v>7.6236719999999994E-2</v>
      </c>
      <c r="I5700">
        <v>-22.650010000000002</v>
      </c>
      <c r="J5700">
        <v>-200.2038</v>
      </c>
      <c r="K5700">
        <v>1.1328940000000001</v>
      </c>
      <c r="L5700">
        <v>-61.244509999999998</v>
      </c>
      <c r="M5700">
        <v>0.93226189999999998</v>
      </c>
      <c r="N5700">
        <v>-1.517933E-2</v>
      </c>
      <c r="O5700">
        <v>0.3614655</v>
      </c>
      <c r="P5700">
        <v>0.87772790000000001</v>
      </c>
      <c r="Q5700">
        <v>0.19819880000000001</v>
      </c>
      <c r="R5700">
        <v>0.43624629999999998</v>
      </c>
      <c r="S5700">
        <v>2.4844360000000001</v>
      </c>
      <c r="T5700">
        <v>-5.2250860000000003E-2</v>
      </c>
      <c r="U5700">
        <v>1.9117740000000001</v>
      </c>
      <c r="V5700">
        <v>-9.5569390000000004E-2</v>
      </c>
      <c r="W5700">
        <v>0.2103122</v>
      </c>
      <c r="X5700">
        <v>0.97295180000000003</v>
      </c>
      <c r="Y5700">
        <v>-0.28202129999999997</v>
      </c>
      <c r="Z5700">
        <v>3.7367450000000001E-3</v>
      </c>
      <c r="AA5700">
        <v>0.9594009</v>
      </c>
      <c r="AB5700">
        <v>35</v>
      </c>
      <c r="AC5700">
        <v>50.085000000000001</v>
      </c>
      <c r="AD5700">
        <v>-1.05665728</v>
      </c>
      <c r="AE5700">
        <v>38.594499999999996</v>
      </c>
      <c r="AF5700">
        <v>-17.873250977145499</v>
      </c>
      <c r="AG5700">
        <v>-1.05665728</v>
      </c>
      <c r="AH5700">
        <v>60.632973212792002</v>
      </c>
      <c r="AI5700">
        <v>90.957665609750705</v>
      </c>
      <c r="AJ5700">
        <v>106.424343603605</v>
      </c>
      <c r="AK5700">
        <v>63.221254857227898</v>
      </c>
      <c r="AL5700">
        <v>77.859351014845501</v>
      </c>
      <c r="AM5700">
        <v>95.609952422859806</v>
      </c>
      <c r="AN5700">
        <v>0.99999996744852504</v>
      </c>
    </row>
    <row r="5701" spans="1:40" x14ac:dyDescent="0.25">
      <c r="A5701" t="str">
        <f>"20190303170647558"</f>
        <v>20190303170647558</v>
      </c>
      <c r="B5701" t="str">
        <f>"1551604007550833"</f>
        <v>1551604007550833</v>
      </c>
      <c r="C5701" t="s">
        <v>40</v>
      </c>
      <c r="D5701">
        <v>5.8313759999999997</v>
      </c>
      <c r="E5701">
        <v>0.42765599999999998</v>
      </c>
      <c r="F5701" t="s">
        <v>43</v>
      </c>
      <c r="G5701">
        <v>-146.46530000000001</v>
      </c>
      <c r="H5701">
        <v>-0.05</v>
      </c>
      <c r="I5701">
        <v>-19.37885</v>
      </c>
      <c r="J5701">
        <v>-200.05330000000001</v>
      </c>
      <c r="K5701">
        <v>1.1330009999999999</v>
      </c>
      <c r="L5701">
        <v>-61.180970000000002</v>
      </c>
      <c r="M5701">
        <v>0.92992810000000004</v>
      </c>
      <c r="N5701">
        <v>-1.520491E-2</v>
      </c>
      <c r="O5701">
        <v>0.3674269</v>
      </c>
      <c r="P5701">
        <v>0.87435969999999996</v>
      </c>
      <c r="Q5701">
        <v>0.1983268</v>
      </c>
      <c r="R5701">
        <v>0.4429015</v>
      </c>
      <c r="S5701">
        <v>2.4727480000000002</v>
      </c>
      <c r="T5701">
        <v>-5.443013E-2</v>
      </c>
      <c r="U5701">
        <v>1.9264220000000001</v>
      </c>
      <c r="V5701">
        <v>-9.6804699999999994E-2</v>
      </c>
      <c r="W5701">
        <v>0.2104036</v>
      </c>
      <c r="X5701">
        <v>0.97280990000000001</v>
      </c>
      <c r="Y5701">
        <v>-0.28160950000000001</v>
      </c>
      <c r="Z5701">
        <v>3.5606800000000001E-3</v>
      </c>
      <c r="AA5701">
        <v>0.95952249999999994</v>
      </c>
      <c r="AB5701">
        <v>35</v>
      </c>
      <c r="AC5701">
        <v>53.588000000000001</v>
      </c>
      <c r="AD5701">
        <v>-1.183001</v>
      </c>
      <c r="AE5701">
        <v>41.802120000000002</v>
      </c>
      <c r="AF5701">
        <v>-19.1797002405687</v>
      </c>
      <c r="AG5701">
        <v>-1.183001</v>
      </c>
      <c r="AH5701">
        <v>65.179999754400001</v>
      </c>
      <c r="AI5701">
        <v>90.997509790176196</v>
      </c>
      <c r="AJ5701">
        <v>106.396912200174</v>
      </c>
      <c r="AK5701">
        <v>67.953607414674096</v>
      </c>
      <c r="AL5701">
        <v>77.853994268869101</v>
      </c>
      <c r="AM5701">
        <v>95.682817389746901</v>
      </c>
      <c r="AN5701">
        <v>0.99999996318652895</v>
      </c>
    </row>
    <row r="5702" spans="1:40" x14ac:dyDescent="0.25">
      <c r="A5702" t="str">
        <f>"20190303170647570"</f>
        <v>20190303170647570</v>
      </c>
      <c r="B5702" t="str">
        <f>"1551604007560593"</f>
        <v>1551604007560593</v>
      </c>
      <c r="C5702" t="s">
        <v>40</v>
      </c>
      <c r="D5702">
        <v>5.8399049999999999</v>
      </c>
      <c r="E5702">
        <v>0.42809350000000002</v>
      </c>
      <c r="F5702" t="s">
        <v>43</v>
      </c>
      <c r="G5702">
        <v>-147.4581</v>
      </c>
      <c r="H5702">
        <v>-0.05</v>
      </c>
      <c r="I5702">
        <v>-19.704319999999999</v>
      </c>
      <c r="J5702">
        <v>-199.8954</v>
      </c>
      <c r="K5702">
        <v>1.1331089999999999</v>
      </c>
      <c r="L5702">
        <v>-61.112879999999997</v>
      </c>
      <c r="M5702">
        <v>0.92740259999999997</v>
      </c>
      <c r="N5702">
        <v>-1.5231939999999999E-2</v>
      </c>
      <c r="O5702">
        <v>0.3737547</v>
      </c>
      <c r="P5702">
        <v>0.87055780000000005</v>
      </c>
      <c r="Q5702">
        <v>0.1987748</v>
      </c>
      <c r="R5702">
        <v>0.4501309</v>
      </c>
      <c r="S5702">
        <v>2.4606780000000001</v>
      </c>
      <c r="T5702">
        <v>-5.5346850000000003E-2</v>
      </c>
      <c r="U5702">
        <v>1.940491</v>
      </c>
      <c r="V5702">
        <v>-9.8348450000000004E-2</v>
      </c>
      <c r="W5702">
        <v>0.21080499999999999</v>
      </c>
      <c r="X5702">
        <v>0.97256819999999999</v>
      </c>
      <c r="Y5702">
        <v>-0.28073920000000002</v>
      </c>
      <c r="Z5702">
        <v>3.4633749999999999E-3</v>
      </c>
      <c r="AA5702">
        <v>0.95977780000000001</v>
      </c>
      <c r="AB5702">
        <v>35</v>
      </c>
      <c r="AC5702">
        <v>52.437299999999901</v>
      </c>
      <c r="AD5702">
        <v>-1.183109</v>
      </c>
      <c r="AE5702">
        <v>41.408559999999902</v>
      </c>
      <c r="AF5702">
        <v>-18.8000044536487</v>
      </c>
      <c r="AG5702">
        <v>-1.183109</v>
      </c>
      <c r="AH5702">
        <v>64.094468773619099</v>
      </c>
      <c r="AI5702">
        <v>91.014751097987997</v>
      </c>
      <c r="AJ5702">
        <v>106.347315746409</v>
      </c>
      <c r="AK5702">
        <v>66.805245615412005</v>
      </c>
      <c r="AL5702">
        <v>77.830468965271095</v>
      </c>
      <c r="AM5702">
        <v>95.774259232964098</v>
      </c>
      <c r="AN5702">
        <v>1.0000000346468201</v>
      </c>
    </row>
    <row r="5703" spans="1:40" x14ac:dyDescent="0.25">
      <c r="A5703" t="str">
        <f>"20190303170647581"</f>
        <v>20190303170647581</v>
      </c>
      <c r="B5703" t="str">
        <f>"1551604007570354"</f>
        <v>1551604007570354</v>
      </c>
      <c r="C5703" t="s">
        <v>40</v>
      </c>
      <c r="D5703">
        <v>6.1370199999999997</v>
      </c>
      <c r="E5703">
        <v>0.42809350000000002</v>
      </c>
      <c r="F5703" t="s">
        <v>43</v>
      </c>
      <c r="G5703">
        <v>-148.8082</v>
      </c>
      <c r="H5703">
        <v>-0.05</v>
      </c>
      <c r="I5703">
        <v>-20.223569999999999</v>
      </c>
      <c r="J5703">
        <v>-199.7431</v>
      </c>
      <c r="K5703">
        <v>1.133213</v>
      </c>
      <c r="L5703">
        <v>-61.046300000000002</v>
      </c>
      <c r="M5703">
        <v>0.92490260000000002</v>
      </c>
      <c r="N5703">
        <v>-1.525753E-2</v>
      </c>
      <c r="O5703">
        <v>0.37989810000000002</v>
      </c>
      <c r="P5703">
        <v>0.86701319999999904</v>
      </c>
      <c r="Q5703">
        <v>0.1991695</v>
      </c>
      <c r="R5703">
        <v>0.45674920000000002</v>
      </c>
      <c r="S5703">
        <v>2.4465330000000001</v>
      </c>
      <c r="T5703">
        <v>-5.6658269999999997E-2</v>
      </c>
      <c r="U5703">
        <v>1.9581599999999999</v>
      </c>
      <c r="V5703">
        <v>-9.940939E-2</v>
      </c>
      <c r="W5703">
        <v>0.21116660000000001</v>
      </c>
      <c r="X5703">
        <v>0.97238179999999996</v>
      </c>
      <c r="Y5703">
        <v>-0.28130229999999901</v>
      </c>
      <c r="Z5703">
        <v>3.355397E-3</v>
      </c>
      <c r="AA5703">
        <v>0.95961339999999995</v>
      </c>
      <c r="AB5703">
        <v>35</v>
      </c>
      <c r="AC5703">
        <v>50.934899999999999</v>
      </c>
      <c r="AD5703">
        <v>-1.1832129999999901</v>
      </c>
      <c r="AE5703">
        <v>40.82273</v>
      </c>
      <c r="AF5703">
        <v>-18.403071909544</v>
      </c>
      <c r="AG5703">
        <v>-1.1832129999999901</v>
      </c>
      <c r="AH5703">
        <v>62.605013060724701</v>
      </c>
      <c r="AI5703">
        <v>91.038800261283697</v>
      </c>
      <c r="AJ5703">
        <v>106.38097580901901</v>
      </c>
      <c r="AK5703">
        <v>65.264544042264902</v>
      </c>
      <c r="AL5703">
        <v>77.809272793198303</v>
      </c>
      <c r="AM5703">
        <v>95.837232745764098</v>
      </c>
      <c r="AN5703">
        <v>0.99999996237348499</v>
      </c>
    </row>
    <row r="5704" spans="1:40" x14ac:dyDescent="0.25">
      <c r="A5704" t="str">
        <f>"20190303170647592"</f>
        <v>20190303170647592</v>
      </c>
      <c r="B5704" t="str">
        <f>"1551604007580116"</f>
        <v>1551604007580116</v>
      </c>
      <c r="C5704" t="s">
        <v>40</v>
      </c>
      <c r="D5704">
        <v>5.828252</v>
      </c>
      <c r="E5704">
        <v>0.40845160000000003</v>
      </c>
      <c r="F5704" t="s">
        <v>86</v>
      </c>
      <c r="G5704">
        <v>-152.50700000000001</v>
      </c>
      <c r="H5704">
        <v>5.0209049999999998E-2</v>
      </c>
      <c r="I5704">
        <v>-22.650010000000002</v>
      </c>
      <c r="J5704">
        <v>-199.5789</v>
      </c>
      <c r="K5704">
        <v>1.133319</v>
      </c>
      <c r="L5704">
        <v>-60.972529999999999</v>
      </c>
      <c r="M5704">
        <v>0.92211189999999998</v>
      </c>
      <c r="N5704">
        <v>-1.5285969999999999E-2</v>
      </c>
      <c r="O5704">
        <v>0.3866214</v>
      </c>
      <c r="P5704">
        <v>0.86299680000000001</v>
      </c>
      <c r="Q5704">
        <v>0.19948250000000001</v>
      </c>
      <c r="R5704">
        <v>0.46415869999999998</v>
      </c>
      <c r="S5704">
        <v>2.4316559999999998</v>
      </c>
      <c r="T5704">
        <v>-5.5751799999999997E-2</v>
      </c>
      <c r="U5704">
        <v>1.976593</v>
      </c>
      <c r="V5704">
        <v>-0.1007581</v>
      </c>
      <c r="W5704">
        <v>0.2114384</v>
      </c>
      <c r="X5704">
        <v>0.97218389999999999</v>
      </c>
      <c r="Y5704">
        <v>-0.28157110000000002</v>
      </c>
      <c r="Z5704">
        <v>3.4157219999999999E-3</v>
      </c>
      <c r="AA5704">
        <v>0.95953429999999995</v>
      </c>
      <c r="AB5704">
        <v>35</v>
      </c>
      <c r="AC5704">
        <v>47.071899999999999</v>
      </c>
      <c r="AD5704">
        <v>-1.0831099500000001</v>
      </c>
      <c r="AE5704">
        <v>38.322519999999997</v>
      </c>
      <c r="AF5704">
        <v>-17.135193513299502</v>
      </c>
      <c r="AG5704">
        <v>-1.0831099500000001</v>
      </c>
      <c r="AH5704">
        <v>58.210130714592701</v>
      </c>
      <c r="AI5704">
        <v>91.022598504961096</v>
      </c>
      <c r="AJ5704">
        <v>106.40273589791801</v>
      </c>
      <c r="AK5704">
        <v>60.689433196496303</v>
      </c>
      <c r="AL5704">
        <v>77.7933400644594</v>
      </c>
      <c r="AM5704">
        <v>95.917065584377795</v>
      </c>
      <c r="AN5704">
        <v>0.99999996356468901</v>
      </c>
    </row>
    <row r="5705" spans="1:40" x14ac:dyDescent="0.25">
      <c r="A5705" t="str">
        <f>"20190303170647608"</f>
        <v>20190303170647608</v>
      </c>
      <c r="B5705" t="str">
        <f>"1551604007600610"</f>
        <v>1551604007600610</v>
      </c>
      <c r="C5705" t="s">
        <v>40</v>
      </c>
      <c r="D5705">
        <v>5.7512249999999998</v>
      </c>
      <c r="E5705">
        <v>0.38976240000000001</v>
      </c>
      <c r="F5705" t="s">
        <v>86</v>
      </c>
      <c r="G5705">
        <v>-157.93819999999999</v>
      </c>
      <c r="H5705">
        <v>0.62042050000000004</v>
      </c>
      <c r="I5705">
        <v>-22.97925</v>
      </c>
      <c r="J5705">
        <v>-199.35759999999999</v>
      </c>
      <c r="K5705">
        <v>1.1334569999999999</v>
      </c>
      <c r="L5705">
        <v>-60.871310000000001</v>
      </c>
      <c r="M5705">
        <v>0.91822579999999998</v>
      </c>
      <c r="N5705">
        <v>-1.53238E-2</v>
      </c>
      <c r="O5705">
        <v>0.39576090000000003</v>
      </c>
      <c r="P5705">
        <v>0.85783039999999999</v>
      </c>
      <c r="Q5705">
        <v>0.19967840000000001</v>
      </c>
      <c r="R5705">
        <v>0.47355639999999999</v>
      </c>
      <c r="S5705">
        <v>2.3363649999999998</v>
      </c>
      <c r="T5705">
        <v>-2.87776E-2</v>
      </c>
      <c r="U5705">
        <v>2.1317140000000001</v>
      </c>
      <c r="V5705">
        <v>-0.1018247</v>
      </c>
      <c r="W5705">
        <v>0.2116024</v>
      </c>
      <c r="X5705">
        <v>0.97203709999999999</v>
      </c>
      <c r="Y5705">
        <v>-0.32653599999999999</v>
      </c>
      <c r="Z5705">
        <v>6.2294159999999998E-3</v>
      </c>
      <c r="AA5705">
        <v>0.94516420000000001</v>
      </c>
      <c r="AB5705">
        <v>35</v>
      </c>
      <c r="AC5705">
        <v>41.419400000000003</v>
      </c>
      <c r="AD5705">
        <v>-0.51303649999999901</v>
      </c>
      <c r="AE5705">
        <v>37.892060000000001</v>
      </c>
      <c r="AF5705">
        <v>-18.401910818528499</v>
      </c>
      <c r="AG5705">
        <v>-0.51303649999999901</v>
      </c>
      <c r="AH5705">
        <v>53.030352051183101</v>
      </c>
      <c r="AI5705">
        <v>90.523654739906405</v>
      </c>
      <c r="AJ5705">
        <v>109.137139325635</v>
      </c>
      <c r="AK5705">
        <v>56.134764334553303</v>
      </c>
      <c r="AL5705">
        <v>77.783726284630902</v>
      </c>
      <c r="AM5705">
        <v>95.980147195363202</v>
      </c>
      <c r="AN5705">
        <v>0.99999998449612904</v>
      </c>
    </row>
    <row r="5706" spans="1:40" x14ac:dyDescent="0.25">
      <c r="A5706" t="str">
        <f>"20190303170647623"</f>
        <v>20190303170647623</v>
      </c>
      <c r="B5706" t="str">
        <f>"1551604007610369"</f>
        <v>1551604007610369</v>
      </c>
      <c r="C5706" t="s">
        <v>40</v>
      </c>
      <c r="D5706">
        <v>5.7548139999999997</v>
      </c>
      <c r="E5706">
        <v>0.38332169999999999</v>
      </c>
      <c r="F5706" t="s">
        <v>86</v>
      </c>
      <c r="G5706">
        <v>-157.3501</v>
      </c>
      <c r="H5706">
        <v>1.6450199999999999</v>
      </c>
      <c r="I5706">
        <v>-17.98029</v>
      </c>
      <c r="J5706">
        <v>-199.17150000000001</v>
      </c>
      <c r="K5706">
        <v>1.1335740000000001</v>
      </c>
      <c r="L5706">
        <v>-60.7842699999999</v>
      </c>
      <c r="M5706">
        <v>0.91483820000000005</v>
      </c>
      <c r="N5706">
        <v>-1.535563E-2</v>
      </c>
      <c r="O5706">
        <v>0.40352850000000001</v>
      </c>
      <c r="P5706">
        <v>0.85305140000000002</v>
      </c>
      <c r="Q5706">
        <v>0.20021369999999999</v>
      </c>
      <c r="R5706">
        <v>0.48188979999999998</v>
      </c>
      <c r="S5706">
        <v>2.232529</v>
      </c>
      <c r="T5706">
        <v>2.7187349999999999E-2</v>
      </c>
      <c r="U5706">
        <v>2.27948</v>
      </c>
      <c r="V5706">
        <v>-0.10319</v>
      </c>
      <c r="W5706">
        <v>0.21209449999999999</v>
      </c>
      <c r="X5706">
        <v>0.97178580000000003</v>
      </c>
      <c r="Y5706">
        <v>-0.37135610000000002</v>
      </c>
      <c r="Z5706">
        <v>1.0839329999999999E-2</v>
      </c>
      <c r="AA5706">
        <v>0.92842729999999996</v>
      </c>
      <c r="AB5706">
        <v>35</v>
      </c>
      <c r="AC5706">
        <v>41.821399999999997</v>
      </c>
      <c r="AD5706">
        <v>0.51144599999999996</v>
      </c>
      <c r="AE5706">
        <v>42.803980000000003</v>
      </c>
      <c r="AF5706">
        <v>-22.283589356158899</v>
      </c>
      <c r="AG5706">
        <v>0.51144599999999996</v>
      </c>
      <c r="AH5706">
        <v>55.534932704532999</v>
      </c>
      <c r="AI5706">
        <v>89.510301630963099</v>
      </c>
      <c r="AJ5706">
        <v>111.863299604755</v>
      </c>
      <c r="AK5706">
        <v>59.841028417815799</v>
      </c>
      <c r="AL5706">
        <v>77.754875741379095</v>
      </c>
      <c r="AM5706">
        <v>96.0612936874887</v>
      </c>
      <c r="AN5706">
        <v>0.99999994705594297</v>
      </c>
    </row>
    <row r="5707" spans="1:40" x14ac:dyDescent="0.25">
      <c r="A5707" t="str">
        <f>"20190303170647637"</f>
        <v>20190303170647637</v>
      </c>
      <c r="B5707" t="str">
        <f>"1551604007630865"</f>
        <v>1551604007630865</v>
      </c>
      <c r="C5707" t="s">
        <v>40</v>
      </c>
      <c r="D5707">
        <v>5.7154569999999998</v>
      </c>
      <c r="E5707">
        <v>0.37265809999999999</v>
      </c>
      <c r="F5707" t="s">
        <v>86</v>
      </c>
      <c r="G5707">
        <v>-157.3501</v>
      </c>
      <c r="H5707">
        <v>2.0431279999999998</v>
      </c>
      <c r="I5707">
        <v>-15.8597</v>
      </c>
      <c r="J5707">
        <v>-198.95050000000001</v>
      </c>
      <c r="K5707">
        <v>1.1337120000000001</v>
      </c>
      <c r="L5707">
        <v>-60.677579999999999</v>
      </c>
      <c r="M5707">
        <v>0.91064579999999995</v>
      </c>
      <c r="N5707">
        <v>-1.539461E-2</v>
      </c>
      <c r="O5707">
        <v>0.41290120000000002</v>
      </c>
      <c r="P5707">
        <v>0.84700640000000005</v>
      </c>
      <c r="Q5707">
        <v>0.20154839999999999</v>
      </c>
      <c r="R5707">
        <v>0.49189270000000002</v>
      </c>
      <c r="S5707">
        <v>2.1817470000000001</v>
      </c>
      <c r="T5707">
        <v>4.744959E-2</v>
      </c>
      <c r="U5707">
        <v>2.3436279999999998</v>
      </c>
      <c r="V5707">
        <v>-0.1048948</v>
      </c>
      <c r="W5707">
        <v>0.21337449999999999</v>
      </c>
      <c r="X5707">
        <v>0.97132300000000005</v>
      </c>
      <c r="Y5707">
        <v>-0.38536520000000002</v>
      </c>
      <c r="Z5707">
        <v>1.257993E-2</v>
      </c>
      <c r="AA5707">
        <v>0.92267840000000001</v>
      </c>
      <c r="AB5707">
        <v>35</v>
      </c>
      <c r="AC5707">
        <v>41.6004</v>
      </c>
      <c r="AD5707">
        <v>0.909415999999999</v>
      </c>
      <c r="AE5707">
        <v>44.817880000000002</v>
      </c>
      <c r="AF5707">
        <v>-23.633931144945599</v>
      </c>
      <c r="AG5707">
        <v>0.909415999999999</v>
      </c>
      <c r="AH5707">
        <v>56.382793653511598</v>
      </c>
      <c r="AI5707">
        <v>89.147768031056202</v>
      </c>
      <c r="AJ5707">
        <v>112.741930719455</v>
      </c>
      <c r="AK5707">
        <v>61.142531506305403</v>
      </c>
      <c r="AL5707">
        <v>77.679819543716206</v>
      </c>
      <c r="AM5707">
        <v>96.1635810864869</v>
      </c>
      <c r="AN5707">
        <v>0.99999998332314399</v>
      </c>
    </row>
    <row r="5708" spans="1:40" x14ac:dyDescent="0.25">
      <c r="A5708" t="str">
        <f>"20190303170647649"</f>
        <v>20190303170647649</v>
      </c>
      <c r="B5708" t="str">
        <f>"1551604007640625"</f>
        <v>1551604007640625</v>
      </c>
      <c r="C5708" t="s">
        <v>40</v>
      </c>
      <c r="D5708">
        <v>5.6899439999999997</v>
      </c>
      <c r="E5708">
        <v>0.36943819999999999</v>
      </c>
      <c r="F5708" t="s">
        <v>86</v>
      </c>
      <c r="G5708">
        <v>-157.3501</v>
      </c>
      <c r="H5708">
        <v>2.8946049999999999</v>
      </c>
      <c r="I5708">
        <v>-12.515689999999999</v>
      </c>
      <c r="J5708">
        <v>-198.79060000000001</v>
      </c>
      <c r="K5708">
        <v>1.133812</v>
      </c>
      <c r="L5708">
        <v>-60.598750000000003</v>
      </c>
      <c r="M5708">
        <v>0.90750989999999998</v>
      </c>
      <c r="N5708">
        <v>-1.5422409999999999E-2</v>
      </c>
      <c r="O5708">
        <v>0.4197476</v>
      </c>
      <c r="P5708">
        <v>0.84273929999999997</v>
      </c>
      <c r="Q5708">
        <v>0.20199719999999999</v>
      </c>
      <c r="R5708">
        <v>0.49898690000000001</v>
      </c>
      <c r="S5708">
        <v>2.1052399999999998</v>
      </c>
      <c r="T5708">
        <v>8.9111800000000005E-2</v>
      </c>
      <c r="U5708">
        <v>2.4372859999999998</v>
      </c>
      <c r="V5708">
        <v>-0.1058491</v>
      </c>
      <c r="W5708">
        <v>0.2137937</v>
      </c>
      <c r="X5708">
        <v>0.97112730000000003</v>
      </c>
      <c r="Y5708">
        <v>-0.41267340000000002</v>
      </c>
      <c r="Z5708">
        <v>1.568423E-2</v>
      </c>
      <c r="AA5708">
        <v>0.910744</v>
      </c>
      <c r="AB5708">
        <v>35</v>
      </c>
      <c r="AC5708">
        <v>41.4405</v>
      </c>
      <c r="AD5708">
        <v>1.7607929999999901</v>
      </c>
      <c r="AE5708">
        <v>48.083059999999897</v>
      </c>
      <c r="AF5708">
        <v>-26.2242437592184</v>
      </c>
      <c r="AG5708">
        <v>1.7607929999999901</v>
      </c>
      <c r="AH5708">
        <v>57.752844986750603</v>
      </c>
      <c r="AI5708">
        <v>88.409847103076402</v>
      </c>
      <c r="AJ5708">
        <v>114.421710606722</v>
      </c>
      <c r="AK5708">
        <v>63.4523636817053</v>
      </c>
      <c r="AL5708">
        <v>77.655234106786907</v>
      </c>
      <c r="AM5708">
        <v>96.220461417678806</v>
      </c>
      <c r="AN5708">
        <v>1.0000000054678899</v>
      </c>
    </row>
    <row r="5709" spans="1:40" x14ac:dyDescent="0.25">
      <c r="A5709" t="str">
        <f>"20190303170647662"</f>
        <v>20190303170647662</v>
      </c>
      <c r="B5709" t="str">
        <f>"1551604007650386"</f>
        <v>1551604007650386</v>
      </c>
      <c r="C5709" t="s">
        <v>40</v>
      </c>
      <c r="D5709">
        <v>5.6794419999999999</v>
      </c>
      <c r="E5709">
        <v>0.36705510000000002</v>
      </c>
      <c r="F5709" t="s">
        <v>86</v>
      </c>
      <c r="G5709">
        <v>-157.3501</v>
      </c>
      <c r="H5709">
        <v>3.1790669999999999</v>
      </c>
      <c r="I5709">
        <v>-11.025080000000001</v>
      </c>
      <c r="J5709">
        <v>-198.6129</v>
      </c>
      <c r="K5709">
        <v>1.1339159999999999</v>
      </c>
      <c r="L5709">
        <v>-60.509920000000001</v>
      </c>
      <c r="M5709">
        <v>0.90393299999999999</v>
      </c>
      <c r="N5709">
        <v>-1.5452479999999999E-2</v>
      </c>
      <c r="O5709">
        <v>0.42739500000000002</v>
      </c>
      <c r="P5709">
        <v>0.83814200000000005</v>
      </c>
      <c r="Q5709">
        <v>0.20213999999999999</v>
      </c>
      <c r="R5709">
        <v>0.5066136</v>
      </c>
      <c r="S5709">
        <v>2.0694889999999999</v>
      </c>
      <c r="T5709">
        <v>0.1021373</v>
      </c>
      <c r="U5709">
        <v>2.4756469999999999</v>
      </c>
      <c r="V5709">
        <v>-0.1065408</v>
      </c>
      <c r="W5709">
        <v>0.21391569999999999</v>
      </c>
      <c r="X5709">
        <v>0.97102480000000002</v>
      </c>
      <c r="Y5709">
        <v>-0.41971799999999998</v>
      </c>
      <c r="Z5709">
        <v>1.6906250000000001E-2</v>
      </c>
      <c r="AA5709">
        <v>0.90749709999999995</v>
      </c>
      <c r="AB5709">
        <v>35</v>
      </c>
      <c r="AC5709">
        <v>41.262799999999999</v>
      </c>
      <c r="AD5709">
        <v>2.0451510000000002</v>
      </c>
      <c r="AE5709">
        <v>49.484839999999899</v>
      </c>
      <c r="AF5709">
        <v>-27.071423785928999</v>
      </c>
      <c r="AG5709">
        <v>2.0451510000000002</v>
      </c>
      <c r="AH5709">
        <v>58.396518801540999</v>
      </c>
      <c r="AI5709">
        <v>88.180116228744794</v>
      </c>
      <c r="AJ5709">
        <v>114.87146804412301</v>
      </c>
      <c r="AK5709">
        <v>64.398742507512495</v>
      </c>
      <c r="AL5709">
        <v>77.648078605513504</v>
      </c>
      <c r="AM5709">
        <v>96.261444592989804</v>
      </c>
      <c r="AN5709">
        <v>1.0000000154930799</v>
      </c>
    </row>
    <row r="5710" spans="1:40" x14ac:dyDescent="0.25">
      <c r="A5710" t="str">
        <f>"20190303170647672"</f>
        <v>20190303170647672</v>
      </c>
      <c r="B5710" t="str">
        <f>"1551604007660146"</f>
        <v>1551604007660146</v>
      </c>
      <c r="C5710" t="s">
        <v>40</v>
      </c>
      <c r="D5710">
        <v>5.6566830000000001</v>
      </c>
      <c r="E5710">
        <v>0.36547420000000003</v>
      </c>
      <c r="F5710" t="s">
        <v>86</v>
      </c>
      <c r="G5710">
        <v>-166.00790000000001</v>
      </c>
      <c r="H5710">
        <v>2.911197</v>
      </c>
      <c r="I5710">
        <v>-20.31495</v>
      </c>
      <c r="J5710">
        <v>-198.48320000000001</v>
      </c>
      <c r="K5710">
        <v>1.133993</v>
      </c>
      <c r="L5710">
        <v>-60.442929999999997</v>
      </c>
      <c r="M5710">
        <v>0.90122930000000001</v>
      </c>
      <c r="N5710">
        <v>-1.5474999999999999E-2</v>
      </c>
      <c r="O5710">
        <v>0.43306610000000001</v>
      </c>
      <c r="P5710">
        <v>0.83468399999999998</v>
      </c>
      <c r="Q5710">
        <v>0.20171620000000001</v>
      </c>
      <c r="R5710">
        <v>0.51245819999999997</v>
      </c>
      <c r="S5710">
        <v>2.0356749999999999</v>
      </c>
      <c r="T5710">
        <v>0.11096350000000001</v>
      </c>
      <c r="U5710">
        <v>2.5095519999999998</v>
      </c>
      <c r="V5710">
        <v>-0.1072097</v>
      </c>
      <c r="W5710">
        <v>0.21347459999999999</v>
      </c>
      <c r="X5710">
        <v>0.97104820000000003</v>
      </c>
      <c r="Y5710">
        <v>-0.42741570000000001</v>
      </c>
      <c r="Z5710">
        <v>1.77507999999999E-2</v>
      </c>
      <c r="AA5710">
        <v>0.90388089999999999</v>
      </c>
      <c r="AB5710">
        <v>35</v>
      </c>
      <c r="AC5710">
        <v>32.475299999999997</v>
      </c>
      <c r="AD5710">
        <v>1.777204</v>
      </c>
      <c r="AE5710">
        <v>40.127980000000001</v>
      </c>
      <c r="AF5710">
        <v>-22.077041015608501</v>
      </c>
      <c r="AG5710">
        <v>1.777204</v>
      </c>
      <c r="AH5710">
        <v>46.596120582954498</v>
      </c>
      <c r="AI5710">
        <v>88.025932520917706</v>
      </c>
      <c r="AJ5710">
        <v>115.351392408693</v>
      </c>
      <c r="AK5710">
        <v>51.592176223180502</v>
      </c>
      <c r="AL5710">
        <v>77.673948754550693</v>
      </c>
      <c r="AM5710">
        <v>96.300290340259707</v>
      </c>
      <c r="AN5710">
        <v>0.99999996567124405</v>
      </c>
    </row>
    <row r="5711" spans="1:40" x14ac:dyDescent="0.25">
      <c r="A5711" t="str">
        <f>"20190303170647680"</f>
        <v>20190303170647680</v>
      </c>
      <c r="B5711" t="str">
        <f>"1551604007670882"</f>
        <v>1551604007670882</v>
      </c>
      <c r="C5711" t="s">
        <v>40</v>
      </c>
      <c r="D5711">
        <v>5.6621889999999997</v>
      </c>
      <c r="E5711">
        <v>0.36419960000000001</v>
      </c>
      <c r="F5711" t="s">
        <v>86</v>
      </c>
      <c r="G5711">
        <v>-166.6344</v>
      </c>
      <c r="H5711">
        <v>2.9526680000000001</v>
      </c>
      <c r="I5711">
        <v>-20.31495</v>
      </c>
      <c r="J5711">
        <v>-198.36510000000001</v>
      </c>
      <c r="K5711">
        <v>1.134056</v>
      </c>
      <c r="L5711">
        <v>-60.381900000000002</v>
      </c>
      <c r="M5711">
        <v>0.89873599999999998</v>
      </c>
      <c r="N5711">
        <v>-1.5494549999999999E-2</v>
      </c>
      <c r="O5711">
        <v>0.4382161</v>
      </c>
      <c r="P5711">
        <v>0.83157209999999904</v>
      </c>
      <c r="Q5711">
        <v>0.20073769999999999</v>
      </c>
      <c r="R5711">
        <v>0.51787289999999997</v>
      </c>
      <c r="S5711">
        <v>2.0108950000000001</v>
      </c>
      <c r="T5711">
        <v>0.11482870000000001</v>
      </c>
      <c r="U5711">
        <v>2.53363</v>
      </c>
      <c r="V5711">
        <v>-0.10786850000000001</v>
      </c>
      <c r="W5711">
        <v>0.21247849999999999</v>
      </c>
      <c r="X5711">
        <v>0.97119370000000005</v>
      </c>
      <c r="Y5711">
        <v>-0.43186550000000001</v>
      </c>
      <c r="Z5711">
        <v>1.8257599999999999E-2</v>
      </c>
      <c r="AA5711">
        <v>0.90175320000000003</v>
      </c>
      <c r="AB5711">
        <v>35</v>
      </c>
      <c r="AC5711">
        <v>31.730699999999999</v>
      </c>
      <c r="AD5711">
        <v>1.8186119999999999</v>
      </c>
      <c r="AE5711">
        <v>40.066949999999999</v>
      </c>
      <c r="AF5711">
        <v>-22.079407473223998</v>
      </c>
      <c r="AG5711">
        <v>1.8186119999999999</v>
      </c>
      <c r="AH5711">
        <v>46.0227705871499</v>
      </c>
      <c r="AI5711">
        <v>87.959552043771396</v>
      </c>
      <c r="AJ5711">
        <v>115.629346074369</v>
      </c>
      <c r="AK5711">
        <v>51.077421592056098</v>
      </c>
      <c r="AL5711">
        <v>77.732361211020205</v>
      </c>
      <c r="AM5711">
        <v>96.337749332511294</v>
      </c>
      <c r="AN5711">
        <v>0.99999996458709395</v>
      </c>
    </row>
    <row r="5712" spans="1:40" x14ac:dyDescent="0.25">
      <c r="A5712" t="str">
        <f>"20190303170647693"</f>
        <v>20190303170647693</v>
      </c>
      <c r="B5712" t="str">
        <f>"1551604007680642"</f>
        <v>1551604007680642</v>
      </c>
      <c r="C5712" t="s">
        <v>40</v>
      </c>
      <c r="D5712">
        <v>5.6294029999999999</v>
      </c>
      <c r="E5712">
        <v>0.36331000000000002</v>
      </c>
      <c r="F5712" t="s">
        <v>86</v>
      </c>
      <c r="G5712">
        <v>-167.17250000000001</v>
      </c>
      <c r="H5712">
        <v>2.9497179999999998</v>
      </c>
      <c r="I5712">
        <v>-20.31495</v>
      </c>
      <c r="J5712">
        <v>-198.20949999999999</v>
      </c>
      <c r="K5712">
        <v>1.1341330000000001</v>
      </c>
      <c r="L5712">
        <v>-60.299320000000002</v>
      </c>
      <c r="M5712">
        <v>0.89535339999999997</v>
      </c>
      <c r="N5712">
        <v>-1.552047E-2</v>
      </c>
      <c r="O5712">
        <v>0.44508589999999998</v>
      </c>
      <c r="P5712">
        <v>0.82733140000000005</v>
      </c>
      <c r="Q5712">
        <v>0.1993461</v>
      </c>
      <c r="R5712">
        <v>0.52515140000000005</v>
      </c>
      <c r="S5712">
        <v>1.988785</v>
      </c>
      <c r="T5712">
        <v>0.1157632</v>
      </c>
      <c r="U5712">
        <v>2.5545960000000001</v>
      </c>
      <c r="V5712">
        <v>-0.1088084</v>
      </c>
      <c r="W5712">
        <v>0.21106320000000001</v>
      </c>
      <c r="X5712">
        <v>0.97139750000000002</v>
      </c>
      <c r="Y5712">
        <v>-0.433419</v>
      </c>
      <c r="Z5712">
        <v>1.8685670000000001E-2</v>
      </c>
      <c r="AA5712">
        <v>0.90099879999999999</v>
      </c>
      <c r="AB5712">
        <v>35</v>
      </c>
      <c r="AC5712">
        <v>31.0369999999999</v>
      </c>
      <c r="AD5712">
        <v>1.815585</v>
      </c>
      <c r="AE5712">
        <v>39.984369999999998</v>
      </c>
      <c r="AF5712">
        <v>-21.9604040395247</v>
      </c>
      <c r="AG5712">
        <v>1.815585</v>
      </c>
      <c r="AH5712">
        <v>45.532470517996799</v>
      </c>
      <c r="AI5712">
        <v>87.943079055050504</v>
      </c>
      <c r="AJ5712">
        <v>115.748108765366</v>
      </c>
      <c r="AK5712">
        <v>50.584202731125899</v>
      </c>
      <c r="AL5712">
        <v>77.815334529978898</v>
      </c>
      <c r="AM5712">
        <v>96.391187348913803</v>
      </c>
      <c r="AN5712">
        <v>1.0000000226555199</v>
      </c>
    </row>
    <row r="5713" spans="1:40" x14ac:dyDescent="0.25">
      <c r="A5713" t="str">
        <f>"20190303170647704"</f>
        <v>20190303170647704</v>
      </c>
      <c r="B5713" t="str">
        <f>"1551604007700161"</f>
        <v>1551604007700161</v>
      </c>
      <c r="C5713" t="s">
        <v>40</v>
      </c>
      <c r="D5713">
        <v>5.6433220000000004</v>
      </c>
      <c r="E5713">
        <v>0.36211330000000003</v>
      </c>
      <c r="F5713" t="s">
        <v>86</v>
      </c>
      <c r="G5713">
        <v>-167.75790000000001</v>
      </c>
      <c r="H5713">
        <v>2.893418</v>
      </c>
      <c r="I5713">
        <v>-20.31495</v>
      </c>
      <c r="J5713">
        <v>-198.0582</v>
      </c>
      <c r="K5713">
        <v>1.134201</v>
      </c>
      <c r="L5713">
        <v>-60.218319999999999</v>
      </c>
      <c r="M5713">
        <v>0.89199660000000003</v>
      </c>
      <c r="N5713">
        <v>-1.5544570000000001E-2</v>
      </c>
      <c r="O5713">
        <v>0.45177479999999998</v>
      </c>
      <c r="P5713">
        <v>0.82301000000000002</v>
      </c>
      <c r="Q5713">
        <v>0.19843569999999999</v>
      </c>
      <c r="R5713">
        <v>0.53223849999999995</v>
      </c>
      <c r="S5713">
        <v>1.962845</v>
      </c>
      <c r="T5713">
        <v>0.1133994</v>
      </c>
      <c r="U5713">
        <v>2.5773009999999998</v>
      </c>
      <c r="V5713">
        <v>-0.1097987</v>
      </c>
      <c r="W5713">
        <v>0.2101248</v>
      </c>
      <c r="X5713">
        <v>0.97148950000000001</v>
      </c>
      <c r="Y5713">
        <v>-0.43624259999999898</v>
      </c>
      <c r="Z5713">
        <v>1.8844280000000001E-2</v>
      </c>
      <c r="AA5713">
        <v>0.89963169999999903</v>
      </c>
      <c r="AB5713">
        <v>35</v>
      </c>
      <c r="AC5713">
        <v>30.3003</v>
      </c>
      <c r="AD5713">
        <v>1.75921699999999</v>
      </c>
      <c r="AE5713">
        <v>39.903370000000002</v>
      </c>
      <c r="AF5713">
        <v>-21.880430386707001</v>
      </c>
      <c r="AG5713">
        <v>1.75921699999999</v>
      </c>
      <c r="AH5713">
        <v>45.005062181551203</v>
      </c>
      <c r="AI5713">
        <v>87.986609759598693</v>
      </c>
      <c r="AJ5713">
        <v>115.927959407424</v>
      </c>
      <c r="AK5713">
        <v>50.072983737000499</v>
      </c>
      <c r="AL5713">
        <v>77.870334272277702</v>
      </c>
      <c r="AM5713">
        <v>96.448262180826603</v>
      </c>
      <c r="AN5713">
        <v>1.00000001735348</v>
      </c>
    </row>
    <row r="5714" spans="1:40" x14ac:dyDescent="0.25">
      <c r="A5714" t="str">
        <f>"20190303170647716"</f>
        <v>20190303170647716</v>
      </c>
      <c r="B5714" t="str">
        <f>"1551604007710898"</f>
        <v>1551604007710898</v>
      </c>
      <c r="C5714" t="s">
        <v>40</v>
      </c>
      <c r="D5714">
        <v>5.5912169999999897</v>
      </c>
      <c r="E5714">
        <v>0.36170730000000001</v>
      </c>
      <c r="F5714" t="s">
        <v>86</v>
      </c>
      <c r="G5714">
        <v>-168.36349999999999</v>
      </c>
      <c r="H5714">
        <v>2.8761749999999999</v>
      </c>
      <c r="I5714">
        <v>-20.31495</v>
      </c>
      <c r="J5714">
        <v>-197.88900000000001</v>
      </c>
      <c r="K5714">
        <v>1.134277</v>
      </c>
      <c r="L5714">
        <v>-60.125059999999998</v>
      </c>
      <c r="M5714">
        <v>0.88812349999999995</v>
      </c>
      <c r="N5714">
        <v>-1.557089E-2</v>
      </c>
      <c r="O5714">
        <v>0.459341</v>
      </c>
      <c r="P5714">
        <v>0.81812339999999995</v>
      </c>
      <c r="Q5714">
        <v>0.19752149999999999</v>
      </c>
      <c r="R5714">
        <v>0.54005499999999995</v>
      </c>
      <c r="S5714">
        <v>1.935654</v>
      </c>
      <c r="T5714">
        <v>0.1135507</v>
      </c>
      <c r="U5714">
        <v>2.601105</v>
      </c>
      <c r="V5714">
        <v>-0.1107099</v>
      </c>
      <c r="W5714">
        <v>0.20918680000000001</v>
      </c>
      <c r="X5714">
        <v>0.97158849999999997</v>
      </c>
      <c r="Y5714">
        <v>-0.43860139999999997</v>
      </c>
      <c r="Z5714">
        <v>1.924201E-2</v>
      </c>
      <c r="AA5714">
        <v>0.89847569999999999</v>
      </c>
      <c r="AB5714">
        <v>35</v>
      </c>
      <c r="AC5714">
        <v>29.525500000000001</v>
      </c>
      <c r="AD5714">
        <v>1.7418979999999999</v>
      </c>
      <c r="AE5714">
        <v>39.810110000000002</v>
      </c>
      <c r="AF5714">
        <v>-21.769776078969301</v>
      </c>
      <c r="AG5714">
        <v>1.7418979999999999</v>
      </c>
      <c r="AH5714">
        <v>44.459191007542202</v>
      </c>
      <c r="AI5714">
        <v>87.984721568212194</v>
      </c>
      <c r="AJ5714">
        <v>116.08902724369599</v>
      </c>
      <c r="AK5714">
        <v>49.533594905033802</v>
      </c>
      <c r="AL5714">
        <v>77.925299163056806</v>
      </c>
      <c r="AM5714">
        <v>96.500662097909895</v>
      </c>
      <c r="AN5714">
        <v>1.0000000062922401</v>
      </c>
    </row>
    <row r="5715" spans="1:40" x14ac:dyDescent="0.25">
      <c r="A5715" t="str">
        <f>"20190303170647727"</f>
        <v>20190303170647727</v>
      </c>
      <c r="B5715" t="str">
        <f>"1551604007720657"</f>
        <v>1551604007720657</v>
      </c>
      <c r="C5715" t="s">
        <v>40</v>
      </c>
      <c r="D5715">
        <v>5.5780560000000001</v>
      </c>
      <c r="E5715">
        <v>0.36147279999999998</v>
      </c>
      <c r="F5715" t="s">
        <v>86</v>
      </c>
      <c r="G5715">
        <v>-168.45050000000001</v>
      </c>
      <c r="H5715">
        <v>2.8381729999999998</v>
      </c>
      <c r="I5715">
        <v>-19.716170000000002</v>
      </c>
      <c r="J5715">
        <v>-197.74719999999999</v>
      </c>
      <c r="K5715">
        <v>1.134342</v>
      </c>
      <c r="L5715">
        <v>-60.045839999999998</v>
      </c>
      <c r="M5715">
        <v>0.88480449999999999</v>
      </c>
      <c r="N5715">
        <v>-1.5591819999999999E-2</v>
      </c>
      <c r="O5715">
        <v>0.46570149999999999</v>
      </c>
      <c r="P5715">
        <v>0.81379499999999905</v>
      </c>
      <c r="Q5715">
        <v>0.19728979999999999</v>
      </c>
      <c r="R5715">
        <v>0.54663919999999999</v>
      </c>
      <c r="S5715">
        <v>1.909775</v>
      </c>
      <c r="T5715">
        <v>0.1105373</v>
      </c>
      <c r="U5715">
        <v>2.6214599999999999</v>
      </c>
      <c r="V5715">
        <v>-0.111582</v>
      </c>
      <c r="W5715">
        <v>0.2089298</v>
      </c>
      <c r="X5715">
        <v>0.97154399999999996</v>
      </c>
      <c r="Y5715">
        <v>-0.44126609999999999</v>
      </c>
      <c r="Z5715">
        <v>1.9321720000000001E-2</v>
      </c>
      <c r="AA5715">
        <v>0.89716830000000003</v>
      </c>
      <c r="AB5715">
        <v>35</v>
      </c>
      <c r="AC5715">
        <v>29.296699999999898</v>
      </c>
      <c r="AD5715">
        <v>1.7038310000000001</v>
      </c>
      <c r="AE5715">
        <v>40.32967</v>
      </c>
      <c r="AF5715">
        <v>-22.017312493118599</v>
      </c>
      <c r="AG5715">
        <v>1.7038310000000001</v>
      </c>
      <c r="AH5715">
        <v>44.656700985622599</v>
      </c>
      <c r="AI5715">
        <v>88.040059297854597</v>
      </c>
      <c r="AJ5715">
        <v>116.244906295755</v>
      </c>
      <c r="AK5715">
        <v>49.818531014227098</v>
      </c>
      <c r="AL5715">
        <v>77.940356511248297</v>
      </c>
      <c r="AM5715">
        <v>96.551724054437102</v>
      </c>
      <c r="AN5715">
        <v>0.99999997399401896</v>
      </c>
    </row>
    <row r="5716" spans="1:40" x14ac:dyDescent="0.25">
      <c r="A5716" t="str">
        <f>"20190303170647737"</f>
        <v>20190303170647737</v>
      </c>
      <c r="B5716" t="str">
        <f>"1551604007730417"</f>
        <v>1551604007730417</v>
      </c>
      <c r="C5716" t="s">
        <v>40</v>
      </c>
      <c r="D5716">
        <v>5.4306580000000002</v>
      </c>
      <c r="E5716">
        <v>0.36053740000000001</v>
      </c>
      <c r="F5716" t="s">
        <v>86</v>
      </c>
      <c r="G5716">
        <v>-168.45050000000001</v>
      </c>
      <c r="H5716">
        <v>2.8141310000000002</v>
      </c>
      <c r="I5716">
        <v>-19.119150000000001</v>
      </c>
      <c r="J5716">
        <v>-197.60599999999999</v>
      </c>
      <c r="K5716">
        <v>1.1344000000000001</v>
      </c>
      <c r="L5716">
        <v>-59.965479999999999</v>
      </c>
      <c r="M5716">
        <v>0.88142310000000001</v>
      </c>
      <c r="N5716">
        <v>-1.561182E-2</v>
      </c>
      <c r="O5716">
        <v>0.47206939999999997</v>
      </c>
      <c r="P5716">
        <v>0.80939949999999905</v>
      </c>
      <c r="Q5716">
        <v>0.19749639999999999</v>
      </c>
      <c r="R5716">
        <v>0.55305280000000001</v>
      </c>
      <c r="S5716">
        <v>1.88826</v>
      </c>
      <c r="T5716">
        <v>0.1082673</v>
      </c>
      <c r="U5716">
        <v>2.637848</v>
      </c>
      <c r="V5716">
        <v>-0.11231869999999999</v>
      </c>
      <c r="W5716">
        <v>0.20911399999999999</v>
      </c>
      <c r="X5716">
        <v>0.97141949999999999</v>
      </c>
      <c r="Y5716">
        <v>-0.44227169999999999</v>
      </c>
      <c r="Z5716">
        <v>1.946821E-2</v>
      </c>
      <c r="AA5716">
        <v>0.89666979999999996</v>
      </c>
      <c r="AB5716">
        <v>34</v>
      </c>
      <c r="AC5716">
        <v>29.1554999999999</v>
      </c>
      <c r="AD5716">
        <v>1.6797310000000001</v>
      </c>
      <c r="AE5716">
        <v>40.846330000000002</v>
      </c>
      <c r="AF5716">
        <v>-22.2173003514892</v>
      </c>
      <c r="AG5716">
        <v>1.6797310000000001</v>
      </c>
      <c r="AH5716">
        <v>44.935775237166602</v>
      </c>
      <c r="AI5716">
        <v>88.080809230697199</v>
      </c>
      <c r="AJ5716">
        <v>116.30887053072</v>
      </c>
      <c r="AK5716">
        <v>50.156293994929499</v>
      </c>
      <c r="AL5716">
        <v>77.929564558136704</v>
      </c>
      <c r="AM5716">
        <v>96.595438583876302</v>
      </c>
      <c r="AN5716">
        <v>1.0000000001729601</v>
      </c>
    </row>
    <row r="5717" spans="1:40" x14ac:dyDescent="0.25">
      <c r="A5717" t="str">
        <f>"20190303170647748"</f>
        <v>20190303170647748</v>
      </c>
      <c r="B5717" t="str">
        <f>"1551604007740177"</f>
        <v>1551604007740177</v>
      </c>
      <c r="C5717" t="s">
        <v>40</v>
      </c>
      <c r="D5717">
        <v>5.4777589999999998</v>
      </c>
      <c r="E5717">
        <v>0.35991269999999997</v>
      </c>
      <c r="F5717" t="s">
        <v>86</v>
      </c>
      <c r="G5717">
        <v>-168.45050000000001</v>
      </c>
      <c r="H5717">
        <v>2.9228960000000002</v>
      </c>
      <c r="I5717">
        <v>-18.378640000000001</v>
      </c>
      <c r="J5717">
        <v>-197.46979999999999</v>
      </c>
      <c r="K5717">
        <v>1.1344590000000001</v>
      </c>
      <c r="L5717">
        <v>-59.886659999999999</v>
      </c>
      <c r="M5717">
        <v>0.87809219999999899</v>
      </c>
      <c r="N5717">
        <v>-1.563003E-2</v>
      </c>
      <c r="O5717">
        <v>0.4782362</v>
      </c>
      <c r="P5717">
        <v>0.80485050000000002</v>
      </c>
      <c r="Q5717">
        <v>0.19821910000000001</v>
      </c>
      <c r="R5717">
        <v>0.55939689999999997</v>
      </c>
      <c r="S5717">
        <v>1.8629150000000001</v>
      </c>
      <c r="T5717">
        <v>0.1142774</v>
      </c>
      <c r="U5717">
        <v>2.6572269999999998</v>
      </c>
      <c r="V5717">
        <v>-0.1132835</v>
      </c>
      <c r="W5717">
        <v>0.2098045</v>
      </c>
      <c r="X5717">
        <v>0.97115850000000004</v>
      </c>
      <c r="Y5717">
        <v>-0.44481310000000002</v>
      </c>
      <c r="Z5717">
        <v>2.0272990000000001E-2</v>
      </c>
      <c r="AA5717">
        <v>0.89539400000000002</v>
      </c>
      <c r="AB5717">
        <v>34</v>
      </c>
      <c r="AC5717">
        <v>29.019299999999902</v>
      </c>
      <c r="AD5717">
        <v>1.7884369999999901</v>
      </c>
      <c r="AE5717">
        <v>41.508020000000002</v>
      </c>
      <c r="AF5717">
        <v>-22.544433305979801</v>
      </c>
      <c r="AG5717">
        <v>1.7884369999999901</v>
      </c>
      <c r="AH5717">
        <v>45.281331200868799</v>
      </c>
      <c r="AI5717">
        <v>87.975070385502207</v>
      </c>
      <c r="AJ5717">
        <v>116.46755598512701</v>
      </c>
      <c r="AK5717">
        <v>50.614710661165702</v>
      </c>
      <c r="AL5717">
        <v>77.889103762112597</v>
      </c>
      <c r="AM5717">
        <v>96.653358434951599</v>
      </c>
      <c r="AN5717">
        <v>0.999999955857374</v>
      </c>
    </row>
    <row r="5718" spans="1:40" x14ac:dyDescent="0.25">
      <c r="A5718" t="str">
        <f>"20190303170647759"</f>
        <v>20190303170647759</v>
      </c>
      <c r="B5718" t="str">
        <f>"1551604007750914"</f>
        <v>1551604007750914</v>
      </c>
      <c r="C5718" t="s">
        <v>40</v>
      </c>
      <c r="D5718">
        <v>5.4502259999999998</v>
      </c>
      <c r="E5718">
        <v>0.35936950000000001</v>
      </c>
      <c r="F5718" t="s">
        <v>86</v>
      </c>
      <c r="G5718">
        <v>-168.45050000000001</v>
      </c>
      <c r="H5718">
        <v>3.0297800000000001</v>
      </c>
      <c r="I5718">
        <v>-17.671679999999999</v>
      </c>
      <c r="J5718">
        <v>-197.32320000000001</v>
      </c>
      <c r="K5718">
        <v>1.1345149999999999</v>
      </c>
      <c r="L5718">
        <v>-59.800539999999998</v>
      </c>
      <c r="M5718">
        <v>0.87443019999999905</v>
      </c>
      <c r="N5718">
        <v>-1.5648570000000001E-2</v>
      </c>
      <c r="O5718">
        <v>0.48489900000000002</v>
      </c>
      <c r="P5718">
        <v>0.80007589999999995</v>
      </c>
      <c r="Q5718">
        <v>0.19897709999999999</v>
      </c>
      <c r="R5718">
        <v>0.56593890000000002</v>
      </c>
      <c r="S5718">
        <v>1.83873</v>
      </c>
      <c r="T5718">
        <v>0.1200917</v>
      </c>
      <c r="U5718">
        <v>2.6748349999999999</v>
      </c>
      <c r="V5718">
        <v>-0.11396149999999999</v>
      </c>
      <c r="W5718">
        <v>0.2105407</v>
      </c>
      <c r="X5718">
        <v>0.9709198</v>
      </c>
      <c r="Y5718">
        <v>-0.44627309999999998</v>
      </c>
      <c r="Z5718">
        <v>2.112311E-2</v>
      </c>
      <c r="AA5718">
        <v>0.89464750000000004</v>
      </c>
      <c r="AB5718">
        <v>34</v>
      </c>
      <c r="AC5718">
        <v>28.872699999999998</v>
      </c>
      <c r="AD5718">
        <v>1.895265</v>
      </c>
      <c r="AE5718">
        <v>42.128859999999897</v>
      </c>
      <c r="AF5718">
        <v>-22.809789392738399</v>
      </c>
      <c r="AG5718">
        <v>1.895265</v>
      </c>
      <c r="AH5718">
        <v>45.618175230363299</v>
      </c>
      <c r="AI5718">
        <v>87.871874640935104</v>
      </c>
      <c r="AJ5718">
        <v>116.565756310846</v>
      </c>
      <c r="AK5718">
        <v>51.038186026831298</v>
      </c>
      <c r="AL5718">
        <v>77.845958665635806</v>
      </c>
      <c r="AM5718">
        <v>96.694448990539598</v>
      </c>
      <c r="AN5718">
        <v>0.999999933935387</v>
      </c>
    </row>
    <row r="5719" spans="1:40" x14ac:dyDescent="0.25">
      <c r="A5719" t="str">
        <f>"20190303170647770"</f>
        <v>20190303170647770</v>
      </c>
      <c r="B5719" t="str">
        <f>"1551604007760673"</f>
        <v>1551604007760673</v>
      </c>
      <c r="C5719" t="s">
        <v>40</v>
      </c>
      <c r="D5719">
        <v>5.4399649999999999</v>
      </c>
      <c r="E5719">
        <v>0.35905930000000003</v>
      </c>
      <c r="F5719" t="s">
        <v>86</v>
      </c>
      <c r="G5719">
        <v>-157.3501</v>
      </c>
      <c r="H5719">
        <v>3.9020809999999999</v>
      </c>
      <c r="I5719">
        <v>-0.46335549999999998</v>
      </c>
      <c r="J5719">
        <v>-197.18100000000001</v>
      </c>
      <c r="K5719">
        <v>1.1345749999999999</v>
      </c>
      <c r="L5719">
        <v>-59.715179999999997</v>
      </c>
      <c r="M5719">
        <v>0.87079569999999995</v>
      </c>
      <c r="N5719">
        <v>-1.566534E-2</v>
      </c>
      <c r="O5719">
        <v>0.49139539999999998</v>
      </c>
      <c r="P5719">
        <v>0.7953865</v>
      </c>
      <c r="Q5719">
        <v>0.1998373</v>
      </c>
      <c r="R5719">
        <v>0.57221109999999997</v>
      </c>
      <c r="S5719">
        <v>1.813858</v>
      </c>
      <c r="T5719">
        <v>0.12558339999999901</v>
      </c>
      <c r="U5719">
        <v>2.6925349999999999</v>
      </c>
      <c r="V5719">
        <v>-0.1145273</v>
      </c>
      <c r="W5719">
        <v>0.2113825</v>
      </c>
      <c r="X5719">
        <v>0.97067029999999999</v>
      </c>
      <c r="Y5719">
        <v>-0.44803999999999999</v>
      </c>
      <c r="Z5719">
        <v>2.1955140000000001E-2</v>
      </c>
      <c r="AA5719">
        <v>0.89374390000000004</v>
      </c>
      <c r="AB5719">
        <v>34</v>
      </c>
      <c r="AC5719">
        <v>39.8308999999999</v>
      </c>
      <c r="AD5719">
        <v>2.767506</v>
      </c>
      <c r="AE5719">
        <v>59.251824499999998</v>
      </c>
      <c r="AF5719">
        <v>-31.979391401520999</v>
      </c>
      <c r="AG5719">
        <v>2.767506</v>
      </c>
      <c r="AH5719">
        <v>63.712746795984202</v>
      </c>
      <c r="AI5719">
        <v>87.776812822328495</v>
      </c>
      <c r="AJ5719">
        <v>116.65348518974299</v>
      </c>
      <c r="AK5719">
        <v>71.341815705523601</v>
      </c>
      <c r="AL5719">
        <v>77.796616766497195</v>
      </c>
      <c r="AM5719">
        <v>96.729095274190001</v>
      </c>
      <c r="AN5719">
        <v>0.99999994752681298</v>
      </c>
    </row>
    <row r="5720" spans="1:40" x14ac:dyDescent="0.25">
      <c r="A5720" t="str">
        <f>"20190303170647782"</f>
        <v>20190303170647782</v>
      </c>
      <c r="B5720" t="str">
        <f>"1551604007770434"</f>
        <v>1551604007770434</v>
      </c>
      <c r="C5720" t="s">
        <v>40</v>
      </c>
      <c r="D5720">
        <v>5.3754929999999996</v>
      </c>
      <c r="E5720">
        <v>0.35883169999999998</v>
      </c>
      <c r="F5720" t="s">
        <v>86</v>
      </c>
      <c r="G5720">
        <v>-157.3501</v>
      </c>
      <c r="H5720">
        <v>4.0468109999999999</v>
      </c>
      <c r="I5720">
        <v>0.51871679999999998</v>
      </c>
      <c r="J5720">
        <v>-197.0341</v>
      </c>
      <c r="K5720">
        <v>1.134625</v>
      </c>
      <c r="L5720">
        <v>-59.626190000000001</v>
      </c>
      <c r="M5720">
        <v>0.86697400000000002</v>
      </c>
      <c r="N5720">
        <v>-1.5681649999999998E-2</v>
      </c>
      <c r="O5720">
        <v>0.49810660000000001</v>
      </c>
      <c r="P5720">
        <v>0.7905276</v>
      </c>
      <c r="Q5720">
        <v>0.2005596</v>
      </c>
      <c r="R5720">
        <v>0.57865529999999998</v>
      </c>
      <c r="S5720">
        <v>1.79070999999999</v>
      </c>
      <c r="T5720">
        <v>0.13092709999999999</v>
      </c>
      <c r="U5720">
        <v>2.7079770000000001</v>
      </c>
      <c r="V5720">
        <v>-0.1150582</v>
      </c>
      <c r="W5720">
        <v>0.2120871</v>
      </c>
      <c r="X5720">
        <v>0.97045389999999998</v>
      </c>
      <c r="Y5720">
        <v>-0.44881409999999999</v>
      </c>
      <c r="Z5720">
        <v>2.2823329999999999E-2</v>
      </c>
      <c r="AA5720">
        <v>0.89333370000000001</v>
      </c>
      <c r="AB5720">
        <v>34</v>
      </c>
      <c r="AC5720">
        <v>39.683999999999997</v>
      </c>
      <c r="AD5720">
        <v>2.9121860000000002</v>
      </c>
      <c r="AE5720">
        <v>60.144906799999902</v>
      </c>
      <c r="AF5720">
        <v>-32.328385414598003</v>
      </c>
      <c r="AG5720">
        <v>2.9121860000000002</v>
      </c>
      <c r="AH5720">
        <v>64.266515219918801</v>
      </c>
      <c r="AI5720">
        <v>87.6818767641454</v>
      </c>
      <c r="AJ5720">
        <v>116.704052536456</v>
      </c>
      <c r="AK5720">
        <v>71.998543800034199</v>
      </c>
      <c r="AL5720">
        <v>77.755310876809006</v>
      </c>
      <c r="AM5720">
        <v>96.761493935710504</v>
      </c>
      <c r="AN5720">
        <v>1.0000000496994199</v>
      </c>
    </row>
    <row r="5721" spans="1:40" x14ac:dyDescent="0.25">
      <c r="A5721" t="str">
        <f>"20190303170647794"</f>
        <v>20190303170647794</v>
      </c>
      <c r="B5721" t="str">
        <f>"1551604007790929"</f>
        <v>1551604007790929</v>
      </c>
      <c r="C5721" t="s">
        <v>40</v>
      </c>
      <c r="D5721">
        <v>5.4370190000000003</v>
      </c>
      <c r="E5721">
        <v>0.35872189999999998</v>
      </c>
      <c r="F5721" t="s">
        <v>86</v>
      </c>
      <c r="G5721">
        <v>-157.3501</v>
      </c>
      <c r="H5721">
        <v>4.1871019999999897</v>
      </c>
      <c r="I5721">
        <v>1.524481</v>
      </c>
      <c r="J5721">
        <v>-196.87719999999999</v>
      </c>
      <c r="K5721">
        <v>1.1346700000000001</v>
      </c>
      <c r="L5721">
        <v>-59.528379999999999</v>
      </c>
      <c r="M5721">
        <v>0.86278310000000002</v>
      </c>
      <c r="N5721">
        <v>-1.569775E-2</v>
      </c>
      <c r="O5721">
        <v>0.50533059999999996</v>
      </c>
      <c r="P5721">
        <v>0.78515040000000003</v>
      </c>
      <c r="Q5721">
        <v>0.2010458</v>
      </c>
      <c r="R5721">
        <v>0.58576410000000001</v>
      </c>
      <c r="S5721">
        <v>1.7671809999999999</v>
      </c>
      <c r="T5721">
        <v>0.13593039999999901</v>
      </c>
      <c r="U5721">
        <v>2.7231139999999998</v>
      </c>
      <c r="V5721">
        <v>-0.1158126</v>
      </c>
      <c r="W5721">
        <v>0.21254980000000001</v>
      </c>
      <c r="X5721">
        <v>0.97026290000000004</v>
      </c>
      <c r="Y5721">
        <v>-0.44906810000000003</v>
      </c>
      <c r="Z5721">
        <v>2.3723520000000001E-2</v>
      </c>
      <c r="AA5721">
        <v>0.89318249999999999</v>
      </c>
      <c r="AB5721">
        <v>34</v>
      </c>
      <c r="AC5721">
        <v>39.527099999999898</v>
      </c>
      <c r="AD5721">
        <v>3.052432</v>
      </c>
      <c r="AE5721">
        <v>61.052861</v>
      </c>
      <c r="AF5721">
        <v>-32.647647122960798</v>
      </c>
      <c r="AG5721">
        <v>3.052432</v>
      </c>
      <c r="AH5721">
        <v>64.848971033659495</v>
      </c>
      <c r="AI5721">
        <v>87.5925581234264</v>
      </c>
      <c r="AJ5721">
        <v>116.72256929667699</v>
      </c>
      <c r="AK5721">
        <v>72.667566684900095</v>
      </c>
      <c r="AL5721">
        <v>77.728181409806893</v>
      </c>
      <c r="AM5721">
        <v>96.806739547592102</v>
      </c>
      <c r="AN5721">
        <v>1.0000000354576</v>
      </c>
    </row>
    <row r="5722" spans="1:40" x14ac:dyDescent="0.25">
      <c r="A5722" t="str">
        <f>"20190303170647806"</f>
        <v>20190303170647806</v>
      </c>
      <c r="B5722" t="str">
        <f>"1551604007800689"</f>
        <v>1551604007800689</v>
      </c>
      <c r="C5722" t="s">
        <v>40</v>
      </c>
      <c r="D5722">
        <v>5.4090069999999999</v>
      </c>
      <c r="E5722">
        <v>0.35878890000000002</v>
      </c>
      <c r="F5722" t="s">
        <v>86</v>
      </c>
      <c r="G5722">
        <v>-157.3501</v>
      </c>
      <c r="H5722">
        <v>4.367032</v>
      </c>
      <c r="I5722">
        <v>2.651491</v>
      </c>
      <c r="J5722">
        <v>-196.73330000000001</v>
      </c>
      <c r="K5722">
        <v>1.1347069999999999</v>
      </c>
      <c r="L5722">
        <v>-59.437899999999999</v>
      </c>
      <c r="M5722">
        <v>0.85887150000000001</v>
      </c>
      <c r="N5722">
        <v>-1.5711579999999999E-2</v>
      </c>
      <c r="O5722">
        <v>0.51195009999999996</v>
      </c>
      <c r="P5722">
        <v>0.78021719999999894</v>
      </c>
      <c r="Q5722">
        <v>0.20152390000000001</v>
      </c>
      <c r="R5722">
        <v>0.59215649999999997</v>
      </c>
      <c r="S5722">
        <v>1.7410890000000001</v>
      </c>
      <c r="T5722">
        <v>0.14237859999999999</v>
      </c>
      <c r="U5722">
        <v>2.7388919999999999</v>
      </c>
      <c r="V5722">
        <v>-0.1163757</v>
      </c>
      <c r="W5722">
        <v>0.21301010000000001</v>
      </c>
      <c r="X5722">
        <v>0.97009449999999997</v>
      </c>
      <c r="Y5722">
        <v>-0.45060749999999999</v>
      </c>
      <c r="Z5722">
        <v>2.4730539999999999E-2</v>
      </c>
      <c r="AA5722">
        <v>0.89237960000000005</v>
      </c>
      <c r="AB5722">
        <v>34</v>
      </c>
      <c r="AC5722">
        <v>39.383200000000002</v>
      </c>
      <c r="AD5722">
        <v>3.2323249999999999</v>
      </c>
      <c r="AE5722">
        <v>62.089390999999999</v>
      </c>
      <c r="AF5722">
        <v>-33.104690788892697</v>
      </c>
      <c r="AG5722">
        <v>3.2323249999999999</v>
      </c>
      <c r="AH5722">
        <v>65.493304500908295</v>
      </c>
      <c r="AI5722">
        <v>87.477957822321599</v>
      </c>
      <c r="AJ5722">
        <v>116.81508231172801</v>
      </c>
      <c r="AK5722">
        <v>73.455710544398897</v>
      </c>
      <c r="AL5722">
        <v>77.701189280038193</v>
      </c>
      <c r="AM5722">
        <v>96.840698313100205</v>
      </c>
      <c r="AN5722">
        <v>0.99999997259137396</v>
      </c>
    </row>
    <row r="5723" spans="1:40" x14ac:dyDescent="0.25">
      <c r="A5723" t="str">
        <f>"20190303170647817"</f>
        <v>20190303170647817</v>
      </c>
      <c r="B5723" t="str">
        <f>"1551604007810449"</f>
        <v>1551604007810449</v>
      </c>
      <c r="C5723" t="s">
        <v>40</v>
      </c>
      <c r="D5723">
        <v>5.4334339999999903</v>
      </c>
      <c r="E5723">
        <v>0.35899170000000002</v>
      </c>
      <c r="F5723" t="s">
        <v>86</v>
      </c>
      <c r="G5723">
        <v>-157.3501</v>
      </c>
      <c r="H5723">
        <v>4.4490280000000002</v>
      </c>
      <c r="I5723">
        <v>3.6170529999999999</v>
      </c>
      <c r="J5723">
        <v>-196.58539999999999</v>
      </c>
      <c r="K5723">
        <v>1.134741</v>
      </c>
      <c r="L5723">
        <v>-59.342709999999997</v>
      </c>
      <c r="M5723">
        <v>0.85475900000000005</v>
      </c>
      <c r="N5723">
        <v>-1.5724720000000001E-2</v>
      </c>
      <c r="O5723">
        <v>0.518787</v>
      </c>
      <c r="P5723">
        <v>0.77520639999999996</v>
      </c>
      <c r="Q5723">
        <v>0.20179079999999999</v>
      </c>
      <c r="R5723">
        <v>0.59861140000000002</v>
      </c>
      <c r="S5723">
        <v>1.7189479999999999</v>
      </c>
      <c r="T5723">
        <v>0.1446588</v>
      </c>
      <c r="U5723">
        <v>2.7521360000000001</v>
      </c>
      <c r="V5723">
        <v>-0.1167511</v>
      </c>
      <c r="W5723">
        <v>0.21326590000000001</v>
      </c>
      <c r="X5723">
        <v>0.9699932</v>
      </c>
      <c r="Y5723">
        <v>-0.45058979999999998</v>
      </c>
      <c r="Z5723">
        <v>2.539829E-2</v>
      </c>
      <c r="AA5723">
        <v>0.89236970000000004</v>
      </c>
      <c r="AB5723">
        <v>34</v>
      </c>
      <c r="AC5723">
        <v>39.235300000000002</v>
      </c>
      <c r="AD5723">
        <v>3.3142870000000002</v>
      </c>
      <c r="AE5723">
        <v>62.959763000000002</v>
      </c>
      <c r="AF5723">
        <v>-33.398133674144503</v>
      </c>
      <c r="AG5723">
        <v>3.3142870000000002</v>
      </c>
      <c r="AH5723">
        <v>66.075727715300999</v>
      </c>
      <c r="AI5723">
        <v>87.436840229177804</v>
      </c>
      <c r="AJ5723">
        <v>116.81442430739899</v>
      </c>
      <c r="AK5723">
        <v>74.110873860324901</v>
      </c>
      <c r="AL5723">
        <v>77.686188493460307</v>
      </c>
      <c r="AM5723">
        <v>96.863264502475602</v>
      </c>
      <c r="AN5723">
        <v>0.99999998575012905</v>
      </c>
    </row>
    <row r="5724" spans="1:40" x14ac:dyDescent="0.25">
      <c r="A5724" t="str">
        <f>"20190303170647829"</f>
        <v>20190303170647829</v>
      </c>
      <c r="B5724" t="str">
        <f>"1551604007820209"</f>
        <v>1551604007820209</v>
      </c>
      <c r="C5724" t="s">
        <v>40</v>
      </c>
      <c r="D5724">
        <v>5.4300199999999998</v>
      </c>
      <c r="E5724">
        <v>0.3591144</v>
      </c>
      <c r="F5724" t="s">
        <v>86</v>
      </c>
      <c r="G5724">
        <v>-157.3501</v>
      </c>
      <c r="H5724">
        <v>4.4630039999999997</v>
      </c>
      <c r="I5724">
        <v>4.5728749999999998</v>
      </c>
      <c r="J5724">
        <v>-196.43379999999999</v>
      </c>
      <c r="K5724">
        <v>1.1347700000000001</v>
      </c>
      <c r="L5724">
        <v>-59.243499999999997</v>
      </c>
      <c r="M5724">
        <v>0.85045720000000002</v>
      </c>
      <c r="N5724">
        <v>-1.5737279999999999E-2</v>
      </c>
      <c r="O5724">
        <v>0.52580890000000002</v>
      </c>
      <c r="P5724">
        <v>0.77004059999999996</v>
      </c>
      <c r="Q5724">
        <v>0.20199610000000001</v>
      </c>
      <c r="R5724">
        <v>0.60517359999999998</v>
      </c>
      <c r="S5724">
        <v>1.6973419999999999</v>
      </c>
      <c r="T5724">
        <v>0.1439821</v>
      </c>
      <c r="U5724">
        <v>2.765015</v>
      </c>
      <c r="V5724">
        <v>-0.1170535</v>
      </c>
      <c r="W5724">
        <v>0.21346390000000001</v>
      </c>
      <c r="X5724">
        <v>0.96991320000000003</v>
      </c>
      <c r="Y5724">
        <v>-0.45015919999999998</v>
      </c>
      <c r="Z5724">
        <v>2.5800839999999998E-2</v>
      </c>
      <c r="AA5724">
        <v>0.89257549999999997</v>
      </c>
      <c r="AB5724">
        <v>34</v>
      </c>
      <c r="AC5724">
        <v>39.083699999999901</v>
      </c>
      <c r="AD5724">
        <v>3.3282340000000001</v>
      </c>
      <c r="AE5724">
        <v>63.816375000000001</v>
      </c>
      <c r="AF5724">
        <v>-33.660132084210098</v>
      </c>
      <c r="AG5724">
        <v>3.3282340000000001</v>
      </c>
      <c r="AH5724">
        <v>66.670624032396503</v>
      </c>
      <c r="AI5724">
        <v>87.448409925748095</v>
      </c>
      <c r="AJ5724">
        <v>116.78793227072499</v>
      </c>
      <c r="AK5724">
        <v>74.759974199797597</v>
      </c>
      <c r="AL5724">
        <v>77.674576551121504</v>
      </c>
      <c r="AM5724">
        <v>96.881433107810693</v>
      </c>
      <c r="AN5724">
        <v>0.99999998699985004</v>
      </c>
    </row>
    <row r="5725" spans="1:40" x14ac:dyDescent="0.25">
      <c r="A5725" t="str">
        <f>"20190303170647840"</f>
        <v>20190303170647840</v>
      </c>
      <c r="B5725" t="str">
        <f>"1551604007830946"</f>
        <v>1551604007830946</v>
      </c>
      <c r="C5725" t="s">
        <v>40</v>
      </c>
      <c r="D5725">
        <v>5.4100260000000002</v>
      </c>
      <c r="E5725">
        <v>0.35928110000000002</v>
      </c>
      <c r="F5725" t="s">
        <v>86</v>
      </c>
      <c r="G5725">
        <v>-157.3501</v>
      </c>
      <c r="H5725">
        <v>4.4805400000000004</v>
      </c>
      <c r="I5725">
        <v>5.5916969999999999</v>
      </c>
      <c r="J5725">
        <v>-196.28909999999999</v>
      </c>
      <c r="K5725">
        <v>1.1347940000000001</v>
      </c>
      <c r="L5725">
        <v>-59.147550000000003</v>
      </c>
      <c r="M5725">
        <v>0.84627489999999905</v>
      </c>
      <c r="N5725">
        <v>-1.5748479999999999E-2</v>
      </c>
      <c r="O5725">
        <v>0.53251359999999903</v>
      </c>
      <c r="P5725">
        <v>0.76487240000000001</v>
      </c>
      <c r="Q5725">
        <v>0.20216780000000001</v>
      </c>
      <c r="R5725">
        <v>0.61163590000000001</v>
      </c>
      <c r="S5725">
        <v>1.67482</v>
      </c>
      <c r="T5725">
        <v>0.1433729</v>
      </c>
      <c r="U5725">
        <v>2.7783199999999999</v>
      </c>
      <c r="V5725">
        <v>-0.1176016</v>
      </c>
      <c r="W5725">
        <v>0.21361810000000001</v>
      </c>
      <c r="X5725">
        <v>0.96981300000000004</v>
      </c>
      <c r="Y5725">
        <v>-0.45030290000000001</v>
      </c>
      <c r="Z5725">
        <v>2.617765E-2</v>
      </c>
      <c r="AA5725">
        <v>0.89249199999999995</v>
      </c>
      <c r="AB5725">
        <v>34</v>
      </c>
      <c r="AC5725">
        <v>38.938999999999901</v>
      </c>
      <c r="AD5725">
        <v>3.3457460000000001</v>
      </c>
      <c r="AE5725">
        <v>64.739246999999907</v>
      </c>
      <c r="AF5725">
        <v>-33.989213502003402</v>
      </c>
      <c r="AG5725">
        <v>3.3457460000000001</v>
      </c>
      <c r="AH5725">
        <v>67.303988359262803</v>
      </c>
      <c r="AI5725">
        <v>87.459249651303296</v>
      </c>
      <c r="AJ5725">
        <v>116.79425002500599</v>
      </c>
      <c r="AK5725">
        <v>75.473753715083404</v>
      </c>
      <c r="AL5725">
        <v>77.665533631545898</v>
      </c>
      <c r="AM5725">
        <v>96.914051483713806</v>
      </c>
      <c r="AN5725">
        <v>1.00000004196958</v>
      </c>
    </row>
    <row r="5726" spans="1:40" x14ac:dyDescent="0.25">
      <c r="A5726" t="str">
        <f>"20190303170647852"</f>
        <v>20190303170647852</v>
      </c>
      <c r="B5726" t="str">
        <f>"1551604007840706"</f>
        <v>1551604007840706</v>
      </c>
      <c r="C5726" t="s">
        <v>40</v>
      </c>
      <c r="D5726">
        <v>5.4218520000000003</v>
      </c>
      <c r="E5726">
        <v>0.35948089999999999</v>
      </c>
      <c r="F5726" t="s">
        <v>86</v>
      </c>
      <c r="G5726">
        <v>-157.3501</v>
      </c>
      <c r="H5726">
        <v>4.5014960000000004</v>
      </c>
      <c r="I5726">
        <v>6.6386609999999999</v>
      </c>
      <c r="J5726">
        <v>-196.15090000000001</v>
      </c>
      <c r="K5726">
        <v>1.134817</v>
      </c>
      <c r="L5726">
        <v>-59.05359</v>
      </c>
      <c r="M5726">
        <v>0.84218979999999999</v>
      </c>
      <c r="N5726">
        <v>-1.5758339999999999E-2</v>
      </c>
      <c r="O5726">
        <v>0.53895090000000001</v>
      </c>
      <c r="P5726">
        <v>0.75984439999999998</v>
      </c>
      <c r="Q5726">
        <v>0.2023229</v>
      </c>
      <c r="R5726">
        <v>0.61782040000000005</v>
      </c>
      <c r="S5726">
        <v>1.6522669999999999</v>
      </c>
      <c r="T5726">
        <v>0.1428555</v>
      </c>
      <c r="U5726">
        <v>2.7914430000000001</v>
      </c>
      <c r="V5726">
        <v>-0.11811629999999999</v>
      </c>
      <c r="W5726">
        <v>0.2137578</v>
      </c>
      <c r="X5726">
        <v>0.96971960000000001</v>
      </c>
      <c r="Y5726">
        <v>-0.4506773</v>
      </c>
      <c r="Z5726">
        <v>2.6540299999999999E-2</v>
      </c>
      <c r="AA5726">
        <v>0.89229230000000004</v>
      </c>
      <c r="AB5726">
        <v>34</v>
      </c>
      <c r="AC5726">
        <v>38.800800000000002</v>
      </c>
      <c r="AD5726">
        <v>3.3666789999999902</v>
      </c>
      <c r="AE5726">
        <v>65.692250999999999</v>
      </c>
      <c r="AF5726">
        <v>-34.351002507280398</v>
      </c>
      <c r="AG5726">
        <v>3.3666789999999902</v>
      </c>
      <c r="AH5726">
        <v>67.958660476201899</v>
      </c>
      <c r="AI5726">
        <v>87.468437799506901</v>
      </c>
      <c r="AJ5726">
        <v>116.815187158477</v>
      </c>
      <c r="AK5726">
        <v>76.221423723674405</v>
      </c>
      <c r="AL5726">
        <v>77.657339381550301</v>
      </c>
      <c r="AM5726">
        <v>96.944679282864996</v>
      </c>
      <c r="AN5726">
        <v>0.99999998000534396</v>
      </c>
    </row>
    <row r="5727" spans="1:40" x14ac:dyDescent="0.25">
      <c r="A5727" t="str">
        <f>"20190303170647862"</f>
        <v>20190303170647862</v>
      </c>
      <c r="B5727" t="str">
        <f>"1551604007850466"</f>
        <v>1551604007850466</v>
      </c>
      <c r="C5727" t="s">
        <v>40</v>
      </c>
      <c r="D5727">
        <v>5.4575690000000003</v>
      </c>
      <c r="E5727">
        <v>0.35975439999999997</v>
      </c>
      <c r="F5727" t="s">
        <v>86</v>
      </c>
      <c r="G5727">
        <v>-157.3501</v>
      </c>
      <c r="H5727">
        <v>4.5192569999999996</v>
      </c>
      <c r="I5727">
        <v>7.6428929999999902</v>
      </c>
      <c r="J5727">
        <v>-196.02430000000001</v>
      </c>
      <c r="K5727">
        <v>1.134836</v>
      </c>
      <c r="L5727">
        <v>-58.967100000000002</v>
      </c>
      <c r="M5727">
        <v>0.83839739999999996</v>
      </c>
      <c r="N5727">
        <v>-1.57668999999999E-2</v>
      </c>
      <c r="O5727">
        <v>0.54483119999999996</v>
      </c>
      <c r="P5727">
        <v>0.75518629999999998</v>
      </c>
      <c r="Q5727">
        <v>0.20239199999999999</v>
      </c>
      <c r="R5727">
        <v>0.62348309999999996</v>
      </c>
      <c r="S5727">
        <v>1.63089</v>
      </c>
      <c r="T5727">
        <v>0.142256299999999</v>
      </c>
      <c r="U5727">
        <v>2.8034059999999998</v>
      </c>
      <c r="V5727">
        <v>-0.1186041</v>
      </c>
      <c r="W5727">
        <v>0.2138118</v>
      </c>
      <c r="X5727">
        <v>0.96964819999999996</v>
      </c>
      <c r="Y5727">
        <v>-0.45117119999999999</v>
      </c>
      <c r="Z5727">
        <v>2.685535E-2</v>
      </c>
      <c r="AA5727">
        <v>0.89203330000000003</v>
      </c>
      <c r="AB5727">
        <v>34</v>
      </c>
      <c r="AC5727">
        <v>38.674199999999999</v>
      </c>
      <c r="AD5727">
        <v>3.3844210000000001</v>
      </c>
      <c r="AE5727">
        <v>66.609993000000003</v>
      </c>
      <c r="AF5727">
        <v>-34.712040214419297</v>
      </c>
      <c r="AG5727">
        <v>3.3844210000000001</v>
      </c>
      <c r="AH5727">
        <v>68.591666708632104</v>
      </c>
      <c r="AI5727">
        <v>87.479176804120101</v>
      </c>
      <c r="AJ5727">
        <v>116.84250727820201</v>
      </c>
      <c r="AK5727">
        <v>76.949313078290601</v>
      </c>
      <c r="AL5727">
        <v>77.654172751313396</v>
      </c>
      <c r="AM5727">
        <v>96.973586227304907</v>
      </c>
      <c r="AN5727">
        <v>1.0000000250596399</v>
      </c>
    </row>
    <row r="5728" spans="1:40" x14ac:dyDescent="0.25">
      <c r="A5728" t="str">
        <f>"20190303170647871"</f>
        <v>20190303170647871</v>
      </c>
      <c r="B5728" t="str">
        <f>"1551604007860226"</f>
        <v>1551604007860226</v>
      </c>
      <c r="C5728" t="s">
        <v>40</v>
      </c>
      <c r="D5728">
        <v>5.3964449999999999</v>
      </c>
      <c r="E5728">
        <v>0.36009099999999999</v>
      </c>
      <c r="F5728" t="s">
        <v>86</v>
      </c>
      <c r="G5728">
        <v>-157.3501</v>
      </c>
      <c r="H5728">
        <v>4.5183580000000001</v>
      </c>
      <c r="I5728">
        <v>8.5674019999999995</v>
      </c>
      <c r="J5728">
        <v>-195.90819999999999</v>
      </c>
      <c r="K5728">
        <v>1.134854</v>
      </c>
      <c r="L5728">
        <v>-58.885530000000003</v>
      </c>
      <c r="M5728">
        <v>0.834843</v>
      </c>
      <c r="N5728">
        <v>-1.577419E-2</v>
      </c>
      <c r="O5728">
        <v>0.55026219999999904</v>
      </c>
      <c r="P5728">
        <v>0.750733599999999</v>
      </c>
      <c r="Q5728">
        <v>0.2024637</v>
      </c>
      <c r="R5728">
        <v>0.62881450000000005</v>
      </c>
      <c r="S5728">
        <v>1.6114809999999999</v>
      </c>
      <c r="T5728">
        <v>0.14098440000000001</v>
      </c>
      <c r="U5728">
        <v>2.8140260000000001</v>
      </c>
      <c r="V5728">
        <v>-0.1191991</v>
      </c>
      <c r="W5728">
        <v>0.21386450000000001</v>
      </c>
      <c r="X5728">
        <v>0.96956359999999997</v>
      </c>
      <c r="Y5728">
        <v>-0.451463</v>
      </c>
      <c r="Z5728">
        <v>2.7069159999999998E-2</v>
      </c>
      <c r="AA5728">
        <v>0.89187919999999998</v>
      </c>
      <c r="AB5728">
        <v>34</v>
      </c>
      <c r="AC5728">
        <v>38.558100000000003</v>
      </c>
      <c r="AD5728">
        <v>3.3835039999999998</v>
      </c>
      <c r="AE5728">
        <v>67.452931999999905</v>
      </c>
      <c r="AF5728">
        <v>-35.033468826919403</v>
      </c>
      <c r="AG5728">
        <v>3.3835039999999998</v>
      </c>
      <c r="AH5728">
        <v>69.184174071339498</v>
      </c>
      <c r="AI5728">
        <v>87.501728093980304</v>
      </c>
      <c r="AJ5728">
        <v>116.85673318785599</v>
      </c>
      <c r="AK5728">
        <v>77.622432191333402</v>
      </c>
      <c r="AL5728">
        <v>77.651081604290098</v>
      </c>
      <c r="AM5728">
        <v>97.008828928955893</v>
      </c>
      <c r="AN5728">
        <v>1.0000000121230099</v>
      </c>
    </row>
    <row r="5729" spans="1:40" x14ac:dyDescent="0.25">
      <c r="A5729" t="str">
        <f>"20190303170647883"</f>
        <v>20190303170647883</v>
      </c>
      <c r="B5729" t="str">
        <f>"1551604007870962"</f>
        <v>1551604007870962</v>
      </c>
      <c r="C5729" t="s">
        <v>40</v>
      </c>
      <c r="D5729">
        <v>5.4516030000000004</v>
      </c>
      <c r="E5729">
        <v>0.3604175</v>
      </c>
      <c r="F5729" t="s">
        <v>86</v>
      </c>
      <c r="G5729">
        <v>-157.3501</v>
      </c>
      <c r="H5729">
        <v>4.5137939999999999</v>
      </c>
      <c r="I5729">
        <v>9.4221800000000009</v>
      </c>
      <c r="J5729">
        <v>-195.76079999999999</v>
      </c>
      <c r="K5729">
        <v>1.134873</v>
      </c>
      <c r="L5729">
        <v>-58.781680000000001</v>
      </c>
      <c r="M5729">
        <v>0.83027809999999902</v>
      </c>
      <c r="N5729">
        <v>-1.5782979999999999E-2</v>
      </c>
      <c r="O5729">
        <v>0.55712569999999995</v>
      </c>
      <c r="P5729">
        <v>0.74513699999999905</v>
      </c>
      <c r="Q5729">
        <v>0.2023057</v>
      </c>
      <c r="R5729">
        <v>0.63548660000000001</v>
      </c>
      <c r="S5729">
        <v>1.593674</v>
      </c>
      <c r="T5729">
        <v>0.13965710000000001</v>
      </c>
      <c r="U5729">
        <v>2.8232729999999999</v>
      </c>
      <c r="V5729">
        <v>-0.1198391</v>
      </c>
      <c r="W5729">
        <v>0.21368699999999999</v>
      </c>
      <c r="X5729">
        <v>0.96952380000000005</v>
      </c>
      <c r="Y5729">
        <v>-0.4496233</v>
      </c>
      <c r="Z5729">
        <v>2.7393959999999998E-2</v>
      </c>
      <c r="AA5729">
        <v>0.89279809999999904</v>
      </c>
      <c r="AB5729">
        <v>34</v>
      </c>
      <c r="AC5729">
        <v>38.410699999999899</v>
      </c>
      <c r="AD5729">
        <v>3.3789210000000001</v>
      </c>
      <c r="AE5729">
        <v>68.203859999999906</v>
      </c>
      <c r="AF5729">
        <v>-35.167444271705897</v>
      </c>
      <c r="AG5729">
        <v>3.3789210000000001</v>
      </c>
      <c r="AH5729">
        <v>69.768393324021304</v>
      </c>
      <c r="AI5729">
        <v>87.523664805019393</v>
      </c>
      <c r="AJ5729">
        <v>116.75083758452099</v>
      </c>
      <c r="AK5729">
        <v>78.2035481979119</v>
      </c>
      <c r="AL5729">
        <v>77.661491759432494</v>
      </c>
      <c r="AM5729">
        <v>97.0463695785608</v>
      </c>
      <c r="AN5729">
        <v>0.99999997131212404</v>
      </c>
    </row>
    <row r="5730" spans="1:40" x14ac:dyDescent="0.25">
      <c r="A5730" t="str">
        <f>"20190303170647895"</f>
        <v>20190303170647895</v>
      </c>
      <c r="B5730" t="str">
        <f>"1551604007880722"</f>
        <v>1551604007880722</v>
      </c>
      <c r="C5730" t="s">
        <v>40</v>
      </c>
      <c r="D5730">
        <v>5.4574319999999998</v>
      </c>
      <c r="E5730">
        <v>0.36074339999999999</v>
      </c>
      <c r="F5730" t="s">
        <v>86</v>
      </c>
      <c r="G5730">
        <v>-157.6362</v>
      </c>
      <c r="H5730">
        <v>4.4907170000000001</v>
      </c>
      <c r="I5730">
        <v>10.044689999999999</v>
      </c>
      <c r="J5730">
        <v>-195.61920000000001</v>
      </c>
      <c r="K5730">
        <v>1.1348860000000001</v>
      </c>
      <c r="L5730">
        <v>-58.678989999999999</v>
      </c>
      <c r="M5730">
        <v>0.82578339999999995</v>
      </c>
      <c r="N5730">
        <v>-1.579067E-2</v>
      </c>
      <c r="O5730">
        <v>0.563766199999999</v>
      </c>
      <c r="P5730">
        <v>0.73977700000000002</v>
      </c>
      <c r="Q5730">
        <v>0.2023961</v>
      </c>
      <c r="R5730">
        <v>0.64168979999999998</v>
      </c>
      <c r="S5730">
        <v>1.5705260000000001</v>
      </c>
      <c r="T5730">
        <v>0.13824220000000001</v>
      </c>
      <c r="U5730">
        <v>2.8352659999999998</v>
      </c>
      <c r="V5730">
        <v>-0.12019100000000001</v>
      </c>
      <c r="W5730">
        <v>0.21376709999999999</v>
      </c>
      <c r="X5730">
        <v>0.96946259999999995</v>
      </c>
      <c r="Y5730">
        <v>-0.44963779999999998</v>
      </c>
      <c r="Z5730">
        <v>2.7663199999999999E-2</v>
      </c>
      <c r="AA5730">
        <v>0.89278250000000003</v>
      </c>
      <c r="AB5730">
        <v>34</v>
      </c>
      <c r="AC5730">
        <v>37.982999999999997</v>
      </c>
      <c r="AD5730">
        <v>3.3558309999999998</v>
      </c>
      <c r="AE5730">
        <v>68.723680000000002</v>
      </c>
      <c r="AF5730">
        <v>-35.277316563216701</v>
      </c>
      <c r="AG5730">
        <v>3.3558309999999998</v>
      </c>
      <c r="AH5730">
        <v>69.9907263332328</v>
      </c>
      <c r="AI5730">
        <v>87.548338311106306</v>
      </c>
      <c r="AJ5730">
        <v>116.749403537503</v>
      </c>
      <c r="AK5730">
        <v>78.450318280141204</v>
      </c>
      <c r="AL5730">
        <v>77.656794062746798</v>
      </c>
      <c r="AM5730">
        <v>97.067293496701396</v>
      </c>
      <c r="AN5730">
        <v>0.99999999116108496</v>
      </c>
    </row>
    <row r="5731" spans="1:40" x14ac:dyDescent="0.25">
      <c r="A5731" t="str">
        <f>"20190303170647908"</f>
        <v>20190303170647908</v>
      </c>
      <c r="B5731" t="str">
        <f>"1551604007900244"</f>
        <v>1551604007900244</v>
      </c>
      <c r="C5731" t="s">
        <v>40</v>
      </c>
      <c r="D5731">
        <v>5.3993710000000004</v>
      </c>
      <c r="E5731">
        <v>0.36144700000000002</v>
      </c>
      <c r="F5731" t="s">
        <v>86</v>
      </c>
      <c r="G5731">
        <v>-157.93819999999999</v>
      </c>
      <c r="H5731">
        <v>4.512518</v>
      </c>
      <c r="I5731">
        <v>10.60421</v>
      </c>
      <c r="J5731">
        <v>-195.477</v>
      </c>
      <c r="K5731">
        <v>1.1349</v>
      </c>
      <c r="L5731">
        <v>-58.574890000000003</v>
      </c>
      <c r="M5731">
        <v>0.82120179999999998</v>
      </c>
      <c r="N5731">
        <v>-1.5797889999999998E-2</v>
      </c>
      <c r="O5731">
        <v>0.57041929999999996</v>
      </c>
      <c r="P5731">
        <v>0.73403689999999999</v>
      </c>
      <c r="Q5731">
        <v>0.2026674</v>
      </c>
      <c r="R5731">
        <v>0.64816339999999995</v>
      </c>
      <c r="S5731">
        <v>1.5481720000000001</v>
      </c>
      <c r="T5731">
        <v>0.13877419999999999</v>
      </c>
      <c r="U5731">
        <v>2.8465880000000001</v>
      </c>
      <c r="V5731">
        <v>-0.1209365</v>
      </c>
      <c r="W5731">
        <v>0.2140135</v>
      </c>
      <c r="X5731">
        <v>0.9693155</v>
      </c>
      <c r="Y5731">
        <v>-0.4493278</v>
      </c>
      <c r="Z5731">
        <v>2.8155989999999999E-2</v>
      </c>
      <c r="AA5731">
        <v>0.89292320000000003</v>
      </c>
      <c r="AB5731">
        <v>34</v>
      </c>
      <c r="AC5731">
        <v>37.538800000000002</v>
      </c>
      <c r="AD5731">
        <v>3.377618</v>
      </c>
      <c r="AE5731">
        <v>69.179100000000005</v>
      </c>
      <c r="AF5731">
        <v>-35.336486436951297</v>
      </c>
      <c r="AG5731">
        <v>3.377618</v>
      </c>
      <c r="AH5731">
        <v>70.167573527160002</v>
      </c>
      <c r="AI5731">
        <v>87.538230616875495</v>
      </c>
      <c r="AJ5731">
        <v>116.72988808939</v>
      </c>
      <c r="AK5731">
        <v>78.635640467616099</v>
      </c>
      <c r="AL5731">
        <v>77.642341747333603</v>
      </c>
      <c r="AM5731">
        <v>97.111749968850106</v>
      </c>
      <c r="AN5731">
        <v>0.99999997687737396</v>
      </c>
    </row>
    <row r="5732" spans="1:40" x14ac:dyDescent="0.25">
      <c r="A5732" t="str">
        <f>"20190303170647919"</f>
        <v>20190303170647919</v>
      </c>
      <c r="B5732" t="str">
        <f>"1551604007910977"</f>
        <v>1551604007910977</v>
      </c>
      <c r="C5732" t="s">
        <v>40</v>
      </c>
      <c r="D5732">
        <v>5.3573440000000003</v>
      </c>
      <c r="E5732">
        <v>0.36192069999999998</v>
      </c>
      <c r="F5732" t="s">
        <v>86</v>
      </c>
      <c r="G5732">
        <v>-157.93819999999999</v>
      </c>
      <c r="H5732">
        <v>4.5587269999999904</v>
      </c>
      <c r="I5732">
        <v>11.67014</v>
      </c>
      <c r="J5732">
        <v>-195.3228</v>
      </c>
      <c r="K5732">
        <v>1.1349149999999999</v>
      </c>
      <c r="L5732">
        <v>-58.459899999999998</v>
      </c>
      <c r="M5732">
        <v>0.8161349</v>
      </c>
      <c r="N5732">
        <v>-1.5805110000000001E-2</v>
      </c>
      <c r="O5732">
        <v>0.57764519999999997</v>
      </c>
      <c r="P5732">
        <v>0.7279755</v>
      </c>
      <c r="Q5732">
        <v>0.2027822</v>
      </c>
      <c r="R5732">
        <v>0.65492839999999997</v>
      </c>
      <c r="S5732">
        <v>1.5263979999999999</v>
      </c>
      <c r="T5732">
        <v>0.13921900000000001</v>
      </c>
      <c r="U5732">
        <v>2.856293</v>
      </c>
      <c r="V5732">
        <v>-0.1213825</v>
      </c>
      <c r="W5732">
        <v>0.21411469999999999</v>
      </c>
      <c r="X5732">
        <v>0.96923740000000003</v>
      </c>
      <c r="Y5732">
        <v>-0.44800200000000001</v>
      </c>
      <c r="Z5732">
        <v>2.8696280000000001E-2</v>
      </c>
      <c r="AA5732">
        <v>0.89357189999999997</v>
      </c>
      <c r="AB5732">
        <v>34</v>
      </c>
      <c r="AC5732">
        <v>37.384599999999999</v>
      </c>
      <c r="AD5732">
        <v>3.4238119999999901</v>
      </c>
      <c r="AE5732">
        <v>70.130039999999994</v>
      </c>
      <c r="AF5732">
        <v>-35.578955361843697</v>
      </c>
      <c r="AG5732">
        <v>3.4238119999999901</v>
      </c>
      <c r="AH5732">
        <v>70.898440723788497</v>
      </c>
      <c r="AI5732">
        <v>87.528542475513206</v>
      </c>
      <c r="AJ5732">
        <v>116.64886487779199</v>
      </c>
      <c r="AK5732">
        <v>79.398825245188405</v>
      </c>
      <c r="AL5732">
        <v>77.636405816319893</v>
      </c>
      <c r="AM5732">
        <v>97.138276482298096</v>
      </c>
      <c r="AN5732">
        <v>0.99999997681054897</v>
      </c>
    </row>
    <row r="5733" spans="1:40" x14ac:dyDescent="0.25">
      <c r="A5733" t="str">
        <f>"20190303170647930"</f>
        <v>20190303170647930</v>
      </c>
      <c r="B5733" t="str">
        <f>"1551604007920738"</f>
        <v>1551604007920738</v>
      </c>
      <c r="C5733" t="s">
        <v>40</v>
      </c>
      <c r="D5733">
        <v>5.3767420000000001</v>
      </c>
      <c r="E5733">
        <v>0.36192069999999998</v>
      </c>
      <c r="F5733" t="s">
        <v>86</v>
      </c>
      <c r="G5733">
        <v>-157.93819999999999</v>
      </c>
      <c r="H5733">
        <v>4.5773830000000002</v>
      </c>
      <c r="I5733">
        <v>12.89832</v>
      </c>
      <c r="J5733">
        <v>-195.20269999999999</v>
      </c>
      <c r="K5733">
        <v>1.1349209999999901</v>
      </c>
      <c r="L5733">
        <v>-58.368499999999997</v>
      </c>
      <c r="M5733">
        <v>0.81211009999999995</v>
      </c>
      <c r="N5733">
        <v>-1.5810299999999999E-2</v>
      </c>
      <c r="O5733">
        <v>0.58328999999999998</v>
      </c>
      <c r="P5733">
        <v>0.7232324</v>
      </c>
      <c r="Q5733">
        <v>0.20310929999999999</v>
      </c>
      <c r="R5733">
        <v>0.66006169999999997</v>
      </c>
      <c r="S5733">
        <v>1.5024409999999999</v>
      </c>
      <c r="T5733">
        <v>0.13834830000000001</v>
      </c>
      <c r="U5733">
        <v>2.8677980000000001</v>
      </c>
      <c r="V5733">
        <v>-0.12158960000000001</v>
      </c>
      <c r="W5733">
        <v>0.2144355</v>
      </c>
      <c r="X5733">
        <v>0.96914049999999996</v>
      </c>
      <c r="Y5733">
        <v>-0.44913249999999999</v>
      </c>
      <c r="Z5733">
        <v>2.894356E-2</v>
      </c>
      <c r="AA5733">
        <v>0.89299629999999997</v>
      </c>
      <c r="AB5733">
        <v>34</v>
      </c>
      <c r="AC5733">
        <v>37.264499999999998</v>
      </c>
      <c r="AD5733">
        <v>3.4424619999999999</v>
      </c>
      <c r="AE5733">
        <v>71.266819999999996</v>
      </c>
      <c r="AF5733">
        <v>-36.078904688907002</v>
      </c>
      <c r="AG5733">
        <v>3.4424619999999999</v>
      </c>
      <c r="AH5733">
        <v>71.709686393176398</v>
      </c>
      <c r="AI5733">
        <v>87.544447984219403</v>
      </c>
      <c r="AJ5733">
        <v>116.708091560203</v>
      </c>
      <c r="AK5733">
        <v>80.348099111182407</v>
      </c>
      <c r="AL5733">
        <v>77.617588069828997</v>
      </c>
      <c r="AM5733">
        <v>97.151037216782598</v>
      </c>
      <c r="AN5733">
        <v>0.99999996161432902</v>
      </c>
    </row>
    <row r="5734" spans="1:40" x14ac:dyDescent="0.25">
      <c r="A5734" t="str">
        <f>"20190303170647940"</f>
        <v>20190303170647940</v>
      </c>
      <c r="B5734" t="str">
        <f>"1551604007930498"</f>
        <v>1551604007930498</v>
      </c>
      <c r="C5734" t="s">
        <v>40</v>
      </c>
      <c r="D5734">
        <v>5.3737430000000002</v>
      </c>
      <c r="E5734">
        <v>0.3790269</v>
      </c>
      <c r="F5734" t="s">
        <v>85</v>
      </c>
      <c r="G5734">
        <v>-152.19059999999999</v>
      </c>
      <c r="H5734">
        <v>5.187125</v>
      </c>
      <c r="I5734">
        <v>25.184989999999999</v>
      </c>
      <c r="J5734">
        <v>-195.07400000000001</v>
      </c>
      <c r="K5734">
        <v>1.134925</v>
      </c>
      <c r="L5734">
        <v>-58.269680000000001</v>
      </c>
      <c r="M5734">
        <v>0.80773759999999994</v>
      </c>
      <c r="N5734">
        <v>-1.5815599999999999E-2</v>
      </c>
      <c r="O5734">
        <v>0.58933000000000002</v>
      </c>
      <c r="P5734">
        <v>0.71812449999999906</v>
      </c>
      <c r="Q5734">
        <v>0.2030884</v>
      </c>
      <c r="R5734">
        <v>0.66562180000000004</v>
      </c>
      <c r="S5734">
        <v>1.4817959999999999</v>
      </c>
      <c r="T5734">
        <v>0.13960129999999901</v>
      </c>
      <c r="U5734">
        <v>2.878479</v>
      </c>
      <c r="V5734">
        <v>-0.1218408</v>
      </c>
      <c r="W5734">
        <v>0.2144085</v>
      </c>
      <c r="X5734">
        <v>0.96911499999999995</v>
      </c>
      <c r="Y5734">
        <v>-0.4488896</v>
      </c>
      <c r="Z5734">
        <v>2.9485689999999998E-2</v>
      </c>
      <c r="AA5734">
        <v>0.89310059999999902</v>
      </c>
      <c r="AB5734">
        <v>34</v>
      </c>
      <c r="AC5734">
        <v>42.883400000000002</v>
      </c>
      <c r="AD5734">
        <v>4.0522</v>
      </c>
      <c r="AE5734">
        <v>83.454669999999993</v>
      </c>
      <c r="AF5734">
        <v>-42.063815281603802</v>
      </c>
      <c r="AG5734">
        <v>4.0522</v>
      </c>
      <c r="AH5734">
        <v>83.675291375063907</v>
      </c>
      <c r="AI5734">
        <v>87.522462957260501</v>
      </c>
      <c r="AJ5734">
        <v>116.68881098693601</v>
      </c>
      <c r="AK5734">
        <v>93.740808976596398</v>
      </c>
      <c r="AL5734">
        <v>77.619172808365704</v>
      </c>
      <c r="AM5734">
        <v>97.165844190014298</v>
      </c>
      <c r="AN5734">
        <v>1.0000000343209401</v>
      </c>
    </row>
    <row r="5735" spans="1:40" x14ac:dyDescent="0.25">
      <c r="A5735" t="str">
        <f>"20190303170647951"</f>
        <v>20190303170647951</v>
      </c>
      <c r="B5735" t="str">
        <f>"1551604007940258"</f>
        <v>1551604007940258</v>
      </c>
      <c r="C5735" t="s">
        <v>40</v>
      </c>
      <c r="D5735">
        <v>5.357456</v>
      </c>
      <c r="E5735">
        <v>0.38005729999999999</v>
      </c>
      <c r="F5735" t="s">
        <v>86</v>
      </c>
      <c r="G5735">
        <v>-157.3501</v>
      </c>
      <c r="H5735">
        <v>2.7690709999999998</v>
      </c>
      <c r="I5735">
        <v>9.4694179999999992</v>
      </c>
      <c r="J5735">
        <v>-194.9502</v>
      </c>
      <c r="K5735">
        <v>1.1349309999999999</v>
      </c>
      <c r="L5735">
        <v>-58.172449999999998</v>
      </c>
      <c r="M5735">
        <v>0.80344979999999999</v>
      </c>
      <c r="N5735">
        <v>-1.5820190000000001E-2</v>
      </c>
      <c r="O5735">
        <v>0.59516239999999998</v>
      </c>
      <c r="P5735">
        <v>0.71305699999999905</v>
      </c>
      <c r="Q5735">
        <v>0.20285210000000001</v>
      </c>
      <c r="R5735">
        <v>0.67111899999999902</v>
      </c>
      <c r="S5735">
        <v>1.5607599999999999</v>
      </c>
      <c r="T5735">
        <v>6.7609669999999997E-2</v>
      </c>
      <c r="U5735">
        <v>2.8025820000000001</v>
      </c>
      <c r="V5735">
        <v>-0.122227</v>
      </c>
      <c r="W5735">
        <v>0.21416070000000001</v>
      </c>
      <c r="X5735">
        <v>0.96912109999999996</v>
      </c>
      <c r="Y5735">
        <v>-0.41261759999999997</v>
      </c>
      <c r="Z5735">
        <v>2.104485E-2</v>
      </c>
      <c r="AA5735">
        <v>0.91066119999999995</v>
      </c>
      <c r="AB5735">
        <v>34</v>
      </c>
      <c r="AC5735">
        <v>37.600099999999998</v>
      </c>
      <c r="AD5735">
        <v>1.6341399999999999</v>
      </c>
      <c r="AE5735">
        <v>67.641868000000002</v>
      </c>
      <c r="AF5735">
        <v>-31.958429200421101</v>
      </c>
      <c r="AG5735">
        <v>1.6341399999999999</v>
      </c>
      <c r="AH5735">
        <v>70.4450947360383</v>
      </c>
      <c r="AI5735">
        <v>88.789800807090998</v>
      </c>
      <c r="AJ5735">
        <v>114.402102504072</v>
      </c>
      <c r="AK5735">
        <v>77.372624246999294</v>
      </c>
      <c r="AL5735">
        <v>77.633707607848393</v>
      </c>
      <c r="AM5735">
        <v>97.1882758390162</v>
      </c>
      <c r="AN5735">
        <v>0.99999997570934895</v>
      </c>
    </row>
    <row r="5736" spans="1:40" x14ac:dyDescent="0.25">
      <c r="A5736" t="str">
        <f>"20190303170647961"</f>
        <v>20190303170647961</v>
      </c>
      <c r="B5736" t="str">
        <f>"1551604007950994"</f>
        <v>1551604007950994</v>
      </c>
      <c r="C5736" t="s">
        <v>40</v>
      </c>
      <c r="D5736">
        <v>5.3706829999999997</v>
      </c>
      <c r="E5736">
        <v>0.3811909</v>
      </c>
      <c r="F5736" t="s">
        <v>86</v>
      </c>
      <c r="G5736">
        <v>-157.41220000000001</v>
      </c>
      <c r="H5736">
        <v>2.6827549999999998</v>
      </c>
      <c r="I5736">
        <v>10.044689999999999</v>
      </c>
      <c r="J5736">
        <v>-194.82820000000001</v>
      </c>
      <c r="K5736">
        <v>1.134935</v>
      </c>
      <c r="L5736">
        <v>-58.076079999999997</v>
      </c>
      <c r="M5736">
        <v>0.79917260000000001</v>
      </c>
      <c r="N5736">
        <v>-1.582453E-2</v>
      </c>
      <c r="O5736">
        <v>0.60089329999999996</v>
      </c>
      <c r="P5736">
        <v>0.70810200000000001</v>
      </c>
      <c r="Q5736">
        <v>0.20259250000000001</v>
      </c>
      <c r="R5736">
        <v>0.67642290000000005</v>
      </c>
      <c r="S5736">
        <v>1.5455779999999999</v>
      </c>
      <c r="T5736">
        <v>6.372941E-2</v>
      </c>
      <c r="U5736">
        <v>2.8087460000000002</v>
      </c>
      <c r="V5736">
        <v>-0.12248100000000001</v>
      </c>
      <c r="W5736">
        <v>0.21389569999999999</v>
      </c>
      <c r="X5736">
        <v>0.9691476</v>
      </c>
      <c r="Y5736">
        <v>-0.4107111</v>
      </c>
      <c r="Z5736">
        <v>2.0755570000000001E-2</v>
      </c>
      <c r="AA5736">
        <v>0.91152920000000004</v>
      </c>
      <c r="AB5736">
        <v>34</v>
      </c>
      <c r="AC5736">
        <v>37.415999999999997</v>
      </c>
      <c r="AD5736">
        <v>1.54781999999999</v>
      </c>
      <c r="AE5736">
        <v>68.120769999999993</v>
      </c>
      <c r="AF5736">
        <v>-31.9485594548139</v>
      </c>
      <c r="AG5736">
        <v>1.54781999999999</v>
      </c>
      <c r="AH5736">
        <v>70.815939348090694</v>
      </c>
      <c r="AI5736">
        <v>88.8586334738266</v>
      </c>
      <c r="AJ5736">
        <v>114.282481354884</v>
      </c>
      <c r="AK5736">
        <v>77.704591008142103</v>
      </c>
      <c r="AL5736">
        <v>77.649251706643994</v>
      </c>
      <c r="AM5736">
        <v>97.202862172836703</v>
      </c>
      <c r="AN5736">
        <v>1.0000000182126201</v>
      </c>
    </row>
    <row r="5737" spans="1:40" x14ac:dyDescent="0.25">
      <c r="A5737" t="str">
        <f>"20190303170647973"</f>
        <v>20190303170647973</v>
      </c>
      <c r="B5737" t="str">
        <f>"1551604007960753"</f>
        <v>1551604007960753</v>
      </c>
      <c r="C5737" t="s">
        <v>40</v>
      </c>
      <c r="D5737">
        <v>5.3527639999999996</v>
      </c>
      <c r="E5737">
        <v>0.38190210000000002</v>
      </c>
      <c r="F5737" t="s">
        <v>86</v>
      </c>
      <c r="G5737">
        <v>-157.7516</v>
      </c>
      <c r="H5737">
        <v>2.5557660000000002</v>
      </c>
      <c r="I5737">
        <v>10.044700000000001</v>
      </c>
      <c r="J5737">
        <v>-194.6927</v>
      </c>
      <c r="K5737">
        <v>1.134933</v>
      </c>
      <c r="L5737">
        <v>-57.966250000000002</v>
      </c>
      <c r="M5737">
        <v>0.7943209</v>
      </c>
      <c r="N5737">
        <v>-1.582888E-2</v>
      </c>
      <c r="O5737">
        <v>0.60729219999999995</v>
      </c>
      <c r="P5737">
        <v>0.70230619999999999</v>
      </c>
      <c r="Q5737">
        <v>0.20243</v>
      </c>
      <c r="R5737">
        <v>0.682486699999999</v>
      </c>
      <c r="S5737">
        <v>1.5316620000000001</v>
      </c>
      <c r="T5737">
        <v>5.8695549999999999E-2</v>
      </c>
      <c r="U5737">
        <v>2.814117</v>
      </c>
      <c r="V5737">
        <v>-0.1230007</v>
      </c>
      <c r="W5737">
        <v>0.2137173</v>
      </c>
      <c r="X5737">
        <v>0.96912109999999996</v>
      </c>
      <c r="Y5737">
        <v>-0.40757729999999998</v>
      </c>
      <c r="Z5737">
        <v>2.0315039999999999E-2</v>
      </c>
      <c r="AA5737">
        <v>0.91294470000000005</v>
      </c>
      <c r="AB5737">
        <v>34</v>
      </c>
      <c r="AC5737">
        <v>36.941099999999999</v>
      </c>
      <c r="AD5737">
        <v>1.420833</v>
      </c>
      <c r="AE5737">
        <v>68.010949999999994</v>
      </c>
      <c r="AF5737">
        <v>-31.581790648376</v>
      </c>
      <c r="AG5737">
        <v>1.420833</v>
      </c>
      <c r="AH5737">
        <v>70.630653372846098</v>
      </c>
      <c r="AI5737">
        <v>88.947929319773493</v>
      </c>
      <c r="AJ5737">
        <v>114.09132873175101</v>
      </c>
      <c r="AK5737">
        <v>77.382927463665297</v>
      </c>
      <c r="AL5737">
        <v>77.659714771481305</v>
      </c>
      <c r="AM5737">
        <v>97.2332973693984</v>
      </c>
      <c r="AN5737">
        <v>0.99999998149249403</v>
      </c>
    </row>
    <row r="5738" spans="1:40" x14ac:dyDescent="0.25">
      <c r="A5738" t="str">
        <f>"20190303170647986"</f>
        <v>20190303170647986</v>
      </c>
      <c r="B5738" t="str">
        <f>"1551604007970513"</f>
        <v>1551604007970513</v>
      </c>
      <c r="C5738" t="s">
        <v>40</v>
      </c>
      <c r="D5738">
        <v>5.3429849999999997</v>
      </c>
      <c r="E5738">
        <v>0.38264530000000002</v>
      </c>
      <c r="F5738" t="s">
        <v>86</v>
      </c>
      <c r="G5738">
        <v>-157.93819999999999</v>
      </c>
      <c r="H5738">
        <v>2.4589400000000001</v>
      </c>
      <c r="I5738">
        <v>10.674010000000001</v>
      </c>
      <c r="J5738">
        <v>-194.55770000000001</v>
      </c>
      <c r="K5738">
        <v>1.1349370000000001</v>
      </c>
      <c r="L5738">
        <v>-57.856020000000001</v>
      </c>
      <c r="M5738">
        <v>0.78942080000000003</v>
      </c>
      <c r="N5738">
        <v>-1.5833E-2</v>
      </c>
      <c r="O5738">
        <v>0.61364810000000003</v>
      </c>
      <c r="P5738">
        <v>0.69649819999999996</v>
      </c>
      <c r="Q5738">
        <v>0.20251140000000001</v>
      </c>
      <c r="R5738">
        <v>0.68838900000000003</v>
      </c>
      <c r="S5738">
        <v>1.511978</v>
      </c>
      <c r="T5738">
        <v>5.4465890000000003E-2</v>
      </c>
      <c r="U5738">
        <v>2.8236690000000002</v>
      </c>
      <c r="V5738">
        <v>-0.12342160000000001</v>
      </c>
      <c r="W5738">
        <v>0.21378620000000001</v>
      </c>
      <c r="X5738">
        <v>0.96905240000000004</v>
      </c>
      <c r="Y5738">
        <v>-0.40646500000000002</v>
      </c>
      <c r="Z5738">
        <v>1.9953060000000002E-2</v>
      </c>
      <c r="AA5738">
        <v>0.9134485</v>
      </c>
      <c r="AB5738">
        <v>34</v>
      </c>
      <c r="AC5738">
        <v>36.619500000000002</v>
      </c>
      <c r="AD5738">
        <v>1.324003</v>
      </c>
      <c r="AE5738">
        <v>68.530029999999996</v>
      </c>
      <c r="AF5738">
        <v>-31.622329760031</v>
      </c>
      <c r="AG5738">
        <v>1.324003</v>
      </c>
      <c r="AH5738">
        <v>70.949817555015997</v>
      </c>
      <c r="AI5738">
        <v>89.0234997615986</v>
      </c>
      <c r="AJ5738">
        <v>114.022530296265</v>
      </c>
      <c r="AK5738">
        <v>77.689132666584797</v>
      </c>
      <c r="AL5738">
        <v>77.655673830416305</v>
      </c>
      <c r="AM5738">
        <v>97.258294780041297</v>
      </c>
      <c r="AN5738">
        <v>0.99999999230138004</v>
      </c>
    </row>
    <row r="5739" spans="1:40" x14ac:dyDescent="0.25">
      <c r="A5739" t="str">
        <f>"20190303170647998"</f>
        <v>20190303170647998</v>
      </c>
      <c r="B5739" t="str">
        <f>"1551604007991011"</f>
        <v>1551604007991011</v>
      </c>
      <c r="C5739" t="s">
        <v>40</v>
      </c>
      <c r="D5739">
        <v>5.3476309999999998</v>
      </c>
      <c r="E5739">
        <v>0.38311919999999999</v>
      </c>
      <c r="F5739" t="s">
        <v>86</v>
      </c>
      <c r="G5739">
        <v>-157.93819999999999</v>
      </c>
      <c r="H5739">
        <v>2.4219110000000001</v>
      </c>
      <c r="I5739">
        <v>11.63138</v>
      </c>
      <c r="J5739">
        <v>-194.4014</v>
      </c>
      <c r="K5739">
        <v>1.1349400000000001</v>
      </c>
      <c r="L5739">
        <v>-57.725369999999998</v>
      </c>
      <c r="M5739">
        <v>0.78362480000000001</v>
      </c>
      <c r="N5739">
        <v>-1.583731E-2</v>
      </c>
      <c r="O5739">
        <v>0.62103249999999999</v>
      </c>
      <c r="P5739">
        <v>0.68983349999999999</v>
      </c>
      <c r="Q5739">
        <v>0.20282510000000001</v>
      </c>
      <c r="R5739">
        <v>0.69497609999999999</v>
      </c>
      <c r="S5739">
        <v>1.4926299999999999</v>
      </c>
      <c r="T5739">
        <v>5.2457570000000002E-2</v>
      </c>
      <c r="U5739">
        <v>2.8323360000000002</v>
      </c>
      <c r="V5739">
        <v>-0.12360160000000001</v>
      </c>
      <c r="W5739">
        <v>0.21409600000000001</v>
      </c>
      <c r="X5739">
        <v>0.96896110000000002</v>
      </c>
      <c r="Y5739">
        <v>-0.40391450000000001</v>
      </c>
      <c r="Z5739">
        <v>1.9919470000000002E-2</v>
      </c>
      <c r="AA5739">
        <v>0.9145799</v>
      </c>
      <c r="AB5739">
        <v>34</v>
      </c>
      <c r="AC5739">
        <v>36.463200000000001</v>
      </c>
      <c r="AD5739">
        <v>1.2869709999999901</v>
      </c>
      <c r="AE5739">
        <v>69.356750000000005</v>
      </c>
      <c r="AF5739">
        <v>-31.700262331762399</v>
      </c>
      <c r="AG5739">
        <v>1.2869709999999901</v>
      </c>
      <c r="AH5739">
        <v>71.635925652600605</v>
      </c>
      <c r="AI5739">
        <v>89.058786872344101</v>
      </c>
      <c r="AJ5739">
        <v>113.870303197339</v>
      </c>
      <c r="AK5739">
        <v>78.347104415940706</v>
      </c>
      <c r="AL5739">
        <v>77.637503389084998</v>
      </c>
      <c r="AM5739">
        <v>97.269444828267197</v>
      </c>
      <c r="AN5739">
        <v>1.00000003302588</v>
      </c>
    </row>
    <row r="5740" spans="1:40" x14ac:dyDescent="0.25">
      <c r="A5740" t="str">
        <f>"20190303170648010"</f>
        <v>20190303170648010</v>
      </c>
      <c r="B5740" t="str">
        <f>"1551604008000770"</f>
        <v>1551604008000770</v>
      </c>
      <c r="C5740" t="s">
        <v>40</v>
      </c>
      <c r="D5740">
        <v>5.2267489999999999</v>
      </c>
      <c r="E5740">
        <v>0.35918549999999999</v>
      </c>
      <c r="F5740" t="s">
        <v>86</v>
      </c>
      <c r="G5740">
        <v>-157.93819999999999</v>
      </c>
      <c r="H5740">
        <v>2.440798</v>
      </c>
      <c r="I5740">
        <v>12.91141</v>
      </c>
      <c r="J5740">
        <v>-194.26990000000001</v>
      </c>
      <c r="K5740">
        <v>1.1349419999999999</v>
      </c>
      <c r="L5740">
        <v>-57.613399999999999</v>
      </c>
      <c r="M5740">
        <v>0.77865220000000002</v>
      </c>
      <c r="N5740">
        <v>-1.584058E-2</v>
      </c>
      <c r="O5740">
        <v>0.62725589999999998</v>
      </c>
      <c r="P5740">
        <v>0.68407689999999999</v>
      </c>
      <c r="Q5740">
        <v>0.20326420000000001</v>
      </c>
      <c r="R5740">
        <v>0.70051589999999997</v>
      </c>
      <c r="S5740">
        <v>1.46814</v>
      </c>
      <c r="T5740">
        <v>5.257833E-2</v>
      </c>
      <c r="U5740">
        <v>2.8440859999999999</v>
      </c>
      <c r="V5740">
        <v>-0.12379229999999999</v>
      </c>
      <c r="W5740">
        <v>0.21452959999999999</v>
      </c>
      <c r="X5740">
        <v>0.96884079999999995</v>
      </c>
      <c r="Y5740">
        <v>-0.40438390000000002</v>
      </c>
      <c r="Z5740">
        <v>2.014262E-2</v>
      </c>
      <c r="AA5740">
        <v>0.9143675</v>
      </c>
      <c r="AB5740">
        <v>34</v>
      </c>
      <c r="AC5740">
        <v>36.331699999999998</v>
      </c>
      <c r="AD5740">
        <v>1.3058559999999999</v>
      </c>
      <c r="AE5740">
        <v>70.524810000000002</v>
      </c>
      <c r="AF5740">
        <v>-32.120351452178397</v>
      </c>
      <c r="AG5740">
        <v>1.3058559999999999</v>
      </c>
      <c r="AH5740">
        <v>72.516309467769204</v>
      </c>
      <c r="AI5740">
        <v>89.056717248205899</v>
      </c>
      <c r="AJ5740">
        <v>113.890453792274</v>
      </c>
      <c r="AK5740">
        <v>79.322363656975597</v>
      </c>
      <c r="AL5740">
        <v>77.612068422598099</v>
      </c>
      <c r="AM5740">
        <v>97.281434631286601</v>
      </c>
      <c r="AN5740">
        <v>0.99999998928004497</v>
      </c>
    </row>
    <row r="5741" spans="1:40" x14ac:dyDescent="0.25">
      <c r="A5741" t="str">
        <f>"20190303170648024"</f>
        <v>20190303170648024</v>
      </c>
      <c r="B5741" t="str">
        <f>"1551604008010530"</f>
        <v>1551604008010530</v>
      </c>
      <c r="C5741" t="s">
        <v>40</v>
      </c>
      <c r="D5741">
        <v>5.3474209999999998</v>
      </c>
      <c r="E5741">
        <v>0.35505819999999999</v>
      </c>
      <c r="F5741" t="s">
        <v>86</v>
      </c>
      <c r="G5741">
        <v>-165.88910000000001</v>
      </c>
      <c r="H5741">
        <v>4.5155570000000003</v>
      </c>
      <c r="I5741">
        <v>7.3802320000000003</v>
      </c>
      <c r="J5741">
        <v>-194.11869999999999</v>
      </c>
      <c r="K5741">
        <v>1.134943</v>
      </c>
      <c r="L5741">
        <v>-57.483150000000002</v>
      </c>
      <c r="M5741">
        <v>0.77284399999999998</v>
      </c>
      <c r="N5741">
        <v>-1.584408E-2</v>
      </c>
      <c r="O5741">
        <v>0.63439820000000002</v>
      </c>
      <c r="P5741">
        <v>0.67757000000000001</v>
      </c>
      <c r="Q5741">
        <v>0.2040228</v>
      </c>
      <c r="R5741">
        <v>0.70659300000000003</v>
      </c>
      <c r="S5741">
        <v>1.297302</v>
      </c>
      <c r="T5741">
        <v>0.15452920000000001</v>
      </c>
      <c r="U5741">
        <v>2.9708860000000001</v>
      </c>
      <c r="V5741">
        <v>-0.1236883</v>
      </c>
      <c r="W5741">
        <v>0.2152934</v>
      </c>
      <c r="X5741">
        <v>0.96868469999999995</v>
      </c>
      <c r="Y5741">
        <v>-0.45489289999999999</v>
      </c>
      <c r="Z5741">
        <v>3.4345999999999897E-2</v>
      </c>
      <c r="AA5741">
        <v>0.889883599999999</v>
      </c>
      <c r="AB5741">
        <v>34</v>
      </c>
      <c r="AC5741">
        <v>28.229599999999898</v>
      </c>
      <c r="AD5741">
        <v>3.380614</v>
      </c>
      <c r="AE5741">
        <v>64.863382000000001</v>
      </c>
      <c r="AF5741">
        <v>-32.151086969110601</v>
      </c>
      <c r="AG5741">
        <v>3.380614</v>
      </c>
      <c r="AH5741">
        <v>62.830702760173203</v>
      </c>
      <c r="AI5741">
        <v>87.257723978622096</v>
      </c>
      <c r="AJ5741">
        <v>117.099271527388</v>
      </c>
      <c r="AK5741">
        <v>70.659876547086796</v>
      </c>
      <c r="AL5741">
        <v>77.567259577383297</v>
      </c>
      <c r="AM5741">
        <v>97.276542782630102</v>
      </c>
      <c r="AN5741">
        <v>1.00000004582726</v>
      </c>
    </row>
    <row r="5742" spans="1:40" x14ac:dyDescent="0.25">
      <c r="A5742" t="str">
        <f>"20190303170648041"</f>
        <v>20190303170648041</v>
      </c>
      <c r="B5742" t="str">
        <f>"1551604008030051"</f>
        <v>1551604008030051</v>
      </c>
      <c r="C5742" t="s">
        <v>40</v>
      </c>
      <c r="D5742">
        <v>5.3441080000000003</v>
      </c>
      <c r="E5742">
        <v>0.35107539999999998</v>
      </c>
      <c r="F5742" t="s">
        <v>86</v>
      </c>
      <c r="G5742">
        <v>-167.22409999999999</v>
      </c>
      <c r="H5742">
        <v>4.6524479999999997</v>
      </c>
      <c r="I5742">
        <v>7.3802329999999996</v>
      </c>
      <c r="J5742">
        <v>-193.92679999999999</v>
      </c>
      <c r="K5742">
        <v>1.134949</v>
      </c>
      <c r="L5742">
        <v>-57.313540000000003</v>
      </c>
      <c r="M5742">
        <v>0.76528890000000005</v>
      </c>
      <c r="N5742">
        <v>-1.5847920000000001E-2</v>
      </c>
      <c r="O5742">
        <v>0.64349190000000001</v>
      </c>
      <c r="P5742">
        <v>0.66899090000000005</v>
      </c>
      <c r="Q5742">
        <v>0.20490710000000001</v>
      </c>
      <c r="R5742">
        <v>0.71446790000000004</v>
      </c>
      <c r="S5742">
        <v>1.2456510000000001</v>
      </c>
      <c r="T5742">
        <v>0.16291639999999999</v>
      </c>
      <c r="U5742">
        <v>3.0042110000000002</v>
      </c>
      <c r="V5742">
        <v>-0.12376479999999999</v>
      </c>
      <c r="W5742">
        <v>0.2161766</v>
      </c>
      <c r="X5742">
        <v>0.96847810000000001</v>
      </c>
      <c r="Y5742">
        <v>-0.46098640000000002</v>
      </c>
      <c r="Z5742">
        <v>3.5999059999999999E-2</v>
      </c>
      <c r="AA5742">
        <v>0.88667669999999998</v>
      </c>
      <c r="AB5742">
        <v>34</v>
      </c>
      <c r="AC5742">
        <v>26.7027</v>
      </c>
      <c r="AD5742">
        <v>3.5174989999999999</v>
      </c>
      <c r="AE5742">
        <v>64.693772999999993</v>
      </c>
      <c r="AF5742">
        <v>-32.2490553626874</v>
      </c>
      <c r="AG5742">
        <v>3.5174989999999999</v>
      </c>
      <c r="AH5742">
        <v>61.916594913404197</v>
      </c>
      <c r="AI5742">
        <v>87.115559340285898</v>
      </c>
      <c r="AJ5742">
        <v>117.51260594668599</v>
      </c>
      <c r="AK5742">
        <v>69.900208130385906</v>
      </c>
      <c r="AL5742">
        <v>77.515434238145801</v>
      </c>
      <c r="AM5742">
        <v>97.282531513784406</v>
      </c>
      <c r="AN5742">
        <v>0.99999993914310303</v>
      </c>
    </row>
    <row r="5743" spans="1:40" x14ac:dyDescent="0.25">
      <c r="A5743" t="str">
        <f>"20190303170648053"</f>
        <v>20190303170648053</v>
      </c>
      <c r="B5743" t="str">
        <f>"1551604008050546"</f>
        <v>1551604008050546</v>
      </c>
      <c r="C5743" t="s">
        <v>40</v>
      </c>
      <c r="D5743">
        <v>5.2553419999999997</v>
      </c>
      <c r="E5743">
        <v>0.3481284</v>
      </c>
      <c r="F5743" t="s">
        <v>86</v>
      </c>
      <c r="G5743">
        <v>-168.45050000000001</v>
      </c>
      <c r="H5743">
        <v>4.801825</v>
      </c>
      <c r="I5743">
        <v>7.9755919999999998</v>
      </c>
      <c r="J5743">
        <v>-193.7945</v>
      </c>
      <c r="K5743">
        <v>1.1349469999999999</v>
      </c>
      <c r="L5743">
        <v>-57.193759999999997</v>
      </c>
      <c r="M5743">
        <v>0.75995649999999904</v>
      </c>
      <c r="N5743">
        <v>-1.585015E-2</v>
      </c>
      <c r="O5743">
        <v>0.64978059999999904</v>
      </c>
      <c r="P5743">
        <v>0.66296569999999899</v>
      </c>
      <c r="Q5743">
        <v>0.2052484</v>
      </c>
      <c r="R5743">
        <v>0.71996510000000002</v>
      </c>
      <c r="S5743">
        <v>1.1860200000000001</v>
      </c>
      <c r="T5743">
        <v>0.170707</v>
      </c>
      <c r="U5743">
        <v>3.0394589999999999</v>
      </c>
      <c r="V5743">
        <v>-0.1238508</v>
      </c>
      <c r="W5743">
        <v>0.21651690000000001</v>
      </c>
      <c r="X5743">
        <v>0.96839120000000001</v>
      </c>
      <c r="Y5743">
        <v>-0.47229690000000002</v>
      </c>
      <c r="Z5743">
        <v>3.7301479999999998E-2</v>
      </c>
      <c r="AA5743">
        <v>0.88064989999999999</v>
      </c>
      <c r="AB5743">
        <v>34</v>
      </c>
      <c r="AC5743">
        <v>25.343999999999902</v>
      </c>
      <c r="AD5743">
        <v>3.6668780000000001</v>
      </c>
      <c r="AE5743">
        <v>65.169352000000003</v>
      </c>
      <c r="AF5743">
        <v>-32.9713146821937</v>
      </c>
      <c r="AG5743">
        <v>3.6668780000000001</v>
      </c>
      <c r="AH5743">
        <v>61.4448836097746</v>
      </c>
      <c r="AI5743">
        <v>86.989865991068797</v>
      </c>
      <c r="AJ5743">
        <v>118.217999738293</v>
      </c>
      <c r="AK5743">
        <v>69.828556536404705</v>
      </c>
      <c r="AL5743">
        <v>77.495464947707504</v>
      </c>
      <c r="AM5743">
        <v>97.288184444838507</v>
      </c>
      <c r="AN5743">
        <v>1.00000005244184</v>
      </c>
    </row>
    <row r="5744" spans="1:40" x14ac:dyDescent="0.25">
      <c r="A5744" t="str">
        <f>"20190303170648067"</f>
        <v>20190303170648067</v>
      </c>
      <c r="B5744" t="str">
        <f>"1551604008060306"</f>
        <v>1551604008060306</v>
      </c>
      <c r="C5744" t="s">
        <v>40</v>
      </c>
      <c r="D5744">
        <v>5.3944390000000002</v>
      </c>
      <c r="E5744">
        <v>0.34809119999999999</v>
      </c>
      <c r="F5744" t="s">
        <v>85</v>
      </c>
      <c r="G5744">
        <v>-163.07579999999999</v>
      </c>
      <c r="H5744">
        <v>6.072762</v>
      </c>
      <c r="I5744">
        <v>25.184909999999999</v>
      </c>
      <c r="J5744">
        <v>-193.6454</v>
      </c>
      <c r="K5744">
        <v>1.134944</v>
      </c>
      <c r="L5744">
        <v>-57.057160000000003</v>
      </c>
      <c r="M5744">
        <v>0.75385219999999997</v>
      </c>
      <c r="N5744">
        <v>-1.5852479999999999E-2</v>
      </c>
      <c r="O5744">
        <v>0.65685280000000001</v>
      </c>
      <c r="P5744">
        <v>0.65646959999999999</v>
      </c>
      <c r="Q5744">
        <v>0.20523240000000001</v>
      </c>
      <c r="R5744">
        <v>0.72589759999999903</v>
      </c>
      <c r="S5744">
        <v>1.14212</v>
      </c>
      <c r="T5744">
        <v>0.1835878</v>
      </c>
      <c r="U5744">
        <v>3.0628359999999999</v>
      </c>
      <c r="V5744">
        <v>-0.12350360000000001</v>
      </c>
      <c r="W5744">
        <v>0.21651690000000001</v>
      </c>
      <c r="X5744">
        <v>0.9684355</v>
      </c>
      <c r="Y5744">
        <v>-0.47740579999999999</v>
      </c>
      <c r="Z5744">
        <v>3.9535239999999999E-2</v>
      </c>
      <c r="AA5744">
        <v>0.87779309999999999</v>
      </c>
      <c r="AB5744">
        <v>34</v>
      </c>
      <c r="AC5744">
        <v>30.569600000000001</v>
      </c>
      <c r="AD5744">
        <v>4.937818</v>
      </c>
      <c r="AE5744">
        <v>82.242069999999998</v>
      </c>
      <c r="AF5744">
        <v>-41.791542435077503</v>
      </c>
      <c r="AG5744">
        <v>4.937818</v>
      </c>
      <c r="AH5744">
        <v>76.832233501852997</v>
      </c>
      <c r="AI5744">
        <v>86.768724248543606</v>
      </c>
      <c r="AJ5744">
        <v>118.543202652787</v>
      </c>
      <c r="AK5744">
        <v>87.6019815448673</v>
      </c>
      <c r="AL5744">
        <v>77.495464439272396</v>
      </c>
      <c r="AM5744">
        <v>97.267642806340206</v>
      </c>
      <c r="AN5744">
        <v>1.0000000124294099</v>
      </c>
    </row>
    <row r="5745" spans="1:40" x14ac:dyDescent="0.25">
      <c r="A5745" t="str">
        <f>"20190303170648077"</f>
        <v>20190303170648077</v>
      </c>
      <c r="B5745" t="str">
        <f>"1551604008070066"</f>
        <v>1551604008070066</v>
      </c>
      <c r="C5745" t="s">
        <v>40</v>
      </c>
      <c r="D5745">
        <v>5.0621929999999997</v>
      </c>
      <c r="E5745">
        <v>0.34701199999999999</v>
      </c>
      <c r="F5745" t="s">
        <v>85</v>
      </c>
      <c r="G5745">
        <v>-163.81389999999999</v>
      </c>
      <c r="H5745">
        <v>5.9884409999999999</v>
      </c>
      <c r="I5745">
        <v>25.184909999999999</v>
      </c>
      <c r="J5745">
        <v>-193.51859999999999</v>
      </c>
      <c r="K5745">
        <v>1.1349450000000001</v>
      </c>
      <c r="L5745">
        <v>-56.938630000000003</v>
      </c>
      <c r="M5745">
        <v>0.74855539999999998</v>
      </c>
      <c r="N5745">
        <v>-1.5854190000000001E-2</v>
      </c>
      <c r="O5745">
        <v>0.66288269999999905</v>
      </c>
      <c r="P5745">
        <v>0.65080609999999905</v>
      </c>
      <c r="Q5745">
        <v>0.20530609999999999</v>
      </c>
      <c r="R5745">
        <v>0.73095889999999997</v>
      </c>
      <c r="S5745">
        <v>1.1148070000000001</v>
      </c>
      <c r="T5745">
        <v>0.1813757</v>
      </c>
      <c r="U5745">
        <v>3.0733950000000001</v>
      </c>
      <c r="V5745">
        <v>-0.1232425</v>
      </c>
      <c r="W5745">
        <v>0.2166035</v>
      </c>
      <c r="X5745">
        <v>0.96844940000000002</v>
      </c>
      <c r="Y5745">
        <v>-0.47821219999999998</v>
      </c>
      <c r="Z5745">
        <v>3.9687609999999998E-2</v>
      </c>
      <c r="AA5745">
        <v>0.87734719999999999</v>
      </c>
      <c r="AB5745">
        <v>34</v>
      </c>
      <c r="AC5745">
        <v>29.704699999999999</v>
      </c>
      <c r="AD5745">
        <v>4.8534959999999998</v>
      </c>
      <c r="AE5745">
        <v>82.123540000000006</v>
      </c>
      <c r="AF5745">
        <v>-41.659864623071101</v>
      </c>
      <c r="AG5745">
        <v>4.8534959999999998</v>
      </c>
      <c r="AH5745">
        <v>76.447401772223003</v>
      </c>
      <c r="AI5745">
        <v>86.809192652902695</v>
      </c>
      <c r="AJ5745">
        <v>118.588090344829</v>
      </c>
      <c r="AK5745">
        <v>87.196937913887297</v>
      </c>
      <c r="AL5745">
        <v>77.490382050261303</v>
      </c>
      <c r="AM5745">
        <v>97.252338998633903</v>
      </c>
      <c r="AN5745">
        <v>1.0000000151894299</v>
      </c>
    </row>
    <row r="5746" spans="1:40" x14ac:dyDescent="0.25">
      <c r="A5746" t="str">
        <f>"20190303170648089"</f>
        <v>20190303170648089</v>
      </c>
      <c r="B5746" t="str">
        <f>"1551604008080802"</f>
        <v>1551604008080802</v>
      </c>
      <c r="C5746" t="s">
        <v>40</v>
      </c>
      <c r="D5746">
        <v>5.3086690000000001</v>
      </c>
      <c r="E5746">
        <v>0.34753610000000001</v>
      </c>
      <c r="F5746" t="s">
        <v>85</v>
      </c>
      <c r="G5746">
        <v>-164.6789</v>
      </c>
      <c r="H5746">
        <v>6.177073</v>
      </c>
      <c r="I5746">
        <v>25.184899999999999</v>
      </c>
      <c r="J5746">
        <v>-193.4042</v>
      </c>
      <c r="K5746">
        <v>1.134943</v>
      </c>
      <c r="L5746">
        <v>-56.83005</v>
      </c>
      <c r="M5746">
        <v>0.74370059999999905</v>
      </c>
      <c r="N5746">
        <v>-1.585553E-2</v>
      </c>
      <c r="O5746">
        <v>0.6683249</v>
      </c>
      <c r="P5746">
        <v>0.64557549999999997</v>
      </c>
      <c r="Q5746">
        <v>0.20556530000000001</v>
      </c>
      <c r="R5746">
        <v>0.7355102</v>
      </c>
      <c r="S5746">
        <v>1.083755</v>
      </c>
      <c r="T5746">
        <v>0.18947629999999999</v>
      </c>
      <c r="U5746">
        <v>3.08609</v>
      </c>
      <c r="V5746">
        <v>-0.1230392</v>
      </c>
      <c r="W5746">
        <v>0.2168716</v>
      </c>
      <c r="X5746">
        <v>0.96841520000000003</v>
      </c>
      <c r="Y5746">
        <v>-0.48082530000000001</v>
      </c>
      <c r="Z5746">
        <v>4.1243809999999999E-2</v>
      </c>
      <c r="AA5746">
        <v>0.87584580000000001</v>
      </c>
      <c r="AB5746">
        <v>34</v>
      </c>
      <c r="AC5746">
        <v>28.725300000000001</v>
      </c>
      <c r="AD5746">
        <v>5.0421300000000002</v>
      </c>
      <c r="AE5746">
        <v>82.014949999999999</v>
      </c>
      <c r="AF5746">
        <v>-41.661728198531399</v>
      </c>
      <c r="AG5746">
        <v>5.0421300000000002</v>
      </c>
      <c r="AH5746">
        <v>75.929603951345598</v>
      </c>
      <c r="AI5746">
        <v>86.668137798182897</v>
      </c>
      <c r="AJ5746">
        <v>118.753086179875</v>
      </c>
      <c r="AK5746">
        <v>86.754985030448907</v>
      </c>
      <c r="AL5746">
        <v>77.474646423406895</v>
      </c>
      <c r="AM5746">
        <v>97.2407556402962</v>
      </c>
      <c r="AN5746">
        <v>0.99999996760711896</v>
      </c>
    </row>
    <row r="5747" spans="1:40" x14ac:dyDescent="0.25">
      <c r="A5747" t="str">
        <f>"20190303170648099"</f>
        <v>20190303170648099</v>
      </c>
      <c r="B5747" t="str">
        <f>"1551604008090562"</f>
        <v>1551604008090562</v>
      </c>
      <c r="C5747" t="s">
        <v>40</v>
      </c>
      <c r="D5747">
        <v>5.3159320000000001</v>
      </c>
      <c r="E5747">
        <v>0.34808790000000001</v>
      </c>
      <c r="F5747" t="s">
        <v>85</v>
      </c>
      <c r="G5747">
        <v>-165.1397</v>
      </c>
      <c r="H5747">
        <v>6.0514150000000004</v>
      </c>
      <c r="I5747">
        <v>25.184899999999999</v>
      </c>
      <c r="J5747">
        <v>-193.2903</v>
      </c>
      <c r="K5747">
        <v>1.1349389999999999</v>
      </c>
      <c r="L5747">
        <v>-56.720640000000003</v>
      </c>
      <c r="M5747">
        <v>0.73879779999999995</v>
      </c>
      <c r="N5747">
        <v>-1.5856760000000001E-2</v>
      </c>
      <c r="O5747">
        <v>0.67374060000000002</v>
      </c>
      <c r="P5747">
        <v>0.64032169999999999</v>
      </c>
      <c r="Q5747">
        <v>0.20583670000000001</v>
      </c>
      <c r="R5747">
        <v>0.74001309999999998</v>
      </c>
      <c r="S5747">
        <v>1.0655059999999901</v>
      </c>
      <c r="T5747">
        <v>0.18533920000000001</v>
      </c>
      <c r="U5747">
        <v>3.0917659999999998</v>
      </c>
      <c r="V5747">
        <v>-0.12280919999999999</v>
      </c>
      <c r="W5747">
        <v>0.21715370000000001</v>
      </c>
      <c r="X5747">
        <v>0.96838120000000005</v>
      </c>
      <c r="Y5747">
        <v>-0.4795259</v>
      </c>
      <c r="Z5747">
        <v>4.1115739999999998E-2</v>
      </c>
      <c r="AA5747">
        <v>0.87656399999999901</v>
      </c>
      <c r="AB5747">
        <v>34</v>
      </c>
      <c r="AC5747">
        <v>28.150600000000001</v>
      </c>
      <c r="AD5747">
        <v>4.9164760000000003</v>
      </c>
      <c r="AE5747">
        <v>81.905540000000002</v>
      </c>
      <c r="AF5747">
        <v>-41.417188123752801</v>
      </c>
      <c r="AG5747">
        <v>4.9164760000000003</v>
      </c>
      <c r="AH5747">
        <v>75.746151699245402</v>
      </c>
      <c r="AI5747">
        <v>86.740536416960694</v>
      </c>
      <c r="AJ5747">
        <v>118.669368206071</v>
      </c>
      <c r="AK5747">
        <v>86.469848534515194</v>
      </c>
      <c r="AL5747">
        <v>77.458088962416994</v>
      </c>
      <c r="AM5747">
        <v>97.227614654755598</v>
      </c>
      <c r="AN5747">
        <v>0.99999998877088403</v>
      </c>
    </row>
    <row r="5748" spans="1:40" x14ac:dyDescent="0.25">
      <c r="A5748" t="str">
        <f>"20190303170648110"</f>
        <v>20190303170648110</v>
      </c>
      <c r="B5748" t="str">
        <f>"1551604008100322"</f>
        <v>1551604008100322</v>
      </c>
      <c r="C5748" t="s">
        <v>40</v>
      </c>
      <c r="D5748">
        <v>5.3036890000000003</v>
      </c>
      <c r="E5748">
        <v>0.34858709999999998</v>
      </c>
      <c r="F5748" t="s">
        <v>85</v>
      </c>
      <c r="G5748">
        <v>-165.58629999999999</v>
      </c>
      <c r="H5748">
        <v>5.9245099999999997</v>
      </c>
      <c r="I5748">
        <v>25.184899999999999</v>
      </c>
      <c r="J5748">
        <v>-193.18539999999999</v>
      </c>
      <c r="K5748">
        <v>1.1349370000000001</v>
      </c>
      <c r="L5748">
        <v>-56.617919999999998</v>
      </c>
      <c r="M5748">
        <v>0.73420160000000001</v>
      </c>
      <c r="N5748">
        <v>-1.5857659999999999E-2</v>
      </c>
      <c r="O5748">
        <v>0.67874639999999997</v>
      </c>
      <c r="P5748">
        <v>0.6352816</v>
      </c>
      <c r="Q5748">
        <v>0.20609160000000001</v>
      </c>
      <c r="R5748">
        <v>0.74427379999999999</v>
      </c>
      <c r="S5748">
        <v>1.047577</v>
      </c>
      <c r="T5748">
        <v>0.18110870000000001</v>
      </c>
      <c r="U5748">
        <v>3.0971069999999998</v>
      </c>
      <c r="V5748">
        <v>-0.1227567</v>
      </c>
      <c r="W5748">
        <v>0.21741250000000001</v>
      </c>
      <c r="X5748">
        <v>0.96832980000000002</v>
      </c>
      <c r="Y5748">
        <v>-0.47856330000000002</v>
      </c>
      <c r="Z5748">
        <v>4.0917309999999998E-2</v>
      </c>
      <c r="AA5748">
        <v>0.87709919999999997</v>
      </c>
      <c r="AB5748">
        <v>34</v>
      </c>
      <c r="AC5748">
        <v>27.5991</v>
      </c>
      <c r="AD5748">
        <v>4.7895729999999999</v>
      </c>
      <c r="AE5748">
        <v>81.802819999999997</v>
      </c>
      <c r="AF5748">
        <v>-41.205344745593798</v>
      </c>
      <c r="AG5748">
        <v>4.7895729999999999</v>
      </c>
      <c r="AH5748">
        <v>75.563629965588802</v>
      </c>
      <c r="AI5748">
        <v>86.8148580957983</v>
      </c>
      <c r="AJ5748">
        <v>118.603925484917</v>
      </c>
      <c r="AK5748">
        <v>86.201407289567996</v>
      </c>
      <c r="AL5748">
        <v>77.442898048218296</v>
      </c>
      <c r="AM5748">
        <v>97.224936992323293</v>
      </c>
      <c r="AN5748">
        <v>1.0000000020595901</v>
      </c>
    </row>
    <row r="5749" spans="1:40" x14ac:dyDescent="0.25">
      <c r="A5749" t="str">
        <f>"20190303170648119"</f>
        <v>20190303170648119</v>
      </c>
      <c r="B5749" t="str">
        <f>"1551604008110082"</f>
        <v>1551604008110082</v>
      </c>
      <c r="C5749" t="s">
        <v>40</v>
      </c>
      <c r="D5749">
        <v>5.2985069999999999</v>
      </c>
      <c r="E5749">
        <v>0.34933690000000001</v>
      </c>
      <c r="F5749" t="s">
        <v>85</v>
      </c>
      <c r="G5749">
        <v>-166.02869999999999</v>
      </c>
      <c r="H5749">
        <v>5.8404150000000001</v>
      </c>
      <c r="I5749">
        <v>25.184889999999999</v>
      </c>
      <c r="J5749">
        <v>-193.07499999999999</v>
      </c>
      <c r="K5749">
        <v>1.134933</v>
      </c>
      <c r="L5749">
        <v>-56.50891</v>
      </c>
      <c r="M5749">
        <v>0.72930629999999996</v>
      </c>
      <c r="N5749">
        <v>-1.5858569999999999E-2</v>
      </c>
      <c r="O5749">
        <v>0.68400349999999999</v>
      </c>
      <c r="P5749">
        <v>0.63011680000000003</v>
      </c>
      <c r="Q5749">
        <v>0.20643629999999999</v>
      </c>
      <c r="R5749">
        <v>0.74855660000000002</v>
      </c>
      <c r="S5749">
        <v>1.029892</v>
      </c>
      <c r="T5749">
        <v>0.17845079999999999</v>
      </c>
      <c r="U5749">
        <v>3.1022949999999998</v>
      </c>
      <c r="V5749">
        <v>-0.1224382</v>
      </c>
      <c r="W5749">
        <v>0.21777089999999999</v>
      </c>
      <c r="X5749">
        <v>0.96828959999999997</v>
      </c>
      <c r="Y5749">
        <v>-0.4771917</v>
      </c>
      <c r="Z5749">
        <v>4.0967370000000003E-2</v>
      </c>
      <c r="AA5749">
        <v>0.87784379999999995</v>
      </c>
      <c r="AB5749">
        <v>34</v>
      </c>
      <c r="AC5749">
        <v>27.046299999999999</v>
      </c>
      <c r="AD5749">
        <v>4.7054819999999999</v>
      </c>
      <c r="AE5749">
        <v>81.693799999999996</v>
      </c>
      <c r="AF5749">
        <v>-40.962730940626798</v>
      </c>
      <c r="AG5749">
        <v>4.7054819999999999</v>
      </c>
      <c r="AH5749">
        <v>75.387987575033094</v>
      </c>
      <c r="AI5749">
        <v>86.860830218682906</v>
      </c>
      <c r="AJ5749">
        <v>118.517837064565</v>
      </c>
      <c r="AK5749">
        <v>85.926919865545401</v>
      </c>
      <c r="AL5749">
        <v>77.421859293556196</v>
      </c>
      <c r="AM5749">
        <v>97.206684799349702</v>
      </c>
      <c r="AN5749">
        <v>1.0000000135870999</v>
      </c>
    </row>
    <row r="5750" spans="1:40" x14ac:dyDescent="0.25">
      <c r="A5750" t="str">
        <f>"20190303170648131"</f>
        <v>20190303170648131</v>
      </c>
      <c r="B5750" t="str">
        <f>"1551604008120818"</f>
        <v>1551604008120818</v>
      </c>
      <c r="C5750" t="s">
        <v>40</v>
      </c>
      <c r="D5750">
        <v>5.1118930000000002</v>
      </c>
      <c r="E5750">
        <v>0.34881640000000003</v>
      </c>
      <c r="F5750" t="s">
        <v>85</v>
      </c>
      <c r="G5750">
        <v>-166.6344</v>
      </c>
      <c r="H5750">
        <v>5.6803160000000004</v>
      </c>
      <c r="I5750">
        <v>24.492049999999999</v>
      </c>
      <c r="J5750">
        <v>-192.96279999999999</v>
      </c>
      <c r="K5750">
        <v>1.134927</v>
      </c>
      <c r="L5750">
        <v>-56.395690000000002</v>
      </c>
      <c r="M5750">
        <v>0.72423590000000004</v>
      </c>
      <c r="N5750">
        <v>-1.5859169999999999E-2</v>
      </c>
      <c r="O5750">
        <v>0.68936999999999904</v>
      </c>
      <c r="P5750">
        <v>0.62463299999999999</v>
      </c>
      <c r="Q5750">
        <v>0.206709</v>
      </c>
      <c r="R5750">
        <v>0.75306379999999995</v>
      </c>
      <c r="S5750">
        <v>1.013916</v>
      </c>
      <c r="T5750">
        <v>0.1743016</v>
      </c>
      <c r="U5750">
        <v>3.1061399999999999</v>
      </c>
      <c r="V5750">
        <v>-0.1223108</v>
      </c>
      <c r="W5750">
        <v>0.21804960000000001</v>
      </c>
      <c r="X5750">
        <v>0.96824290000000002</v>
      </c>
      <c r="Y5750">
        <v>-0.47509180000000001</v>
      </c>
      <c r="Z5750">
        <v>4.0801879999999999E-2</v>
      </c>
      <c r="AA5750">
        <v>0.87898980000000004</v>
      </c>
      <c r="AB5750">
        <v>34</v>
      </c>
      <c r="AC5750">
        <v>26.328399999999899</v>
      </c>
      <c r="AD5750">
        <v>4.5453890000000001</v>
      </c>
      <c r="AE5750">
        <v>80.887739999999994</v>
      </c>
      <c r="AF5750">
        <v>-40.3217502369586</v>
      </c>
      <c r="AG5750">
        <v>4.5453890000000001</v>
      </c>
      <c r="AH5750">
        <v>74.625885359757703</v>
      </c>
      <c r="AI5750">
        <v>86.932623126828204</v>
      </c>
      <c r="AJ5750">
        <v>118.38317542854099</v>
      </c>
      <c r="AK5750">
        <v>84.944257422504407</v>
      </c>
      <c r="AL5750">
        <v>77.405496788034895</v>
      </c>
      <c r="AM5750">
        <v>97.199608372222499</v>
      </c>
      <c r="AN5750">
        <v>0.99999993662860298</v>
      </c>
    </row>
    <row r="5751" spans="1:40" x14ac:dyDescent="0.25">
      <c r="A5751" t="str">
        <f>"20190303170648142"</f>
        <v>20190303170648142</v>
      </c>
      <c r="B5751" t="str">
        <f>"1551604008130579"</f>
        <v>1551604008130579</v>
      </c>
      <c r="C5751" t="s">
        <v>40</v>
      </c>
      <c r="D5751">
        <v>5.1374610000000001</v>
      </c>
      <c r="E5751">
        <v>0.34849089999999999</v>
      </c>
      <c r="F5751" t="s">
        <v>85</v>
      </c>
      <c r="G5751">
        <v>-167.3176</v>
      </c>
      <c r="H5751">
        <v>5.8148650000000002</v>
      </c>
      <c r="I5751">
        <v>24.492049999999999</v>
      </c>
      <c r="J5751">
        <v>-192.84469999999999</v>
      </c>
      <c r="K5751">
        <v>1.1349180000000001</v>
      </c>
      <c r="L5751">
        <v>-56.275759999999998</v>
      </c>
      <c r="M5751">
        <v>0.71883599999999903</v>
      </c>
      <c r="N5751">
        <v>-1.58597999999999E-2</v>
      </c>
      <c r="O5751">
        <v>0.69499869999999997</v>
      </c>
      <c r="P5751">
        <v>0.61888199999999904</v>
      </c>
      <c r="Q5751">
        <v>0.2073112</v>
      </c>
      <c r="R5751">
        <v>0.75763259999999999</v>
      </c>
      <c r="S5751">
        <v>0.98762510000000003</v>
      </c>
      <c r="T5751">
        <v>0.1802299</v>
      </c>
      <c r="U5751">
        <v>3.1150820000000001</v>
      </c>
      <c r="V5751">
        <v>-0.12202540000000001</v>
      </c>
      <c r="W5751">
        <v>0.21866389999999999</v>
      </c>
      <c r="X5751">
        <v>0.96814040000000001</v>
      </c>
      <c r="Y5751">
        <v>-0.475719</v>
      </c>
      <c r="Z5751">
        <v>4.2154829999999997E-2</v>
      </c>
      <c r="AA5751">
        <v>0.8785866</v>
      </c>
      <c r="AB5751">
        <v>34</v>
      </c>
      <c r="AC5751">
        <v>25.527099999999901</v>
      </c>
      <c r="AD5751">
        <v>4.6799470000000003</v>
      </c>
      <c r="AE5751">
        <v>80.767809999999997</v>
      </c>
      <c r="AF5751">
        <v>-40.199871209622501</v>
      </c>
      <c r="AG5751">
        <v>4.6799470000000003</v>
      </c>
      <c r="AH5751">
        <v>74.265996707394805</v>
      </c>
      <c r="AI5751">
        <v>86.828022521833802</v>
      </c>
      <c r="AJ5751">
        <v>118.426496710869</v>
      </c>
      <c r="AK5751">
        <v>84.577596419712904</v>
      </c>
      <c r="AL5751">
        <v>77.369430038932606</v>
      </c>
      <c r="AM5751">
        <v>97.183737020495002</v>
      </c>
      <c r="AN5751">
        <v>0.99999996676026404</v>
      </c>
    </row>
    <row r="5752" spans="1:40" x14ac:dyDescent="0.25">
      <c r="A5752" t="str">
        <f>"20190303170648153"</f>
        <v>20190303170648153</v>
      </c>
      <c r="B5752" t="str">
        <f>"1551604008140339"</f>
        <v>1551604008140339</v>
      </c>
      <c r="C5752" t="s">
        <v>40</v>
      </c>
      <c r="D5752">
        <v>5.3011509999999999</v>
      </c>
      <c r="E5752">
        <v>0.34908850000000002</v>
      </c>
      <c r="F5752" t="s">
        <v>85</v>
      </c>
      <c r="G5752">
        <v>-167.98779999999999</v>
      </c>
      <c r="H5752">
        <v>5.9826639999999998</v>
      </c>
      <c r="I5752">
        <v>24.492049999999999</v>
      </c>
      <c r="J5752">
        <v>-192.73769999999999</v>
      </c>
      <c r="K5752">
        <v>1.134911</v>
      </c>
      <c r="L5752">
        <v>-56.164279999999998</v>
      </c>
      <c r="M5752">
        <v>0.71384009999999998</v>
      </c>
      <c r="N5752">
        <v>-1.5860050000000001E-2</v>
      </c>
      <c r="O5752">
        <v>0.70012909999999995</v>
      </c>
      <c r="P5752">
        <v>0.61380119999999905</v>
      </c>
      <c r="Q5752">
        <v>0.20743130000000001</v>
      </c>
      <c r="R5752">
        <v>0.76172200000000001</v>
      </c>
      <c r="S5752">
        <v>0.96119690000000002</v>
      </c>
      <c r="T5752">
        <v>0.1874586</v>
      </c>
      <c r="U5752">
        <v>3.12323</v>
      </c>
      <c r="V5752">
        <v>-0.121541899999999</v>
      </c>
      <c r="W5752">
        <v>0.21880350000000001</v>
      </c>
      <c r="X5752">
        <v>0.96816970000000002</v>
      </c>
      <c r="Y5752">
        <v>-0.47688150000000001</v>
      </c>
      <c r="Z5752">
        <v>4.3691870000000001E-2</v>
      </c>
      <c r="AA5752">
        <v>0.87788099999999902</v>
      </c>
      <c r="AB5752">
        <v>34</v>
      </c>
      <c r="AC5752">
        <v>24.7499</v>
      </c>
      <c r="AD5752">
        <v>4.847753</v>
      </c>
      <c r="AE5752">
        <v>80.656329999999997</v>
      </c>
      <c r="AF5752">
        <v>-40.120200274054703</v>
      </c>
      <c r="AG5752">
        <v>4.847753</v>
      </c>
      <c r="AH5752">
        <v>73.902645279344895</v>
      </c>
      <c r="AI5752">
        <v>86.7005985085774</v>
      </c>
      <c r="AJ5752">
        <v>118.496609539266</v>
      </c>
      <c r="AK5752">
        <v>84.230233042916097</v>
      </c>
      <c r="AL5752">
        <v>77.361233308533201</v>
      </c>
      <c r="AM5752">
        <v>97.155354291728798</v>
      </c>
      <c r="AN5752">
        <v>0.99999998653297495</v>
      </c>
    </row>
    <row r="5753" spans="1:40" x14ac:dyDescent="0.25">
      <c r="A5753" t="str">
        <f>"20190303170648163"</f>
        <v>20190303170648163</v>
      </c>
      <c r="B5753" t="str">
        <f>"1551604008150098"</f>
        <v>1551604008150098</v>
      </c>
      <c r="C5753" t="s">
        <v>40</v>
      </c>
      <c r="D5753">
        <v>5.1976089999999999</v>
      </c>
      <c r="E5753">
        <v>0.34895739999999997</v>
      </c>
      <c r="F5753" t="s">
        <v>85</v>
      </c>
      <c r="G5753">
        <v>-168.38589999999999</v>
      </c>
      <c r="H5753">
        <v>5.90259</v>
      </c>
      <c r="I5753">
        <v>24.492039999999999</v>
      </c>
      <c r="J5753">
        <v>-192.6285</v>
      </c>
      <c r="K5753">
        <v>1.134903</v>
      </c>
      <c r="L5753">
        <v>-56.050109999999997</v>
      </c>
      <c r="M5753">
        <v>0.70869139999999997</v>
      </c>
      <c r="N5753">
        <v>-1.58604E-2</v>
      </c>
      <c r="O5753">
        <v>0.70534030000000003</v>
      </c>
      <c r="P5753">
        <v>0.60863659999999997</v>
      </c>
      <c r="Q5753">
        <v>0.20729990000000001</v>
      </c>
      <c r="R5753">
        <v>0.76589050000000003</v>
      </c>
      <c r="S5753">
        <v>0.94418329999999995</v>
      </c>
      <c r="T5753">
        <v>0.18485550000000001</v>
      </c>
      <c r="U5753">
        <v>3.1272579999999999</v>
      </c>
      <c r="V5753">
        <v>-0.1210084</v>
      </c>
      <c r="W5753">
        <v>0.218695</v>
      </c>
      <c r="X5753">
        <v>0.96826109999999999</v>
      </c>
      <c r="Y5753">
        <v>-0.47512520000000003</v>
      </c>
      <c r="Z5753">
        <v>4.3751279999999997E-2</v>
      </c>
      <c r="AA5753">
        <v>0.87882990000000005</v>
      </c>
      <c r="AB5753">
        <v>34</v>
      </c>
      <c r="AC5753">
        <v>24.242599999999999</v>
      </c>
      <c r="AD5753">
        <v>4.7676869999999996</v>
      </c>
      <c r="AE5753">
        <v>80.542149999999907</v>
      </c>
      <c r="AF5753">
        <v>-39.857216449239502</v>
      </c>
      <c r="AG5753">
        <v>4.7676869999999996</v>
      </c>
      <c r="AH5753">
        <v>73.7624590452549</v>
      </c>
      <c r="AI5753">
        <v>86.745376556112106</v>
      </c>
      <c r="AJ5753">
        <v>118.384372752837</v>
      </c>
      <c r="AK5753">
        <v>83.977550016742001</v>
      </c>
      <c r="AL5753">
        <v>77.367604970906896</v>
      </c>
      <c r="AM5753">
        <v>97.123604182334702</v>
      </c>
      <c r="AN5753">
        <v>1.0000000468343799</v>
      </c>
    </row>
    <row r="5754" spans="1:40" x14ac:dyDescent="0.25">
      <c r="A5754" t="str">
        <f>"20190303170648175"</f>
        <v>20190303170648175</v>
      </c>
      <c r="B5754" t="str">
        <f>"1551604008170594"</f>
        <v>1551604008170594</v>
      </c>
      <c r="C5754" t="s">
        <v>40</v>
      </c>
      <c r="D5754">
        <v>5.2534159999999996</v>
      </c>
      <c r="E5754">
        <v>0.34895340000000002</v>
      </c>
      <c r="F5754" t="s">
        <v>85</v>
      </c>
      <c r="G5754">
        <v>-168.9427</v>
      </c>
      <c r="H5754">
        <v>5.9638540000000004</v>
      </c>
      <c r="I5754">
        <v>24.492039999999999</v>
      </c>
      <c r="J5754">
        <v>-192.51320000000001</v>
      </c>
      <c r="K5754">
        <v>1.134884</v>
      </c>
      <c r="L5754">
        <v>-55.926299999999998</v>
      </c>
      <c r="M5754">
        <v>0.70313349999999997</v>
      </c>
      <c r="N5754">
        <v>-1.5860409999999998E-2</v>
      </c>
      <c r="O5754">
        <v>0.71088090000000004</v>
      </c>
      <c r="P5754">
        <v>0.60287179999999996</v>
      </c>
      <c r="Q5754">
        <v>0.2069907</v>
      </c>
      <c r="R5754">
        <v>0.77051959999999997</v>
      </c>
      <c r="S5754">
        <v>0.92158510000000005</v>
      </c>
      <c r="T5754">
        <v>0.1878881</v>
      </c>
      <c r="U5754">
        <v>3.1337890000000002</v>
      </c>
      <c r="V5754">
        <v>-0.1207169</v>
      </c>
      <c r="W5754">
        <v>0.2183996</v>
      </c>
      <c r="X5754">
        <v>0.96836409999999995</v>
      </c>
      <c r="Y5754">
        <v>-0.47456120000000002</v>
      </c>
      <c r="Z5754">
        <v>4.4713280000000001E-2</v>
      </c>
      <c r="AA5754">
        <v>0.87908609999999898</v>
      </c>
      <c r="AB5754">
        <v>34</v>
      </c>
      <c r="AC5754">
        <v>23.570499999999999</v>
      </c>
      <c r="AD5754">
        <v>4.82897</v>
      </c>
      <c r="AE5754">
        <v>80.418340000000001</v>
      </c>
      <c r="AF5754">
        <v>-39.6623179879427</v>
      </c>
      <c r="AG5754">
        <v>4.82897</v>
      </c>
      <c r="AH5754">
        <v>73.506270323923204</v>
      </c>
      <c r="AI5754">
        <v>86.691110471875803</v>
      </c>
      <c r="AJ5754">
        <v>118.350293755141</v>
      </c>
      <c r="AK5754">
        <v>83.663553572456294</v>
      </c>
      <c r="AL5754">
        <v>77.3849487278016</v>
      </c>
      <c r="AM5754">
        <v>97.105871463478906</v>
      </c>
      <c r="AN5754">
        <v>0.99999999269728901</v>
      </c>
    </row>
    <row r="5755" spans="1:40" x14ac:dyDescent="0.25">
      <c r="A5755" t="str">
        <f>"20190303170648187"</f>
        <v>20190303170648187</v>
      </c>
      <c r="B5755" t="str">
        <f>"1551604008180503"</f>
        <v>1551604008180503</v>
      </c>
      <c r="C5755" t="s">
        <v>40</v>
      </c>
      <c r="D5755">
        <v>5.2520369999999996</v>
      </c>
      <c r="E5755">
        <v>0.34914089999999998</v>
      </c>
      <c r="F5755" t="s">
        <v>85</v>
      </c>
      <c r="G5755">
        <v>-169.0839</v>
      </c>
      <c r="H5755">
        <v>6.0950879999999996</v>
      </c>
      <c r="I5755">
        <v>26.055230000000002</v>
      </c>
      <c r="J5755">
        <v>-192.39709999999999</v>
      </c>
      <c r="K5755">
        <v>1.1348720000000001</v>
      </c>
      <c r="L5755">
        <v>-55.800660000000001</v>
      </c>
      <c r="M5755">
        <v>0.69746790000000003</v>
      </c>
      <c r="N5755">
        <v>-1.5860429999999998E-2</v>
      </c>
      <c r="O5755">
        <v>0.71644059999999998</v>
      </c>
      <c r="P5755">
        <v>0.59706709999999996</v>
      </c>
      <c r="Q5755">
        <v>0.2064706</v>
      </c>
      <c r="R5755">
        <v>0.77516499999999999</v>
      </c>
      <c r="S5755">
        <v>0.89744570000000001</v>
      </c>
      <c r="T5755">
        <v>0.1899979</v>
      </c>
      <c r="U5755">
        <v>3.1402589999999999</v>
      </c>
      <c r="V5755">
        <v>-0.1203748</v>
      </c>
      <c r="W5755">
        <v>0.21789649999999999</v>
      </c>
      <c r="X5755">
        <v>0.96852000000000005</v>
      </c>
      <c r="Y5755">
        <v>-0.47430909999999898</v>
      </c>
      <c r="Z5755">
        <v>4.5536439999999997E-2</v>
      </c>
      <c r="AA5755">
        <v>0.87917990000000001</v>
      </c>
      <c r="AB5755">
        <v>34</v>
      </c>
      <c r="AC5755">
        <v>23.313199999999899</v>
      </c>
      <c r="AD5755">
        <v>4.960216</v>
      </c>
      <c r="AE5755">
        <v>81.855890000000002</v>
      </c>
      <c r="AF5755">
        <v>-40.257676065190999</v>
      </c>
      <c r="AG5755">
        <v>4.960216</v>
      </c>
      <c r="AH5755">
        <v>74.660924332292396</v>
      </c>
      <c r="AI5755">
        <v>86.653309844249094</v>
      </c>
      <c r="AJ5755">
        <v>118.33384681885801</v>
      </c>
      <c r="AK5755">
        <v>84.967863613773403</v>
      </c>
      <c r="AL5755">
        <v>77.414485496695903</v>
      </c>
      <c r="AM5755">
        <v>97.084810092937701</v>
      </c>
      <c r="AN5755">
        <v>0.99999998379364397</v>
      </c>
    </row>
    <row r="5756" spans="1:40" x14ac:dyDescent="0.25">
      <c r="A5756" t="str">
        <f>"20190303170648198"</f>
        <v>20190303170648198</v>
      </c>
      <c r="B5756" t="str">
        <f>"1551604008190263"</f>
        <v>1551604008190263</v>
      </c>
      <c r="C5756" t="s">
        <v>40</v>
      </c>
      <c r="D5756">
        <v>5.2686780000000004</v>
      </c>
      <c r="E5756">
        <v>0.34940100000000002</v>
      </c>
      <c r="F5756" t="s">
        <v>85</v>
      </c>
      <c r="G5756">
        <v>-168.50210000000001</v>
      </c>
      <c r="H5756">
        <v>6.3280269999999996</v>
      </c>
      <c r="I5756">
        <v>30.161269999999998</v>
      </c>
      <c r="J5756">
        <v>-192.27799999999999</v>
      </c>
      <c r="K5756">
        <v>1.1348560000000001</v>
      </c>
      <c r="L5756">
        <v>-55.669280000000001</v>
      </c>
      <c r="M5756">
        <v>0.69154749999999998</v>
      </c>
      <c r="N5756">
        <v>-1.5860220000000001E-2</v>
      </c>
      <c r="O5756">
        <v>0.72215680000000004</v>
      </c>
      <c r="P5756">
        <v>0.59074859999999996</v>
      </c>
      <c r="Q5756">
        <v>0.2063767</v>
      </c>
      <c r="R5756">
        <v>0.78001580000000004</v>
      </c>
      <c r="S5756">
        <v>0.87448119999999996</v>
      </c>
      <c r="T5756">
        <v>0.1900531</v>
      </c>
      <c r="U5756">
        <v>3.1459350000000001</v>
      </c>
      <c r="V5756">
        <v>-0.1202807</v>
      </c>
      <c r="W5756">
        <v>0.217809</v>
      </c>
      <c r="X5756">
        <v>0.96855139999999995</v>
      </c>
      <c r="Y5756">
        <v>-0.47343299999999999</v>
      </c>
      <c r="Z5756">
        <v>4.6053749999999997E-2</v>
      </c>
      <c r="AA5756">
        <v>0.87962499999999999</v>
      </c>
      <c r="AB5756">
        <v>34</v>
      </c>
      <c r="AC5756">
        <v>23.775899999999901</v>
      </c>
      <c r="AD5756">
        <v>5.1931710000000004</v>
      </c>
      <c r="AE5756">
        <v>85.830550000000002</v>
      </c>
      <c r="AF5756">
        <v>-42.048320357206997</v>
      </c>
      <c r="AG5756">
        <v>5.1931710000000004</v>
      </c>
      <c r="AH5756">
        <v>78.169375574239794</v>
      </c>
      <c r="AI5756">
        <v>86.651592328830503</v>
      </c>
      <c r="AJ5756">
        <v>118.276383865109</v>
      </c>
      <c r="AK5756">
        <v>88.912774940185699</v>
      </c>
      <c r="AL5756">
        <v>77.419622599983896</v>
      </c>
      <c r="AM5756">
        <v>97.079100756614906</v>
      </c>
      <c r="AN5756">
        <v>1.0000000108577201</v>
      </c>
    </row>
    <row r="5757" spans="1:40" x14ac:dyDescent="0.25">
      <c r="A5757" t="str">
        <f>"20190303170648211"</f>
        <v>20190303170648211</v>
      </c>
      <c r="B5757" t="str">
        <f>"1551604008200023"</f>
        <v>1551604008200023</v>
      </c>
      <c r="C5757" t="s">
        <v>40</v>
      </c>
      <c r="D5757">
        <v>5.3212060000000001</v>
      </c>
      <c r="E5757">
        <v>0.349716799999999</v>
      </c>
      <c r="F5757" t="s">
        <v>85</v>
      </c>
      <c r="G5757">
        <v>-168.50210000000001</v>
      </c>
      <c r="H5757">
        <v>6.4689100000000002</v>
      </c>
      <c r="I5757">
        <v>32.43327</v>
      </c>
      <c r="J5757">
        <v>-192.1549</v>
      </c>
      <c r="K5757">
        <v>1.134838</v>
      </c>
      <c r="L5757">
        <v>-55.530940000000001</v>
      </c>
      <c r="M5757">
        <v>0.68531009999999903</v>
      </c>
      <c r="N5757">
        <v>-1.5859760000000001E-2</v>
      </c>
      <c r="O5757">
        <v>0.72807869999999997</v>
      </c>
      <c r="P5757">
        <v>0.58431679999999997</v>
      </c>
      <c r="Q5757">
        <v>0.2062187</v>
      </c>
      <c r="R5757">
        <v>0.784887</v>
      </c>
      <c r="S5757">
        <v>0.85047909999999904</v>
      </c>
      <c r="T5757">
        <v>0.19080279999999999</v>
      </c>
      <c r="U5757">
        <v>3.1514890000000002</v>
      </c>
      <c r="V5757">
        <v>-0.1199262</v>
      </c>
      <c r="W5757">
        <v>0.21766750000000001</v>
      </c>
      <c r="X5757">
        <v>0.96862720000000002</v>
      </c>
      <c r="Y5757">
        <v>-0.47249540000000001</v>
      </c>
      <c r="Z5757">
        <v>4.6710450000000001E-2</v>
      </c>
      <c r="AA5757">
        <v>0.88009439999999906</v>
      </c>
      <c r="AB5757">
        <v>34</v>
      </c>
      <c r="AC5757">
        <v>23.6527999999999</v>
      </c>
      <c r="AD5757">
        <v>5.3340719999999999</v>
      </c>
      <c r="AE5757">
        <v>87.964209999999994</v>
      </c>
      <c r="AF5757">
        <v>-42.919897702867203</v>
      </c>
      <c r="AG5757">
        <v>5.3340719999999999</v>
      </c>
      <c r="AH5757">
        <v>79.990163722299499</v>
      </c>
      <c r="AI5757">
        <v>86.637173351790807</v>
      </c>
      <c r="AJ5757">
        <v>118.216436209585</v>
      </c>
      <c r="AK5757">
        <v>90.934021330006303</v>
      </c>
      <c r="AL5757">
        <v>77.427929666983701</v>
      </c>
      <c r="AM5757">
        <v>97.057900691565195</v>
      </c>
      <c r="AN5757">
        <v>1.0000000432912599</v>
      </c>
    </row>
    <row r="5758" spans="1:40" x14ac:dyDescent="0.25">
      <c r="A5758" t="str">
        <f>"20190303170648226"</f>
        <v>20190303170648226</v>
      </c>
      <c r="B5758" t="str">
        <f>"1551604008220519"</f>
        <v>1551604008220519</v>
      </c>
      <c r="C5758" t="s">
        <v>40</v>
      </c>
      <c r="D5758">
        <v>5.3180820000000004</v>
      </c>
      <c r="E5758">
        <v>0.35064689999999998</v>
      </c>
      <c r="F5758" t="s">
        <v>85</v>
      </c>
      <c r="G5758">
        <v>-168.50219999999999</v>
      </c>
      <c r="H5758">
        <v>6.6146580000000004</v>
      </c>
      <c r="I5758">
        <v>34.849240000000002</v>
      </c>
      <c r="J5758">
        <v>-192.02199999999999</v>
      </c>
      <c r="K5758">
        <v>1.1348199999999999</v>
      </c>
      <c r="L5758">
        <v>-55.37961</v>
      </c>
      <c r="M5758">
        <v>0.67846799999999996</v>
      </c>
      <c r="N5758">
        <v>-1.5859209999999999E-2</v>
      </c>
      <c r="O5758">
        <v>0.73445879999999997</v>
      </c>
      <c r="P5758">
        <v>0.57717629999999998</v>
      </c>
      <c r="Q5758">
        <v>0.20624629999999999</v>
      </c>
      <c r="R5758">
        <v>0.7901456</v>
      </c>
      <c r="S5758">
        <v>0.82615659999999902</v>
      </c>
      <c r="T5758">
        <v>0.19140289999999999</v>
      </c>
      <c r="U5758">
        <v>3.15686</v>
      </c>
      <c r="V5758">
        <v>-0.11963360000000001</v>
      </c>
      <c r="W5758">
        <v>0.21770900000000001</v>
      </c>
      <c r="X5758">
        <v>0.96865400000000002</v>
      </c>
      <c r="Y5758">
        <v>-0.4709662</v>
      </c>
      <c r="Z5758">
        <v>4.7396609999999999E-2</v>
      </c>
      <c r="AA5758">
        <v>0.88087709999999997</v>
      </c>
      <c r="AB5758">
        <v>34</v>
      </c>
      <c r="AC5758">
        <v>23.5198</v>
      </c>
      <c r="AD5758">
        <v>5.479838</v>
      </c>
      <c r="AE5758">
        <v>90.228849999999994</v>
      </c>
      <c r="AF5758">
        <v>-43.797322711263199</v>
      </c>
      <c r="AG5758">
        <v>5.479838</v>
      </c>
      <c r="AH5758">
        <v>81.954092934457293</v>
      </c>
      <c r="AI5758">
        <v>86.625071552447693</v>
      </c>
      <c r="AJ5758">
        <v>118.12062109601101</v>
      </c>
      <c r="AK5758">
        <v>93.084410348298604</v>
      </c>
      <c r="AL5758">
        <v>77.425492778448501</v>
      </c>
      <c r="AM5758">
        <v>97.040660786238902</v>
      </c>
      <c r="AN5758">
        <v>0.99999998932297995</v>
      </c>
    </row>
    <row r="5759" spans="1:40" x14ac:dyDescent="0.25">
      <c r="A5759" t="str">
        <f>"20190303170648242"</f>
        <v>20190303170648242</v>
      </c>
      <c r="B5759" t="str">
        <f>"1551604008230279"</f>
        <v>1551604008230279</v>
      </c>
      <c r="C5759" t="s">
        <v>40</v>
      </c>
      <c r="D5759">
        <v>5.3248329999999999</v>
      </c>
      <c r="E5759">
        <v>0.3512245</v>
      </c>
      <c r="F5759" t="s">
        <v>85</v>
      </c>
      <c r="G5759">
        <v>-168.50219999999999</v>
      </c>
      <c r="H5759">
        <v>6.6909589999999897</v>
      </c>
      <c r="I5759">
        <v>37.137</v>
      </c>
      <c r="J5759">
        <v>-191.85290000000001</v>
      </c>
      <c r="K5759">
        <v>1.1347989999999999</v>
      </c>
      <c r="L5759">
        <v>-55.182340000000003</v>
      </c>
      <c r="M5759">
        <v>0.66954820000000004</v>
      </c>
      <c r="N5759">
        <v>-1.5858219999999999E-2</v>
      </c>
      <c r="O5759">
        <v>0.74259929999999996</v>
      </c>
      <c r="P5759">
        <v>0.56889080000000003</v>
      </c>
      <c r="Q5759">
        <v>0.2063363</v>
      </c>
      <c r="R5759">
        <v>0.79610839999999905</v>
      </c>
      <c r="S5759">
        <v>0.80343629999999999</v>
      </c>
      <c r="T5759">
        <v>0.18979789999999999</v>
      </c>
      <c r="U5759">
        <v>3.1603699999999999</v>
      </c>
      <c r="V5759">
        <v>-0.11802559999999999</v>
      </c>
      <c r="W5759">
        <v>0.2178602</v>
      </c>
      <c r="X5759">
        <v>0.96881719999999905</v>
      </c>
      <c r="Y5759">
        <v>-0.46648499999999998</v>
      </c>
      <c r="Z5759">
        <v>4.7914449999999997E-2</v>
      </c>
      <c r="AA5759">
        <v>0.88323039999999997</v>
      </c>
      <c r="AB5759">
        <v>33</v>
      </c>
      <c r="AC5759">
        <v>23.3507</v>
      </c>
      <c r="AD5759">
        <v>5.5561599999999904</v>
      </c>
      <c r="AE5759">
        <v>92.319339999999997</v>
      </c>
      <c r="AF5759">
        <v>-44.326724513902498</v>
      </c>
      <c r="AG5759">
        <v>5.5561599999999904</v>
      </c>
      <c r="AH5759">
        <v>83.915607930565201</v>
      </c>
      <c r="AI5759">
        <v>86.649424808742197</v>
      </c>
      <c r="AJ5759">
        <v>117.844348978331</v>
      </c>
      <c r="AK5759">
        <v>95.066075307826495</v>
      </c>
      <c r="AL5759">
        <v>77.416615944013401</v>
      </c>
      <c r="AM5759">
        <v>96.945799126039603</v>
      </c>
      <c r="AN5759">
        <v>0.999999938007617</v>
      </c>
    </row>
    <row r="5760" spans="1:40" x14ac:dyDescent="0.25">
      <c r="A5760" t="str">
        <f>"20190303170648265"</f>
        <v>20190303170648265</v>
      </c>
      <c r="B5760" t="str">
        <f>"1551604008260534"</f>
        <v>1551604008260534</v>
      </c>
      <c r="C5760" t="s">
        <v>40</v>
      </c>
      <c r="D5760">
        <v>5.3856099999999998</v>
      </c>
      <c r="E5760">
        <v>0.35299409999999998</v>
      </c>
      <c r="F5760" t="s">
        <v>85</v>
      </c>
      <c r="G5760">
        <v>-168.50229999999999</v>
      </c>
      <c r="H5760">
        <v>6.8832789999999902</v>
      </c>
      <c r="I5760">
        <v>40.455939999999998</v>
      </c>
      <c r="J5760">
        <v>-191.64449999999999</v>
      </c>
      <c r="K5760">
        <v>1.134779</v>
      </c>
      <c r="L5760">
        <v>-54.931849999999997</v>
      </c>
      <c r="M5760">
        <v>0.65821819999999998</v>
      </c>
      <c r="N5760">
        <v>-1.585642E-2</v>
      </c>
      <c r="O5760">
        <v>0.7526602</v>
      </c>
      <c r="P5760">
        <v>0.55756490000000003</v>
      </c>
      <c r="Q5760">
        <v>0.20621300000000001</v>
      </c>
      <c r="R5760">
        <v>0.80411290000000002</v>
      </c>
      <c r="S5760">
        <v>0.773117099999999</v>
      </c>
      <c r="T5760">
        <v>0.19032740000000001</v>
      </c>
      <c r="U5760">
        <v>3.1665040000000002</v>
      </c>
      <c r="V5760">
        <v>-0.1170586</v>
      </c>
      <c r="W5760">
        <v>0.2177769</v>
      </c>
      <c r="X5760">
        <v>0.96895330000000002</v>
      </c>
      <c r="Y5760">
        <v>-0.46145399999999998</v>
      </c>
      <c r="Z5760">
        <v>4.8968730000000002E-2</v>
      </c>
      <c r="AA5760">
        <v>0.88581160000000003</v>
      </c>
      <c r="AB5760">
        <v>33</v>
      </c>
      <c r="AC5760">
        <v>23.142199999999999</v>
      </c>
      <c r="AD5760">
        <v>5.7484999999999902</v>
      </c>
      <c r="AE5760">
        <v>95.387789999999995</v>
      </c>
      <c r="AF5760">
        <v>-45.218375230155601</v>
      </c>
      <c r="AG5760">
        <v>5.7484999999999902</v>
      </c>
      <c r="AH5760">
        <v>86.740638796926802</v>
      </c>
      <c r="AI5760">
        <v>86.636798677635795</v>
      </c>
      <c r="AJ5760">
        <v>117.533280606454</v>
      </c>
      <c r="AK5760">
        <v>97.988188724989001</v>
      </c>
      <c r="AL5760">
        <v>77.421506837662605</v>
      </c>
      <c r="AM5760">
        <v>96.888482013617804</v>
      </c>
      <c r="AN5760">
        <v>0.99999999579422905</v>
      </c>
    </row>
    <row r="5761" spans="1:40" x14ac:dyDescent="0.25">
      <c r="A5761" t="str">
        <f>"20190303170648277"</f>
        <v>20190303170648277</v>
      </c>
      <c r="B5761" t="str">
        <f>"1551604008270295"</f>
        <v>1551604008270295</v>
      </c>
      <c r="C5761" t="s">
        <v>40</v>
      </c>
      <c r="D5761">
        <v>5.4334449999999999</v>
      </c>
      <c r="E5761">
        <v>0.35354940000000001</v>
      </c>
      <c r="F5761" t="s">
        <v>85</v>
      </c>
      <c r="G5761">
        <v>-168.50229999999999</v>
      </c>
      <c r="H5761">
        <v>6.8576319999999997</v>
      </c>
      <c r="I5761">
        <v>44.285319999999999</v>
      </c>
      <c r="J5761">
        <v>-191.52350000000001</v>
      </c>
      <c r="K5761">
        <v>1.134762</v>
      </c>
      <c r="L5761">
        <v>-54.782620000000001</v>
      </c>
      <c r="M5761">
        <v>0.65146280000000001</v>
      </c>
      <c r="N5761">
        <v>-1.585493E-2</v>
      </c>
      <c r="O5761">
        <v>0.75851489999999999</v>
      </c>
      <c r="P5761">
        <v>0.55063839999999997</v>
      </c>
      <c r="Q5761">
        <v>0.206043</v>
      </c>
      <c r="R5761">
        <v>0.8089151</v>
      </c>
      <c r="S5761">
        <v>0.7396393</v>
      </c>
      <c r="T5761">
        <v>0.1829064</v>
      </c>
      <c r="U5761">
        <v>3.1710509999999998</v>
      </c>
      <c r="V5761">
        <v>-0.1167305</v>
      </c>
      <c r="W5761">
        <v>0.2176215</v>
      </c>
      <c r="X5761">
        <v>0.96902779999999999</v>
      </c>
      <c r="Y5761">
        <v>-0.46264359999999999</v>
      </c>
      <c r="Z5761">
        <v>4.812984E-2</v>
      </c>
      <c r="AA5761">
        <v>0.88523689999999999</v>
      </c>
      <c r="AB5761">
        <v>33</v>
      </c>
      <c r="AC5761">
        <v>23.0212</v>
      </c>
      <c r="AD5761">
        <v>5.7228699999999897</v>
      </c>
      <c r="AE5761">
        <v>99.067939999999993</v>
      </c>
      <c r="AF5761">
        <v>-46.934474266232598</v>
      </c>
      <c r="AG5761">
        <v>5.7228699999999897</v>
      </c>
      <c r="AH5761">
        <v>89.868764312887805</v>
      </c>
      <c r="AI5761">
        <v>86.769309092227104</v>
      </c>
      <c r="AJ5761">
        <v>117.576070984445</v>
      </c>
      <c r="AK5761">
        <v>101.54797346481</v>
      </c>
      <c r="AL5761">
        <v>77.430629477848598</v>
      </c>
      <c r="AM5761">
        <v>96.868836163391805</v>
      </c>
      <c r="AN5761">
        <v>1.00000000203266</v>
      </c>
    </row>
    <row r="5762" spans="1:40" x14ac:dyDescent="0.25">
      <c r="A5762" t="str">
        <f>"20190303170648291"</f>
        <v>20190303170648291</v>
      </c>
      <c r="B5762" t="str">
        <f>"1551604008280636"</f>
        <v>1551604008280636</v>
      </c>
      <c r="C5762" t="s">
        <v>40</v>
      </c>
      <c r="D5762">
        <v>5.5240320000000001</v>
      </c>
      <c r="E5762">
        <v>0.35354940000000001</v>
      </c>
      <c r="F5762" t="s">
        <v>85</v>
      </c>
      <c r="G5762">
        <v>-168.50239999999999</v>
      </c>
      <c r="H5762">
        <v>6.9393419999999999</v>
      </c>
      <c r="I5762">
        <v>47.286580000000001</v>
      </c>
      <c r="J5762">
        <v>-191.40819999999999</v>
      </c>
      <c r="K5762">
        <v>1.1347449999999999</v>
      </c>
      <c r="L5762">
        <v>-54.637970000000003</v>
      </c>
      <c r="M5762">
        <v>0.64491169999999998</v>
      </c>
      <c r="N5762">
        <v>-1.5853320000000001E-2</v>
      </c>
      <c r="O5762">
        <v>0.76409259999999901</v>
      </c>
      <c r="P5762">
        <v>0.54385950000000005</v>
      </c>
      <c r="Q5762">
        <v>0.2056076</v>
      </c>
      <c r="R5762">
        <v>0.81359840000000005</v>
      </c>
      <c r="S5762">
        <v>0.71614069999999996</v>
      </c>
      <c r="T5762">
        <v>0.1805689</v>
      </c>
      <c r="U5762">
        <v>3.1751710000000002</v>
      </c>
      <c r="V5762">
        <v>-0.1165371</v>
      </c>
      <c r="W5762">
        <v>0.21719749999999999</v>
      </c>
      <c r="X5762">
        <v>0.96914619999999996</v>
      </c>
      <c r="Y5762">
        <v>-0.46148889999999998</v>
      </c>
      <c r="Z5762">
        <v>4.8191440000000002E-2</v>
      </c>
      <c r="AA5762">
        <v>0.88583609999999902</v>
      </c>
      <c r="AB5762">
        <v>33</v>
      </c>
      <c r="AC5762">
        <v>22.905799999999999</v>
      </c>
      <c r="AD5762">
        <v>5.8045969999999896</v>
      </c>
      <c r="AE5762">
        <v>101.92455</v>
      </c>
      <c r="AF5762">
        <v>-48.087781458797302</v>
      </c>
      <c r="AG5762">
        <v>5.8045969999999896</v>
      </c>
      <c r="AH5762">
        <v>92.378454953936597</v>
      </c>
      <c r="AI5762">
        <v>86.809883631259098</v>
      </c>
      <c r="AJ5762">
        <v>117.499317606441</v>
      </c>
      <c r="AK5762">
        <v>104.30679273967699</v>
      </c>
      <c r="AL5762">
        <v>77.455518231624396</v>
      </c>
      <c r="AM5762">
        <v>96.856734474120998</v>
      </c>
      <c r="AN5762">
        <v>1.0000000033285401</v>
      </c>
    </row>
    <row r="5763" spans="1:40" x14ac:dyDescent="0.25">
      <c r="A5763" t="str">
        <f>"20190303170648305"</f>
        <v>20190303170648305</v>
      </c>
      <c r="B5763" t="str">
        <f>"1551604008300156"</f>
        <v>1551604008300156</v>
      </c>
      <c r="C5763" t="s">
        <v>40</v>
      </c>
      <c r="D5763">
        <v>5.5163830000000003</v>
      </c>
      <c r="E5763">
        <v>0.37802160000000001</v>
      </c>
      <c r="F5763" t="s">
        <v>85</v>
      </c>
      <c r="G5763">
        <v>-168.97470000000001</v>
      </c>
      <c r="H5763">
        <v>6.9558169999999997</v>
      </c>
      <c r="I5763">
        <v>48.85501</v>
      </c>
      <c r="J5763">
        <v>-191.28389999999999</v>
      </c>
      <c r="K5763">
        <v>1.1347259999999999</v>
      </c>
      <c r="L5763">
        <v>-54.479860000000002</v>
      </c>
      <c r="M5763">
        <v>0.63773040000000003</v>
      </c>
      <c r="N5763">
        <v>-1.5851469999999999E-2</v>
      </c>
      <c r="O5763">
        <v>0.77009649999999996</v>
      </c>
      <c r="P5763">
        <v>0.53645769999999904</v>
      </c>
      <c r="Q5763">
        <v>0.20501320000000001</v>
      </c>
      <c r="R5763">
        <v>0.81864689999999996</v>
      </c>
      <c r="S5763">
        <v>0.6895599</v>
      </c>
      <c r="T5763">
        <v>0.17892729999999901</v>
      </c>
      <c r="U5763">
        <v>3.181152</v>
      </c>
      <c r="V5763">
        <v>-0.1163192</v>
      </c>
      <c r="W5763">
        <v>0.21661469999999999</v>
      </c>
      <c r="X5763">
        <v>0.96930280000000002</v>
      </c>
      <c r="Y5763">
        <v>-0.46059650000000002</v>
      </c>
      <c r="Z5763">
        <v>4.8390580000000002E-2</v>
      </c>
      <c r="AA5763">
        <v>0.88628960000000001</v>
      </c>
      <c r="AB5763">
        <v>33</v>
      </c>
      <c r="AC5763">
        <v>22.309199999999901</v>
      </c>
      <c r="AD5763">
        <v>5.8210909999999902</v>
      </c>
      <c r="AE5763">
        <v>103.33487</v>
      </c>
      <c r="AF5763">
        <v>-48.578384293549298</v>
      </c>
      <c r="AG5763">
        <v>5.8210909999999902</v>
      </c>
      <c r="AH5763">
        <v>93.533272793527104</v>
      </c>
      <c r="AI5763">
        <v>86.838730118684893</v>
      </c>
      <c r="AJ5763">
        <v>117.446014986793</v>
      </c>
      <c r="AK5763">
        <v>105.55670343692201</v>
      </c>
      <c r="AL5763">
        <v>77.489724555391007</v>
      </c>
      <c r="AM5763">
        <v>96.842940301275107</v>
      </c>
      <c r="AN5763">
        <v>1.00000000131628</v>
      </c>
    </row>
    <row r="5764" spans="1:40" x14ac:dyDescent="0.25">
      <c r="A5764" t="str">
        <f>"20190303170648321"</f>
        <v>20190303170648321</v>
      </c>
      <c r="B5764" t="str">
        <f>"1551604008310893"</f>
        <v>1551604008310893</v>
      </c>
      <c r="C5764" t="s">
        <v>40</v>
      </c>
      <c r="D5764">
        <v>5.5230699999999997</v>
      </c>
      <c r="E5764">
        <v>0.3797122</v>
      </c>
      <c r="F5764" t="s">
        <v>85</v>
      </c>
      <c r="G5764">
        <v>-168.5008</v>
      </c>
      <c r="H5764">
        <v>2.4741610000000001</v>
      </c>
      <c r="I5764">
        <v>30.525230000000001</v>
      </c>
      <c r="J5764">
        <v>-191.1345</v>
      </c>
      <c r="K5764">
        <v>1.134693</v>
      </c>
      <c r="L5764">
        <v>-54.284730000000003</v>
      </c>
      <c r="M5764">
        <v>0.62888180000000005</v>
      </c>
      <c r="N5764">
        <v>-1.5848580000000001E-2</v>
      </c>
      <c r="O5764">
        <v>0.77733940000000001</v>
      </c>
      <c r="P5764">
        <v>0.52791639999999995</v>
      </c>
      <c r="Q5764">
        <v>0.20460519999999999</v>
      </c>
      <c r="R5764">
        <v>0.82428219999999996</v>
      </c>
      <c r="S5764">
        <v>0.83265689999999903</v>
      </c>
      <c r="T5764">
        <v>4.8952460000000003E-2</v>
      </c>
      <c r="U5764">
        <v>3.1066889999999998</v>
      </c>
      <c r="V5764">
        <v>-0.11534700000000001</v>
      </c>
      <c r="W5764">
        <v>0.21624650000000001</v>
      </c>
      <c r="X5764">
        <v>0.96950119999999895</v>
      </c>
      <c r="Y5764">
        <v>-0.40634890000000001</v>
      </c>
      <c r="Z5764">
        <v>2.42337E-2</v>
      </c>
      <c r="AA5764">
        <v>0.9133966</v>
      </c>
      <c r="AB5764">
        <v>33</v>
      </c>
      <c r="AC5764">
        <v>22.633700000000001</v>
      </c>
      <c r="AD5764">
        <v>1.3394680000000001</v>
      </c>
      <c r="AE5764">
        <v>84.809960000000004</v>
      </c>
      <c r="AF5764">
        <v>-35.7375406196443</v>
      </c>
      <c r="AG5764">
        <v>1.3394680000000001</v>
      </c>
      <c r="AH5764">
        <v>80.151449052900901</v>
      </c>
      <c r="AI5764">
        <v>89.125548628949502</v>
      </c>
      <c r="AJ5764">
        <v>114.03090536624499</v>
      </c>
      <c r="AK5764">
        <v>87.767993991793603</v>
      </c>
      <c r="AL5764">
        <v>77.511333363810607</v>
      </c>
      <c r="AM5764">
        <v>96.784906575159297</v>
      </c>
      <c r="AN5764">
        <v>1.0000000279863399</v>
      </c>
    </row>
    <row r="5765" spans="1:40" x14ac:dyDescent="0.25">
      <c r="A5765" t="str">
        <f>"20190303170648335"</f>
        <v>20190303170648335</v>
      </c>
      <c r="B5765" t="str">
        <f>"1551604008320653"</f>
        <v>1551604008320653</v>
      </c>
      <c r="C5765" t="s">
        <v>40</v>
      </c>
      <c r="D5765">
        <v>5.5109120000000003</v>
      </c>
      <c r="E5765">
        <v>0.37890970000000002</v>
      </c>
      <c r="F5765" t="s">
        <v>85</v>
      </c>
      <c r="G5765">
        <v>-168.50069999999999</v>
      </c>
      <c r="H5765">
        <v>2.1905990000000002</v>
      </c>
      <c r="I5765">
        <v>32.352930000000001</v>
      </c>
      <c r="J5765">
        <v>-191.0147</v>
      </c>
      <c r="K5765">
        <v>1.1346700000000001</v>
      </c>
      <c r="L5765">
        <v>-54.124450000000003</v>
      </c>
      <c r="M5765">
        <v>0.62161860000000002</v>
      </c>
      <c r="N5765">
        <v>-1.5845430000000001E-2</v>
      </c>
      <c r="O5765">
        <v>0.78315979999999996</v>
      </c>
      <c r="P5765">
        <v>0.52079179999999903</v>
      </c>
      <c r="Q5765">
        <v>0.2048143</v>
      </c>
      <c r="R5765">
        <v>0.82875030000000005</v>
      </c>
      <c r="S5765">
        <v>0.81242369999999997</v>
      </c>
      <c r="T5765">
        <v>3.7901039999999997E-2</v>
      </c>
      <c r="U5765">
        <v>3.1098020000000002</v>
      </c>
      <c r="V5765">
        <v>-0.11464000000000001</v>
      </c>
      <c r="W5765">
        <v>0.21648249999999999</v>
      </c>
      <c r="X5765">
        <v>0.96953239999999996</v>
      </c>
      <c r="Y5765">
        <v>-0.40359709999999899</v>
      </c>
      <c r="Z5765">
        <v>2.217568E-2</v>
      </c>
      <c r="AA5765">
        <v>0.91466800000000004</v>
      </c>
      <c r="AB5765">
        <v>33</v>
      </c>
      <c r="AC5765">
        <v>22.513999999999999</v>
      </c>
      <c r="AD5765">
        <v>1.0559289999999999</v>
      </c>
      <c r="AE5765">
        <v>86.477379999999997</v>
      </c>
      <c r="AF5765">
        <v>-36.123379389685702</v>
      </c>
      <c r="AG5765">
        <v>1.0559289999999999</v>
      </c>
      <c r="AH5765">
        <v>81.719577850114703</v>
      </c>
      <c r="AI5765">
        <v>89.322897534577606</v>
      </c>
      <c r="AJ5765">
        <v>113.847379451804</v>
      </c>
      <c r="AK5765">
        <v>89.353807577434395</v>
      </c>
      <c r="AL5765">
        <v>77.497483627500003</v>
      </c>
      <c r="AM5765">
        <v>96.743488793774105</v>
      </c>
      <c r="AN5765">
        <v>1.0000000385279999</v>
      </c>
    </row>
    <row r="5766" spans="1:40" x14ac:dyDescent="0.25">
      <c r="A5766" t="str">
        <f>"20190303170648349"</f>
        <v>20190303170648349</v>
      </c>
      <c r="B5766" t="str">
        <f>"1551604008340172"</f>
        <v>1551604008340172</v>
      </c>
      <c r="C5766" t="s">
        <v>40</v>
      </c>
      <c r="D5766">
        <v>5.5186270000000004</v>
      </c>
      <c r="E5766">
        <v>0.37884040000000002</v>
      </c>
      <c r="F5766" t="s">
        <v>85</v>
      </c>
      <c r="G5766">
        <v>-168.5008</v>
      </c>
      <c r="H5766">
        <v>2.4683619999999999</v>
      </c>
      <c r="I5766">
        <v>35.94229</v>
      </c>
      <c r="J5766">
        <v>-190.88419999999999</v>
      </c>
      <c r="K5766">
        <v>1.1346480000000001</v>
      </c>
      <c r="L5766">
        <v>-53.946959999999997</v>
      </c>
      <c r="M5766">
        <v>0.61356940000000004</v>
      </c>
      <c r="N5766">
        <v>-1.5841419999999998E-2</v>
      </c>
      <c r="O5766">
        <v>0.78948189999999996</v>
      </c>
      <c r="P5766">
        <v>0.51259509999999997</v>
      </c>
      <c r="Q5766">
        <v>0.20477090000000001</v>
      </c>
      <c r="R5766">
        <v>0.83385560000000003</v>
      </c>
      <c r="S5766">
        <v>0.77955629999999998</v>
      </c>
      <c r="T5766">
        <v>4.6180010000000001E-2</v>
      </c>
      <c r="U5766">
        <v>3.1186219999999998</v>
      </c>
      <c r="V5766">
        <v>-0.1142648</v>
      </c>
      <c r="W5766">
        <v>0.21645600000000001</v>
      </c>
      <c r="X5766">
        <v>0.96958259999999996</v>
      </c>
      <c r="Y5766">
        <v>-0.40393459999999998</v>
      </c>
      <c r="Z5766">
        <v>2.403837E-2</v>
      </c>
      <c r="AA5766">
        <v>0.91447199999999995</v>
      </c>
      <c r="AB5766">
        <v>33</v>
      </c>
      <c r="AC5766">
        <v>22.383399999999899</v>
      </c>
      <c r="AD5766">
        <v>1.3337139999999901</v>
      </c>
      <c r="AE5766">
        <v>89.889250000000004</v>
      </c>
      <c r="AF5766">
        <v>-37.478938335660096</v>
      </c>
      <c r="AG5766">
        <v>1.3337139999999901</v>
      </c>
      <c r="AH5766">
        <v>84.692777508889804</v>
      </c>
      <c r="AI5766">
        <v>89.1749618814694</v>
      </c>
      <c r="AJ5766">
        <v>113.87073893326</v>
      </c>
      <c r="AK5766">
        <v>92.624598104241798</v>
      </c>
      <c r="AL5766">
        <v>77.499038749249706</v>
      </c>
      <c r="AM5766">
        <v>96.721275780529396</v>
      </c>
      <c r="AN5766">
        <v>1.0000000313388899</v>
      </c>
    </row>
    <row r="5767" spans="1:40" x14ac:dyDescent="0.25">
      <c r="A5767" t="str">
        <f>"20190303170648366"</f>
        <v>20190303170648366</v>
      </c>
      <c r="B5767" t="str">
        <f>"1551604008350909"</f>
        <v>1551604008350909</v>
      </c>
      <c r="C5767" t="s">
        <v>40</v>
      </c>
      <c r="D5767">
        <v>5.4962929999999997</v>
      </c>
      <c r="E5767">
        <v>0.37963380000000002</v>
      </c>
      <c r="F5767" t="s">
        <v>85</v>
      </c>
      <c r="G5767">
        <v>-168.5009</v>
      </c>
      <c r="H5767">
        <v>2.691907</v>
      </c>
      <c r="I5767">
        <v>39.577269999999999</v>
      </c>
      <c r="J5767">
        <v>-190.74639999999999</v>
      </c>
      <c r="K5767">
        <v>1.13462</v>
      </c>
      <c r="L5767">
        <v>-53.755339999999997</v>
      </c>
      <c r="M5767">
        <v>0.60487860000000004</v>
      </c>
      <c r="N5767">
        <v>-1.583621E-2</v>
      </c>
      <c r="O5767">
        <v>0.79616019999999998</v>
      </c>
      <c r="P5767">
        <v>0.50383059999999902</v>
      </c>
      <c r="Q5767">
        <v>0.20471320000000001</v>
      </c>
      <c r="R5767">
        <v>0.83919439999999901</v>
      </c>
      <c r="S5767">
        <v>0.74795529999999999</v>
      </c>
      <c r="T5767">
        <v>5.2037E-2</v>
      </c>
      <c r="U5767">
        <v>3.1251829999999998</v>
      </c>
      <c r="V5767">
        <v>-0.1137827</v>
      </c>
      <c r="W5767">
        <v>0.21641820000000001</v>
      </c>
      <c r="X5767">
        <v>0.9696477</v>
      </c>
      <c r="Y5767">
        <v>-0.40309879999999998</v>
      </c>
      <c r="Z5767">
        <v>2.545383E-2</v>
      </c>
      <c r="AA5767">
        <v>0.91480240000000002</v>
      </c>
      <c r="AB5767">
        <v>33</v>
      </c>
      <c r="AC5767">
        <v>22.2455</v>
      </c>
      <c r="AD5767">
        <v>1.5572870000000001</v>
      </c>
      <c r="AE5767">
        <v>93.332610000000003</v>
      </c>
      <c r="AF5767">
        <v>-38.738571330600202</v>
      </c>
      <c r="AG5767">
        <v>1.5572870000000001</v>
      </c>
      <c r="AH5767">
        <v>87.751427801814401</v>
      </c>
      <c r="AI5767">
        <v>89.069886689202605</v>
      </c>
      <c r="AJ5767">
        <v>113.819445330267</v>
      </c>
      <c r="AK5767">
        <v>95.934431424767496</v>
      </c>
      <c r="AL5767">
        <v>77.501256728578198</v>
      </c>
      <c r="AM5767">
        <v>96.692730265665702</v>
      </c>
      <c r="AN5767">
        <v>1.00000000111291</v>
      </c>
    </row>
    <row r="5768" spans="1:40" x14ac:dyDescent="0.25">
      <c r="A5768" t="str">
        <f>"20190303170648379"</f>
        <v>20190303170648379</v>
      </c>
      <c r="B5768" t="str">
        <f>"1551604008370429"</f>
        <v>1551604008370429</v>
      </c>
      <c r="C5768" t="s">
        <v>40</v>
      </c>
      <c r="D5768">
        <v>5.5720869999999998</v>
      </c>
      <c r="E5768">
        <v>0.38024780000000002</v>
      </c>
      <c r="F5768" t="s">
        <v>85</v>
      </c>
      <c r="G5768">
        <v>-168.5009</v>
      </c>
      <c r="H5768">
        <v>2.6100970000000001</v>
      </c>
      <c r="I5768">
        <v>42.843960000000003</v>
      </c>
      <c r="J5768">
        <v>-190.62989999999999</v>
      </c>
      <c r="K5768">
        <v>1.134592</v>
      </c>
      <c r="L5768">
        <v>-53.58981</v>
      </c>
      <c r="M5768">
        <v>0.59738249999999904</v>
      </c>
      <c r="N5768">
        <v>-1.5830629999999998E-2</v>
      </c>
      <c r="O5768">
        <v>0.80180019999999996</v>
      </c>
      <c r="P5768">
        <v>0.49595539999999999</v>
      </c>
      <c r="Q5768">
        <v>0.20420679999999999</v>
      </c>
      <c r="R5768">
        <v>0.84399519999999995</v>
      </c>
      <c r="S5768">
        <v>0.72088619999999903</v>
      </c>
      <c r="T5768">
        <v>4.7814370000000002E-2</v>
      </c>
      <c r="U5768">
        <v>3.1304020000000001</v>
      </c>
      <c r="V5768">
        <v>-0.11379839999999999</v>
      </c>
      <c r="W5768">
        <v>0.21591589999999999</v>
      </c>
      <c r="X5768">
        <v>0.96975789999999995</v>
      </c>
      <c r="Y5768">
        <v>-0.40234560000000003</v>
      </c>
      <c r="Z5768">
        <v>2.474527E-2</v>
      </c>
      <c r="AA5768">
        <v>0.91515340000000001</v>
      </c>
      <c r="AB5768">
        <v>33</v>
      </c>
      <c r="AC5768">
        <v>22.128999999999898</v>
      </c>
      <c r="AD5768">
        <v>1.4755049999999901</v>
      </c>
      <c r="AE5768">
        <v>96.433769999999996</v>
      </c>
      <c r="AF5768">
        <v>-39.860940648426897</v>
      </c>
      <c r="AG5768">
        <v>1.4755049999999901</v>
      </c>
      <c r="AH5768">
        <v>90.531305470368295</v>
      </c>
      <c r="AI5768">
        <v>89.1454157762318</v>
      </c>
      <c r="AJ5768">
        <v>113.76389728021999</v>
      </c>
      <c r="AK5768">
        <v>98.929211937382604</v>
      </c>
      <c r="AL5768">
        <v>77.530734181715303</v>
      </c>
      <c r="AM5768">
        <v>96.692891622718506</v>
      </c>
      <c r="AN5768">
        <v>1.0000000681638801</v>
      </c>
    </row>
    <row r="5769" spans="1:40" x14ac:dyDescent="0.25">
      <c r="A5769" t="str">
        <f>"20190303170648400"</f>
        <v>20190303170648400</v>
      </c>
      <c r="B5769" t="str">
        <f>"1551604008390454"</f>
        <v>1551604008390454</v>
      </c>
      <c r="C5769" t="s">
        <v>40</v>
      </c>
      <c r="D5769">
        <v>5.5879839999999996</v>
      </c>
      <c r="E5769">
        <v>0.38134709999999999</v>
      </c>
      <c r="F5769" t="s">
        <v>85</v>
      </c>
      <c r="G5769">
        <v>-168.5009</v>
      </c>
      <c r="H5769">
        <v>2.5774900000000001</v>
      </c>
      <c r="I5769">
        <v>46.067540000000001</v>
      </c>
      <c r="J5769">
        <v>-190.4659</v>
      </c>
      <c r="K5769">
        <v>1.134541</v>
      </c>
      <c r="L5769">
        <v>-53.350740000000002</v>
      </c>
      <c r="M5769">
        <v>0.58657159999999997</v>
      </c>
      <c r="N5769">
        <v>-1.5821129999999999E-2</v>
      </c>
      <c r="O5769">
        <v>0.80974290000000004</v>
      </c>
      <c r="P5769">
        <v>0.48419240000000002</v>
      </c>
      <c r="Q5769">
        <v>0.20290830000000001</v>
      </c>
      <c r="R5769">
        <v>0.85110869999999905</v>
      </c>
      <c r="S5769">
        <v>0.69602969999999997</v>
      </c>
      <c r="T5769">
        <v>4.5383930000000003E-2</v>
      </c>
      <c r="U5769">
        <v>3.1345519999999998</v>
      </c>
      <c r="V5769">
        <v>-0.1143636</v>
      </c>
      <c r="W5769">
        <v>0.21460460000000001</v>
      </c>
      <c r="X5769">
        <v>0.96998240000000002</v>
      </c>
      <c r="Y5769">
        <v>-0.39722030000000003</v>
      </c>
      <c r="Z5769">
        <v>2.4460519999999999E-2</v>
      </c>
      <c r="AA5769">
        <v>0.91739729999999997</v>
      </c>
      <c r="AB5769">
        <v>33</v>
      </c>
      <c r="AC5769">
        <v>21.965</v>
      </c>
      <c r="AD5769">
        <v>1.442949</v>
      </c>
      <c r="AE5769">
        <v>99.418279999999996</v>
      </c>
      <c r="AF5769">
        <v>-40.526868076550997</v>
      </c>
      <c r="AG5769">
        <v>1.442949</v>
      </c>
      <c r="AH5769">
        <v>93.380220805399205</v>
      </c>
      <c r="AI5769">
        <v>89.187886740017603</v>
      </c>
      <c r="AJ5769">
        <v>113.46076722667399</v>
      </c>
      <c r="AK5769">
        <v>101.80557340134099</v>
      </c>
      <c r="AL5769">
        <v>77.607669051688205</v>
      </c>
      <c r="AM5769">
        <v>96.724286845739897</v>
      </c>
      <c r="AN5769">
        <v>1.00000001182794</v>
      </c>
    </row>
    <row r="5770" spans="1:40" x14ac:dyDescent="0.25">
      <c r="A5770" t="str">
        <f>"20190303170648416"</f>
        <v>20190303170648416</v>
      </c>
      <c r="B5770" t="str">
        <f>"1551604008410951"</f>
        <v>1551604008410951</v>
      </c>
      <c r="C5770" t="s">
        <v>40</v>
      </c>
      <c r="D5770">
        <v>5.6135479999999998</v>
      </c>
      <c r="E5770">
        <v>0.38253670000000001</v>
      </c>
      <c r="F5770" t="s">
        <v>85</v>
      </c>
      <c r="G5770">
        <v>-168.74430000000001</v>
      </c>
      <c r="H5770">
        <v>2.3625449999999999</v>
      </c>
      <c r="I5770">
        <v>49.938830000000003</v>
      </c>
      <c r="J5770">
        <v>-190.34030000000001</v>
      </c>
      <c r="K5770">
        <v>1.1345019999999999</v>
      </c>
      <c r="L5770">
        <v>-53.162509999999997</v>
      </c>
      <c r="M5770">
        <v>0.57808319999999902</v>
      </c>
      <c r="N5770">
        <v>-1.5812509999999998E-2</v>
      </c>
      <c r="O5770">
        <v>0.81582460000000001</v>
      </c>
      <c r="P5770">
        <v>0.47525390000000001</v>
      </c>
      <c r="Q5770">
        <v>0.20231279999999999</v>
      </c>
      <c r="R5770">
        <v>0.856272899999999</v>
      </c>
      <c r="S5770">
        <v>0.66038509999999995</v>
      </c>
      <c r="T5770">
        <v>3.7333970000000001E-2</v>
      </c>
      <c r="U5770">
        <v>3.140228</v>
      </c>
      <c r="V5770">
        <v>-0.1144283</v>
      </c>
      <c r="W5770">
        <v>0.2140116</v>
      </c>
      <c r="X5770">
        <v>0.97010580000000002</v>
      </c>
      <c r="Y5770">
        <v>-0.39791799999999999</v>
      </c>
      <c r="Z5770">
        <v>2.2893380000000001E-2</v>
      </c>
      <c r="AA5770">
        <v>0.91713529999999999</v>
      </c>
      <c r="AB5770">
        <v>33</v>
      </c>
      <c r="AC5770">
        <v>21.596</v>
      </c>
      <c r="AD5770">
        <v>1.22804299999999</v>
      </c>
      <c r="AE5770">
        <v>103.10133999999999</v>
      </c>
      <c r="AF5770">
        <v>-41.982148278617601</v>
      </c>
      <c r="AG5770">
        <v>1.22804299999999</v>
      </c>
      <c r="AH5770">
        <v>96.595844565219295</v>
      </c>
      <c r="AI5770">
        <v>89.331983836137496</v>
      </c>
      <c r="AJ5770">
        <v>113.49056115032</v>
      </c>
      <c r="AK5770">
        <v>105.33169537686901</v>
      </c>
      <c r="AL5770">
        <v>77.642453883123295</v>
      </c>
      <c r="AM5770">
        <v>96.727208193140299</v>
      </c>
      <c r="AN5770">
        <v>1.0000000319845399</v>
      </c>
    </row>
    <row r="5771" spans="1:40" x14ac:dyDescent="0.25">
      <c r="A5771" t="str">
        <f>"20190303170648435"</f>
        <v>20190303170648435</v>
      </c>
      <c r="B5771" t="str">
        <f>"1551604008420710"</f>
        <v>1551604008420710</v>
      </c>
      <c r="C5771" t="s">
        <v>40</v>
      </c>
      <c r="D5771">
        <v>5.6437210000000002</v>
      </c>
      <c r="E5771">
        <v>0.38314900000000002</v>
      </c>
      <c r="F5771" t="s">
        <v>85</v>
      </c>
      <c r="G5771">
        <v>-169.08269999999999</v>
      </c>
      <c r="H5771">
        <v>2.1812260000000001</v>
      </c>
      <c r="I5771">
        <v>51.884050000000002</v>
      </c>
      <c r="J5771">
        <v>-190.19149999999999</v>
      </c>
      <c r="K5771">
        <v>1.134444</v>
      </c>
      <c r="L5771">
        <v>-52.9343</v>
      </c>
      <c r="M5771">
        <v>0.56781090000000001</v>
      </c>
      <c r="N5771">
        <v>-1.5800640000000001E-2</v>
      </c>
      <c r="O5771">
        <v>0.8230073</v>
      </c>
      <c r="P5771">
        <v>0.46404450000000003</v>
      </c>
      <c r="Q5771">
        <v>0.2022456</v>
      </c>
      <c r="R5771">
        <v>0.86241480000000004</v>
      </c>
      <c r="S5771">
        <v>0.63604740000000004</v>
      </c>
      <c r="T5771">
        <v>3.1319020000000003E-2</v>
      </c>
      <c r="U5771">
        <v>3.143097</v>
      </c>
      <c r="V5771">
        <v>-0.114898</v>
      </c>
      <c r="W5771">
        <v>0.2139325</v>
      </c>
      <c r="X5771">
        <v>0.97006769999999998</v>
      </c>
      <c r="Y5771">
        <v>-0.39338000000000001</v>
      </c>
      <c r="Z5771">
        <v>2.1744860000000001E-2</v>
      </c>
      <c r="AA5771">
        <v>0.91911880000000001</v>
      </c>
      <c r="AB5771">
        <v>33</v>
      </c>
      <c r="AC5771">
        <v>21.108799999999999</v>
      </c>
      <c r="AD5771">
        <v>1.0467819999999901</v>
      </c>
      <c r="AE5771">
        <v>104.81835</v>
      </c>
      <c r="AF5771">
        <v>-42.145529782330897</v>
      </c>
      <c r="AG5771">
        <v>1.0467819999999901</v>
      </c>
      <c r="AH5771">
        <v>98.254928952431001</v>
      </c>
      <c r="AI5771">
        <v>89.439033884990906</v>
      </c>
      <c r="AJ5771">
        <v>113.216458678411</v>
      </c>
      <c r="AK5771">
        <v>106.917596758607</v>
      </c>
      <c r="AL5771">
        <v>77.6470930780808</v>
      </c>
      <c r="AM5771">
        <v>96.754829941957396</v>
      </c>
      <c r="AN5771">
        <v>1.00000000377177</v>
      </c>
    </row>
    <row r="5772" spans="1:40" x14ac:dyDescent="0.25">
      <c r="A5772" t="str">
        <f>"20190303170648457"</f>
        <v>20190303170648457</v>
      </c>
      <c r="B5772" t="str">
        <f>"1551604008449990"</f>
        <v>1551604008449990</v>
      </c>
      <c r="C5772" t="s">
        <v>40</v>
      </c>
      <c r="D5772">
        <v>5.6294659999999999</v>
      </c>
      <c r="E5772">
        <v>0.38454290000000002</v>
      </c>
      <c r="F5772" t="s">
        <v>55</v>
      </c>
      <c r="G5772">
        <v>-166.91329999999999</v>
      </c>
      <c r="H5772">
        <v>2.2554090000000002</v>
      </c>
      <c r="I5772">
        <v>69.300730000000001</v>
      </c>
      <c r="J5772">
        <v>-190.01310000000001</v>
      </c>
      <c r="K5772">
        <v>1.1343639999999999</v>
      </c>
      <c r="L5772">
        <v>-52.652340000000002</v>
      </c>
      <c r="M5772">
        <v>0.55516650000000001</v>
      </c>
      <c r="N5772">
        <v>-1.5783430000000001E-2</v>
      </c>
      <c r="O5772">
        <v>0.83158949999999998</v>
      </c>
      <c r="P5772">
        <v>0.45053769999999999</v>
      </c>
      <c r="Q5772">
        <v>0.20281759999999999</v>
      </c>
      <c r="R5772">
        <v>0.86941399999999902</v>
      </c>
      <c r="S5772">
        <v>0.59971619999999903</v>
      </c>
      <c r="T5772">
        <v>2.8879640000000002E-2</v>
      </c>
      <c r="U5772">
        <v>3.1491389999999999</v>
      </c>
      <c r="V5772">
        <v>-0.115104399999999</v>
      </c>
      <c r="W5772">
        <v>0.2145003</v>
      </c>
      <c r="X5772">
        <v>0.96991780000000005</v>
      </c>
      <c r="Y5772">
        <v>-0.38987430000000001</v>
      </c>
      <c r="Z5772">
        <v>2.1381230000000001E-2</v>
      </c>
      <c r="AA5772">
        <v>0.92061979999999999</v>
      </c>
      <c r="AB5772">
        <v>33</v>
      </c>
      <c r="AC5772">
        <v>23.099799999999998</v>
      </c>
      <c r="AD5772">
        <v>1.1210450000000001</v>
      </c>
      <c r="AE5772">
        <v>121.95307</v>
      </c>
      <c r="AF5772">
        <v>-48.496792018230899</v>
      </c>
      <c r="AG5772">
        <v>1.1210450000000001</v>
      </c>
      <c r="AH5772">
        <v>114.244037175427</v>
      </c>
      <c r="AI5772">
        <v>89.482485879908694</v>
      </c>
      <c r="AJ5772">
        <v>113.001306861316</v>
      </c>
      <c r="AK5772">
        <v>124.116459859649</v>
      </c>
      <c r="AL5772">
        <v>77.613786960547202</v>
      </c>
      <c r="AM5772">
        <v>96.7678878445805</v>
      </c>
      <c r="AN5772">
        <v>0.99999997017814402</v>
      </c>
    </row>
    <row r="5773" spans="1:40" x14ac:dyDescent="0.25">
      <c r="A5773" t="str">
        <f>"20190303170648479"</f>
        <v>20190303170648479</v>
      </c>
      <c r="B5773" t="str">
        <f>"1551604008470486"</f>
        <v>1551604008470486</v>
      </c>
      <c r="C5773" t="s">
        <v>40</v>
      </c>
      <c r="D5773">
        <v>5.6662970000000001</v>
      </c>
      <c r="E5773">
        <v>0.38499860000000002</v>
      </c>
      <c r="F5773" t="s">
        <v>55</v>
      </c>
      <c r="G5773">
        <v>-168.42830000000001</v>
      </c>
      <c r="H5773">
        <v>2.1425230000000002</v>
      </c>
      <c r="I5773">
        <v>68.719049999999996</v>
      </c>
      <c r="J5773">
        <v>-189.85249999999999</v>
      </c>
      <c r="K5773">
        <v>1.13428</v>
      </c>
      <c r="L5773">
        <v>-52.390230000000003</v>
      </c>
      <c r="M5773">
        <v>0.54346719999999904</v>
      </c>
      <c r="N5773">
        <v>-1.5765189999999998E-2</v>
      </c>
      <c r="O5773">
        <v>0.83928239999999998</v>
      </c>
      <c r="P5773">
        <v>0.437745</v>
      </c>
      <c r="Q5773">
        <v>0.20233570000000001</v>
      </c>
      <c r="R5773">
        <v>0.87603629999999999</v>
      </c>
      <c r="S5773">
        <v>0.56088260000000001</v>
      </c>
      <c r="T5773">
        <v>2.6197310000000001E-2</v>
      </c>
      <c r="U5773">
        <v>3.1538390000000001</v>
      </c>
      <c r="V5773">
        <v>-0.1157431</v>
      </c>
      <c r="W5773">
        <v>0.21400189999999999</v>
      </c>
      <c r="X5773">
        <v>0.96995189999999998</v>
      </c>
      <c r="Y5773">
        <v>-0.38818940000000002</v>
      </c>
      <c r="Z5773">
        <v>2.0929340000000001E-2</v>
      </c>
      <c r="AA5773">
        <v>0.92134199999999999</v>
      </c>
      <c r="AB5773">
        <v>33</v>
      </c>
      <c r="AC5773">
        <v>21.4241999999999</v>
      </c>
      <c r="AD5773">
        <v>1.008243</v>
      </c>
      <c r="AE5773">
        <v>121.109279999999</v>
      </c>
      <c r="AF5773">
        <v>-47.840696141343301</v>
      </c>
      <c r="AG5773">
        <v>1.008243</v>
      </c>
      <c r="AH5773">
        <v>113.294699511963</v>
      </c>
      <c r="AI5773">
        <v>89.530280340744596</v>
      </c>
      <c r="AJ5773">
        <v>112.892764764795</v>
      </c>
      <c r="AK5773">
        <v>122.98551824805</v>
      </c>
      <c r="AL5773">
        <v>77.643022223127602</v>
      </c>
      <c r="AM5773">
        <v>96.804853791324504</v>
      </c>
      <c r="AN5773">
        <v>0.99999998335741402</v>
      </c>
    </row>
    <row r="5774" spans="1:40" x14ac:dyDescent="0.25">
      <c r="A5774" t="str">
        <f>"20190303170648492"</f>
        <v>20190303170648492</v>
      </c>
      <c r="B5774" t="str">
        <f>"1551604008480246"</f>
        <v>1551604008480246</v>
      </c>
      <c r="C5774" t="s">
        <v>40</v>
      </c>
      <c r="D5774">
        <v>5.6769669999999897</v>
      </c>
      <c r="E5774">
        <v>0.39535949999999997</v>
      </c>
      <c r="F5774" t="s">
        <v>55</v>
      </c>
      <c r="G5774">
        <v>-168.85890000000001</v>
      </c>
      <c r="H5774">
        <v>2.1108069999999999</v>
      </c>
      <c r="I5774">
        <v>75.824690000000004</v>
      </c>
      <c r="J5774">
        <v>-189.75</v>
      </c>
      <c r="K5774">
        <v>1.13422</v>
      </c>
      <c r="L5774">
        <v>-52.218170000000001</v>
      </c>
      <c r="M5774">
        <v>0.53582869999999905</v>
      </c>
      <c r="N5774">
        <v>-1.5752080000000002E-2</v>
      </c>
      <c r="O5774">
        <v>0.84417980000000004</v>
      </c>
      <c r="P5774">
        <v>0.42916789999999999</v>
      </c>
      <c r="Q5774">
        <v>0.2012526</v>
      </c>
      <c r="R5774">
        <v>0.88051819999999903</v>
      </c>
      <c r="S5774">
        <v>0.51747129999999997</v>
      </c>
      <c r="T5774">
        <v>2.4070620000000001E-2</v>
      </c>
      <c r="U5774">
        <v>3.1603699999999999</v>
      </c>
      <c r="V5774">
        <v>-0.11648310000000001</v>
      </c>
      <c r="W5774">
        <v>0.21289920000000001</v>
      </c>
      <c r="X5774">
        <v>0.97010589999999997</v>
      </c>
      <c r="Y5774">
        <v>-0.3924435</v>
      </c>
      <c r="Z5774">
        <v>2.054607E-2</v>
      </c>
      <c r="AA5774">
        <v>0.91954659999999999</v>
      </c>
      <c r="AB5774">
        <v>33</v>
      </c>
      <c r="AC5774">
        <v>20.891099999999899</v>
      </c>
      <c r="AD5774">
        <v>0.97658699999999998</v>
      </c>
      <c r="AE5774">
        <v>128.04285999999999</v>
      </c>
      <c r="AF5774">
        <v>-50.976629722536998</v>
      </c>
      <c r="AG5774">
        <v>0.97658699999999998</v>
      </c>
      <c r="AH5774">
        <v>119.29328562871601</v>
      </c>
      <c r="AI5774">
        <v>89.568689829291699</v>
      </c>
      <c r="AJ5774">
        <v>113.13807813791</v>
      </c>
      <c r="AK5774">
        <v>129.73225696075599</v>
      </c>
      <c r="AL5774">
        <v>77.707691891903394</v>
      </c>
      <c r="AM5774">
        <v>96.846871807716298</v>
      </c>
      <c r="AN5774">
        <v>0.99999991958052603</v>
      </c>
    </row>
    <row r="5775" spans="1:40" x14ac:dyDescent="0.25">
      <c r="A5775" t="str">
        <f>"20190303170648511"</f>
        <v>20190303170648511</v>
      </c>
      <c r="B5775" t="str">
        <f>"1551604008500742"</f>
        <v>1551604008500742</v>
      </c>
      <c r="C5775" t="s">
        <v>40</v>
      </c>
      <c r="D5775">
        <v>5.6878590000000004</v>
      </c>
      <c r="E5775">
        <v>0.39674530000000002</v>
      </c>
      <c r="F5775" t="s">
        <v>55</v>
      </c>
      <c r="G5775">
        <v>-168.07660000000001</v>
      </c>
      <c r="H5775">
        <v>1.0583129999999901</v>
      </c>
      <c r="I5775">
        <v>68.718689999999995</v>
      </c>
      <c r="J5775">
        <v>-189.61199999999999</v>
      </c>
      <c r="K5775">
        <v>1.134128</v>
      </c>
      <c r="L5775">
        <v>-51.981050000000003</v>
      </c>
      <c r="M5775">
        <v>0.52534219999999998</v>
      </c>
      <c r="N5775">
        <v>-1.5733090000000002E-2</v>
      </c>
      <c r="O5775">
        <v>0.85074559999999999</v>
      </c>
      <c r="P5775">
        <v>0.41788419999999998</v>
      </c>
      <c r="Q5775">
        <v>0.1993229</v>
      </c>
      <c r="R5775">
        <v>0.88636519999999996</v>
      </c>
      <c r="S5775">
        <v>0.56161499999999998</v>
      </c>
      <c r="T5775">
        <v>-1.966715E-3</v>
      </c>
      <c r="U5775">
        <v>3.1337890000000002</v>
      </c>
      <c r="V5775">
        <v>-0.1169969</v>
      </c>
      <c r="W5775">
        <v>0.21096110000000001</v>
      </c>
      <c r="X5775">
        <v>0.97046750000000004</v>
      </c>
      <c r="Y5775">
        <v>-0.36704920000000002</v>
      </c>
      <c r="Z5775">
        <v>1.4494760000000001E-2</v>
      </c>
      <c r="AA5775">
        <v>0.93008860000000004</v>
      </c>
      <c r="AB5775">
        <v>33</v>
      </c>
      <c r="AC5775">
        <v>21.5353999999999</v>
      </c>
      <c r="AD5775">
        <v>-7.5815000000000105E-2</v>
      </c>
      <c r="AE5775">
        <v>120.69974000000001</v>
      </c>
      <c r="AF5775">
        <v>-45.093083462821497</v>
      </c>
      <c r="AG5775">
        <v>-7.5815000000000105E-2</v>
      </c>
      <c r="AH5775">
        <v>114.012293272351</v>
      </c>
      <c r="AI5775">
        <v>90.035429628604405</v>
      </c>
      <c r="AJ5775">
        <v>111.579327869897</v>
      </c>
      <c r="AK5775">
        <v>122.60585198643599</v>
      </c>
      <c r="AL5775">
        <v>77.821319081138697</v>
      </c>
      <c r="AM5775">
        <v>96.874246576778603</v>
      </c>
      <c r="AN5775">
        <v>1.00000001443953</v>
      </c>
    </row>
    <row r="5776" spans="1:40" x14ac:dyDescent="0.25">
      <c r="A5776" t="str">
        <f>"20190303170648526"</f>
        <v>20190303170648526</v>
      </c>
      <c r="B5776" t="str">
        <f>"1551604008520262"</f>
        <v>1551604008520262</v>
      </c>
      <c r="C5776" t="s">
        <v>40</v>
      </c>
      <c r="D5776">
        <v>5.7146650000000001</v>
      </c>
      <c r="E5776">
        <v>0.3982735</v>
      </c>
      <c r="F5776" t="s">
        <v>55</v>
      </c>
      <c r="G5776">
        <v>-169.16919999999999</v>
      </c>
      <c r="H5776">
        <v>0.57327269999999997</v>
      </c>
      <c r="I5776">
        <v>68.718530000000001</v>
      </c>
      <c r="J5776">
        <v>-189.50880000000001</v>
      </c>
      <c r="K5776">
        <v>1.1340629999999901</v>
      </c>
      <c r="L5776">
        <v>-51.799840000000003</v>
      </c>
      <c r="M5776">
        <v>0.51735439999999999</v>
      </c>
      <c r="N5776">
        <v>-1.5717979999999999E-2</v>
      </c>
      <c r="O5776">
        <v>0.85562689999999997</v>
      </c>
      <c r="P5776">
        <v>0.40900180000000003</v>
      </c>
      <c r="Q5776">
        <v>0.1985999</v>
      </c>
      <c r="R5776">
        <v>0.89066019999999901</v>
      </c>
      <c r="S5776">
        <v>0.53137209999999901</v>
      </c>
      <c r="T5776">
        <v>-1.45781E-2</v>
      </c>
      <c r="U5776">
        <v>3.1373600000000001</v>
      </c>
      <c r="V5776">
        <v>-0.1176408</v>
      </c>
      <c r="W5776">
        <v>0.21022179999999999</v>
      </c>
      <c r="X5776">
        <v>0.97055009999999997</v>
      </c>
      <c r="Y5776">
        <v>-0.36720560000000002</v>
      </c>
      <c r="Z5776">
        <v>1.1528770000000001E-2</v>
      </c>
      <c r="AA5776">
        <v>0.93006840000000002</v>
      </c>
      <c r="AB5776">
        <v>33</v>
      </c>
      <c r="AC5776">
        <v>20.339600000000001</v>
      </c>
      <c r="AD5776">
        <v>-0.56079029999999896</v>
      </c>
      <c r="AE5776">
        <v>120.518369999999</v>
      </c>
      <c r="AF5776">
        <v>-44.952206556553001</v>
      </c>
      <c r="AG5776">
        <v>-0.56079029999999896</v>
      </c>
      <c r="AH5776">
        <v>113.653187415285</v>
      </c>
      <c r="AI5776">
        <v>90.262892087587502</v>
      </c>
      <c r="AJ5776">
        <v>111.57983063572</v>
      </c>
      <c r="AK5776">
        <v>122.22136625695801</v>
      </c>
      <c r="AL5776">
        <v>77.864649763507501</v>
      </c>
      <c r="AM5776">
        <v>96.911131916123495</v>
      </c>
      <c r="AN5776">
        <v>1.0000000298149401</v>
      </c>
    </row>
    <row r="5777" spans="1:40" x14ac:dyDescent="0.25">
      <c r="A5777" t="str">
        <f>"20190303170648546"</f>
        <v>20190303170648546</v>
      </c>
      <c r="B5777" t="str">
        <f>"1551604008540758"</f>
        <v>1551604008540758</v>
      </c>
      <c r="C5777" t="s">
        <v>40</v>
      </c>
      <c r="D5777">
        <v>5.7140740000000001</v>
      </c>
      <c r="E5777">
        <v>0.40476420000000002</v>
      </c>
      <c r="F5777" t="s">
        <v>55</v>
      </c>
      <c r="G5777">
        <v>-169.67140000000001</v>
      </c>
      <c r="H5777">
        <v>0.1682892</v>
      </c>
      <c r="I5777">
        <v>69.971339999999998</v>
      </c>
      <c r="J5777">
        <v>-189.36940000000001</v>
      </c>
      <c r="K5777">
        <v>1.133974</v>
      </c>
      <c r="L5777">
        <v>-51.547939999999997</v>
      </c>
      <c r="M5777">
        <v>0.50631749999999998</v>
      </c>
      <c r="N5777">
        <v>-1.5695859999999999E-2</v>
      </c>
      <c r="O5777">
        <v>0.86220429999999904</v>
      </c>
      <c r="P5777">
        <v>0.39776099999999998</v>
      </c>
      <c r="Q5777">
        <v>0.1978945</v>
      </c>
      <c r="R5777">
        <v>0.89589279999999905</v>
      </c>
      <c r="S5777">
        <v>0.51136780000000004</v>
      </c>
      <c r="T5777">
        <v>-2.489543E-2</v>
      </c>
      <c r="U5777">
        <v>3.139008</v>
      </c>
      <c r="V5777">
        <v>-0.1173916</v>
      </c>
      <c r="W5777">
        <v>0.20952950000000001</v>
      </c>
      <c r="X5777">
        <v>0.97072990000000003</v>
      </c>
      <c r="Y5777">
        <v>-0.36108020000000002</v>
      </c>
      <c r="Z5777">
        <v>9.0112070000000002E-3</v>
      </c>
      <c r="AA5777">
        <v>0.93249119999999996</v>
      </c>
      <c r="AB5777">
        <v>33</v>
      </c>
      <c r="AC5777">
        <v>19.698</v>
      </c>
      <c r="AD5777">
        <v>-0.96568480000000001</v>
      </c>
      <c r="AE5777">
        <v>121.51927999999999</v>
      </c>
      <c r="AF5777">
        <v>-44.546383950750602</v>
      </c>
      <c r="AG5777">
        <v>-0.96568480000000001</v>
      </c>
      <c r="AH5777">
        <v>114.75496229140199</v>
      </c>
      <c r="AI5777">
        <v>90.449467854503496</v>
      </c>
      <c r="AJ5777">
        <v>111.215564668599</v>
      </c>
      <c r="AK5777">
        <v>123.10164190912199</v>
      </c>
      <c r="AL5777">
        <v>77.905218442686703</v>
      </c>
      <c r="AM5777">
        <v>96.8953680199144</v>
      </c>
      <c r="AN5777">
        <v>0.99999996893740895</v>
      </c>
    </row>
    <row r="5778" spans="1:40" x14ac:dyDescent="0.25">
      <c r="A5778" t="str">
        <f>"20190303170648559"</f>
        <v>20190303170648559</v>
      </c>
      <c r="B5778" t="str">
        <f>"1551604008550518"</f>
        <v>1551604008550518</v>
      </c>
      <c r="C5778" t="s">
        <v>40</v>
      </c>
      <c r="D5778">
        <v>5.7417109999999996</v>
      </c>
      <c r="E5778">
        <v>0.40564929999999999</v>
      </c>
      <c r="F5778" t="s">
        <v>41</v>
      </c>
      <c r="G5778">
        <v>-178.3998</v>
      </c>
      <c r="H5778">
        <v>7.9986860000000007E-2</v>
      </c>
      <c r="I5778">
        <v>14.49762</v>
      </c>
      <c r="J5778">
        <v>-189.273</v>
      </c>
      <c r="K5778">
        <v>1.1339090000000001</v>
      </c>
      <c r="L5778">
        <v>-51.369050000000001</v>
      </c>
      <c r="M5778">
        <v>0.49851669999999998</v>
      </c>
      <c r="N5778">
        <v>-1.568025E-2</v>
      </c>
      <c r="O5778">
        <v>0.86673829999999996</v>
      </c>
      <c r="P5778">
        <v>0.38975729999999997</v>
      </c>
      <c r="Q5778">
        <v>0.19788990000000001</v>
      </c>
      <c r="R5778">
        <v>0.89940469999999895</v>
      </c>
      <c r="S5778">
        <v>0.51968380000000003</v>
      </c>
      <c r="T5778">
        <v>-4.9932600000000001E-2</v>
      </c>
      <c r="U5778">
        <v>3.1289060000000002</v>
      </c>
      <c r="V5778">
        <v>-0.117254</v>
      </c>
      <c r="W5778">
        <v>0.2095323</v>
      </c>
      <c r="X5778">
        <v>0.970746</v>
      </c>
      <c r="Y5778">
        <v>-0.34971920000000001</v>
      </c>
      <c r="Z5778">
        <v>2.7762820000000001E-3</v>
      </c>
      <c r="AA5778">
        <v>0.93685039999999997</v>
      </c>
      <c r="AB5778">
        <v>33</v>
      </c>
      <c r="AC5778">
        <v>10.873199999999899</v>
      </c>
      <c r="AD5778">
        <v>-1.0539221400000001</v>
      </c>
      <c r="AE5778">
        <v>65.866669999999999</v>
      </c>
      <c r="AF5778">
        <v>-23.408459894766001</v>
      </c>
      <c r="AG5778">
        <v>-1.0539221400000001</v>
      </c>
      <c r="AH5778">
        <v>62.501744191410502</v>
      </c>
      <c r="AI5778">
        <v>90.904688954500699</v>
      </c>
      <c r="AJ5778">
        <v>110.532176632182</v>
      </c>
      <c r="AK5778">
        <v>66.749792310467598</v>
      </c>
      <c r="AL5778">
        <v>77.905055255867694</v>
      </c>
      <c r="AM5778">
        <v>96.887250195476796</v>
      </c>
      <c r="AN5778">
        <v>1.0000000408876399</v>
      </c>
    </row>
    <row r="5779" spans="1:40" x14ac:dyDescent="0.25">
      <c r="A5779" t="str">
        <f>"20190303170648579"</f>
        <v>20190303170648579</v>
      </c>
      <c r="B5779" t="str">
        <f>"1551604008571014"</f>
        <v>1551604008571014</v>
      </c>
      <c r="C5779" t="s">
        <v>40</v>
      </c>
      <c r="D5779">
        <v>5.7399009999999997</v>
      </c>
      <c r="E5779">
        <v>0.40642400000000001</v>
      </c>
      <c r="F5779" t="s">
        <v>41</v>
      </c>
      <c r="G5779">
        <v>-179.95249999999999</v>
      </c>
      <c r="H5779">
        <v>5.5299929999999997E-2</v>
      </c>
      <c r="I5779">
        <v>7.1805409999999998</v>
      </c>
      <c r="J5779">
        <v>-189.14179999999999</v>
      </c>
      <c r="K5779">
        <v>1.133823</v>
      </c>
      <c r="L5779">
        <v>-51.11938</v>
      </c>
      <c r="M5779">
        <v>0.48767490000000002</v>
      </c>
      <c r="N5779">
        <v>-1.5658789999999999E-2</v>
      </c>
      <c r="O5779">
        <v>0.87288489999999996</v>
      </c>
      <c r="P5779">
        <v>0.37880819999999998</v>
      </c>
      <c r="Q5779">
        <v>0.19718440000000001</v>
      </c>
      <c r="R5779">
        <v>0.9042249</v>
      </c>
      <c r="S5779">
        <v>0.49861149999999999</v>
      </c>
      <c r="T5779">
        <v>-5.7701349999999998E-2</v>
      </c>
      <c r="U5779">
        <v>3.1321720000000002</v>
      </c>
      <c r="V5779">
        <v>-0.1169472</v>
      </c>
      <c r="W5779">
        <v>0.20884169999999999</v>
      </c>
      <c r="X5779">
        <v>0.97093180000000001</v>
      </c>
      <c r="Y5779">
        <v>-0.34432810000000003</v>
      </c>
      <c r="Z5779">
        <v>7.2197899999999998E-4</v>
      </c>
      <c r="AA5779">
        <v>0.93884909999999999</v>
      </c>
      <c r="AB5779">
        <v>33</v>
      </c>
      <c r="AC5779">
        <v>9.1892999999999994</v>
      </c>
      <c r="AD5779">
        <v>-1.0785230699999999</v>
      </c>
      <c r="AE5779">
        <v>58.299920999999998</v>
      </c>
      <c r="AF5779">
        <v>-20.405894813967599</v>
      </c>
      <c r="AG5779">
        <v>-1.0785230699999999</v>
      </c>
      <c r="AH5779">
        <v>55.358813396907898</v>
      </c>
      <c r="AI5779">
        <v>91.047253376969195</v>
      </c>
      <c r="AJ5779">
        <v>110.234466178926</v>
      </c>
      <c r="AK5779">
        <v>59.009846431632901</v>
      </c>
      <c r="AL5779">
        <v>77.945518841376398</v>
      </c>
      <c r="AM5779">
        <v>96.868099847876195</v>
      </c>
      <c r="AN5779">
        <v>1.0000000317489799</v>
      </c>
    </row>
    <row r="5780" spans="1:40" x14ac:dyDescent="0.25">
      <c r="A5780" t="str">
        <f>"20190303170648593"</f>
        <v>20190303170648593</v>
      </c>
      <c r="B5780" t="str">
        <f>"1551604008580774"</f>
        <v>1551604008580774</v>
      </c>
      <c r="C5780" t="s">
        <v>40</v>
      </c>
      <c r="D5780">
        <v>5.7642170000000004</v>
      </c>
      <c r="E5780">
        <v>0.40695750000000003</v>
      </c>
      <c r="F5780" t="s">
        <v>41</v>
      </c>
      <c r="G5780">
        <v>-180.6344</v>
      </c>
      <c r="H5780" s="1">
        <v>-4.6988709999999999E-6</v>
      </c>
      <c r="I5780">
        <v>6.1332209999999998</v>
      </c>
      <c r="J5780">
        <v>-189.0523</v>
      </c>
      <c r="K5780">
        <v>1.133764</v>
      </c>
      <c r="L5780">
        <v>-50.944180000000003</v>
      </c>
      <c r="M5780">
        <v>0.48010439999999999</v>
      </c>
      <c r="N5780">
        <v>-1.564395E-2</v>
      </c>
      <c r="O5780">
        <v>0.87707190000000002</v>
      </c>
      <c r="P5780">
        <v>0.37105519999999997</v>
      </c>
      <c r="Q5780">
        <v>0.19668859999999999</v>
      </c>
      <c r="R5780">
        <v>0.9075415</v>
      </c>
      <c r="S5780">
        <v>0.46600340000000001</v>
      </c>
      <c r="T5780">
        <v>-6.2106729999999999E-2</v>
      </c>
      <c r="U5780">
        <v>3.1360779999999999</v>
      </c>
      <c r="V5780">
        <v>-0.11686249999999999</v>
      </c>
      <c r="W5780">
        <v>0.2083516</v>
      </c>
      <c r="X5780">
        <v>0.97104729999999995</v>
      </c>
      <c r="Y5780">
        <v>-0.34591759999999999</v>
      </c>
      <c r="Z5780">
        <v>-4.386401E-4</v>
      </c>
      <c r="AA5780">
        <v>0.93826480000000001</v>
      </c>
      <c r="AB5780">
        <v>33</v>
      </c>
      <c r="AC5780">
        <v>8.4178999999999995</v>
      </c>
      <c r="AD5780">
        <v>-1.1337686988710001</v>
      </c>
      <c r="AE5780">
        <v>57.077401000000002</v>
      </c>
      <c r="AF5780">
        <v>-20.014728150628098</v>
      </c>
      <c r="AG5780">
        <v>-1.1337686988710001</v>
      </c>
      <c r="AH5780">
        <v>54.088187507666703</v>
      </c>
      <c r="AI5780">
        <v>91.126217085544397</v>
      </c>
      <c r="AJ5780">
        <v>110.306429210221</v>
      </c>
      <c r="AK5780">
        <v>57.683678820534602</v>
      </c>
      <c r="AL5780">
        <v>77.974231295765406</v>
      </c>
      <c r="AM5780">
        <v>96.862364484548394</v>
      </c>
      <c r="AN5780">
        <v>1.00000004598304</v>
      </c>
    </row>
    <row r="5781" spans="1:40" x14ac:dyDescent="0.25">
      <c r="A5781" t="str">
        <f>"20190303170648612"</f>
        <v>20190303170648612</v>
      </c>
      <c r="B5781" t="str">
        <f>"1551604008600294"</f>
        <v>1551604008600294</v>
      </c>
      <c r="C5781" t="s">
        <v>40</v>
      </c>
      <c r="D5781">
        <v>5.7855639999999999</v>
      </c>
      <c r="E5781">
        <v>0.40758319999999998</v>
      </c>
      <c r="F5781" t="s">
        <v>41</v>
      </c>
      <c r="G5781">
        <v>-181.16159999999999</v>
      </c>
      <c r="H5781" s="1">
        <v>-4.1499510000000002E-6</v>
      </c>
      <c r="I5781">
        <v>4.9323739999999896</v>
      </c>
      <c r="J5781">
        <v>-188.9254</v>
      </c>
      <c r="K5781">
        <v>1.1336790000000001</v>
      </c>
      <c r="L5781">
        <v>-50.68976</v>
      </c>
      <c r="M5781">
        <v>0.46914030000000001</v>
      </c>
      <c r="N5781">
        <v>-1.562328E-2</v>
      </c>
      <c r="O5781">
        <v>0.88298549999999998</v>
      </c>
      <c r="P5781">
        <v>0.35992400000000002</v>
      </c>
      <c r="Q5781">
        <v>0.1952796</v>
      </c>
      <c r="R5781">
        <v>0.91231609999999996</v>
      </c>
      <c r="S5781">
        <v>0.44317630000000002</v>
      </c>
      <c r="T5781">
        <v>-6.3676830000000004E-2</v>
      </c>
      <c r="U5781">
        <v>3.138245</v>
      </c>
      <c r="V5781">
        <v>-0.1167006</v>
      </c>
      <c r="W5781">
        <v>0.2069532</v>
      </c>
      <c r="X5781">
        <v>0.9713657</v>
      </c>
      <c r="Y5781">
        <v>-0.34100259999999999</v>
      </c>
      <c r="Z5781">
        <v>-9.9756109999999992E-4</v>
      </c>
      <c r="AA5781">
        <v>0.94006190000000001</v>
      </c>
      <c r="AB5781">
        <v>33</v>
      </c>
      <c r="AC5781">
        <v>7.7637999999999998</v>
      </c>
      <c r="AD5781">
        <v>-1.1336831499510001</v>
      </c>
      <c r="AE5781">
        <v>55.622133999999903</v>
      </c>
      <c r="AF5781">
        <v>-19.233771877748701</v>
      </c>
      <c r="AG5781">
        <v>-1.1336831499510001</v>
      </c>
      <c r="AH5781">
        <v>52.740795365816602</v>
      </c>
      <c r="AI5781">
        <v>91.156896775793996</v>
      </c>
      <c r="AJ5781">
        <v>110.036149280592</v>
      </c>
      <c r="AK5781">
        <v>56.149930667354297</v>
      </c>
      <c r="AL5781">
        <v>78.0561384106948</v>
      </c>
      <c r="AM5781">
        <v>96.8507229661531</v>
      </c>
      <c r="AN5781">
        <v>0.99999999008354501</v>
      </c>
    </row>
    <row r="5782" spans="1:40" x14ac:dyDescent="0.25">
      <c r="A5782" t="str">
        <f>"20190303170648638"</f>
        <v>20190303170648638</v>
      </c>
      <c r="B5782" t="str">
        <f>"1551604008630550"</f>
        <v>1551604008630550</v>
      </c>
      <c r="C5782" t="s">
        <v>40</v>
      </c>
      <c r="D5782">
        <v>5.784313</v>
      </c>
      <c r="E5782">
        <v>0.41568139999999998</v>
      </c>
      <c r="F5782" t="s">
        <v>41</v>
      </c>
      <c r="G5782">
        <v>-182.29079999999999</v>
      </c>
      <c r="H5782" s="1">
        <v>-2.2513099999999998E-6</v>
      </c>
      <c r="I5782">
        <v>0.2360466</v>
      </c>
      <c r="J5782">
        <v>-188.7715</v>
      </c>
      <c r="K5782">
        <v>1.1335839999999999</v>
      </c>
      <c r="L5782">
        <v>-50.370150000000002</v>
      </c>
      <c r="M5782">
        <v>0.4554182</v>
      </c>
      <c r="N5782">
        <v>-1.559877E-2</v>
      </c>
      <c r="O5782">
        <v>0.89014099999999996</v>
      </c>
      <c r="P5782">
        <v>0.34633389999999997</v>
      </c>
      <c r="Q5782">
        <v>0.1943937</v>
      </c>
      <c r="R5782">
        <v>0.91774929999999999</v>
      </c>
      <c r="S5782">
        <v>0.40931699999999999</v>
      </c>
      <c r="T5782">
        <v>-6.9941279999999995E-2</v>
      </c>
      <c r="U5782">
        <v>3.1418149999999998</v>
      </c>
      <c r="V5782">
        <v>-0.1161025</v>
      </c>
      <c r="W5782">
        <v>0.20609050000000001</v>
      </c>
      <c r="X5782">
        <v>0.97162079999999995</v>
      </c>
      <c r="Y5782">
        <v>-0.33654099999999998</v>
      </c>
      <c r="Z5782">
        <v>-2.7878540000000002E-3</v>
      </c>
      <c r="AA5782">
        <v>0.94166470000000002</v>
      </c>
      <c r="AB5782">
        <v>33</v>
      </c>
      <c r="AC5782">
        <v>6.4807000000000103</v>
      </c>
      <c r="AD5782">
        <v>-1.1335862513099999</v>
      </c>
      <c r="AE5782">
        <v>50.606196599999997</v>
      </c>
      <c r="AF5782">
        <v>-17.2718215608128</v>
      </c>
      <c r="AG5782">
        <v>-1.1335862513099999</v>
      </c>
      <c r="AH5782">
        <v>47.980231898932097</v>
      </c>
      <c r="AI5782">
        <v>91.273456339256498</v>
      </c>
      <c r="AJ5782">
        <v>109.79775373752101</v>
      </c>
      <c r="AK5782">
        <v>51.006896503247702</v>
      </c>
      <c r="AL5782">
        <v>78.106657056614907</v>
      </c>
      <c r="AM5782">
        <v>96.814170903039397</v>
      </c>
      <c r="AN5782">
        <v>1.0000000318445601</v>
      </c>
    </row>
    <row r="5783" spans="1:40" x14ac:dyDescent="0.25">
      <c r="A5783" t="str">
        <f>"20190303170648658"</f>
        <v>20190303170648658</v>
      </c>
      <c r="B5783" t="str">
        <f>"1551604008651046"</f>
        <v>1551604008651046</v>
      </c>
      <c r="C5783" t="s">
        <v>40</v>
      </c>
      <c r="D5783">
        <v>5.8092040000000003</v>
      </c>
      <c r="E5783">
        <v>0.41640060000000001</v>
      </c>
      <c r="F5783" t="s">
        <v>41</v>
      </c>
      <c r="G5783">
        <v>-183.70779999999999</v>
      </c>
      <c r="H5783" s="1">
        <v>-4.3162670000000002E-6</v>
      </c>
      <c r="I5783">
        <v>-12.90761</v>
      </c>
      <c r="J5783">
        <v>-188.64320000000001</v>
      </c>
      <c r="K5783">
        <v>1.1335189999999999</v>
      </c>
      <c r="L5783">
        <v>-50.09375</v>
      </c>
      <c r="M5783">
        <v>0.44358819999999999</v>
      </c>
      <c r="N5783">
        <v>-1.5579259999999999E-2</v>
      </c>
      <c r="O5783">
        <v>0.89609530000000004</v>
      </c>
      <c r="P5783">
        <v>0.33414349999999998</v>
      </c>
      <c r="Q5783">
        <v>0.19396089999999999</v>
      </c>
      <c r="R5783">
        <v>0.92234879999999997</v>
      </c>
      <c r="S5783">
        <v>0.42297360000000001</v>
      </c>
      <c r="T5783">
        <v>-9.4690319999999994E-2</v>
      </c>
      <c r="U5783">
        <v>3.1293030000000002</v>
      </c>
      <c r="V5783">
        <v>-0.11609700000000001</v>
      </c>
      <c r="W5783">
        <v>0.20565939999999999</v>
      </c>
      <c r="X5783">
        <v>0.97171280000000004</v>
      </c>
      <c r="Y5783">
        <v>-0.31948339999999997</v>
      </c>
      <c r="Z5783">
        <v>-9.5882169999999996E-3</v>
      </c>
      <c r="AA5783">
        <v>0.94754340000000004</v>
      </c>
      <c r="AB5783">
        <v>33</v>
      </c>
      <c r="AC5783">
        <v>4.9354000000000102</v>
      </c>
      <c r="AD5783">
        <v>-1.133523316267</v>
      </c>
      <c r="AE5783">
        <v>37.186140000000002</v>
      </c>
      <c r="AF5783">
        <v>-12.063194767952901</v>
      </c>
      <c r="AG5783">
        <v>-1.133523316267</v>
      </c>
      <c r="AH5783">
        <v>35.48352122304</v>
      </c>
      <c r="AI5783">
        <v>91.732384299467</v>
      </c>
      <c r="AJ5783">
        <v>108.776292786025</v>
      </c>
      <c r="AK5783">
        <v>37.495143972306799</v>
      </c>
      <c r="AL5783">
        <v>78.1318979949897</v>
      </c>
      <c r="AM5783">
        <v>96.813212079189896</v>
      </c>
      <c r="AN5783">
        <v>1.0000000339505899</v>
      </c>
    </row>
    <row r="5784" spans="1:40" x14ac:dyDescent="0.25">
      <c r="A5784" t="str">
        <f>"20190303170648674"</f>
        <v>20190303170648674</v>
      </c>
      <c r="B5784" t="str">
        <f>"1551604008670566"</f>
        <v>1551604008670566</v>
      </c>
      <c r="C5784" t="s">
        <v>40</v>
      </c>
      <c r="D5784">
        <v>5.8064989999999996</v>
      </c>
      <c r="E5784">
        <v>0.41724939999999999</v>
      </c>
      <c r="F5784" t="s">
        <v>41</v>
      </c>
      <c r="G5784">
        <v>-184.11070000000001</v>
      </c>
      <c r="H5784" s="1">
        <v>-4.0395E-6</v>
      </c>
      <c r="I5784">
        <v>-13.386189999999999</v>
      </c>
      <c r="J5784">
        <v>-188.55420000000001</v>
      </c>
      <c r="K5784">
        <v>1.133475</v>
      </c>
      <c r="L5784">
        <v>-49.895690000000002</v>
      </c>
      <c r="M5784">
        <v>0.43512970000000001</v>
      </c>
      <c r="N5784">
        <v>-1.5566450000000001E-2</v>
      </c>
      <c r="O5784">
        <v>0.90023319999999996</v>
      </c>
      <c r="P5784">
        <v>0.32539030000000002</v>
      </c>
      <c r="Q5784">
        <v>0.19394320000000001</v>
      </c>
      <c r="R5784">
        <v>0.92547670000000004</v>
      </c>
      <c r="S5784">
        <v>0.38682559999999999</v>
      </c>
      <c r="T5784">
        <v>-9.6739770000000003E-2</v>
      </c>
      <c r="U5784">
        <v>3.1327820000000002</v>
      </c>
      <c r="V5784">
        <v>-0.1161285</v>
      </c>
      <c r="W5784">
        <v>0.2056412</v>
      </c>
      <c r="X5784">
        <v>0.97171289999999999</v>
      </c>
      <c r="Y5784">
        <v>-0.32145040000000003</v>
      </c>
      <c r="Z5784">
        <v>-1.0249070000000001E-2</v>
      </c>
      <c r="AA5784">
        <v>0.94687089999999996</v>
      </c>
      <c r="AB5784">
        <v>33</v>
      </c>
      <c r="AC5784">
        <v>4.4435000000000002</v>
      </c>
      <c r="AD5784">
        <v>-1.1334790395000001</v>
      </c>
      <c r="AE5784">
        <v>36.509500000000003</v>
      </c>
      <c r="AF5784">
        <v>-11.876341933645101</v>
      </c>
      <c r="AG5784">
        <v>-1.1334790395000001</v>
      </c>
      <c r="AH5784">
        <v>34.7717542193555</v>
      </c>
      <c r="AI5784">
        <v>91.766899529132104</v>
      </c>
      <c r="AJ5784">
        <v>108.857674306894</v>
      </c>
      <c r="AK5784">
        <v>36.761490230254701</v>
      </c>
      <c r="AL5784">
        <v>78.132963697003404</v>
      </c>
      <c r="AM5784">
        <v>96.815042593903499</v>
      </c>
      <c r="AN5784">
        <v>1.00000004583804</v>
      </c>
    </row>
    <row r="5785" spans="1:40" x14ac:dyDescent="0.25">
      <c r="A5785" t="str">
        <f>"20190303170648692"</f>
        <v>20190303170648692</v>
      </c>
      <c r="B5785" t="str">
        <f>"1551604008680326"</f>
        <v>1551604008680326</v>
      </c>
      <c r="C5785" t="s">
        <v>40</v>
      </c>
      <c r="D5785">
        <v>5.8286600000000002</v>
      </c>
      <c r="E5785">
        <v>0.41724939999999999</v>
      </c>
      <c r="F5785" t="s">
        <v>41</v>
      </c>
      <c r="G5785">
        <v>-184.35059999999999</v>
      </c>
      <c r="H5785" s="1">
        <v>-3.8887630000000004E-6</v>
      </c>
      <c r="I5785">
        <v>-13.638339999999999</v>
      </c>
      <c r="J5785">
        <v>-188.4512</v>
      </c>
      <c r="K5785">
        <v>1.133419</v>
      </c>
      <c r="L5785">
        <v>-49.660220000000002</v>
      </c>
      <c r="M5785">
        <v>0.42508200000000002</v>
      </c>
      <c r="N5785">
        <v>-1.5552379999999999E-2</v>
      </c>
      <c r="O5785">
        <v>0.90502130000000003</v>
      </c>
      <c r="P5785">
        <v>0.31430829999999998</v>
      </c>
      <c r="Q5785">
        <v>0.19352900000000001</v>
      </c>
      <c r="R5785">
        <v>0.92938520000000002</v>
      </c>
      <c r="S5785">
        <v>0.36338809999999999</v>
      </c>
      <c r="T5785">
        <v>-9.7985859999999994E-2</v>
      </c>
      <c r="U5785">
        <v>3.1343380000000001</v>
      </c>
      <c r="V5785">
        <v>-0.116923</v>
      </c>
      <c r="W5785">
        <v>0.205203</v>
      </c>
      <c r="X5785">
        <v>0.97171019999999997</v>
      </c>
      <c r="Y5785">
        <v>-0.31794650000000002</v>
      </c>
      <c r="Z5785">
        <v>-1.078869E-2</v>
      </c>
      <c r="AA5785">
        <v>0.94804730000000004</v>
      </c>
      <c r="AB5785">
        <v>33</v>
      </c>
      <c r="AC5785">
        <v>4.1006000000000098</v>
      </c>
      <c r="AD5785">
        <v>-1.133422888763</v>
      </c>
      <c r="AE5785">
        <v>36.021879999999904</v>
      </c>
      <c r="AF5785">
        <v>-11.5911960331423</v>
      </c>
      <c r="AG5785">
        <v>-1.133422888763</v>
      </c>
      <c r="AH5785">
        <v>34.314274005944299</v>
      </c>
      <c r="AI5785">
        <v>91.792399922937193</v>
      </c>
      <c r="AJ5785">
        <v>108.664720015776</v>
      </c>
      <c r="AK5785">
        <v>36.236857941583899</v>
      </c>
      <c r="AL5785">
        <v>78.158617100750106</v>
      </c>
      <c r="AM5785">
        <v>96.861244008597396</v>
      </c>
      <c r="AN5785">
        <v>0.99999998596101902</v>
      </c>
    </row>
    <row r="5786" spans="1:40" x14ac:dyDescent="0.25">
      <c r="A5786" t="str">
        <f>"20190303170648712"</f>
        <v>20190303170648712</v>
      </c>
      <c r="B5786" t="str">
        <f>"1551604008700822"</f>
        <v>1551604008700822</v>
      </c>
      <c r="C5786" t="s">
        <v>40</v>
      </c>
      <c r="D5786">
        <v>5.8032750000000002</v>
      </c>
      <c r="E5786">
        <v>0.42449949999999997</v>
      </c>
      <c r="F5786" t="s">
        <v>41</v>
      </c>
      <c r="G5786">
        <v>-184.73400000000001</v>
      </c>
      <c r="H5786" s="1">
        <v>-3.729298E-6</v>
      </c>
      <c r="I5786">
        <v>-13.85155</v>
      </c>
      <c r="J5786">
        <v>-188.33529999999999</v>
      </c>
      <c r="K5786">
        <v>1.13337</v>
      </c>
      <c r="L5786">
        <v>-49.386539999999997</v>
      </c>
      <c r="M5786">
        <v>0.41341169999999999</v>
      </c>
      <c r="N5786">
        <v>-1.55374E-2</v>
      </c>
      <c r="O5786">
        <v>0.91041170000000005</v>
      </c>
      <c r="P5786">
        <v>0.30128640000000001</v>
      </c>
      <c r="Q5786">
        <v>0.19345509999999999</v>
      </c>
      <c r="R5786">
        <v>0.93370319999999996</v>
      </c>
      <c r="S5786">
        <v>0.32579039999999998</v>
      </c>
      <c r="T5786">
        <v>-9.9338049999999997E-2</v>
      </c>
      <c r="U5786">
        <v>3.1384280000000002</v>
      </c>
      <c r="V5786">
        <v>-0.11799179999999999</v>
      </c>
      <c r="W5786">
        <v>0.20509559999999999</v>
      </c>
      <c r="X5786">
        <v>0.97160369999999996</v>
      </c>
      <c r="Y5786">
        <v>-0.31712050000000003</v>
      </c>
      <c r="Z5786">
        <v>-1.1345539999999999E-2</v>
      </c>
      <c r="AA5786">
        <v>0.94831739999999998</v>
      </c>
      <c r="AB5786">
        <v>33</v>
      </c>
      <c r="AC5786">
        <v>3.6012999999999802</v>
      </c>
      <c r="AD5786">
        <v>-1.133373729298</v>
      </c>
      <c r="AE5786">
        <v>35.534990000000001</v>
      </c>
      <c r="AF5786">
        <v>-11.401811341975</v>
      </c>
      <c r="AG5786">
        <v>-1.133373729298</v>
      </c>
      <c r="AH5786">
        <v>33.810329444911297</v>
      </c>
      <c r="AI5786">
        <v>91.819331129476197</v>
      </c>
      <c r="AJ5786">
        <v>108.635579601359</v>
      </c>
      <c r="AK5786">
        <v>35.699078630430897</v>
      </c>
      <c r="AL5786">
        <v>78.164904681729396</v>
      </c>
      <c r="AM5786">
        <v>96.924108542960099</v>
      </c>
      <c r="AN5786">
        <v>1.00000000993014</v>
      </c>
    </row>
    <row r="5787" spans="1:40" x14ac:dyDescent="0.25">
      <c r="A5787" t="str">
        <f>"20190303170648727"</f>
        <v>20190303170648727</v>
      </c>
      <c r="B5787" t="str">
        <f>"1551604008720343"</f>
        <v>1551604008720343</v>
      </c>
      <c r="C5787" t="s">
        <v>40</v>
      </c>
      <c r="D5787">
        <v>5.8159390000000002</v>
      </c>
      <c r="E5787">
        <v>0.42567379999999999</v>
      </c>
      <c r="F5787" t="s">
        <v>41</v>
      </c>
      <c r="G5787">
        <v>-184.96680000000001</v>
      </c>
      <c r="H5787" s="1">
        <v>-2.0926850000000001E-6</v>
      </c>
      <c r="I5787">
        <v>-18.137779999999999</v>
      </c>
      <c r="J5787">
        <v>-188.25919999999999</v>
      </c>
      <c r="K5787">
        <v>1.1333390000000001</v>
      </c>
      <c r="L5787">
        <v>-49.201569999999997</v>
      </c>
      <c r="M5787">
        <v>0.40552460000000001</v>
      </c>
      <c r="N5787">
        <v>-1.552806E-2</v>
      </c>
      <c r="O5787">
        <v>0.91395219999999999</v>
      </c>
      <c r="P5787">
        <v>0.292796</v>
      </c>
      <c r="Q5787">
        <v>0.19334480000000001</v>
      </c>
      <c r="R5787">
        <v>0.93642309999999995</v>
      </c>
      <c r="S5787">
        <v>0.33715820000000002</v>
      </c>
      <c r="T5787">
        <v>-0.11344029999999999</v>
      </c>
      <c r="U5787">
        <v>3.1277159999999999</v>
      </c>
      <c r="V5787">
        <v>-0.1184017</v>
      </c>
      <c r="W5787">
        <v>0.20497290000000001</v>
      </c>
      <c r="X5787">
        <v>0.97157969999999905</v>
      </c>
      <c r="Y5787">
        <v>-0.30515300000000001</v>
      </c>
      <c r="Z5787">
        <v>-1.5483830000000001E-2</v>
      </c>
      <c r="AA5787">
        <v>0.95217750000000001</v>
      </c>
      <c r="AB5787">
        <v>33</v>
      </c>
      <c r="AC5787">
        <v>3.2923999999999798</v>
      </c>
      <c r="AD5787">
        <v>-1.1333410926849901</v>
      </c>
      <c r="AE5787">
        <v>31.063790000000001</v>
      </c>
      <c r="AF5787">
        <v>-9.5765853620704302</v>
      </c>
      <c r="AG5787">
        <v>-1.1333410926849901</v>
      </c>
      <c r="AH5787">
        <v>29.690471519620001</v>
      </c>
      <c r="AI5787">
        <v>92.080575307949999</v>
      </c>
      <c r="AJ5787">
        <v>107.87697299421001</v>
      </c>
      <c r="AK5787">
        <v>31.217295659405799</v>
      </c>
      <c r="AL5787">
        <v>78.172087149033203</v>
      </c>
      <c r="AM5787">
        <v>96.948097922427493</v>
      </c>
      <c r="AN5787">
        <v>0.99999998287469405</v>
      </c>
    </row>
    <row r="5788" spans="1:40" x14ac:dyDescent="0.25">
      <c r="A5788" t="str">
        <f>"20190303170648748"</f>
        <v>20190303170648748</v>
      </c>
      <c r="B5788" t="str">
        <f>"1551604008740838"</f>
        <v>1551604008740838</v>
      </c>
      <c r="C5788" t="s">
        <v>40</v>
      </c>
      <c r="D5788">
        <v>5.7871739999999896</v>
      </c>
      <c r="E5788">
        <v>0.42181750000000001</v>
      </c>
      <c r="F5788" t="s">
        <v>41</v>
      </c>
      <c r="G5788">
        <v>-185.27420000000001</v>
      </c>
      <c r="H5788" s="1">
        <v>-1.4476159999999999E-6</v>
      </c>
      <c r="I5788">
        <v>-19.793040000000001</v>
      </c>
      <c r="J5788">
        <v>-188.1454</v>
      </c>
      <c r="K5788">
        <v>1.1333</v>
      </c>
      <c r="L5788">
        <v>-48.915190000000003</v>
      </c>
      <c r="M5788">
        <v>0.39332</v>
      </c>
      <c r="N5788">
        <v>-1.551461E-2</v>
      </c>
      <c r="O5788">
        <v>0.9192707</v>
      </c>
      <c r="P5788">
        <v>0.27965289999999998</v>
      </c>
      <c r="Q5788">
        <v>0.19413620000000001</v>
      </c>
      <c r="R5788">
        <v>0.94026880000000002</v>
      </c>
      <c r="S5788">
        <v>0.31762699999999999</v>
      </c>
      <c r="T5788">
        <v>-0.1205953</v>
      </c>
      <c r="U5788">
        <v>3.1292719999999998</v>
      </c>
      <c r="V5788">
        <v>-0.1190074</v>
      </c>
      <c r="W5788">
        <v>0.2057438</v>
      </c>
      <c r="X5788">
        <v>0.9713427</v>
      </c>
      <c r="Y5788">
        <v>-0.29839640000000001</v>
      </c>
      <c r="Z5788">
        <v>-1.7734750000000001E-2</v>
      </c>
      <c r="AA5788">
        <v>0.95427720000000005</v>
      </c>
      <c r="AB5788">
        <v>33</v>
      </c>
      <c r="AC5788">
        <v>2.87119999999998</v>
      </c>
      <c r="AD5788">
        <v>-1.1333014476159999</v>
      </c>
      <c r="AE5788">
        <v>29.122150000000001</v>
      </c>
      <c r="AF5788">
        <v>-8.8027726355474201</v>
      </c>
      <c r="AG5788">
        <v>-1.1333014476159999</v>
      </c>
      <c r="AH5788">
        <v>27.862010464850901</v>
      </c>
      <c r="AI5788">
        <v>92.221147215592893</v>
      </c>
      <c r="AJ5788">
        <v>107.533502195797</v>
      </c>
      <c r="AK5788">
        <v>29.241491162178701</v>
      </c>
      <c r="AL5788">
        <v>78.126955626610695</v>
      </c>
      <c r="AM5788">
        <v>96.984978818658604</v>
      </c>
      <c r="AN5788">
        <v>0.99999995666824404</v>
      </c>
    </row>
    <row r="5789" spans="1:40" x14ac:dyDescent="0.25">
      <c r="A5789" t="str">
        <f>"20190303170648761"</f>
        <v>20190303170648761</v>
      </c>
      <c r="B5789" t="str">
        <f>"1551604008750599"</f>
        <v>1551604008750599</v>
      </c>
      <c r="C5789" t="s">
        <v>40</v>
      </c>
      <c r="D5789">
        <v>5.709041</v>
      </c>
      <c r="E5789">
        <v>0.42181750000000001</v>
      </c>
      <c r="F5789" t="s">
        <v>41</v>
      </c>
      <c r="G5789">
        <v>-185.48820000000001</v>
      </c>
      <c r="H5789" s="1">
        <v>-3.1767539999999998E-6</v>
      </c>
      <c r="I5789">
        <v>-14.8277</v>
      </c>
      <c r="J5789">
        <v>-188.0754</v>
      </c>
      <c r="K5789">
        <v>1.1332739999999999</v>
      </c>
      <c r="L5789">
        <v>-48.734009999999998</v>
      </c>
      <c r="M5789">
        <v>0.3855941</v>
      </c>
      <c r="N5789">
        <v>-1.550666E-2</v>
      </c>
      <c r="O5789">
        <v>0.92253819999999997</v>
      </c>
      <c r="P5789">
        <v>0.27146039999999999</v>
      </c>
      <c r="Q5789">
        <v>0.19494929999999999</v>
      </c>
      <c r="R5789">
        <v>0.94249890000000003</v>
      </c>
      <c r="S5789">
        <v>0.24472050000000001</v>
      </c>
      <c r="T5789">
        <v>-0.10437349999999999</v>
      </c>
      <c r="U5789">
        <v>3.1393430000000002</v>
      </c>
      <c r="V5789">
        <v>-0.119255399999999</v>
      </c>
      <c r="W5789">
        <v>0.2065478</v>
      </c>
      <c r="X5789">
        <v>0.9711417</v>
      </c>
      <c r="Y5789">
        <v>-0.31264910000000001</v>
      </c>
      <c r="Z5789">
        <v>-1.325599E-2</v>
      </c>
      <c r="AA5789">
        <v>0.94977619999999896</v>
      </c>
      <c r="AB5789">
        <v>33</v>
      </c>
      <c r="AC5789">
        <v>2.58719999999999</v>
      </c>
      <c r="AD5789">
        <v>-1.133277176754</v>
      </c>
      <c r="AE5789">
        <v>33.906309999999998</v>
      </c>
      <c r="AF5789">
        <v>-10.676708985037999</v>
      </c>
      <c r="AG5789">
        <v>-1.133277176754</v>
      </c>
      <c r="AH5789">
        <v>32.245542105281601</v>
      </c>
      <c r="AI5789">
        <v>91.910902955035496</v>
      </c>
      <c r="AJ5789">
        <v>108.320043514689</v>
      </c>
      <c r="AK5789">
        <v>33.986047395571497</v>
      </c>
      <c r="AL5789">
        <v>78.079879463585002</v>
      </c>
      <c r="AM5789">
        <v>97.000824913648103</v>
      </c>
      <c r="AN5789">
        <v>1.0000000227964401</v>
      </c>
    </row>
    <row r="5790" spans="1:40" x14ac:dyDescent="0.25">
      <c r="A5790" t="str">
        <f>"20190303170648781"</f>
        <v>20190303170648781</v>
      </c>
      <c r="B5790" t="str">
        <f>"1551604008771095"</f>
        <v>1551604008771095</v>
      </c>
      <c r="C5790" t="s">
        <v>40</v>
      </c>
      <c r="D5790">
        <v>5.7213139999999996</v>
      </c>
      <c r="E5790">
        <v>0.39077260000000003</v>
      </c>
      <c r="F5790" t="s">
        <v>41</v>
      </c>
      <c r="G5790">
        <v>-185.6584</v>
      </c>
      <c r="H5790" s="1">
        <v>-3.5588670000000001E-6</v>
      </c>
      <c r="I5790">
        <v>-13.866569999999999</v>
      </c>
      <c r="J5790">
        <v>-187.97929999999999</v>
      </c>
      <c r="K5790">
        <v>1.133246</v>
      </c>
      <c r="L5790">
        <v>-48.476559999999999</v>
      </c>
      <c r="M5790">
        <v>0.3746159</v>
      </c>
      <c r="N5790">
        <v>-1.54961E-2</v>
      </c>
      <c r="O5790">
        <v>0.92705059999999995</v>
      </c>
      <c r="P5790">
        <v>0.2598512</v>
      </c>
      <c r="Q5790">
        <v>0.1955528</v>
      </c>
      <c r="R5790">
        <v>0.94564079999999995</v>
      </c>
      <c r="S5790">
        <v>0.21775820000000001</v>
      </c>
      <c r="T5790">
        <v>-0.10210379999999999</v>
      </c>
      <c r="U5790">
        <v>3.1414179999999998</v>
      </c>
      <c r="V5790">
        <v>-0.1196193</v>
      </c>
      <c r="W5790">
        <v>0.20713980000000001</v>
      </c>
      <c r="X5790">
        <v>0.97097080000000002</v>
      </c>
      <c r="Y5790">
        <v>-0.30953150000000001</v>
      </c>
      <c r="Z5790">
        <v>-1.283668E-2</v>
      </c>
      <c r="AA5790">
        <v>0.95080260000000005</v>
      </c>
      <c r="AB5790">
        <v>33</v>
      </c>
      <c r="AC5790">
        <v>2.3208999999999902</v>
      </c>
      <c r="AD5790">
        <v>-1.133249558867</v>
      </c>
      <c r="AE5790">
        <v>34.609990000000003</v>
      </c>
      <c r="AF5790">
        <v>-10.803628261182</v>
      </c>
      <c r="AG5790">
        <v>-1.133249558867</v>
      </c>
      <c r="AH5790">
        <v>32.923474880594497</v>
      </c>
      <c r="AI5790">
        <v>91.873186171991193</v>
      </c>
      <c r="AJ5790">
        <v>108.16691972143499</v>
      </c>
      <c r="AK5790">
        <v>34.669263568492802</v>
      </c>
      <c r="AL5790">
        <v>78.045210143167793</v>
      </c>
      <c r="AM5790">
        <v>97.023198110368895</v>
      </c>
      <c r="AN5790">
        <v>0.99999998406458401</v>
      </c>
    </row>
    <row r="5791" spans="1:40" x14ac:dyDescent="0.25">
      <c r="A5791" t="str">
        <f>"20190303170648803"</f>
        <v>20190303170648803</v>
      </c>
      <c r="B5791" t="str">
        <f>"1551604008790614"</f>
        <v>1551604008790614</v>
      </c>
      <c r="C5791" t="s">
        <v>40</v>
      </c>
      <c r="D5791">
        <v>5.6748159999999999</v>
      </c>
      <c r="E5791">
        <v>0.38967400000000002</v>
      </c>
      <c r="F5791" t="s">
        <v>44</v>
      </c>
      <c r="G5791">
        <v>-196.19210000000001</v>
      </c>
      <c r="H5791">
        <v>6.6958989999999998</v>
      </c>
      <c r="I5791">
        <v>390.11860000000001</v>
      </c>
      <c r="J5791">
        <v>-187.87440000000001</v>
      </c>
      <c r="K5791">
        <v>1.1332070000000001</v>
      </c>
      <c r="L5791">
        <v>-48.184690000000003</v>
      </c>
      <c r="M5791">
        <v>0.36216009999999998</v>
      </c>
      <c r="N5791">
        <v>-1.5484960000000001E-2</v>
      </c>
      <c r="O5791">
        <v>0.93198729999999996</v>
      </c>
      <c r="P5791">
        <v>0.24697089999999999</v>
      </c>
      <c r="Q5791">
        <v>0.19553490000000001</v>
      </c>
      <c r="R5791">
        <v>0.94908979999999998</v>
      </c>
      <c r="S5791">
        <v>-5.9555049999999998E-2</v>
      </c>
      <c r="T5791">
        <v>4.0337680000000001E-2</v>
      </c>
      <c r="U5791">
        <v>3.1804809999999999</v>
      </c>
      <c r="V5791">
        <v>-0.11978750000000001</v>
      </c>
      <c r="W5791">
        <v>0.20711789999999999</v>
      </c>
      <c r="X5791">
        <v>0.97095480000000001</v>
      </c>
      <c r="Y5791">
        <v>-0.37957580000000002</v>
      </c>
      <c r="Z5791">
        <v>2.6450000000000001E-2</v>
      </c>
      <c r="AA5791">
        <v>0.92478249999999995</v>
      </c>
      <c r="AB5791">
        <v>33</v>
      </c>
      <c r="AC5791">
        <v>-8.3177000000000003</v>
      </c>
      <c r="AD5791">
        <v>5.5626920000000002</v>
      </c>
      <c r="AE5791">
        <v>438.30329</v>
      </c>
      <c r="AF5791">
        <v>-166.481108329535</v>
      </c>
      <c r="AG5791">
        <v>5.5626920000000002</v>
      </c>
      <c r="AH5791">
        <v>405.46408791254402</v>
      </c>
      <c r="AI5791">
        <v>89.272887959777194</v>
      </c>
      <c r="AJ5791">
        <v>112.32275740683301</v>
      </c>
      <c r="AK5791">
        <v>438.34692831097601</v>
      </c>
      <c r="AL5791">
        <v>78.046493494638199</v>
      </c>
      <c r="AM5791">
        <v>97.033089525420493</v>
      </c>
      <c r="AN5791">
        <v>1.00000004664984</v>
      </c>
    </row>
    <row r="5792" spans="1:40" x14ac:dyDescent="0.25">
      <c r="A5792" t="str">
        <f>"20190303170648825"</f>
        <v>20190303170648825</v>
      </c>
      <c r="B5792" t="str">
        <f>"1551604008820870"</f>
        <v>1551604008820870</v>
      </c>
      <c r="C5792" t="s">
        <v>40</v>
      </c>
      <c r="D5792">
        <v>5.7012530000000003</v>
      </c>
      <c r="E5792">
        <v>0.39128259999999998</v>
      </c>
      <c r="F5792" t="s">
        <v>44</v>
      </c>
      <c r="G5792">
        <v>-203.1317</v>
      </c>
      <c r="H5792">
        <v>8.1668280000000006</v>
      </c>
      <c r="I5792">
        <v>391.00349999999997</v>
      </c>
      <c r="J5792">
        <v>-187.77369999999999</v>
      </c>
      <c r="K5792">
        <v>1.1331709999999999</v>
      </c>
      <c r="L5792">
        <v>-47.891599999999997</v>
      </c>
      <c r="M5792">
        <v>0.34964780000000001</v>
      </c>
      <c r="N5792">
        <v>-1.547433E-2</v>
      </c>
      <c r="O5792">
        <v>0.93675350000000002</v>
      </c>
      <c r="P5792">
        <v>0.2346096</v>
      </c>
      <c r="Q5792">
        <v>0.19596430000000001</v>
      </c>
      <c r="R5792">
        <v>0.95213250000000005</v>
      </c>
      <c r="S5792">
        <v>-0.1104431</v>
      </c>
      <c r="T5792">
        <v>5.091453E-2</v>
      </c>
      <c r="U5792">
        <v>3.1791689999999999</v>
      </c>
      <c r="V5792">
        <v>-0.1193695</v>
      </c>
      <c r="W5792">
        <v>0.20756060000000001</v>
      </c>
      <c r="X5792">
        <v>0.97091170000000004</v>
      </c>
      <c r="Y5792">
        <v>-0.38199100000000002</v>
      </c>
      <c r="Z5792">
        <v>2.9449969999999999E-2</v>
      </c>
      <c r="AA5792">
        <v>0.92369670000000004</v>
      </c>
      <c r="AB5792">
        <v>32</v>
      </c>
      <c r="AC5792">
        <v>-15.358000000000001</v>
      </c>
      <c r="AD5792">
        <v>7.0336569999999998</v>
      </c>
      <c r="AE5792">
        <v>438.89510000000001</v>
      </c>
      <c r="AF5792">
        <v>-167.82240374687501</v>
      </c>
      <c r="AG5792">
        <v>7.0336569999999998</v>
      </c>
      <c r="AH5792">
        <v>405.711117871966</v>
      </c>
      <c r="AI5792">
        <v>89.082192509996602</v>
      </c>
      <c r="AJ5792">
        <v>112.472433468389</v>
      </c>
      <c r="AK5792">
        <v>439.10743866973303</v>
      </c>
      <c r="AL5792">
        <v>78.020564699111901</v>
      </c>
      <c r="AM5792">
        <v>97.009100021513007</v>
      </c>
      <c r="AN5792">
        <v>1.0000000046997499</v>
      </c>
    </row>
    <row r="5793" spans="1:40" x14ac:dyDescent="0.25">
      <c r="A5793" t="str">
        <f>"20190303170648842"</f>
        <v>20190303170648842</v>
      </c>
      <c r="B5793" t="str">
        <f>"1551604008830631"</f>
        <v>1551604008830631</v>
      </c>
      <c r="C5793" t="s">
        <v>40</v>
      </c>
      <c r="D5793">
        <v>6.0875859999999999</v>
      </c>
      <c r="E5793">
        <v>0.39162059999999999</v>
      </c>
      <c r="F5793" t="s">
        <v>44</v>
      </c>
      <c r="G5793">
        <v>-207.03460000000001</v>
      </c>
      <c r="H5793">
        <v>8.2647259999999996</v>
      </c>
      <c r="I5793">
        <v>391.87</v>
      </c>
      <c r="J5793">
        <v>-187.69380000000001</v>
      </c>
      <c r="K5793">
        <v>1.133146</v>
      </c>
      <c r="L5793">
        <v>-47.649659999999997</v>
      </c>
      <c r="M5793">
        <v>0.33930860000000002</v>
      </c>
      <c r="N5793">
        <v>-1.546602E-2</v>
      </c>
      <c r="O5793">
        <v>0.94054789999999999</v>
      </c>
      <c r="P5793">
        <v>0.2253965</v>
      </c>
      <c r="Q5793">
        <v>0.1965229</v>
      </c>
      <c r="R5793">
        <v>0.95424059999999999</v>
      </c>
      <c r="S5793">
        <v>-0.1390381</v>
      </c>
      <c r="T5793">
        <v>5.1480409999999997E-2</v>
      </c>
      <c r="U5793">
        <v>3.1745000000000001</v>
      </c>
      <c r="V5793">
        <v>-0.1180156</v>
      </c>
      <c r="W5793">
        <v>0.20816129999999999</v>
      </c>
      <c r="X5793">
        <v>0.97094860000000005</v>
      </c>
      <c r="Y5793">
        <v>-0.3801658</v>
      </c>
      <c r="Z5793">
        <v>2.973334E-2</v>
      </c>
      <c r="AA5793">
        <v>0.92444029999999999</v>
      </c>
      <c r="AB5793">
        <v>32</v>
      </c>
      <c r="AC5793">
        <v>-19.340800000000002</v>
      </c>
      <c r="AD5793">
        <v>7.1315799999999996</v>
      </c>
      <c r="AE5793">
        <v>439.51965999999999</v>
      </c>
      <c r="AF5793">
        <v>-167.29981376574199</v>
      </c>
      <c r="AG5793">
        <v>7.1315799999999996</v>
      </c>
      <c r="AH5793">
        <v>406.76859711311698</v>
      </c>
      <c r="AI5793">
        <v>89.071063433043193</v>
      </c>
      <c r="AJ5793">
        <v>112.356870395752</v>
      </c>
      <c r="AK5793">
        <v>439.88723409155898</v>
      </c>
      <c r="AL5793">
        <v>77.985378499713704</v>
      </c>
      <c r="AM5793">
        <v>96.930118846465405</v>
      </c>
      <c r="AN5793">
        <v>0.99999999625150504</v>
      </c>
    </row>
    <row r="5794" spans="1:40" x14ac:dyDescent="0.25">
      <c r="A5794" t="str">
        <f>"20190303170648860"</f>
        <v>20190303170648860</v>
      </c>
      <c r="B5794" t="str">
        <f>"1551604008850150"</f>
        <v>1551604008850150</v>
      </c>
      <c r="C5794" t="s">
        <v>40</v>
      </c>
      <c r="D5794">
        <v>5.7112179999999997</v>
      </c>
      <c r="E5794">
        <v>0.39250550000000001</v>
      </c>
      <c r="F5794" t="s">
        <v>44</v>
      </c>
      <c r="G5794">
        <v>-210.91480000000001</v>
      </c>
      <c r="H5794">
        <v>8.6273339999999994</v>
      </c>
      <c r="I5794">
        <v>391.87</v>
      </c>
      <c r="J5794">
        <v>-187.6148</v>
      </c>
      <c r="K5794">
        <v>1.1331249999999999</v>
      </c>
      <c r="L5794">
        <v>-47.400790000000001</v>
      </c>
      <c r="M5794">
        <v>0.32866970000000001</v>
      </c>
      <c r="N5794">
        <v>-1.545785E-2</v>
      </c>
      <c r="O5794">
        <v>0.9443184</v>
      </c>
      <c r="P5794">
        <v>0.2158794</v>
      </c>
      <c r="Q5794">
        <v>0.1976135</v>
      </c>
      <c r="R5794">
        <v>0.95621389999999995</v>
      </c>
      <c r="S5794">
        <v>-0.16760249999999999</v>
      </c>
      <c r="T5794">
        <v>5.4090979999999997E-2</v>
      </c>
      <c r="U5794">
        <v>3.1723330000000001</v>
      </c>
      <c r="V5794">
        <v>-0.1166653</v>
      </c>
      <c r="W5794">
        <v>0.20929210000000001</v>
      </c>
      <c r="X5794">
        <v>0.97086870000000003</v>
      </c>
      <c r="Y5794">
        <v>-0.37805670000000002</v>
      </c>
      <c r="Z5794">
        <v>3.057232E-2</v>
      </c>
      <c r="AA5794">
        <v>0.92527749999999997</v>
      </c>
      <c r="AB5794">
        <v>32</v>
      </c>
      <c r="AC5794">
        <v>-23.3</v>
      </c>
      <c r="AD5794">
        <v>7.4942089999999997</v>
      </c>
      <c r="AE5794">
        <v>439.27078999999998</v>
      </c>
      <c r="AF5794">
        <v>-166.349219901119</v>
      </c>
      <c r="AG5794">
        <v>7.4942089999999997</v>
      </c>
      <c r="AH5794">
        <v>407.08399198812498</v>
      </c>
      <c r="AI5794">
        <v>89.023684871178901</v>
      </c>
      <c r="AJ5794">
        <v>112.22669790728099</v>
      </c>
      <c r="AK5794">
        <v>439.82451348604297</v>
      </c>
      <c r="AL5794">
        <v>77.919129316907004</v>
      </c>
      <c r="AM5794">
        <v>96.852143017451894</v>
      </c>
      <c r="AN5794">
        <v>1.0000000039930901</v>
      </c>
    </row>
    <row r="5795" spans="1:40" x14ac:dyDescent="0.25">
      <c r="A5795" t="str">
        <f>"20190303170648881"</f>
        <v>20190303170648881</v>
      </c>
      <c r="B5795" t="str">
        <f>"1551604008870646"</f>
        <v>1551604008870646</v>
      </c>
      <c r="C5795" t="s">
        <v>40</v>
      </c>
      <c r="D5795">
        <v>5.7209219999999998</v>
      </c>
      <c r="E5795">
        <v>0.3934183</v>
      </c>
      <c r="F5795" t="s">
        <v>44</v>
      </c>
      <c r="G5795">
        <v>-214.3485</v>
      </c>
      <c r="H5795">
        <v>8.6840840000000004</v>
      </c>
      <c r="I5795">
        <v>391.87</v>
      </c>
      <c r="J5795">
        <v>-187.5284</v>
      </c>
      <c r="K5795">
        <v>1.1330979999999999</v>
      </c>
      <c r="L5795">
        <v>-47.11703</v>
      </c>
      <c r="M5795">
        <v>0.31652829999999998</v>
      </c>
      <c r="N5795">
        <v>-1.5449010000000001E-2</v>
      </c>
      <c r="O5795">
        <v>0.9484572</v>
      </c>
      <c r="P5795">
        <v>0.2047485</v>
      </c>
      <c r="Q5795">
        <v>0.19821320000000001</v>
      </c>
      <c r="R5795">
        <v>0.95853509999999997</v>
      </c>
      <c r="S5795">
        <v>-0.19290160000000001</v>
      </c>
      <c r="T5795">
        <v>5.4485440000000003E-2</v>
      </c>
      <c r="U5795">
        <v>3.1696469999999999</v>
      </c>
      <c r="V5795">
        <v>-0.1154543</v>
      </c>
      <c r="W5795">
        <v>0.20992859999999999</v>
      </c>
      <c r="X5795">
        <v>0.97087599999999996</v>
      </c>
      <c r="Y5795">
        <v>-0.37357829999999997</v>
      </c>
      <c r="Z5795">
        <v>3.081884E-2</v>
      </c>
      <c r="AA5795">
        <v>0.92708659999999998</v>
      </c>
      <c r="AB5795">
        <v>32</v>
      </c>
      <c r="AC5795">
        <v>-26.8201</v>
      </c>
      <c r="AD5795">
        <v>7.550986</v>
      </c>
      <c r="AE5795">
        <v>438.98703</v>
      </c>
      <c r="AF5795">
        <v>-164.36071595382799</v>
      </c>
      <c r="AG5795">
        <v>7.550986</v>
      </c>
      <c r="AH5795">
        <v>407.79958428837699</v>
      </c>
      <c r="AI5795">
        <v>89.016100162013302</v>
      </c>
      <c r="AJ5795">
        <v>111.95154795674399</v>
      </c>
      <c r="AK5795">
        <v>439.74079101693599</v>
      </c>
      <c r="AL5795">
        <v>77.881831450452793</v>
      </c>
      <c r="AM5795">
        <v>96.781632291079106</v>
      </c>
      <c r="AN5795">
        <v>0.99999995993122404</v>
      </c>
    </row>
    <row r="5796" spans="1:40" x14ac:dyDescent="0.25">
      <c r="A5796" t="str">
        <f>"20190303170648903"</f>
        <v>20190303170648903</v>
      </c>
      <c r="B5796" t="str">
        <f>"1551604008890166"</f>
        <v>1551604008890166</v>
      </c>
      <c r="C5796" t="s">
        <v>40</v>
      </c>
      <c r="D5796">
        <v>5.7315550000000002</v>
      </c>
      <c r="E5796">
        <v>0.3945091</v>
      </c>
      <c r="F5796" t="s">
        <v>44</v>
      </c>
      <c r="G5796">
        <v>-218.42859999999999</v>
      </c>
      <c r="H5796">
        <v>8.4647269999999999</v>
      </c>
      <c r="I5796">
        <v>391.87</v>
      </c>
      <c r="J5796">
        <v>-187.44229999999999</v>
      </c>
      <c r="K5796">
        <v>1.1330629999999999</v>
      </c>
      <c r="L5796">
        <v>-46.82056</v>
      </c>
      <c r="M5796">
        <v>0.30383139999999997</v>
      </c>
      <c r="N5796">
        <v>-1.5440250000000001E-2</v>
      </c>
      <c r="O5796">
        <v>0.95260069999999997</v>
      </c>
      <c r="P5796">
        <v>0.19313910000000001</v>
      </c>
      <c r="Q5796">
        <v>0.1990275</v>
      </c>
      <c r="R5796">
        <v>0.96077330000000005</v>
      </c>
      <c r="S5796">
        <v>-0.2228851</v>
      </c>
      <c r="T5796">
        <v>5.2883510000000002E-2</v>
      </c>
      <c r="U5796">
        <v>3.1664430000000001</v>
      </c>
      <c r="V5796">
        <v>-0.114181</v>
      </c>
      <c r="W5796">
        <v>0.2107812</v>
      </c>
      <c r="X5796">
        <v>0.97084190000000004</v>
      </c>
      <c r="Y5796">
        <v>-0.36998249999999999</v>
      </c>
      <c r="Z5796">
        <v>3.0505270000000001E-2</v>
      </c>
      <c r="AA5796">
        <v>0.92853770000000002</v>
      </c>
      <c r="AB5796">
        <v>32</v>
      </c>
      <c r="AC5796">
        <v>-30.9863</v>
      </c>
      <c r="AD5796">
        <v>7.331664</v>
      </c>
      <c r="AE5796">
        <v>438.69055999999898</v>
      </c>
      <c r="AF5796">
        <v>-162.77970638831499</v>
      </c>
      <c r="AG5796">
        <v>7.331664</v>
      </c>
      <c r="AH5796">
        <v>408.41751139786697</v>
      </c>
      <c r="AI5796">
        <v>89.044640882341696</v>
      </c>
      <c r="AJ5796">
        <v>111.730348028118</v>
      </c>
      <c r="AK5796">
        <v>439.72246897935702</v>
      </c>
      <c r="AL5796">
        <v>77.831863581764594</v>
      </c>
      <c r="AM5796">
        <v>96.70775901204</v>
      </c>
      <c r="AN5796">
        <v>1.0000000049150199</v>
      </c>
    </row>
    <row r="5797" spans="1:40" x14ac:dyDescent="0.25">
      <c r="A5797" t="str">
        <f>"20190303170648926"</f>
        <v>20190303170648926</v>
      </c>
      <c r="B5797" t="str">
        <f>"1551604008920423"</f>
        <v>1551604008920423</v>
      </c>
      <c r="C5797" t="s">
        <v>40</v>
      </c>
      <c r="D5797">
        <v>5.7311930000000002</v>
      </c>
      <c r="E5797">
        <v>0.40462199999999998</v>
      </c>
      <c r="F5797" t="s">
        <v>44</v>
      </c>
      <c r="G5797">
        <v>-222.52459999999999</v>
      </c>
      <c r="H5797">
        <v>8.3237480000000001</v>
      </c>
      <c r="I5797">
        <v>391.87</v>
      </c>
      <c r="J5797">
        <v>-187.35550000000001</v>
      </c>
      <c r="K5797">
        <v>1.1330359999999999</v>
      </c>
      <c r="L5797">
        <v>-46.504300000000001</v>
      </c>
      <c r="M5797">
        <v>0.29027839999999999</v>
      </c>
      <c r="N5797">
        <v>-1.543127E-2</v>
      </c>
      <c r="O5797">
        <v>0.95681780000000005</v>
      </c>
      <c r="P5797">
        <v>0.18103810000000001</v>
      </c>
      <c r="Q5797">
        <v>0.19935369999999999</v>
      </c>
      <c r="R5797">
        <v>0.96305940000000001</v>
      </c>
      <c r="S5797">
        <v>-0.25291439999999998</v>
      </c>
      <c r="T5797">
        <v>5.1838870000000002E-2</v>
      </c>
      <c r="U5797">
        <v>3.162598</v>
      </c>
      <c r="V5797">
        <v>-0.112579399999999</v>
      </c>
      <c r="W5797">
        <v>0.21115600000000001</v>
      </c>
      <c r="X5797">
        <v>0.97094749999999996</v>
      </c>
      <c r="Y5797">
        <v>-0.36563600000000002</v>
      </c>
      <c r="Z5797">
        <v>3.0346339999999999E-2</v>
      </c>
      <c r="AA5797">
        <v>0.93026310000000001</v>
      </c>
      <c r="AB5797">
        <v>32</v>
      </c>
      <c r="AC5797">
        <v>-35.169099999999901</v>
      </c>
      <c r="AD5797">
        <v>7.1907120000000004</v>
      </c>
      <c r="AE5797">
        <v>438.37430000000001</v>
      </c>
      <c r="AF5797">
        <v>-160.877164613915</v>
      </c>
      <c r="AG5797">
        <v>7.1907120000000004</v>
      </c>
      <c r="AH5797">
        <v>409.17485159528002</v>
      </c>
      <c r="AI5797">
        <v>89.063012752785298</v>
      </c>
      <c r="AJ5797">
        <v>111.46349241422401</v>
      </c>
      <c r="AK5797">
        <v>439.72403574434998</v>
      </c>
      <c r="AL5797">
        <v>77.809894761962695</v>
      </c>
      <c r="AM5797">
        <v>96.613796851076401</v>
      </c>
      <c r="AN5797">
        <v>1.0000000126983</v>
      </c>
    </row>
    <row r="5798" spans="1:40" x14ac:dyDescent="0.25">
      <c r="A5798" t="str">
        <f>"20190303170648949"</f>
        <v>20190303170648949</v>
      </c>
      <c r="B5798" t="str">
        <f>"1551604008940918"</f>
        <v>1551604008940918</v>
      </c>
      <c r="C5798" t="s">
        <v>40</v>
      </c>
      <c r="D5798">
        <v>5.7273319999999996</v>
      </c>
      <c r="E5798">
        <v>0.40533859999999999</v>
      </c>
      <c r="F5798" t="s">
        <v>44</v>
      </c>
      <c r="G5798">
        <v>-217.20140000000001</v>
      </c>
      <c r="H5798">
        <v>1.4694529999999999</v>
      </c>
      <c r="I5798">
        <v>391.87</v>
      </c>
      <c r="J5798">
        <v>-187.274</v>
      </c>
      <c r="K5798">
        <v>1.133003</v>
      </c>
      <c r="L5798">
        <v>-46.190460000000002</v>
      </c>
      <c r="M5798">
        <v>0.27681689999999998</v>
      </c>
      <c r="N5798">
        <v>-1.5422689999999999E-2</v>
      </c>
      <c r="O5798">
        <v>0.96079890000000001</v>
      </c>
      <c r="P5798">
        <v>0.16835310000000001</v>
      </c>
      <c r="Q5798">
        <v>0.19982340000000001</v>
      </c>
      <c r="R5798">
        <v>0.96526049999999997</v>
      </c>
      <c r="S5798">
        <v>-0.21479799999999999</v>
      </c>
      <c r="T5798">
        <v>2.4211409999999999E-3</v>
      </c>
      <c r="U5798">
        <v>3.154938</v>
      </c>
      <c r="V5798">
        <v>-0.11168889999999999</v>
      </c>
      <c r="W5798">
        <v>0.21165139999999999</v>
      </c>
      <c r="X5798">
        <v>0.97094250000000004</v>
      </c>
      <c r="Y5798">
        <v>-0.34143370000000001</v>
      </c>
      <c r="Z5798">
        <v>1.6269789999999999E-2</v>
      </c>
      <c r="AA5798">
        <v>0.93976499999999996</v>
      </c>
      <c r="AB5798">
        <v>32</v>
      </c>
      <c r="AC5798">
        <v>-29.927399999999999</v>
      </c>
      <c r="AD5798">
        <v>0.33645000000000003</v>
      </c>
      <c r="AE5798">
        <v>438.06045999999998</v>
      </c>
      <c r="AF5798">
        <v>-150.03450945538</v>
      </c>
      <c r="AG5798">
        <v>0.33645000000000003</v>
      </c>
      <c r="AH5798">
        <v>412.652439059372</v>
      </c>
      <c r="AI5798">
        <v>89.956096601767499</v>
      </c>
      <c r="AJ5798">
        <v>109.980540664065</v>
      </c>
      <c r="AK5798">
        <v>439.08143058864198</v>
      </c>
      <c r="AL5798">
        <v>77.780854317783493</v>
      </c>
      <c r="AM5798">
        <v>96.561973449834198</v>
      </c>
      <c r="AN5798">
        <v>1.0000000319057001</v>
      </c>
    </row>
    <row r="5799" spans="1:40" x14ac:dyDescent="0.25">
      <c r="A5799" t="str">
        <f>"20190303170648973"</f>
        <v>20190303170648973</v>
      </c>
      <c r="B5799" t="str">
        <f>"1551604008960438"</f>
        <v>1551604008960438</v>
      </c>
      <c r="C5799" t="s">
        <v>40</v>
      </c>
      <c r="D5799">
        <v>5.7280160000000002</v>
      </c>
      <c r="E5799">
        <v>0.4061882</v>
      </c>
      <c r="F5799" t="s">
        <v>44</v>
      </c>
      <c r="G5799">
        <v>-222.19329999999999</v>
      </c>
      <c r="H5799">
        <v>1.7993760000000001</v>
      </c>
      <c r="I5799">
        <v>391.87</v>
      </c>
      <c r="J5799">
        <v>-187.19739999999999</v>
      </c>
      <c r="K5799">
        <v>1.1329739999999999</v>
      </c>
      <c r="L5799">
        <v>-45.877659999999999</v>
      </c>
      <c r="M5799">
        <v>0.26338779999999901</v>
      </c>
      <c r="N5799">
        <v>-1.5414539999999999E-2</v>
      </c>
      <c r="O5799">
        <v>0.9645669</v>
      </c>
      <c r="P5799">
        <v>0.1552915</v>
      </c>
      <c r="Q5799">
        <v>0.19944529999999999</v>
      </c>
      <c r="R5799">
        <v>0.96752579999999999</v>
      </c>
      <c r="S5799">
        <v>-0.25115969999999999</v>
      </c>
      <c r="T5799">
        <v>4.7929289999999996E-3</v>
      </c>
      <c r="U5799">
        <v>3.1507869999999998</v>
      </c>
      <c r="V5799">
        <v>-0.1112612</v>
      </c>
      <c r="W5799">
        <v>0.21128739999999999</v>
      </c>
      <c r="X5799">
        <v>0.97107080000000001</v>
      </c>
      <c r="Y5799">
        <v>-0.33919319999999997</v>
      </c>
      <c r="Z5799">
        <v>1.6972709999999998E-2</v>
      </c>
      <c r="AA5799">
        <v>0.94056360000000006</v>
      </c>
      <c r="AB5799">
        <v>32</v>
      </c>
      <c r="AC5799">
        <v>-34.995899999999999</v>
      </c>
      <c r="AD5799">
        <v>0.66640199999999905</v>
      </c>
      <c r="AE5799">
        <v>437.74765999999897</v>
      </c>
      <c r="AF5799">
        <v>-149.07064448722201</v>
      </c>
      <c r="AG5799">
        <v>0.66640199999999905</v>
      </c>
      <c r="AH5799">
        <v>413.06752671236001</v>
      </c>
      <c r="AI5799">
        <v>89.913053455039901</v>
      </c>
      <c r="AJ5799">
        <v>109.843847332642</v>
      </c>
      <c r="AK5799">
        <v>439.14380647314999</v>
      </c>
      <c r="AL5799">
        <v>77.802191654270402</v>
      </c>
      <c r="AM5799">
        <v>96.5362068120386</v>
      </c>
      <c r="AN5799">
        <v>0.99999995931841901</v>
      </c>
    </row>
    <row r="5800" spans="1:40" x14ac:dyDescent="0.25">
      <c r="A5800" t="str">
        <f>"20190303170648994"</f>
        <v>20190303170648994</v>
      </c>
      <c r="B5800" t="str">
        <f>"1551604008990695"</f>
        <v>1551604008990695</v>
      </c>
      <c r="C5800" t="s">
        <v>40</v>
      </c>
      <c r="D5800">
        <v>5.7415779999999996</v>
      </c>
      <c r="E5800">
        <v>0.41229060000000001</v>
      </c>
      <c r="F5800" t="s">
        <v>44</v>
      </c>
      <c r="G5800">
        <v>-227.0993</v>
      </c>
      <c r="H5800">
        <v>1.5695589999999999</v>
      </c>
      <c r="I5800">
        <v>391.87</v>
      </c>
      <c r="J5800">
        <v>-187.12870000000001</v>
      </c>
      <c r="K5800">
        <v>1.1329530000000001</v>
      </c>
      <c r="L5800">
        <v>-45.579439999999998</v>
      </c>
      <c r="M5800">
        <v>0.25057410000000002</v>
      </c>
      <c r="N5800">
        <v>-1.540706E-2</v>
      </c>
      <c r="O5800">
        <v>0.96797480000000002</v>
      </c>
      <c r="P5800">
        <v>0.14288319999999999</v>
      </c>
      <c r="Q5800">
        <v>0.19959969999999999</v>
      </c>
      <c r="R5800">
        <v>0.96940420000000005</v>
      </c>
      <c r="S5800">
        <v>-0.28677370000000002</v>
      </c>
      <c r="T5800">
        <v>3.1377079999999999E-3</v>
      </c>
      <c r="U5800">
        <v>3.1460880000000002</v>
      </c>
      <c r="V5800">
        <v>-0.11080660000000001</v>
      </c>
      <c r="W5800">
        <v>0.21145520000000001</v>
      </c>
      <c r="X5800">
        <v>0.97108629999999996</v>
      </c>
      <c r="Y5800">
        <v>-0.3373988</v>
      </c>
      <c r="Z5800">
        <v>1.6504680000000001E-2</v>
      </c>
      <c r="AA5800">
        <v>0.94121710000000003</v>
      </c>
      <c r="AB5800">
        <v>32</v>
      </c>
      <c r="AC5800">
        <v>-39.970599999999898</v>
      </c>
      <c r="AD5800">
        <v>0.43660599999999899</v>
      </c>
      <c r="AE5800">
        <v>437.44943999999998</v>
      </c>
      <c r="AF5800">
        <v>-148.32149407865501</v>
      </c>
      <c r="AG5800">
        <v>0.43660599999999899</v>
      </c>
      <c r="AH5800">
        <v>413.47311226477001</v>
      </c>
      <c r="AI5800">
        <v>89.943051884934306</v>
      </c>
      <c r="AJ5800">
        <v>109.733976963145</v>
      </c>
      <c r="AK5800">
        <v>439.271522860792</v>
      </c>
      <c r="AL5800">
        <v>77.792355718115601</v>
      </c>
      <c r="AM5800">
        <v>96.509627335016305</v>
      </c>
      <c r="AN5800">
        <v>1.0000000031291401</v>
      </c>
    </row>
    <row r="5801" spans="1:40" x14ac:dyDescent="0.25">
      <c r="A5801" t="str">
        <f>"20190303170649017"</f>
        <v>20190303170649017</v>
      </c>
      <c r="B5801" t="str">
        <f>"1551604009010215"</f>
        <v>1551604009010215</v>
      </c>
      <c r="C5801" t="s">
        <v>40</v>
      </c>
      <c r="D5801">
        <v>5.7404859999999998</v>
      </c>
      <c r="E5801">
        <v>0.41306920000000003</v>
      </c>
      <c r="F5801" t="s">
        <v>44</v>
      </c>
      <c r="G5801">
        <v>-225.97579999999999</v>
      </c>
      <c r="H5801">
        <v>2.3364259999999999</v>
      </c>
      <c r="I5801">
        <v>391.87</v>
      </c>
      <c r="J5801">
        <v>-187.05930000000001</v>
      </c>
      <c r="K5801">
        <v>1.1329290000000001</v>
      </c>
      <c r="L5801">
        <v>-45.25873</v>
      </c>
      <c r="M5801">
        <v>0.23678009999999999</v>
      </c>
      <c r="N5801">
        <v>-1.5399339999999999E-2</v>
      </c>
      <c r="O5801">
        <v>0.9714412</v>
      </c>
      <c r="P5801">
        <v>0.12967290000000001</v>
      </c>
      <c r="Q5801">
        <v>0.20034540000000001</v>
      </c>
      <c r="R5801">
        <v>0.97110589999999997</v>
      </c>
      <c r="S5801">
        <v>-0.27830510000000003</v>
      </c>
      <c r="T5801">
        <v>8.6218119999999995E-3</v>
      </c>
      <c r="U5801">
        <v>3.1339419999999998</v>
      </c>
      <c r="V5801">
        <v>-0.11018219999999999</v>
      </c>
      <c r="W5801">
        <v>0.21221709999999999</v>
      </c>
      <c r="X5801">
        <v>0.9709911</v>
      </c>
      <c r="Y5801">
        <v>-0.32177339999999999</v>
      </c>
      <c r="Z5801">
        <v>1.811888E-2</v>
      </c>
      <c r="AA5801">
        <v>0.94664340000000002</v>
      </c>
      <c r="AB5801">
        <v>32</v>
      </c>
      <c r="AC5801">
        <v>-38.9164999999999</v>
      </c>
      <c r="AD5801">
        <v>1.20349699999999</v>
      </c>
      <c r="AE5801">
        <v>437.128729999999</v>
      </c>
      <c r="AF5801">
        <v>-141.324173739619</v>
      </c>
      <c r="AG5801">
        <v>1.20349699999999</v>
      </c>
      <c r="AH5801">
        <v>415.476355167289</v>
      </c>
      <c r="AI5801">
        <v>89.842874682929406</v>
      </c>
      <c r="AJ5801">
        <v>108.785723269831</v>
      </c>
      <c r="AK5801">
        <v>438.85598115020701</v>
      </c>
      <c r="AL5801">
        <v>77.747687877151904</v>
      </c>
      <c r="AM5801">
        <v>96.473886803535706</v>
      </c>
      <c r="AN5801">
        <v>0.99999996550422898</v>
      </c>
    </row>
    <row r="5802" spans="1:40" x14ac:dyDescent="0.25">
      <c r="A5802" t="str">
        <f>"20190303170649042"</f>
        <v>20190303170649042</v>
      </c>
      <c r="B5802" t="str">
        <f>"1551604009030711"</f>
        <v>1551604009030711</v>
      </c>
      <c r="C5802" t="s">
        <v>40</v>
      </c>
      <c r="D5802">
        <v>5.7105050000000004</v>
      </c>
      <c r="E5802">
        <v>0.41413670000000002</v>
      </c>
      <c r="F5802" t="s">
        <v>44</v>
      </c>
      <c r="G5802">
        <v>-230.95099999999999</v>
      </c>
      <c r="H5802">
        <v>1.9630069999999999</v>
      </c>
      <c r="I5802">
        <v>391.00349999999997</v>
      </c>
      <c r="J5802">
        <v>-186.99160000000001</v>
      </c>
      <c r="K5802">
        <v>1.1329100000000001</v>
      </c>
      <c r="L5802">
        <v>-44.922730000000001</v>
      </c>
      <c r="M5802">
        <v>0.22231590000000001</v>
      </c>
      <c r="N5802">
        <v>-1.539164E-2</v>
      </c>
      <c r="O5802">
        <v>0.97485319999999998</v>
      </c>
      <c r="P5802">
        <v>0.1163356</v>
      </c>
      <c r="Q5802">
        <v>0.2012698</v>
      </c>
      <c r="R5802">
        <v>0.972603</v>
      </c>
      <c r="S5802">
        <v>-0.31491089999999999</v>
      </c>
      <c r="T5802">
        <v>5.9555769999999897E-3</v>
      </c>
      <c r="U5802">
        <v>3.1300659999999998</v>
      </c>
      <c r="V5802">
        <v>-0.10904079999999999</v>
      </c>
      <c r="W5802">
        <v>0.21317359999999999</v>
      </c>
      <c r="X5802">
        <v>0.97091039999999995</v>
      </c>
      <c r="Y5802">
        <v>-0.31877460000000002</v>
      </c>
      <c r="Z5802">
        <v>1.734314E-2</v>
      </c>
      <c r="AA5802">
        <v>0.94767190000000001</v>
      </c>
      <c r="AB5802">
        <v>32</v>
      </c>
      <c r="AC5802">
        <v>-43.959399999999903</v>
      </c>
      <c r="AD5802">
        <v>0.83009699999999897</v>
      </c>
      <c r="AE5802">
        <v>435.92622999999998</v>
      </c>
      <c r="AF5802">
        <v>-139.783349073468</v>
      </c>
      <c r="AG5802">
        <v>0.83009699999999897</v>
      </c>
      <c r="AH5802">
        <v>415.23889998112998</v>
      </c>
      <c r="AI5802">
        <v>89.891446832667498</v>
      </c>
      <c r="AJ5802">
        <v>108.604960144553</v>
      </c>
      <c r="AK5802">
        <v>438.136300478245</v>
      </c>
      <c r="AL5802">
        <v>77.691600823986505</v>
      </c>
      <c r="AM5802">
        <v>96.407911238933195</v>
      </c>
      <c r="AN5802">
        <v>0.99999994231487799</v>
      </c>
    </row>
    <row r="5803" spans="1:40" x14ac:dyDescent="0.25">
      <c r="A5803" t="str">
        <f>"20190303170649065"</f>
        <v>20190303170649065</v>
      </c>
      <c r="B5803" t="str">
        <f>"1551604009060966"</f>
        <v>1551604009060966</v>
      </c>
      <c r="C5803" t="s">
        <v>40</v>
      </c>
      <c r="D5803">
        <v>5.7450809999999999</v>
      </c>
      <c r="E5803">
        <v>0.4202515</v>
      </c>
      <c r="F5803" t="s">
        <v>50</v>
      </c>
      <c r="G5803">
        <v>-228.03540000000001</v>
      </c>
      <c r="H5803">
        <v>1.7098770000000001</v>
      </c>
      <c r="I5803">
        <v>321.73169999999999</v>
      </c>
      <c r="J5803">
        <v>-186.93440000000001</v>
      </c>
      <c r="K5803">
        <v>1.1328830000000001</v>
      </c>
      <c r="L5803">
        <v>-44.615630000000003</v>
      </c>
      <c r="M5803">
        <v>0.20908579999999999</v>
      </c>
      <c r="N5803">
        <v>-1.538484E-2</v>
      </c>
      <c r="O5803">
        <v>0.97777630000000004</v>
      </c>
      <c r="P5803">
        <v>0.104078</v>
      </c>
      <c r="Q5803">
        <v>0.2017678</v>
      </c>
      <c r="R5803">
        <v>0.97388790000000003</v>
      </c>
      <c r="S5803">
        <v>-0.34985349999999998</v>
      </c>
      <c r="T5803">
        <v>4.9186940000000004E-3</v>
      </c>
      <c r="U5803">
        <v>3.1253359999999999</v>
      </c>
      <c r="V5803">
        <v>-0.10808769999999999</v>
      </c>
      <c r="W5803">
        <v>0.21369959999999999</v>
      </c>
      <c r="X5803">
        <v>0.97090140000000003</v>
      </c>
      <c r="Y5803">
        <v>-0.31654969999999999</v>
      </c>
      <c r="Z5803">
        <v>1.7043550000000001E-2</v>
      </c>
      <c r="AA5803">
        <v>0.94842280000000001</v>
      </c>
      <c r="AB5803">
        <v>32</v>
      </c>
      <c r="AC5803">
        <v>-41.100999999999999</v>
      </c>
      <c r="AD5803">
        <v>0.57699400000000001</v>
      </c>
      <c r="AE5803">
        <v>366.34733</v>
      </c>
      <c r="AF5803">
        <v>-116.799142404082</v>
      </c>
      <c r="AG5803">
        <v>0.57699400000000001</v>
      </c>
      <c r="AH5803">
        <v>349.652617452085</v>
      </c>
      <c r="AI5803">
        <v>89.910322094538998</v>
      </c>
      <c r="AJ5803">
        <v>108.47155546579999</v>
      </c>
      <c r="AK5803">
        <v>368.64525696053602</v>
      </c>
      <c r="AL5803">
        <v>77.660753112218401</v>
      </c>
      <c r="AM5803">
        <v>96.352419447841996</v>
      </c>
      <c r="AN5803">
        <v>0.99999999922670502</v>
      </c>
    </row>
    <row r="5804" spans="1:40" x14ac:dyDescent="0.25">
      <c r="A5804" t="str">
        <f>"20190303170649085"</f>
        <v>20190303170649085</v>
      </c>
      <c r="B5804" t="str">
        <f>"1551604009080486"</f>
        <v>1551604009080486</v>
      </c>
      <c r="C5804" t="s">
        <v>40</v>
      </c>
      <c r="D5804">
        <v>5.7193139999999998</v>
      </c>
      <c r="E5804">
        <v>0.421761</v>
      </c>
      <c r="F5804" t="s">
        <v>112</v>
      </c>
      <c r="G5804">
        <v>-210.29349999999999</v>
      </c>
      <c r="H5804">
        <v>0.49566779999999999</v>
      </c>
      <c r="I5804">
        <v>168.8175</v>
      </c>
      <c r="J5804">
        <v>-186.88470000000001</v>
      </c>
      <c r="K5804">
        <v>1.1328739999999999</v>
      </c>
      <c r="L5804">
        <v>-44.326349999999998</v>
      </c>
      <c r="M5804">
        <v>0.19661200000000001</v>
      </c>
      <c r="N5804">
        <v>-1.537844E-2</v>
      </c>
      <c r="O5804">
        <v>0.98036069999999997</v>
      </c>
      <c r="P5804">
        <v>9.2033359999999995E-2</v>
      </c>
      <c r="Q5804">
        <v>0.20089570000000001</v>
      </c>
      <c r="R5804">
        <v>0.97527989999999998</v>
      </c>
      <c r="S5804">
        <v>-0.34133909999999901</v>
      </c>
      <c r="T5804">
        <v>-9.311438E-3</v>
      </c>
      <c r="U5804">
        <v>3.1188349999999998</v>
      </c>
      <c r="V5804">
        <v>-0.1077154</v>
      </c>
      <c r="W5804">
        <v>0.2128401</v>
      </c>
      <c r="X5804">
        <v>0.97113159999999998</v>
      </c>
      <c r="Y5804">
        <v>-0.30208750000000001</v>
      </c>
      <c r="Z5804">
        <v>1.2726589999999999E-2</v>
      </c>
      <c r="AA5804">
        <v>0.95319520000000002</v>
      </c>
      <c r="AB5804">
        <v>32</v>
      </c>
      <c r="AC5804">
        <v>-23.4087999999999</v>
      </c>
      <c r="AD5804">
        <v>-0.63720619999999994</v>
      </c>
      <c r="AE5804">
        <v>213.14384999999999</v>
      </c>
      <c r="AF5804">
        <v>-64.862807809803002</v>
      </c>
      <c r="AG5804">
        <v>-0.63720619999999994</v>
      </c>
      <c r="AH5804">
        <v>204.37777966443701</v>
      </c>
      <c r="AI5804">
        <v>90.170266361732303</v>
      </c>
      <c r="AJ5804">
        <v>107.607731991595</v>
      </c>
      <c r="AK5804">
        <v>214.42450114032599</v>
      </c>
      <c r="AL5804">
        <v>77.711159130712801</v>
      </c>
      <c r="AM5804">
        <v>96.329228494095901</v>
      </c>
      <c r="AN5804">
        <v>1.00000005004186</v>
      </c>
    </row>
    <row r="5805" spans="1:40" x14ac:dyDescent="0.25">
      <c r="A5805" t="str">
        <f>"20190303170649105"</f>
        <v>20190303170649105</v>
      </c>
      <c r="B5805" t="str">
        <f>"1551604009100983"</f>
        <v>1551604009100983</v>
      </c>
      <c r="C5805" t="s">
        <v>40</v>
      </c>
      <c r="D5805">
        <v>5.7199299999999997</v>
      </c>
      <c r="E5805">
        <v>0.4225082</v>
      </c>
      <c r="F5805" t="s">
        <v>84</v>
      </c>
      <c r="G5805">
        <v>-209.78960000000001</v>
      </c>
      <c r="H5805">
        <v>6.6555470000000005E-2</v>
      </c>
      <c r="I5805">
        <v>149.63290000000001</v>
      </c>
      <c r="J5805">
        <v>-186.83879999999999</v>
      </c>
      <c r="K5805">
        <v>1.132857</v>
      </c>
      <c r="L5805">
        <v>-44.038119999999999</v>
      </c>
      <c r="M5805">
        <v>0.18417439999999999</v>
      </c>
      <c r="N5805">
        <v>-1.537232E-2</v>
      </c>
      <c r="O5805">
        <v>0.98277340000000002</v>
      </c>
      <c r="P5805">
        <v>8.0662199999999906E-2</v>
      </c>
      <c r="Q5805">
        <v>0.2010286</v>
      </c>
      <c r="R5805">
        <v>0.97625879999999998</v>
      </c>
      <c r="S5805">
        <v>-0.36776730000000002</v>
      </c>
      <c r="T5805">
        <v>-1.712108E-2</v>
      </c>
      <c r="U5805">
        <v>3.114258</v>
      </c>
      <c r="V5805">
        <v>-0.10671070000000001</v>
      </c>
      <c r="W5805">
        <v>0.2130031</v>
      </c>
      <c r="X5805">
        <v>0.97120669999999998</v>
      </c>
      <c r="Y5805">
        <v>-0.2981412</v>
      </c>
      <c r="Z5805">
        <v>1.0328850000000001E-2</v>
      </c>
      <c r="AA5805">
        <v>0.95446589999999998</v>
      </c>
      <c r="AB5805">
        <v>32</v>
      </c>
      <c r="AC5805">
        <v>-22.950800000000001</v>
      </c>
      <c r="AD5805">
        <v>-1.0663015300000001</v>
      </c>
      <c r="AE5805">
        <v>193.67102</v>
      </c>
      <c r="AF5805">
        <v>-58.229817533120297</v>
      </c>
      <c r="AG5805">
        <v>-1.0663015300000001</v>
      </c>
      <c r="AH5805">
        <v>186.12419956200199</v>
      </c>
      <c r="AI5805">
        <v>90.313269741664101</v>
      </c>
      <c r="AJ5805">
        <v>107.37253383115799</v>
      </c>
      <c r="AK5805">
        <v>195.02324556700799</v>
      </c>
      <c r="AL5805">
        <v>77.701599789985906</v>
      </c>
      <c r="AM5805">
        <v>96.270184962509603</v>
      </c>
      <c r="AN5805">
        <v>0.99999997411449404</v>
      </c>
    </row>
    <row r="5806" spans="1:40" x14ac:dyDescent="0.25">
      <c r="A5806" t="str">
        <f>"20190303170649140"</f>
        <v>20190303170649140</v>
      </c>
      <c r="B5806" t="str">
        <f>"1551604009130263"</f>
        <v>1551604009130263</v>
      </c>
      <c r="C5806" t="s">
        <v>40</v>
      </c>
      <c r="D5806">
        <v>5.6973260000000003</v>
      </c>
      <c r="E5806">
        <v>0.42973889999999998</v>
      </c>
      <c r="F5806" t="s">
        <v>84</v>
      </c>
      <c r="G5806">
        <v>-209.80789999999999</v>
      </c>
      <c r="H5806" s="1">
        <v>-3.9843460000000001E-6</v>
      </c>
      <c r="I5806">
        <v>135.73310000000001</v>
      </c>
      <c r="J5806">
        <v>-186.77119999999999</v>
      </c>
      <c r="K5806">
        <v>1.13283</v>
      </c>
      <c r="L5806">
        <v>-43.561070000000001</v>
      </c>
      <c r="M5806">
        <v>0.1635672</v>
      </c>
      <c r="N5806">
        <v>-1.5362539999999999E-2</v>
      </c>
      <c r="O5806">
        <v>0.98641259999999997</v>
      </c>
      <c r="P5806">
        <v>6.2418019999999998E-2</v>
      </c>
      <c r="Q5806">
        <v>0.20251630000000001</v>
      </c>
      <c r="R5806">
        <v>0.97728769999999998</v>
      </c>
      <c r="S5806">
        <v>-0.39733889999999999</v>
      </c>
      <c r="T5806">
        <v>-1.9597170000000001E-2</v>
      </c>
      <c r="U5806">
        <v>3.1098330000000001</v>
      </c>
      <c r="V5806">
        <v>-0.10448739999999999</v>
      </c>
      <c r="W5806">
        <v>0.21455379999999999</v>
      </c>
      <c r="X5806">
        <v>0.9711071</v>
      </c>
      <c r="Y5806">
        <v>-0.28724509999999998</v>
      </c>
      <c r="Z5806">
        <v>9.5082410000000006E-3</v>
      </c>
      <c r="AA5806">
        <v>0.95780989999999999</v>
      </c>
      <c r="AB5806">
        <v>32</v>
      </c>
      <c r="AC5806">
        <v>-23.0367</v>
      </c>
      <c r="AD5806">
        <v>-1.132833984346</v>
      </c>
      <c r="AE5806">
        <v>179.29417000000001</v>
      </c>
      <c r="AF5806">
        <v>-52.0544340151516</v>
      </c>
      <c r="AG5806">
        <v>-1.132833984346</v>
      </c>
      <c r="AH5806">
        <v>173.10360587739899</v>
      </c>
      <c r="AI5806">
        <v>90.359069561477</v>
      </c>
      <c r="AJ5806">
        <v>106.736694238319</v>
      </c>
      <c r="AK5806">
        <v>180.76450365387501</v>
      </c>
      <c r="AL5806">
        <v>77.610648626040302</v>
      </c>
      <c r="AM5806">
        <v>96.141180201120093</v>
      </c>
      <c r="AN5806">
        <v>0.99999997476180402</v>
      </c>
    </row>
    <row r="5807" spans="1:40" x14ac:dyDescent="0.25">
      <c r="A5807" t="str">
        <f>"20190303170649162"</f>
        <v>20190303170649162</v>
      </c>
      <c r="B5807" t="str">
        <f>"1551604009150759"</f>
        <v>1551604009150759</v>
      </c>
      <c r="C5807" t="s">
        <v>40</v>
      </c>
      <c r="D5807">
        <v>5.7158170000000004</v>
      </c>
      <c r="E5807">
        <v>0.43048779999999998</v>
      </c>
      <c r="F5807" t="s">
        <v>41</v>
      </c>
      <c r="G5807">
        <v>-199.9676</v>
      </c>
      <c r="H5807">
        <v>5.9800569999999997E-2</v>
      </c>
      <c r="I5807">
        <v>59.046140000000001</v>
      </c>
      <c r="J5807">
        <v>-186.73269999999999</v>
      </c>
      <c r="K5807">
        <v>1.1328149999999999</v>
      </c>
      <c r="L5807">
        <v>-43.252200000000002</v>
      </c>
      <c r="M5807">
        <v>0.15021279999999901</v>
      </c>
      <c r="N5807">
        <v>-1.5356359999999999E-2</v>
      </c>
      <c r="O5807">
        <v>0.98853440000000004</v>
      </c>
      <c r="P5807">
        <v>5.1901740000000002E-2</v>
      </c>
      <c r="Q5807">
        <v>0.2032368</v>
      </c>
      <c r="R5807">
        <v>0.97775299999999998</v>
      </c>
      <c r="S5807">
        <v>-0.39894099999999999</v>
      </c>
      <c r="T5807">
        <v>-3.2438870000000002E-2</v>
      </c>
      <c r="U5807">
        <v>3.1019290000000002</v>
      </c>
      <c r="V5807">
        <v>-0.1017773</v>
      </c>
      <c r="W5807">
        <v>0.21535389999999999</v>
      </c>
      <c r="X5807">
        <v>0.97121780000000002</v>
      </c>
      <c r="Y5807">
        <v>-0.27505940000000001</v>
      </c>
      <c r="Z5807">
        <v>5.4705409999999998E-3</v>
      </c>
      <c r="AA5807">
        <v>0.96141169999999998</v>
      </c>
      <c r="AB5807">
        <v>32</v>
      </c>
      <c r="AC5807">
        <v>-13.2349</v>
      </c>
      <c r="AD5807">
        <v>-1.07301443</v>
      </c>
      <c r="AE5807">
        <v>102.29834</v>
      </c>
      <c r="AF5807">
        <v>-28.449951054619198</v>
      </c>
      <c r="AG5807">
        <v>-1.07301443</v>
      </c>
      <c r="AH5807">
        <v>99.138342146372906</v>
      </c>
      <c r="AI5807">
        <v>90.596055089294893</v>
      </c>
      <c r="AJ5807">
        <v>106.012008982493</v>
      </c>
      <c r="AK5807">
        <v>103.145343852781</v>
      </c>
      <c r="AL5807">
        <v>77.563708934715393</v>
      </c>
      <c r="AM5807">
        <v>95.982389409692303</v>
      </c>
      <c r="AN5807">
        <v>0.99999996803866897</v>
      </c>
    </row>
    <row r="5808" spans="1:40" x14ac:dyDescent="0.25">
      <c r="A5808" t="str">
        <f>"20190303170649183"</f>
        <v>20190303170649183</v>
      </c>
      <c r="B5808" t="str">
        <f>"1551604009170279"</f>
        <v>1551604009170279</v>
      </c>
      <c r="C5808" t="s">
        <v>40</v>
      </c>
      <c r="D5808">
        <v>5.6816190000000004</v>
      </c>
      <c r="E5808">
        <v>0.4370657</v>
      </c>
      <c r="F5808" t="s">
        <v>41</v>
      </c>
      <c r="G5808">
        <v>-201.95849999999999</v>
      </c>
      <c r="H5808">
        <v>7.9986169999999995E-2</v>
      </c>
      <c r="I5808">
        <v>67.119100000000003</v>
      </c>
      <c r="J5808">
        <v>-186.69990000000001</v>
      </c>
      <c r="K5808">
        <v>1.1327849999999999</v>
      </c>
      <c r="L5808">
        <v>-42.957700000000003</v>
      </c>
      <c r="M5808">
        <v>0.13749049999999999</v>
      </c>
      <c r="N5808">
        <v>-1.535007E-2</v>
      </c>
      <c r="O5808">
        <v>0.99038419999999905</v>
      </c>
      <c r="P5808">
        <v>4.2962689999999998E-2</v>
      </c>
      <c r="Q5808">
        <v>0.20321520000000001</v>
      </c>
      <c r="R5808">
        <v>0.97819109999999998</v>
      </c>
      <c r="S5808">
        <v>-0.42724609999999902</v>
      </c>
      <c r="T5808">
        <v>-2.954292E-2</v>
      </c>
      <c r="U5808">
        <v>3.0970759999999999</v>
      </c>
      <c r="V5808">
        <v>-9.8139649999999995E-2</v>
      </c>
      <c r="W5808">
        <v>0.21544279999999999</v>
      </c>
      <c r="X5808">
        <v>0.97157249999999995</v>
      </c>
      <c r="Y5808">
        <v>-0.27152159999999997</v>
      </c>
      <c r="Z5808">
        <v>6.3171829999999997E-3</v>
      </c>
      <c r="AA5808">
        <v>0.96241160000000003</v>
      </c>
      <c r="AB5808">
        <v>32</v>
      </c>
      <c r="AC5808">
        <v>-15.2585999999999</v>
      </c>
      <c r="AD5808">
        <v>-1.05279883</v>
      </c>
      <c r="AE5808">
        <v>110.07680000000001</v>
      </c>
      <c r="AF5808">
        <v>-30.247238064794001</v>
      </c>
      <c r="AG5808">
        <v>-1.05279883</v>
      </c>
      <c r="AH5808">
        <v>106.923406648381</v>
      </c>
      <c r="AI5808">
        <v>90.542831864508997</v>
      </c>
      <c r="AJ5808">
        <v>105.795516725456</v>
      </c>
      <c r="AK5808">
        <v>111.124338851666</v>
      </c>
      <c r="AL5808">
        <v>77.5584940227765</v>
      </c>
      <c r="AM5808">
        <v>95.7679480705457</v>
      </c>
      <c r="AN5808">
        <v>1.0000000568651</v>
      </c>
    </row>
    <row r="5809" spans="1:40" x14ac:dyDescent="0.25">
      <c r="A5809" t="str">
        <f>"20190303170649206"</f>
        <v>20190303170649206</v>
      </c>
      <c r="B5809" t="str">
        <f>"1551604009200536"</f>
        <v>1551604009200536</v>
      </c>
      <c r="C5809" t="s">
        <v>40</v>
      </c>
      <c r="D5809">
        <v>5.7340059999999999</v>
      </c>
      <c r="E5809">
        <v>0.4430965</v>
      </c>
      <c r="F5809" t="s">
        <v>41</v>
      </c>
      <c r="G5809">
        <v>-195.10149999999999</v>
      </c>
      <c r="H5809" s="1">
        <v>-2.1156199999999998E-6</v>
      </c>
      <c r="I5809">
        <v>21.35661</v>
      </c>
      <c r="J5809">
        <v>-186.6688</v>
      </c>
      <c r="K5809">
        <v>1.132728</v>
      </c>
      <c r="L5809">
        <v>-42.635039999999996</v>
      </c>
      <c r="M5809">
        <v>0.1235955</v>
      </c>
      <c r="N5809">
        <v>-1.53396E-2</v>
      </c>
      <c r="O5809">
        <v>0.99221409999999999</v>
      </c>
      <c r="P5809">
        <v>3.2351850000000001E-2</v>
      </c>
      <c r="Q5809">
        <v>0.20254159999999999</v>
      </c>
      <c r="R5809">
        <v>0.97873909999999997</v>
      </c>
      <c r="S5809">
        <v>-0.40443420000000002</v>
      </c>
      <c r="T5809">
        <v>-5.4530380000000003E-2</v>
      </c>
      <c r="U5809">
        <v>3.0959780000000001</v>
      </c>
      <c r="V5809">
        <v>-9.5019270000000003E-2</v>
      </c>
      <c r="W5809">
        <v>0.21486540000000001</v>
      </c>
      <c r="X5809">
        <v>0.97201040000000005</v>
      </c>
      <c r="Y5809">
        <v>-0.25104349999999998</v>
      </c>
      <c r="Z5809">
        <v>-1.589507E-3</v>
      </c>
      <c r="AA5809">
        <v>0.96797449999999996</v>
      </c>
      <c r="AB5809">
        <v>32</v>
      </c>
      <c r="AC5809">
        <v>-8.4326999999999792</v>
      </c>
      <c r="AD5809">
        <v>-1.13273011562</v>
      </c>
      <c r="AE5809">
        <v>63.99165</v>
      </c>
      <c r="AF5809">
        <v>-16.273027459175999</v>
      </c>
      <c r="AG5809">
        <v>-1.13273011562</v>
      </c>
      <c r="AH5809">
        <v>62.439292967763599</v>
      </c>
      <c r="AI5809">
        <v>91.005718414123805</v>
      </c>
      <c r="AJ5809">
        <v>104.607570231046</v>
      </c>
      <c r="AK5809">
        <v>64.5349502712766</v>
      </c>
      <c r="AL5809">
        <v>77.592369381577697</v>
      </c>
      <c r="AM5809">
        <v>95.583232529242906</v>
      </c>
      <c r="AN5809">
        <v>1.0000000097483199</v>
      </c>
    </row>
    <row r="5810" spans="1:40" x14ac:dyDescent="0.25">
      <c r="A5810" t="str">
        <f>"20190303170649230"</f>
        <v>20190303170649230</v>
      </c>
      <c r="B5810" t="str">
        <f>"1551604009221030"</f>
        <v>1551604009221030</v>
      </c>
      <c r="C5810" t="s">
        <v>40</v>
      </c>
      <c r="D5810">
        <v>5.6976139999999997</v>
      </c>
      <c r="E5810">
        <v>0.44370850000000001</v>
      </c>
      <c r="F5810" t="s">
        <v>41</v>
      </c>
      <c r="G5810">
        <v>-193.02520000000001</v>
      </c>
      <c r="H5810" s="1">
        <v>-4.1633579999999999E-6</v>
      </c>
      <c r="I5810">
        <v>7.6441189999999999</v>
      </c>
      <c r="J5810">
        <v>-186.64160000000001</v>
      </c>
      <c r="K5810">
        <v>1.1326499999999999</v>
      </c>
      <c r="L5810">
        <v>-42.306519999999999</v>
      </c>
      <c r="M5810">
        <v>0.1094977</v>
      </c>
      <c r="N5810">
        <v>-1.5325200000000001E-2</v>
      </c>
      <c r="O5810">
        <v>0.99386890000000006</v>
      </c>
      <c r="P5810">
        <v>2.1911719999999999E-2</v>
      </c>
      <c r="Q5810">
        <v>0.20194280000000001</v>
      </c>
      <c r="R5810">
        <v>0.97915220000000003</v>
      </c>
      <c r="S5810">
        <v>-0.39096069999999999</v>
      </c>
      <c r="T5810">
        <v>-6.967044E-2</v>
      </c>
      <c r="U5810">
        <v>3.0924990000000001</v>
      </c>
      <c r="V5810">
        <v>-9.1537820000000006E-2</v>
      </c>
      <c r="W5810">
        <v>0.21437220000000001</v>
      </c>
      <c r="X5810">
        <v>0.97245329999999996</v>
      </c>
      <c r="Y5810">
        <v>-0.23324529999999999</v>
      </c>
      <c r="Z5810">
        <v>-6.4914200000000003E-3</v>
      </c>
      <c r="AA5810">
        <v>0.97239629999999999</v>
      </c>
      <c r="AB5810">
        <v>32</v>
      </c>
      <c r="AC5810">
        <v>-6.3836000000000004</v>
      </c>
      <c r="AD5810">
        <v>-1.1326541633579901</v>
      </c>
      <c r="AE5810">
        <v>49.950639000000002</v>
      </c>
      <c r="AF5810">
        <v>-11.8093546499873</v>
      </c>
      <c r="AG5810">
        <v>-1.1326541633579901</v>
      </c>
      <c r="AH5810">
        <v>48.926393318115302</v>
      </c>
      <c r="AI5810">
        <v>91.289161698776695</v>
      </c>
      <c r="AJ5810">
        <v>103.569920455561</v>
      </c>
      <c r="AK5810">
        <v>50.3441727096778</v>
      </c>
      <c r="AL5810">
        <v>77.621301934372397</v>
      </c>
      <c r="AM5810">
        <v>95.377453172071895</v>
      </c>
      <c r="AN5810">
        <v>1.00000001665204</v>
      </c>
    </row>
    <row r="5811" spans="1:40" x14ac:dyDescent="0.25">
      <c r="A5811" t="str">
        <f>"20190303170649253"</f>
        <v>20190303170649253</v>
      </c>
      <c r="B5811" t="str">
        <f>"1551604009240550"</f>
        <v>1551604009240550</v>
      </c>
      <c r="C5811" t="s">
        <v>40</v>
      </c>
      <c r="D5811">
        <v>5.6828919999999998</v>
      </c>
      <c r="E5811">
        <v>0.44443969999999999</v>
      </c>
      <c r="F5811" t="s">
        <v>41</v>
      </c>
      <c r="G5811">
        <v>-193.2689</v>
      </c>
      <c r="H5811" s="1">
        <v>-3.7558160000000001E-6</v>
      </c>
      <c r="I5811">
        <v>6.3195110000000003</v>
      </c>
      <c r="J5811">
        <v>-186.61940000000001</v>
      </c>
      <c r="K5811">
        <v>1.132557</v>
      </c>
      <c r="L5811">
        <v>-41.984499999999997</v>
      </c>
      <c r="M5811">
        <v>9.5764660000000001E-2</v>
      </c>
      <c r="N5811">
        <v>-1.53087E-2</v>
      </c>
      <c r="O5811">
        <v>0.99528629999999996</v>
      </c>
      <c r="P5811">
        <v>1.214316E-2</v>
      </c>
      <c r="Q5811">
        <v>0.20201769999999999</v>
      </c>
      <c r="R5811">
        <v>0.97930660000000003</v>
      </c>
      <c r="S5811">
        <v>-0.42088320000000001</v>
      </c>
      <c r="T5811">
        <v>-7.193244E-2</v>
      </c>
      <c r="U5811">
        <v>3.0881349999999999</v>
      </c>
      <c r="V5811">
        <v>-8.7754730000000003E-2</v>
      </c>
      <c r="W5811">
        <v>0.21455940000000001</v>
      </c>
      <c r="X5811">
        <v>0.97276070000000003</v>
      </c>
      <c r="Y5811">
        <v>-0.2292487</v>
      </c>
      <c r="Z5811">
        <v>-7.3036890000000004E-3</v>
      </c>
      <c r="AA5811">
        <v>0.97334050000000005</v>
      </c>
      <c r="AB5811">
        <v>32</v>
      </c>
      <c r="AC5811">
        <v>-6.6494999999999802</v>
      </c>
      <c r="AD5811">
        <v>-1.132560755816</v>
      </c>
      <c r="AE5811">
        <v>48.304011000000003</v>
      </c>
      <c r="AF5811">
        <v>-11.2392272320701</v>
      </c>
      <c r="AG5811">
        <v>-1.132560755816</v>
      </c>
      <c r="AH5811">
        <v>47.419508506931798</v>
      </c>
      <c r="AI5811">
        <v>91.331314199912597</v>
      </c>
      <c r="AJ5811">
        <v>103.334016607715</v>
      </c>
      <c r="AK5811">
        <v>48.746412274942799</v>
      </c>
      <c r="AL5811">
        <v>77.610320488709604</v>
      </c>
      <c r="AM5811">
        <v>95.154815875303797</v>
      </c>
      <c r="AN5811">
        <v>1.00000000411511</v>
      </c>
    </row>
    <row r="5812" spans="1:40" x14ac:dyDescent="0.25">
      <c r="A5812" t="str">
        <f>"20190303170649274"</f>
        <v>20190303170649274</v>
      </c>
      <c r="B5812" t="str">
        <f>"1551604009261047"</f>
        <v>1551604009261047</v>
      </c>
      <c r="C5812" t="s">
        <v>40</v>
      </c>
      <c r="D5812">
        <v>5.7000710000000003</v>
      </c>
      <c r="E5812">
        <v>0.44542690000000001</v>
      </c>
      <c r="F5812" t="s">
        <v>41</v>
      </c>
      <c r="G5812">
        <v>-193.5915</v>
      </c>
      <c r="H5812" s="1">
        <v>-3.7282149999999999E-6</v>
      </c>
      <c r="I5812">
        <v>6.0702680000000004</v>
      </c>
      <c r="J5812">
        <v>-186.6027</v>
      </c>
      <c r="K5812">
        <v>1.1324449999999999</v>
      </c>
      <c r="L5812">
        <v>-41.686860000000003</v>
      </c>
      <c r="M5812">
        <v>8.3191710000000002E-2</v>
      </c>
      <c r="N5812">
        <v>-1.5288940000000001E-2</v>
      </c>
      <c r="O5812">
        <v>0.99641630000000003</v>
      </c>
      <c r="P5812">
        <v>3.5616060000000001E-3</v>
      </c>
      <c r="Q5812">
        <v>0.2002854</v>
      </c>
      <c r="R5812">
        <v>0.97973109999999997</v>
      </c>
      <c r="S5812">
        <v>-0.44743349999999998</v>
      </c>
      <c r="T5812">
        <v>-7.2682259999999999E-2</v>
      </c>
      <c r="U5812">
        <v>3.083923</v>
      </c>
      <c r="V5812">
        <v>-8.3912180000000003E-2</v>
      </c>
      <c r="W5812">
        <v>0.21294540000000001</v>
      </c>
      <c r="X5812">
        <v>0.97345420000000005</v>
      </c>
      <c r="Y5812">
        <v>-0.22535330000000001</v>
      </c>
      <c r="Z5812">
        <v>-7.635696E-3</v>
      </c>
      <c r="AA5812">
        <v>0.97424719999999998</v>
      </c>
      <c r="AB5812">
        <v>32</v>
      </c>
      <c r="AC5812">
        <v>-6.9887999999999897</v>
      </c>
      <c r="AD5812">
        <v>-1.132448728215</v>
      </c>
      <c r="AE5812">
        <v>47.757128000000002</v>
      </c>
      <c r="AF5812">
        <v>-10.932011459666599</v>
      </c>
      <c r="AG5812">
        <v>-1.132448728215</v>
      </c>
      <c r="AH5812">
        <v>46.984199065758602</v>
      </c>
      <c r="AI5812">
        <v>91.344810226209106</v>
      </c>
      <c r="AJ5812">
        <v>103.09820210097701</v>
      </c>
      <c r="AK5812">
        <v>48.252526115501396</v>
      </c>
      <c r="AL5812">
        <v>77.704984186538695</v>
      </c>
      <c r="AM5812">
        <v>94.926742722184002</v>
      </c>
      <c r="AN5812">
        <v>1.0000000384155701</v>
      </c>
    </row>
    <row r="5813" spans="1:40" x14ac:dyDescent="0.25">
      <c r="A5813" t="str">
        <f>"20190303170649298"</f>
        <v>20190303170649298</v>
      </c>
      <c r="B5813" t="str">
        <f>"1551604009290834"</f>
        <v>1551604009290834</v>
      </c>
      <c r="C5813" t="s">
        <v>40</v>
      </c>
      <c r="D5813">
        <v>5.6628540000000003</v>
      </c>
      <c r="E5813">
        <v>0.45214549999999998</v>
      </c>
      <c r="F5813" t="s">
        <v>41</v>
      </c>
      <c r="G5813">
        <v>-193.11920000000001</v>
      </c>
      <c r="H5813" s="1">
        <v>-1.5632149999999999E-6</v>
      </c>
      <c r="I5813">
        <v>1.2983690000000001</v>
      </c>
      <c r="J5813">
        <v>-186.58869999999999</v>
      </c>
      <c r="K5813">
        <v>1.132277</v>
      </c>
      <c r="L5813">
        <v>-41.364930000000001</v>
      </c>
      <c r="M5813">
        <v>6.9769750000000005E-2</v>
      </c>
      <c r="N5813">
        <v>-1.5261190000000001E-2</v>
      </c>
      <c r="O5813">
        <v>0.99744639999999996</v>
      </c>
      <c r="P5813">
        <v>-6.7448289999999999E-3</v>
      </c>
      <c r="Q5813">
        <v>0.19731389999999999</v>
      </c>
      <c r="R5813">
        <v>0.9803172</v>
      </c>
      <c r="S5813">
        <v>-0.46698000000000001</v>
      </c>
      <c r="T5813">
        <v>-8.1151959999999995E-2</v>
      </c>
      <c r="U5813">
        <v>3.0803530000000001</v>
      </c>
      <c r="V5813">
        <v>-8.0921989999999999E-2</v>
      </c>
      <c r="W5813">
        <v>0.21006839999999999</v>
      </c>
      <c r="X5813">
        <v>0.97433199999999998</v>
      </c>
      <c r="Y5813">
        <v>-0.2184343</v>
      </c>
      <c r="Z5813">
        <v>-1.0434809999999999E-2</v>
      </c>
      <c r="AA5813">
        <v>0.97579590000000005</v>
      </c>
      <c r="AB5813">
        <v>32</v>
      </c>
      <c r="AC5813">
        <v>-6.5305000000000097</v>
      </c>
      <c r="AD5813">
        <v>-1.1322785632150001</v>
      </c>
      <c r="AE5813">
        <v>42.663299000000002</v>
      </c>
      <c r="AF5813">
        <v>-9.4850086368155608</v>
      </c>
      <c r="AG5813">
        <v>-1.1322785632150001</v>
      </c>
      <c r="AH5813">
        <v>42.074667653313398</v>
      </c>
      <c r="AI5813">
        <v>91.503804334791596</v>
      </c>
      <c r="AJ5813">
        <v>102.70398208280901</v>
      </c>
      <c r="AK5813">
        <v>43.145394907474902</v>
      </c>
      <c r="AL5813">
        <v>77.873638987740406</v>
      </c>
      <c r="AM5813">
        <v>94.747736571098798</v>
      </c>
      <c r="AN5813">
        <v>0.99999997368405902</v>
      </c>
    </row>
    <row r="5814" spans="1:40" x14ac:dyDescent="0.25">
      <c r="A5814" t="str">
        <f>"20190303170649321"</f>
        <v>20190303170649321</v>
      </c>
      <c r="B5814" t="str">
        <f>"1551604009310353"</f>
        <v>1551604009310353</v>
      </c>
      <c r="C5814" t="s">
        <v>40</v>
      </c>
      <c r="D5814">
        <v>5.6970109999999998</v>
      </c>
      <c r="E5814">
        <v>0.4531731</v>
      </c>
      <c r="F5814" t="s">
        <v>41</v>
      </c>
      <c r="G5814">
        <v>-191.78639999999999</v>
      </c>
      <c r="H5814" s="1">
        <v>-2.578424E-6</v>
      </c>
      <c r="I5814">
        <v>-5.508489</v>
      </c>
      <c r="J5814">
        <v>-186.5788</v>
      </c>
      <c r="K5814">
        <v>1.1320760000000001</v>
      </c>
      <c r="L5814">
        <v>-41.045720000000003</v>
      </c>
      <c r="M5814">
        <v>5.6679060000000003E-2</v>
      </c>
      <c r="N5814">
        <v>-1.5227350000000001E-2</v>
      </c>
      <c r="O5814">
        <v>0.99827630000000001</v>
      </c>
      <c r="P5814">
        <v>-1.5552689999999999E-2</v>
      </c>
      <c r="Q5814">
        <v>0.1943946</v>
      </c>
      <c r="R5814">
        <v>0.98080009999999995</v>
      </c>
      <c r="S5814">
        <v>-0.44599909999999998</v>
      </c>
      <c r="T5814">
        <v>-9.715712E-2</v>
      </c>
      <c r="U5814">
        <v>3.076721</v>
      </c>
      <c r="V5814">
        <v>-7.6745270000000004E-2</v>
      </c>
      <c r="W5814">
        <v>0.2072746</v>
      </c>
      <c r="X5814">
        <v>0.97526789999999997</v>
      </c>
      <c r="Y5814">
        <v>-0.19924030000000001</v>
      </c>
      <c r="Z5814">
        <v>-1.5722079999999999E-2</v>
      </c>
      <c r="AA5814">
        <v>0.97982449999999999</v>
      </c>
      <c r="AB5814">
        <v>32</v>
      </c>
      <c r="AC5814">
        <v>-5.2075999999999798</v>
      </c>
      <c r="AD5814">
        <v>-1.1320785784239999</v>
      </c>
      <c r="AE5814">
        <v>35.537230999999998</v>
      </c>
      <c r="AF5814">
        <v>-7.2065175043234797</v>
      </c>
      <c r="AG5814">
        <v>-1.1320785784239999</v>
      </c>
      <c r="AH5814">
        <v>35.1499729904966</v>
      </c>
      <c r="AI5814">
        <v>91.807129253838596</v>
      </c>
      <c r="AJ5814">
        <v>101.58633548656</v>
      </c>
      <c r="AK5814">
        <v>35.898970705028503</v>
      </c>
      <c r="AL5814">
        <v>78.037315968291097</v>
      </c>
      <c r="AM5814">
        <v>94.499417393001394</v>
      </c>
      <c r="AN5814">
        <v>1.0000000365214701</v>
      </c>
    </row>
    <row r="5815" spans="1:40" x14ac:dyDescent="0.25">
      <c r="A5815" t="str">
        <f>"20190303170649343"</f>
        <v>20190303170649343</v>
      </c>
      <c r="B5815" t="str">
        <f>"1551604009330850"</f>
        <v>1551604009330850</v>
      </c>
      <c r="C5815" t="s">
        <v>40</v>
      </c>
      <c r="D5815">
        <v>5.6829700000000001</v>
      </c>
      <c r="E5815">
        <v>0.4539784</v>
      </c>
      <c r="F5815" t="s">
        <v>41</v>
      </c>
      <c r="G5815">
        <v>-191.44110000000001</v>
      </c>
      <c r="H5815" s="1">
        <v>-9.777775000000001E-7</v>
      </c>
      <c r="I5815">
        <v>-9.0254790000000007</v>
      </c>
      <c r="J5815">
        <v>-186.57310000000001</v>
      </c>
      <c r="K5815">
        <v>1.1318709999999901</v>
      </c>
      <c r="L5815">
        <v>-40.741300000000003</v>
      </c>
      <c r="M5815">
        <v>4.443503E-2</v>
      </c>
      <c r="N5815">
        <v>-1.51903E-2</v>
      </c>
      <c r="O5815">
        <v>0.99889680000000003</v>
      </c>
      <c r="P5815">
        <v>-2.334226E-2</v>
      </c>
      <c r="Q5815">
        <v>0.19237360000000001</v>
      </c>
      <c r="R5815">
        <v>0.98104409999999997</v>
      </c>
      <c r="S5815">
        <v>-0.46661380000000002</v>
      </c>
      <c r="T5815">
        <v>-0.1086406</v>
      </c>
      <c r="U5815">
        <v>3.072845</v>
      </c>
      <c r="V5815">
        <v>-7.2386430000000002E-2</v>
      </c>
      <c r="W5815">
        <v>0.205377</v>
      </c>
      <c r="X5815">
        <v>0.97600229999999999</v>
      </c>
      <c r="Y5815">
        <v>-0.1938156</v>
      </c>
      <c r="Z5815">
        <v>-1.9510679999999999E-2</v>
      </c>
      <c r="AA5815">
        <v>0.98084400000000005</v>
      </c>
      <c r="AB5815">
        <v>32</v>
      </c>
      <c r="AC5815">
        <v>-4.8679999999999897</v>
      </c>
      <c r="AD5815">
        <v>-1.1318719777774999</v>
      </c>
      <c r="AE5815">
        <v>31.715820999999998</v>
      </c>
      <c r="AF5815">
        <v>-6.2648512639740197</v>
      </c>
      <c r="AG5815">
        <v>-1.1318719777774999</v>
      </c>
      <c r="AH5815">
        <v>31.429045013708599</v>
      </c>
      <c r="AI5815">
        <v>92.022773280967101</v>
      </c>
      <c r="AJ5815">
        <v>101.273190865366</v>
      </c>
      <c r="AK5815">
        <v>32.067341112220603</v>
      </c>
      <c r="AL5815">
        <v>78.148430826872797</v>
      </c>
      <c r="AM5815">
        <v>94.241647200759402</v>
      </c>
      <c r="AN5815">
        <v>0.99999999849121701</v>
      </c>
    </row>
    <row r="5816" spans="1:40" x14ac:dyDescent="0.25">
      <c r="A5816" t="str">
        <f>"20190303170649365"</f>
        <v>20190303170649365</v>
      </c>
      <c r="B5816" t="str">
        <f>"1551604009361107"</f>
        <v>1551604009361107</v>
      </c>
      <c r="C5816" t="s">
        <v>40</v>
      </c>
      <c r="D5816">
        <v>5.7476739999999999</v>
      </c>
      <c r="E5816">
        <v>0.45511469999999998</v>
      </c>
      <c r="F5816" t="s">
        <v>41</v>
      </c>
      <c r="G5816">
        <v>-191.10599999999999</v>
      </c>
      <c r="H5816" s="1">
        <v>-3.8266739999999998E-6</v>
      </c>
      <c r="I5816">
        <v>-12.1768</v>
      </c>
      <c r="J5816">
        <v>-186.5712</v>
      </c>
      <c r="K5816">
        <v>1.1316539999999999</v>
      </c>
      <c r="L5816">
        <v>-40.430239999999998</v>
      </c>
      <c r="M5816">
        <v>3.220423E-2</v>
      </c>
      <c r="N5816">
        <v>-1.514827E-2</v>
      </c>
      <c r="O5816">
        <v>0.99936650000000005</v>
      </c>
      <c r="P5816">
        <v>-3.2231179999999998E-2</v>
      </c>
      <c r="Q5816">
        <v>0.19039320000000001</v>
      </c>
      <c r="R5816">
        <v>0.98117860000000001</v>
      </c>
      <c r="S5816">
        <v>-0.48721310000000001</v>
      </c>
      <c r="T5816">
        <v>-0.12165819999999999</v>
      </c>
      <c r="U5816">
        <v>3.0702210000000001</v>
      </c>
      <c r="V5816">
        <v>-6.9125450000000005E-2</v>
      </c>
      <c r="W5816">
        <v>0.20348430000000001</v>
      </c>
      <c r="X5816">
        <v>0.97663489999999997</v>
      </c>
      <c r="Y5816">
        <v>-0.1883358</v>
      </c>
      <c r="Z5816">
        <v>-2.3786149999999999E-2</v>
      </c>
      <c r="AA5816">
        <v>0.98181660000000004</v>
      </c>
      <c r="AB5816">
        <v>32</v>
      </c>
      <c r="AC5816">
        <v>-4.53479999999999</v>
      </c>
      <c r="AD5816">
        <v>-1.1316578266740001</v>
      </c>
      <c r="AE5816">
        <v>28.253440000000001</v>
      </c>
      <c r="AF5816">
        <v>-5.4339332441968802</v>
      </c>
      <c r="AG5816">
        <v>-1.1316578266740001</v>
      </c>
      <c r="AH5816">
        <v>28.048856480427499</v>
      </c>
      <c r="AI5816">
        <v>92.268271031940699</v>
      </c>
      <c r="AJ5816">
        <v>100.964147900434</v>
      </c>
      <c r="AK5816">
        <v>28.592772334956901</v>
      </c>
      <c r="AL5816">
        <v>78.259213714838197</v>
      </c>
      <c r="AM5816">
        <v>94.048598462619793</v>
      </c>
      <c r="AN5816">
        <v>0.99999995804109998</v>
      </c>
    </row>
    <row r="5817" spans="1:40" x14ac:dyDescent="0.25">
      <c r="A5817" t="str">
        <f>"20190303170649408"</f>
        <v>20190303170649408</v>
      </c>
      <c r="B5817" t="str">
        <f>"1551604009400145"</f>
        <v>1551604009400145</v>
      </c>
      <c r="C5817" t="s">
        <v>40</v>
      </c>
      <c r="D5817">
        <v>5.676139</v>
      </c>
      <c r="E5817">
        <v>0.461899</v>
      </c>
      <c r="F5817" t="s">
        <v>41</v>
      </c>
      <c r="G5817">
        <v>-190.7987</v>
      </c>
      <c r="H5817" s="1">
        <v>-2.6427830000000001E-6</v>
      </c>
      <c r="I5817">
        <v>-14.745839999999999</v>
      </c>
      <c r="J5817">
        <v>-186.57749999999999</v>
      </c>
      <c r="K5817">
        <v>1.1312489999999999</v>
      </c>
      <c r="L5817">
        <v>-39.826630000000002</v>
      </c>
      <c r="M5817">
        <v>9.2161719999999999E-3</v>
      </c>
      <c r="N5817">
        <v>-1.506308E-2</v>
      </c>
      <c r="O5817">
        <v>0.99984410000000001</v>
      </c>
      <c r="P5817">
        <v>-4.8792759999999998E-2</v>
      </c>
      <c r="Q5817">
        <v>0.1899006</v>
      </c>
      <c r="R5817">
        <v>0.98059019999999997</v>
      </c>
      <c r="S5817">
        <v>-0.50483699999999998</v>
      </c>
      <c r="T5817">
        <v>-0.13514100000000001</v>
      </c>
      <c r="U5817">
        <v>3.0672000000000001</v>
      </c>
      <c r="V5817">
        <v>-6.2916369999999999E-2</v>
      </c>
      <c r="W5817">
        <v>0.20313600000000001</v>
      </c>
      <c r="X5817">
        <v>0.97712710000000003</v>
      </c>
      <c r="Y5817">
        <v>-0.1713546</v>
      </c>
      <c r="Z5817">
        <v>-2.8332739999999999E-2</v>
      </c>
      <c r="AA5817">
        <v>0.98480190000000001</v>
      </c>
      <c r="AB5817">
        <v>31</v>
      </c>
      <c r="AC5817">
        <v>-4.2211999999999996</v>
      </c>
      <c r="AD5817">
        <v>-1.1312516427829999</v>
      </c>
      <c r="AE5817">
        <v>25.08079</v>
      </c>
      <c r="AF5817">
        <v>-4.4434051311243197</v>
      </c>
      <c r="AG5817">
        <v>-1.1312516427829999</v>
      </c>
      <c r="AH5817">
        <v>24.991374953335001</v>
      </c>
      <c r="AI5817">
        <v>92.551797661936106</v>
      </c>
      <c r="AJ5817">
        <v>100.08169590433</v>
      </c>
      <c r="AK5817">
        <v>25.4085104147564</v>
      </c>
      <c r="AL5817">
        <v>78.279596458941995</v>
      </c>
      <c r="AM5817">
        <v>93.684139938558204</v>
      </c>
      <c r="AN5817">
        <v>1.00000003683219</v>
      </c>
    </row>
    <row r="5818" spans="1:40" x14ac:dyDescent="0.25">
      <c r="A5818" t="str">
        <f>"20190303170649432"</f>
        <v>20190303170649432</v>
      </c>
      <c r="B5818" t="str">
        <f>"1551604009420641"</f>
        <v>1551604009420641</v>
      </c>
      <c r="C5818" t="s">
        <v>40</v>
      </c>
      <c r="D5818">
        <v>5.6562570000000001</v>
      </c>
      <c r="E5818">
        <v>0.46322740000000001</v>
      </c>
      <c r="F5818" t="s">
        <v>41</v>
      </c>
      <c r="G5818">
        <v>-190.39750000000001</v>
      </c>
      <c r="H5818" s="1">
        <v>-1.808441E-6</v>
      </c>
      <c r="I5818">
        <v>-16.4419</v>
      </c>
      <c r="J5818">
        <v>-186.58629999999999</v>
      </c>
      <c r="K5818">
        <v>1.1310439999999999</v>
      </c>
      <c r="L5818">
        <v>-39.502589999999998</v>
      </c>
      <c r="M5818">
        <v>-2.720718E-3</v>
      </c>
      <c r="N5818">
        <v>-1.5018770000000001E-2</v>
      </c>
      <c r="O5818">
        <v>0.99988350000000004</v>
      </c>
      <c r="P5818">
        <v>-5.5854309999999997E-2</v>
      </c>
      <c r="Q5818">
        <v>0.19039970000000001</v>
      </c>
      <c r="R5818">
        <v>0.9801164</v>
      </c>
      <c r="S5818">
        <v>-0.50038149999999904</v>
      </c>
      <c r="T5818">
        <v>-0.14818429999999999</v>
      </c>
      <c r="U5818">
        <v>3.063202</v>
      </c>
      <c r="V5818">
        <v>-5.8178979999999998E-2</v>
      </c>
      <c r="W5818">
        <v>0.20374110000000001</v>
      </c>
      <c r="X5818">
        <v>0.97729460000000001</v>
      </c>
      <c r="Y5818">
        <v>-0.15836929999999999</v>
      </c>
      <c r="Z5818">
        <v>-3.2695120000000001E-2</v>
      </c>
      <c r="AA5818">
        <v>0.98683849999999995</v>
      </c>
      <c r="AB5818">
        <v>31</v>
      </c>
      <c r="AC5818">
        <v>-3.8112000000000101</v>
      </c>
      <c r="AD5818">
        <v>-1.131045808441</v>
      </c>
      <c r="AE5818">
        <v>23.060690000000001</v>
      </c>
      <c r="AF5818">
        <v>-3.7396803421572402</v>
      </c>
      <c r="AG5818">
        <v>-1.131045808441</v>
      </c>
      <c r="AH5818">
        <v>23.017078203297199</v>
      </c>
      <c r="AI5818">
        <v>92.776863567881605</v>
      </c>
      <c r="AJ5818">
        <v>99.228443550521305</v>
      </c>
      <c r="AK5818">
        <v>23.346313685441</v>
      </c>
      <c r="AL5818">
        <v>78.244185626239997</v>
      </c>
      <c r="AM5818">
        <v>93.406834139134602</v>
      </c>
      <c r="AN5818">
        <v>0.99999998236610499</v>
      </c>
    </row>
    <row r="5819" spans="1:40" x14ac:dyDescent="0.25">
      <c r="A5819" t="str">
        <f>"20190303170649454"</f>
        <v>20190303170649454</v>
      </c>
      <c r="B5819" t="str">
        <f>"1551604009440161"</f>
        <v>1551604009440161</v>
      </c>
      <c r="C5819" t="s">
        <v>40</v>
      </c>
      <c r="D5819">
        <v>5.6809979999999998</v>
      </c>
      <c r="E5819">
        <v>0.46424349999999998</v>
      </c>
      <c r="F5819" t="s">
        <v>41</v>
      </c>
      <c r="G5819">
        <v>-190.45429999999999</v>
      </c>
      <c r="H5819" s="1">
        <v>-1.8307549999999999E-6</v>
      </c>
      <c r="I5819">
        <v>-16.425090000000001</v>
      </c>
      <c r="J5819">
        <v>-186.59809999999999</v>
      </c>
      <c r="K5819">
        <v>1.1308180000000001</v>
      </c>
      <c r="L5819">
        <v>-39.192990000000002</v>
      </c>
      <c r="M5819">
        <v>-1.3816520000000001E-2</v>
      </c>
      <c r="N5819">
        <v>-1.4973200000000001E-2</v>
      </c>
      <c r="O5819">
        <v>0.99979249999999997</v>
      </c>
      <c r="P5819">
        <v>-6.3225569999999995E-2</v>
      </c>
      <c r="Q5819">
        <v>0.18901109999999999</v>
      </c>
      <c r="R5819">
        <v>0.97993739999999996</v>
      </c>
      <c r="S5819">
        <v>-0.51300049999999997</v>
      </c>
      <c r="T5819">
        <v>-0.15001010000000001</v>
      </c>
      <c r="U5819">
        <v>3.0607600000000001</v>
      </c>
      <c r="V5819">
        <v>-5.4522929999999997E-2</v>
      </c>
      <c r="W5819">
        <v>0.20243140000000001</v>
      </c>
      <c r="X5819">
        <v>0.97777749999999997</v>
      </c>
      <c r="Y5819">
        <v>-0.15149270000000001</v>
      </c>
      <c r="Z5819">
        <v>-3.3382580000000002E-2</v>
      </c>
      <c r="AA5819">
        <v>0.98789450000000001</v>
      </c>
      <c r="AB5819">
        <v>31</v>
      </c>
      <c r="AC5819">
        <v>-3.8561999999999999</v>
      </c>
      <c r="AD5819">
        <v>-1.1308198307549999</v>
      </c>
      <c r="AE5819">
        <v>22.767900000000001</v>
      </c>
      <c r="AF5819">
        <v>-3.5327517295329298</v>
      </c>
      <c r="AG5819">
        <v>-1.1308198307549999</v>
      </c>
      <c r="AH5819">
        <v>22.764421303873601</v>
      </c>
      <c r="AI5819">
        <v>92.810239737718803</v>
      </c>
      <c r="AJ5819">
        <v>98.821218929086797</v>
      </c>
      <c r="AK5819">
        <v>23.064647527599501</v>
      </c>
      <c r="AL5819">
        <v>78.320823544066499</v>
      </c>
      <c r="AM5819">
        <v>93.191627887857607</v>
      </c>
      <c r="AN5819">
        <v>1.00000003055399</v>
      </c>
    </row>
    <row r="5820" spans="1:40" x14ac:dyDescent="0.25">
      <c r="A5820" t="str">
        <f>"20190303170649478"</f>
        <v>20190303170649478</v>
      </c>
      <c r="B5820" t="str">
        <f>"1551604009470417"</f>
        <v>1551604009470417</v>
      </c>
      <c r="C5820" t="s">
        <v>40</v>
      </c>
      <c r="D5820">
        <v>5.6893039999999999</v>
      </c>
      <c r="E5820">
        <v>0.46603480000000003</v>
      </c>
      <c r="F5820" t="s">
        <v>41</v>
      </c>
      <c r="G5820">
        <v>-190.3921</v>
      </c>
      <c r="H5820" s="1">
        <v>-1.4938359999999999E-6</v>
      </c>
      <c r="I5820">
        <v>-17.171879999999899</v>
      </c>
      <c r="J5820">
        <v>-186.6138</v>
      </c>
      <c r="K5820">
        <v>1.130536</v>
      </c>
      <c r="L5820">
        <v>-38.86768</v>
      </c>
      <c r="M5820">
        <v>-2.507889E-2</v>
      </c>
      <c r="N5820">
        <v>-1.4918590000000001E-2</v>
      </c>
      <c r="O5820">
        <v>0.99957410000000002</v>
      </c>
      <c r="P5820">
        <v>-7.0732470000000006E-2</v>
      </c>
      <c r="Q5820">
        <v>0.18904660000000001</v>
      </c>
      <c r="R5820">
        <v>0.97941730000000005</v>
      </c>
      <c r="S5820">
        <v>-0.52680969999999905</v>
      </c>
      <c r="T5820">
        <v>-0.1570182</v>
      </c>
      <c r="U5820">
        <v>3.057709</v>
      </c>
      <c r="V5820">
        <v>-5.0844649999999998E-2</v>
      </c>
      <c r="W5820">
        <v>0.20253740000000001</v>
      </c>
      <c r="X5820">
        <v>0.97795370000000004</v>
      </c>
      <c r="Y5820">
        <v>-0.14483789999999999</v>
      </c>
      <c r="Z5820">
        <v>-3.5744699999999997E-2</v>
      </c>
      <c r="AA5820">
        <v>0.98880950000000001</v>
      </c>
      <c r="AB5820">
        <v>31</v>
      </c>
      <c r="AC5820">
        <v>-3.7783000000000002</v>
      </c>
      <c r="AD5820">
        <v>-1.130537493836</v>
      </c>
      <c r="AE5820">
        <v>21.695799999999998</v>
      </c>
      <c r="AF5820">
        <v>-3.2244465564206402</v>
      </c>
      <c r="AG5820">
        <v>-1.130537493836</v>
      </c>
      <c r="AH5820">
        <v>21.726483204806399</v>
      </c>
      <c r="AI5820">
        <v>92.946484471591205</v>
      </c>
      <c r="AJ5820">
        <v>98.441698758261097</v>
      </c>
      <c r="AK5820">
        <v>21.9935272993878</v>
      </c>
      <c r="AL5820">
        <v>78.314621457728705</v>
      </c>
      <c r="AM5820">
        <v>92.976176968599901</v>
      </c>
      <c r="AN5820">
        <v>1.00000000808803</v>
      </c>
    </row>
    <row r="5821" spans="1:40" x14ac:dyDescent="0.25">
      <c r="A5821" t="str">
        <f>"20190303170649498"</f>
        <v>20190303170649498</v>
      </c>
      <c r="B5821" t="str">
        <f>"1551604009490913"</f>
        <v>1551604009490913</v>
      </c>
      <c r="C5821" t="s">
        <v>40</v>
      </c>
      <c r="D5821">
        <v>5.6971170000000004</v>
      </c>
      <c r="E5821">
        <v>0.46693679999999899</v>
      </c>
      <c r="F5821" t="s">
        <v>41</v>
      </c>
      <c r="G5821">
        <v>-190.5829</v>
      </c>
      <c r="H5821" s="1">
        <v>-1.9969899999999998E-6</v>
      </c>
      <c r="I5821">
        <v>-16.117360000000001</v>
      </c>
      <c r="J5821">
        <v>-186.6301</v>
      </c>
      <c r="K5821">
        <v>1.130223</v>
      </c>
      <c r="L5821">
        <v>-38.58475</v>
      </c>
      <c r="M5821">
        <v>-3.4452959999999998E-2</v>
      </c>
      <c r="N5821">
        <v>-1.486358E-2</v>
      </c>
      <c r="O5821">
        <v>0.99929579999999996</v>
      </c>
      <c r="P5821">
        <v>-7.4958849999999994E-2</v>
      </c>
      <c r="Q5821">
        <v>0.1917719</v>
      </c>
      <c r="R5821">
        <v>0.97857280000000002</v>
      </c>
      <c r="S5821">
        <v>-0.53279109999999996</v>
      </c>
      <c r="T5821">
        <v>-0.15175649999999999</v>
      </c>
      <c r="U5821">
        <v>3.0538639999999999</v>
      </c>
      <c r="V5821">
        <v>-4.5796549999999998E-2</v>
      </c>
      <c r="W5821">
        <v>0.2053537</v>
      </c>
      <c r="X5821">
        <v>0.97761569999999998</v>
      </c>
      <c r="Y5821">
        <v>-0.13765729999999901</v>
      </c>
      <c r="Z5821">
        <v>-3.4175999999999998E-2</v>
      </c>
      <c r="AA5821">
        <v>0.9898901</v>
      </c>
      <c r="AB5821">
        <v>31</v>
      </c>
      <c r="AC5821">
        <v>-3.9527999999999901</v>
      </c>
      <c r="AD5821">
        <v>-1.13022499699</v>
      </c>
      <c r="AE5821">
        <v>22.467390000000002</v>
      </c>
      <c r="AF5821">
        <v>-3.1685216457916199</v>
      </c>
      <c r="AG5821">
        <v>-1.13022499699</v>
      </c>
      <c r="AH5821">
        <v>22.534934451643299</v>
      </c>
      <c r="AI5821">
        <v>92.843305163820204</v>
      </c>
      <c r="AJ5821">
        <v>98.003598147151493</v>
      </c>
      <c r="AK5821">
        <v>22.784648531490099</v>
      </c>
      <c r="AL5821">
        <v>78.1497944482701</v>
      </c>
      <c r="AM5821">
        <v>92.682068387483497</v>
      </c>
      <c r="AN5821">
        <v>0.99999996149103998</v>
      </c>
    </row>
    <row r="5822" spans="1:40" x14ac:dyDescent="0.25">
      <c r="A5822" t="str">
        <f>"20190303170649521"</f>
        <v>20190303170649521</v>
      </c>
      <c r="B5822" t="str">
        <f>"1551604009510433"</f>
        <v>1551604009510433</v>
      </c>
      <c r="C5822" t="s">
        <v>40</v>
      </c>
      <c r="D5822">
        <v>5.7012309999999999</v>
      </c>
      <c r="E5822">
        <v>0.46738930000000001</v>
      </c>
      <c r="F5822" t="s">
        <v>41</v>
      </c>
      <c r="G5822">
        <v>-190.83590000000001</v>
      </c>
      <c r="H5822" s="1">
        <v>-2.6673829999999998E-6</v>
      </c>
      <c r="I5822">
        <v>-14.71161</v>
      </c>
      <c r="J5822">
        <v>-186.65020000000001</v>
      </c>
      <c r="K5822">
        <v>1.1298010000000001</v>
      </c>
      <c r="L5822">
        <v>-38.280430000000003</v>
      </c>
      <c r="M5822">
        <v>-4.4009630000000001E-2</v>
      </c>
      <c r="N5822">
        <v>-1.4796800000000001E-2</v>
      </c>
      <c r="O5822">
        <v>0.99892150000000002</v>
      </c>
      <c r="P5822">
        <v>-7.8714619999999999E-2</v>
      </c>
      <c r="Q5822">
        <v>0.19372449999999999</v>
      </c>
      <c r="R5822">
        <v>0.97789309999999996</v>
      </c>
      <c r="S5822">
        <v>-0.53782649999999999</v>
      </c>
      <c r="T5822">
        <v>-0.14452980000000001</v>
      </c>
      <c r="U5822">
        <v>3.052826</v>
      </c>
      <c r="V5822">
        <v>-4.0022370000000002E-2</v>
      </c>
      <c r="W5822">
        <v>0.20740520000000001</v>
      </c>
      <c r="X5822">
        <v>0.97743610000000003</v>
      </c>
      <c r="Y5822">
        <v>-0.12983939999999999</v>
      </c>
      <c r="Z5822">
        <v>-3.1933980000000001E-2</v>
      </c>
      <c r="AA5822">
        <v>0.99102069999999998</v>
      </c>
      <c r="AB5822">
        <v>31</v>
      </c>
      <c r="AC5822">
        <v>-4.18569999999999</v>
      </c>
      <c r="AD5822">
        <v>-1.1298036673829901</v>
      </c>
      <c r="AE5822">
        <v>23.568819999999899</v>
      </c>
      <c r="AF5822">
        <v>-3.1372862429273001</v>
      </c>
      <c r="AG5822">
        <v>-1.1298036673829901</v>
      </c>
      <c r="AH5822">
        <v>23.6774658321491</v>
      </c>
      <c r="AI5822">
        <v>92.708242320002697</v>
      </c>
      <c r="AJ5822">
        <v>97.547778139861506</v>
      </c>
      <c r="AK5822">
        <v>23.911114769694102</v>
      </c>
      <c r="AL5822">
        <v>78.029666697060307</v>
      </c>
      <c r="AM5822">
        <v>92.344739090547094</v>
      </c>
      <c r="AN5822">
        <v>1.0000000183353299</v>
      </c>
    </row>
    <row r="5823" spans="1:40" x14ac:dyDescent="0.25">
      <c r="A5823" t="str">
        <f>"20190303170649542"</f>
        <v>20190303170649542</v>
      </c>
      <c r="B5823" t="str">
        <f>"1551604009530929"</f>
        <v>1551604009530929</v>
      </c>
      <c r="C5823" t="s">
        <v>40</v>
      </c>
      <c r="D5823">
        <v>5.5849299999999999</v>
      </c>
      <c r="E5823">
        <v>0.47617559999999898</v>
      </c>
      <c r="F5823" t="s">
        <v>41</v>
      </c>
      <c r="G5823">
        <v>-191.07740000000001</v>
      </c>
      <c r="H5823" s="1">
        <v>-3.2026230000000001E-6</v>
      </c>
      <c r="I5823">
        <v>-13.61369</v>
      </c>
      <c r="J5823">
        <v>-186.67269999999999</v>
      </c>
      <c r="K5823">
        <v>1.129265</v>
      </c>
      <c r="L5823">
        <v>-37.975009999999997</v>
      </c>
      <c r="M5823">
        <v>-5.2957619999999997E-2</v>
      </c>
      <c r="N5823">
        <v>-1.4722809999999999E-2</v>
      </c>
      <c r="O5823">
        <v>0.99848820000000005</v>
      </c>
      <c r="P5823">
        <v>-8.2745260000000001E-2</v>
      </c>
      <c r="Q5823">
        <v>0.19208710000000001</v>
      </c>
      <c r="R5823">
        <v>0.97788330000000001</v>
      </c>
      <c r="S5823">
        <v>-0.5476685</v>
      </c>
      <c r="T5823">
        <v>-0.13976350000000001</v>
      </c>
      <c r="U5823">
        <v>3.0514220000000001</v>
      </c>
      <c r="V5823">
        <v>-3.4965469999999998E-2</v>
      </c>
      <c r="W5823">
        <v>0.20584930000000001</v>
      </c>
      <c r="X5823">
        <v>0.97795889999999996</v>
      </c>
      <c r="Y5823">
        <v>-0.1241423</v>
      </c>
      <c r="Z5823">
        <v>-3.0478700000000001E-2</v>
      </c>
      <c r="AA5823">
        <v>0.99179620000000002</v>
      </c>
      <c r="AB5823">
        <v>31</v>
      </c>
      <c r="AC5823">
        <v>-4.4047000000000196</v>
      </c>
      <c r="AD5823">
        <v>-1.1292682026230001</v>
      </c>
      <c r="AE5823">
        <v>24.361319999999999</v>
      </c>
      <c r="AF5823">
        <v>-3.1018062927995098</v>
      </c>
      <c r="AG5823">
        <v>-1.1292682026230001</v>
      </c>
      <c r="AH5823">
        <v>24.509417313110799</v>
      </c>
      <c r="AI5823">
        <v>92.6171836370645</v>
      </c>
      <c r="AJ5823">
        <v>97.212762819734905</v>
      </c>
      <c r="AK5823">
        <v>24.7307093707342</v>
      </c>
      <c r="AL5823">
        <v>78.120779999880199</v>
      </c>
      <c r="AM5823">
        <v>92.047653400263599</v>
      </c>
      <c r="AN5823">
        <v>1.0000000642460001</v>
      </c>
    </row>
    <row r="5824" spans="1:40" x14ac:dyDescent="0.25">
      <c r="A5824" t="str">
        <f>"20190303170649565"</f>
        <v>20190303170649565</v>
      </c>
      <c r="B5824" t="str">
        <f>"1551604009550449"</f>
        <v>1551604009550449</v>
      </c>
      <c r="C5824" t="s">
        <v>40</v>
      </c>
      <c r="D5824">
        <v>5.6717469999999999</v>
      </c>
      <c r="E5824">
        <v>0.47626059999999998</v>
      </c>
      <c r="F5824" t="s">
        <v>41</v>
      </c>
      <c r="G5824">
        <v>-190.1816</v>
      </c>
      <c r="H5824" s="1">
        <v>-1.8944860000000001E-6</v>
      </c>
      <c r="I5824">
        <v>-16.107399999999998</v>
      </c>
      <c r="J5824">
        <v>-186.69669999999999</v>
      </c>
      <c r="K5824">
        <v>1.128668</v>
      </c>
      <c r="L5824">
        <v>-37.677370000000003</v>
      </c>
      <c r="M5824">
        <v>-6.0900919999999997E-2</v>
      </c>
      <c r="N5824">
        <v>-1.464594E-2</v>
      </c>
      <c r="O5824">
        <v>0.99803640000000005</v>
      </c>
      <c r="P5824">
        <v>-8.8091230000000006E-2</v>
      </c>
      <c r="Q5824">
        <v>0.18566869999999999</v>
      </c>
      <c r="R5824">
        <v>0.97865579999999996</v>
      </c>
      <c r="S5824">
        <v>-0.4905853</v>
      </c>
      <c r="T5824">
        <v>-0.15788450000000001</v>
      </c>
      <c r="U5824">
        <v>3.0573429999999999</v>
      </c>
      <c r="V5824">
        <v>-3.2032350000000001E-2</v>
      </c>
      <c r="W5824">
        <v>0.19947319999999999</v>
      </c>
      <c r="X5824">
        <v>0.97937960000000002</v>
      </c>
      <c r="Y5824">
        <v>-9.7850400000000004E-2</v>
      </c>
      <c r="Z5824">
        <v>-3.6418949999999999E-2</v>
      </c>
      <c r="AA5824">
        <v>0.99453460000000005</v>
      </c>
      <c r="AB5824">
        <v>31</v>
      </c>
      <c r="AC5824">
        <v>-3.4849000000000099</v>
      </c>
      <c r="AD5824">
        <v>-1.1286698944859901</v>
      </c>
      <c r="AE5824">
        <v>21.569970000000001</v>
      </c>
      <c r="AF5824">
        <v>-2.1588974100248302</v>
      </c>
      <c r="AG5824">
        <v>-1.1286698944859901</v>
      </c>
      <c r="AH5824">
        <v>21.684318430395201</v>
      </c>
      <c r="AI5824">
        <v>92.964927500411306</v>
      </c>
      <c r="AJ5824">
        <v>95.685648957380195</v>
      </c>
      <c r="AK5824">
        <v>21.8207332495613</v>
      </c>
      <c r="AL5824">
        <v>78.493845273140593</v>
      </c>
      <c r="AM5824">
        <v>91.873292489325706</v>
      </c>
      <c r="AN5824">
        <v>1.00000001493046</v>
      </c>
    </row>
    <row r="5825" spans="1:40" x14ac:dyDescent="0.25">
      <c r="A5825" t="str">
        <f>"20190303170649587"</f>
        <v>20190303170649587</v>
      </c>
      <c r="B5825" t="str">
        <f>"1551604009580706"</f>
        <v>1551604009580706</v>
      </c>
      <c r="C5825" t="s">
        <v>40</v>
      </c>
      <c r="D5825">
        <v>5.6436809999999999</v>
      </c>
      <c r="E5825">
        <v>0.47705690000000001</v>
      </c>
      <c r="F5825" t="s">
        <v>41</v>
      </c>
      <c r="G5825">
        <v>-189.7157</v>
      </c>
      <c r="H5825" s="1">
        <v>-4.857557E-7</v>
      </c>
      <c r="I5825">
        <v>-19.352460000000001</v>
      </c>
      <c r="J5825">
        <v>-186.7235</v>
      </c>
      <c r="K5825">
        <v>1.1279809999999999</v>
      </c>
      <c r="L5825">
        <v>-37.366790000000002</v>
      </c>
      <c r="M5825">
        <v>-6.8325930000000007E-2</v>
      </c>
      <c r="N5825">
        <v>-1.456434E-2</v>
      </c>
      <c r="O5825">
        <v>0.99755669999999996</v>
      </c>
      <c r="P5825">
        <v>-9.4634319999999994E-2</v>
      </c>
      <c r="Q5825">
        <v>0.18166199999999999</v>
      </c>
      <c r="R5825">
        <v>0.97879680000000002</v>
      </c>
      <c r="S5825">
        <v>-0.50344849999999997</v>
      </c>
      <c r="T5825">
        <v>-0.18821389999999999</v>
      </c>
      <c r="U5825">
        <v>3.0558169999999998</v>
      </c>
      <c r="V5825">
        <v>-3.0844440000000001E-2</v>
      </c>
      <c r="W5825">
        <v>0.19546479999999999</v>
      </c>
      <c r="X5825">
        <v>0.98022560000000003</v>
      </c>
      <c r="Y5825">
        <v>-9.4529489999999994E-2</v>
      </c>
      <c r="Z5825">
        <v>-4.6252979999999999E-2</v>
      </c>
      <c r="AA5825">
        <v>0.99444699999999997</v>
      </c>
      <c r="AB5825">
        <v>31</v>
      </c>
      <c r="AC5825">
        <v>-2.9921999999999902</v>
      </c>
      <c r="AD5825">
        <v>-1.1279814857557</v>
      </c>
      <c r="AE5825">
        <v>18.014329999999902</v>
      </c>
      <c r="AF5825">
        <v>-1.74756166981316</v>
      </c>
      <c r="AG5825">
        <v>-1.1279814857557</v>
      </c>
      <c r="AH5825">
        <v>18.107600060377901</v>
      </c>
      <c r="AI5825">
        <v>93.548092106627607</v>
      </c>
      <c r="AJ5825">
        <v>95.512534229225096</v>
      </c>
      <c r="AK5825">
        <v>18.226669854051899</v>
      </c>
      <c r="AL5825">
        <v>78.728123351713407</v>
      </c>
      <c r="AM5825">
        <v>91.802312953114395</v>
      </c>
      <c r="AN5825">
        <v>1.0000000472066499</v>
      </c>
    </row>
    <row r="5826" spans="1:40" x14ac:dyDescent="0.25">
      <c r="A5826" t="str">
        <f>"20190303170649609"</f>
        <v>20190303170649609</v>
      </c>
      <c r="B5826" t="str">
        <f>"1551604009600225"</f>
        <v>1551604009600225</v>
      </c>
      <c r="C5826" t="s">
        <v>40</v>
      </c>
      <c r="D5826">
        <v>5.7068430000000001</v>
      </c>
      <c r="E5826">
        <v>0.4773385</v>
      </c>
      <c r="F5826" t="s">
        <v>41</v>
      </c>
      <c r="G5826">
        <v>-189.57990000000001</v>
      </c>
      <c r="H5826" s="1">
        <v>-1.016568E-7</v>
      </c>
      <c r="I5826">
        <v>-20.38166</v>
      </c>
      <c r="J5826">
        <v>-186.75200000000001</v>
      </c>
      <c r="K5826">
        <v>1.127332</v>
      </c>
      <c r="L5826">
        <v>-37.05377</v>
      </c>
      <c r="M5826">
        <v>-7.5047399999999903E-2</v>
      </c>
      <c r="N5826">
        <v>-1.4485980000000001E-2</v>
      </c>
      <c r="O5826">
        <v>0.99707469999999998</v>
      </c>
      <c r="P5826">
        <v>-9.8785650000000003E-2</v>
      </c>
      <c r="Q5826">
        <v>0.17984429999999901</v>
      </c>
      <c r="R5826">
        <v>0.97872230000000005</v>
      </c>
      <c r="S5826">
        <v>-0.51342770000000004</v>
      </c>
      <c r="T5826">
        <v>-0.20274809999999999</v>
      </c>
      <c r="U5826">
        <v>3.0529790000000001</v>
      </c>
      <c r="V5826">
        <v>-2.802671E-2</v>
      </c>
      <c r="W5826">
        <v>0.19366320000000001</v>
      </c>
      <c r="X5826">
        <v>0.98066770000000003</v>
      </c>
      <c r="Y5826">
        <v>-9.1091340000000007E-2</v>
      </c>
      <c r="Z5826">
        <v>-5.1018859999999999E-2</v>
      </c>
      <c r="AA5826">
        <v>0.99453480000000005</v>
      </c>
      <c r="AB5826">
        <v>31</v>
      </c>
      <c r="AC5826">
        <v>-2.8279000000000001</v>
      </c>
      <c r="AD5826">
        <v>-1.1273321016568001</v>
      </c>
      <c r="AE5826">
        <v>16.67211</v>
      </c>
      <c r="AF5826">
        <v>-1.56165322496074</v>
      </c>
      <c r="AG5826">
        <v>-1.1273321016568001</v>
      </c>
      <c r="AH5826">
        <v>16.762833853278199</v>
      </c>
      <c r="AI5826">
        <v>93.830916652266197</v>
      </c>
      <c r="AJ5826">
        <v>95.3224068250302</v>
      </c>
      <c r="AK5826">
        <v>16.873121740065301</v>
      </c>
      <c r="AL5826">
        <v>78.833358359463205</v>
      </c>
      <c r="AM5826">
        <v>91.637022629545697</v>
      </c>
      <c r="AN5826">
        <v>1.0000000346654701</v>
      </c>
    </row>
    <row r="5827" spans="1:40" x14ac:dyDescent="0.25">
      <c r="A5827" t="str">
        <f>"20190303170649634"</f>
        <v>20190303170649634</v>
      </c>
      <c r="B5827" t="str">
        <f>"1551604009620721"</f>
        <v>1551604009620721</v>
      </c>
      <c r="C5827" t="s">
        <v>40</v>
      </c>
      <c r="D5827">
        <v>5.6513330000000002</v>
      </c>
      <c r="E5827">
        <v>0.47787629999999998</v>
      </c>
      <c r="F5827" t="s">
        <v>41</v>
      </c>
      <c r="G5827">
        <v>-189.59819999999999</v>
      </c>
      <c r="H5827" s="1">
        <v>-4.3133190000000002E-6</v>
      </c>
      <c r="I5827">
        <v>-20.478899999999999</v>
      </c>
      <c r="J5827">
        <v>-186.78380000000001</v>
      </c>
      <c r="K5827">
        <v>1.1266609999999999</v>
      </c>
      <c r="L5827">
        <v>-36.721249999999998</v>
      </c>
      <c r="M5827">
        <v>-8.1261040000000007E-2</v>
      </c>
      <c r="N5827">
        <v>-1.4406560000000001E-2</v>
      </c>
      <c r="O5827">
        <v>0.99658869999999999</v>
      </c>
      <c r="P5827">
        <v>-0.1013579</v>
      </c>
      <c r="Q5827">
        <v>0.1788766</v>
      </c>
      <c r="R5827">
        <v>0.97863670000000003</v>
      </c>
      <c r="S5827">
        <v>-0.52381899999999904</v>
      </c>
      <c r="T5827">
        <v>-0.20747750000000001</v>
      </c>
      <c r="U5827">
        <v>3.0504760000000002</v>
      </c>
      <c r="V5827">
        <v>-2.4133950000000001E-2</v>
      </c>
      <c r="W5827">
        <v>0.1927162</v>
      </c>
      <c r="X5827">
        <v>0.98095770000000004</v>
      </c>
      <c r="Y5827">
        <v>-8.8296570000000005E-2</v>
      </c>
      <c r="Z5827">
        <v>-5.2621460000000002E-2</v>
      </c>
      <c r="AA5827">
        <v>0.99470329999999996</v>
      </c>
      <c r="AB5827">
        <v>31</v>
      </c>
      <c r="AC5827">
        <v>-2.8143999999999698</v>
      </c>
      <c r="AD5827">
        <v>-1.1266653133190001</v>
      </c>
      <c r="AE5827">
        <v>16.242349999999998</v>
      </c>
      <c r="AF5827">
        <v>-1.4781780265655999</v>
      </c>
      <c r="AG5827">
        <v>-1.1266653133190001</v>
      </c>
      <c r="AH5827">
        <v>16.3410128254889</v>
      </c>
      <c r="AI5827">
        <v>93.928147406784007</v>
      </c>
      <c r="AJ5827">
        <v>95.168803460484597</v>
      </c>
      <c r="AK5827">
        <v>16.446369969365598</v>
      </c>
      <c r="AL5827">
        <v>78.888658809474194</v>
      </c>
      <c r="AM5827">
        <v>91.409331504224994</v>
      </c>
      <c r="AN5827">
        <v>0.99999999523716598</v>
      </c>
    </row>
    <row r="5828" spans="1:40" x14ac:dyDescent="0.25">
      <c r="A5828" t="str">
        <f>"20190303170649655"</f>
        <v>20190303170649655</v>
      </c>
      <c r="B5828" t="str">
        <f>"1551604009640241"</f>
        <v>1551604009640241</v>
      </c>
      <c r="C5828" t="s">
        <v>40</v>
      </c>
      <c r="D5828">
        <v>5.6649729999999998</v>
      </c>
      <c r="E5828">
        <v>0.4786319</v>
      </c>
      <c r="F5828" t="s">
        <v>41</v>
      </c>
      <c r="G5828">
        <v>-189.61949999999999</v>
      </c>
      <c r="H5828" s="1">
        <v>-1.0856599999999999E-7</v>
      </c>
      <c r="I5828">
        <v>-20.330400000000001</v>
      </c>
      <c r="J5828">
        <v>-186.81360000000001</v>
      </c>
      <c r="K5828">
        <v>1.1260209999999999</v>
      </c>
      <c r="L5828">
        <v>-36.420009999999998</v>
      </c>
      <c r="M5828">
        <v>-8.5964299999999993E-2</v>
      </c>
      <c r="N5828">
        <v>-1.433392E-2</v>
      </c>
      <c r="O5828">
        <v>0.9961951</v>
      </c>
      <c r="P5828">
        <v>-0.1048912</v>
      </c>
      <c r="Q5828">
        <v>0.1783565</v>
      </c>
      <c r="R5828">
        <v>0.97835919999999998</v>
      </c>
      <c r="S5828">
        <v>-0.52752690000000002</v>
      </c>
      <c r="T5828">
        <v>-0.2095909</v>
      </c>
      <c r="U5828">
        <v>3.0491640000000002</v>
      </c>
      <c r="V5828">
        <v>-2.2719059999999999E-2</v>
      </c>
      <c r="W5828">
        <v>0.19217809999999999</v>
      </c>
      <c r="X5828">
        <v>0.981097</v>
      </c>
      <c r="Y5828">
        <v>-8.4835480000000005E-2</v>
      </c>
      <c r="Z5828">
        <v>-5.3370760000000003E-2</v>
      </c>
      <c r="AA5828">
        <v>0.99496459999999998</v>
      </c>
      <c r="AB5828">
        <v>31</v>
      </c>
      <c r="AC5828">
        <v>-2.8058999999999799</v>
      </c>
      <c r="AD5828">
        <v>-1.1260211085659999</v>
      </c>
      <c r="AE5828">
        <v>16.089609999999901</v>
      </c>
      <c r="AF5828">
        <v>-1.4055558961108101</v>
      </c>
      <c r="AG5828">
        <v>-1.1260211085659999</v>
      </c>
      <c r="AH5828">
        <v>16.194293954444898</v>
      </c>
      <c r="AI5828">
        <v>93.962636814102694</v>
      </c>
      <c r="AJ5828">
        <v>94.960457749453099</v>
      </c>
      <c r="AK5828">
        <v>16.294129850869499</v>
      </c>
      <c r="AL5828">
        <v>78.920076457049305</v>
      </c>
      <c r="AM5828">
        <v>91.326549416582694</v>
      </c>
      <c r="AN5828">
        <v>0.999999950607945</v>
      </c>
    </row>
    <row r="5829" spans="1:40" x14ac:dyDescent="0.25">
      <c r="A5829" t="str">
        <f>"20190303170649680"</f>
        <v>20190303170649680</v>
      </c>
      <c r="B5829" t="str">
        <f>"1551604009670497"</f>
        <v>1551604009670497</v>
      </c>
      <c r="C5829" t="s">
        <v>40</v>
      </c>
      <c r="D5829">
        <v>5.7526859999999997</v>
      </c>
      <c r="E5829">
        <v>0.48494199999999998</v>
      </c>
      <c r="F5829" t="s">
        <v>41</v>
      </c>
      <c r="G5829">
        <v>-189.60059999999999</v>
      </c>
      <c r="H5829" s="1">
        <v>-9.8367879999999999E-8</v>
      </c>
      <c r="I5829">
        <v>-20.375139999999998</v>
      </c>
      <c r="J5829">
        <v>-186.84639999999999</v>
      </c>
      <c r="K5829">
        <v>1.125235</v>
      </c>
      <c r="L5829">
        <v>-36.095280000000002</v>
      </c>
      <c r="M5829">
        <v>-8.9993100000000006E-2</v>
      </c>
      <c r="N5829">
        <v>-1.4257260000000001E-2</v>
      </c>
      <c r="O5829">
        <v>0.99584030000000001</v>
      </c>
      <c r="P5829">
        <v>-0.1073591</v>
      </c>
      <c r="Q5829">
        <v>0.17728369999999999</v>
      </c>
      <c r="R5829">
        <v>0.97828649999999995</v>
      </c>
      <c r="S5829">
        <v>-0.52954100000000004</v>
      </c>
      <c r="T5829">
        <v>-0.213948</v>
      </c>
      <c r="U5829">
        <v>3.048584</v>
      </c>
      <c r="V5829">
        <v>-2.081854E-2</v>
      </c>
      <c r="W5829">
        <v>0.19109280000000001</v>
      </c>
      <c r="X5829">
        <v>0.98135119999999998</v>
      </c>
      <c r="Y5829">
        <v>-8.1462580000000007E-2</v>
      </c>
      <c r="Z5829">
        <v>-5.4833300000000001E-2</v>
      </c>
      <c r="AA5829">
        <v>0.99516689999999997</v>
      </c>
      <c r="AB5829">
        <v>31</v>
      </c>
      <c r="AC5829">
        <v>-2.7541999999999902</v>
      </c>
      <c r="AD5829">
        <v>-1.1252350983678701</v>
      </c>
      <c r="AE5829">
        <v>15.720139999999899</v>
      </c>
      <c r="AF5829">
        <v>-1.32160457637024</v>
      </c>
      <c r="AG5829">
        <v>-1.1252350983678701</v>
      </c>
      <c r="AH5829">
        <v>15.8255562399805</v>
      </c>
      <c r="AI5829">
        <v>94.052962247752106</v>
      </c>
      <c r="AJ5829">
        <v>94.773738481441299</v>
      </c>
      <c r="AK5829">
        <v>15.920459258063699</v>
      </c>
      <c r="AL5829">
        <v>78.983434643833405</v>
      </c>
      <c r="AM5829">
        <v>91.215299464291405</v>
      </c>
      <c r="AN5829">
        <v>1.0000000237805</v>
      </c>
    </row>
    <row r="5830" spans="1:40" x14ac:dyDescent="0.25">
      <c r="A5830" t="str">
        <f>"20190303170649700"</f>
        <v>20190303170649700</v>
      </c>
      <c r="B5830" t="str">
        <f>"1551604009690994"</f>
        <v>1551604009690994</v>
      </c>
      <c r="C5830" t="s">
        <v>40</v>
      </c>
      <c r="D5830">
        <v>5.6570989999999997</v>
      </c>
      <c r="E5830">
        <v>0.48489460000000001</v>
      </c>
      <c r="F5830" t="s">
        <v>41</v>
      </c>
      <c r="G5830">
        <v>-189.53700000000001</v>
      </c>
      <c r="H5830" s="1">
        <v>-6.5268649999999996E-7</v>
      </c>
      <c r="I5830">
        <v>-19.037230000000001</v>
      </c>
      <c r="J5830">
        <v>-186.87549999999999</v>
      </c>
      <c r="K5830">
        <v>1.12446</v>
      </c>
      <c r="L5830">
        <v>-35.808810000000001</v>
      </c>
      <c r="M5830">
        <v>-9.2581590000000005E-2</v>
      </c>
      <c r="N5830">
        <v>-1.4195950000000001E-2</v>
      </c>
      <c r="O5830">
        <v>0.99560389999999999</v>
      </c>
      <c r="P5830">
        <v>-0.1081496</v>
      </c>
      <c r="Q5830">
        <v>0.17704059999999999</v>
      </c>
      <c r="R5830">
        <v>0.97824350000000004</v>
      </c>
      <c r="S5830">
        <v>-0.48112490000000002</v>
      </c>
      <c r="T5830">
        <v>-0.20120879999999999</v>
      </c>
      <c r="U5830">
        <v>3.0502319999999998</v>
      </c>
      <c r="V5830">
        <v>-1.8682770000000001E-2</v>
      </c>
      <c r="W5830">
        <v>0.19084470000000001</v>
      </c>
      <c r="X5830">
        <v>0.9814425</v>
      </c>
      <c r="Y5830">
        <v>-6.3440029999999994E-2</v>
      </c>
      <c r="Z5830">
        <v>-5.086417E-2</v>
      </c>
      <c r="AA5830">
        <v>0.99668860000000004</v>
      </c>
      <c r="AB5830">
        <v>31</v>
      </c>
      <c r="AC5830">
        <v>-2.66150000000001</v>
      </c>
      <c r="AD5830">
        <v>-1.1244606526865</v>
      </c>
      <c r="AE5830">
        <v>16.77158</v>
      </c>
      <c r="AF5830">
        <v>-1.09238103907578</v>
      </c>
      <c r="AG5830">
        <v>-1.1244606526865</v>
      </c>
      <c r="AH5830">
        <v>16.8719854658843</v>
      </c>
      <c r="AI5830">
        <v>93.804987475315997</v>
      </c>
      <c r="AJ5830">
        <v>93.704459455918297</v>
      </c>
      <c r="AK5830">
        <v>16.944662925387</v>
      </c>
      <c r="AL5830">
        <v>78.997916682201705</v>
      </c>
      <c r="AM5830">
        <v>91.090552528173305</v>
      </c>
      <c r="AN5830">
        <v>1.0000000631096</v>
      </c>
    </row>
    <row r="5831" spans="1:40" x14ac:dyDescent="0.25">
      <c r="A5831" t="str">
        <f>"20190303170649723"</f>
        <v>20190303170649723</v>
      </c>
      <c r="B5831" t="str">
        <f>"1551604009710513"</f>
        <v>1551604009710513</v>
      </c>
      <c r="C5831" t="s">
        <v>40</v>
      </c>
      <c r="D5831">
        <v>5.671659</v>
      </c>
      <c r="E5831">
        <v>0.4844252</v>
      </c>
      <c r="F5831" t="s">
        <v>41</v>
      </c>
      <c r="G5831">
        <v>-189.55670000000001</v>
      </c>
      <c r="H5831" s="1">
        <v>-7.4035700000000002E-7</v>
      </c>
      <c r="I5831">
        <v>-18.824739999999998</v>
      </c>
      <c r="J5831">
        <v>-186.9058</v>
      </c>
      <c r="K5831">
        <v>1.123607</v>
      </c>
      <c r="L5831">
        <v>-35.509740000000001</v>
      </c>
      <c r="M5831">
        <v>-9.4334409999999994E-2</v>
      </c>
      <c r="N5831">
        <v>-1.41411E-2</v>
      </c>
      <c r="O5831">
        <v>0.99544010000000005</v>
      </c>
      <c r="P5831">
        <v>-0.1080733</v>
      </c>
      <c r="Q5831">
        <v>0.17761749999999901</v>
      </c>
      <c r="R5831">
        <v>0.97814730000000005</v>
      </c>
      <c r="S5831">
        <v>-0.48149110000000001</v>
      </c>
      <c r="T5831">
        <v>-0.2019339</v>
      </c>
      <c r="U5831">
        <v>3.050049</v>
      </c>
      <c r="V5831">
        <v>-1.6481780000000001E-2</v>
      </c>
      <c r="W5831">
        <v>0.19141720000000001</v>
      </c>
      <c r="X5831">
        <v>0.98137039999999998</v>
      </c>
      <c r="Y5831">
        <v>-6.1807540000000001E-2</v>
      </c>
      <c r="Z5831">
        <v>-5.1144229999999999E-2</v>
      </c>
      <c r="AA5831">
        <v>0.99677689999999997</v>
      </c>
      <c r="AB5831">
        <v>31</v>
      </c>
      <c r="AC5831">
        <v>-2.6509</v>
      </c>
      <c r="AD5831">
        <v>-1.123607740357</v>
      </c>
      <c r="AE5831">
        <v>16.684999999999999</v>
      </c>
      <c r="AF5831">
        <v>-1.06025915722576</v>
      </c>
      <c r="AG5831">
        <v>-1.123607740357</v>
      </c>
      <c r="AH5831">
        <v>16.7864234631549</v>
      </c>
      <c r="AI5831">
        <v>93.821816581041702</v>
      </c>
      <c r="AJ5831">
        <v>93.614098300068804</v>
      </c>
      <c r="AK5831">
        <v>16.8573620866085</v>
      </c>
      <c r="AL5831">
        <v>78.964498380844205</v>
      </c>
      <c r="AM5831">
        <v>90.962172550963402</v>
      </c>
      <c r="AN5831">
        <v>1.00000002776198</v>
      </c>
    </row>
    <row r="5832" spans="1:40" x14ac:dyDescent="0.25">
      <c r="A5832" t="str">
        <f>"20190303170649744"</f>
        <v>20190303170649744</v>
      </c>
      <c r="B5832" t="str">
        <f>"1551604009740770"</f>
        <v>1551604009740770</v>
      </c>
      <c r="C5832" t="s">
        <v>40</v>
      </c>
      <c r="D5832">
        <v>5.6688039999999997</v>
      </c>
      <c r="E5832">
        <v>0.48615049999999999</v>
      </c>
      <c r="F5832" t="s">
        <v>41</v>
      </c>
      <c r="G5832">
        <v>-189.6669</v>
      </c>
      <c r="H5832" s="1">
        <v>-1.0180639999999999E-6</v>
      </c>
      <c r="I5832">
        <v>-18.131810000000002</v>
      </c>
      <c r="J5832">
        <v>-186.9358</v>
      </c>
      <c r="K5832">
        <v>1.122725</v>
      </c>
      <c r="L5832">
        <v>-35.207609999999903</v>
      </c>
      <c r="M5832">
        <v>-9.5047969999999996E-2</v>
      </c>
      <c r="N5832">
        <v>-1.4094860000000001E-2</v>
      </c>
      <c r="O5832">
        <v>0.9953729</v>
      </c>
      <c r="P5832">
        <v>-0.10774110000000001</v>
      </c>
      <c r="Q5832">
        <v>0.1775099</v>
      </c>
      <c r="R5832">
        <v>0.9782035</v>
      </c>
      <c r="S5832">
        <v>-0.48449710000000001</v>
      </c>
      <c r="T5832">
        <v>-0.19715830000000001</v>
      </c>
      <c r="U5832">
        <v>3.0492859999999999</v>
      </c>
      <c r="V5832">
        <v>-1.5020210000000001E-2</v>
      </c>
      <c r="W5832">
        <v>0.19130440000000001</v>
      </c>
      <c r="X5832">
        <v>0.98141579999999995</v>
      </c>
      <c r="Y5832">
        <v>-6.2101549999999998E-2</v>
      </c>
      <c r="Z5832">
        <v>-4.9659500000000002E-2</v>
      </c>
      <c r="AA5832">
        <v>0.99683370000000004</v>
      </c>
      <c r="AB5832">
        <v>31</v>
      </c>
      <c r="AC5832">
        <v>-2.7310999999999899</v>
      </c>
      <c r="AD5832">
        <v>-1.122726018064</v>
      </c>
      <c r="AE5832">
        <v>17.075799999999902</v>
      </c>
      <c r="AF5832">
        <v>-1.0909530768986999</v>
      </c>
      <c r="AG5832">
        <v>-1.122726018064</v>
      </c>
      <c r="AH5832">
        <v>17.185648010823702</v>
      </c>
      <c r="AI5832">
        <v>93.730293282983695</v>
      </c>
      <c r="AJ5832">
        <v>93.632289360111898</v>
      </c>
      <c r="AK5832">
        <v>17.256801264416399</v>
      </c>
      <c r="AL5832">
        <v>78.971082456115298</v>
      </c>
      <c r="AM5832">
        <v>90.876822501690796</v>
      </c>
      <c r="AN5832">
        <v>0.99999997632872095</v>
      </c>
    </row>
    <row r="5833" spans="1:40" x14ac:dyDescent="0.25">
      <c r="A5833" t="str">
        <f>"20190303170649765"</f>
        <v>20190303170649765</v>
      </c>
      <c r="B5833" t="str">
        <f>"1551604009750529"</f>
        <v>1551604009750529</v>
      </c>
      <c r="C5833" t="s">
        <v>40</v>
      </c>
      <c r="D5833">
        <v>5.6694829999999996</v>
      </c>
      <c r="E5833">
        <v>0.48615049999999999</v>
      </c>
      <c r="F5833" t="s">
        <v>41</v>
      </c>
      <c r="G5833">
        <v>-189.6277</v>
      </c>
      <c r="H5833" s="1">
        <v>-1.24899E-6</v>
      </c>
      <c r="I5833">
        <v>-17.609719999999999</v>
      </c>
      <c r="J5833">
        <v>-186.9633</v>
      </c>
      <c r="K5833">
        <v>1.1219030000000001</v>
      </c>
      <c r="L5833">
        <v>-34.922759999999997</v>
      </c>
      <c r="M5833">
        <v>-9.4730490000000001E-2</v>
      </c>
      <c r="N5833">
        <v>-1.4060690000000001E-2</v>
      </c>
      <c r="O5833">
        <v>0.99540360000000006</v>
      </c>
      <c r="P5833">
        <v>-0.1063051</v>
      </c>
      <c r="Q5833">
        <v>0.17787030000000001</v>
      </c>
      <c r="R5833">
        <v>0.97829509999999997</v>
      </c>
      <c r="S5833">
        <v>-0.4666748</v>
      </c>
      <c r="T5833">
        <v>-0.19463469999999999</v>
      </c>
      <c r="U5833">
        <v>3.050751</v>
      </c>
      <c r="V5833">
        <v>-1.35058E-2</v>
      </c>
      <c r="W5833">
        <v>0.1916629</v>
      </c>
      <c r="X5833">
        <v>0.98136789999999996</v>
      </c>
      <c r="Y5833">
        <v>-5.666873E-2</v>
      </c>
      <c r="Z5833">
        <v>-4.8888710000000002E-2</v>
      </c>
      <c r="AA5833">
        <v>0.99719539999999995</v>
      </c>
      <c r="AB5833">
        <v>31</v>
      </c>
      <c r="AC5833">
        <v>-2.6644000000000001</v>
      </c>
      <c r="AD5833">
        <v>-1.12190424899</v>
      </c>
      <c r="AE5833">
        <v>17.313039999999901</v>
      </c>
      <c r="AF5833">
        <v>-1.0080456667565501</v>
      </c>
      <c r="AG5833">
        <v>-1.12190424899</v>
      </c>
      <c r="AH5833">
        <v>17.4161503228257</v>
      </c>
      <c r="AI5833">
        <v>93.679614934219103</v>
      </c>
      <c r="AJ5833">
        <v>93.312580208514703</v>
      </c>
      <c r="AK5833">
        <v>17.4813362554878</v>
      </c>
      <c r="AL5833">
        <v>78.950155093802294</v>
      </c>
      <c r="AM5833">
        <v>90.788467292101103</v>
      </c>
      <c r="AN5833">
        <v>1.0000000145102299</v>
      </c>
    </row>
    <row r="5834" spans="1:40" x14ac:dyDescent="0.25">
      <c r="A5834" t="str">
        <f>"20190303170649789"</f>
        <v>20190303170649789</v>
      </c>
      <c r="B5834" t="str">
        <f>"1551604009780786"</f>
        <v>1551604009780786</v>
      </c>
      <c r="C5834" t="s">
        <v>40</v>
      </c>
      <c r="D5834">
        <v>5.6274699999999998</v>
      </c>
      <c r="E5834">
        <v>0.51510219999999995</v>
      </c>
      <c r="F5834" t="s">
        <v>41</v>
      </c>
      <c r="G5834">
        <v>-189.6036</v>
      </c>
      <c r="H5834" s="1">
        <v>-1.385474E-6</v>
      </c>
      <c r="I5834">
        <v>-17.301539999999999</v>
      </c>
      <c r="J5834">
        <v>-186.99590000000001</v>
      </c>
      <c r="K5834">
        <v>1.1210009999999999</v>
      </c>
      <c r="L5834">
        <v>-34.57056</v>
      </c>
      <c r="M5834">
        <v>-9.3235750000000006E-2</v>
      </c>
      <c r="N5834">
        <v>-1.402772E-2</v>
      </c>
      <c r="O5834">
        <v>0.99554520000000002</v>
      </c>
      <c r="P5834">
        <v>-0.10300620000000001</v>
      </c>
      <c r="Q5834">
        <v>0.1797562</v>
      </c>
      <c r="R5834">
        <v>0.97830329999999999</v>
      </c>
      <c r="S5834">
        <v>-0.45733639999999998</v>
      </c>
      <c r="T5834">
        <v>-0.1943259</v>
      </c>
      <c r="U5834">
        <v>3.0521850000000001</v>
      </c>
      <c r="V5834">
        <v>-1.126565E-2</v>
      </c>
      <c r="W5834">
        <v>0.19354060000000001</v>
      </c>
      <c r="X5834">
        <v>0.9810276</v>
      </c>
      <c r="Y5834">
        <v>-5.5116569999999997E-2</v>
      </c>
      <c r="Z5834">
        <v>-4.8819689999999999E-2</v>
      </c>
      <c r="AA5834">
        <v>0.99728570000000005</v>
      </c>
      <c r="AB5834">
        <v>31</v>
      </c>
      <c r="AC5834">
        <v>-2.6076999999999901</v>
      </c>
      <c r="AD5834">
        <v>-1.1210023854740001</v>
      </c>
      <c r="AE5834">
        <v>17.269020000000001</v>
      </c>
      <c r="AF5834">
        <v>-0.98204432930099295</v>
      </c>
      <c r="AG5834">
        <v>-1.1210023854740001</v>
      </c>
      <c r="AH5834">
        <v>17.3653935790147</v>
      </c>
      <c r="AI5834">
        <v>93.687660454090206</v>
      </c>
      <c r="AJ5834">
        <v>93.2367321437046</v>
      </c>
      <c r="AK5834">
        <v>17.4292269354391</v>
      </c>
      <c r="AL5834">
        <v>78.8405180679365</v>
      </c>
      <c r="AM5834">
        <v>90.657928306560805</v>
      </c>
      <c r="AN5834">
        <v>1.0000000153400199</v>
      </c>
    </row>
    <row r="5835" spans="1:40" x14ac:dyDescent="0.25">
      <c r="A5835" t="str">
        <f>"20190303170649811"</f>
        <v>20190303170649811</v>
      </c>
      <c r="B5835" t="str">
        <f>"1551604009800306"</f>
        <v>1551604009800306</v>
      </c>
      <c r="C5835" t="s">
        <v>40</v>
      </c>
      <c r="D5835">
        <v>5.6540269999999904</v>
      </c>
      <c r="E5835">
        <v>0.51660649999999997</v>
      </c>
      <c r="F5835" t="s">
        <v>41</v>
      </c>
      <c r="G5835">
        <v>-188.70400000000001</v>
      </c>
      <c r="H5835" s="1">
        <v>-4.5029520000000001E-7</v>
      </c>
      <c r="I5835">
        <v>-10.04199</v>
      </c>
      <c r="J5835">
        <v>-187.02170000000001</v>
      </c>
      <c r="K5835">
        <v>1.120339</v>
      </c>
      <c r="L5835">
        <v>-34.279449999999997</v>
      </c>
      <c r="M5835">
        <v>-9.1229000000000005E-2</v>
      </c>
      <c r="N5835">
        <v>-1.400064E-2</v>
      </c>
      <c r="O5835">
        <v>0.99573149999999999</v>
      </c>
      <c r="P5835">
        <v>-9.7408369999999994E-2</v>
      </c>
      <c r="Q5835">
        <v>0.1824009</v>
      </c>
      <c r="R5835">
        <v>0.97838720000000001</v>
      </c>
      <c r="S5835">
        <v>-0.21377560000000001</v>
      </c>
      <c r="T5835">
        <v>-0.14029539999999999</v>
      </c>
      <c r="U5835">
        <v>3.0697939999999999</v>
      </c>
      <c r="V5835">
        <v>-7.3392479999999996E-3</v>
      </c>
      <c r="W5835">
        <v>0.1961639</v>
      </c>
      <c r="X5835">
        <v>0.98054370000000002</v>
      </c>
      <c r="Y5835">
        <v>2.1862260000000001E-2</v>
      </c>
      <c r="Z5835">
        <v>-3.13627E-2</v>
      </c>
      <c r="AA5835">
        <v>0.99926890000000002</v>
      </c>
      <c r="AB5835">
        <v>31</v>
      </c>
      <c r="AC5835">
        <v>-1.6822999999999899</v>
      </c>
      <c r="AD5835">
        <v>-1.1203394502952</v>
      </c>
      <c r="AE5835">
        <v>24.237459999999999</v>
      </c>
      <c r="AF5835">
        <v>0.53495517886770405</v>
      </c>
      <c r="AG5835">
        <v>-1.1203394502952</v>
      </c>
      <c r="AH5835">
        <v>24.238318561276198</v>
      </c>
      <c r="AI5835">
        <v>92.645788808925104</v>
      </c>
      <c r="AJ5835">
        <v>88.735650801325406</v>
      </c>
      <c r="AK5835">
        <v>24.270093205531602</v>
      </c>
      <c r="AL5835">
        <v>78.687277092936895</v>
      </c>
      <c r="AM5835">
        <v>90.428843796259898</v>
      </c>
      <c r="AN5835">
        <v>1.00000004391705</v>
      </c>
    </row>
    <row r="5836" spans="1:40" x14ac:dyDescent="0.25">
      <c r="A5836" t="str">
        <f>"20190303170649833"</f>
        <v>20190303170649833</v>
      </c>
      <c r="B5836" t="str">
        <f>"1551604009820801"</f>
        <v>1551604009820801</v>
      </c>
      <c r="C5836" t="s">
        <v>40</v>
      </c>
      <c r="D5836">
        <v>5.5675080000000001</v>
      </c>
      <c r="E5836">
        <v>0.51904280000000003</v>
      </c>
      <c r="F5836" t="s">
        <v>41</v>
      </c>
      <c r="G5836">
        <v>-188.66239999999999</v>
      </c>
      <c r="H5836" s="1">
        <v>-1.659876E-6</v>
      </c>
      <c r="I5836">
        <v>-7.0510899999999896</v>
      </c>
      <c r="J5836">
        <v>-187.04820000000001</v>
      </c>
      <c r="K5836">
        <v>1.119675</v>
      </c>
      <c r="L5836">
        <v>-33.963749999999997</v>
      </c>
      <c r="M5836">
        <v>-8.8304499999999994E-2</v>
      </c>
      <c r="N5836">
        <v>-1.397528E-2</v>
      </c>
      <c r="O5836">
        <v>0.99599550000000003</v>
      </c>
      <c r="P5836">
        <v>-9.2407840000000005E-2</v>
      </c>
      <c r="Q5836">
        <v>0.18228949999999999</v>
      </c>
      <c r="R5836">
        <v>0.97889289999999995</v>
      </c>
      <c r="S5836">
        <v>-0.18507390000000001</v>
      </c>
      <c r="T5836">
        <v>-0.12637660000000001</v>
      </c>
      <c r="U5836">
        <v>3.0714109999999999</v>
      </c>
      <c r="V5836">
        <v>-4.87953E-3</v>
      </c>
      <c r="W5836">
        <v>0.1960316</v>
      </c>
      <c r="X5836">
        <v>0.9805855</v>
      </c>
      <c r="Y5836">
        <v>2.825136E-2</v>
      </c>
      <c r="Z5836">
        <v>-2.6895180000000001E-2</v>
      </c>
      <c r="AA5836">
        <v>0.99923899999999999</v>
      </c>
      <c r="AB5836">
        <v>31</v>
      </c>
      <c r="AC5836">
        <v>-1.6141999999999801</v>
      </c>
      <c r="AD5836">
        <v>-1.119676659876</v>
      </c>
      <c r="AE5836">
        <v>26.912659999999999</v>
      </c>
      <c r="AF5836">
        <v>0.76752437674978802</v>
      </c>
      <c r="AG5836">
        <v>-1.119676659876</v>
      </c>
      <c r="AH5836">
        <v>26.903660277812499</v>
      </c>
      <c r="AI5836">
        <v>92.382192633708996</v>
      </c>
      <c r="AJ5836">
        <v>88.365873549352102</v>
      </c>
      <c r="AK5836">
        <v>26.937886068426401</v>
      </c>
      <c r="AL5836">
        <v>78.695007602324694</v>
      </c>
      <c r="AM5836">
        <v>90.285109424339893</v>
      </c>
      <c r="AN5836">
        <v>1.0000000604109101</v>
      </c>
    </row>
    <row r="5837" spans="1:40" x14ac:dyDescent="0.25">
      <c r="A5837" t="str">
        <f>"20190303170649856"</f>
        <v>20190303170649856</v>
      </c>
      <c r="B5837" t="str">
        <f>"1551604009851057"</f>
        <v>1551604009851057</v>
      </c>
      <c r="C5837" t="s">
        <v>40</v>
      </c>
      <c r="D5837">
        <v>5.5697340000000004</v>
      </c>
      <c r="E5837">
        <v>0.52091829999999995</v>
      </c>
      <c r="F5837" t="s">
        <v>41</v>
      </c>
      <c r="G5837">
        <v>-188.42169999999999</v>
      </c>
      <c r="H5837" s="1">
        <v>-2.2324879999999999E-6</v>
      </c>
      <c r="I5837">
        <v>-5.8158349999999999</v>
      </c>
      <c r="J5837">
        <v>-187.0729</v>
      </c>
      <c r="K5837">
        <v>1.1190530000000001</v>
      </c>
      <c r="L5837">
        <v>-33.650939999999999</v>
      </c>
      <c r="M5837">
        <v>-8.4760840000000004E-2</v>
      </c>
      <c r="N5837">
        <v>-1.395677E-2</v>
      </c>
      <c r="O5837">
        <v>0.99630359999999996</v>
      </c>
      <c r="P5837">
        <v>-8.7790499999999994E-2</v>
      </c>
      <c r="Q5837">
        <v>0.18077760000000001</v>
      </c>
      <c r="R5837">
        <v>0.97959799999999997</v>
      </c>
      <c r="S5837">
        <v>-0.1499634</v>
      </c>
      <c r="T5837">
        <v>-0.1222509</v>
      </c>
      <c r="U5837">
        <v>3.0733030000000001</v>
      </c>
      <c r="V5837">
        <v>-3.4310899999999999E-3</v>
      </c>
      <c r="W5837">
        <v>0.19450700000000001</v>
      </c>
      <c r="X5837">
        <v>0.98089510000000002</v>
      </c>
      <c r="Y5837">
        <v>3.6108719999999997E-2</v>
      </c>
      <c r="Z5837">
        <v>-2.557535E-2</v>
      </c>
      <c r="AA5837">
        <v>0.99902060000000004</v>
      </c>
      <c r="AB5837">
        <v>31</v>
      </c>
      <c r="AC5837">
        <v>-1.34879999999998</v>
      </c>
      <c r="AD5837">
        <v>-1.1190552324879901</v>
      </c>
      <c r="AE5837">
        <v>27.835104999999999</v>
      </c>
      <c r="AF5837">
        <v>1.0139764454017199</v>
      </c>
      <c r="AG5837">
        <v>-1.1190552324879901</v>
      </c>
      <c r="AH5837">
        <v>27.8044179809181</v>
      </c>
      <c r="AI5837">
        <v>92.303232210893498</v>
      </c>
      <c r="AJ5837">
        <v>87.911452896893707</v>
      </c>
      <c r="AK5837">
        <v>27.8453962461084</v>
      </c>
      <c r="AL5837">
        <v>78.784074323814096</v>
      </c>
      <c r="AM5837">
        <v>90.200415084508293</v>
      </c>
      <c r="AN5837">
        <v>0.99999997131579799</v>
      </c>
    </row>
    <row r="5838" spans="1:40" x14ac:dyDescent="0.25">
      <c r="A5838" t="str">
        <f>"20190303170649879"</f>
        <v>20190303170649879</v>
      </c>
      <c r="B5838" t="str">
        <f>"1551604009870577"</f>
        <v>1551604009870577</v>
      </c>
      <c r="C5838" t="s">
        <v>40</v>
      </c>
      <c r="D5838">
        <v>5.5793059999999999</v>
      </c>
      <c r="E5838">
        <v>0.52170539999999999</v>
      </c>
      <c r="F5838" t="s">
        <v>41</v>
      </c>
      <c r="G5838">
        <v>-188.1336</v>
      </c>
      <c r="H5838" s="1">
        <v>-2.0255299999999999E-6</v>
      </c>
      <c r="I5838">
        <v>-6.4173970000000002</v>
      </c>
      <c r="J5838">
        <v>-187.09620000000001</v>
      </c>
      <c r="K5838">
        <v>1.118484</v>
      </c>
      <c r="L5838">
        <v>-33.33325</v>
      </c>
      <c r="M5838">
        <v>-8.0636749999999993E-2</v>
      </c>
      <c r="N5838">
        <v>-1.3942629999999999E-2</v>
      </c>
      <c r="O5838">
        <v>0.99664600000000003</v>
      </c>
      <c r="P5838">
        <v>-8.1245789999999998E-2</v>
      </c>
      <c r="Q5838">
        <v>0.17913229999999999</v>
      </c>
      <c r="R5838">
        <v>0.98046460000000002</v>
      </c>
      <c r="S5838">
        <v>-0.1197662</v>
      </c>
      <c r="T5838">
        <v>-0.126358</v>
      </c>
      <c r="U5838">
        <v>3.0750730000000002</v>
      </c>
      <c r="V5838">
        <v>-6.5533789999999996E-4</v>
      </c>
      <c r="W5838">
        <v>0.19284019999999999</v>
      </c>
      <c r="X5838">
        <v>0.98123000000000005</v>
      </c>
      <c r="Y5838">
        <v>4.1790389999999997E-2</v>
      </c>
      <c r="Z5838">
        <v>-2.690965E-2</v>
      </c>
      <c r="AA5838">
        <v>0.99876399999999999</v>
      </c>
      <c r="AB5838">
        <v>31</v>
      </c>
      <c r="AC5838">
        <v>-1.0373999999999901</v>
      </c>
      <c r="AD5838">
        <v>-1.11848602553</v>
      </c>
      <c r="AE5838">
        <v>26.915852999999998</v>
      </c>
      <c r="AF5838">
        <v>1.1346404651811</v>
      </c>
      <c r="AG5838">
        <v>-1.11848602553</v>
      </c>
      <c r="AH5838">
        <v>26.865523758797501</v>
      </c>
      <c r="AI5838">
        <v>92.381884038630702</v>
      </c>
      <c r="AJ5838">
        <v>87.5816031502345</v>
      </c>
      <c r="AK5838">
        <v>26.912725369405599</v>
      </c>
      <c r="AL5838">
        <v>78.881418851010594</v>
      </c>
      <c r="AM5838">
        <v>90.038266349624493</v>
      </c>
      <c r="AN5838">
        <v>1.0000000425519</v>
      </c>
    </row>
    <row r="5839" spans="1:40" x14ac:dyDescent="0.25">
      <c r="A5839" t="str">
        <f>"20190303170649901"</f>
        <v>20190303170649901</v>
      </c>
      <c r="B5839" t="str">
        <f>"1551604009891074"</f>
        <v>1551604009891074</v>
      </c>
      <c r="C5839" t="s">
        <v>40</v>
      </c>
      <c r="D5839">
        <v>5.5931819999999997</v>
      </c>
      <c r="E5839">
        <v>0.52230069999999995</v>
      </c>
      <c r="F5839" t="s">
        <v>41</v>
      </c>
      <c r="G5839">
        <v>-187.89429999999999</v>
      </c>
      <c r="H5839" s="1">
        <v>-1.6884809999999999E-6</v>
      </c>
      <c r="I5839">
        <v>-7.3019979999999904</v>
      </c>
      <c r="J5839">
        <v>-187.11680000000001</v>
      </c>
      <c r="K5839">
        <v>1.118036</v>
      </c>
      <c r="L5839">
        <v>-33.02805</v>
      </c>
      <c r="M5839">
        <v>-7.6288800000000004E-2</v>
      </c>
      <c r="N5839">
        <v>-1.393032E-2</v>
      </c>
      <c r="O5839">
        <v>0.99698850000000006</v>
      </c>
      <c r="P5839">
        <v>-7.4440039999999999E-2</v>
      </c>
      <c r="Q5839">
        <v>0.1780166</v>
      </c>
      <c r="R5839">
        <v>0.98120779999999996</v>
      </c>
      <c r="S5839">
        <v>-9.4314579999999995E-2</v>
      </c>
      <c r="T5839">
        <v>-0.13217139999999999</v>
      </c>
      <c r="U5839">
        <v>3.076111</v>
      </c>
      <c r="V5839">
        <v>2.0955990000000001E-3</v>
      </c>
      <c r="W5839">
        <v>0.19169659999999999</v>
      </c>
      <c r="X5839">
        <v>0.98145199999999999</v>
      </c>
      <c r="Y5839">
        <v>4.569836E-2</v>
      </c>
      <c r="Z5839">
        <v>-2.8802109999999999E-2</v>
      </c>
      <c r="AA5839">
        <v>0.99853999999999998</v>
      </c>
      <c r="AB5839">
        <v>31</v>
      </c>
      <c r="AC5839">
        <v>-0.77749999999997499</v>
      </c>
      <c r="AD5839">
        <v>-1.1180376884809999</v>
      </c>
      <c r="AE5839">
        <v>25.726051999999999</v>
      </c>
      <c r="AF5839">
        <v>1.18532953922038</v>
      </c>
      <c r="AG5839">
        <v>-1.1180376884809999</v>
      </c>
      <c r="AH5839">
        <v>25.661961998258601</v>
      </c>
      <c r="AI5839">
        <v>92.492025287558803</v>
      </c>
      <c r="AJ5839">
        <v>87.355379819575901</v>
      </c>
      <c r="AK5839">
        <v>25.713640504399201</v>
      </c>
      <c r="AL5839">
        <v>78.948187619391305</v>
      </c>
      <c r="AM5839">
        <v>89.877662080484896</v>
      </c>
      <c r="AN5839">
        <v>1.00000000314536</v>
      </c>
    </row>
    <row r="5840" spans="1:40" x14ac:dyDescent="0.25">
      <c r="A5840" t="str">
        <f>"20190303170649922"</f>
        <v>20190303170649922</v>
      </c>
      <c r="B5840" t="str">
        <f>"1551604009910593"</f>
        <v>1551604009910593</v>
      </c>
      <c r="C5840" t="s">
        <v>40</v>
      </c>
      <c r="D5840">
        <v>5.6079509999999999</v>
      </c>
      <c r="E5840">
        <v>0.52247500000000002</v>
      </c>
      <c r="F5840" t="s">
        <v>41</v>
      </c>
      <c r="G5840">
        <v>-187.68350000000001</v>
      </c>
      <c r="H5840" s="1">
        <v>-1.331842E-6</v>
      </c>
      <c r="I5840">
        <v>-8.2494130000000006</v>
      </c>
      <c r="J5840">
        <v>-187.13470000000001</v>
      </c>
      <c r="K5840">
        <v>1.1177140000000001</v>
      </c>
      <c r="L5840">
        <v>-32.738039999999998</v>
      </c>
      <c r="M5840">
        <v>-7.1903359999999999E-2</v>
      </c>
      <c r="N5840">
        <v>-1.3917860000000001E-2</v>
      </c>
      <c r="O5840">
        <v>0.99731449999999999</v>
      </c>
      <c r="P5840">
        <v>-6.98154E-2</v>
      </c>
      <c r="Q5840">
        <v>0.17564440000000001</v>
      </c>
      <c r="R5840">
        <v>0.98197500000000004</v>
      </c>
      <c r="S5840">
        <v>-7.0388790000000007E-2</v>
      </c>
      <c r="T5840">
        <v>-0.1388509</v>
      </c>
      <c r="U5840">
        <v>3.0773009999999998</v>
      </c>
      <c r="V5840">
        <v>2.564457E-3</v>
      </c>
      <c r="W5840">
        <v>0.18931390000000001</v>
      </c>
      <c r="X5840">
        <v>0.98191329999999999</v>
      </c>
      <c r="Y5840">
        <v>4.9073940000000003E-2</v>
      </c>
      <c r="Z5840">
        <v>-3.0970589999999999E-2</v>
      </c>
      <c r="AA5840">
        <v>0.99831490000000001</v>
      </c>
      <c r="AB5840">
        <v>31</v>
      </c>
      <c r="AC5840">
        <v>-0.54879999999999995</v>
      </c>
      <c r="AD5840">
        <v>-1.1177153318419999</v>
      </c>
      <c r="AE5840">
        <v>24.488627000000001</v>
      </c>
      <c r="AF5840">
        <v>1.2110842266440101</v>
      </c>
      <c r="AG5840">
        <v>-1.1177153318419999</v>
      </c>
      <c r="AH5840">
        <v>24.4138590911232</v>
      </c>
      <c r="AI5840">
        <v>92.618070281673795</v>
      </c>
      <c r="AJ5840">
        <v>87.1600892672502</v>
      </c>
      <c r="AK5840">
        <v>24.4694202687411</v>
      </c>
      <c r="AL5840">
        <v>79.087253416283701</v>
      </c>
      <c r="AM5840">
        <v>89.850361300971102</v>
      </c>
      <c r="AN5840">
        <v>1.0000000289449</v>
      </c>
    </row>
    <row r="5841" spans="1:40" x14ac:dyDescent="0.25">
      <c r="A5841" t="str">
        <f>"20190303170649945"</f>
        <v>20190303170649945</v>
      </c>
      <c r="B5841" t="str">
        <f>"1551604009940850"</f>
        <v>1551604009940850</v>
      </c>
      <c r="C5841" t="s">
        <v>40</v>
      </c>
      <c r="D5841">
        <v>5.5906019999999996</v>
      </c>
      <c r="E5841">
        <v>0.52281350000000004</v>
      </c>
      <c r="F5841" t="s">
        <v>41</v>
      </c>
      <c r="G5841">
        <v>-187.5444</v>
      </c>
      <c r="H5841" s="1">
        <v>-9.1463439999999995E-7</v>
      </c>
      <c r="I5841">
        <v>-9.5841729999999998</v>
      </c>
      <c r="J5841">
        <v>-187.1524</v>
      </c>
      <c r="K5841">
        <v>1.117467</v>
      </c>
      <c r="L5841">
        <v>-32.424100000000003</v>
      </c>
      <c r="M5841">
        <v>-6.6978490000000002E-2</v>
      </c>
      <c r="N5841">
        <v>-1.390344E-2</v>
      </c>
      <c r="O5841">
        <v>0.99765749999999997</v>
      </c>
      <c r="P5841">
        <v>-6.592597E-2</v>
      </c>
      <c r="Q5841">
        <v>0.17356260000000001</v>
      </c>
      <c r="R5841">
        <v>0.98261370000000003</v>
      </c>
      <c r="S5841">
        <v>-5.4458619999999999E-2</v>
      </c>
      <c r="T5841">
        <v>-0.14857379999999901</v>
      </c>
      <c r="U5841">
        <v>3.0777589999999999</v>
      </c>
      <c r="V5841">
        <v>1.7149260000000001E-3</v>
      </c>
      <c r="W5841">
        <v>0.18723039999999999</v>
      </c>
      <c r="X5841">
        <v>0.98231449999999998</v>
      </c>
      <c r="Y5841">
        <v>4.9311720000000003E-2</v>
      </c>
      <c r="Z5841">
        <v>-3.4138109999999999E-2</v>
      </c>
      <c r="AA5841">
        <v>0.99819990000000003</v>
      </c>
      <c r="AB5841">
        <v>31</v>
      </c>
      <c r="AC5841">
        <v>-0.39199999999999502</v>
      </c>
      <c r="AD5841">
        <v>-1.11746791463439</v>
      </c>
      <c r="AE5841">
        <v>22.839926999999999</v>
      </c>
      <c r="AF5841">
        <v>1.1360934726791101</v>
      </c>
      <c r="AG5841">
        <v>-1.11746791463439</v>
      </c>
      <c r="AH5841">
        <v>22.760419334022199</v>
      </c>
      <c r="AI5841">
        <v>92.807303386240505</v>
      </c>
      <c r="AJ5841">
        <v>87.142434857510906</v>
      </c>
      <c r="AK5841">
        <v>22.816137516666501</v>
      </c>
      <c r="AL5841">
        <v>79.208802235160704</v>
      </c>
      <c r="AM5841">
        <v>89.899973051244601</v>
      </c>
      <c r="AN5841">
        <v>0.99999997028279697</v>
      </c>
    </row>
    <row r="5842" spans="1:40" x14ac:dyDescent="0.25">
      <c r="A5842" t="str">
        <f>"20190303170649967"</f>
        <v>20190303170649967</v>
      </c>
      <c r="B5842" t="str">
        <f>"1551604009960370"</f>
        <v>1551604009960370</v>
      </c>
      <c r="C5842" t="s">
        <v>40</v>
      </c>
      <c r="D5842">
        <v>5.5830159999999998</v>
      </c>
      <c r="E5842">
        <v>0.52304759999999995</v>
      </c>
      <c r="F5842" t="s">
        <v>41</v>
      </c>
      <c r="G5842">
        <v>-187.42259999999999</v>
      </c>
      <c r="H5842" s="1">
        <v>-4.7138179999999997E-6</v>
      </c>
      <c r="I5842">
        <v>-10.444900000000001</v>
      </c>
      <c r="J5842">
        <v>-187.16749999999999</v>
      </c>
      <c r="K5842">
        <v>1.117335</v>
      </c>
      <c r="L5842">
        <v>-32.129060000000003</v>
      </c>
      <c r="M5842">
        <v>-6.2271420000000001E-2</v>
      </c>
      <c r="N5842">
        <v>-1.3890039999999999E-2</v>
      </c>
      <c r="O5842">
        <v>0.99796260000000003</v>
      </c>
      <c r="P5842">
        <v>-6.2428989999999997E-2</v>
      </c>
      <c r="Q5842">
        <v>0.1734957</v>
      </c>
      <c r="R5842">
        <v>0.98285389999999995</v>
      </c>
      <c r="S5842">
        <v>-3.7841800000000002E-2</v>
      </c>
      <c r="T5842">
        <v>-0.1565019</v>
      </c>
      <c r="U5842">
        <v>3.0781860000000001</v>
      </c>
      <c r="V5842">
        <v>6.3280620000000004E-4</v>
      </c>
      <c r="W5842">
        <v>0.1871601</v>
      </c>
      <c r="X5842">
        <v>0.98232920000000001</v>
      </c>
      <c r="Y5842">
        <v>4.9989760000000001E-2</v>
      </c>
      <c r="Z5842">
        <v>-3.6723550000000001E-2</v>
      </c>
      <c r="AA5842">
        <v>0.99807440000000003</v>
      </c>
      <c r="AB5842">
        <v>31</v>
      </c>
      <c r="AC5842">
        <v>-0.255099999999998</v>
      </c>
      <c r="AD5842">
        <v>-1.1173397138179999</v>
      </c>
      <c r="AE5842">
        <v>21.684159999999899</v>
      </c>
      <c r="AF5842">
        <v>1.09292742447092</v>
      </c>
      <c r="AG5842">
        <v>-1.1173397138179999</v>
      </c>
      <c r="AH5842">
        <v>21.600610926478101</v>
      </c>
      <c r="AI5842">
        <v>92.957336341521</v>
      </c>
      <c r="AJ5842">
        <v>87.103472039200895</v>
      </c>
      <c r="AK5842">
        <v>21.657085002103099</v>
      </c>
      <c r="AL5842">
        <v>79.212902721686305</v>
      </c>
      <c r="AM5842">
        <v>89.963090662993196</v>
      </c>
      <c r="AN5842">
        <v>0.99999998032416804</v>
      </c>
    </row>
    <row r="5843" spans="1:40" x14ac:dyDescent="0.25">
      <c r="A5843" t="str">
        <f>"20190303170649990"</f>
        <v>20190303170649990</v>
      </c>
      <c r="B5843" t="str">
        <f>"1551604009980866"</f>
        <v>1551604009980866</v>
      </c>
      <c r="C5843" t="s">
        <v>40</v>
      </c>
      <c r="D5843">
        <v>5.5988030000000002</v>
      </c>
      <c r="E5843">
        <v>0.52317550000000002</v>
      </c>
      <c r="F5843" t="s">
        <v>41</v>
      </c>
      <c r="G5843">
        <v>-187.35419999999999</v>
      </c>
      <c r="H5843" s="1">
        <v>-7.1306359999999999E-7</v>
      </c>
      <c r="I5843">
        <v>-10.325200000000001</v>
      </c>
      <c r="J5843">
        <v>-187.1823</v>
      </c>
      <c r="K5843">
        <v>1.1172660000000001</v>
      </c>
      <c r="L5843">
        <v>-31.807860000000002</v>
      </c>
      <c r="M5843">
        <v>-5.7133030000000001E-2</v>
      </c>
      <c r="N5843">
        <v>-1.387652E-2</v>
      </c>
      <c r="O5843">
        <v>0.9982702</v>
      </c>
      <c r="P5843">
        <v>-5.8167089999999998E-2</v>
      </c>
      <c r="Q5843">
        <v>0.1736241</v>
      </c>
      <c r="R5843">
        <v>0.98309270000000004</v>
      </c>
      <c r="S5843">
        <v>-2.6367189999999999E-2</v>
      </c>
      <c r="T5843">
        <v>-0.15775839999999999</v>
      </c>
      <c r="U5843">
        <v>3.078522</v>
      </c>
      <c r="V5843">
        <v>-1.3285360000000001E-4</v>
      </c>
      <c r="W5843">
        <v>0.1872829</v>
      </c>
      <c r="X5843">
        <v>0.98230600000000001</v>
      </c>
      <c r="Y5843">
        <v>4.856978E-2</v>
      </c>
      <c r="Z5843">
        <v>-3.7161340000000001E-2</v>
      </c>
      <c r="AA5843">
        <v>0.99812820000000002</v>
      </c>
      <c r="AB5843">
        <v>31</v>
      </c>
      <c r="AC5843">
        <v>-0.171899999999993</v>
      </c>
      <c r="AD5843">
        <v>-1.1172667130636</v>
      </c>
      <c r="AE5843">
        <v>21.482659999999999</v>
      </c>
      <c r="AF5843">
        <v>1.05302036014012</v>
      </c>
      <c r="AG5843">
        <v>-1.1172667130636</v>
      </c>
      <c r="AH5843">
        <v>21.399507019556399</v>
      </c>
      <c r="AI5843">
        <v>92.985089555223198</v>
      </c>
      <c r="AJ5843">
        <v>87.182879225583093</v>
      </c>
      <c r="AK5843">
        <v>21.4545108885529</v>
      </c>
      <c r="AL5843">
        <v>79.205740254478698</v>
      </c>
      <c r="AM5843">
        <v>90.007749062437398</v>
      </c>
      <c r="AN5843">
        <v>0.999999989959244</v>
      </c>
    </row>
    <row r="5844" spans="1:40" x14ac:dyDescent="0.25">
      <c r="A5844" t="str">
        <f>"20190303170650013"</f>
        <v>20190303170650013</v>
      </c>
      <c r="B5844" t="str">
        <f>"1551604010000894"</f>
        <v>1551604010000894</v>
      </c>
      <c r="C5844" t="s">
        <v>40</v>
      </c>
      <c r="D5844">
        <v>5.5955969999999997</v>
      </c>
      <c r="E5844">
        <v>0.5232137</v>
      </c>
      <c r="F5844" t="s">
        <v>41</v>
      </c>
      <c r="G5844">
        <v>-187.2764</v>
      </c>
      <c r="H5844" s="1">
        <v>-8.3110299999999995E-7</v>
      </c>
      <c r="I5844">
        <v>-10.03917</v>
      </c>
      <c r="J5844">
        <v>-187.1953</v>
      </c>
      <c r="K5844">
        <v>1.117251</v>
      </c>
      <c r="L5844">
        <v>-31.487549999999999</v>
      </c>
      <c r="M5844">
        <v>-5.2056480000000002E-2</v>
      </c>
      <c r="N5844">
        <v>-1.38645E-2</v>
      </c>
      <c r="O5844">
        <v>0.99854790000000004</v>
      </c>
      <c r="P5844">
        <v>-5.5480130000000002E-2</v>
      </c>
      <c r="Q5844">
        <v>0.17419299999999999</v>
      </c>
      <c r="R5844">
        <v>0.9831474</v>
      </c>
      <c r="S5844">
        <v>-1.332092E-2</v>
      </c>
      <c r="T5844">
        <v>-0.15801289999999901</v>
      </c>
      <c r="U5844">
        <v>3.0787049999999998</v>
      </c>
      <c r="V5844">
        <v>-2.4361700000000001E-3</v>
      </c>
      <c r="W5844">
        <v>0.18786040000000001</v>
      </c>
      <c r="X5844">
        <v>0.98219279999999998</v>
      </c>
      <c r="Y5844">
        <v>4.7721510000000002E-2</v>
      </c>
      <c r="Z5844">
        <v>-3.7273710000000002E-2</v>
      </c>
      <c r="AA5844">
        <v>0.99816499999999997</v>
      </c>
      <c r="AB5844">
        <v>31</v>
      </c>
      <c r="AC5844">
        <v>-8.1099999999992095E-2</v>
      </c>
      <c r="AD5844">
        <v>-1.117251831103</v>
      </c>
      <c r="AE5844">
        <v>21.44838</v>
      </c>
      <c r="AF5844">
        <v>1.0328419982883601</v>
      </c>
      <c r="AG5844">
        <v>-1.117251831103</v>
      </c>
      <c r="AH5844">
        <v>21.365543291813601</v>
      </c>
      <c r="AI5844">
        <v>92.989912236914506</v>
      </c>
      <c r="AJ5844">
        <v>87.232391713156503</v>
      </c>
      <c r="AK5844">
        <v>21.419651126988398</v>
      </c>
      <c r="AL5844">
        <v>79.172055034980403</v>
      </c>
      <c r="AM5844">
        <v>90.142112600435695</v>
      </c>
      <c r="AN5844">
        <v>1.0000000805921301</v>
      </c>
    </row>
    <row r="5845" spans="1:40" x14ac:dyDescent="0.25">
      <c r="A5845" t="str">
        <f>"20190303170650034"</f>
        <v>20190303170650034</v>
      </c>
      <c r="B5845" t="str">
        <f>"1551604010020413"</f>
        <v>1551604010020413</v>
      </c>
      <c r="C5845" t="s">
        <v>40</v>
      </c>
      <c r="D5845">
        <v>5.6210959999999996</v>
      </c>
      <c r="E5845">
        <v>0.5231768</v>
      </c>
      <c r="F5845" t="s">
        <v>41</v>
      </c>
      <c r="G5845">
        <v>-187.22630000000001</v>
      </c>
      <c r="H5845" s="1">
        <v>-1.054829E-6</v>
      </c>
      <c r="I5845">
        <v>-9.4209679999999896</v>
      </c>
      <c r="J5845">
        <v>-187.20580000000001</v>
      </c>
      <c r="K5845">
        <v>1.1172679999999999</v>
      </c>
      <c r="L5845">
        <v>-31.197050000000001</v>
      </c>
      <c r="M5845">
        <v>-4.7537000000000003E-2</v>
      </c>
      <c r="N5845">
        <v>-1.385423E-2</v>
      </c>
      <c r="O5845">
        <v>0.99877340000000003</v>
      </c>
      <c r="P5845">
        <v>-5.3083770000000002E-2</v>
      </c>
      <c r="Q5845">
        <v>0.17501140000000001</v>
      </c>
      <c r="R5845">
        <v>0.98313430000000002</v>
      </c>
      <c r="S5845">
        <v>-4.3182369999999999E-3</v>
      </c>
      <c r="T5845">
        <v>-0.15588239999999901</v>
      </c>
      <c r="U5845">
        <v>3.0787960000000001</v>
      </c>
      <c r="V5845">
        <v>-4.4952239999999999E-3</v>
      </c>
      <c r="W5845">
        <v>0.18868599999999999</v>
      </c>
      <c r="X5845">
        <v>0.98202719999999999</v>
      </c>
      <c r="Y5845">
        <v>4.6120840000000003E-2</v>
      </c>
      <c r="Z5845">
        <v>-3.6612619999999998E-2</v>
      </c>
      <c r="AA5845">
        <v>0.9982647</v>
      </c>
      <c r="AB5845">
        <v>31</v>
      </c>
      <c r="AC5845">
        <v>-2.0499999999998401E-2</v>
      </c>
      <c r="AD5845">
        <v>-1.1172690548290001</v>
      </c>
      <c r="AE5845">
        <v>21.776081999999999</v>
      </c>
      <c r="AF5845">
        <v>1.01212779562871</v>
      </c>
      <c r="AG5845">
        <v>-1.1172690548290001</v>
      </c>
      <c r="AH5845">
        <v>21.695322264483199</v>
      </c>
      <c r="AI5845">
        <v>92.944825458063093</v>
      </c>
      <c r="AJ5845">
        <v>87.328980187517899</v>
      </c>
      <c r="AK5845">
        <v>21.7476366756331</v>
      </c>
      <c r="AL5845">
        <v>79.123889603514101</v>
      </c>
      <c r="AM5845">
        <v>90.262269277554594</v>
      </c>
      <c r="AN5845">
        <v>1.00000001758732</v>
      </c>
    </row>
    <row r="5846" spans="1:40" x14ac:dyDescent="0.25">
      <c r="A5846" t="str">
        <f>"20190303170650057"</f>
        <v>20190303170650057</v>
      </c>
      <c r="B5846" t="str">
        <f>"1551604010050669"</f>
        <v>1551604010050669</v>
      </c>
      <c r="C5846" t="s">
        <v>40</v>
      </c>
      <c r="D5846">
        <v>5.586741</v>
      </c>
      <c r="E5846">
        <v>0.52308940000000004</v>
      </c>
      <c r="F5846" t="s">
        <v>41</v>
      </c>
      <c r="G5846">
        <v>-187.18530000000001</v>
      </c>
      <c r="H5846" s="1">
        <v>-1.2942869999999999E-6</v>
      </c>
      <c r="I5846">
        <v>-8.749371</v>
      </c>
      <c r="J5846">
        <v>-187.2159</v>
      </c>
      <c r="K5846">
        <v>1.117318</v>
      </c>
      <c r="L5846">
        <v>-30.879819999999999</v>
      </c>
      <c r="M5846">
        <v>-4.272389E-2</v>
      </c>
      <c r="N5846">
        <v>-1.3843029999999999E-2</v>
      </c>
      <c r="O5846">
        <v>0.99899099999999996</v>
      </c>
      <c r="P5846">
        <v>-4.8065650000000001E-2</v>
      </c>
      <c r="Q5846">
        <v>0.1767579</v>
      </c>
      <c r="R5846">
        <v>0.98307999999999995</v>
      </c>
      <c r="S5846">
        <v>2.8228760000000002E-3</v>
      </c>
      <c r="T5846">
        <v>-0.15324289999999999</v>
      </c>
      <c r="U5846">
        <v>3.0788880000000001</v>
      </c>
      <c r="V5846">
        <v>-4.231088E-3</v>
      </c>
      <c r="W5846">
        <v>0.19041359999999999</v>
      </c>
      <c r="X5846">
        <v>0.98169479999999998</v>
      </c>
      <c r="Y5846">
        <v>4.3624160000000002E-2</v>
      </c>
      <c r="Z5846">
        <v>-3.5787949999999999E-2</v>
      </c>
      <c r="AA5846">
        <v>0.99840680000000004</v>
      </c>
      <c r="AB5846">
        <v>31</v>
      </c>
      <c r="AC5846">
        <v>3.0599999999992598E-2</v>
      </c>
      <c r="AD5846">
        <v>-1.1173192942870001</v>
      </c>
      <c r="AE5846">
        <v>22.130448999999999</v>
      </c>
      <c r="AF5846">
        <v>0.973679609830849</v>
      </c>
      <c r="AG5846">
        <v>-1.1173192942870001</v>
      </c>
      <c r="AH5846">
        <v>22.0527178999548</v>
      </c>
      <c r="AI5846">
        <v>92.897639987601707</v>
      </c>
      <c r="AJ5846">
        <v>87.471897868148503</v>
      </c>
      <c r="AK5846">
        <v>22.102461880138499</v>
      </c>
      <c r="AL5846">
        <v>79.023077164550998</v>
      </c>
      <c r="AM5846">
        <v>90.246942312501403</v>
      </c>
      <c r="AN5846">
        <v>0.99999996075883102</v>
      </c>
    </row>
    <row r="5847" spans="1:40" x14ac:dyDescent="0.25">
      <c r="A5847" t="str">
        <f>"20190303170650080"</f>
        <v>20190303170650080</v>
      </c>
      <c r="B5847" t="str">
        <f>"1551604010070191"</f>
        <v>1551604010070191</v>
      </c>
      <c r="C5847" t="s">
        <v>40</v>
      </c>
      <c r="D5847">
        <v>5.827191</v>
      </c>
      <c r="E5847">
        <v>0.52318439999999999</v>
      </c>
      <c r="F5847" t="s">
        <v>41</v>
      </c>
      <c r="G5847">
        <v>-187.1019</v>
      </c>
      <c r="H5847" s="1">
        <v>-1.678326E-6</v>
      </c>
      <c r="I5847">
        <v>-7.6860479999999898</v>
      </c>
      <c r="J5847">
        <v>-187.22470000000001</v>
      </c>
      <c r="K5847">
        <v>1.117391</v>
      </c>
      <c r="L5847">
        <v>-30.5563</v>
      </c>
      <c r="M5847">
        <v>-3.796633E-2</v>
      </c>
      <c r="N5847">
        <v>-1.3831639999999999E-2</v>
      </c>
      <c r="O5847">
        <v>0.9991833</v>
      </c>
      <c r="P5847">
        <v>-4.1951950000000002E-2</v>
      </c>
      <c r="Q5847">
        <v>0.1770929</v>
      </c>
      <c r="R5847">
        <v>0.98329960000000005</v>
      </c>
      <c r="S5847">
        <v>1.5136719999999999E-2</v>
      </c>
      <c r="T5847">
        <v>-0.1483274</v>
      </c>
      <c r="U5847">
        <v>3.0790410000000001</v>
      </c>
      <c r="V5847">
        <v>-2.8326699999999998E-3</v>
      </c>
      <c r="W5847">
        <v>0.19072349999999999</v>
      </c>
      <c r="X5847">
        <v>0.9816397</v>
      </c>
      <c r="Y5847">
        <v>4.2860679999999998E-2</v>
      </c>
      <c r="Z5847">
        <v>-3.4221499999999898E-2</v>
      </c>
      <c r="AA5847">
        <v>0.99849480000000002</v>
      </c>
      <c r="AB5847">
        <v>31</v>
      </c>
      <c r="AC5847">
        <v>0.122800000000012</v>
      </c>
      <c r="AD5847">
        <v>-1.117392678326</v>
      </c>
      <c r="AE5847">
        <v>22.870252000000001</v>
      </c>
      <c r="AF5847">
        <v>0.98873390802966798</v>
      </c>
      <c r="AG5847">
        <v>-1.117392678326</v>
      </c>
      <c r="AH5847">
        <v>22.794685599020202</v>
      </c>
      <c r="AI5847">
        <v>92.803753518595698</v>
      </c>
      <c r="AJ5847">
        <v>87.516316175532594</v>
      </c>
      <c r="AK5847">
        <v>22.843464113322302</v>
      </c>
      <c r="AL5847">
        <v>79.0049900442297</v>
      </c>
      <c r="AM5847">
        <v>90.165335188935003</v>
      </c>
      <c r="AN5847">
        <v>0.99999998904383403</v>
      </c>
    </row>
    <row r="5848" spans="1:40" x14ac:dyDescent="0.25">
      <c r="A5848" t="str">
        <f>"20190303170650102"</f>
        <v>20190303170650102</v>
      </c>
      <c r="B5848" t="str">
        <f>"1551604010090217"</f>
        <v>1551604010090217</v>
      </c>
      <c r="C5848" t="s">
        <v>40</v>
      </c>
      <c r="D5848">
        <v>5.6456169999999997</v>
      </c>
      <c r="E5848">
        <v>0.52313739999999997</v>
      </c>
      <c r="F5848" t="s">
        <v>41</v>
      </c>
      <c r="G5848">
        <v>-186.97819999999999</v>
      </c>
      <c r="H5848" s="1">
        <v>-1.87476E-6</v>
      </c>
      <c r="I5848">
        <v>-7.2465799999999998</v>
      </c>
      <c r="J5848">
        <v>-187.23150000000001</v>
      </c>
      <c r="K5848">
        <v>1.1174900000000001</v>
      </c>
      <c r="L5848">
        <v>-30.261050000000001</v>
      </c>
      <c r="M5848">
        <v>-3.3776349999999997E-2</v>
      </c>
      <c r="N5848">
        <v>-1.382132E-2</v>
      </c>
      <c r="O5848">
        <v>0.9993339</v>
      </c>
      <c r="P5848">
        <v>-3.8132319999999997E-2</v>
      </c>
      <c r="Q5848">
        <v>0.1762145</v>
      </c>
      <c r="R5848">
        <v>0.98361290000000001</v>
      </c>
      <c r="S5848">
        <v>3.2562260000000003E-2</v>
      </c>
      <c r="T5848">
        <v>-0.14759340000000001</v>
      </c>
      <c r="U5848">
        <v>3.0789179999999998</v>
      </c>
      <c r="V5848">
        <v>-3.18382E-3</v>
      </c>
      <c r="W5848">
        <v>0.1898388</v>
      </c>
      <c r="X5848">
        <v>0.98181010000000002</v>
      </c>
      <c r="Y5848">
        <v>4.4321880000000001E-2</v>
      </c>
      <c r="Z5848">
        <v>-3.4003440000000003E-2</v>
      </c>
      <c r="AA5848">
        <v>0.99843850000000001</v>
      </c>
      <c r="AB5848">
        <v>31</v>
      </c>
      <c r="AC5848">
        <v>0.25330000000002401</v>
      </c>
      <c r="AD5848">
        <v>-1.11749187475999</v>
      </c>
      <c r="AE5848">
        <v>23.014469999999999</v>
      </c>
      <c r="AF5848">
        <v>1.0281506836594301</v>
      </c>
      <c r="AG5848">
        <v>-1.11749187475999</v>
      </c>
      <c r="AH5848">
        <v>22.938703631234201</v>
      </c>
      <c r="AI5848">
        <v>92.786248195995498</v>
      </c>
      <c r="AJ5848">
        <v>87.433625958409905</v>
      </c>
      <c r="AK5848">
        <v>22.988910504851301</v>
      </c>
      <c r="AL5848">
        <v>79.056622981065004</v>
      </c>
      <c r="AM5848">
        <v>90.185798464799802</v>
      </c>
      <c r="AN5848">
        <v>0.99999998957862102</v>
      </c>
    </row>
    <row r="5849" spans="1:40" x14ac:dyDescent="0.25">
      <c r="A5849" t="str">
        <f>"20190303170650125"</f>
        <v>20190303170650125</v>
      </c>
      <c r="B5849" t="str">
        <f>"1551604010110712"</f>
        <v>1551604010110712</v>
      </c>
      <c r="C5849" t="s">
        <v>40</v>
      </c>
      <c r="D5849">
        <v>5.5143129999999996</v>
      </c>
      <c r="E5849">
        <v>0.52304669999999998</v>
      </c>
      <c r="F5849" t="s">
        <v>41</v>
      </c>
      <c r="G5849">
        <v>-186.904</v>
      </c>
      <c r="H5849" s="1">
        <v>-1.7928490000000001E-6</v>
      </c>
      <c r="I5849">
        <v>-7.5042330000000002</v>
      </c>
      <c r="J5849">
        <v>-187.2372</v>
      </c>
      <c r="K5849">
        <v>1.1176140000000001</v>
      </c>
      <c r="L5849">
        <v>-29.963290000000001</v>
      </c>
      <c r="M5849">
        <v>-2.9708769999999999E-2</v>
      </c>
      <c r="N5849">
        <v>-1.3810930000000001E-2</v>
      </c>
      <c r="O5849">
        <v>0.9994632</v>
      </c>
      <c r="P5849">
        <v>-3.5257610000000002E-2</v>
      </c>
      <c r="Q5849">
        <v>0.17636969999999999</v>
      </c>
      <c r="R5849">
        <v>0.98369229999999996</v>
      </c>
      <c r="S5849">
        <v>4.431152E-2</v>
      </c>
      <c r="T5849">
        <v>-0.15118679999999901</v>
      </c>
      <c r="U5849">
        <v>3.0787960000000001</v>
      </c>
      <c r="V5849">
        <v>-4.3653310000000001E-3</v>
      </c>
      <c r="W5849">
        <v>0.1899923</v>
      </c>
      <c r="X5849">
        <v>0.98177590000000003</v>
      </c>
      <c r="Y5849">
        <v>4.406508E-2</v>
      </c>
      <c r="Z5849">
        <v>-3.5185960000000002E-2</v>
      </c>
      <c r="AA5849">
        <v>0.99840890000000004</v>
      </c>
      <c r="AB5849">
        <v>31</v>
      </c>
      <c r="AC5849">
        <v>0.33319999999997602</v>
      </c>
      <c r="AD5849">
        <v>-1.11761579284899</v>
      </c>
      <c r="AE5849">
        <v>22.459057000000001</v>
      </c>
      <c r="AF5849">
        <v>0.99787699314271605</v>
      </c>
      <c r="AG5849">
        <v>-1.11761579284899</v>
      </c>
      <c r="AH5849">
        <v>22.383824997906402</v>
      </c>
      <c r="AI5849">
        <v>92.855551125605004</v>
      </c>
      <c r="AJ5849">
        <v>87.447428698490697</v>
      </c>
      <c r="AK5849">
        <v>22.433912835053199</v>
      </c>
      <c r="AL5849">
        <v>79.047665429903503</v>
      </c>
      <c r="AM5849">
        <v>90.254756094774606</v>
      </c>
      <c r="AN5849">
        <v>1.0000000239974101</v>
      </c>
    </row>
    <row r="5850" spans="1:40" x14ac:dyDescent="0.25">
      <c r="A5850" t="str">
        <f>"20190303170650143"</f>
        <v>20190303170650143</v>
      </c>
      <c r="B5850" t="str">
        <f>"1551604010140968"</f>
        <v>1551604010140968</v>
      </c>
      <c r="C5850" t="s">
        <v>40</v>
      </c>
      <c r="D5850">
        <v>5.6192900000000003</v>
      </c>
      <c r="E5850">
        <v>0.53266959999999997</v>
      </c>
      <c r="F5850" t="s">
        <v>41</v>
      </c>
      <c r="G5850">
        <v>-186.83709999999999</v>
      </c>
      <c r="H5850" s="1">
        <v>-1.9710560000000001E-6</v>
      </c>
      <c r="I5850">
        <v>-7.0804390000000001</v>
      </c>
      <c r="J5850">
        <v>-187.24160000000001</v>
      </c>
      <c r="K5850">
        <v>1.117742</v>
      </c>
      <c r="L5850">
        <v>-29.684999999999999</v>
      </c>
      <c r="M5850">
        <v>-2.605878E-2</v>
      </c>
      <c r="N5850">
        <v>-1.3801290000000001E-2</v>
      </c>
      <c r="O5850">
        <v>0.99956509999999998</v>
      </c>
      <c r="P5850">
        <v>-3.070875E-2</v>
      </c>
      <c r="Q5850">
        <v>0.17871219999999999</v>
      </c>
      <c r="R5850">
        <v>0.98342200000000002</v>
      </c>
      <c r="S5850">
        <v>5.3833010000000001E-2</v>
      </c>
      <c r="T5850">
        <v>-0.15036189999999999</v>
      </c>
      <c r="U5850">
        <v>3.0786129999999998</v>
      </c>
      <c r="V5850">
        <v>-3.4550649999999998E-3</v>
      </c>
      <c r="W5850">
        <v>0.19231010000000001</v>
      </c>
      <c r="X5850">
        <v>0.98132810000000004</v>
      </c>
      <c r="Y5850">
        <v>4.3505299999999997E-2</v>
      </c>
      <c r="Z5850">
        <v>-3.4938339999999998E-2</v>
      </c>
      <c r="AA5850">
        <v>0.9984421</v>
      </c>
      <c r="AB5850">
        <v>31</v>
      </c>
      <c r="AC5850">
        <v>0.40450000000001202</v>
      </c>
      <c r="AD5850">
        <v>-1.117743971056</v>
      </c>
      <c r="AE5850">
        <v>22.604561</v>
      </c>
      <c r="AF5850">
        <v>0.99104362030993398</v>
      </c>
      <c r="AG5850">
        <v>-1.117743971056</v>
      </c>
      <c r="AH5850">
        <v>22.531268477554899</v>
      </c>
      <c r="AI5850">
        <v>92.837294489151503</v>
      </c>
      <c r="AJ5850">
        <v>87.481453824883801</v>
      </c>
      <c r="AK5850">
        <v>22.5807346702858</v>
      </c>
      <c r="AL5850">
        <v>78.912369944403594</v>
      </c>
      <c r="AM5850">
        <v>90.201726440393898</v>
      </c>
      <c r="AN5850">
        <v>0.99999997594288603</v>
      </c>
    </row>
    <row r="5851" spans="1:40" x14ac:dyDescent="0.25">
      <c r="A5851" t="str">
        <f>"20190303170650168"</f>
        <v>20190303170650168</v>
      </c>
      <c r="B5851" t="str">
        <f>"1551604010160488"</f>
        <v>1551604010160488</v>
      </c>
      <c r="C5851" t="s">
        <v>40</v>
      </c>
      <c r="D5851">
        <v>5.5580270000000001</v>
      </c>
      <c r="E5851">
        <v>0.54241499999999998</v>
      </c>
      <c r="F5851" t="s">
        <v>42</v>
      </c>
      <c r="G5851">
        <v>-187.19900000000001</v>
      </c>
      <c r="H5851">
        <v>1.0142409999999999</v>
      </c>
      <c r="I5851">
        <v>-28.7073</v>
      </c>
      <c r="J5851">
        <v>-187.24549999999999</v>
      </c>
      <c r="K5851">
        <v>1.1178870000000001</v>
      </c>
      <c r="L5851">
        <v>-29.358830000000001</v>
      </c>
      <c r="M5851">
        <v>-2.1942150000000001E-2</v>
      </c>
      <c r="N5851">
        <v>-1.379038E-2</v>
      </c>
      <c r="O5851">
        <v>0.99966410000000006</v>
      </c>
      <c r="P5851">
        <v>-2.5152750000000001E-2</v>
      </c>
      <c r="Q5851">
        <v>0.18182200000000001</v>
      </c>
      <c r="R5851">
        <v>0.98300969999999999</v>
      </c>
      <c r="S5851">
        <v>0.1356812</v>
      </c>
      <c r="T5851">
        <v>-0.32973239999999998</v>
      </c>
      <c r="U5851">
        <v>3.114716</v>
      </c>
      <c r="V5851">
        <v>-1.997614E-3</v>
      </c>
      <c r="W5851">
        <v>0.1953877</v>
      </c>
      <c r="X5851">
        <v>0.98072400000000004</v>
      </c>
      <c r="Y5851">
        <v>6.5197140000000001E-2</v>
      </c>
      <c r="Z5851">
        <v>-9.134486E-2</v>
      </c>
      <c r="AA5851">
        <v>0.99368270000000003</v>
      </c>
      <c r="AB5851">
        <v>31</v>
      </c>
      <c r="AC5851">
        <v>4.6499999999980397E-2</v>
      </c>
      <c r="AD5851">
        <v>-0.103646</v>
      </c>
      <c r="AE5851">
        <v>0.65152999999999694</v>
      </c>
      <c r="AF5851">
        <v>5.92932178510511E-2</v>
      </c>
      <c r="AG5851">
        <v>-0.103646</v>
      </c>
      <c r="AH5851">
        <v>0.63437997208757901</v>
      </c>
      <c r="AI5851">
        <v>99.239519158689205</v>
      </c>
      <c r="AJ5851">
        <v>84.660282390489698</v>
      </c>
      <c r="AK5851">
        <v>0.64552004460354995</v>
      </c>
      <c r="AL5851">
        <v>78.732626643043105</v>
      </c>
      <c r="AM5851">
        <v>90.116704284804499</v>
      </c>
      <c r="AN5851">
        <v>0.99999995397449004</v>
      </c>
    </row>
    <row r="5852" spans="1:40" x14ac:dyDescent="0.25">
      <c r="A5852" t="str">
        <f>"20190303170650202"</f>
        <v>20190303170650202</v>
      </c>
      <c r="B5852" t="str">
        <f>"1551604010190745"</f>
        <v>1551604010190745</v>
      </c>
      <c r="C5852" t="s">
        <v>40</v>
      </c>
      <c r="D5852">
        <v>5.5346310000000001</v>
      </c>
      <c r="E5852">
        <v>0.54716929999999997</v>
      </c>
      <c r="F5852" t="s">
        <v>42</v>
      </c>
      <c r="G5852">
        <v>-187.18119999999999</v>
      </c>
      <c r="H5852">
        <v>0.98969890000000005</v>
      </c>
      <c r="I5852">
        <v>-28.445550000000001</v>
      </c>
      <c r="J5852">
        <v>-187.24930000000001</v>
      </c>
      <c r="K5852">
        <v>1.118079</v>
      </c>
      <c r="L5852">
        <v>-28.886230000000001</v>
      </c>
      <c r="M5852">
        <v>-1.62776E-2</v>
      </c>
      <c r="N5852">
        <v>-1.377571E-2</v>
      </c>
      <c r="O5852">
        <v>0.99977260000000001</v>
      </c>
      <c r="P5852">
        <v>-2.0357549999999999E-2</v>
      </c>
      <c r="Q5852">
        <v>0.18112780000000001</v>
      </c>
      <c r="R5852">
        <v>0.98324880000000003</v>
      </c>
      <c r="S5852">
        <v>0.22038269999999999</v>
      </c>
      <c r="T5852">
        <v>-0.44043789999999999</v>
      </c>
      <c r="U5852">
        <v>3.1389469999999999</v>
      </c>
      <c r="V5852">
        <v>-2.8659710000000001E-3</v>
      </c>
      <c r="W5852">
        <v>0.1946861</v>
      </c>
      <c r="X5852">
        <v>0.98086139999999999</v>
      </c>
      <c r="Y5852">
        <v>8.5627560000000005E-2</v>
      </c>
      <c r="Z5852">
        <v>-0.1248394</v>
      </c>
      <c r="AA5852">
        <v>0.98847510000000005</v>
      </c>
      <c r="AB5852">
        <v>30</v>
      </c>
      <c r="AC5852">
        <v>6.8100000000015301E-2</v>
      </c>
      <c r="AD5852">
        <v>-0.1283801</v>
      </c>
      <c r="AE5852">
        <v>0.44067999999999602</v>
      </c>
      <c r="AF5852">
        <v>6.9503741005857295E-2</v>
      </c>
      <c r="AG5852">
        <v>-0.1283801</v>
      </c>
      <c r="AH5852">
        <v>0.40587059490395999</v>
      </c>
      <c r="AI5852">
        <v>107.315892964512</v>
      </c>
      <c r="AJ5852">
        <v>80.2825802494458</v>
      </c>
      <c r="AK5852">
        <v>0.43132720746263398</v>
      </c>
      <c r="AL5852">
        <v>78.773612854880497</v>
      </c>
      <c r="AM5852">
        <v>90.167411598828494</v>
      </c>
      <c r="AN5852">
        <v>0.999999988666471</v>
      </c>
    </row>
    <row r="5853" spans="1:40" x14ac:dyDescent="0.25">
      <c r="A5853" t="str">
        <f>"20190303170650223"</f>
        <v>20190303170650223</v>
      </c>
      <c r="B5853" t="str">
        <f>"1551604010221000"</f>
        <v>1551604010221000</v>
      </c>
      <c r="C5853" t="s">
        <v>40</v>
      </c>
      <c r="D5853">
        <v>5.5370990000000004</v>
      </c>
      <c r="E5853">
        <v>0.55003709999999995</v>
      </c>
      <c r="F5853" t="s">
        <v>42</v>
      </c>
      <c r="G5853">
        <v>-187.18860000000001</v>
      </c>
      <c r="H5853">
        <v>0.99157980000000001</v>
      </c>
      <c r="I5853">
        <v>-28.171520000000001</v>
      </c>
      <c r="J5853">
        <v>-187.25049999999999</v>
      </c>
      <c r="K5853">
        <v>1.1182049999999999</v>
      </c>
      <c r="L5853">
        <v>-28.60239</v>
      </c>
      <c r="M5853">
        <v>-1.308433E-2</v>
      </c>
      <c r="N5853">
        <v>-1.376633E-2</v>
      </c>
      <c r="O5853">
        <v>0.99981960000000003</v>
      </c>
      <c r="P5853">
        <v>-1.8487900000000002E-2</v>
      </c>
      <c r="Q5853">
        <v>0.18028259999999999</v>
      </c>
      <c r="R5853">
        <v>0.98344109999999996</v>
      </c>
      <c r="S5853">
        <v>0.26840209999999998</v>
      </c>
      <c r="T5853">
        <v>-0.5592549</v>
      </c>
      <c r="U5853">
        <v>3.1596980000000001</v>
      </c>
      <c r="V5853">
        <v>-4.2015309999999997E-3</v>
      </c>
      <c r="W5853">
        <v>0.1938423</v>
      </c>
      <c r="X5853">
        <v>0.98102370000000005</v>
      </c>
      <c r="Y5853">
        <v>9.645476E-2</v>
      </c>
      <c r="Z5853">
        <v>-0.15997510000000001</v>
      </c>
      <c r="AA5853">
        <v>0.98239730000000003</v>
      </c>
      <c r="AB5853">
        <v>30</v>
      </c>
      <c r="AC5853">
        <v>6.1899999999979999E-2</v>
      </c>
      <c r="AD5853">
        <v>-0.12662519999999899</v>
      </c>
      <c r="AE5853">
        <v>0.43087000000000197</v>
      </c>
      <c r="AF5853">
        <v>6.2264063349642601E-2</v>
      </c>
      <c r="AG5853">
        <v>-0.12662519999999899</v>
      </c>
      <c r="AH5853">
        <v>0.39647333809420998</v>
      </c>
      <c r="AI5853">
        <v>107.51110078306399</v>
      </c>
      <c r="AJ5853">
        <v>81.074894645523301</v>
      </c>
      <c r="AK5853">
        <v>0.42083472133298899</v>
      </c>
      <c r="AL5853">
        <v>78.822898026471606</v>
      </c>
      <c r="AM5853">
        <v>90.245385021742393</v>
      </c>
      <c r="AN5853">
        <v>0.99999999504686199</v>
      </c>
    </row>
    <row r="5854" spans="1:40" x14ac:dyDescent="0.25">
      <c r="A5854" t="str">
        <f>"20190303170650246"</f>
        <v>20190303170650246</v>
      </c>
      <c r="B5854" t="str">
        <f>"1551604010240521"</f>
        <v>1551604010240521</v>
      </c>
      <c r="C5854" t="s">
        <v>40</v>
      </c>
      <c r="D5854">
        <v>5.5658459999999996</v>
      </c>
      <c r="E5854">
        <v>0.55139139999999998</v>
      </c>
      <c r="F5854" t="s">
        <v>42</v>
      </c>
      <c r="G5854">
        <v>-187.16059999999999</v>
      </c>
      <c r="H5854">
        <v>0.93509500000000001</v>
      </c>
      <c r="I5854">
        <v>-27.653179999999999</v>
      </c>
      <c r="J5854">
        <v>-187.2508</v>
      </c>
      <c r="K5854">
        <v>1.1183890000000001</v>
      </c>
      <c r="L5854">
        <v>-28.292210000000001</v>
      </c>
      <c r="M5854">
        <v>-9.8215319999999991E-3</v>
      </c>
      <c r="N5854">
        <v>-1.375504E-2</v>
      </c>
      <c r="O5854">
        <v>0.9998572</v>
      </c>
      <c r="P5854">
        <v>-1.4718220000000001E-2</v>
      </c>
      <c r="Q5854">
        <v>0.18329519999999999</v>
      </c>
      <c r="R5854">
        <v>0.98294769999999998</v>
      </c>
      <c r="S5854">
        <v>0.29995729999999998</v>
      </c>
      <c r="T5854">
        <v>-0.61115529999999996</v>
      </c>
      <c r="U5854">
        <v>3.1681819999999998</v>
      </c>
      <c r="V5854">
        <v>-3.7066989999999999E-3</v>
      </c>
      <c r="W5854">
        <v>0.19683010000000001</v>
      </c>
      <c r="X5854">
        <v>0.98043060000000004</v>
      </c>
      <c r="Y5854">
        <v>0.1024307</v>
      </c>
      <c r="Z5854">
        <v>-0.17496249999999999</v>
      </c>
      <c r="AA5854">
        <v>0.9792324</v>
      </c>
      <c r="AB5854">
        <v>30</v>
      </c>
      <c r="AC5854">
        <v>9.0200000000009994E-2</v>
      </c>
      <c r="AD5854">
        <v>-0.18329399999999901</v>
      </c>
      <c r="AE5854">
        <v>0.63902999999999799</v>
      </c>
      <c r="AF5854">
        <v>8.9271398962752505E-2</v>
      </c>
      <c r="AG5854">
        <v>-0.18329399999999901</v>
      </c>
      <c r="AH5854">
        <v>0.59048184024632699</v>
      </c>
      <c r="AI5854">
        <v>107.062635414076</v>
      </c>
      <c r="AJ5854">
        <v>81.402901229011903</v>
      </c>
      <c r="AK5854">
        <v>0.62468782345220697</v>
      </c>
      <c r="AL5854">
        <v>78.648347127873805</v>
      </c>
      <c r="AM5854">
        <v>90.216616246731405</v>
      </c>
      <c r="AN5854">
        <v>0.99999999464992295</v>
      </c>
    </row>
    <row r="5855" spans="1:40" x14ac:dyDescent="0.25">
      <c r="A5855" t="str">
        <f>"20190303170650270"</f>
        <v>20190303170650270</v>
      </c>
      <c r="B5855" t="str">
        <f>"1551604010261016"</f>
        <v>1551604010261016</v>
      </c>
      <c r="C5855" t="s">
        <v>40</v>
      </c>
      <c r="D5855">
        <v>5.551723</v>
      </c>
      <c r="E5855">
        <v>0.55255679999999996</v>
      </c>
      <c r="F5855" t="s">
        <v>42</v>
      </c>
      <c r="G5855">
        <v>-187.15889999999999</v>
      </c>
      <c r="H5855">
        <v>0.93988510000000003</v>
      </c>
      <c r="I5855">
        <v>-27.378550000000001</v>
      </c>
      <c r="J5855">
        <v>-187.25040000000001</v>
      </c>
      <c r="K5855">
        <v>1.11859</v>
      </c>
      <c r="L5855">
        <v>-27.96594</v>
      </c>
      <c r="M5855">
        <v>-6.5927090000000004E-3</v>
      </c>
      <c r="N5855">
        <v>-1.37404E-2</v>
      </c>
      <c r="O5855">
        <v>0.99988390000000005</v>
      </c>
      <c r="P5855">
        <v>-9.8204050000000008E-3</v>
      </c>
      <c r="Q5855">
        <v>0.1869422</v>
      </c>
      <c r="R5855">
        <v>0.98232189999999997</v>
      </c>
      <c r="S5855">
        <v>0.3188629</v>
      </c>
      <c r="T5855">
        <v>-0.61969240000000003</v>
      </c>
      <c r="U5855">
        <v>3.1723629999999998</v>
      </c>
      <c r="V5855">
        <v>-2.0529950000000002E-3</v>
      </c>
      <c r="W5855">
        <v>0.2004399</v>
      </c>
      <c r="X5855">
        <v>0.97970380000000001</v>
      </c>
      <c r="Y5855">
        <v>0.1048331</v>
      </c>
      <c r="Z5855">
        <v>-0.17721099999999901</v>
      </c>
      <c r="AA5855">
        <v>0.97857360000000004</v>
      </c>
      <c r="AB5855">
        <v>30</v>
      </c>
      <c r="AC5855">
        <v>9.15000000000247E-2</v>
      </c>
      <c r="AD5855">
        <v>-0.178704899999999</v>
      </c>
      <c r="AE5855">
        <v>0.58739000000000197</v>
      </c>
      <c r="AF5855">
        <v>8.7466802390993095E-2</v>
      </c>
      <c r="AG5855">
        <v>-0.178704899999999</v>
      </c>
      <c r="AH5855">
        <v>0.53814379160114001</v>
      </c>
      <c r="AI5855">
        <v>108.147862089642</v>
      </c>
      <c r="AJ5855">
        <v>80.768201371046203</v>
      </c>
      <c r="AK5855">
        <v>0.57374613135372499</v>
      </c>
      <c r="AL5855">
        <v>78.437315078278402</v>
      </c>
      <c r="AM5855">
        <v>90.120064632478503</v>
      </c>
      <c r="AN5855">
        <v>0.99999995201745895</v>
      </c>
    </row>
    <row r="5856" spans="1:40" x14ac:dyDescent="0.25">
      <c r="A5856" t="str">
        <f>"20190303170650292"</f>
        <v>20190303170650292</v>
      </c>
      <c r="B5856" t="str">
        <f>"1551604010280537"</f>
        <v>1551604010280537</v>
      </c>
      <c r="C5856" t="s">
        <v>40</v>
      </c>
      <c r="D5856">
        <v>5.5660069999999999</v>
      </c>
      <c r="E5856">
        <v>0.5531973</v>
      </c>
      <c r="F5856" t="s">
        <v>42</v>
      </c>
      <c r="G5856">
        <v>-187.15889999999999</v>
      </c>
      <c r="H5856">
        <v>0.94936169999999998</v>
      </c>
      <c r="I5856">
        <v>-27.101900000000001</v>
      </c>
      <c r="J5856">
        <v>-187.24930000000001</v>
      </c>
      <c r="K5856">
        <v>1.1187560000000001</v>
      </c>
      <c r="L5856">
        <v>-27.674589999999998</v>
      </c>
      <c r="M5856">
        <v>-3.89238E-3</v>
      </c>
      <c r="N5856">
        <v>-1.371851E-2</v>
      </c>
      <c r="O5856">
        <v>0.99989830000000002</v>
      </c>
      <c r="P5856">
        <v>-7.5218769999999997E-3</v>
      </c>
      <c r="Q5856">
        <v>0.18666920000000001</v>
      </c>
      <c r="R5856">
        <v>0.98239399999999999</v>
      </c>
      <c r="S5856">
        <v>0.33613589999999999</v>
      </c>
      <c r="T5856">
        <v>-0.62192709999999995</v>
      </c>
      <c r="U5856">
        <v>3.1757200000000001</v>
      </c>
      <c r="V5856">
        <v>-2.4876049999999999E-3</v>
      </c>
      <c r="W5856">
        <v>0.20014789999999999</v>
      </c>
      <c r="X5856">
        <v>0.97976260000000004</v>
      </c>
      <c r="Y5856">
        <v>0.10729959999999999</v>
      </c>
      <c r="Z5856">
        <v>-0.1776317</v>
      </c>
      <c r="AA5856">
        <v>0.97822989999999999</v>
      </c>
      <c r="AB5856">
        <v>30</v>
      </c>
      <c r="AC5856">
        <v>9.0400000000016606E-2</v>
      </c>
      <c r="AD5856">
        <v>-0.169394299999999</v>
      </c>
      <c r="AE5856">
        <v>0.57269000000000103</v>
      </c>
      <c r="AF5856">
        <v>8.5343477206872895E-2</v>
      </c>
      <c r="AG5856">
        <v>-0.169394299999999</v>
      </c>
      <c r="AH5856">
        <v>0.52732013105234099</v>
      </c>
      <c r="AI5856">
        <v>107.59433790214</v>
      </c>
      <c r="AJ5856">
        <v>80.806749540486805</v>
      </c>
      <c r="AK5856">
        <v>0.56039669751641796</v>
      </c>
      <c r="AL5856">
        <v>78.454392763516495</v>
      </c>
      <c r="AM5856">
        <v>90.145472955721303</v>
      </c>
      <c r="AN5856">
        <v>1.0000000612058999</v>
      </c>
    </row>
    <row r="5857" spans="1:40" x14ac:dyDescent="0.25">
      <c r="A5857" t="str">
        <f>"20190303170650313"</f>
        <v>20190303170650313</v>
      </c>
      <c r="B5857" t="str">
        <f>"1551604010301033"</f>
        <v>1551604010301033</v>
      </c>
      <c r="C5857" t="s">
        <v>40</v>
      </c>
      <c r="D5857">
        <v>5.5659479999999997</v>
      </c>
      <c r="E5857">
        <v>0.55380369999999901</v>
      </c>
      <c r="F5857" t="s">
        <v>42</v>
      </c>
      <c r="G5857">
        <v>-187.1566</v>
      </c>
      <c r="H5857">
        <v>0.95058640000000005</v>
      </c>
      <c r="I5857">
        <v>-26.82948</v>
      </c>
      <c r="J5857">
        <v>-187.24760000000001</v>
      </c>
      <c r="K5857">
        <v>1.1189020000000001</v>
      </c>
      <c r="L5857">
        <v>-27.372440000000001</v>
      </c>
      <c r="M5857">
        <v>-1.2997219999999999E-3</v>
      </c>
      <c r="N5857">
        <v>-1.368111E-2</v>
      </c>
      <c r="O5857">
        <v>0.99990559999999995</v>
      </c>
      <c r="P5857">
        <v>-7.8775879999999996E-3</v>
      </c>
      <c r="Q5857">
        <v>0.1838119</v>
      </c>
      <c r="R5857">
        <v>0.98292990000000002</v>
      </c>
      <c r="S5857">
        <v>0.34829710000000003</v>
      </c>
      <c r="T5857">
        <v>-0.63204169999999904</v>
      </c>
      <c r="U5857">
        <v>3.1765439999999998</v>
      </c>
      <c r="V5857">
        <v>-5.4883220000000003E-3</v>
      </c>
      <c r="W5857">
        <v>0.1972766</v>
      </c>
      <c r="X5857">
        <v>0.98033250000000005</v>
      </c>
      <c r="Y5857">
        <v>0.108336</v>
      </c>
      <c r="Z5857">
        <v>-0.18057409999999999</v>
      </c>
      <c r="AA5857">
        <v>0.97757669999999997</v>
      </c>
      <c r="AB5857">
        <v>30</v>
      </c>
      <c r="AC5857">
        <v>9.1000000000008199E-2</v>
      </c>
      <c r="AD5857">
        <v>-0.16831560000000001</v>
      </c>
      <c r="AE5857">
        <v>0.54296</v>
      </c>
      <c r="AF5857">
        <v>8.3866506657578693E-2</v>
      </c>
      <c r="AG5857">
        <v>-0.16831560000000001</v>
      </c>
      <c r="AH5857">
        <v>0.49643813436309198</v>
      </c>
      <c r="AI5857">
        <v>108.48527217643</v>
      </c>
      <c r="AJ5857">
        <v>80.411189197975801</v>
      </c>
      <c r="AK5857">
        <v>0.53086208509575505</v>
      </c>
      <c r="AL5857">
        <v>78.622252925938099</v>
      </c>
      <c r="AM5857">
        <v>90.320763008452204</v>
      </c>
      <c r="AN5857">
        <v>0.99999999457109201</v>
      </c>
    </row>
    <row r="5858" spans="1:40" x14ac:dyDescent="0.25">
      <c r="A5858" t="str">
        <f>"20190303170650336"</f>
        <v>20190303170650336</v>
      </c>
      <c r="B5858" t="str">
        <f>"1551604010330313"</f>
        <v>1551604010330313</v>
      </c>
      <c r="C5858" t="s">
        <v>40</v>
      </c>
      <c r="D5858">
        <v>5.5585360000000001</v>
      </c>
      <c r="E5858">
        <v>0.55449749999999998</v>
      </c>
      <c r="F5858" t="s">
        <v>42</v>
      </c>
      <c r="G5858">
        <v>-187.15649999999999</v>
      </c>
      <c r="H5858">
        <v>0.95250990000000002</v>
      </c>
      <c r="I5858">
        <v>-26.556950000000001</v>
      </c>
      <c r="J5858">
        <v>-187.24529999999999</v>
      </c>
      <c r="K5858">
        <v>1.119049</v>
      </c>
      <c r="L5858">
        <v>-27.074619999999999</v>
      </c>
      <c r="M5858">
        <v>1.050921E-3</v>
      </c>
      <c r="N5858">
        <v>-1.362082E-2</v>
      </c>
      <c r="O5858">
        <v>0.99990670000000004</v>
      </c>
      <c r="P5858">
        <v>-6.3295010000000004E-3</v>
      </c>
      <c r="Q5858">
        <v>0.1837945</v>
      </c>
      <c r="R5858">
        <v>0.98294429999999999</v>
      </c>
      <c r="S5858">
        <v>0.35470580000000002</v>
      </c>
      <c r="T5858">
        <v>-0.64808769999999905</v>
      </c>
      <c r="U5858">
        <v>3.1761469999999998</v>
      </c>
      <c r="V5858">
        <v>-6.3307779999999996E-3</v>
      </c>
      <c r="W5858">
        <v>0.19720180000000001</v>
      </c>
      <c r="X5858">
        <v>0.98034239999999995</v>
      </c>
      <c r="Y5858">
        <v>0.1078597</v>
      </c>
      <c r="Z5858">
        <v>-0.185388</v>
      </c>
      <c r="AA5858">
        <v>0.97672800000000004</v>
      </c>
      <c r="AB5858">
        <v>30</v>
      </c>
      <c r="AC5858">
        <v>8.8799999999991996E-2</v>
      </c>
      <c r="AD5858">
        <v>-0.166539099999999</v>
      </c>
      <c r="AE5858">
        <v>0.51766999999999896</v>
      </c>
      <c r="AF5858">
        <v>8.0193364152656196E-2</v>
      </c>
      <c r="AG5858">
        <v>-0.166539099999999</v>
      </c>
      <c r="AH5858">
        <v>0.47046344080798902</v>
      </c>
      <c r="AI5858">
        <v>109.23675268243301</v>
      </c>
      <c r="AJ5858">
        <v>80.326557914127406</v>
      </c>
      <c r="AK5858">
        <v>0.50547215217044605</v>
      </c>
      <c r="AL5858">
        <v>78.626623726356001</v>
      </c>
      <c r="AM5858">
        <v>90.369995032751106</v>
      </c>
      <c r="AN5858">
        <v>0.99999992495553902</v>
      </c>
    </row>
    <row r="5859" spans="1:40" x14ac:dyDescent="0.25">
      <c r="A5859" t="str">
        <f>"20190303170650358"</f>
        <v>20190303170650358</v>
      </c>
      <c r="B5859" t="str">
        <f>"1551604010350809"</f>
        <v>1551604010350809</v>
      </c>
      <c r="C5859" t="s">
        <v>40</v>
      </c>
      <c r="D5859">
        <v>5.5623659999999999</v>
      </c>
      <c r="E5859">
        <v>0.55481449999999999</v>
      </c>
      <c r="F5859" t="s">
        <v>42</v>
      </c>
      <c r="G5859">
        <v>-187.15379999999999</v>
      </c>
      <c r="H5859">
        <v>0.95570679999999997</v>
      </c>
      <c r="I5859">
        <v>-26.28387</v>
      </c>
      <c r="J5859">
        <v>-187.2424</v>
      </c>
      <c r="K5859">
        <v>1.119221</v>
      </c>
      <c r="L5859">
        <v>-26.760960000000001</v>
      </c>
      <c r="M5859">
        <v>3.3227880000000001E-3</v>
      </c>
      <c r="N5859">
        <v>-1.353212E-2</v>
      </c>
      <c r="O5859">
        <v>0.99990290000000004</v>
      </c>
      <c r="P5859">
        <v>-3.317782E-3</v>
      </c>
      <c r="Q5859">
        <v>0.18660950000000001</v>
      </c>
      <c r="R5859">
        <v>0.98242859999999999</v>
      </c>
      <c r="S5859">
        <v>0.36706539999999999</v>
      </c>
      <c r="T5859">
        <v>-0.65615859999999904</v>
      </c>
      <c r="U5859">
        <v>3.1770939999999999</v>
      </c>
      <c r="V5859">
        <v>-5.620351E-3</v>
      </c>
      <c r="W5859">
        <v>0.19991610000000001</v>
      </c>
      <c r="X5859">
        <v>0.97979689999999997</v>
      </c>
      <c r="Y5859">
        <v>0.1092664</v>
      </c>
      <c r="Z5859">
        <v>-0.18774199999999999</v>
      </c>
      <c r="AA5859">
        <v>0.97612180000000004</v>
      </c>
      <c r="AB5859">
        <v>30</v>
      </c>
      <c r="AC5859">
        <v>8.8600000000013696E-2</v>
      </c>
      <c r="AD5859">
        <v>-0.163514199999999</v>
      </c>
      <c r="AE5859">
        <v>0.47708999999999602</v>
      </c>
      <c r="AF5859">
        <v>7.8141208165081605E-2</v>
      </c>
      <c r="AG5859">
        <v>-0.163514199999999</v>
      </c>
      <c r="AH5859">
        <v>0.428702835356014</v>
      </c>
      <c r="AI5859">
        <v>110.567788292098</v>
      </c>
      <c r="AJ5859">
        <v>79.669897135695393</v>
      </c>
      <c r="AK5859">
        <v>0.46543427361704298</v>
      </c>
      <c r="AL5859">
        <v>78.4679471701414</v>
      </c>
      <c r="AM5859">
        <v>90.328658786082002</v>
      </c>
      <c r="AN5859">
        <v>1.0000000003170899</v>
      </c>
    </row>
    <row r="5860" spans="1:40" x14ac:dyDescent="0.25">
      <c r="A5860" t="str">
        <f>"20190303170650380"</f>
        <v>20190303170650380</v>
      </c>
      <c r="B5860" t="str">
        <f>"1551604010370329"</f>
        <v>1551604010370329</v>
      </c>
      <c r="C5860" t="s">
        <v>40</v>
      </c>
      <c r="D5860">
        <v>5.5539759999999996</v>
      </c>
      <c r="E5860">
        <v>0.55514809999999903</v>
      </c>
      <c r="F5860" t="s">
        <v>42</v>
      </c>
      <c r="G5860">
        <v>-187.1534</v>
      </c>
      <c r="H5860">
        <v>0.96474720000000003</v>
      </c>
      <c r="I5860">
        <v>-26.008030000000002</v>
      </c>
      <c r="J5860">
        <v>-187.23929999999999</v>
      </c>
      <c r="K5860">
        <v>1.11937999999999</v>
      </c>
      <c r="L5860">
        <v>-26.467379999999999</v>
      </c>
      <c r="M5860">
        <v>5.2652929999999999E-3</v>
      </c>
      <c r="N5860">
        <v>-1.342694E-2</v>
      </c>
      <c r="O5860">
        <v>0.99989600000000001</v>
      </c>
      <c r="P5860">
        <v>-9.2642709999999999E-4</v>
      </c>
      <c r="Q5860">
        <v>0.18963389999999999</v>
      </c>
      <c r="R5860">
        <v>0.98185440000000002</v>
      </c>
      <c r="S5860">
        <v>0.375946</v>
      </c>
      <c r="T5860">
        <v>-0.65214899999999998</v>
      </c>
      <c r="U5860">
        <v>3.1788020000000001</v>
      </c>
      <c r="V5860">
        <v>-5.1980940000000003E-3</v>
      </c>
      <c r="W5860">
        <v>0.20282500000000001</v>
      </c>
      <c r="X5860">
        <v>0.97920119999999999</v>
      </c>
      <c r="Y5860">
        <v>0.10999489999999899</v>
      </c>
      <c r="Z5860">
        <v>-0.18652070000000001</v>
      </c>
      <c r="AA5860">
        <v>0.97627410000000003</v>
      </c>
      <c r="AB5860">
        <v>30</v>
      </c>
      <c r="AC5860">
        <v>8.5899999999980894E-2</v>
      </c>
      <c r="AD5860">
        <v>-0.15463279999999899</v>
      </c>
      <c r="AE5860">
        <v>0.45934999999999998</v>
      </c>
      <c r="AF5860">
        <v>7.5241528226456994E-2</v>
      </c>
      <c r="AG5860">
        <v>-0.15463279999999899</v>
      </c>
      <c r="AH5860">
        <v>0.41441973645615698</v>
      </c>
      <c r="AI5860">
        <v>110.15965009086101</v>
      </c>
      <c r="AJ5860">
        <v>79.709543024266097</v>
      </c>
      <c r="AK5860">
        <v>0.44868285945652497</v>
      </c>
      <c r="AL5860">
        <v>78.297793782499895</v>
      </c>
      <c r="AM5860">
        <v>90.304152047742605</v>
      </c>
      <c r="AN5860">
        <v>0.999999995443836</v>
      </c>
    </row>
    <row r="5861" spans="1:40" x14ac:dyDescent="0.25">
      <c r="A5861" t="str">
        <f>"20190303170650401"</f>
        <v>20190303170650401</v>
      </c>
      <c r="B5861" t="str">
        <f>"1551604010390824"</f>
        <v>1551604010390824</v>
      </c>
      <c r="C5861" t="s">
        <v>40</v>
      </c>
      <c r="D5861">
        <v>5.5844839999999998</v>
      </c>
      <c r="E5861">
        <v>0.55539949999999905</v>
      </c>
      <c r="F5861" t="s">
        <v>42</v>
      </c>
      <c r="G5861">
        <v>-187.15020000000001</v>
      </c>
      <c r="H5861">
        <v>0.97028199999999998</v>
      </c>
      <c r="I5861">
        <v>-25.73396</v>
      </c>
      <c r="J5861">
        <v>-187.23570000000001</v>
      </c>
      <c r="K5861">
        <v>1.119516</v>
      </c>
      <c r="L5861">
        <v>-26.174990000000001</v>
      </c>
      <c r="M5861">
        <v>7.0245469999999999E-3</v>
      </c>
      <c r="N5861">
        <v>-1.330164E-2</v>
      </c>
      <c r="O5861">
        <v>0.99988690000000002</v>
      </c>
      <c r="P5861">
        <v>-1.1910619999999999E-3</v>
      </c>
      <c r="Q5861">
        <v>0.18882599999999999</v>
      </c>
      <c r="R5861">
        <v>0.98200980000000004</v>
      </c>
      <c r="S5861">
        <v>0.38546750000000002</v>
      </c>
      <c r="T5861">
        <v>-0.64650050000000003</v>
      </c>
      <c r="U5861">
        <v>3.1806640000000002</v>
      </c>
      <c r="V5861">
        <v>-7.2707509999999998E-3</v>
      </c>
      <c r="W5861">
        <v>0.20190230000000001</v>
      </c>
      <c r="X5861">
        <v>0.97937870000000005</v>
      </c>
      <c r="Y5861">
        <v>0.1111013</v>
      </c>
      <c r="Z5861">
        <v>-0.18482000000000001</v>
      </c>
      <c r="AA5861">
        <v>0.97647229999999996</v>
      </c>
      <c r="AB5861">
        <v>30</v>
      </c>
      <c r="AC5861">
        <v>8.5499999999996107E-2</v>
      </c>
      <c r="AD5861">
        <v>-0.14923399999999901</v>
      </c>
      <c r="AE5861">
        <v>0.44103000000000098</v>
      </c>
      <c r="AF5861">
        <v>7.4210389329430998E-2</v>
      </c>
      <c r="AG5861">
        <v>-0.14923399999999901</v>
      </c>
      <c r="AH5861">
        <v>0.397729877856415</v>
      </c>
      <c r="AI5861">
        <v>110.246437935684</v>
      </c>
      <c r="AJ5861">
        <v>79.4310038093695</v>
      </c>
      <c r="AK5861">
        <v>0.431238941168472</v>
      </c>
      <c r="AL5861">
        <v>78.351777793110401</v>
      </c>
      <c r="AM5861">
        <v>90.425346899350401</v>
      </c>
      <c r="AN5861">
        <v>1.00000002028954</v>
      </c>
    </row>
    <row r="5862" spans="1:40" x14ac:dyDescent="0.25">
      <c r="A5862" t="str">
        <f>"20190303170650424"</f>
        <v>20190303170650424</v>
      </c>
      <c r="B5862" t="str">
        <f>"1551604010421081"</f>
        <v>1551604010421081</v>
      </c>
      <c r="C5862" t="s">
        <v>40</v>
      </c>
      <c r="D5862">
        <v>5.5499320000000001</v>
      </c>
      <c r="E5862">
        <v>0.55581069999999999</v>
      </c>
      <c r="F5862" t="s">
        <v>42</v>
      </c>
      <c r="G5862">
        <v>-187.14830000000001</v>
      </c>
      <c r="H5862">
        <v>0.9732925</v>
      </c>
      <c r="I5862">
        <v>-25.461169999999999</v>
      </c>
      <c r="J5862">
        <v>-187.23169999999999</v>
      </c>
      <c r="K5862">
        <v>1.1196379999999999</v>
      </c>
      <c r="L5862">
        <v>-25.872589999999999</v>
      </c>
      <c r="M5862">
        <v>8.6691059999999993E-3</v>
      </c>
      <c r="N5862">
        <v>-1.3164179999999999E-2</v>
      </c>
      <c r="O5862">
        <v>0.99987579999999998</v>
      </c>
      <c r="P5862">
        <v>-1.6444160000000001E-3</v>
      </c>
      <c r="Q5862">
        <v>0.187921</v>
      </c>
      <c r="R5862">
        <v>0.98218269999999996</v>
      </c>
      <c r="S5862">
        <v>0.38925169999999998</v>
      </c>
      <c r="T5862">
        <v>-0.65149829999999997</v>
      </c>
      <c r="U5862">
        <v>3.1806950000000001</v>
      </c>
      <c r="V5862">
        <v>-9.4200559999999996E-3</v>
      </c>
      <c r="W5862">
        <v>0.2008701</v>
      </c>
      <c r="X5862">
        <v>0.97957260000000002</v>
      </c>
      <c r="Y5862">
        <v>0.1105756</v>
      </c>
      <c r="Z5862">
        <v>-0.18641550000000001</v>
      </c>
      <c r="AA5862">
        <v>0.9762286</v>
      </c>
      <c r="AB5862">
        <v>30</v>
      </c>
      <c r="AC5862">
        <v>8.3399999999983196E-2</v>
      </c>
      <c r="AD5862">
        <v>-0.14634549999999999</v>
      </c>
      <c r="AE5862">
        <v>0.41141999999999601</v>
      </c>
      <c r="AF5862">
        <v>7.1179202143152195E-2</v>
      </c>
      <c r="AG5862">
        <v>-0.14634549999999999</v>
      </c>
      <c r="AH5862">
        <v>0.36746769352631797</v>
      </c>
      <c r="AI5862">
        <v>111.354832673109</v>
      </c>
      <c r="AJ5862">
        <v>79.037457792809406</v>
      </c>
      <c r="AK5862">
        <v>0.40189051988512697</v>
      </c>
      <c r="AL5862">
        <v>78.412155361563805</v>
      </c>
      <c r="AM5862">
        <v>90.550967651586603</v>
      </c>
      <c r="AN5862">
        <v>1.0000000065999</v>
      </c>
    </row>
    <row r="5863" spans="1:40" x14ac:dyDescent="0.25">
      <c r="A5863" t="str">
        <f>"20190303170650447"</f>
        <v>20190303170650447</v>
      </c>
      <c r="B5863" t="str">
        <f>"1551604010440601"</f>
        <v>1551604010440601</v>
      </c>
      <c r="C5863" t="s">
        <v>40</v>
      </c>
      <c r="D5863">
        <v>5.5651590000000004</v>
      </c>
      <c r="E5863">
        <v>0.55597489999999905</v>
      </c>
      <c r="F5863" t="s">
        <v>42</v>
      </c>
      <c r="G5863">
        <v>-187.11619999999999</v>
      </c>
      <c r="H5863">
        <v>0.92684230000000001</v>
      </c>
      <c r="I5863">
        <v>-24.940860000000001</v>
      </c>
      <c r="J5863">
        <v>-187.22720000000001</v>
      </c>
      <c r="K5863">
        <v>1.1197729999999999</v>
      </c>
      <c r="L5863">
        <v>-25.558779999999999</v>
      </c>
      <c r="M5863">
        <v>1.020716E-2</v>
      </c>
      <c r="N5863">
        <v>-1.3021960000000001E-2</v>
      </c>
      <c r="O5863">
        <v>0.9998631</v>
      </c>
      <c r="P5863">
        <v>-1.3211939999999999E-3</v>
      </c>
      <c r="Q5863">
        <v>0.18958459999999999</v>
      </c>
      <c r="R5863">
        <v>0.9818635</v>
      </c>
      <c r="S5863">
        <v>0.3941345</v>
      </c>
      <c r="T5863">
        <v>-0.65823039999999999</v>
      </c>
      <c r="U5863">
        <v>3.1810299999999998</v>
      </c>
      <c r="V5863">
        <v>-1.066986E-2</v>
      </c>
      <c r="W5863">
        <v>0.2023903</v>
      </c>
      <c r="X5863">
        <v>0.97924679999999997</v>
      </c>
      <c r="Y5863">
        <v>0.11046250000000001</v>
      </c>
      <c r="Z5863">
        <v>-0.18849640000000001</v>
      </c>
      <c r="AA5863">
        <v>0.97584179999999998</v>
      </c>
      <c r="AB5863">
        <v>30</v>
      </c>
      <c r="AC5863">
        <v>0.111000000000018</v>
      </c>
      <c r="AD5863">
        <v>-0.19293069999999901</v>
      </c>
      <c r="AE5863">
        <v>0.61791999999999703</v>
      </c>
      <c r="AF5863">
        <v>9.5653204378433304E-2</v>
      </c>
      <c r="AG5863">
        <v>-0.19293069999999901</v>
      </c>
      <c r="AH5863">
        <v>0.56560633214009304</v>
      </c>
      <c r="AI5863">
        <v>108.589262526117</v>
      </c>
      <c r="AJ5863">
        <v>80.401176473747398</v>
      </c>
      <c r="AK5863">
        <v>0.605212618397305</v>
      </c>
      <c r="AL5863">
        <v>78.323227663467506</v>
      </c>
      <c r="AM5863">
        <v>90.624269341011896</v>
      </c>
      <c r="AN5863">
        <v>0.99999998737837403</v>
      </c>
    </row>
    <row r="5864" spans="1:40" x14ac:dyDescent="0.25">
      <c r="A5864" t="str">
        <f>"20190303170650471"</f>
        <v>20190303170650471</v>
      </c>
      <c r="B5864" t="str">
        <f>"1551604010461097"</f>
        <v>1551604010461097</v>
      </c>
      <c r="C5864" t="s">
        <v>40</v>
      </c>
      <c r="D5864">
        <v>5.7617320000000003</v>
      </c>
      <c r="E5864">
        <v>0.53548339999999905</v>
      </c>
      <c r="F5864" t="s">
        <v>42</v>
      </c>
      <c r="G5864">
        <v>-187.11580000000001</v>
      </c>
      <c r="H5864">
        <v>0.93563399999999997</v>
      </c>
      <c r="I5864">
        <v>-24.66554</v>
      </c>
      <c r="J5864">
        <v>-187.22210000000001</v>
      </c>
      <c r="K5864">
        <v>1.1198969999999999</v>
      </c>
      <c r="L5864">
        <v>-25.228760000000001</v>
      </c>
      <c r="M5864">
        <v>1.1696170000000001E-2</v>
      </c>
      <c r="N5864">
        <v>-1.28784E-2</v>
      </c>
      <c r="O5864">
        <v>0.99984870000000003</v>
      </c>
      <c r="P5864">
        <v>-1.0605429999999999E-3</v>
      </c>
      <c r="Q5864">
        <v>0.19286890000000001</v>
      </c>
      <c r="R5864">
        <v>0.98122390000000004</v>
      </c>
      <c r="S5864">
        <v>0.39631650000000002</v>
      </c>
      <c r="T5864">
        <v>-0.65600609999999904</v>
      </c>
      <c r="U5864">
        <v>3.182617</v>
      </c>
      <c r="V5864">
        <v>-1.1913770000000001E-2</v>
      </c>
      <c r="W5864">
        <v>0.2055254</v>
      </c>
      <c r="X5864">
        <v>0.97857930000000004</v>
      </c>
      <c r="Y5864">
        <v>0.1096004</v>
      </c>
      <c r="Z5864">
        <v>-0.18788560000000001</v>
      </c>
      <c r="AA5864">
        <v>0.97605679999999995</v>
      </c>
      <c r="AB5864">
        <v>30</v>
      </c>
      <c r="AC5864">
        <v>0.106300000000004</v>
      </c>
      <c r="AD5864">
        <v>-0.18426299999999901</v>
      </c>
      <c r="AE5864">
        <v>0.56322000000000105</v>
      </c>
      <c r="AF5864">
        <v>9.0365231671774293E-2</v>
      </c>
      <c r="AG5864">
        <v>-0.18426299999999901</v>
      </c>
      <c r="AH5864">
        <v>0.51155464664209505</v>
      </c>
      <c r="AI5864">
        <v>109.53011523451001</v>
      </c>
      <c r="AJ5864">
        <v>79.9821488131699</v>
      </c>
      <c r="AK5864">
        <v>0.55118679661727399</v>
      </c>
      <c r="AL5864">
        <v>78.139743259979198</v>
      </c>
      <c r="AM5864">
        <v>90.697516304197194</v>
      </c>
      <c r="AN5864">
        <v>1.00000003717463</v>
      </c>
    </row>
    <row r="5865" spans="1:40" x14ac:dyDescent="0.25">
      <c r="A5865" t="str">
        <f>"20190303170650491"</f>
        <v>20190303170650491</v>
      </c>
      <c r="B5865" t="str">
        <f>"1551604010480616"</f>
        <v>1551604010480616</v>
      </c>
      <c r="C5865" t="s">
        <v>40</v>
      </c>
      <c r="D5865">
        <v>6.3418530000000004</v>
      </c>
      <c r="E5865">
        <v>0.51893729999999905</v>
      </c>
      <c r="F5865" t="s">
        <v>42</v>
      </c>
      <c r="G5865">
        <v>-187.16059999999999</v>
      </c>
      <c r="H5865">
        <v>0.95172670000000004</v>
      </c>
      <c r="I5865">
        <v>-24.386040000000001</v>
      </c>
      <c r="J5865">
        <v>-187.21770000000001</v>
      </c>
      <c r="K5865">
        <v>1.11998</v>
      </c>
      <c r="L5865">
        <v>-24.96246</v>
      </c>
      <c r="M5865">
        <v>1.281007E-2</v>
      </c>
      <c r="N5865">
        <v>-1.2766370000000001E-2</v>
      </c>
      <c r="O5865">
        <v>0.99983639999999996</v>
      </c>
      <c r="P5865">
        <v>-1.655206E-3</v>
      </c>
      <c r="Q5865">
        <v>0.19442899999999999</v>
      </c>
      <c r="R5865">
        <v>0.98091519999999999</v>
      </c>
      <c r="S5865">
        <v>0.23176569999999999</v>
      </c>
      <c r="T5865">
        <v>-0.63502799999999904</v>
      </c>
      <c r="U5865">
        <v>3.1824650000000001</v>
      </c>
      <c r="V5865">
        <v>-1.36332E-2</v>
      </c>
      <c r="W5865">
        <v>0.2069742</v>
      </c>
      <c r="X5865">
        <v>0.97825139999999999</v>
      </c>
      <c r="Y5865">
        <v>5.8547700000000001E-2</v>
      </c>
      <c r="Z5865">
        <v>-0.1827124</v>
      </c>
      <c r="AA5865">
        <v>0.98142160000000001</v>
      </c>
      <c r="AB5865">
        <v>30</v>
      </c>
      <c r="AC5865">
        <v>5.71000000000196E-2</v>
      </c>
      <c r="AD5865">
        <v>-0.168253299999999</v>
      </c>
      <c r="AE5865">
        <v>0.57642000000000204</v>
      </c>
      <c r="AF5865">
        <v>4.5842795114957098E-2</v>
      </c>
      <c r="AG5865">
        <v>-0.168253299999999</v>
      </c>
      <c r="AH5865">
        <v>0.53220037915974505</v>
      </c>
      <c r="AI5865">
        <v>107.48339213307599</v>
      </c>
      <c r="AJ5865">
        <v>85.076795735799294</v>
      </c>
      <c r="AK5865">
        <v>0.56004283622113904</v>
      </c>
      <c r="AL5865">
        <v>78.054908602164105</v>
      </c>
      <c r="AM5865">
        <v>90.798439191650402</v>
      </c>
      <c r="AN5865">
        <v>0.99999999260491901</v>
      </c>
    </row>
    <row r="5866" spans="1:40" x14ac:dyDescent="0.25">
      <c r="A5866" t="str">
        <f>"20190303170650602"</f>
        <v>20190303170650602</v>
      </c>
      <c r="B5866" t="str">
        <f>"1551604010590905"</f>
        <v>1551604010590905</v>
      </c>
      <c r="C5866" t="s">
        <v>40</v>
      </c>
      <c r="D5866">
        <v>5.3099059999999998</v>
      </c>
      <c r="E5866">
        <v>0.49969669999999999</v>
      </c>
      <c r="F5866" t="s">
        <v>42</v>
      </c>
      <c r="G5866">
        <v>-187.19450000000001</v>
      </c>
      <c r="H5866">
        <v>0.9904056</v>
      </c>
      <c r="I5866">
        <v>-23.00732</v>
      </c>
      <c r="J5866">
        <v>-187.18889999999999</v>
      </c>
      <c r="K5866">
        <v>1.1202829999999999</v>
      </c>
      <c r="L5866">
        <v>-23.448789999999999</v>
      </c>
      <c r="M5866">
        <v>1.8110620000000001E-2</v>
      </c>
      <c r="N5866">
        <v>-1.2280910000000001E-2</v>
      </c>
      <c r="O5866">
        <v>0.9997606</v>
      </c>
      <c r="P5866">
        <v>-2.0099610000000002E-3</v>
      </c>
      <c r="Q5866">
        <v>0.19864200000000001</v>
      </c>
      <c r="R5866">
        <v>0.98007010000000006</v>
      </c>
      <c r="S5866">
        <v>1.9836430000000002E-3</v>
      </c>
      <c r="T5866">
        <v>-0.55846569999999995</v>
      </c>
      <c r="U5866">
        <v>3.1730040000000002</v>
      </c>
      <c r="V5866">
        <v>-1.931882E-2</v>
      </c>
      <c r="W5866">
        <v>0.210702</v>
      </c>
      <c r="X5866">
        <v>0.97735939999999999</v>
      </c>
      <c r="Y5866">
        <v>-1.7475009999999999E-2</v>
      </c>
      <c r="Z5866">
        <v>-0.1611773</v>
      </c>
      <c r="AA5866">
        <v>0.9867707</v>
      </c>
      <c r="AB5866">
        <v>30</v>
      </c>
      <c r="AC5866">
        <v>-5.6000000000153696E-3</v>
      </c>
      <c r="AD5866">
        <v>-0.129877399999999</v>
      </c>
      <c r="AE5866">
        <v>0.44146999999999798</v>
      </c>
      <c r="AF5866">
        <v>-1.25122262754245E-2</v>
      </c>
      <c r="AG5866">
        <v>-0.129877399999999</v>
      </c>
      <c r="AH5866">
        <v>0.406149737300459</v>
      </c>
      <c r="AI5866">
        <v>107.725205343263</v>
      </c>
      <c r="AJ5866">
        <v>91.764548949539503</v>
      </c>
      <c r="AK5866">
        <v>0.426593839555096</v>
      </c>
      <c r="AL5866">
        <v>77.836505268388805</v>
      </c>
      <c r="AM5866">
        <v>91.132380502343295</v>
      </c>
      <c r="AN5866">
        <v>0.99999997318927503</v>
      </c>
    </row>
    <row r="5867" spans="1:40" x14ac:dyDescent="0.25">
      <c r="A5867" t="str">
        <f>"20190303170650625"</f>
        <v>20190303170650625</v>
      </c>
      <c r="B5867" t="str">
        <f>"1551604010620185"</f>
        <v>1551604010620185</v>
      </c>
      <c r="C5867" t="s">
        <v>40</v>
      </c>
      <c r="D5867">
        <v>5.3352919999999999</v>
      </c>
      <c r="E5867">
        <v>0.49542269999999999</v>
      </c>
      <c r="F5867" t="s">
        <v>42</v>
      </c>
      <c r="G5867">
        <v>-187.1987</v>
      </c>
      <c r="H5867">
        <v>1.0117320000000001</v>
      </c>
      <c r="I5867">
        <v>-22.72495</v>
      </c>
      <c r="J5867">
        <v>-187.1824</v>
      </c>
      <c r="K5867">
        <v>1.1203000000000001</v>
      </c>
      <c r="L5867">
        <v>-23.145230000000002</v>
      </c>
      <c r="M5867">
        <v>1.906909E-2</v>
      </c>
      <c r="N5867">
        <v>-1.221381E-2</v>
      </c>
      <c r="O5867">
        <v>0.99974359999999995</v>
      </c>
      <c r="P5867">
        <v>-2.0839280000000001E-3</v>
      </c>
      <c r="Q5867">
        <v>0.19953219999999999</v>
      </c>
      <c r="R5867">
        <v>0.97988900000000001</v>
      </c>
      <c r="S5867">
        <v>-4.2282100000000003E-2</v>
      </c>
      <c r="T5867">
        <v>-0.47345530000000002</v>
      </c>
      <c r="U5867">
        <v>3.1568909999999999</v>
      </c>
      <c r="V5867">
        <v>-2.0338539999999999E-2</v>
      </c>
      <c r="W5867">
        <v>0.21152509999999999</v>
      </c>
      <c r="X5867">
        <v>0.9771609</v>
      </c>
      <c r="Y5867">
        <v>-3.2302030000000002E-2</v>
      </c>
      <c r="Z5867">
        <v>-0.1361395</v>
      </c>
      <c r="AA5867">
        <v>0.99016289999999996</v>
      </c>
      <c r="AB5867">
        <v>30</v>
      </c>
      <c r="AC5867">
        <v>-1.6300000000001001E-2</v>
      </c>
      <c r="AD5867">
        <v>-0.108568</v>
      </c>
      <c r="AE5867">
        <v>0.42027999999999799</v>
      </c>
      <c r="AF5867">
        <v>-2.27932625487215E-2</v>
      </c>
      <c r="AG5867">
        <v>-0.108568</v>
      </c>
      <c r="AH5867">
        <v>0.39366274953337499</v>
      </c>
      <c r="AI5867">
        <v>105.39373415645299</v>
      </c>
      <c r="AJ5867">
        <v>93.313753416090805</v>
      </c>
      <c r="AK5867">
        <v>0.40899499240429799</v>
      </c>
      <c r="AL5867">
        <v>77.788257697208394</v>
      </c>
      <c r="AM5867">
        <v>91.192377088278803</v>
      </c>
      <c r="AN5867">
        <v>0.99999997431407495</v>
      </c>
    </row>
    <row r="5868" spans="1:40" x14ac:dyDescent="0.25">
      <c r="A5868" t="str">
        <f>"20190303170650648"</f>
        <v>20190303170650648</v>
      </c>
      <c r="B5868" t="str">
        <f>"1551604010640681"</f>
        <v>1551604010640681</v>
      </c>
      <c r="C5868" t="s">
        <v>40</v>
      </c>
      <c r="D5868">
        <v>5.3902839999999896</v>
      </c>
      <c r="E5868">
        <v>0.49383270000000001</v>
      </c>
      <c r="F5868" t="s">
        <v>42</v>
      </c>
      <c r="G5868">
        <v>-187.2047</v>
      </c>
      <c r="H5868">
        <v>1.002305</v>
      </c>
      <c r="I5868">
        <v>-22.185110000000002</v>
      </c>
      <c r="J5868">
        <v>-187.17509999999999</v>
      </c>
      <c r="K5868">
        <v>1.1203209999999999</v>
      </c>
      <c r="L5868">
        <v>-22.824369999999998</v>
      </c>
      <c r="M5868">
        <v>2.0073549999999999E-2</v>
      </c>
      <c r="N5868">
        <v>-1.215215E-2</v>
      </c>
      <c r="O5868">
        <v>0.99972459999999996</v>
      </c>
      <c r="P5868">
        <v>-1.24007E-3</v>
      </c>
      <c r="Q5868">
        <v>0.19994290000000001</v>
      </c>
      <c r="R5868">
        <v>0.97980679999999998</v>
      </c>
      <c r="S5868">
        <v>-7.2799680000000005E-2</v>
      </c>
      <c r="T5868">
        <v>-0.3858992</v>
      </c>
      <c r="U5868">
        <v>3.1399840000000001</v>
      </c>
      <c r="V5868">
        <v>-2.0484200000000001E-2</v>
      </c>
      <c r="W5868">
        <v>0.2118737</v>
      </c>
      <c r="X5868">
        <v>0.97708240000000002</v>
      </c>
      <c r="Y5868">
        <v>-4.3067899999999999E-2</v>
      </c>
      <c r="Z5868">
        <v>-0.1097979</v>
      </c>
      <c r="AA5868">
        <v>0.99302040000000003</v>
      </c>
      <c r="AB5868">
        <v>30</v>
      </c>
      <c r="AC5868">
        <v>-2.96000000000162E-2</v>
      </c>
      <c r="AD5868">
        <v>-0.118015999999999</v>
      </c>
      <c r="AE5868">
        <v>0.63926000000000005</v>
      </c>
      <c r="AF5868">
        <v>-4.10317434235778E-2</v>
      </c>
      <c r="AG5868">
        <v>-0.118015999999999</v>
      </c>
      <c r="AH5868">
        <v>0.61753507114263195</v>
      </c>
      <c r="AI5868">
        <v>100.795992191956</v>
      </c>
      <c r="AJ5868">
        <v>93.801395698504606</v>
      </c>
      <c r="AK5868">
        <v>0.63004836664776298</v>
      </c>
      <c r="AL5868">
        <v>77.767822029079298</v>
      </c>
      <c r="AM5868">
        <v>91.2010105846459</v>
      </c>
      <c r="AN5868">
        <v>1.0000000417955399</v>
      </c>
    </row>
    <row r="5869" spans="1:40" x14ac:dyDescent="0.25">
      <c r="A5869" t="str">
        <f>"20190303170650670"</f>
        <v>20190303170650670</v>
      </c>
      <c r="B5869" t="str">
        <f>"1551604010660201"</f>
        <v>1551604010660201</v>
      </c>
      <c r="C5869" t="s">
        <v>40</v>
      </c>
      <c r="D5869">
        <v>5.3780279999999996</v>
      </c>
      <c r="E5869">
        <v>0.49328109999999997</v>
      </c>
      <c r="F5869" t="s">
        <v>41</v>
      </c>
      <c r="G5869">
        <v>-187.44149999999999</v>
      </c>
      <c r="H5869" s="1">
        <v>-3.8236369999999997E-6</v>
      </c>
      <c r="I5869">
        <v>-12.512130000000001</v>
      </c>
      <c r="J5869">
        <v>-187.1679</v>
      </c>
      <c r="K5869">
        <v>1.120325</v>
      </c>
      <c r="L5869">
        <v>-22.516819999999999</v>
      </c>
      <c r="M5869">
        <v>2.1036389999999999E-2</v>
      </c>
      <c r="N5869">
        <v>-1.210057E-2</v>
      </c>
      <c r="O5869">
        <v>0.99970550000000002</v>
      </c>
      <c r="P5869">
        <v>-8.5565800000000003E-4</v>
      </c>
      <c r="Q5869">
        <v>0.1988067</v>
      </c>
      <c r="R5869">
        <v>0.98003830000000003</v>
      </c>
      <c r="S5869">
        <v>-8.0871579999999998E-2</v>
      </c>
      <c r="T5869">
        <v>-0.34016750000000001</v>
      </c>
      <c r="U5869">
        <v>3.1311339999999999</v>
      </c>
      <c r="V5869">
        <v>-2.1054389999999999E-2</v>
      </c>
      <c r="W5869">
        <v>0.21069080000000001</v>
      </c>
      <c r="X5869">
        <v>0.97732600000000003</v>
      </c>
      <c r="Y5869">
        <v>-4.6691730000000001E-2</v>
      </c>
      <c r="Z5869">
        <v>-9.5851359999999997E-2</v>
      </c>
      <c r="AA5869">
        <v>0.99429990000000001</v>
      </c>
      <c r="AB5869">
        <v>30</v>
      </c>
      <c r="AC5869">
        <v>-0.27359999999998702</v>
      </c>
      <c r="AD5869">
        <v>-1.1203288236369999</v>
      </c>
      <c r="AE5869">
        <v>10.00469</v>
      </c>
      <c r="AF5869">
        <v>-0.47802761646730602</v>
      </c>
      <c r="AG5869">
        <v>-1.1203288236369999</v>
      </c>
      <c r="AH5869">
        <v>9.8730086887777695</v>
      </c>
      <c r="AI5869">
        <v>96.466373104586793</v>
      </c>
      <c r="AJ5869">
        <v>92.771960755657801</v>
      </c>
      <c r="AK5869">
        <v>9.9478614608295892</v>
      </c>
      <c r="AL5869">
        <v>77.837162115285693</v>
      </c>
      <c r="AM5869">
        <v>91.2341236419458</v>
      </c>
      <c r="AN5869">
        <v>1.00000000540945</v>
      </c>
    </row>
    <row r="5870" spans="1:40" x14ac:dyDescent="0.25">
      <c r="A5870" t="str">
        <f>"20190303170650693"</f>
        <v>20190303170650693</v>
      </c>
      <c r="B5870" t="str">
        <f>"1551604010680697"</f>
        <v>1551604010680697</v>
      </c>
      <c r="C5870" t="s">
        <v>40</v>
      </c>
      <c r="D5870">
        <v>5.3417009999999996</v>
      </c>
      <c r="E5870">
        <v>0.49244280000000001</v>
      </c>
      <c r="F5870" t="s">
        <v>41</v>
      </c>
      <c r="G5870">
        <v>-187.44970000000001</v>
      </c>
      <c r="H5870" s="1">
        <v>-4.1386340000000002E-6</v>
      </c>
      <c r="I5870">
        <v>-11.77445</v>
      </c>
      <c r="J5870">
        <v>-187.16069999999999</v>
      </c>
      <c r="K5870">
        <v>1.1203270000000001</v>
      </c>
      <c r="L5870">
        <v>-22.221920000000001</v>
      </c>
      <c r="M5870">
        <v>2.1963259999999998E-2</v>
      </c>
      <c r="N5870">
        <v>-1.2057399999999999E-2</v>
      </c>
      <c r="O5870">
        <v>0.99968610000000002</v>
      </c>
      <c r="P5870">
        <v>-4.8095970000000001E-4</v>
      </c>
      <c r="Q5870">
        <v>0.19775880000000001</v>
      </c>
      <c r="R5870">
        <v>0.98025059999999997</v>
      </c>
      <c r="S5870">
        <v>-8.2046510000000003E-2</v>
      </c>
      <c r="T5870">
        <v>-0.32613779999999998</v>
      </c>
      <c r="U5870">
        <v>3.1271969999999998</v>
      </c>
      <c r="V5870">
        <v>-2.1596870000000001E-2</v>
      </c>
      <c r="W5870">
        <v>0.20960409999999999</v>
      </c>
      <c r="X5870">
        <v>0.97754779999999997</v>
      </c>
      <c r="Y5870">
        <v>-4.8034309999999997E-2</v>
      </c>
      <c r="Z5870">
        <v>-9.1609789999999997E-2</v>
      </c>
      <c r="AA5870">
        <v>0.99463579999999996</v>
      </c>
      <c r="AB5870">
        <v>30</v>
      </c>
      <c r="AC5870">
        <v>-0.28900000000001502</v>
      </c>
      <c r="AD5870">
        <v>-1.120331138634</v>
      </c>
      <c r="AE5870">
        <v>10.447469999999999</v>
      </c>
      <c r="AF5870">
        <v>-0.51251836631935999</v>
      </c>
      <c r="AG5870">
        <v>-1.120331138634</v>
      </c>
      <c r="AH5870">
        <v>10.320019607050099</v>
      </c>
      <c r="AI5870">
        <v>96.188143192095097</v>
      </c>
      <c r="AJ5870">
        <v>92.843117973542903</v>
      </c>
      <c r="AK5870">
        <v>10.393296956495901</v>
      </c>
      <c r="AL5870">
        <v>77.900847520103397</v>
      </c>
      <c r="AM5870">
        <v>91.265624285157401</v>
      </c>
      <c r="AN5870">
        <v>1.00000000240772</v>
      </c>
    </row>
    <row r="5871" spans="1:40" x14ac:dyDescent="0.25">
      <c r="A5871" t="str">
        <f>"20190303170650713"</f>
        <v>20190303170650713</v>
      </c>
      <c r="B5871" t="str">
        <f>"1551604010710953"</f>
        <v>1551604010710953</v>
      </c>
      <c r="C5871" t="s">
        <v>40</v>
      </c>
      <c r="D5871">
        <v>5.4115229999999999</v>
      </c>
      <c r="E5871">
        <v>0.49124620000000002</v>
      </c>
      <c r="F5871" t="s">
        <v>41</v>
      </c>
      <c r="G5871">
        <v>-187.47829999999999</v>
      </c>
      <c r="H5871" s="1">
        <v>-4.60515999999999E-6</v>
      </c>
      <c r="I5871">
        <v>-10.67515</v>
      </c>
      <c r="J5871">
        <v>-187.1534</v>
      </c>
      <c r="K5871">
        <v>1.1203270000000001</v>
      </c>
      <c r="L5871">
        <v>-21.935790000000001</v>
      </c>
      <c r="M5871">
        <v>2.2866979999999999E-2</v>
      </c>
      <c r="N5871">
        <v>-1.202082E-2</v>
      </c>
      <c r="O5871">
        <v>0.99966630000000001</v>
      </c>
      <c r="P5871">
        <v>-1.7531240000000001E-4</v>
      </c>
      <c r="Q5871">
        <v>0.1984243</v>
      </c>
      <c r="R5871">
        <v>0.98011619999999999</v>
      </c>
      <c r="S5871">
        <v>-8.5876460000000002E-2</v>
      </c>
      <c r="T5871">
        <v>-0.30286410000000002</v>
      </c>
      <c r="U5871">
        <v>3.1214900000000001</v>
      </c>
      <c r="V5871">
        <v>-2.2174599999999999E-2</v>
      </c>
      <c r="W5871">
        <v>0.21023259999999999</v>
      </c>
      <c r="X5871">
        <v>0.97739989999999999</v>
      </c>
      <c r="Y5871">
        <v>-5.0222429999999998E-2</v>
      </c>
      <c r="Z5871">
        <v>-8.447971E-2</v>
      </c>
      <c r="AA5871">
        <v>0.99515869999999995</v>
      </c>
      <c r="AB5871">
        <v>30</v>
      </c>
      <c r="AC5871">
        <v>-0.32489999999998498</v>
      </c>
      <c r="AD5871">
        <v>-1.1203316051600001</v>
      </c>
      <c r="AE5871">
        <v>11.260639999999899</v>
      </c>
      <c r="AF5871">
        <v>-0.57662748483076898</v>
      </c>
      <c r="AG5871">
        <v>-1.1203316051600001</v>
      </c>
      <c r="AH5871">
        <v>11.1400872505496</v>
      </c>
      <c r="AI5871">
        <v>95.735162681881604</v>
      </c>
      <c r="AJ5871">
        <v>92.963070381777399</v>
      </c>
      <c r="AK5871">
        <v>11.211118860829201</v>
      </c>
      <c r="AL5871">
        <v>77.864016602015695</v>
      </c>
      <c r="AM5871">
        <v>91.2996656495515</v>
      </c>
      <c r="AN5871">
        <v>1.00000001175396</v>
      </c>
    </row>
    <row r="5872" spans="1:40" x14ac:dyDescent="0.25">
      <c r="A5872" t="str">
        <f>"20190303170650737"</f>
        <v>20190303170650737</v>
      </c>
      <c r="B5872" t="str">
        <f>"1551604010730473"</f>
        <v>1551604010730473</v>
      </c>
      <c r="C5872" t="s">
        <v>40</v>
      </c>
      <c r="D5872">
        <v>5.3335350000000004</v>
      </c>
      <c r="E5872">
        <v>0.49050139999999998</v>
      </c>
      <c r="F5872" t="s">
        <v>41</v>
      </c>
      <c r="G5872">
        <v>-187.53899999999999</v>
      </c>
      <c r="H5872" s="1">
        <v>-1.124908E-6</v>
      </c>
      <c r="I5872">
        <v>-8.9704759999999997</v>
      </c>
      <c r="J5872">
        <v>-187.14500000000001</v>
      </c>
      <c r="K5872">
        <v>1.1203350000000001</v>
      </c>
      <c r="L5872">
        <v>-21.61627</v>
      </c>
      <c r="M5872">
        <v>2.3880169999999999E-2</v>
      </c>
      <c r="N5872">
        <v>-1.1985320000000001E-2</v>
      </c>
      <c r="O5872">
        <v>0.99964299999999995</v>
      </c>
      <c r="P5872">
        <v>1.109154E-3</v>
      </c>
      <c r="Q5872">
        <v>0.2005535</v>
      </c>
      <c r="R5872">
        <v>0.9796821</v>
      </c>
      <c r="S5872">
        <v>-9.266663E-2</v>
      </c>
      <c r="T5872">
        <v>-0.26919670000000001</v>
      </c>
      <c r="U5872">
        <v>3.1153559999999998</v>
      </c>
      <c r="V5872">
        <v>-2.186948E-2</v>
      </c>
      <c r="W5872">
        <v>0.2123215</v>
      </c>
      <c r="X5872">
        <v>0.97695509999999997</v>
      </c>
      <c r="Y5872">
        <v>-5.3481630000000002E-2</v>
      </c>
      <c r="Z5872">
        <v>-7.4020269999999999E-2</v>
      </c>
      <c r="AA5872">
        <v>0.99582170000000003</v>
      </c>
      <c r="AB5872">
        <v>30</v>
      </c>
      <c r="AC5872">
        <v>-0.39400000000000501</v>
      </c>
      <c r="AD5872">
        <v>-1.1203361249079999</v>
      </c>
      <c r="AE5872">
        <v>12.645794</v>
      </c>
      <c r="AF5872">
        <v>-0.69047883326421899</v>
      </c>
      <c r="AG5872">
        <v>-1.1203361249079999</v>
      </c>
      <c r="AH5872">
        <v>12.5344922062705</v>
      </c>
      <c r="AI5872">
        <v>95.099848199485805</v>
      </c>
      <c r="AJ5872">
        <v>93.153025950216602</v>
      </c>
      <c r="AK5872">
        <v>12.603388787188001</v>
      </c>
      <c r="AL5872">
        <v>77.741566889662707</v>
      </c>
      <c r="AM5872">
        <v>91.282371797706602</v>
      </c>
      <c r="AN5872">
        <v>0.999999980466865</v>
      </c>
    </row>
    <row r="5873" spans="1:40" x14ac:dyDescent="0.25">
      <c r="A5873" t="str">
        <f>"20190303170650759"</f>
        <v>20190303170650759</v>
      </c>
      <c r="B5873" t="str">
        <f>"1551604010750969"</f>
        <v>1551604010750969</v>
      </c>
      <c r="C5873" t="s">
        <v>40</v>
      </c>
      <c r="D5873">
        <v>5.3708519999999904</v>
      </c>
      <c r="E5873">
        <v>0.489844</v>
      </c>
      <c r="F5873" t="s">
        <v>41</v>
      </c>
      <c r="G5873">
        <v>-187.57419999999999</v>
      </c>
      <c r="H5873" s="1">
        <v>-1.6816900000000001E-6</v>
      </c>
      <c r="I5873">
        <v>-7.4501860000000004</v>
      </c>
      <c r="J5873">
        <v>-187.13679999999999</v>
      </c>
      <c r="K5873">
        <v>1.120341</v>
      </c>
      <c r="L5873">
        <v>-21.316410000000001</v>
      </c>
      <c r="M5873">
        <v>2.4833529999999999E-2</v>
      </c>
      <c r="N5873">
        <v>-1.1956680000000001E-2</v>
      </c>
      <c r="O5873">
        <v>0.99962010000000001</v>
      </c>
      <c r="P5873">
        <v>2.6382599999999999E-3</v>
      </c>
      <c r="Q5873">
        <v>0.20104440000000001</v>
      </c>
      <c r="R5873">
        <v>0.97957859999999997</v>
      </c>
      <c r="S5873">
        <v>-9.4314579999999995E-2</v>
      </c>
      <c r="T5873">
        <v>-0.2461729</v>
      </c>
      <c r="U5873">
        <v>3.1127319999999998</v>
      </c>
      <c r="V5873">
        <v>-2.1272409999999999E-2</v>
      </c>
      <c r="W5873">
        <v>0.21278179999999999</v>
      </c>
      <c r="X5873">
        <v>0.97686819999999996</v>
      </c>
      <c r="Y5873">
        <v>-5.500265E-2</v>
      </c>
      <c r="Z5873">
        <v>-6.6795950000000007E-2</v>
      </c>
      <c r="AA5873">
        <v>0.99624950000000001</v>
      </c>
      <c r="AB5873">
        <v>30</v>
      </c>
      <c r="AC5873">
        <v>-0.43739999999999601</v>
      </c>
      <c r="AD5873">
        <v>-1.12034268169</v>
      </c>
      <c r="AE5873">
        <v>13.8662239999999</v>
      </c>
      <c r="AF5873">
        <v>-0.77657250493421703</v>
      </c>
      <c r="AG5873">
        <v>-1.12034268169</v>
      </c>
      <c r="AH5873">
        <v>13.7613382971928</v>
      </c>
      <c r="AI5873">
        <v>94.646957603309104</v>
      </c>
      <c r="AJ5873">
        <v>93.229859277877495</v>
      </c>
      <c r="AK5873">
        <v>13.828689898526999</v>
      </c>
      <c r="AL5873">
        <v>77.714577721386902</v>
      </c>
      <c r="AM5873">
        <v>91.247483246161096</v>
      </c>
      <c r="AN5873">
        <v>1.0000000450048401</v>
      </c>
    </row>
    <row r="5874" spans="1:40" x14ac:dyDescent="0.25">
      <c r="A5874" t="str">
        <f>"20190303170650781"</f>
        <v>20190303170650781</v>
      </c>
      <c r="B5874" t="str">
        <f>"1551604010770492"</f>
        <v>1551604010770492</v>
      </c>
      <c r="C5874" t="s">
        <v>40</v>
      </c>
      <c r="D5874">
        <v>5.5264419999999896</v>
      </c>
      <c r="E5874">
        <v>0.48957329999999999</v>
      </c>
      <c r="F5874" t="s">
        <v>41</v>
      </c>
      <c r="G5874">
        <v>-187.59030000000001</v>
      </c>
      <c r="H5874" s="1">
        <v>-2.1697939999999998E-6</v>
      </c>
      <c r="I5874">
        <v>-6.3057270000000001</v>
      </c>
      <c r="J5874">
        <v>-187.1284</v>
      </c>
      <c r="K5874">
        <v>1.120336</v>
      </c>
      <c r="L5874">
        <v>-21.01971</v>
      </c>
      <c r="M5874">
        <v>2.577784E-2</v>
      </c>
      <c r="N5874">
        <v>-1.193193E-2</v>
      </c>
      <c r="O5874">
        <v>0.9995965</v>
      </c>
      <c r="P5874">
        <v>3.599676E-3</v>
      </c>
      <c r="Q5874">
        <v>0.19865440000000001</v>
      </c>
      <c r="R5874">
        <v>0.98006300000000002</v>
      </c>
      <c r="S5874">
        <v>-9.3978880000000001E-2</v>
      </c>
      <c r="T5874">
        <v>-0.23215230000000001</v>
      </c>
      <c r="U5874">
        <v>3.1104430000000001</v>
      </c>
      <c r="V5874">
        <v>-2.1253459999999998E-2</v>
      </c>
      <c r="W5874">
        <v>0.2103737</v>
      </c>
      <c r="X5874">
        <v>0.97738999999999998</v>
      </c>
      <c r="Y5874">
        <v>-5.5870299999999998E-2</v>
      </c>
      <c r="Z5874">
        <v>-6.2408539999999998E-2</v>
      </c>
      <c r="AA5874">
        <v>0.99648570000000003</v>
      </c>
      <c r="AB5874">
        <v>30</v>
      </c>
      <c r="AC5874">
        <v>-0.46190000000001402</v>
      </c>
      <c r="AD5874">
        <v>-1.120338169794</v>
      </c>
      <c r="AE5874">
        <v>14.713983000000001</v>
      </c>
      <c r="AF5874">
        <v>-0.83622497575509103</v>
      </c>
      <c r="AG5874">
        <v>-1.120338169794</v>
      </c>
      <c r="AH5874">
        <v>14.6125528700034</v>
      </c>
      <c r="AI5874">
        <v>94.377132223180993</v>
      </c>
      <c r="AJ5874">
        <v>93.275263587012205</v>
      </c>
      <c r="AK5874">
        <v>14.6792755680728</v>
      </c>
      <c r="AL5874">
        <v>77.855747182787098</v>
      </c>
      <c r="AM5874">
        <v>91.245707115208404</v>
      </c>
      <c r="AN5874">
        <v>1.0000000076568301</v>
      </c>
    </row>
    <row r="5875" spans="1:40" x14ac:dyDescent="0.25">
      <c r="A5875" t="str">
        <f>"20190303170650804"</f>
        <v>20190303170650804</v>
      </c>
      <c r="B5875" t="str">
        <f>"1551604010800745"</f>
        <v>1551604010800745</v>
      </c>
      <c r="C5875" t="s">
        <v>40</v>
      </c>
      <c r="D5875">
        <v>5.358752</v>
      </c>
      <c r="E5875">
        <v>0.48895810000000001</v>
      </c>
      <c r="F5875" t="s">
        <v>41</v>
      </c>
      <c r="G5875">
        <v>-187.56729999999999</v>
      </c>
      <c r="H5875" s="1">
        <v>-2.2316860000000002E-6</v>
      </c>
      <c r="I5875">
        <v>-6.1709870000000002</v>
      </c>
      <c r="J5875">
        <v>-187.11949999999999</v>
      </c>
      <c r="K5875">
        <v>1.120325</v>
      </c>
      <c r="L5875">
        <v>-20.713010000000001</v>
      </c>
      <c r="M5875">
        <v>2.675431E-2</v>
      </c>
      <c r="N5875">
        <v>-1.1909650000000001E-2</v>
      </c>
      <c r="O5875">
        <v>0.99957110000000005</v>
      </c>
      <c r="P5875">
        <v>4.6028839999999998E-3</v>
      </c>
      <c r="Q5875">
        <v>0.19687270000000001</v>
      </c>
      <c r="R5875">
        <v>0.98041829999999996</v>
      </c>
      <c r="S5875">
        <v>-9.1888429999999993E-2</v>
      </c>
      <c r="T5875">
        <v>-0.2345682</v>
      </c>
      <c r="U5875">
        <v>3.1089169999999999</v>
      </c>
      <c r="V5875">
        <v>-2.1220349999999999E-2</v>
      </c>
      <c r="W5875">
        <v>0.2085745</v>
      </c>
      <c r="X5875">
        <v>0.97777619999999998</v>
      </c>
      <c r="Y5875">
        <v>-5.6189040000000003E-2</v>
      </c>
      <c r="Z5875">
        <v>-6.3234250000000006E-2</v>
      </c>
      <c r="AA5875">
        <v>0.99641570000000002</v>
      </c>
      <c r="AB5875">
        <v>30</v>
      </c>
      <c r="AC5875">
        <v>-0.44779999999999998</v>
      </c>
      <c r="AD5875">
        <v>-1.120327231686</v>
      </c>
      <c r="AE5875">
        <v>14.542023</v>
      </c>
      <c r="AF5875">
        <v>-0.831796808041805</v>
      </c>
      <c r="AG5875">
        <v>-1.120327231686</v>
      </c>
      <c r="AH5875">
        <v>14.439215971661501</v>
      </c>
      <c r="AI5875">
        <v>94.429330936497493</v>
      </c>
      <c r="AJ5875">
        <v>93.296981808537794</v>
      </c>
      <c r="AK5875">
        <v>14.5064805143153</v>
      </c>
      <c r="AL5875">
        <v>77.961172148732203</v>
      </c>
      <c r="AM5875">
        <v>91.243275976730501</v>
      </c>
      <c r="AN5875">
        <v>0.99999996129540503</v>
      </c>
    </row>
    <row r="5876" spans="1:40" x14ac:dyDescent="0.25">
      <c r="A5876" t="str">
        <f>"20190303170650827"</f>
        <v>20190303170650827</v>
      </c>
      <c r="B5876" t="str">
        <f>"1551604010820266"</f>
        <v>1551604010820266</v>
      </c>
      <c r="C5876" t="s">
        <v>40</v>
      </c>
      <c r="D5876">
        <v>5.5862319999999999</v>
      </c>
      <c r="E5876">
        <v>0.4886297</v>
      </c>
      <c r="F5876" t="s">
        <v>41</v>
      </c>
      <c r="G5876">
        <v>-187.57249999999999</v>
      </c>
      <c r="H5876" s="1">
        <v>-2.5686080000000001E-6</v>
      </c>
      <c r="I5876">
        <v>-5.3834770000000001</v>
      </c>
      <c r="J5876">
        <v>-187.10980000000001</v>
      </c>
      <c r="K5876">
        <v>1.1203160000000001</v>
      </c>
      <c r="L5876">
        <v>-20.393830000000001</v>
      </c>
      <c r="M5876">
        <v>2.7770099999999898E-2</v>
      </c>
      <c r="N5876">
        <v>-1.1890039999999999E-2</v>
      </c>
      <c r="O5876">
        <v>0.99954359999999998</v>
      </c>
      <c r="P5876">
        <v>6.6971289999999996E-3</v>
      </c>
      <c r="Q5876">
        <v>0.19744030000000001</v>
      </c>
      <c r="R5876">
        <v>0.98029200000000005</v>
      </c>
      <c r="S5876">
        <v>-9.1781619999999994E-2</v>
      </c>
      <c r="T5876">
        <v>-0.2269902</v>
      </c>
      <c r="U5876">
        <v>3.1059269999999999</v>
      </c>
      <c r="V5876">
        <v>-2.011808E-2</v>
      </c>
      <c r="W5876">
        <v>0.20911959999999999</v>
      </c>
      <c r="X5876">
        <v>0.97768310000000003</v>
      </c>
      <c r="Y5876">
        <v>-5.7202349999999999E-2</v>
      </c>
      <c r="Z5876">
        <v>-6.0902480000000002E-2</v>
      </c>
      <c r="AA5876">
        <v>0.99650329999999998</v>
      </c>
      <c r="AB5876">
        <v>30</v>
      </c>
      <c r="AC5876">
        <v>-0.46269999999998301</v>
      </c>
      <c r="AD5876">
        <v>-1.1203185686079999</v>
      </c>
      <c r="AE5876">
        <v>15.010353</v>
      </c>
      <c r="AF5876">
        <v>-0.87452302319270503</v>
      </c>
      <c r="AG5876">
        <v>-1.1203185686079999</v>
      </c>
      <c r="AH5876">
        <v>14.9087414427516</v>
      </c>
      <c r="AI5876">
        <v>94.290072496273197</v>
      </c>
      <c r="AJ5876">
        <v>93.357032377644202</v>
      </c>
      <c r="AK5876">
        <v>14.976330512514799</v>
      </c>
      <c r="AL5876">
        <v>77.929236373500203</v>
      </c>
      <c r="AM5876">
        <v>91.178826171555599</v>
      </c>
      <c r="AN5876">
        <v>0.99999999413632801</v>
      </c>
    </row>
    <row r="5877" spans="1:40" x14ac:dyDescent="0.25">
      <c r="A5877" t="str">
        <f>"20190303170650849"</f>
        <v>20190303170650849</v>
      </c>
      <c r="B5877" t="str">
        <f>"1551604010840761"</f>
        <v>1551604010840761</v>
      </c>
      <c r="C5877" t="s">
        <v>40</v>
      </c>
      <c r="D5877">
        <v>5.4824339999999996</v>
      </c>
      <c r="E5877">
        <v>0.48848380000000002</v>
      </c>
      <c r="F5877" t="s">
        <v>41</v>
      </c>
      <c r="G5877">
        <v>-187.56180000000001</v>
      </c>
      <c r="H5877" s="1">
        <v>-2.9880119999999999E-6</v>
      </c>
      <c r="I5877">
        <v>-4.4102550000000003</v>
      </c>
      <c r="J5877">
        <v>-187.10040000000001</v>
      </c>
      <c r="K5877">
        <v>1.1203110000000001</v>
      </c>
      <c r="L5877">
        <v>-20.094639999999998</v>
      </c>
      <c r="M5877">
        <v>2.8722439999999998E-2</v>
      </c>
      <c r="N5877">
        <v>-1.187413E-2</v>
      </c>
      <c r="O5877">
        <v>0.99951690000000004</v>
      </c>
      <c r="P5877">
        <v>9.4742090000000008E-3</v>
      </c>
      <c r="Q5877">
        <v>0.1988673</v>
      </c>
      <c r="R5877">
        <v>0.97998059999999998</v>
      </c>
      <c r="S5877">
        <v>-8.7799070000000007E-2</v>
      </c>
      <c r="T5877">
        <v>-0.2176168</v>
      </c>
      <c r="U5877">
        <v>3.1047359999999999</v>
      </c>
      <c r="V5877">
        <v>-1.8263939999999999E-2</v>
      </c>
      <c r="W5877">
        <v>0.2105244</v>
      </c>
      <c r="X5877">
        <v>0.97741800000000001</v>
      </c>
      <c r="Y5877">
        <v>-5.6893840000000001E-2</v>
      </c>
      <c r="Z5877">
        <v>-5.7951740000000002E-2</v>
      </c>
      <c r="AA5877">
        <v>0.9966969</v>
      </c>
      <c r="AB5877">
        <v>30</v>
      </c>
      <c r="AC5877">
        <v>-0.46139999999999698</v>
      </c>
      <c r="AD5877">
        <v>-1.1203139880120001</v>
      </c>
      <c r="AE5877">
        <v>15.684385000000001</v>
      </c>
      <c r="AF5877">
        <v>-0.90711105662696501</v>
      </c>
      <c r="AG5877">
        <v>-1.1203139880120001</v>
      </c>
      <c r="AH5877">
        <v>15.5852119011762</v>
      </c>
      <c r="AI5877">
        <v>94.104605909202505</v>
      </c>
      <c r="AJ5877">
        <v>93.331046465135998</v>
      </c>
      <c r="AK5877">
        <v>15.651734213989</v>
      </c>
      <c r="AL5877">
        <v>77.846915068410595</v>
      </c>
      <c r="AM5877">
        <v>91.070498917847402</v>
      </c>
      <c r="AN5877">
        <v>1.00000002061184</v>
      </c>
    </row>
    <row r="5878" spans="1:40" x14ac:dyDescent="0.25">
      <c r="A5878" t="str">
        <f>"20190303170650871"</f>
        <v>20190303170650871</v>
      </c>
      <c r="B5878" t="str">
        <f>"1551604010861257"</f>
        <v>1551604010861257</v>
      </c>
      <c r="C5878" t="s">
        <v>40</v>
      </c>
      <c r="D5878">
        <v>5.4404379999999897</v>
      </c>
      <c r="E5878">
        <v>0.48840879999999998</v>
      </c>
      <c r="F5878" t="s">
        <v>41</v>
      </c>
      <c r="G5878">
        <v>-187.53800000000001</v>
      </c>
      <c r="H5878" s="1">
        <v>-3.3933749999999999E-6</v>
      </c>
      <c r="I5878">
        <v>-3.4751799999999999</v>
      </c>
      <c r="J5878">
        <v>-187.09049999999999</v>
      </c>
      <c r="K5878">
        <v>1.1203000000000001</v>
      </c>
      <c r="L5878">
        <v>-19.785129999999999</v>
      </c>
      <c r="M5878">
        <v>2.9707239999999999E-2</v>
      </c>
      <c r="N5878">
        <v>-1.1859939999999999E-2</v>
      </c>
      <c r="O5878">
        <v>0.9994883</v>
      </c>
      <c r="P5878">
        <v>1.1399930000000001E-2</v>
      </c>
      <c r="Q5878">
        <v>0.19733510000000001</v>
      </c>
      <c r="R5878">
        <v>0.98026979999999997</v>
      </c>
      <c r="S5878">
        <v>-8.1741330000000001E-2</v>
      </c>
      <c r="T5878">
        <v>-0.2092773</v>
      </c>
      <c r="U5878">
        <v>3.1045530000000001</v>
      </c>
      <c r="V5878">
        <v>-1.731622E-2</v>
      </c>
      <c r="W5878">
        <v>0.20898059999999999</v>
      </c>
      <c r="X5878">
        <v>0.97776649999999998</v>
      </c>
      <c r="Y5878">
        <v>-5.5941159999999997E-2</v>
      </c>
      <c r="Z5878">
        <v>-5.5305939999999998E-2</v>
      </c>
      <c r="AA5878">
        <v>0.99690109999999998</v>
      </c>
      <c r="AB5878">
        <v>30</v>
      </c>
      <c r="AC5878">
        <v>-0.44749999999999002</v>
      </c>
      <c r="AD5878">
        <v>-1.120303393375</v>
      </c>
      <c r="AE5878">
        <v>16.309949999999901</v>
      </c>
      <c r="AF5878">
        <v>-0.92748745801781596</v>
      </c>
      <c r="AG5878">
        <v>-1.120303393375</v>
      </c>
      <c r="AH5878">
        <v>16.213018636747201</v>
      </c>
      <c r="AI5878">
        <v>93.946366359872798</v>
      </c>
      <c r="AJ5878">
        <v>93.274113376748502</v>
      </c>
      <c r="AK5878">
        <v>16.278122925985699</v>
      </c>
      <c r="AL5878">
        <v>77.937380937924004</v>
      </c>
      <c r="AM5878">
        <v>91.014600741572494</v>
      </c>
      <c r="AN5878">
        <v>1.0000000355868399</v>
      </c>
    </row>
    <row r="5879" spans="1:40" x14ac:dyDescent="0.25">
      <c r="A5879" t="str">
        <f>"20190303170650896"</f>
        <v>20190303170650896</v>
      </c>
      <c r="B5879" t="str">
        <f>"1551604010890537"</f>
        <v>1551604010890537</v>
      </c>
      <c r="C5879" t="s">
        <v>40</v>
      </c>
      <c r="D5879">
        <v>5.4811459999999999</v>
      </c>
      <c r="E5879">
        <v>0.48786010000000002</v>
      </c>
      <c r="F5879" t="s">
        <v>41</v>
      </c>
      <c r="G5879">
        <v>-187.49770000000001</v>
      </c>
      <c r="H5879" s="1">
        <v>-3.4931360000000002E-6</v>
      </c>
      <c r="I5879">
        <v>-3.2593049999999999</v>
      </c>
      <c r="J5879">
        <v>-187.0796</v>
      </c>
      <c r="K5879">
        <v>1.1202799999999999</v>
      </c>
      <c r="L5879">
        <v>-19.45984</v>
      </c>
      <c r="M5879">
        <v>3.0742180000000001E-2</v>
      </c>
      <c r="N5879">
        <v>-1.1847089999999999E-2</v>
      </c>
      <c r="O5879">
        <v>0.99945709999999999</v>
      </c>
      <c r="P5879">
        <v>1.198138E-2</v>
      </c>
      <c r="Q5879">
        <v>0.19416079999999999</v>
      </c>
      <c r="R5879">
        <v>0.98089649999999995</v>
      </c>
      <c r="S5879">
        <v>-7.6477050000000005E-2</v>
      </c>
      <c r="T5879">
        <v>-0.2103989</v>
      </c>
      <c r="U5879">
        <v>3.1036380000000001</v>
      </c>
      <c r="V5879">
        <v>-1.777511E-2</v>
      </c>
      <c r="W5879">
        <v>0.20580209999999999</v>
      </c>
      <c r="X5879">
        <v>0.97843219999999997</v>
      </c>
      <c r="Y5879">
        <v>-5.5292590000000003E-2</v>
      </c>
      <c r="Z5879">
        <v>-5.5696759999999998E-2</v>
      </c>
      <c r="AA5879">
        <v>0.99691549999999995</v>
      </c>
      <c r="AB5879">
        <v>30</v>
      </c>
      <c r="AC5879">
        <v>-0.41810000000000902</v>
      </c>
      <c r="AD5879">
        <v>-1.120283493136</v>
      </c>
      <c r="AE5879">
        <v>16.200534999999999</v>
      </c>
      <c r="AF5879">
        <v>-0.91162074692668205</v>
      </c>
      <c r="AG5879">
        <v>-1.120283493136</v>
      </c>
      <c r="AH5879">
        <v>16.103071060437902</v>
      </c>
      <c r="AI5879">
        <v>93.973288375031004</v>
      </c>
      <c r="AJ5879">
        <v>93.240147742836001</v>
      </c>
      <c r="AK5879">
        <v>16.1677142808974</v>
      </c>
      <c r="AL5879">
        <v>78.123542931344502</v>
      </c>
      <c r="AM5879">
        <v>91.040773969426695</v>
      </c>
      <c r="AN5879">
        <v>1.00000001444838</v>
      </c>
    </row>
    <row r="5880" spans="1:40" x14ac:dyDescent="0.25">
      <c r="A5880" t="str">
        <f>"20190303170650916"</f>
        <v>20190303170650916</v>
      </c>
      <c r="B5880" t="str">
        <f>"1551604010910566"</f>
        <v>1551604010910566</v>
      </c>
      <c r="C5880" t="s">
        <v>40</v>
      </c>
      <c r="D5880">
        <v>5.4156740000000001</v>
      </c>
      <c r="E5880">
        <v>0.48752400000000001</v>
      </c>
      <c r="F5880" t="s">
        <v>41</v>
      </c>
      <c r="G5880">
        <v>-187.49</v>
      </c>
      <c r="H5880" s="1">
        <v>-3.600866E-6</v>
      </c>
      <c r="I5880">
        <v>-3.0113439999999998</v>
      </c>
      <c r="J5880">
        <v>-187.0701</v>
      </c>
      <c r="K5880">
        <v>1.120271</v>
      </c>
      <c r="L5880">
        <v>-19.181609999999999</v>
      </c>
      <c r="M5880">
        <v>3.1627389999999998E-2</v>
      </c>
      <c r="N5880">
        <v>-1.183761E-2</v>
      </c>
      <c r="O5880">
        <v>0.99942960000000003</v>
      </c>
      <c r="P5880">
        <v>1.354469E-2</v>
      </c>
      <c r="Q5880">
        <v>0.1935973</v>
      </c>
      <c r="R5880">
        <v>0.98098759999999996</v>
      </c>
      <c r="S5880">
        <v>-7.7377319999999999E-2</v>
      </c>
      <c r="T5880">
        <v>-0.21121809999999999</v>
      </c>
      <c r="U5880">
        <v>3.1011959999999998</v>
      </c>
      <c r="V5880">
        <v>-1.7085309999999999E-2</v>
      </c>
      <c r="W5880">
        <v>0.20523</v>
      </c>
      <c r="X5880">
        <v>0.97856460000000001</v>
      </c>
      <c r="Y5880">
        <v>-5.6484359999999997E-2</v>
      </c>
      <c r="Z5880">
        <v>-5.6015769999999999E-2</v>
      </c>
      <c r="AA5880">
        <v>0.99683089999999996</v>
      </c>
      <c r="AB5880">
        <v>30</v>
      </c>
      <c r="AC5880">
        <v>-0.41990000000001199</v>
      </c>
      <c r="AD5880">
        <v>-1.1202746008660001</v>
      </c>
      <c r="AE5880">
        <v>16.170265999999899</v>
      </c>
      <c r="AF5880">
        <v>-0.92670415565764797</v>
      </c>
      <c r="AG5880">
        <v>-1.1202746008660001</v>
      </c>
      <c r="AH5880">
        <v>16.0718061118611</v>
      </c>
      <c r="AI5880">
        <v>93.980724432205193</v>
      </c>
      <c r="AJ5880">
        <v>93.300034273579499</v>
      </c>
      <c r="AK5880">
        <v>16.137433112819199</v>
      </c>
      <c r="AL5880">
        <v>78.157036264323906</v>
      </c>
      <c r="AM5880">
        <v>91.000257625429995</v>
      </c>
      <c r="AN5880">
        <v>0.99999996854547701</v>
      </c>
    </row>
    <row r="5881" spans="1:40" x14ac:dyDescent="0.25">
      <c r="A5881" t="str">
        <f>"20190303170650938"</f>
        <v>20190303170650938</v>
      </c>
      <c r="B5881" t="str">
        <f>"1551604010931063"</f>
        <v>1551604010931063</v>
      </c>
      <c r="C5881" t="s">
        <v>40</v>
      </c>
      <c r="D5881">
        <v>5.4083119999999996</v>
      </c>
      <c r="E5881">
        <v>0.4872184</v>
      </c>
      <c r="F5881" t="s">
        <v>41</v>
      </c>
      <c r="G5881">
        <v>-187.4846</v>
      </c>
      <c r="H5881" s="1">
        <v>-3.8521059999999997E-6</v>
      </c>
      <c r="I5881">
        <v>-2.4279250000000001</v>
      </c>
      <c r="J5881">
        <v>-187.05950000000001</v>
      </c>
      <c r="K5881">
        <v>1.1202730000000001</v>
      </c>
      <c r="L5881">
        <v>-18.88083</v>
      </c>
      <c r="M5881">
        <v>3.2583969999999997E-2</v>
      </c>
      <c r="N5881">
        <v>-1.182889E-2</v>
      </c>
      <c r="O5881">
        <v>0.99939900000000004</v>
      </c>
      <c r="P5881">
        <v>1.6582610000000001E-2</v>
      </c>
      <c r="Q5881">
        <v>0.1955462</v>
      </c>
      <c r="R5881">
        <v>0.98055429999999999</v>
      </c>
      <c r="S5881">
        <v>-7.6705930000000005E-2</v>
      </c>
      <c r="T5881">
        <v>-0.20729529999999999</v>
      </c>
      <c r="U5881">
        <v>3.100098</v>
      </c>
      <c r="V5881">
        <v>-1.496947E-2</v>
      </c>
      <c r="W5881">
        <v>0.20716119999999999</v>
      </c>
      <c r="X5881">
        <v>0.97819230000000001</v>
      </c>
      <c r="Y5881">
        <v>-5.7234779999999999E-2</v>
      </c>
      <c r="Z5881">
        <v>-5.4788450000000002E-2</v>
      </c>
      <c r="AA5881">
        <v>0.99685630000000003</v>
      </c>
      <c r="AB5881">
        <v>30</v>
      </c>
      <c r="AC5881">
        <v>-0.42509999999998599</v>
      </c>
      <c r="AD5881">
        <v>-1.12027685210599</v>
      </c>
      <c r="AE5881">
        <v>16.452904999999902</v>
      </c>
      <c r="AF5881">
        <v>-0.95658073890874495</v>
      </c>
      <c r="AG5881">
        <v>-1.12027685210599</v>
      </c>
      <c r="AH5881">
        <v>16.354541959738501</v>
      </c>
      <c r="AI5881">
        <v>93.911942077911704</v>
      </c>
      <c r="AJ5881">
        <v>93.347428858249998</v>
      </c>
      <c r="AK5881">
        <v>16.420752408104299</v>
      </c>
      <c r="AL5881">
        <v>78.043957164399004</v>
      </c>
      <c r="AM5881">
        <v>90.876740195793403</v>
      </c>
      <c r="AN5881">
        <v>1.0000000117984</v>
      </c>
    </row>
    <row r="5882" spans="1:40" x14ac:dyDescent="0.25">
      <c r="A5882" t="str">
        <f>"20190303170650960"</f>
        <v>20190303170650960</v>
      </c>
      <c r="B5882" t="str">
        <f>"1551604010950583"</f>
        <v>1551604010950583</v>
      </c>
      <c r="C5882" t="s">
        <v>40</v>
      </c>
      <c r="D5882">
        <v>5.4626739999999998</v>
      </c>
      <c r="E5882">
        <v>0.48698599999999997</v>
      </c>
      <c r="F5882" t="s">
        <v>41</v>
      </c>
      <c r="G5882">
        <v>-187.4777</v>
      </c>
      <c r="H5882" s="1">
        <v>-4.3580140000000004E-6</v>
      </c>
      <c r="I5882">
        <v>-1.2515080000000001</v>
      </c>
      <c r="J5882">
        <v>-187.04859999999999</v>
      </c>
      <c r="K5882">
        <v>1.120261</v>
      </c>
      <c r="L5882">
        <v>-18.57648</v>
      </c>
      <c r="M5882">
        <v>3.3552070000000003E-2</v>
      </c>
      <c r="N5882">
        <v>-1.182132E-2</v>
      </c>
      <c r="O5882">
        <v>0.99936709999999995</v>
      </c>
      <c r="P5882">
        <v>1.911332E-2</v>
      </c>
      <c r="Q5882">
        <v>0.19551389999999999</v>
      </c>
      <c r="R5882">
        <v>0.98051460000000001</v>
      </c>
      <c r="S5882">
        <v>-7.3532100000000003E-2</v>
      </c>
      <c r="T5882">
        <v>-0.1969957</v>
      </c>
      <c r="U5882">
        <v>3.1000369999999999</v>
      </c>
      <c r="V5882">
        <v>-1.3388819999999999E-2</v>
      </c>
      <c r="W5882">
        <v>0.20711930000000001</v>
      </c>
      <c r="X5882">
        <v>0.97822410000000004</v>
      </c>
      <c r="Y5882">
        <v>-5.7187719999999997E-2</v>
      </c>
      <c r="Z5882">
        <v>-5.1497380000000002E-2</v>
      </c>
      <c r="AA5882">
        <v>0.99703439999999999</v>
      </c>
      <c r="AB5882">
        <v>30</v>
      </c>
      <c r="AC5882">
        <v>-0.42910000000000498</v>
      </c>
      <c r="AD5882">
        <v>-1.1202653580139901</v>
      </c>
      <c r="AE5882">
        <v>17.324971999999999</v>
      </c>
      <c r="AF5882">
        <v>-1.0059840377628699</v>
      </c>
      <c r="AG5882">
        <v>-1.1202653580139901</v>
      </c>
      <c r="AH5882">
        <v>17.228825668929499</v>
      </c>
      <c r="AI5882">
        <v>93.713983098360899</v>
      </c>
      <c r="AJ5882">
        <v>93.341682775082006</v>
      </c>
      <c r="AK5882">
        <v>17.294491385610701</v>
      </c>
      <c r="AL5882">
        <v>78.046411268843201</v>
      </c>
      <c r="AM5882">
        <v>90.784150566595798</v>
      </c>
      <c r="AN5882">
        <v>1.0000000273771401</v>
      </c>
    </row>
    <row r="5883" spans="1:40" x14ac:dyDescent="0.25">
      <c r="A5883" t="str">
        <f>"20190303170650983"</f>
        <v>20190303170650983</v>
      </c>
      <c r="B5883" t="str">
        <f>"1551604010971078"</f>
        <v>1551604010971078</v>
      </c>
      <c r="C5883" t="s">
        <v>40</v>
      </c>
      <c r="D5883">
        <v>5.4357329999999999</v>
      </c>
      <c r="E5883">
        <v>0.48675780000000002</v>
      </c>
      <c r="F5883" t="s">
        <v>41</v>
      </c>
      <c r="G5883">
        <v>-187.45689999999999</v>
      </c>
      <c r="H5883" s="1">
        <v>-4.6619070000000002E-6</v>
      </c>
      <c r="I5883">
        <v>-0.55173969999999894</v>
      </c>
      <c r="J5883">
        <v>-187.03710000000001</v>
      </c>
      <c r="K5883">
        <v>1.120239</v>
      </c>
      <c r="L5883">
        <v>-18.266539999999999</v>
      </c>
      <c r="M5883">
        <v>3.4537529999999997E-2</v>
      </c>
      <c r="N5883">
        <v>-1.1814720000000001E-2</v>
      </c>
      <c r="O5883">
        <v>0.99933360000000004</v>
      </c>
      <c r="P5883">
        <v>1.9833190000000001E-2</v>
      </c>
      <c r="Q5883">
        <v>0.1914285</v>
      </c>
      <c r="R5883">
        <v>0.98130609999999996</v>
      </c>
      <c r="S5883">
        <v>-7.0205690000000001E-2</v>
      </c>
      <c r="T5883">
        <v>-0.19263230000000001</v>
      </c>
      <c r="U5883">
        <v>3.099396</v>
      </c>
      <c r="V5883">
        <v>-1.367177E-2</v>
      </c>
      <c r="W5883">
        <v>0.20303789999999999</v>
      </c>
      <c r="X5883">
        <v>0.97907540000000004</v>
      </c>
      <c r="Y5883">
        <v>-5.7109699999999999E-2</v>
      </c>
      <c r="Z5883">
        <v>-5.0116939999999999E-2</v>
      </c>
      <c r="AA5883">
        <v>0.99710920000000003</v>
      </c>
      <c r="AB5883">
        <v>30</v>
      </c>
      <c r="AC5883">
        <v>-0.41979999999998002</v>
      </c>
      <c r="AD5883">
        <v>-1.120243661907</v>
      </c>
      <c r="AE5883">
        <v>17.7148003</v>
      </c>
      <c r="AF5883">
        <v>-1.0273117198425801</v>
      </c>
      <c r="AG5883">
        <v>-1.120243661907</v>
      </c>
      <c r="AH5883">
        <v>17.619310088630002</v>
      </c>
      <c r="AI5883">
        <v>93.631842943407804</v>
      </c>
      <c r="AJ5883">
        <v>93.336910499444301</v>
      </c>
      <c r="AK5883">
        <v>17.6847505843613</v>
      </c>
      <c r="AL5883">
        <v>78.285336035120395</v>
      </c>
      <c r="AM5883">
        <v>90.800023992751605</v>
      </c>
      <c r="AN5883">
        <v>0.99999997250825101</v>
      </c>
    </row>
    <row r="5884" spans="1:40" x14ac:dyDescent="0.25">
      <c r="A5884" t="str">
        <f>"20190303170651005"</f>
        <v>20190303170651005</v>
      </c>
      <c r="B5884" t="str">
        <f>"1551604010990598"</f>
        <v>1551604010990598</v>
      </c>
      <c r="C5884" t="s">
        <v>40</v>
      </c>
      <c r="D5884">
        <v>5.4455169999999997</v>
      </c>
      <c r="E5884">
        <v>0.48644789999999999</v>
      </c>
      <c r="F5884" t="s">
        <v>41</v>
      </c>
      <c r="G5884">
        <v>-187.42070000000001</v>
      </c>
      <c r="H5884" s="1">
        <v>-4.4096990000000001E-6</v>
      </c>
      <c r="I5884">
        <v>-1.154598</v>
      </c>
      <c r="J5884">
        <v>-187.02610000000001</v>
      </c>
      <c r="K5884">
        <v>1.120217</v>
      </c>
      <c r="L5884">
        <v>-17.976929999999999</v>
      </c>
      <c r="M5884">
        <v>3.5458419999999997E-2</v>
      </c>
      <c r="N5884">
        <v>-1.180951E-2</v>
      </c>
      <c r="O5884">
        <v>0.99930140000000001</v>
      </c>
      <c r="P5884">
        <v>2.0092929999999998E-2</v>
      </c>
      <c r="Q5884">
        <v>0.1877443</v>
      </c>
      <c r="R5884">
        <v>0.98201240000000001</v>
      </c>
      <c r="S5884">
        <v>-6.9442749999999998E-2</v>
      </c>
      <c r="T5884">
        <v>-0.20281979999999999</v>
      </c>
      <c r="U5884">
        <v>3.0981139999999998</v>
      </c>
      <c r="V5884">
        <v>-1.434857E-2</v>
      </c>
      <c r="W5884">
        <v>0.19935829999999999</v>
      </c>
      <c r="X5884">
        <v>0.97982159999999996</v>
      </c>
      <c r="Y5884">
        <v>-5.7788369999999999E-2</v>
      </c>
      <c r="Z5884">
        <v>-5.3407879999999998E-2</v>
      </c>
      <c r="AA5884">
        <v>0.99689919999999999</v>
      </c>
      <c r="AB5884">
        <v>30</v>
      </c>
      <c r="AC5884">
        <v>-0.39459999999999601</v>
      </c>
      <c r="AD5884">
        <v>-1.120221409699</v>
      </c>
      <c r="AE5884">
        <v>16.822331999999999</v>
      </c>
      <c r="AF5884">
        <v>-0.98651452019276098</v>
      </c>
      <c r="AG5884">
        <v>-1.120221409699</v>
      </c>
      <c r="AH5884">
        <v>16.723640365763401</v>
      </c>
      <c r="AI5884">
        <v>93.825562819717902</v>
      </c>
      <c r="AJ5884">
        <v>93.375921273527297</v>
      </c>
      <c r="AK5884">
        <v>16.790123703793601</v>
      </c>
      <c r="AL5884">
        <v>78.500563209352705</v>
      </c>
      <c r="AM5884">
        <v>90.838983079826804</v>
      </c>
      <c r="AN5884">
        <v>0.99999999053324695</v>
      </c>
    </row>
    <row r="5885" spans="1:40" x14ac:dyDescent="0.25">
      <c r="A5885" t="str">
        <f>"20190303170651027"</f>
        <v>20190303170651027</v>
      </c>
      <c r="B5885" t="str">
        <f>"1551604011020854"</f>
        <v>1551604011020854</v>
      </c>
      <c r="C5885" t="s">
        <v>40</v>
      </c>
      <c r="D5885">
        <v>5.5614549999999996</v>
      </c>
      <c r="E5885">
        <v>0.48603279999999899</v>
      </c>
      <c r="F5885" t="s">
        <v>41</v>
      </c>
      <c r="G5885">
        <v>-187.39840000000001</v>
      </c>
      <c r="H5885" s="1">
        <v>-4.2586780000000002E-6</v>
      </c>
      <c r="I5885">
        <v>-1.515871</v>
      </c>
      <c r="J5885">
        <v>-187.01390000000001</v>
      </c>
      <c r="K5885">
        <v>1.1202080000000001</v>
      </c>
      <c r="L5885">
        <v>-17.66385</v>
      </c>
      <c r="M5885">
        <v>3.6454140000000003E-2</v>
      </c>
      <c r="N5885">
        <v>-1.180462E-2</v>
      </c>
      <c r="O5885">
        <v>0.99926559999999998</v>
      </c>
      <c r="P5885">
        <v>2.2300110000000001E-2</v>
      </c>
      <c r="Q5885">
        <v>0.18775800000000001</v>
      </c>
      <c r="R5885">
        <v>0.98196209999999995</v>
      </c>
      <c r="S5885">
        <v>-7.0022580000000001E-2</v>
      </c>
      <c r="T5885">
        <v>-0.2107378</v>
      </c>
      <c r="U5885">
        <v>3.0966800000000001</v>
      </c>
      <c r="V5885">
        <v>-1.3119769999999999E-2</v>
      </c>
      <c r="W5885">
        <v>0.19936480000000001</v>
      </c>
      <c r="X5885">
        <v>0.97983750000000003</v>
      </c>
      <c r="Y5885">
        <v>-5.8975369999999999E-2</v>
      </c>
      <c r="Z5885">
        <v>-5.5973439999999999E-2</v>
      </c>
      <c r="AA5885">
        <v>0.99668900000000005</v>
      </c>
      <c r="AB5885">
        <v>30</v>
      </c>
      <c r="AC5885">
        <v>-0.38450000000000201</v>
      </c>
      <c r="AD5885">
        <v>-1.1202122586779999</v>
      </c>
      <c r="AE5885">
        <v>16.147978999999999</v>
      </c>
      <c r="AF5885">
        <v>-0.96828892508745201</v>
      </c>
      <c r="AG5885">
        <v>-1.1202122586779999</v>
      </c>
      <c r="AH5885">
        <v>16.046050071274799</v>
      </c>
      <c r="AI5885">
        <v>93.9862451364029</v>
      </c>
      <c r="AJ5885">
        <v>93.453290635047793</v>
      </c>
      <c r="AK5885">
        <v>16.114222967204999</v>
      </c>
      <c r="AL5885">
        <v>78.5001831412104</v>
      </c>
      <c r="AM5885">
        <v>90.767129784974998</v>
      </c>
      <c r="AN5885">
        <v>0.99999998912507104</v>
      </c>
    </row>
    <row r="5886" spans="1:40" x14ac:dyDescent="0.25">
      <c r="A5886" t="str">
        <f>"20190303170651051"</f>
        <v>20190303170651051</v>
      </c>
      <c r="B5886" t="str">
        <f>"1551604011040374"</f>
        <v>1551604011040374</v>
      </c>
      <c r="C5886" t="s">
        <v>40</v>
      </c>
      <c r="D5886">
        <v>5.7037849999999999</v>
      </c>
      <c r="E5886">
        <v>0.48577540000000002</v>
      </c>
      <c r="F5886" t="s">
        <v>41</v>
      </c>
      <c r="G5886">
        <v>-187.39099999999999</v>
      </c>
      <c r="H5886" s="1">
        <v>-4.5953120000000002E-6</v>
      </c>
      <c r="I5886">
        <v>-0.73420810000000003</v>
      </c>
      <c r="J5886">
        <v>-187.00149999999999</v>
      </c>
      <c r="K5886">
        <v>1.1202080000000001</v>
      </c>
      <c r="L5886">
        <v>-17.351589999999899</v>
      </c>
      <c r="M5886">
        <v>3.744716E-2</v>
      </c>
      <c r="N5886">
        <v>-1.180047E-2</v>
      </c>
      <c r="O5886">
        <v>0.99922900000000003</v>
      </c>
      <c r="P5886">
        <v>2.4593859999999999E-2</v>
      </c>
      <c r="Q5886">
        <v>0.1889054</v>
      </c>
      <c r="R5886">
        <v>0.98168719999999998</v>
      </c>
      <c r="S5886">
        <v>-6.8954470000000004E-2</v>
      </c>
      <c r="T5886">
        <v>-0.2048488</v>
      </c>
      <c r="U5886">
        <v>3.0958559999999999</v>
      </c>
      <c r="V5886">
        <v>-1.1790510000000001E-2</v>
      </c>
      <c r="W5886">
        <v>0.20050290000000001</v>
      </c>
      <c r="X5886">
        <v>0.9796222</v>
      </c>
      <c r="Y5886">
        <v>-5.9632360000000002E-2</v>
      </c>
      <c r="Z5886">
        <v>-5.4103779999999997E-2</v>
      </c>
      <c r="AA5886">
        <v>0.99675309999999995</v>
      </c>
      <c r="AB5886">
        <v>30</v>
      </c>
      <c r="AC5886">
        <v>-0.38949999999999801</v>
      </c>
      <c r="AD5886">
        <v>-1.1202125953119999</v>
      </c>
      <c r="AE5886">
        <v>16.617381899999899</v>
      </c>
      <c r="AF5886">
        <v>-1.00697026359335</v>
      </c>
      <c r="AG5886">
        <v>-1.1202125953119999</v>
      </c>
      <c r="AH5886">
        <v>16.516123801336601</v>
      </c>
      <c r="AI5886">
        <v>93.872996371181898</v>
      </c>
      <c r="AJ5886">
        <v>93.488943144172694</v>
      </c>
      <c r="AK5886">
        <v>16.584667943360699</v>
      </c>
      <c r="AL5886">
        <v>78.433631702200898</v>
      </c>
      <c r="AM5886">
        <v>90.689565675721795</v>
      </c>
      <c r="AN5886">
        <v>1.0000000418836501</v>
      </c>
    </row>
    <row r="5887" spans="1:40" x14ac:dyDescent="0.25">
      <c r="A5887" t="str">
        <f>"20190303170651096"</f>
        <v>20190303170651096</v>
      </c>
      <c r="B5887" t="str">
        <f>"1551604011091126"</f>
        <v>1551604011091126</v>
      </c>
      <c r="C5887" t="s">
        <v>40</v>
      </c>
      <c r="D5887">
        <v>5.6514569999999997</v>
      </c>
      <c r="E5887">
        <v>0.48542980000000002</v>
      </c>
      <c r="F5887" t="s">
        <v>41</v>
      </c>
      <c r="G5887">
        <v>-187.381</v>
      </c>
      <c r="H5887" s="1">
        <v>-9.0101010000000004E-7</v>
      </c>
      <c r="I5887">
        <v>0.2480212</v>
      </c>
      <c r="J5887">
        <v>-186.97620000000001</v>
      </c>
      <c r="K5887">
        <v>1.1201810000000001</v>
      </c>
      <c r="L5887">
        <v>-16.740570000000002</v>
      </c>
      <c r="M5887">
        <v>3.9390109999999999E-2</v>
      </c>
      <c r="N5887">
        <v>-1.17941E-2</v>
      </c>
      <c r="O5887">
        <v>0.99915430000000005</v>
      </c>
      <c r="P5887">
        <v>2.3948569999999999E-2</v>
      </c>
      <c r="Q5887">
        <v>0.18419350000000001</v>
      </c>
      <c r="R5887">
        <v>0.98259819999999998</v>
      </c>
      <c r="S5887">
        <v>-6.6757200000000003E-2</v>
      </c>
      <c r="T5887">
        <v>-0.1970307</v>
      </c>
      <c r="U5887">
        <v>3.0955509999999999</v>
      </c>
      <c r="V5887">
        <v>-1.438993E-2</v>
      </c>
      <c r="W5887">
        <v>0.19580059999999999</v>
      </c>
      <c r="X5887">
        <v>0.98053809999999997</v>
      </c>
      <c r="Y5887">
        <v>-6.0871580000000002E-2</v>
      </c>
      <c r="Z5887">
        <v>-5.1601229999999998E-2</v>
      </c>
      <c r="AA5887">
        <v>0.99681090000000006</v>
      </c>
      <c r="AB5887">
        <v>30</v>
      </c>
      <c r="AC5887">
        <v>-0.40479999999996602</v>
      </c>
      <c r="AD5887">
        <v>-1.1201819010101</v>
      </c>
      <c r="AE5887">
        <v>16.988591199999998</v>
      </c>
      <c r="AF5887">
        <v>-1.06906943269318</v>
      </c>
      <c r="AG5887">
        <v>-1.1201819010101</v>
      </c>
      <c r="AH5887">
        <v>16.8860839956067</v>
      </c>
      <c r="AI5887">
        <v>93.787741061637803</v>
      </c>
      <c r="AJ5887">
        <v>93.622599745519594</v>
      </c>
      <c r="AK5887">
        <v>16.9569322004293</v>
      </c>
      <c r="AL5887">
        <v>78.708503284815393</v>
      </c>
      <c r="AM5887">
        <v>90.840786374458901</v>
      </c>
      <c r="AN5887">
        <v>0.99999995529868602</v>
      </c>
    </row>
    <row r="5888" spans="1:40" x14ac:dyDescent="0.25">
      <c r="A5888" t="str">
        <f>"20190303170651117"</f>
        <v>20190303170651117</v>
      </c>
      <c r="B5888" t="str">
        <f>"1551604011110646"</f>
        <v>1551604011110646</v>
      </c>
      <c r="C5888" t="s">
        <v>40</v>
      </c>
      <c r="D5888">
        <v>5.5247820000000001</v>
      </c>
      <c r="E5888">
        <v>0.48516599999999999</v>
      </c>
      <c r="F5888" t="s">
        <v>41</v>
      </c>
      <c r="G5888">
        <v>-187.36019999999999</v>
      </c>
      <c r="H5888" s="1">
        <v>-8.7869979999999996E-7</v>
      </c>
      <c r="I5888">
        <v>0.16619139999999999</v>
      </c>
      <c r="J5888">
        <v>-186.9632</v>
      </c>
      <c r="K5888">
        <v>1.120182</v>
      </c>
      <c r="L5888">
        <v>-16.436920000000001</v>
      </c>
      <c r="M5888">
        <v>4.035561E-2</v>
      </c>
      <c r="N5888">
        <v>-1.1791670000000001E-2</v>
      </c>
      <c r="O5888">
        <v>0.9991158</v>
      </c>
      <c r="P5888">
        <v>2.443586E-2</v>
      </c>
      <c r="Q5888">
        <v>0.1845077</v>
      </c>
      <c r="R5888">
        <v>0.98252729999999999</v>
      </c>
      <c r="S5888">
        <v>-7.0251460000000002E-2</v>
      </c>
      <c r="T5888">
        <v>-0.2049484</v>
      </c>
      <c r="U5888">
        <v>3.0932620000000002</v>
      </c>
      <c r="V5888">
        <v>-1.4849060000000001E-2</v>
      </c>
      <c r="W5888">
        <v>0.1961125</v>
      </c>
      <c r="X5888">
        <v>0.98046900000000003</v>
      </c>
      <c r="Y5888">
        <v>-6.2972340000000002E-2</v>
      </c>
      <c r="Z5888">
        <v>-5.4180770000000003E-2</v>
      </c>
      <c r="AA5888">
        <v>0.99654350000000003</v>
      </c>
      <c r="AB5888">
        <v>30</v>
      </c>
      <c r="AC5888">
        <v>-0.39699999999999103</v>
      </c>
      <c r="AD5888">
        <v>-1.1201828786998</v>
      </c>
      <c r="AE5888">
        <v>16.6031114</v>
      </c>
      <c r="AF5888">
        <v>-1.0619207619550901</v>
      </c>
      <c r="AG5888">
        <v>-1.1201828786998</v>
      </c>
      <c r="AH5888">
        <v>16.4985043126797</v>
      </c>
      <c r="AI5888">
        <v>93.876198161970805</v>
      </c>
      <c r="AJ5888">
        <v>93.682743828232205</v>
      </c>
      <c r="AK5888">
        <v>16.570550079641801</v>
      </c>
      <c r="AL5888">
        <v>78.690280313716599</v>
      </c>
      <c r="AM5888">
        <v>90.867669889816796</v>
      </c>
      <c r="AN5888">
        <v>1.0000000336000601</v>
      </c>
    </row>
    <row r="5889" spans="1:40" x14ac:dyDescent="0.25">
      <c r="A5889" t="str">
        <f>"20190303170651139"</f>
        <v>20190303170651139</v>
      </c>
      <c r="B5889" t="str">
        <f>"1551604011131142"</f>
        <v>1551604011131142</v>
      </c>
      <c r="C5889" t="s">
        <v>40</v>
      </c>
      <c r="D5889">
        <v>5.6074760000000001</v>
      </c>
      <c r="E5889">
        <v>0.485037</v>
      </c>
      <c r="F5889" t="s">
        <v>41</v>
      </c>
      <c r="G5889">
        <v>-187.3501</v>
      </c>
      <c r="H5889" s="1">
        <v>-1.0940170000000001E-6</v>
      </c>
      <c r="I5889">
        <v>0.79104640000000004</v>
      </c>
      <c r="J5889">
        <v>-186.95009999999999</v>
      </c>
      <c r="K5889">
        <v>1.1201989999999999</v>
      </c>
      <c r="L5889">
        <v>-16.137049999999999</v>
      </c>
      <c r="M5889">
        <v>4.1308909999999997E-2</v>
      </c>
      <c r="N5889">
        <v>-1.178968E-2</v>
      </c>
      <c r="O5889">
        <v>0.99907679999999999</v>
      </c>
      <c r="P5889">
        <v>2.6024019999999998E-2</v>
      </c>
      <c r="Q5889">
        <v>0.1873322</v>
      </c>
      <c r="R5889">
        <v>0.98195180000000004</v>
      </c>
      <c r="S5889">
        <v>-6.9458010000000001E-2</v>
      </c>
      <c r="T5889">
        <v>-0.2010998</v>
      </c>
      <c r="U5889">
        <v>3.0928339999999999</v>
      </c>
      <c r="V5889">
        <v>-1.4170429999999999E-2</v>
      </c>
      <c r="W5889">
        <v>0.1989274</v>
      </c>
      <c r="X5889">
        <v>0.97991170000000005</v>
      </c>
      <c r="Y5889">
        <v>-6.3673820000000006E-2</v>
      </c>
      <c r="Z5889">
        <v>-5.2952350000000002E-2</v>
      </c>
      <c r="AA5889">
        <v>0.99656489999999998</v>
      </c>
      <c r="AB5889">
        <v>30</v>
      </c>
      <c r="AC5889">
        <v>-0.40000000000000502</v>
      </c>
      <c r="AD5889">
        <v>-1.120200094017</v>
      </c>
      <c r="AE5889">
        <v>16.928096399999902</v>
      </c>
      <c r="AF5889">
        <v>-1.0941995536473099</v>
      </c>
      <c r="AG5889">
        <v>-1.120200094017</v>
      </c>
      <c r="AH5889">
        <v>16.823491275199</v>
      </c>
      <c r="AI5889">
        <v>93.801434933850899</v>
      </c>
      <c r="AJ5889">
        <v>93.721275074705702</v>
      </c>
      <c r="AK5889">
        <v>16.8962119896897</v>
      </c>
      <c r="AL5889">
        <v>78.525755818104201</v>
      </c>
      <c r="AM5889">
        <v>90.828492245963702</v>
      </c>
      <c r="AN5889">
        <v>0.99999992567701401</v>
      </c>
    </row>
    <row r="5890" spans="1:40" x14ac:dyDescent="0.25">
      <c r="A5890" t="str">
        <f>"20190303170651161"</f>
        <v>20190303170651161</v>
      </c>
      <c r="B5890" t="str">
        <f>"1551604011150662"</f>
        <v>1551604011150662</v>
      </c>
      <c r="C5890" t="s">
        <v>40</v>
      </c>
      <c r="D5890">
        <v>5.7167079999999997</v>
      </c>
      <c r="E5890">
        <v>0.48485820000000002</v>
      </c>
      <c r="F5890" t="s">
        <v>41</v>
      </c>
      <c r="G5890">
        <v>-187.34360000000001</v>
      </c>
      <c r="H5890" s="1">
        <v>-1.5783809999999999E-6</v>
      </c>
      <c r="I5890">
        <v>2.2092939999999999</v>
      </c>
      <c r="J5890">
        <v>-186.9366</v>
      </c>
      <c r="K5890">
        <v>1.120214</v>
      </c>
      <c r="L5890">
        <v>-15.83508</v>
      </c>
      <c r="M5890">
        <v>4.2269029999999999E-2</v>
      </c>
      <c r="N5890">
        <v>-1.178805E-2</v>
      </c>
      <c r="O5890">
        <v>0.9990367</v>
      </c>
      <c r="P5890">
        <v>2.8039999999999999E-2</v>
      </c>
      <c r="Q5890">
        <v>0.18947230000000001</v>
      </c>
      <c r="R5890">
        <v>0.98148559999999996</v>
      </c>
      <c r="S5890">
        <v>-6.6345210000000002E-2</v>
      </c>
      <c r="T5890">
        <v>-0.1888494</v>
      </c>
      <c r="U5890">
        <v>3.0929259999999998</v>
      </c>
      <c r="V5890">
        <v>-1.3075899999999901E-2</v>
      </c>
      <c r="W5890">
        <v>0.20105880000000001</v>
      </c>
      <c r="X5890">
        <v>0.97949189999999997</v>
      </c>
      <c r="Y5890">
        <v>-6.3635570000000002E-2</v>
      </c>
      <c r="Z5890">
        <v>-4.9018890000000002E-2</v>
      </c>
      <c r="AA5890">
        <v>0.9967686</v>
      </c>
      <c r="AB5890">
        <v>30</v>
      </c>
      <c r="AC5890">
        <v>-0.40700000000001002</v>
      </c>
      <c r="AD5890">
        <v>-1.1202155783809999</v>
      </c>
      <c r="AE5890">
        <v>18.044374000000001</v>
      </c>
      <c r="AF5890">
        <v>-1.16492000012797</v>
      </c>
      <c r="AG5890">
        <v>-1.1202155783809999</v>
      </c>
      <c r="AH5890">
        <v>17.941925907661599</v>
      </c>
      <c r="AI5890">
        <v>93.565173742047193</v>
      </c>
      <c r="AJ5890">
        <v>93.714843512641494</v>
      </c>
      <c r="AK5890">
        <v>18.014567072920901</v>
      </c>
      <c r="AL5890">
        <v>78.401118415864005</v>
      </c>
      <c r="AM5890">
        <v>90.7648346887961</v>
      </c>
      <c r="AN5890">
        <v>1.0000000011919199</v>
      </c>
    </row>
    <row r="5891" spans="1:40" x14ac:dyDescent="0.25">
      <c r="A5891" t="str">
        <f>"20190303170651206"</f>
        <v>20190303170651206</v>
      </c>
      <c r="B5891" t="str">
        <f>"1551604011200439"</f>
        <v>1551604011200439</v>
      </c>
      <c r="C5891" t="s">
        <v>40</v>
      </c>
      <c r="D5891">
        <v>5.6407999999999996</v>
      </c>
      <c r="E5891">
        <v>0.4845197</v>
      </c>
      <c r="F5891" t="s">
        <v>41</v>
      </c>
      <c r="G5891">
        <v>-187.316</v>
      </c>
      <c r="H5891" s="1">
        <v>-2.1208180000000002E-6</v>
      </c>
      <c r="I5891">
        <v>3.4666700000000001</v>
      </c>
      <c r="J5891">
        <v>-186.90889999999999</v>
      </c>
      <c r="K5891">
        <v>1.1202030000000001</v>
      </c>
      <c r="L5891">
        <v>-15.233700000000001</v>
      </c>
      <c r="M5891">
        <v>4.4180900000000002E-2</v>
      </c>
      <c r="N5891">
        <v>-1.1785510000000001E-2</v>
      </c>
      <c r="O5891">
        <v>0.99895409999999996</v>
      </c>
      <c r="P5891">
        <v>2.8448080000000001E-2</v>
      </c>
      <c r="Q5891">
        <v>0.18857170000000001</v>
      </c>
      <c r="R5891">
        <v>0.9816473</v>
      </c>
      <c r="S5891">
        <v>-6.0791020000000001E-2</v>
      </c>
      <c r="T5891">
        <v>-0.17950769999999999</v>
      </c>
      <c r="U5891">
        <v>3.0929869999999999</v>
      </c>
      <c r="V5891">
        <v>-1.455592E-2</v>
      </c>
      <c r="W5891">
        <v>0.20016100000000001</v>
      </c>
      <c r="X5891">
        <v>0.9796549</v>
      </c>
      <c r="Y5891">
        <v>-6.3759780000000002E-2</v>
      </c>
      <c r="Z5891">
        <v>-4.601533E-2</v>
      </c>
      <c r="AA5891">
        <v>0.99690380000000001</v>
      </c>
      <c r="AB5891">
        <v>31</v>
      </c>
      <c r="AC5891">
        <v>-0.40709999999998497</v>
      </c>
      <c r="AD5891">
        <v>-1.1202051208179999</v>
      </c>
      <c r="AE5891">
        <v>18.700369999999999</v>
      </c>
      <c r="AF5891">
        <v>-1.2285525457336</v>
      </c>
      <c r="AG5891">
        <v>-1.1202051208179999</v>
      </c>
      <c r="AH5891">
        <v>18.597417726811099</v>
      </c>
      <c r="AI5891">
        <v>93.439535859233601</v>
      </c>
      <c r="AJ5891">
        <v>93.779489681425105</v>
      </c>
      <c r="AK5891">
        <v>18.671586621812299</v>
      </c>
      <c r="AL5891">
        <v>78.4536261097889</v>
      </c>
      <c r="AM5891">
        <v>90.851250188728599</v>
      </c>
      <c r="AN5891">
        <v>1.0000000119110199</v>
      </c>
    </row>
    <row r="5892" spans="1:40" x14ac:dyDescent="0.25">
      <c r="A5892" t="str">
        <f>"20190303170651228"</f>
        <v>20190303170651228</v>
      </c>
      <c r="B5892" t="str">
        <f>"1551604011220934"</f>
        <v>1551604011220934</v>
      </c>
      <c r="C5892" t="s">
        <v>40</v>
      </c>
      <c r="D5892">
        <v>5.634309</v>
      </c>
      <c r="E5892">
        <v>0.4844234</v>
      </c>
      <c r="F5892" t="s">
        <v>41</v>
      </c>
      <c r="G5892">
        <v>-187.27529999999999</v>
      </c>
      <c r="H5892" s="1">
        <v>-2.400064E-6</v>
      </c>
      <c r="I5892">
        <v>4.1007870000000004</v>
      </c>
      <c r="J5892">
        <v>-186.89400000000001</v>
      </c>
      <c r="K5892">
        <v>1.120204</v>
      </c>
      <c r="L5892">
        <v>-14.920719999999999</v>
      </c>
      <c r="M5892">
        <v>4.5176019999999997E-2</v>
      </c>
      <c r="N5892">
        <v>-1.178454E-2</v>
      </c>
      <c r="O5892">
        <v>0.99890950000000001</v>
      </c>
      <c r="P5892">
        <v>2.9162359999999998E-2</v>
      </c>
      <c r="Q5892">
        <v>0.1889786</v>
      </c>
      <c r="R5892">
        <v>0.98154810000000003</v>
      </c>
      <c r="S5892">
        <v>-5.8609010000000003E-2</v>
      </c>
      <c r="T5892">
        <v>-0.17915619999999999</v>
      </c>
      <c r="U5892">
        <v>3.0921940000000001</v>
      </c>
      <c r="V5892">
        <v>-1.481533E-2</v>
      </c>
      <c r="W5892">
        <v>0.20056640000000001</v>
      </c>
      <c r="X5892">
        <v>0.97956810000000005</v>
      </c>
      <c r="Y5892">
        <v>-6.4055749999999995E-2</v>
      </c>
      <c r="Z5892">
        <v>-4.591423E-2</v>
      </c>
      <c r="AA5892">
        <v>0.99688949999999998</v>
      </c>
      <c r="AB5892">
        <v>31</v>
      </c>
      <c r="AC5892">
        <v>-0.38129999999998099</v>
      </c>
      <c r="AD5892">
        <v>-1.120206400064</v>
      </c>
      <c r="AE5892">
        <v>19.021507</v>
      </c>
      <c r="AF5892">
        <v>-1.23600133852823</v>
      </c>
      <c r="AG5892">
        <v>-1.120206400064</v>
      </c>
      <c r="AH5892">
        <v>18.919267566888401</v>
      </c>
      <c r="AI5892">
        <v>93.381325214150706</v>
      </c>
      <c r="AJ5892">
        <v>93.737838481150305</v>
      </c>
      <c r="AK5892">
        <v>18.992662976926201</v>
      </c>
      <c r="AL5892">
        <v>78.429917709877003</v>
      </c>
      <c r="AM5892">
        <v>90.866495311416898</v>
      </c>
      <c r="AN5892">
        <v>1.0000000186747799</v>
      </c>
    </row>
    <row r="5893" spans="1:40" x14ac:dyDescent="0.25">
      <c r="A5893" t="str">
        <f>"20190303170651262"</f>
        <v>20190303170651262</v>
      </c>
      <c r="B5893" t="str">
        <f>"1551604011251191"</f>
        <v>1551604011251191</v>
      </c>
      <c r="C5893" t="s">
        <v>40</v>
      </c>
      <c r="D5893">
        <v>5.5697609999999997</v>
      </c>
      <c r="E5893">
        <v>0.48426449999999999</v>
      </c>
      <c r="F5893" t="s">
        <v>41</v>
      </c>
      <c r="G5893">
        <v>-187.25020000000001</v>
      </c>
      <c r="H5893" s="1">
        <v>-2.696785E-6</v>
      </c>
      <c r="I5893">
        <v>4.7820729999999996</v>
      </c>
      <c r="J5893">
        <v>-186.8716</v>
      </c>
      <c r="K5893">
        <v>1.1202110000000001</v>
      </c>
      <c r="L5893">
        <v>-14.46405</v>
      </c>
      <c r="M5893">
        <v>4.6627200000000001E-2</v>
      </c>
      <c r="N5893">
        <v>-1.1777920000000001E-2</v>
      </c>
      <c r="O5893">
        <v>0.99884289999999998</v>
      </c>
      <c r="P5893">
        <v>3.057588E-2</v>
      </c>
      <c r="Q5893">
        <v>0.19034300000000001</v>
      </c>
      <c r="R5893">
        <v>0.98124140000000004</v>
      </c>
      <c r="S5893">
        <v>-5.5908199999999998E-2</v>
      </c>
      <c r="T5893">
        <v>-0.1757901</v>
      </c>
      <c r="U5893">
        <v>3.091888</v>
      </c>
      <c r="V5893">
        <v>-1.4812519999999999E-2</v>
      </c>
      <c r="W5893">
        <v>0.2019205</v>
      </c>
      <c r="X5893">
        <v>0.97928990000000005</v>
      </c>
      <c r="Y5893">
        <v>-6.4638000000000001E-2</v>
      </c>
      <c r="Z5893">
        <v>-4.4839200000000003E-2</v>
      </c>
      <c r="AA5893">
        <v>0.99690089999999998</v>
      </c>
      <c r="AB5893">
        <v>31</v>
      </c>
      <c r="AC5893">
        <v>-0.37860000000000499</v>
      </c>
      <c r="AD5893">
        <v>-1.120213696785</v>
      </c>
      <c r="AE5893">
        <v>19.246123000000001</v>
      </c>
      <c r="AF5893">
        <v>-1.2713379113448799</v>
      </c>
      <c r="AG5893">
        <v>-1.120213696785</v>
      </c>
      <c r="AH5893">
        <v>19.142706769378499</v>
      </c>
      <c r="AI5893">
        <v>93.341732186145194</v>
      </c>
      <c r="AJ5893">
        <v>93.799644584155004</v>
      </c>
      <c r="AK5893">
        <v>19.217554508045499</v>
      </c>
      <c r="AL5893">
        <v>78.3507128844211</v>
      </c>
      <c r="AM5893">
        <v>90.866577062407998</v>
      </c>
      <c r="AN5893">
        <v>1.0000000036554999</v>
      </c>
    </row>
    <row r="5894" spans="1:40" x14ac:dyDescent="0.25">
      <c r="A5894" t="str">
        <f>"20190303170651287"</f>
        <v>20190303170651287</v>
      </c>
      <c r="B5894" t="str">
        <f>"1551604011280470"</f>
        <v>1551604011280470</v>
      </c>
      <c r="C5894" t="s">
        <v>40</v>
      </c>
      <c r="D5894">
        <v>5.5579190000000001</v>
      </c>
      <c r="E5894">
        <v>0.48394280000000001</v>
      </c>
      <c r="F5894" t="s">
        <v>41</v>
      </c>
      <c r="G5894">
        <v>-187.2242</v>
      </c>
      <c r="H5894" s="1">
        <v>-3.3047619999999999E-6</v>
      </c>
      <c r="I5894">
        <v>6.1885320000000004</v>
      </c>
      <c r="J5894">
        <v>-186.85509999999999</v>
      </c>
      <c r="K5894">
        <v>1.120214</v>
      </c>
      <c r="L5894">
        <v>-14.1347</v>
      </c>
      <c r="M5894">
        <v>4.7671900000000003E-2</v>
      </c>
      <c r="N5894">
        <v>-1.1767730000000001E-2</v>
      </c>
      <c r="O5894">
        <v>0.99879370000000001</v>
      </c>
      <c r="P5894">
        <v>3.102533E-2</v>
      </c>
      <c r="Q5894">
        <v>0.1885809</v>
      </c>
      <c r="R5894">
        <v>0.98156739999999998</v>
      </c>
      <c r="S5894">
        <v>-5.2780149999999998E-2</v>
      </c>
      <c r="T5894">
        <v>-0.1676868</v>
      </c>
      <c r="U5894">
        <v>3.0915219999999999</v>
      </c>
      <c r="V5894">
        <v>-1.5409859999999999E-2</v>
      </c>
      <c r="W5894">
        <v>0.2001539</v>
      </c>
      <c r="X5894">
        <v>0.97964329999999999</v>
      </c>
      <c r="Y5894">
        <v>-6.4678449999999998E-2</v>
      </c>
      <c r="Z5894">
        <v>-4.224928E-2</v>
      </c>
      <c r="AA5894">
        <v>0.99701139999999999</v>
      </c>
      <c r="AB5894">
        <v>31</v>
      </c>
      <c r="AC5894">
        <v>-0.36910000000000298</v>
      </c>
      <c r="AD5894">
        <v>-1.1202173047620001</v>
      </c>
      <c r="AE5894">
        <v>20.323232000000001</v>
      </c>
      <c r="AF5894">
        <v>-1.33354423032388</v>
      </c>
      <c r="AG5894">
        <v>-1.1202173047620001</v>
      </c>
      <c r="AH5894">
        <v>20.221109461718399</v>
      </c>
      <c r="AI5894">
        <v>93.163995068033401</v>
      </c>
      <c r="AJ5894">
        <v>93.773085579098804</v>
      </c>
      <c r="AK5894">
        <v>20.2959723809163</v>
      </c>
      <c r="AL5894">
        <v>78.454041422468094</v>
      </c>
      <c r="AM5894">
        <v>90.9011924338987</v>
      </c>
      <c r="AN5894">
        <v>1.0000000213526501</v>
      </c>
    </row>
    <row r="5895" spans="1:40" x14ac:dyDescent="0.25">
      <c r="A5895" t="str">
        <f>"20190303170651309"</f>
        <v>20190303170651309</v>
      </c>
      <c r="B5895" t="str">
        <f>"1551604011300966"</f>
        <v>1551604011300966</v>
      </c>
      <c r="C5895" t="s">
        <v>40</v>
      </c>
      <c r="D5895">
        <v>5.5526989999999996</v>
      </c>
      <c r="E5895">
        <v>0.48373500000000003</v>
      </c>
      <c r="F5895" t="s">
        <v>41</v>
      </c>
      <c r="G5895">
        <v>-187.202</v>
      </c>
      <c r="H5895" s="1">
        <v>-3.3128580000000002E-6</v>
      </c>
      <c r="I5895">
        <v>6.1981909999999996</v>
      </c>
      <c r="J5895">
        <v>-186.8391</v>
      </c>
      <c r="K5895">
        <v>1.120204</v>
      </c>
      <c r="L5895">
        <v>-13.82098</v>
      </c>
      <c r="M5895">
        <v>4.8652540000000001E-2</v>
      </c>
      <c r="N5895">
        <v>-1.175271E-2</v>
      </c>
      <c r="O5895">
        <v>0.99874660000000004</v>
      </c>
      <c r="P5895">
        <v>3.1237109999999998E-2</v>
      </c>
      <c r="Q5895">
        <v>0.18749779999999999</v>
      </c>
      <c r="R5895">
        <v>0.98176819999999998</v>
      </c>
      <c r="S5895">
        <v>-5.2719120000000001E-2</v>
      </c>
      <c r="T5895">
        <v>-0.17028009999999999</v>
      </c>
      <c r="U5895">
        <v>3.0907290000000001</v>
      </c>
      <c r="V5895">
        <v>-1.6177759999999999E-2</v>
      </c>
      <c r="W5895">
        <v>0.19905970000000001</v>
      </c>
      <c r="X5895">
        <v>0.9798538</v>
      </c>
      <c r="Y5895">
        <v>-6.5641599999999994E-2</v>
      </c>
      <c r="Z5895">
        <v>-4.3105839999999999E-2</v>
      </c>
      <c r="AA5895">
        <v>0.99691180000000001</v>
      </c>
      <c r="AB5895">
        <v>31</v>
      </c>
      <c r="AC5895">
        <v>-0.362899999999996</v>
      </c>
      <c r="AD5895">
        <v>-1.1202073128579999</v>
      </c>
      <c r="AE5895">
        <v>20.019171</v>
      </c>
      <c r="AF5895">
        <v>-1.3323505623321199</v>
      </c>
      <c r="AG5895">
        <v>-1.1202073128579999</v>
      </c>
      <c r="AH5895">
        <v>19.915465139830498</v>
      </c>
      <c r="AI5895">
        <v>93.212221783126907</v>
      </c>
      <c r="AJ5895">
        <v>93.827401513971196</v>
      </c>
      <c r="AK5895">
        <v>19.991392502287798</v>
      </c>
      <c r="AL5895">
        <v>78.518021487723104</v>
      </c>
      <c r="AM5895">
        <v>90.945889233795199</v>
      </c>
      <c r="AN5895">
        <v>0.99999997672857299</v>
      </c>
    </row>
    <row r="5896" spans="1:40" x14ac:dyDescent="0.25">
      <c r="A5896" t="str">
        <f>"20190303170651330"</f>
        <v>20190303170651330</v>
      </c>
      <c r="B5896" t="str">
        <f>"1551604011320487"</f>
        <v>1551604011320487</v>
      </c>
      <c r="C5896" t="s">
        <v>40</v>
      </c>
      <c r="D5896">
        <v>5.5376880000000002</v>
      </c>
      <c r="E5896">
        <v>0.48352420000000002</v>
      </c>
      <c r="F5896" t="s">
        <v>41</v>
      </c>
      <c r="G5896">
        <v>-187.17869999999999</v>
      </c>
      <c r="H5896" s="1">
        <v>-3.3591300000000001E-6</v>
      </c>
      <c r="I5896">
        <v>6.2964399999999996</v>
      </c>
      <c r="J5896">
        <v>-186.82409999999999</v>
      </c>
      <c r="K5896">
        <v>1.120212</v>
      </c>
      <c r="L5896">
        <v>-13.5322</v>
      </c>
      <c r="M5896">
        <v>4.9538899999999997E-2</v>
      </c>
      <c r="N5896">
        <v>-1.1738190000000001E-2</v>
      </c>
      <c r="O5896">
        <v>0.99870320000000001</v>
      </c>
      <c r="P5896">
        <v>3.1540150000000003E-2</v>
      </c>
      <c r="Q5896">
        <v>0.18813659999999999</v>
      </c>
      <c r="R5896">
        <v>0.98163630000000002</v>
      </c>
      <c r="S5896">
        <v>-5.2169800000000002E-2</v>
      </c>
      <c r="T5896">
        <v>-0.17207520000000001</v>
      </c>
      <c r="U5896">
        <v>3.0902400000000001</v>
      </c>
      <c r="V5896">
        <v>-1.674515E-2</v>
      </c>
      <c r="W5896">
        <v>0.19968350000000001</v>
      </c>
      <c r="X5896">
        <v>0.97971739999999996</v>
      </c>
      <c r="Y5896">
        <v>-6.6351750000000001E-2</v>
      </c>
      <c r="Z5896">
        <v>-4.3700959999999997E-2</v>
      </c>
      <c r="AA5896">
        <v>0.99683889999999997</v>
      </c>
      <c r="AB5896">
        <v>31</v>
      </c>
      <c r="AC5896">
        <v>-0.35460000000000402</v>
      </c>
      <c r="AD5896">
        <v>-1.1202153591299999</v>
      </c>
      <c r="AE5896">
        <v>19.82864</v>
      </c>
      <c r="AF5896">
        <v>-1.3322704683062401</v>
      </c>
      <c r="AG5896">
        <v>-1.1202153591299999</v>
      </c>
      <c r="AH5896">
        <v>19.7237916400234</v>
      </c>
      <c r="AI5896">
        <v>93.243254774581601</v>
      </c>
      <c r="AJ5896">
        <v>93.8642519841775</v>
      </c>
      <c r="AK5896">
        <v>19.8004490785085</v>
      </c>
      <c r="AL5896">
        <v>78.481548901065395</v>
      </c>
      <c r="AM5896">
        <v>90.979193605092306</v>
      </c>
      <c r="AN5896">
        <v>1.0000000420417601</v>
      </c>
    </row>
    <row r="5897" spans="1:40" x14ac:dyDescent="0.25">
      <c r="A5897" t="str">
        <f>"20190303170651352"</f>
        <v>20190303170651352</v>
      </c>
      <c r="B5897" t="str">
        <f>"1551604011340982"</f>
        <v>1551604011340982</v>
      </c>
      <c r="C5897" t="s">
        <v>40</v>
      </c>
      <c r="D5897">
        <v>5.6106069999999999</v>
      </c>
      <c r="E5897">
        <v>0.48335050000000002</v>
      </c>
      <c r="F5897" t="s">
        <v>41</v>
      </c>
      <c r="G5897">
        <v>-187.17500000000001</v>
      </c>
      <c r="H5897" s="1">
        <v>-3.6707490000000001E-6</v>
      </c>
      <c r="I5897">
        <v>7.0213029999999996</v>
      </c>
      <c r="J5897">
        <v>-186.80850000000001</v>
      </c>
      <c r="K5897">
        <v>1.120236</v>
      </c>
      <c r="L5897">
        <v>-13.237640000000001</v>
      </c>
      <c r="M5897">
        <v>5.0411020000000001E-2</v>
      </c>
      <c r="N5897">
        <v>-1.172172E-2</v>
      </c>
      <c r="O5897">
        <v>0.99865979999999999</v>
      </c>
      <c r="P5897">
        <v>3.2356459999999997E-2</v>
      </c>
      <c r="Q5897">
        <v>0.1897932</v>
      </c>
      <c r="R5897">
        <v>0.98129080000000002</v>
      </c>
      <c r="S5897">
        <v>-5.2764890000000002E-2</v>
      </c>
      <c r="T5897">
        <v>-0.16841729999999899</v>
      </c>
      <c r="U5897">
        <v>3.0900880000000002</v>
      </c>
      <c r="V5897">
        <v>-1.677679E-2</v>
      </c>
      <c r="W5897">
        <v>0.201319</v>
      </c>
      <c r="X5897">
        <v>0.97938199999999997</v>
      </c>
      <c r="Y5897">
        <v>-6.7416749999999998E-2</v>
      </c>
      <c r="Z5897">
        <v>-4.2538920000000001E-2</v>
      </c>
      <c r="AA5897">
        <v>0.99681759999999997</v>
      </c>
      <c r="AB5897">
        <v>31</v>
      </c>
      <c r="AC5897">
        <v>-0.36650000000000199</v>
      </c>
      <c r="AD5897">
        <v>-1.1202396707490001</v>
      </c>
      <c r="AE5897">
        <v>20.258942999999999</v>
      </c>
      <c r="AF5897">
        <v>-1.38315025589912</v>
      </c>
      <c r="AG5897">
        <v>-1.1202396707490001</v>
      </c>
      <c r="AH5897">
        <v>20.153103390238599</v>
      </c>
      <c r="AI5897">
        <v>93.174143761198806</v>
      </c>
      <c r="AJ5897">
        <v>93.926174093869506</v>
      </c>
      <c r="AK5897">
        <v>20.231550059448299</v>
      </c>
      <c r="AL5897">
        <v>78.385898262499694</v>
      </c>
      <c r="AM5897">
        <v>90.9813793357132</v>
      </c>
      <c r="AN5897">
        <v>0.99999995118384999</v>
      </c>
    </row>
    <row r="5898" spans="1:40" x14ac:dyDescent="0.25">
      <c r="A5898" t="str">
        <f>"20190303170651376"</f>
        <v>20190303170651376</v>
      </c>
      <c r="B5898" t="str">
        <f>"1551604011360502"</f>
        <v>1551604011360502</v>
      </c>
      <c r="C5898" t="s">
        <v>40</v>
      </c>
      <c r="D5898">
        <v>5.781733</v>
      </c>
      <c r="E5898">
        <v>0.48317749999999998</v>
      </c>
      <c r="F5898" t="s">
        <v>41</v>
      </c>
      <c r="G5898">
        <v>-187.16929999999999</v>
      </c>
      <c r="H5898" s="1">
        <v>-4.194598E-6</v>
      </c>
      <c r="I5898">
        <v>8.240043</v>
      </c>
      <c r="J5898">
        <v>-186.79150000000001</v>
      </c>
      <c r="K5898">
        <v>1.1202730000000001</v>
      </c>
      <c r="L5898">
        <v>-12.91953</v>
      </c>
      <c r="M5898">
        <v>5.1297790000000003E-2</v>
      </c>
      <c r="N5898">
        <v>-1.1699620000000001E-2</v>
      </c>
      <c r="O5898">
        <v>0.99861480000000002</v>
      </c>
      <c r="P5898">
        <v>3.3251679999999999E-2</v>
      </c>
      <c r="Q5898">
        <v>0.19032950000000001</v>
      </c>
      <c r="R5898">
        <v>0.98115699999999995</v>
      </c>
      <c r="S5898">
        <v>-5.1910400000000002E-2</v>
      </c>
      <c r="T5898">
        <v>-0.16117379999999901</v>
      </c>
      <c r="U5898">
        <v>3.0900880000000002</v>
      </c>
      <c r="V5898">
        <v>-1.6765169999999999E-2</v>
      </c>
      <c r="W5898">
        <v>0.2018308</v>
      </c>
      <c r="X5898">
        <v>0.97927690000000001</v>
      </c>
      <c r="Y5898">
        <v>-6.8029469999999995E-2</v>
      </c>
      <c r="Z5898">
        <v>-4.0228350000000003E-2</v>
      </c>
      <c r="AA5898">
        <v>0.99687190000000003</v>
      </c>
      <c r="AB5898">
        <v>31</v>
      </c>
      <c r="AC5898">
        <v>-0.37779999999997899</v>
      </c>
      <c r="AD5898">
        <v>-1.1202771945979999</v>
      </c>
      <c r="AE5898">
        <v>21.159573000000002</v>
      </c>
      <c r="AF5898">
        <v>-1.4587285773871601</v>
      </c>
      <c r="AG5898">
        <v>-1.1202771945979999</v>
      </c>
      <c r="AH5898">
        <v>21.053333287232999</v>
      </c>
      <c r="AI5898">
        <v>93.038644208346398</v>
      </c>
      <c r="AJ5898">
        <v>93.963535228374198</v>
      </c>
      <c r="AK5898">
        <v>21.133522010269299</v>
      </c>
      <c r="AL5898">
        <v>78.355960250761299</v>
      </c>
      <c r="AM5898">
        <v>90.980804974209505</v>
      </c>
      <c r="AN5898">
        <v>0.99999999481368895</v>
      </c>
    </row>
    <row r="5899" spans="1:40" x14ac:dyDescent="0.25">
      <c r="A5899" t="str">
        <f>"20190303170651396"</f>
        <v>20190303170651396</v>
      </c>
      <c r="B5899" t="str">
        <f>"1551604011390758"</f>
        <v>1551604011390758</v>
      </c>
      <c r="C5899" t="s">
        <v>40</v>
      </c>
      <c r="D5899">
        <v>5.7543259999999998</v>
      </c>
      <c r="E5899">
        <v>0.48307050000000001</v>
      </c>
      <c r="F5899" t="s">
        <v>41</v>
      </c>
      <c r="G5899">
        <v>-187.1498</v>
      </c>
      <c r="H5899" s="1">
        <v>-4.5289209999999999E-6</v>
      </c>
      <c r="I5899">
        <v>9.0113070000000004</v>
      </c>
      <c r="J5899">
        <v>-186.7757</v>
      </c>
      <c r="K5899">
        <v>1.1203099999999999</v>
      </c>
      <c r="L5899">
        <v>-12.629580000000001</v>
      </c>
      <c r="M5899">
        <v>5.204114E-2</v>
      </c>
      <c r="N5899">
        <v>-1.167609E-2</v>
      </c>
      <c r="O5899">
        <v>0.99857669999999998</v>
      </c>
      <c r="P5899">
        <v>3.3331699999999902E-2</v>
      </c>
      <c r="Q5899">
        <v>0.1887006</v>
      </c>
      <c r="R5899">
        <v>0.98146889999999998</v>
      </c>
      <c r="S5899">
        <v>-5.0491330000000001E-2</v>
      </c>
      <c r="T5899">
        <v>-0.15784110000000001</v>
      </c>
      <c r="U5899">
        <v>3.0899350000000001</v>
      </c>
      <c r="V5899">
        <v>-1.745762E-2</v>
      </c>
      <c r="W5899">
        <v>0.2001819</v>
      </c>
      <c r="X5899">
        <v>0.97960320000000001</v>
      </c>
      <c r="Y5899">
        <v>-6.8316329999999995E-2</v>
      </c>
      <c r="Z5899">
        <v>-3.9179819999999997E-2</v>
      </c>
      <c r="AA5899">
        <v>0.99689410000000001</v>
      </c>
      <c r="AB5899">
        <v>31</v>
      </c>
      <c r="AC5899">
        <v>-0.37409999999999799</v>
      </c>
      <c r="AD5899">
        <v>-1.1203145289209999</v>
      </c>
      <c r="AE5899">
        <v>21.640886999999999</v>
      </c>
      <c r="AF5899">
        <v>-1.49587847896403</v>
      </c>
      <c r="AG5899">
        <v>-1.1203145289209999</v>
      </c>
      <c r="AH5899">
        <v>21.534394146126999</v>
      </c>
      <c r="AI5899">
        <v>92.9709488789034</v>
      </c>
      <c r="AJ5899">
        <v>93.973646293004506</v>
      </c>
      <c r="AK5899">
        <v>21.615339190220698</v>
      </c>
      <c r="AL5899">
        <v>78.4524036994748</v>
      </c>
      <c r="AM5899">
        <v>91.020966526280105</v>
      </c>
      <c r="AN5899">
        <v>0.99999999551695695</v>
      </c>
    </row>
    <row r="5900" spans="1:40" x14ac:dyDescent="0.25">
      <c r="A5900" t="str">
        <f>"20190303170651419"</f>
        <v>20190303170651419</v>
      </c>
      <c r="B5900" t="str">
        <f>"1551604011411254"</f>
        <v>1551604011411254</v>
      </c>
      <c r="C5900" t="s">
        <v>40</v>
      </c>
      <c r="D5900">
        <v>5.6941579999999998</v>
      </c>
      <c r="E5900">
        <v>0.50383290000000003</v>
      </c>
      <c r="F5900" t="s">
        <v>41</v>
      </c>
      <c r="G5900">
        <v>-187.12629999999999</v>
      </c>
      <c r="H5900" s="1">
        <v>-4.4298200000000001E-6</v>
      </c>
      <c r="I5900">
        <v>8.7705819999999992</v>
      </c>
      <c r="J5900">
        <v>-186.75919999999999</v>
      </c>
      <c r="K5900">
        <v>1.12036</v>
      </c>
      <c r="L5900">
        <v>-12.32672</v>
      </c>
      <c r="M5900">
        <v>5.2737300000000001E-2</v>
      </c>
      <c r="N5900">
        <v>-1.164944E-2</v>
      </c>
      <c r="O5900">
        <v>0.99854050000000005</v>
      </c>
      <c r="P5900">
        <v>3.3187429999999997E-2</v>
      </c>
      <c r="Q5900">
        <v>0.18806010000000001</v>
      </c>
      <c r="R5900">
        <v>0.98159660000000004</v>
      </c>
      <c r="S5900">
        <v>-5.0613400000000003E-2</v>
      </c>
      <c r="T5900">
        <v>-0.16173489999999999</v>
      </c>
      <c r="U5900">
        <v>3.0894469999999998</v>
      </c>
      <c r="V5900">
        <v>-1.832338E-2</v>
      </c>
      <c r="W5900">
        <v>0.1995152</v>
      </c>
      <c r="X5900">
        <v>0.97972340000000002</v>
      </c>
      <c r="Y5900">
        <v>-6.9052230000000006E-2</v>
      </c>
      <c r="Z5900">
        <v>-4.0462110000000003E-2</v>
      </c>
      <c r="AA5900">
        <v>0.99679209999999996</v>
      </c>
      <c r="AB5900">
        <v>31</v>
      </c>
      <c r="AC5900">
        <v>-0.36709999999999299</v>
      </c>
      <c r="AD5900">
        <v>-1.12036442982</v>
      </c>
      <c r="AE5900">
        <v>21.097301999999999</v>
      </c>
      <c r="AF5900">
        <v>-1.4751205646474701</v>
      </c>
      <c r="AG5900">
        <v>-1.12036442982</v>
      </c>
      <c r="AH5900">
        <v>20.9894039227291</v>
      </c>
      <c r="AI5900">
        <v>93.0479091725757</v>
      </c>
      <c r="AJ5900">
        <v>94.020097173700805</v>
      </c>
      <c r="AK5900">
        <v>21.070981803592598</v>
      </c>
      <c r="AL5900">
        <v>78.491389322974598</v>
      </c>
      <c r="AM5900">
        <v>91.071455430899704</v>
      </c>
      <c r="AN5900">
        <v>1.0000000008966099</v>
      </c>
    </row>
    <row r="5901" spans="1:40" x14ac:dyDescent="0.25">
      <c r="A5901" t="str">
        <f>"20190303170651442"</f>
        <v>20190303170651442</v>
      </c>
      <c r="B5901" t="str">
        <f>"1551604011430774"</f>
        <v>1551604011430774</v>
      </c>
      <c r="C5901" t="s">
        <v>40</v>
      </c>
      <c r="D5901">
        <v>5.5969759999999997</v>
      </c>
      <c r="E5901">
        <v>0.50525089999999995</v>
      </c>
      <c r="F5901" t="s">
        <v>41</v>
      </c>
      <c r="G5901">
        <v>-186.08369999999999</v>
      </c>
      <c r="H5901" s="1">
        <v>-3.426425E-6</v>
      </c>
      <c r="I5901">
        <v>6.0005329999999999</v>
      </c>
      <c r="J5901">
        <v>-186.74170000000001</v>
      </c>
      <c r="K5901">
        <v>1.1204270000000001</v>
      </c>
      <c r="L5901">
        <v>-12.010619999999999</v>
      </c>
      <c r="M5901">
        <v>5.335902E-2</v>
      </c>
      <c r="N5901">
        <v>-1.1623049999999999E-2</v>
      </c>
      <c r="O5901">
        <v>0.9985077</v>
      </c>
      <c r="P5901">
        <v>3.323545E-2</v>
      </c>
      <c r="Q5901">
        <v>0.18893389999999999</v>
      </c>
      <c r="R5901">
        <v>0.98142720000000006</v>
      </c>
      <c r="S5901">
        <v>0.1138306</v>
      </c>
      <c r="T5901">
        <v>-0.1888069</v>
      </c>
      <c r="U5901">
        <v>3.088562</v>
      </c>
      <c r="V5901">
        <v>-1.8913360000000001E-2</v>
      </c>
      <c r="W5901">
        <v>0.2003586</v>
      </c>
      <c r="X5901">
        <v>0.97954010000000002</v>
      </c>
      <c r="Y5901">
        <v>-1.6586179999999999E-2</v>
      </c>
      <c r="Z5901">
        <v>-4.926796E-2</v>
      </c>
      <c r="AA5901">
        <v>0.99864790000000003</v>
      </c>
      <c r="AB5901">
        <v>31</v>
      </c>
      <c r="AC5901">
        <v>0.65800000000001502</v>
      </c>
      <c r="AD5901">
        <v>-1.120430426425</v>
      </c>
      <c r="AE5901">
        <v>18.011153</v>
      </c>
      <c r="AF5901">
        <v>-0.302889405499989</v>
      </c>
      <c r="AG5901">
        <v>-1.120430426425</v>
      </c>
      <c r="AH5901">
        <v>17.951228526825599</v>
      </c>
      <c r="AI5901">
        <v>93.570990488741202</v>
      </c>
      <c r="AJ5901">
        <v>90.966654619605407</v>
      </c>
      <c r="AK5901">
        <v>17.988710680722502</v>
      </c>
      <c r="AL5901">
        <v>78.442070772700703</v>
      </c>
      <c r="AM5901">
        <v>91.106152843525905</v>
      </c>
      <c r="AN5901">
        <v>1.00000004564422</v>
      </c>
    </row>
    <row r="5902" spans="1:40" x14ac:dyDescent="0.25">
      <c r="A5902" t="str">
        <f>"20190303170651464"</f>
        <v>20190303170651464</v>
      </c>
      <c r="B5902" t="str">
        <f>"1551604011450299"</f>
        <v>1551604011450299</v>
      </c>
      <c r="C5902" t="s">
        <v>40</v>
      </c>
      <c r="D5902">
        <v>5.5375300000000003</v>
      </c>
      <c r="E5902">
        <v>0.50562980000000002</v>
      </c>
      <c r="F5902" t="s">
        <v>41</v>
      </c>
      <c r="G5902">
        <v>-186.04</v>
      </c>
      <c r="H5902" s="1">
        <v>-3.1947129999999998E-6</v>
      </c>
      <c r="I5902">
        <v>5.4423529999999998</v>
      </c>
      <c r="J5902">
        <v>-186.72559999999999</v>
      </c>
      <c r="K5902">
        <v>1.120517</v>
      </c>
      <c r="L5902">
        <v>-11.71918</v>
      </c>
      <c r="M5902">
        <v>5.3812039999999998E-2</v>
      </c>
      <c r="N5902">
        <v>-1.1600549999999999E-2</v>
      </c>
      <c r="O5902">
        <v>0.99848369999999997</v>
      </c>
      <c r="P5902">
        <v>3.3124750000000001E-2</v>
      </c>
      <c r="Q5902">
        <v>0.1899769</v>
      </c>
      <c r="R5902">
        <v>0.98122960000000004</v>
      </c>
      <c r="S5902">
        <v>0.12426760000000001</v>
      </c>
      <c r="T5902">
        <v>-0.19841780000000001</v>
      </c>
      <c r="U5902">
        <v>3.0907589999999998</v>
      </c>
      <c r="V5902">
        <v>-1.94982E-2</v>
      </c>
      <c r="W5902">
        <v>0.20137360000000001</v>
      </c>
      <c r="X5902">
        <v>0.97932039999999998</v>
      </c>
      <c r="Y5902">
        <v>-1.370584E-2</v>
      </c>
      <c r="Z5902">
        <v>-5.2328930000000003E-2</v>
      </c>
      <c r="AA5902">
        <v>0.99853590000000003</v>
      </c>
      <c r="AB5902">
        <v>31</v>
      </c>
      <c r="AC5902">
        <v>0.68559999999999299</v>
      </c>
      <c r="AD5902">
        <v>-1.1205201947129999</v>
      </c>
      <c r="AE5902">
        <v>17.161532999999999</v>
      </c>
      <c r="AF5902">
        <v>-0.23794000378202401</v>
      </c>
      <c r="AG5902">
        <v>-1.1205201947129999</v>
      </c>
      <c r="AH5902">
        <v>17.100773596167301</v>
      </c>
      <c r="AI5902">
        <v>93.748558202595007</v>
      </c>
      <c r="AJ5902">
        <v>90.797161499347396</v>
      </c>
      <c r="AK5902">
        <v>17.139096783072699</v>
      </c>
      <c r="AL5902">
        <v>78.382704799895095</v>
      </c>
      <c r="AM5902">
        <v>91.140604225700002</v>
      </c>
      <c r="AN5902">
        <v>0.99999997621817904</v>
      </c>
    </row>
    <row r="5903" spans="1:40" x14ac:dyDescent="0.25">
      <c r="A5903" t="str">
        <f>"20190303170651486"</f>
        <v>20190303170651486</v>
      </c>
      <c r="B5903" t="str">
        <f>"1551604011480551"</f>
        <v>1551604011480551</v>
      </c>
      <c r="C5903" t="s">
        <v>40</v>
      </c>
      <c r="D5903">
        <v>5.7467870000000003</v>
      </c>
      <c r="E5903">
        <v>0.50613949999999996</v>
      </c>
      <c r="F5903" t="s">
        <v>41</v>
      </c>
      <c r="G5903">
        <v>-186.0196</v>
      </c>
      <c r="H5903" s="1">
        <v>-3.269062E-6</v>
      </c>
      <c r="I5903">
        <v>5.6072160000000002</v>
      </c>
      <c r="J5903">
        <v>-186.70849999999999</v>
      </c>
      <c r="K5903">
        <v>1.120628</v>
      </c>
      <c r="L5903">
        <v>-11.40817</v>
      </c>
      <c r="M5903">
        <v>5.4139600000000003E-2</v>
      </c>
      <c r="N5903">
        <v>-1.157861E-2</v>
      </c>
      <c r="O5903">
        <v>0.99846630000000003</v>
      </c>
      <c r="P5903">
        <v>3.1333420000000001E-2</v>
      </c>
      <c r="Q5903">
        <v>0.19035740000000001</v>
      </c>
      <c r="R5903">
        <v>0.9812147</v>
      </c>
      <c r="S5903">
        <v>0.12599179999999999</v>
      </c>
      <c r="T5903">
        <v>-0.1999544</v>
      </c>
      <c r="U5903">
        <v>3.0918580000000002</v>
      </c>
      <c r="V5903">
        <v>-2.1659580000000001E-2</v>
      </c>
      <c r="W5903">
        <v>0.20172809999999999</v>
      </c>
      <c r="X5903">
        <v>0.97920200000000002</v>
      </c>
      <c r="Y5903">
        <v>-1.349329E-2</v>
      </c>
      <c r="Z5903">
        <v>-5.2819060000000001E-2</v>
      </c>
      <c r="AA5903">
        <v>0.99851290000000004</v>
      </c>
      <c r="AB5903">
        <v>31</v>
      </c>
      <c r="AC5903">
        <v>0.68889999999998897</v>
      </c>
      <c r="AD5903">
        <v>-1.1206312690619999</v>
      </c>
      <c r="AE5903">
        <v>17.015385999999999</v>
      </c>
      <c r="AF5903">
        <v>-0.23237211891988899</v>
      </c>
      <c r="AG5903">
        <v>-1.1206312690619999</v>
      </c>
      <c r="AH5903">
        <v>16.954307393554501</v>
      </c>
      <c r="AI5903">
        <v>93.781232553380903</v>
      </c>
      <c r="AJ5903">
        <v>90.785234560584797</v>
      </c>
      <c r="AK5903">
        <v>16.992891173605098</v>
      </c>
      <c r="AL5903">
        <v>78.361967695310597</v>
      </c>
      <c r="AM5903">
        <v>91.267154459560103</v>
      </c>
      <c r="AN5903">
        <v>0.99999996026969196</v>
      </c>
    </row>
    <row r="5904" spans="1:40" x14ac:dyDescent="0.25">
      <c r="A5904" t="str">
        <f>"20190303170651509"</f>
        <v>20190303170651509</v>
      </c>
      <c r="B5904" t="str">
        <f>"1551604011500642"</f>
        <v>1551604011500642</v>
      </c>
      <c r="C5904" t="s">
        <v>40</v>
      </c>
      <c r="D5904">
        <v>5.584708</v>
      </c>
      <c r="E5904">
        <v>0.5060557</v>
      </c>
      <c r="F5904" t="s">
        <v>41</v>
      </c>
      <c r="G5904">
        <v>-186.02099999999999</v>
      </c>
      <c r="H5904" s="1">
        <v>-3.2661809999999999E-6</v>
      </c>
      <c r="I5904">
        <v>5.6010589999999896</v>
      </c>
      <c r="J5904">
        <v>-186.6909</v>
      </c>
      <c r="K5904">
        <v>1.1207320000000001</v>
      </c>
      <c r="L5904">
        <v>-11.09079</v>
      </c>
      <c r="M5904">
        <v>5.4333850000000003E-2</v>
      </c>
      <c r="N5904">
        <v>-1.1558199999999999E-2</v>
      </c>
      <c r="O5904">
        <v>0.99845589999999995</v>
      </c>
      <c r="P5904">
        <v>2.9411940000000001E-2</v>
      </c>
      <c r="Q5904">
        <v>0.19000059999999999</v>
      </c>
      <c r="R5904">
        <v>0.98134330000000003</v>
      </c>
      <c r="S5904">
        <v>0.1250153</v>
      </c>
      <c r="T5904">
        <v>-0.2037774</v>
      </c>
      <c r="U5904">
        <v>3.0929869999999999</v>
      </c>
      <c r="V5904">
        <v>-2.3830730000000001E-2</v>
      </c>
      <c r="W5904">
        <v>0.20134750000000001</v>
      </c>
      <c r="X5904">
        <v>0.97922989999999999</v>
      </c>
      <c r="Y5904">
        <v>-1.4019709999999999E-2</v>
      </c>
      <c r="Z5904">
        <v>-5.4040879999999999E-2</v>
      </c>
      <c r="AA5904">
        <v>0.99844029999999995</v>
      </c>
      <c r="AB5904">
        <v>31</v>
      </c>
      <c r="AC5904">
        <v>0.66990000000001204</v>
      </c>
      <c r="AD5904">
        <v>-1.1207352661809999</v>
      </c>
      <c r="AE5904">
        <v>16.691848999999898</v>
      </c>
      <c r="AF5904">
        <v>-0.237015940344139</v>
      </c>
      <c r="AG5904">
        <v>-1.1207352661809999</v>
      </c>
      <c r="AH5904">
        <v>16.628745478763499</v>
      </c>
      <c r="AI5904">
        <v>93.855368680495303</v>
      </c>
      <c r="AJ5904">
        <v>90.816603606950295</v>
      </c>
      <c r="AK5904">
        <v>16.6681552755648</v>
      </c>
      <c r="AL5904">
        <v>78.384231279086194</v>
      </c>
      <c r="AM5904">
        <v>91.394086102266499</v>
      </c>
      <c r="AN5904">
        <v>0.99999995825129495</v>
      </c>
    </row>
    <row r="5905" spans="1:40" x14ac:dyDescent="0.25">
      <c r="A5905" t="str">
        <f>"20190303170651529"</f>
        <v>20190303170651529</v>
      </c>
      <c r="B5905" t="str">
        <f>"1551604011521139"</f>
        <v>1551604011521139</v>
      </c>
      <c r="C5905" t="s">
        <v>40</v>
      </c>
      <c r="D5905">
        <v>5.5895739999999998</v>
      </c>
      <c r="E5905">
        <v>0.50627800000000001</v>
      </c>
      <c r="F5905" t="s">
        <v>41</v>
      </c>
      <c r="G5905">
        <v>-186.04480000000001</v>
      </c>
      <c r="H5905" s="1">
        <v>-3.2733749999999998E-6</v>
      </c>
      <c r="I5905">
        <v>5.627707</v>
      </c>
      <c r="J5905">
        <v>-186.67500000000001</v>
      </c>
      <c r="K5905">
        <v>1.1208180000000001</v>
      </c>
      <c r="L5905">
        <v>-10.8017</v>
      </c>
      <c r="M5905">
        <v>5.4410890000000003E-2</v>
      </c>
      <c r="N5905">
        <v>-1.154146E-2</v>
      </c>
      <c r="O5905">
        <v>0.99845189999999995</v>
      </c>
      <c r="P5905">
        <v>2.746819E-2</v>
      </c>
      <c r="Q5905">
        <v>0.19005230000000001</v>
      </c>
      <c r="R5905">
        <v>0.98138959999999997</v>
      </c>
      <c r="S5905">
        <v>0.11955259999999999</v>
      </c>
      <c r="T5905">
        <v>-0.20738139999999999</v>
      </c>
      <c r="U5905">
        <v>3.0935969999999999</v>
      </c>
      <c r="V5905">
        <v>-2.5893900000000001E-2</v>
      </c>
      <c r="W5905">
        <v>0.2013769</v>
      </c>
      <c r="X5905">
        <v>0.97917149999999997</v>
      </c>
      <c r="Y5905">
        <v>-1.586659E-2</v>
      </c>
      <c r="Z5905">
        <v>-5.5200150000000003E-2</v>
      </c>
      <c r="AA5905">
        <v>0.99834920000000005</v>
      </c>
      <c r="AB5905">
        <v>31</v>
      </c>
      <c r="AC5905">
        <v>0.63020000000000198</v>
      </c>
      <c r="AD5905">
        <v>-1.120821273375</v>
      </c>
      <c r="AE5905">
        <v>16.429407000000001</v>
      </c>
      <c r="AF5905">
        <v>-0.26350734045301599</v>
      </c>
      <c r="AG5905">
        <v>-1.120821273375</v>
      </c>
      <c r="AH5905">
        <v>16.3633143252788</v>
      </c>
      <c r="AI5905">
        <v>93.917903905485701</v>
      </c>
      <c r="AJ5905">
        <v>90.922585321167205</v>
      </c>
      <c r="AK5905">
        <v>16.4037718879895</v>
      </c>
      <c r="AL5905">
        <v>78.382511910113806</v>
      </c>
      <c r="AM5905">
        <v>91.514816852162099</v>
      </c>
      <c r="AN5905">
        <v>0.99999998816153401</v>
      </c>
    </row>
    <row r="5906" spans="1:40" x14ac:dyDescent="0.25">
      <c r="A5906" t="str">
        <f>"20190303170651554"</f>
        <v>20190303170651554</v>
      </c>
      <c r="B5906" t="str">
        <f>"1551604011540658"</f>
        <v>1551604011540658</v>
      </c>
      <c r="C5906" t="s">
        <v>40</v>
      </c>
      <c r="D5906">
        <v>5.8036799999999999</v>
      </c>
      <c r="E5906">
        <v>0.50650799999999996</v>
      </c>
      <c r="F5906" t="s">
        <v>41</v>
      </c>
      <c r="G5906">
        <v>-186.05840000000001</v>
      </c>
      <c r="H5906" s="1">
        <v>-3.341112E-6</v>
      </c>
      <c r="I5906">
        <v>5.7912019999999904</v>
      </c>
      <c r="J5906">
        <v>-186.65719999999999</v>
      </c>
      <c r="K5906">
        <v>1.1209290000000001</v>
      </c>
      <c r="L5906">
        <v>-10.474399999999999</v>
      </c>
      <c r="M5906">
        <v>5.4368340000000001E-2</v>
      </c>
      <c r="N5906">
        <v>-1.1524639999999999E-2</v>
      </c>
      <c r="O5906">
        <v>0.99845450000000002</v>
      </c>
      <c r="P5906">
        <v>2.7077839999999999E-2</v>
      </c>
      <c r="Q5906">
        <v>0.19112180000000001</v>
      </c>
      <c r="R5906">
        <v>0.98119279999999998</v>
      </c>
      <c r="S5906">
        <v>0.1149902</v>
      </c>
      <c r="T5906">
        <v>-0.2090042</v>
      </c>
      <c r="U5906">
        <v>3.094147</v>
      </c>
      <c r="V5906">
        <v>-2.6277979999999999E-2</v>
      </c>
      <c r="W5906">
        <v>0.20242209999999999</v>
      </c>
      <c r="X5906">
        <v>0.97894570000000003</v>
      </c>
      <c r="Y5906">
        <v>-1.7301159999999999E-2</v>
      </c>
      <c r="Z5906">
        <v>-5.5725900000000002E-2</v>
      </c>
      <c r="AA5906">
        <v>0.99829619999999997</v>
      </c>
      <c r="AB5906">
        <v>31</v>
      </c>
      <c r="AC5906">
        <v>0.59879999999998201</v>
      </c>
      <c r="AD5906">
        <v>-1.120932341112</v>
      </c>
      <c r="AE5906">
        <v>16.265601999999902</v>
      </c>
      <c r="AF5906">
        <v>-0.28512595157499698</v>
      </c>
      <c r="AG5906">
        <v>-1.120932341112</v>
      </c>
      <c r="AH5906">
        <v>16.1972793916051</v>
      </c>
      <c r="AI5906">
        <v>93.958229782628905</v>
      </c>
      <c r="AJ5906">
        <v>91.008491990352297</v>
      </c>
      <c r="AK5906">
        <v>16.238523510816101</v>
      </c>
      <c r="AL5906">
        <v>78.321366837733393</v>
      </c>
      <c r="AM5906">
        <v>91.537629592745503</v>
      </c>
      <c r="AN5906">
        <v>0.99999996117488898</v>
      </c>
    </row>
    <row r="5907" spans="1:40" x14ac:dyDescent="0.25">
      <c r="A5907" t="str">
        <f>"20190303170651574"</f>
        <v>20190303170651574</v>
      </c>
      <c r="B5907" t="str">
        <f>"1551604011561154"</f>
        <v>1551604011561154</v>
      </c>
      <c r="C5907" t="s">
        <v>40</v>
      </c>
      <c r="D5907">
        <v>5.5879139999999996</v>
      </c>
      <c r="E5907">
        <v>0.50656889999999999</v>
      </c>
      <c r="F5907" t="s">
        <v>41</v>
      </c>
      <c r="G5907">
        <v>-186.0384</v>
      </c>
      <c r="H5907" s="1">
        <v>-3.5530090000000002E-6</v>
      </c>
      <c r="I5907">
        <v>6.2768569999999997</v>
      </c>
      <c r="J5907">
        <v>-186.642</v>
      </c>
      <c r="K5907">
        <v>1.1210329999999999</v>
      </c>
      <c r="L5907">
        <v>-10.19525</v>
      </c>
      <c r="M5907">
        <v>5.4209029999999998E-2</v>
      </c>
      <c r="N5907">
        <v>-1.1512049999999999E-2</v>
      </c>
      <c r="O5907">
        <v>0.99846330000000005</v>
      </c>
      <c r="P5907">
        <v>2.612341E-2</v>
      </c>
      <c r="Q5907">
        <v>0.19348650000000001</v>
      </c>
      <c r="R5907">
        <v>0.98075509999999999</v>
      </c>
      <c r="S5907">
        <v>0.1143188</v>
      </c>
      <c r="T5907">
        <v>-0.20708570000000001</v>
      </c>
      <c r="U5907">
        <v>3.0946959999999999</v>
      </c>
      <c r="V5907">
        <v>-2.709493E-2</v>
      </c>
      <c r="W5907">
        <v>0.20476240000000001</v>
      </c>
      <c r="X5907">
        <v>0.97843659999999999</v>
      </c>
      <c r="Y5907">
        <v>-1.736325E-2</v>
      </c>
      <c r="Z5907">
        <v>-5.5113009999999997E-2</v>
      </c>
      <c r="AA5907">
        <v>0.99832920000000003</v>
      </c>
      <c r="AB5907">
        <v>31</v>
      </c>
      <c r="AC5907">
        <v>0.60360000000000003</v>
      </c>
      <c r="AD5907">
        <v>-1.1210365530089901</v>
      </c>
      <c r="AE5907">
        <v>16.472107000000001</v>
      </c>
      <c r="AF5907">
        <v>-0.288947190335405</v>
      </c>
      <c r="AG5907">
        <v>-1.1210365530089901</v>
      </c>
      <c r="AH5907">
        <v>16.404726074175802</v>
      </c>
      <c r="AI5907">
        <v>93.908693446022497</v>
      </c>
      <c r="AJ5907">
        <v>91.009083766026293</v>
      </c>
      <c r="AK5907">
        <v>16.445523737501599</v>
      </c>
      <c r="AL5907">
        <v>78.184409207875504</v>
      </c>
      <c r="AM5907">
        <v>91.586233069884699</v>
      </c>
      <c r="AN5907">
        <v>0.99999997795251205</v>
      </c>
    </row>
    <row r="5908" spans="1:40" x14ac:dyDescent="0.25">
      <c r="A5908" t="str">
        <f>"20190303170651596"</f>
        <v>20190303170651596</v>
      </c>
      <c r="B5908" t="str">
        <f>"1551604011590434"</f>
        <v>1551604011590434</v>
      </c>
      <c r="C5908" t="s">
        <v>40</v>
      </c>
      <c r="D5908">
        <v>5.7416070000000001</v>
      </c>
      <c r="E5908">
        <v>0.50680389999999997</v>
      </c>
      <c r="F5908" t="s">
        <v>41</v>
      </c>
      <c r="G5908">
        <v>-186.01320000000001</v>
      </c>
      <c r="H5908" s="1">
        <v>-3.8911589999999996E-6</v>
      </c>
      <c r="I5908">
        <v>7.0547079999999998</v>
      </c>
      <c r="J5908">
        <v>-186.6259</v>
      </c>
      <c r="K5908">
        <v>1.121154</v>
      </c>
      <c r="L5908">
        <v>-9.8951419999999999</v>
      </c>
      <c r="M5908">
        <v>5.3901739999999997E-2</v>
      </c>
      <c r="N5908">
        <v>-1.1500389999999999E-2</v>
      </c>
      <c r="O5908">
        <v>0.99848000000000003</v>
      </c>
      <c r="P5908">
        <v>2.4735170000000001E-2</v>
      </c>
      <c r="Q5908">
        <v>0.19491810000000001</v>
      </c>
      <c r="R5908">
        <v>0.98050760000000003</v>
      </c>
      <c r="S5908">
        <v>0.1128387</v>
      </c>
      <c r="T5908">
        <v>-0.20117309999999999</v>
      </c>
      <c r="U5908">
        <v>3.0955509999999999</v>
      </c>
      <c r="V5908">
        <v>-2.8223379999999999E-2</v>
      </c>
      <c r="W5908">
        <v>0.2061712</v>
      </c>
      <c r="X5908">
        <v>0.9781088</v>
      </c>
      <c r="Y5908">
        <v>-1.753876E-2</v>
      </c>
      <c r="Z5908">
        <v>-5.3214190000000001E-2</v>
      </c>
      <c r="AA5908">
        <v>0.99842909999999996</v>
      </c>
      <c r="AB5908">
        <v>31</v>
      </c>
      <c r="AC5908">
        <v>0.61269999999998903</v>
      </c>
      <c r="AD5908">
        <v>-1.1211578911590001</v>
      </c>
      <c r="AE5908">
        <v>16.949849999999898</v>
      </c>
      <c r="AF5908">
        <v>-0.30056435541977899</v>
      </c>
      <c r="AG5908">
        <v>-1.1211578911590001</v>
      </c>
      <c r="AH5908">
        <v>16.884456440847199</v>
      </c>
      <c r="AI5908">
        <v>93.798364584517003</v>
      </c>
      <c r="AJ5908">
        <v>91.019828527774607</v>
      </c>
      <c r="AK5908">
        <v>16.9243080582789</v>
      </c>
      <c r="AL5908">
        <v>78.101931108857698</v>
      </c>
      <c r="AM5908">
        <v>91.652814063587698</v>
      </c>
      <c r="AN5908">
        <v>0.99999997376275096</v>
      </c>
    </row>
    <row r="5909" spans="1:40" x14ac:dyDescent="0.25">
      <c r="A5909" t="str">
        <f>"20190303170651620"</f>
        <v>20190303170651620</v>
      </c>
      <c r="B5909" t="str">
        <f>"1551604011610462"</f>
        <v>1551604011610462</v>
      </c>
      <c r="C5909" t="s">
        <v>40</v>
      </c>
      <c r="D5909">
        <v>5.5882399999999999</v>
      </c>
      <c r="E5909">
        <v>0.50692029999999999</v>
      </c>
      <c r="F5909" t="s">
        <v>41</v>
      </c>
      <c r="G5909">
        <v>-185.99590000000001</v>
      </c>
      <c r="H5909" s="1">
        <v>-4.1248550000000003E-6</v>
      </c>
      <c r="I5909">
        <v>7.5922770000000002</v>
      </c>
      <c r="J5909">
        <v>-186.60890000000001</v>
      </c>
      <c r="K5909">
        <v>1.1212869999999999</v>
      </c>
      <c r="L5909">
        <v>-9.5721129999999999</v>
      </c>
      <c r="M5909">
        <v>5.3413559999999999E-2</v>
      </c>
      <c r="N5909">
        <v>-1.1489849999999999E-2</v>
      </c>
      <c r="O5909">
        <v>0.99850640000000002</v>
      </c>
      <c r="P5909">
        <v>2.471195E-2</v>
      </c>
      <c r="Q5909">
        <v>0.1958771</v>
      </c>
      <c r="R5909">
        <v>0.98031710000000005</v>
      </c>
      <c r="S5909">
        <v>0.111557</v>
      </c>
      <c r="T5909">
        <v>-0.19850979999999999</v>
      </c>
      <c r="U5909">
        <v>3.0962830000000001</v>
      </c>
      <c r="V5909">
        <v>-2.7826900000000002E-2</v>
      </c>
      <c r="W5909">
        <v>0.2071085</v>
      </c>
      <c r="X5909">
        <v>0.97792210000000002</v>
      </c>
      <c r="Y5909">
        <v>-1.7469780000000001E-2</v>
      </c>
      <c r="Z5909">
        <v>-5.2359089999999997E-2</v>
      </c>
      <c r="AA5909">
        <v>0.99847549999999996</v>
      </c>
      <c r="AB5909">
        <v>31</v>
      </c>
      <c r="AC5909">
        <v>0.61299999999999899</v>
      </c>
      <c r="AD5909">
        <v>-1.1212911248549999</v>
      </c>
      <c r="AE5909">
        <v>17.164390000000001</v>
      </c>
      <c r="AF5909">
        <v>-0.30345350234290402</v>
      </c>
      <c r="AG5909">
        <v>-1.1212911248549999</v>
      </c>
      <c r="AH5909">
        <v>17.099747566443899</v>
      </c>
      <c r="AI5909">
        <v>93.751127474926506</v>
      </c>
      <c r="AJ5909">
        <v>91.016668818674503</v>
      </c>
      <c r="AK5909">
        <v>17.139158224687399</v>
      </c>
      <c r="AL5909">
        <v>78.047042844381494</v>
      </c>
      <c r="AM5909">
        <v>91.629919008908004</v>
      </c>
      <c r="AN5909">
        <v>0.99999995040213296</v>
      </c>
    </row>
    <row r="5910" spans="1:40" x14ac:dyDescent="0.25">
      <c r="A5910" t="str">
        <f>"20190303170651641"</f>
        <v>20190303170651641</v>
      </c>
      <c r="B5910" t="str">
        <f>"1551604011630957"</f>
        <v>1551604011630957</v>
      </c>
      <c r="C5910" t="s">
        <v>40</v>
      </c>
      <c r="D5910">
        <v>5.6264629999999896</v>
      </c>
      <c r="E5910">
        <v>0.50696439999999998</v>
      </c>
      <c r="F5910" t="s">
        <v>41</v>
      </c>
      <c r="G5910">
        <v>-185.9777</v>
      </c>
      <c r="H5910" s="1">
        <v>-4.3208089999999998E-6</v>
      </c>
      <c r="I5910">
        <v>8.0415399999999995</v>
      </c>
      <c r="J5910">
        <v>-186.5932</v>
      </c>
      <c r="K5910">
        <v>1.121418</v>
      </c>
      <c r="L5910">
        <v>-9.2683719999999994</v>
      </c>
      <c r="M5910">
        <v>5.279988E-2</v>
      </c>
      <c r="N5910">
        <v>-1.1481669999999999E-2</v>
      </c>
      <c r="O5910">
        <v>0.99853910000000001</v>
      </c>
      <c r="P5910">
        <v>2.5531870000000002E-2</v>
      </c>
      <c r="Q5910">
        <v>0.19583049999999999</v>
      </c>
      <c r="R5910">
        <v>0.98030530000000005</v>
      </c>
      <c r="S5910">
        <v>0.1109772</v>
      </c>
      <c r="T5910">
        <v>-0.1971455</v>
      </c>
      <c r="U5910">
        <v>3.096832</v>
      </c>
      <c r="V5910">
        <v>-2.647447E-2</v>
      </c>
      <c r="W5910">
        <v>0.20704700000000001</v>
      </c>
      <c r="X5910">
        <v>0.97797270000000003</v>
      </c>
      <c r="Y5910">
        <v>-1.704777E-2</v>
      </c>
      <c r="Z5910">
        <v>-5.1922280000000001E-2</v>
      </c>
      <c r="AA5910">
        <v>0.99850559999999999</v>
      </c>
      <c r="AB5910">
        <v>31</v>
      </c>
      <c r="AC5910">
        <v>0.61549999999999705</v>
      </c>
      <c r="AD5910">
        <v>-1.121422320809</v>
      </c>
      <c r="AE5910">
        <v>17.309911999999901</v>
      </c>
      <c r="AF5910">
        <v>-0.29813049433726102</v>
      </c>
      <c r="AG5910">
        <v>-1.121422320809</v>
      </c>
      <c r="AH5910">
        <v>17.2459723583226</v>
      </c>
      <c r="AI5910">
        <v>93.719875938749894</v>
      </c>
      <c r="AJ5910">
        <v>90.990371401965803</v>
      </c>
      <c r="AK5910">
        <v>17.284965501767399</v>
      </c>
      <c r="AL5910">
        <v>78.050644962180002</v>
      </c>
      <c r="AM5910">
        <v>91.550661918533706</v>
      </c>
      <c r="AN5910">
        <v>0.99999997985803502</v>
      </c>
    </row>
    <row r="5911" spans="1:40" x14ac:dyDescent="0.25">
      <c r="A5911" t="str">
        <f>"20190303170651664"</f>
        <v>20190303170651664</v>
      </c>
      <c r="B5911" t="str">
        <f>"1551604011650478"</f>
        <v>1551604011650478</v>
      </c>
      <c r="C5911" t="s">
        <v>40</v>
      </c>
      <c r="D5911">
        <v>5.5909309999999897</v>
      </c>
      <c r="E5911">
        <v>0.50682260000000001</v>
      </c>
      <c r="F5911" t="s">
        <v>41</v>
      </c>
      <c r="G5911">
        <v>-185.96119999999999</v>
      </c>
      <c r="H5911" s="1">
        <v>-4.3702180000000002E-6</v>
      </c>
      <c r="I5911">
        <v>8.1498789999999897</v>
      </c>
      <c r="J5911">
        <v>-186.57820000000001</v>
      </c>
      <c r="K5911">
        <v>1.121542</v>
      </c>
      <c r="L5911">
        <v>-8.9707340000000002</v>
      </c>
      <c r="M5911">
        <v>5.2044310000000003E-2</v>
      </c>
      <c r="N5911">
        <v>-1.147507E-2</v>
      </c>
      <c r="O5911">
        <v>0.99857879999999999</v>
      </c>
      <c r="P5911">
        <v>2.5322850000000001E-2</v>
      </c>
      <c r="Q5911">
        <v>0.1941389</v>
      </c>
      <c r="R5911">
        <v>0.98064709999999999</v>
      </c>
      <c r="S5911">
        <v>0.11238099999999999</v>
      </c>
      <c r="T5911">
        <v>-0.199402</v>
      </c>
      <c r="U5911">
        <v>3.0971679999999999</v>
      </c>
      <c r="V5911">
        <v>-2.602233E-2</v>
      </c>
      <c r="W5911">
        <v>0.20534479999999999</v>
      </c>
      <c r="X5911">
        <v>0.97834370000000004</v>
      </c>
      <c r="Y5911">
        <v>-1.584493E-2</v>
      </c>
      <c r="Z5911">
        <v>-5.2648750000000001E-2</v>
      </c>
      <c r="AA5911">
        <v>0.99848740000000002</v>
      </c>
      <c r="AB5911">
        <v>31</v>
      </c>
      <c r="AC5911">
        <v>0.61700000000001798</v>
      </c>
      <c r="AD5911">
        <v>-1.121546370218</v>
      </c>
      <c r="AE5911">
        <v>17.120612999999999</v>
      </c>
      <c r="AF5911">
        <v>-0.27375223677049498</v>
      </c>
      <c r="AG5911">
        <v>-1.121546370218</v>
      </c>
      <c r="AH5911">
        <v>17.056420687270801</v>
      </c>
      <c r="AI5911">
        <v>93.7615898887789</v>
      </c>
      <c r="AJ5911">
        <v>90.919507176144506</v>
      </c>
      <c r="AK5911">
        <v>17.095446563598301</v>
      </c>
      <c r="AL5911">
        <v>78.150316211324494</v>
      </c>
      <c r="AM5911">
        <v>91.523614068018702</v>
      </c>
      <c r="AN5911">
        <v>1.0000000219376699</v>
      </c>
    </row>
    <row r="5912" spans="1:40" x14ac:dyDescent="0.25">
      <c r="A5912" t="str">
        <f>"20190303170651687"</f>
        <v>20190303170651687</v>
      </c>
      <c r="B5912" t="str">
        <f>"1551604011680734"</f>
        <v>1551604011680734</v>
      </c>
      <c r="C5912" t="s">
        <v>40</v>
      </c>
      <c r="D5912">
        <v>5.5946989999999897</v>
      </c>
      <c r="E5912">
        <v>0.50692809999999999</v>
      </c>
      <c r="F5912" t="s">
        <v>41</v>
      </c>
      <c r="G5912">
        <v>-185.96209999999999</v>
      </c>
      <c r="H5912" s="1">
        <v>-4.3627039999999999E-6</v>
      </c>
      <c r="I5912">
        <v>8.1327649999999991</v>
      </c>
      <c r="J5912">
        <v>-186.5625</v>
      </c>
      <c r="K5912">
        <v>1.1216600000000001</v>
      </c>
      <c r="L5912">
        <v>-8.6508479999999999</v>
      </c>
      <c r="M5912">
        <v>5.1069799999999999E-2</v>
      </c>
      <c r="N5912">
        <v>-1.146934E-2</v>
      </c>
      <c r="O5912">
        <v>0.99862919999999999</v>
      </c>
      <c r="P5912">
        <v>2.4040189999999999E-2</v>
      </c>
      <c r="Q5912">
        <v>0.19244420000000001</v>
      </c>
      <c r="R5912">
        <v>0.98101340000000004</v>
      </c>
      <c r="S5912">
        <v>0.1115265</v>
      </c>
      <c r="T5912">
        <v>-0.20305190000000001</v>
      </c>
      <c r="U5912">
        <v>3.096527</v>
      </c>
      <c r="V5912">
        <v>-2.642427E-2</v>
      </c>
      <c r="W5912">
        <v>0.20364019999999999</v>
      </c>
      <c r="X5912">
        <v>0.97868909999999998</v>
      </c>
      <c r="Y5912">
        <v>-1.5139349999999999E-2</v>
      </c>
      <c r="Z5912">
        <v>-5.3842250000000001E-2</v>
      </c>
      <c r="AA5912">
        <v>0.99843470000000001</v>
      </c>
      <c r="AB5912">
        <v>31</v>
      </c>
      <c r="AC5912">
        <v>0.60040000000000704</v>
      </c>
      <c r="AD5912">
        <v>-1.1216643627039999</v>
      </c>
      <c r="AE5912">
        <v>16.783612999999999</v>
      </c>
      <c r="AF5912">
        <v>-0.25643187962421998</v>
      </c>
      <c r="AG5912">
        <v>-1.1216643627039999</v>
      </c>
      <c r="AH5912">
        <v>16.717800782959898</v>
      </c>
      <c r="AI5912">
        <v>93.838000881335304</v>
      </c>
      <c r="AJ5912">
        <v>90.8787825926089</v>
      </c>
      <c r="AK5912">
        <v>16.7573491719359</v>
      </c>
      <c r="AL5912">
        <v>78.250090344287202</v>
      </c>
      <c r="AM5912">
        <v>91.546590654884398</v>
      </c>
      <c r="AN5912">
        <v>0.99999996377994005</v>
      </c>
    </row>
    <row r="5913" spans="1:40" x14ac:dyDescent="0.25">
      <c r="A5913" t="str">
        <f>"20190303170651710"</f>
        <v>20190303170651710</v>
      </c>
      <c r="B5913" t="str">
        <f>"1551604011700761"</f>
        <v>1551604011700761</v>
      </c>
      <c r="C5913" t="s">
        <v>40</v>
      </c>
      <c r="D5913">
        <v>5.596571</v>
      </c>
      <c r="E5913">
        <v>0.50699929999999904</v>
      </c>
      <c r="F5913" t="s">
        <v>41</v>
      </c>
      <c r="G5913">
        <v>-185.97219999999999</v>
      </c>
      <c r="H5913" s="1">
        <v>-4.2737219999999996E-6</v>
      </c>
      <c r="I5913">
        <v>7.9294969999999996</v>
      </c>
      <c r="J5913">
        <v>-186.54750000000001</v>
      </c>
      <c r="K5913">
        <v>1.1217549999999901</v>
      </c>
      <c r="L5913">
        <v>-8.3375240000000002</v>
      </c>
      <c r="M5913">
        <v>5.0002199999999997E-2</v>
      </c>
      <c r="N5913">
        <v>-1.1464530000000001E-2</v>
      </c>
      <c r="O5913">
        <v>0.99868330000000005</v>
      </c>
      <c r="P5913">
        <v>2.2673680000000002E-2</v>
      </c>
      <c r="Q5913">
        <v>0.1929389</v>
      </c>
      <c r="R5913">
        <v>0.98094870000000001</v>
      </c>
      <c r="S5913">
        <v>0.1102448</v>
      </c>
      <c r="T5913">
        <v>-0.20947669999999999</v>
      </c>
      <c r="U5913">
        <v>3.0964659999999999</v>
      </c>
      <c r="V5913">
        <v>-2.6785529999999998E-2</v>
      </c>
      <c r="W5913">
        <v>0.204122</v>
      </c>
      <c r="X5913">
        <v>0.97857890000000003</v>
      </c>
      <c r="Y5913">
        <v>-1.448665E-2</v>
      </c>
      <c r="Z5913">
        <v>-5.5912070000000001E-2</v>
      </c>
      <c r="AA5913">
        <v>0.99833059999999996</v>
      </c>
      <c r="AB5913">
        <v>31</v>
      </c>
      <c r="AC5913">
        <v>0.57530000000002701</v>
      </c>
      <c r="AD5913">
        <v>-1.1217592737219999</v>
      </c>
      <c r="AE5913">
        <v>16.267021</v>
      </c>
      <c r="AF5913">
        <v>-0.237730950368684</v>
      </c>
      <c r="AG5913">
        <v>-1.1217592737219999</v>
      </c>
      <c r="AH5913">
        <v>16.1985047118607</v>
      </c>
      <c r="AI5913">
        <v>93.961028354786905</v>
      </c>
      <c r="AJ5913">
        <v>90.840818492341597</v>
      </c>
      <c r="AK5913">
        <v>16.239039835320199</v>
      </c>
      <c r="AL5913">
        <v>78.221892918054294</v>
      </c>
      <c r="AM5913">
        <v>91.567900879827803</v>
      </c>
      <c r="AN5913">
        <v>0.99999995951329401</v>
      </c>
    </row>
    <row r="5914" spans="1:40" x14ac:dyDescent="0.25">
      <c r="A5914" t="str">
        <f>"20190303170651732"</f>
        <v>20190303170651732</v>
      </c>
      <c r="B5914" t="str">
        <f>"1551604011721257"</f>
        <v>1551604011721257</v>
      </c>
      <c r="C5914" t="s">
        <v>40</v>
      </c>
      <c r="D5914">
        <v>5.5935689999999996</v>
      </c>
      <c r="E5914">
        <v>0.50707729999999995</v>
      </c>
      <c r="F5914" t="s">
        <v>41</v>
      </c>
      <c r="G5914">
        <v>-185.96850000000001</v>
      </c>
      <c r="H5914" s="1">
        <v>-4.4797200000000002E-6</v>
      </c>
      <c r="I5914">
        <v>8.4081729999999997</v>
      </c>
      <c r="J5914">
        <v>-186.53380000000001</v>
      </c>
      <c r="K5914">
        <v>1.1218269999999999</v>
      </c>
      <c r="L5914">
        <v>-8.0406189999999995</v>
      </c>
      <c r="M5914">
        <v>4.8912490000000003E-2</v>
      </c>
      <c r="N5914">
        <v>-1.1460430000000001E-2</v>
      </c>
      <c r="O5914">
        <v>0.99873730000000005</v>
      </c>
      <c r="P5914">
        <v>2.1697790000000002E-2</v>
      </c>
      <c r="Q5914">
        <v>0.19348580000000001</v>
      </c>
      <c r="R5914">
        <v>0.98086309999999999</v>
      </c>
      <c r="S5914">
        <v>0.107070899999999</v>
      </c>
      <c r="T5914">
        <v>-0.2074339</v>
      </c>
      <c r="U5914">
        <v>3.0965880000000001</v>
      </c>
      <c r="V5914">
        <v>-2.6720399999999998E-2</v>
      </c>
      <c r="W5914">
        <v>0.2046597</v>
      </c>
      <c r="X5914">
        <v>0.97846840000000002</v>
      </c>
      <c r="Y5914">
        <v>-1.4417859999999999E-2</v>
      </c>
      <c r="Z5914">
        <v>-5.5265420000000003E-2</v>
      </c>
      <c r="AA5914">
        <v>0.99836760000000002</v>
      </c>
      <c r="AB5914">
        <v>31</v>
      </c>
      <c r="AC5914">
        <v>0.56530000000000702</v>
      </c>
      <c r="AD5914">
        <v>-1.12183147972</v>
      </c>
      <c r="AE5914">
        <v>16.448791999999901</v>
      </c>
      <c r="AF5914">
        <v>-0.23887115906939599</v>
      </c>
      <c r="AG5914">
        <v>-1.12183147972</v>
      </c>
      <c r="AH5914">
        <v>16.380649682406499</v>
      </c>
      <c r="AI5914">
        <v>93.917378200547702</v>
      </c>
      <c r="AJ5914">
        <v>90.835457660128995</v>
      </c>
      <c r="AK5914">
        <v>16.4207566609231</v>
      </c>
      <c r="AL5914">
        <v>78.190420953844793</v>
      </c>
      <c r="AM5914">
        <v>91.564266914773199</v>
      </c>
      <c r="AN5914">
        <v>0.99999999118940497</v>
      </c>
    </row>
    <row r="5915" spans="1:40" x14ac:dyDescent="0.25">
      <c r="A5915" t="str">
        <f>"20190303170651753"</f>
        <v>20190303170651753</v>
      </c>
      <c r="B5915" t="str">
        <f>"1551604011740777"</f>
        <v>1551604011740777</v>
      </c>
      <c r="C5915" t="s">
        <v>40</v>
      </c>
      <c r="D5915">
        <v>5.5897009999999998</v>
      </c>
      <c r="E5915">
        <v>0.50715080000000001</v>
      </c>
      <c r="F5915" t="s">
        <v>41</v>
      </c>
      <c r="G5915">
        <v>-185.9665</v>
      </c>
      <c r="H5915" s="1">
        <v>-4.6733229999999901E-6</v>
      </c>
      <c r="I5915">
        <v>8.8586240000000007</v>
      </c>
      <c r="J5915">
        <v>-186.52010000000001</v>
      </c>
      <c r="K5915">
        <v>1.12188</v>
      </c>
      <c r="L5915">
        <v>-7.7371829999999999</v>
      </c>
      <c r="M5915">
        <v>4.7746219999999999E-2</v>
      </c>
      <c r="N5915">
        <v>-1.14568E-2</v>
      </c>
      <c r="O5915">
        <v>0.99879379999999995</v>
      </c>
      <c r="P5915">
        <v>1.9773800000000001E-2</v>
      </c>
      <c r="Q5915">
        <v>0.19332659999999999</v>
      </c>
      <c r="R5915">
        <v>0.98093520000000001</v>
      </c>
      <c r="S5915">
        <v>0.1039581</v>
      </c>
      <c r="T5915">
        <v>-0.2055748</v>
      </c>
      <c r="U5915">
        <v>3.0967709999999999</v>
      </c>
      <c r="V5915">
        <v>-2.7525290000000001E-2</v>
      </c>
      <c r="W5915">
        <v>0.2044916</v>
      </c>
      <c r="X5915">
        <v>0.97848120000000005</v>
      </c>
      <c r="Y5915">
        <v>-1.4253709999999999E-2</v>
      </c>
      <c r="Z5915">
        <v>-5.4675880000000003E-2</v>
      </c>
      <c r="AA5915">
        <v>0.99840240000000002</v>
      </c>
      <c r="AB5915">
        <v>31</v>
      </c>
      <c r="AC5915">
        <v>0.55360000000001697</v>
      </c>
      <c r="AD5915">
        <v>-1.1218846733229999</v>
      </c>
      <c r="AE5915">
        <v>16.595807000000001</v>
      </c>
      <c r="AF5915">
        <v>-0.23838236429258</v>
      </c>
      <c r="AG5915">
        <v>-1.1218846733229999</v>
      </c>
      <c r="AH5915">
        <v>16.527865499125799</v>
      </c>
      <c r="AI5915">
        <v>93.882785293854994</v>
      </c>
      <c r="AJ5915">
        <v>90.826323061227001</v>
      </c>
      <c r="AK5915">
        <v>16.5676126623312</v>
      </c>
      <c r="AL5915">
        <v>78.200260068508001</v>
      </c>
      <c r="AM5915">
        <v>91.611341276093498</v>
      </c>
      <c r="AN5915">
        <v>0.99999995740679104</v>
      </c>
    </row>
    <row r="5916" spans="1:40" x14ac:dyDescent="0.25">
      <c r="A5916" t="str">
        <f>"20190303170651774"</f>
        <v>20190303170651774</v>
      </c>
      <c r="B5916" t="str">
        <f>"1551604011760297"</f>
        <v>1551604011760297</v>
      </c>
      <c r="C5916" t="s">
        <v>40</v>
      </c>
      <c r="D5916">
        <v>5.593019</v>
      </c>
      <c r="E5916">
        <v>0.5071869</v>
      </c>
      <c r="F5916" t="s">
        <v>41</v>
      </c>
      <c r="G5916">
        <v>-185.97989999999999</v>
      </c>
      <c r="H5916" s="1">
        <v>-4.8028019999999996E-6</v>
      </c>
      <c r="I5916">
        <v>9.1659959999999998</v>
      </c>
      <c r="J5916">
        <v>-186.50720000000001</v>
      </c>
      <c r="K5916">
        <v>1.121912</v>
      </c>
      <c r="L5916">
        <v>-7.4429929999999898</v>
      </c>
      <c r="M5916">
        <v>4.6590359999999997E-2</v>
      </c>
      <c r="N5916">
        <v>-1.145385E-2</v>
      </c>
      <c r="O5916">
        <v>0.99884839999999997</v>
      </c>
      <c r="P5916">
        <v>1.7197440000000001E-2</v>
      </c>
      <c r="Q5916">
        <v>0.19180410000000001</v>
      </c>
      <c r="R5916">
        <v>0.98128249999999995</v>
      </c>
      <c r="S5916">
        <v>9.8968509999999996E-2</v>
      </c>
      <c r="T5916">
        <v>-0.20554049999999999</v>
      </c>
      <c r="U5916">
        <v>3.096832</v>
      </c>
      <c r="V5916">
        <v>-2.8993649999999999E-2</v>
      </c>
      <c r="W5916">
        <v>0.2029637</v>
      </c>
      <c r="X5916">
        <v>0.97875690000000004</v>
      </c>
      <c r="Y5916">
        <v>-1.470396E-2</v>
      </c>
      <c r="Z5916">
        <v>-5.4672850000000002E-2</v>
      </c>
      <c r="AA5916">
        <v>0.99839599999999995</v>
      </c>
      <c r="AB5916">
        <v>31</v>
      </c>
      <c r="AC5916">
        <v>0.52730000000002497</v>
      </c>
      <c r="AD5916">
        <v>-1.1219168028019999</v>
      </c>
      <c r="AE5916">
        <v>16.608989000000001</v>
      </c>
      <c r="AF5916">
        <v>-0.24602080757626299</v>
      </c>
      <c r="AG5916">
        <v>-1.1219168028019999</v>
      </c>
      <c r="AH5916">
        <v>16.540125403185598</v>
      </c>
      <c r="AI5916">
        <v>93.880001302003606</v>
      </c>
      <c r="AJ5916">
        <v>90.852164914440905</v>
      </c>
      <c r="AK5916">
        <v>16.579956933094699</v>
      </c>
      <c r="AL5916">
        <v>78.289677899510593</v>
      </c>
      <c r="AM5916">
        <v>91.696772833249597</v>
      </c>
      <c r="AN5916">
        <v>0.99999998227781095</v>
      </c>
    </row>
    <row r="5917" spans="1:40" x14ac:dyDescent="0.25">
      <c r="A5917" t="str">
        <f>"20190303170651798"</f>
        <v>20190303170651798</v>
      </c>
      <c r="B5917" t="str">
        <f>"1551604011790553"</f>
        <v>1551604011790553</v>
      </c>
      <c r="C5917" t="s">
        <v>40</v>
      </c>
      <c r="D5917">
        <v>5.5315009999999996</v>
      </c>
      <c r="E5917">
        <v>0.50738589999999995</v>
      </c>
      <c r="F5917" t="s">
        <v>41</v>
      </c>
      <c r="G5917">
        <v>-186.01599999999999</v>
      </c>
      <c r="H5917" s="1">
        <v>-4.7685430000000003E-6</v>
      </c>
      <c r="I5917">
        <v>9.1010690000000007</v>
      </c>
      <c r="J5917">
        <v>-186.4931</v>
      </c>
      <c r="K5917">
        <v>1.1219380000000001</v>
      </c>
      <c r="L5917">
        <v>-7.1132809999999997</v>
      </c>
      <c r="M5917">
        <v>4.5285739999999998E-2</v>
      </c>
      <c r="N5917">
        <v>-1.1451090000000001E-2</v>
      </c>
      <c r="O5917">
        <v>0.99890849999999998</v>
      </c>
      <c r="P5917">
        <v>1.483978E-2</v>
      </c>
      <c r="Q5917">
        <v>0.19119939999999999</v>
      </c>
      <c r="R5917">
        <v>0.98143910000000001</v>
      </c>
      <c r="S5917">
        <v>9.1934199999999994E-2</v>
      </c>
      <c r="T5917">
        <v>-0.20999570000000001</v>
      </c>
      <c r="U5917">
        <v>3.0966490000000002</v>
      </c>
      <c r="V5917">
        <v>-3.0086350000000001E-2</v>
      </c>
      <c r="W5917">
        <v>0.2023529</v>
      </c>
      <c r="X5917">
        <v>0.97885040000000001</v>
      </c>
      <c r="Y5917">
        <v>-1.5663719999999999E-2</v>
      </c>
      <c r="Z5917">
        <v>-5.6113900000000001E-2</v>
      </c>
      <c r="AA5917">
        <v>0.99830149999999995</v>
      </c>
      <c r="AB5917">
        <v>31</v>
      </c>
      <c r="AC5917">
        <v>0.47710000000000702</v>
      </c>
      <c r="AD5917">
        <v>-1.1219427685429999</v>
      </c>
      <c r="AE5917">
        <v>16.21435</v>
      </c>
      <c r="AF5917">
        <v>-0.25648949936350701</v>
      </c>
      <c r="AG5917">
        <v>-1.1219427685429999</v>
      </c>
      <c r="AH5917">
        <v>16.142100929349301</v>
      </c>
      <c r="AI5917">
        <v>93.975399347809699</v>
      </c>
      <c r="AJ5917">
        <v>90.910323215143194</v>
      </c>
      <c r="AK5917">
        <v>16.1830764952919</v>
      </c>
      <c r="AL5917">
        <v>78.325415892093204</v>
      </c>
      <c r="AM5917">
        <v>91.760512471262501</v>
      </c>
      <c r="AN5917">
        <v>0.99999999508744597</v>
      </c>
    </row>
    <row r="5918" spans="1:40" x14ac:dyDescent="0.25">
      <c r="A5918" t="str">
        <f>"20190303170651822"</f>
        <v>20190303170651822</v>
      </c>
      <c r="B5918" t="str">
        <f>"1551604011810578"</f>
        <v>1551604011810578</v>
      </c>
      <c r="C5918" t="s">
        <v>40</v>
      </c>
      <c r="D5918">
        <v>5.5667730000000004</v>
      </c>
      <c r="E5918">
        <v>0.50753409999999999</v>
      </c>
      <c r="F5918" t="s">
        <v>41</v>
      </c>
      <c r="G5918">
        <v>-186.03569999999999</v>
      </c>
      <c r="H5918" s="1">
        <v>-4.755997E-6</v>
      </c>
      <c r="I5918">
        <v>9.0799579999999995</v>
      </c>
      <c r="J5918">
        <v>-186.48009999999999</v>
      </c>
      <c r="K5918">
        <v>1.1219490000000001</v>
      </c>
      <c r="L5918">
        <v>-6.7984619999999998</v>
      </c>
      <c r="M5918">
        <v>4.4041900000000002E-2</v>
      </c>
      <c r="N5918">
        <v>-1.144891E-2</v>
      </c>
      <c r="O5918">
        <v>0.99896410000000002</v>
      </c>
      <c r="P5918">
        <v>1.3359640000000001E-2</v>
      </c>
      <c r="Q5918">
        <v>0.19209300000000001</v>
      </c>
      <c r="R5918">
        <v>0.98128579999999999</v>
      </c>
      <c r="S5918">
        <v>8.7493899999999999E-2</v>
      </c>
      <c r="T5918">
        <v>-0.21459039999999999</v>
      </c>
      <c r="U5918">
        <v>3.097229</v>
      </c>
      <c r="V5918">
        <v>-3.0346700000000001E-2</v>
      </c>
      <c r="W5918">
        <v>0.20324059999999999</v>
      </c>
      <c r="X5918">
        <v>0.97865840000000004</v>
      </c>
      <c r="Y5918">
        <v>-1.58564E-2</v>
      </c>
      <c r="Z5918">
        <v>-5.7581479999999997E-2</v>
      </c>
      <c r="AA5918">
        <v>0.99821490000000002</v>
      </c>
      <c r="AB5918">
        <v>31</v>
      </c>
      <c r="AC5918">
        <v>0.44440000000000102</v>
      </c>
      <c r="AD5918">
        <v>-1.1219537559970001</v>
      </c>
      <c r="AE5918">
        <v>15.878419999999901</v>
      </c>
      <c r="AF5918">
        <v>-0.25412509645317799</v>
      </c>
      <c r="AG5918">
        <v>-1.1219537559970001</v>
      </c>
      <c r="AH5918">
        <v>15.8037428436007</v>
      </c>
      <c r="AI5918">
        <v>94.060258248673705</v>
      </c>
      <c r="AJ5918">
        <v>90.921240043606204</v>
      </c>
      <c r="AK5918">
        <v>15.845556085600199</v>
      </c>
      <c r="AL5918">
        <v>78.273474769665995</v>
      </c>
      <c r="AM5918">
        <v>91.776085377013601</v>
      </c>
      <c r="AN5918">
        <v>0.99999996378990397</v>
      </c>
    </row>
    <row r="5919" spans="1:40" x14ac:dyDescent="0.25">
      <c r="A5919" t="str">
        <f>"20190303170651842"</f>
        <v>20190303170651842</v>
      </c>
      <c r="B5919" t="str">
        <f>"1551604011831074"</f>
        <v>1551604011831074</v>
      </c>
      <c r="C5919" t="s">
        <v>40</v>
      </c>
      <c r="D5919">
        <v>5.6715479999999996</v>
      </c>
      <c r="E5919">
        <v>0.50748499999999996</v>
      </c>
      <c r="F5919" t="s">
        <v>41</v>
      </c>
      <c r="G5919">
        <v>-186.0367</v>
      </c>
      <c r="H5919" s="1">
        <v>-4.9550769999999998E-6</v>
      </c>
      <c r="I5919">
        <v>9.5444119999999995</v>
      </c>
      <c r="J5919">
        <v>-186.46850000000001</v>
      </c>
      <c r="K5919">
        <v>1.121961</v>
      </c>
      <c r="L5919">
        <v>-6.506958</v>
      </c>
      <c r="M5919">
        <v>4.2895530000000001E-2</v>
      </c>
      <c r="N5919">
        <v>-1.1447250000000001E-2</v>
      </c>
      <c r="O5919">
        <v>0.99901399999999996</v>
      </c>
      <c r="P5919">
        <v>1.269322E-2</v>
      </c>
      <c r="Q5919">
        <v>0.1935955</v>
      </c>
      <c r="R5919">
        <v>0.98099930000000002</v>
      </c>
      <c r="S5919">
        <v>8.4060670000000004E-2</v>
      </c>
      <c r="T5919">
        <v>-0.21265919999999999</v>
      </c>
      <c r="U5919">
        <v>3.0976870000000001</v>
      </c>
      <c r="V5919">
        <v>-2.988263E-2</v>
      </c>
      <c r="W5919">
        <v>0.204739</v>
      </c>
      <c r="X5919">
        <v>0.97836040000000002</v>
      </c>
      <c r="Y5919">
        <v>-1.5817769999999998E-2</v>
      </c>
      <c r="Z5919">
        <v>-5.696031E-2</v>
      </c>
      <c r="AA5919">
        <v>0.99825109999999995</v>
      </c>
      <c r="AB5919">
        <v>31</v>
      </c>
      <c r="AC5919">
        <v>0.43180000000000901</v>
      </c>
      <c r="AD5919">
        <v>-1.121965955077</v>
      </c>
      <c r="AE5919">
        <v>16.051369999999999</v>
      </c>
      <c r="AF5919">
        <v>-0.25592513060451899</v>
      </c>
      <c r="AG5919">
        <v>-1.121965955077</v>
      </c>
      <c r="AH5919">
        <v>15.977112862555099</v>
      </c>
      <c r="AI5919">
        <v>94.016392257289695</v>
      </c>
      <c r="AJ5919">
        <v>90.917698713228802</v>
      </c>
      <c r="AK5919">
        <v>16.018503072998101</v>
      </c>
      <c r="AL5919">
        <v>78.185779823604705</v>
      </c>
      <c r="AM5919">
        <v>91.749474376255307</v>
      </c>
      <c r="AN5919">
        <v>1.0000000509924301</v>
      </c>
    </row>
    <row r="5920" spans="1:40" x14ac:dyDescent="0.25">
      <c r="A5920" t="str">
        <f>"20190303170651864"</f>
        <v>20190303170651864</v>
      </c>
      <c r="B5920" t="str">
        <f>"1551604011860354"</f>
        <v>1551604011860354</v>
      </c>
      <c r="C5920" t="s">
        <v>40</v>
      </c>
      <c r="D5920">
        <v>5.691281</v>
      </c>
      <c r="E5920">
        <v>0.47857850000000002</v>
      </c>
      <c r="F5920" t="s">
        <v>41</v>
      </c>
      <c r="G5920">
        <v>-186.02619999999999</v>
      </c>
      <c r="H5920" s="1">
        <v>-1.248653E-6</v>
      </c>
      <c r="I5920">
        <v>10.210240000000001</v>
      </c>
      <c r="J5920">
        <v>-186.45740000000001</v>
      </c>
      <c r="K5920">
        <v>1.1219650000000001</v>
      </c>
      <c r="L5920">
        <v>-6.2233580000000002</v>
      </c>
      <c r="M5920">
        <v>4.178627E-2</v>
      </c>
      <c r="N5920">
        <v>-1.144601E-2</v>
      </c>
      <c r="O5920">
        <v>0.99906099999999998</v>
      </c>
      <c r="P5920">
        <v>1.1666030000000001E-2</v>
      </c>
      <c r="Q5920">
        <v>0.19356580000000001</v>
      </c>
      <c r="R5920">
        <v>0.9810179</v>
      </c>
      <c r="S5920">
        <v>8.1970210000000002E-2</v>
      </c>
      <c r="T5920">
        <v>-0.20792559999999999</v>
      </c>
      <c r="U5920">
        <v>3.0980829999999999</v>
      </c>
      <c r="V5920">
        <v>-2.9824050000000001E-2</v>
      </c>
      <c r="W5920">
        <v>0.2047078</v>
      </c>
      <c r="X5920">
        <v>0.97836860000000003</v>
      </c>
      <c r="Y5920">
        <v>-1.538221E-2</v>
      </c>
      <c r="Z5920">
        <v>-5.544197E-2</v>
      </c>
      <c r="AA5920">
        <v>0.99834339999999999</v>
      </c>
      <c r="AB5920">
        <v>31</v>
      </c>
      <c r="AC5920">
        <v>0.43120000000001801</v>
      </c>
      <c r="AD5920">
        <v>-1.121966248653</v>
      </c>
      <c r="AE5920">
        <v>16.433598</v>
      </c>
      <c r="AF5920">
        <v>-0.25473388735658198</v>
      </c>
      <c r="AG5920">
        <v>-1.121966248653</v>
      </c>
      <c r="AH5920">
        <v>16.361052918172199</v>
      </c>
      <c r="AI5920">
        <v>93.922467205656702</v>
      </c>
      <c r="AJ5920">
        <v>90.891996227194497</v>
      </c>
      <c r="AK5920">
        <v>16.401455734407001</v>
      </c>
      <c r="AL5920">
        <v>78.187604772208303</v>
      </c>
      <c r="AM5920">
        <v>91.746032318298305</v>
      </c>
      <c r="AN5920">
        <v>0.99999993740259896</v>
      </c>
    </row>
    <row r="5921" spans="1:40" x14ac:dyDescent="0.25">
      <c r="A5921" t="str">
        <f>"20190303170651888"</f>
        <v>20190303170651888</v>
      </c>
      <c r="B5921" t="str">
        <f>"1551604011880853"</f>
        <v>1551604011880853</v>
      </c>
      <c r="C5921" t="s">
        <v>40</v>
      </c>
      <c r="D5921">
        <v>5.8069439999999997</v>
      </c>
      <c r="E5921">
        <v>0.47681020000000002</v>
      </c>
      <c r="F5921" t="s">
        <v>41</v>
      </c>
      <c r="G5921">
        <v>-187.86789999999999</v>
      </c>
      <c r="H5921" s="1">
        <v>-1.7168429999999999E-6</v>
      </c>
      <c r="I5921">
        <v>22.753170000000001</v>
      </c>
      <c r="J5921">
        <v>-186.44479999999999</v>
      </c>
      <c r="K5921">
        <v>1.121964</v>
      </c>
      <c r="L5921">
        <v>-5.888611</v>
      </c>
      <c r="M5921">
        <v>4.048276E-2</v>
      </c>
      <c r="N5921">
        <v>-1.144483E-2</v>
      </c>
      <c r="O5921">
        <v>0.99911470000000002</v>
      </c>
      <c r="P5921">
        <v>1.058337E-2</v>
      </c>
      <c r="Q5921">
        <v>0.1917662</v>
      </c>
      <c r="R5921">
        <v>0.98138360000000002</v>
      </c>
      <c r="S5921">
        <v>-0.15008540000000001</v>
      </c>
      <c r="T5921">
        <v>-0.1193877</v>
      </c>
      <c r="U5921">
        <v>3.0833740000000001</v>
      </c>
      <c r="V5921">
        <v>-2.9638970000000001E-2</v>
      </c>
      <c r="W5921">
        <v>0.20291100000000001</v>
      </c>
      <c r="X5921">
        <v>0.97874850000000002</v>
      </c>
      <c r="Y5921">
        <v>-8.8972389999999998E-2</v>
      </c>
      <c r="Z5921">
        <v>-2.7093679999999998E-2</v>
      </c>
      <c r="AA5921">
        <v>0.99566560000000004</v>
      </c>
      <c r="AB5921">
        <v>31</v>
      </c>
      <c r="AC5921">
        <v>-1.4231</v>
      </c>
      <c r="AD5921">
        <v>-1.1219657168429999</v>
      </c>
      <c r="AE5921">
        <v>28.641780999999899</v>
      </c>
      <c r="AF5921">
        <v>-2.5775620633774099</v>
      </c>
      <c r="AG5921">
        <v>-1.1219657168429999</v>
      </c>
      <c r="AH5921">
        <v>28.517032820772801</v>
      </c>
      <c r="AI5921">
        <v>92.243928049412801</v>
      </c>
      <c r="AJ5921">
        <v>95.164745186807096</v>
      </c>
      <c r="AK5921">
        <v>28.655257705373501</v>
      </c>
      <c r="AL5921">
        <v>78.292761577350802</v>
      </c>
      <c r="AM5921">
        <v>91.734530452502298</v>
      </c>
      <c r="AN5921">
        <v>0.99999998435795501</v>
      </c>
    </row>
    <row r="5922" spans="1:40" x14ac:dyDescent="0.25">
      <c r="A5922" t="str">
        <f>"20190303170651911"</f>
        <v>20190303170651911</v>
      </c>
      <c r="B5922" t="str">
        <f>"1551604011900720"</f>
        <v>1551604011900720</v>
      </c>
      <c r="C5922" t="s">
        <v>40</v>
      </c>
      <c r="D5922">
        <v>5.5802329999999998</v>
      </c>
      <c r="E5922">
        <v>0.47605969999999997</v>
      </c>
      <c r="F5922" t="s">
        <v>41</v>
      </c>
      <c r="G5922">
        <v>-188.0718</v>
      </c>
      <c r="H5922" s="1">
        <v>-2.2426649999999998E-6</v>
      </c>
      <c r="I5922">
        <v>24.063199999999998</v>
      </c>
      <c r="J5922">
        <v>-186.4333</v>
      </c>
      <c r="K5922">
        <v>1.1219619999999999</v>
      </c>
      <c r="L5922">
        <v>-5.5707700000000004</v>
      </c>
      <c r="M5922">
        <v>3.9248770000000002E-2</v>
      </c>
      <c r="N5922">
        <v>-1.1443989999999999E-2</v>
      </c>
      <c r="O5922">
        <v>0.99916389999999999</v>
      </c>
      <c r="P5922">
        <v>9.8443220000000008E-3</v>
      </c>
      <c r="Q5922">
        <v>0.19075239999999999</v>
      </c>
      <c r="R5922">
        <v>0.98158880000000004</v>
      </c>
      <c r="S5922">
        <v>-0.16737369999999999</v>
      </c>
      <c r="T5922">
        <v>-0.11542139999999999</v>
      </c>
      <c r="U5922">
        <v>3.0812680000000001</v>
      </c>
      <c r="V5922">
        <v>-2.9172409999999999E-2</v>
      </c>
      <c r="W5922">
        <v>0.20190040000000001</v>
      </c>
      <c r="X5922">
        <v>0.97897149999999999</v>
      </c>
      <c r="Y5922">
        <v>-9.3347299999999994E-2</v>
      </c>
      <c r="Z5922">
        <v>-2.5829749999999999E-2</v>
      </c>
      <c r="AA5922">
        <v>0.99529849999999997</v>
      </c>
      <c r="AB5922">
        <v>31</v>
      </c>
      <c r="AC5922">
        <v>-1.6384999999999901</v>
      </c>
      <c r="AD5922">
        <v>-1.1219642426650001</v>
      </c>
      <c r="AE5922">
        <v>29.633970000000001</v>
      </c>
      <c r="AF5922">
        <v>-2.7964141406616898</v>
      </c>
      <c r="AG5922">
        <v>-1.1219642426650001</v>
      </c>
      <c r="AH5922">
        <v>29.504655685542499</v>
      </c>
      <c r="AI5922">
        <v>92.168012736781805</v>
      </c>
      <c r="AJ5922">
        <v>95.414248459327396</v>
      </c>
      <c r="AK5922">
        <v>29.6581092271629</v>
      </c>
      <c r="AL5922">
        <v>78.351888697638799</v>
      </c>
      <c r="AM5922">
        <v>91.7068540742046</v>
      </c>
      <c r="AN5922">
        <v>0.99999999941880802</v>
      </c>
    </row>
    <row r="5923" spans="1:40" x14ac:dyDescent="0.25">
      <c r="A5923" t="str">
        <f>"20190303170651932"</f>
        <v>20190303170651932</v>
      </c>
      <c r="B5923" t="str">
        <f>"1551604011921215"</f>
        <v>1551604011921215</v>
      </c>
      <c r="C5923" t="s">
        <v>40</v>
      </c>
      <c r="D5923">
        <v>5.5069919999999897</v>
      </c>
      <c r="E5923">
        <v>0.47599710000000001</v>
      </c>
      <c r="F5923" t="s">
        <v>41</v>
      </c>
      <c r="G5923">
        <v>-188.10659999999999</v>
      </c>
      <c r="H5923" s="1">
        <v>-2.1323689999999999E-6</v>
      </c>
      <c r="I5923">
        <v>23.82048</v>
      </c>
      <c r="J5923">
        <v>-186.423</v>
      </c>
      <c r="K5923">
        <v>1.1219669999999999</v>
      </c>
      <c r="L5923">
        <v>-5.2779540000000003</v>
      </c>
      <c r="M5923">
        <v>3.8113969999999997E-2</v>
      </c>
      <c r="N5923">
        <v>-1.1443419999999999E-2</v>
      </c>
      <c r="O5923">
        <v>0.99920790000000004</v>
      </c>
      <c r="P5923">
        <v>8.6683980000000008E-3</v>
      </c>
      <c r="Q5923">
        <v>0.19106409999999999</v>
      </c>
      <c r="R5923">
        <v>0.9815393</v>
      </c>
      <c r="S5923">
        <v>-0.17539979999999999</v>
      </c>
      <c r="T5923">
        <v>-0.1176074</v>
      </c>
      <c r="U5923">
        <v>3.0808719999999998</v>
      </c>
      <c r="V5923">
        <v>-2.9232589999999999E-2</v>
      </c>
      <c r="W5923">
        <v>0.20221</v>
      </c>
      <c r="X5923">
        <v>0.97890580000000005</v>
      </c>
      <c r="Y5923">
        <v>-9.4806399999999999E-2</v>
      </c>
      <c r="Z5923">
        <v>-2.6537410000000001E-2</v>
      </c>
      <c r="AA5923">
        <v>0.99514199999999997</v>
      </c>
      <c r="AB5923">
        <v>31</v>
      </c>
      <c r="AC5923">
        <v>-1.68359999999998</v>
      </c>
      <c r="AD5923">
        <v>-1.121969132369</v>
      </c>
      <c r="AE5923">
        <v>29.098434000000001</v>
      </c>
      <c r="AF5923">
        <v>-2.7873758099263299</v>
      </c>
      <c r="AG5923">
        <v>-1.121969132369</v>
      </c>
      <c r="AH5923">
        <v>28.970189186495499</v>
      </c>
      <c r="AI5923">
        <v>92.207680595677402</v>
      </c>
      <c r="AJ5923">
        <v>95.495814044676493</v>
      </c>
      <c r="AK5923">
        <v>29.125592528583699</v>
      </c>
      <c r="AL5923">
        <v>78.333776310748803</v>
      </c>
      <c r="AM5923">
        <v>91.710487792750996</v>
      </c>
      <c r="AN5923">
        <v>0.99999999684587404</v>
      </c>
    </row>
    <row r="5924" spans="1:40" x14ac:dyDescent="0.25">
      <c r="A5924" t="str">
        <f>"20190303170651953"</f>
        <v>20190303170651953</v>
      </c>
      <c r="B5924" t="str">
        <f>"1551604011940735"</f>
        <v>1551604011940735</v>
      </c>
      <c r="C5924" t="s">
        <v>40</v>
      </c>
      <c r="D5924">
        <v>5.4737070000000001</v>
      </c>
      <c r="E5924">
        <v>0.47594520000000001</v>
      </c>
      <c r="F5924" t="s">
        <v>41</v>
      </c>
      <c r="G5924">
        <v>-188.1181</v>
      </c>
      <c r="H5924" s="1">
        <v>-2.110348E-6</v>
      </c>
      <c r="I5924">
        <v>23.773900000000001</v>
      </c>
      <c r="J5924">
        <v>-186.41300000000001</v>
      </c>
      <c r="K5924">
        <v>1.1219730000000001</v>
      </c>
      <c r="L5924">
        <v>-4.9842219999999999</v>
      </c>
      <c r="M5924">
        <v>3.6977719999999999E-2</v>
      </c>
      <c r="N5924">
        <v>-1.144306E-2</v>
      </c>
      <c r="O5924">
        <v>0.99925059999999999</v>
      </c>
      <c r="P5924">
        <v>7.6408439999999999E-3</v>
      </c>
      <c r="Q5924">
        <v>0.1927528</v>
      </c>
      <c r="R5924">
        <v>0.98121760000000002</v>
      </c>
      <c r="S5924">
        <v>-0.1797791</v>
      </c>
      <c r="T5924">
        <v>-0.1189936</v>
      </c>
      <c r="U5924">
        <v>3.0811769999999998</v>
      </c>
      <c r="V5924">
        <v>-2.9135379999999999E-2</v>
      </c>
      <c r="W5924">
        <v>0.2038951</v>
      </c>
      <c r="X5924">
        <v>0.97855910000000002</v>
      </c>
      <c r="Y5924">
        <v>-9.5077519999999999E-2</v>
      </c>
      <c r="Z5924">
        <v>-2.6981729999999999E-2</v>
      </c>
      <c r="AA5924">
        <v>0.99510410000000005</v>
      </c>
      <c r="AB5924">
        <v>31</v>
      </c>
      <c r="AC5924">
        <v>-1.7051000000000101</v>
      </c>
      <c r="AD5924">
        <v>-1.12197511034799</v>
      </c>
      <c r="AE5924">
        <v>28.758121999999901</v>
      </c>
      <c r="AF5924">
        <v>-2.76322190801362</v>
      </c>
      <c r="AG5924">
        <v>-1.12197511034799</v>
      </c>
      <c r="AH5924">
        <v>28.631968355052798</v>
      </c>
      <c r="AI5924">
        <v>92.233682473971996</v>
      </c>
      <c r="AJ5924">
        <v>95.512445185549296</v>
      </c>
      <c r="AK5924">
        <v>28.786869148031901</v>
      </c>
      <c r="AL5924">
        <v>78.235173064402005</v>
      </c>
      <c r="AM5924">
        <v>91.705406751077405</v>
      </c>
      <c r="AN5924">
        <v>0.99999999718228205</v>
      </c>
    </row>
    <row r="5925" spans="1:40" x14ac:dyDescent="0.25">
      <c r="A5925" t="str">
        <f>"20190303170651976"</f>
        <v>20190303170651976</v>
      </c>
      <c r="B5925" t="str">
        <f>"1551604011970992"</f>
        <v>1551604011970992</v>
      </c>
      <c r="C5925" t="s">
        <v>40</v>
      </c>
      <c r="D5925">
        <v>5.5799810000000001</v>
      </c>
      <c r="E5925">
        <v>0.47670449999999998</v>
      </c>
      <c r="F5925" t="s">
        <v>41</v>
      </c>
      <c r="G5925">
        <v>-188.2586</v>
      </c>
      <c r="H5925" s="1">
        <v>-3.010262E-6</v>
      </c>
      <c r="I5925">
        <v>25.92972</v>
      </c>
      <c r="J5925">
        <v>-186.40270000000001</v>
      </c>
      <c r="K5925">
        <v>1.1219730000000001</v>
      </c>
      <c r="L5925">
        <v>-4.673279</v>
      </c>
      <c r="M5925">
        <v>3.5777650000000001E-2</v>
      </c>
      <c r="N5925">
        <v>-1.1439080000000001E-2</v>
      </c>
      <c r="O5925">
        <v>0.99929429999999997</v>
      </c>
      <c r="P5925">
        <v>6.7142879999999997E-3</v>
      </c>
      <c r="Q5925">
        <v>0.1931322</v>
      </c>
      <c r="R5925">
        <v>0.98114979999999996</v>
      </c>
      <c r="S5925">
        <v>-0.18392939999999999</v>
      </c>
      <c r="T5925">
        <v>-0.11181339999999999</v>
      </c>
      <c r="U5925">
        <v>3.0808110000000002</v>
      </c>
      <c r="V5925">
        <v>-2.8882020000000001E-2</v>
      </c>
      <c r="W5925">
        <v>0.20427090000000001</v>
      </c>
      <c r="X5925">
        <v>0.97848829999999998</v>
      </c>
      <c r="Y5925">
        <v>-9.5229620000000001E-2</v>
      </c>
      <c r="Z5925">
        <v>-2.4674120000000001E-2</v>
      </c>
      <c r="AA5925">
        <v>0.99514950000000002</v>
      </c>
      <c r="AB5925">
        <v>31</v>
      </c>
      <c r="AC5925">
        <v>-1.8558999999999899</v>
      </c>
      <c r="AD5925">
        <v>-1.12197601026199</v>
      </c>
      <c r="AE5925">
        <v>30.602999000000001</v>
      </c>
      <c r="AF5925">
        <v>-2.94574175323373</v>
      </c>
      <c r="AG5925">
        <v>-1.12197601026199</v>
      </c>
      <c r="AH5925">
        <v>30.4761858874434</v>
      </c>
      <c r="AI5925">
        <v>92.098611318872798</v>
      </c>
      <c r="AJ5925">
        <v>95.520897096027596</v>
      </c>
      <c r="AK5925">
        <v>30.638768429725701</v>
      </c>
      <c r="AL5925">
        <v>78.213179181886105</v>
      </c>
      <c r="AM5925">
        <v>91.690707505673103</v>
      </c>
      <c r="AN5925">
        <v>1.00000006245148</v>
      </c>
    </row>
    <row r="5926" spans="1:40" x14ac:dyDescent="0.25">
      <c r="A5926" t="str">
        <f>"20190303170651998"</f>
        <v>20190303170651998</v>
      </c>
      <c r="B5926" t="str">
        <f>"1551604011990511"</f>
        <v>1551604011990511</v>
      </c>
      <c r="C5926" t="s">
        <v>40</v>
      </c>
      <c r="D5926">
        <v>5.564171</v>
      </c>
      <c r="E5926">
        <v>0.4768251</v>
      </c>
      <c r="F5926" t="s">
        <v>41</v>
      </c>
      <c r="G5926">
        <v>-188.2816</v>
      </c>
      <c r="H5926" s="1">
        <v>-3.5702449999999999E-6</v>
      </c>
      <c r="I5926">
        <v>27.244579999999999</v>
      </c>
      <c r="J5926">
        <v>-186.39259999999999</v>
      </c>
      <c r="K5926">
        <v>1.121966</v>
      </c>
      <c r="L5926">
        <v>-4.3525700000000001</v>
      </c>
      <c r="M5926">
        <v>3.4542129999999997E-2</v>
      </c>
      <c r="N5926">
        <v>-1.142171E-2</v>
      </c>
      <c r="O5926">
        <v>0.99933799999999995</v>
      </c>
      <c r="P5926">
        <v>5.2700480000000003E-3</v>
      </c>
      <c r="Q5926">
        <v>0.19193070000000001</v>
      </c>
      <c r="R5926">
        <v>0.9813944</v>
      </c>
      <c r="S5926">
        <v>-0.18132019999999999</v>
      </c>
      <c r="T5926">
        <v>-0.1082752</v>
      </c>
      <c r="U5926">
        <v>3.0802</v>
      </c>
      <c r="V5926">
        <v>-2.9117239999999999E-2</v>
      </c>
      <c r="W5926">
        <v>0.20305429999999999</v>
      </c>
      <c r="X5926">
        <v>0.9787344</v>
      </c>
      <c r="Y5926">
        <v>-9.3173140000000002E-2</v>
      </c>
      <c r="Z5926">
        <v>-2.356362E-2</v>
      </c>
      <c r="AA5926">
        <v>0.99537100000000001</v>
      </c>
      <c r="AB5926">
        <v>31</v>
      </c>
      <c r="AC5926">
        <v>-1.88900000000001</v>
      </c>
      <c r="AD5926">
        <v>-1.1219695702449901</v>
      </c>
      <c r="AE5926">
        <v>31.597149999999999</v>
      </c>
      <c r="AF5926">
        <v>-2.97563811445155</v>
      </c>
      <c r="AG5926">
        <v>-1.1219695702449901</v>
      </c>
      <c r="AH5926">
        <v>31.473495074002301</v>
      </c>
      <c r="AI5926">
        <v>92.032563533018106</v>
      </c>
      <c r="AJ5926">
        <v>95.400932626841794</v>
      </c>
      <c r="AK5926">
        <v>31.6337498579915</v>
      </c>
      <c r="AL5926">
        <v>78.284376056408504</v>
      </c>
      <c r="AM5926">
        <v>91.704040489597404</v>
      </c>
      <c r="AN5926">
        <v>0.99999994407853199</v>
      </c>
    </row>
    <row r="5927" spans="1:40" x14ac:dyDescent="0.25">
      <c r="A5927" t="str">
        <f>"20190303170652022"</f>
        <v>20190303170652022</v>
      </c>
      <c r="B5927" t="str">
        <f>"1551604012010538"</f>
        <v>1551604012010538</v>
      </c>
      <c r="C5927" t="s">
        <v>40</v>
      </c>
      <c r="D5927">
        <v>5.5499029999999996</v>
      </c>
      <c r="E5927">
        <v>0.47699799999999998</v>
      </c>
      <c r="F5927" t="s">
        <v>41</v>
      </c>
      <c r="G5927">
        <v>-188.21879999999999</v>
      </c>
      <c r="H5927" s="1">
        <v>-3.0726009999999998E-6</v>
      </c>
      <c r="I5927">
        <v>26.058589999999999</v>
      </c>
      <c r="J5927">
        <v>-186.38300000000001</v>
      </c>
      <c r="K5927">
        <v>1.121953</v>
      </c>
      <c r="L5927">
        <v>-4.0378720000000001</v>
      </c>
      <c r="M5927">
        <v>3.3331029999999998E-2</v>
      </c>
      <c r="N5927">
        <v>-1.1387309999999999E-2</v>
      </c>
      <c r="O5927">
        <v>0.99937949999999998</v>
      </c>
      <c r="P5927">
        <v>4.3828690000000002E-3</v>
      </c>
      <c r="Q5927">
        <v>0.19185199999999999</v>
      </c>
      <c r="R5927">
        <v>0.98141409999999996</v>
      </c>
      <c r="S5927">
        <v>-0.18496699999999999</v>
      </c>
      <c r="T5927">
        <v>-0.11363429999999999</v>
      </c>
      <c r="U5927">
        <v>3.0800779999999999</v>
      </c>
      <c r="V5927">
        <v>-2.8814090000000001E-2</v>
      </c>
      <c r="W5927">
        <v>0.20294309999999999</v>
      </c>
      <c r="X5927">
        <v>0.97876649999999998</v>
      </c>
      <c r="Y5927">
        <v>-9.3139799999999995E-2</v>
      </c>
      <c r="Z5927">
        <v>-2.5330990000000001E-2</v>
      </c>
      <c r="AA5927">
        <v>0.99533079999999996</v>
      </c>
      <c r="AB5927">
        <v>31</v>
      </c>
      <c r="AC5927">
        <v>-1.8358000000000001</v>
      </c>
      <c r="AD5927">
        <v>-1.1219560726010001</v>
      </c>
      <c r="AE5927">
        <v>30.096461999999999</v>
      </c>
      <c r="AF5927">
        <v>-2.8340670518664401</v>
      </c>
      <c r="AG5927">
        <v>-1.1219560726010001</v>
      </c>
      <c r="AH5927">
        <v>29.977039522866701</v>
      </c>
      <c r="AI5927">
        <v>92.133912594589603</v>
      </c>
      <c r="AJ5927">
        <v>95.400762531945503</v>
      </c>
      <c r="AK5927">
        <v>30.131605002701701</v>
      </c>
      <c r="AL5927">
        <v>78.290883578814402</v>
      </c>
      <c r="AM5927">
        <v>91.686254139033693</v>
      </c>
      <c r="AN5927">
        <v>1.0000000075711899</v>
      </c>
    </row>
    <row r="5928" spans="1:40" x14ac:dyDescent="0.25">
      <c r="A5928" t="str">
        <f>"20190303170652043"</f>
        <v>20190303170652043</v>
      </c>
      <c r="B5928" t="str">
        <f>"1551604012031034"</f>
        <v>1551604012031034</v>
      </c>
      <c r="C5928" t="s">
        <v>40</v>
      </c>
      <c r="D5928">
        <v>5.6067879999999999</v>
      </c>
      <c r="E5928">
        <v>0.4773889</v>
      </c>
      <c r="F5928" t="s">
        <v>41</v>
      </c>
      <c r="G5928">
        <v>-188.21199999999999</v>
      </c>
      <c r="H5928" s="1">
        <v>-3.1431839999999998E-6</v>
      </c>
      <c r="I5928">
        <v>26.220289999999999</v>
      </c>
      <c r="J5928">
        <v>-186.3742</v>
      </c>
      <c r="K5928">
        <v>1.1219429999999999</v>
      </c>
      <c r="L5928">
        <v>-3.7408450000000002</v>
      </c>
      <c r="M5928">
        <v>3.2188830000000002E-2</v>
      </c>
      <c r="N5928">
        <v>-1.1333289999999999E-2</v>
      </c>
      <c r="O5928">
        <v>0.99941749999999996</v>
      </c>
      <c r="P5928">
        <v>3.6900919999999999E-3</v>
      </c>
      <c r="Q5928">
        <v>0.19345689999999999</v>
      </c>
      <c r="R5928">
        <v>0.98110189999999997</v>
      </c>
      <c r="S5928">
        <v>-0.18617249999999999</v>
      </c>
      <c r="T5928">
        <v>-0.1142031</v>
      </c>
      <c r="U5928">
        <v>3.0799560000000001</v>
      </c>
      <c r="V5928">
        <v>-2.8377699999999999E-2</v>
      </c>
      <c r="W5928">
        <v>0.2044926</v>
      </c>
      <c r="X5928">
        <v>0.97845669999999996</v>
      </c>
      <c r="Y5928">
        <v>-9.2392249999999995E-2</v>
      </c>
      <c r="Z5928">
        <v>-2.5573390000000001E-2</v>
      </c>
      <c r="AA5928">
        <v>0.99539420000000001</v>
      </c>
      <c r="AB5928">
        <v>31</v>
      </c>
      <c r="AC5928">
        <v>-1.8378000000000101</v>
      </c>
      <c r="AD5928">
        <v>-1.1219461431839901</v>
      </c>
      <c r="AE5928">
        <v>29.961134999999999</v>
      </c>
      <c r="AF5928">
        <v>-2.7974154190056799</v>
      </c>
      <c r="AG5928">
        <v>-1.1219461431839901</v>
      </c>
      <c r="AH5928">
        <v>29.844753737863201</v>
      </c>
      <c r="AI5928">
        <v>92.143504987205802</v>
      </c>
      <c r="AJ5928">
        <v>95.354815951044898</v>
      </c>
      <c r="AK5928">
        <v>29.996560166932401</v>
      </c>
      <c r="AL5928">
        <v>78.200202231692899</v>
      </c>
      <c r="AM5928">
        <v>91.661255723500005</v>
      </c>
      <c r="AN5928">
        <v>1.0000000155434601</v>
      </c>
    </row>
    <row r="5929" spans="1:40" x14ac:dyDescent="0.25">
      <c r="A5929" t="str">
        <f>"20190303170652067"</f>
        <v>20190303170652067</v>
      </c>
      <c r="B5929" t="str">
        <f>"1551604012061290"</f>
        <v>1551604012061290</v>
      </c>
      <c r="C5929" t="s">
        <v>40</v>
      </c>
      <c r="D5929">
        <v>5.6321139999999996</v>
      </c>
      <c r="E5929">
        <v>0.4775355</v>
      </c>
      <c r="F5929" t="s">
        <v>41</v>
      </c>
      <c r="G5929">
        <v>-188.31899999999999</v>
      </c>
      <c r="H5929" s="1">
        <v>-4.1430720000000003E-6</v>
      </c>
      <c r="I5929">
        <v>28.595300000000002</v>
      </c>
      <c r="J5929">
        <v>-186.36529999999999</v>
      </c>
      <c r="K5929">
        <v>1.1219250000000001</v>
      </c>
      <c r="L5929">
        <v>-3.4220890000000002</v>
      </c>
      <c r="M5929">
        <v>3.0967479999999999E-2</v>
      </c>
      <c r="N5929">
        <v>-1.1258550000000001E-2</v>
      </c>
      <c r="O5929">
        <v>0.99945700000000004</v>
      </c>
      <c r="P5929">
        <v>2.6747170000000001E-3</v>
      </c>
      <c r="Q5929">
        <v>0.1948616</v>
      </c>
      <c r="R5929">
        <v>0.98082709999999995</v>
      </c>
      <c r="S5929">
        <v>-0.18521119999999999</v>
      </c>
      <c r="T5929">
        <v>-0.1068496</v>
      </c>
      <c r="U5929">
        <v>3.0795590000000002</v>
      </c>
      <c r="V5929">
        <v>-2.818725E-2</v>
      </c>
      <c r="W5929">
        <v>0.20582220000000001</v>
      </c>
      <c r="X5929">
        <v>0.97818340000000004</v>
      </c>
      <c r="Y5929">
        <v>-9.0878639999999997E-2</v>
      </c>
      <c r="Z5929">
        <v>-2.3283180000000001E-2</v>
      </c>
      <c r="AA5929">
        <v>0.99558970000000002</v>
      </c>
      <c r="AB5929">
        <v>31</v>
      </c>
      <c r="AC5929">
        <v>-1.95370000000002</v>
      </c>
      <c r="AD5929">
        <v>-1.121929143072</v>
      </c>
      <c r="AE5929">
        <v>32.017389000000001</v>
      </c>
      <c r="AF5929">
        <v>-2.9407260636142198</v>
      </c>
      <c r="AG5929">
        <v>-1.121929143072</v>
      </c>
      <c r="AH5929">
        <v>31.902498872046799</v>
      </c>
      <c r="AI5929">
        <v>92.005619965246595</v>
      </c>
      <c r="AJ5929">
        <v>95.266559033818396</v>
      </c>
      <c r="AK5929">
        <v>32.057386497720699</v>
      </c>
      <c r="AL5929">
        <v>78.122366297999903</v>
      </c>
      <c r="AM5929">
        <v>91.650573575387099</v>
      </c>
      <c r="AN5929">
        <v>1.00000003155548</v>
      </c>
    </row>
    <row r="5930" spans="1:40" x14ac:dyDescent="0.25">
      <c r="A5930" t="str">
        <f>"20190303170652088"</f>
        <v>20190303170652088</v>
      </c>
      <c r="B5930" t="str">
        <f>"1551604012080811"</f>
        <v>1551604012080811</v>
      </c>
      <c r="C5930" t="s">
        <v>40</v>
      </c>
      <c r="D5930">
        <v>5.5516069999999997</v>
      </c>
      <c r="E5930">
        <v>0.47759380000000001</v>
      </c>
      <c r="F5930" t="s">
        <v>41</v>
      </c>
      <c r="G5930">
        <v>-188.37360000000001</v>
      </c>
      <c r="H5930" s="1">
        <v>-4.5449669999999901E-6</v>
      </c>
      <c r="I5930">
        <v>29.55471</v>
      </c>
      <c r="J5930">
        <v>-186.357</v>
      </c>
      <c r="K5930">
        <v>1.1218999999999999</v>
      </c>
      <c r="L5930">
        <v>-3.1164550000000002</v>
      </c>
      <c r="M5930">
        <v>2.980147E-2</v>
      </c>
      <c r="N5930">
        <v>-1.1184609999999999E-2</v>
      </c>
      <c r="O5930">
        <v>0.99949319999999997</v>
      </c>
      <c r="P5930">
        <v>7.1087679999999901E-4</v>
      </c>
      <c r="Q5930">
        <v>0.1942979</v>
      </c>
      <c r="R5930">
        <v>0.98094230000000004</v>
      </c>
      <c r="S5930">
        <v>-0.1875763</v>
      </c>
      <c r="T5930">
        <v>-0.10478659999999999</v>
      </c>
      <c r="U5930">
        <v>3.079987</v>
      </c>
      <c r="V5930">
        <v>-2.900606E-2</v>
      </c>
      <c r="W5930">
        <v>0.20518520000000001</v>
      </c>
      <c r="X5930">
        <v>0.97829319999999997</v>
      </c>
      <c r="Y5930">
        <v>-9.0471739999999995E-2</v>
      </c>
      <c r="Z5930">
        <v>-2.268796E-2</v>
      </c>
      <c r="AA5930">
        <v>0.99564059999999999</v>
      </c>
      <c r="AB5930">
        <v>31</v>
      </c>
      <c r="AC5930">
        <v>-2.0166000000000102</v>
      </c>
      <c r="AD5930">
        <v>-1.121904544967</v>
      </c>
      <c r="AE5930">
        <v>32.671164999999903</v>
      </c>
      <c r="AF5930">
        <v>-2.9859063195223898</v>
      </c>
      <c r="AG5930">
        <v>-1.121904544967</v>
      </c>
      <c r="AH5930">
        <v>32.558303866070702</v>
      </c>
      <c r="AI5930">
        <v>91.965294728530793</v>
      </c>
      <c r="AJ5930">
        <v>95.239910738316794</v>
      </c>
      <c r="AK5930">
        <v>32.714178225845401</v>
      </c>
      <c r="AL5930">
        <v>78.159658724810001</v>
      </c>
      <c r="AM5930">
        <v>91.698302793454005</v>
      </c>
      <c r="AN5930">
        <v>0.99999995149099996</v>
      </c>
    </row>
    <row r="5931" spans="1:40" x14ac:dyDescent="0.25">
      <c r="A5931" t="str">
        <f>"20190303170652112"</f>
        <v>20190303170652112</v>
      </c>
      <c r="B5931" t="str">
        <f>"1551604012100836"</f>
        <v>1551604012100836</v>
      </c>
      <c r="C5931" t="s">
        <v>40</v>
      </c>
      <c r="D5931">
        <v>5.7422129999999996</v>
      </c>
      <c r="E5931">
        <v>0.47803250000000003</v>
      </c>
      <c r="F5931" t="s">
        <v>41</v>
      </c>
      <c r="G5931">
        <v>-188.3391</v>
      </c>
      <c r="H5931" s="1">
        <v>-4.0706480000000001E-6</v>
      </c>
      <c r="I5931">
        <v>28.434799999999999</v>
      </c>
      <c r="J5931">
        <v>-186.3486</v>
      </c>
      <c r="K5931">
        <v>1.121874</v>
      </c>
      <c r="L5931">
        <v>-2.791595</v>
      </c>
      <c r="M5931">
        <v>2.8574829999999999E-2</v>
      </c>
      <c r="N5931">
        <v>-1.10936E-2</v>
      </c>
      <c r="O5931">
        <v>0.99953009999999998</v>
      </c>
      <c r="P5931">
        <v>-8.778325E-4</v>
      </c>
      <c r="Q5931">
        <v>0.1937604</v>
      </c>
      <c r="R5931">
        <v>0.98104849999999999</v>
      </c>
      <c r="S5931">
        <v>-0.19349669999999999</v>
      </c>
      <c r="T5931">
        <v>-0.10952290000000001</v>
      </c>
      <c r="U5931">
        <v>3.0801090000000002</v>
      </c>
      <c r="V5931">
        <v>-2.9389249999999999E-2</v>
      </c>
      <c r="W5931">
        <v>0.2045593</v>
      </c>
      <c r="X5931">
        <v>0.97841290000000003</v>
      </c>
      <c r="Y5931">
        <v>-9.1150449999999994E-2</v>
      </c>
      <c r="Z5931">
        <v>-2.4306359999999999E-2</v>
      </c>
      <c r="AA5931">
        <v>0.99554039999999999</v>
      </c>
      <c r="AB5931">
        <v>31</v>
      </c>
      <c r="AC5931">
        <v>-1.9904999999999899</v>
      </c>
      <c r="AD5931">
        <v>-1.121878070648</v>
      </c>
      <c r="AE5931">
        <v>31.226395</v>
      </c>
      <c r="AF5931">
        <v>-2.87833070989294</v>
      </c>
      <c r="AG5931">
        <v>-1.121878070648</v>
      </c>
      <c r="AH5931">
        <v>31.116758702433</v>
      </c>
      <c r="AI5931">
        <v>92.056067468359402</v>
      </c>
      <c r="AJ5931">
        <v>95.284876830813303</v>
      </c>
      <c r="AK5931">
        <v>31.269730894690301</v>
      </c>
      <c r="AL5931">
        <v>78.196298115918793</v>
      </c>
      <c r="AM5931">
        <v>91.720514752410196</v>
      </c>
      <c r="AN5931">
        <v>1.00000001905923</v>
      </c>
    </row>
    <row r="5932" spans="1:40" x14ac:dyDescent="0.25">
      <c r="A5932" t="str">
        <f>"20190303170652136"</f>
        <v>20190303170652136</v>
      </c>
      <c r="B5932" t="str">
        <f>"1551604012131093"</f>
        <v>1551604012131093</v>
      </c>
      <c r="C5932" t="s">
        <v>40</v>
      </c>
      <c r="D5932">
        <v>5.8268659999999999</v>
      </c>
      <c r="E5932">
        <v>0.47807339999999998</v>
      </c>
      <c r="F5932" t="s">
        <v>41</v>
      </c>
      <c r="G5932">
        <v>-188.2927</v>
      </c>
      <c r="H5932" s="1">
        <v>-3.8939220000000003E-6</v>
      </c>
      <c r="I5932">
        <v>28.003640000000001</v>
      </c>
      <c r="J5932">
        <v>-186.34049999999999</v>
      </c>
      <c r="K5932">
        <v>1.121842</v>
      </c>
      <c r="L5932">
        <v>-2.46225</v>
      </c>
      <c r="M5932">
        <v>2.7353100000000002E-2</v>
      </c>
      <c r="N5932">
        <v>-1.0990140000000001E-2</v>
      </c>
      <c r="O5932">
        <v>0.99956540000000005</v>
      </c>
      <c r="P5932">
        <v>-1.6040869999999999E-3</v>
      </c>
      <c r="Q5932">
        <v>0.19310859999999999</v>
      </c>
      <c r="R5932">
        <v>0.9811761</v>
      </c>
      <c r="S5932">
        <v>-0.1944275</v>
      </c>
      <c r="T5932">
        <v>-0.11220239999999999</v>
      </c>
      <c r="U5932">
        <v>3.0799259999999999</v>
      </c>
      <c r="V5932">
        <v>-2.891239E-2</v>
      </c>
      <c r="W5932">
        <v>0.20380970000000001</v>
      </c>
      <c r="X5932">
        <v>0.97858350000000005</v>
      </c>
      <c r="Y5932">
        <v>-9.0235140000000005E-2</v>
      </c>
      <c r="Z5932">
        <v>-2.5280790000000001E-2</v>
      </c>
      <c r="AA5932">
        <v>0.99559960000000003</v>
      </c>
      <c r="AB5932">
        <v>31</v>
      </c>
      <c r="AC5932">
        <v>-1.9521999999999999</v>
      </c>
      <c r="AD5932">
        <v>-1.121845893922</v>
      </c>
      <c r="AE5932">
        <v>30.465890000000002</v>
      </c>
      <c r="AF5932">
        <v>-2.78110077689636</v>
      </c>
      <c r="AG5932">
        <v>-1.121845893922</v>
      </c>
      <c r="AH5932">
        <v>30.3600894229203</v>
      </c>
      <c r="AI5932">
        <v>92.107377550091201</v>
      </c>
      <c r="AJ5932">
        <v>95.233906344686702</v>
      </c>
      <c r="AK5932">
        <v>30.507836526189099</v>
      </c>
      <c r="AL5932">
        <v>78.240171027609506</v>
      </c>
      <c r="AM5932">
        <v>91.692319728701506</v>
      </c>
      <c r="AN5932">
        <v>0.99999999329092604</v>
      </c>
    </row>
    <row r="5933" spans="1:40" x14ac:dyDescent="0.25">
      <c r="A5933" t="str">
        <f>"20190303170652155"</f>
        <v>20190303170652155</v>
      </c>
      <c r="B5933" t="str">
        <f>"1551604012150613"</f>
        <v>1551604012150613</v>
      </c>
      <c r="C5933" t="s">
        <v>40</v>
      </c>
      <c r="D5933">
        <v>5.7490059999999996</v>
      </c>
      <c r="E5933">
        <v>0.47800419999999999</v>
      </c>
      <c r="F5933" t="s">
        <v>41</v>
      </c>
      <c r="G5933">
        <v>-188.251</v>
      </c>
      <c r="H5933" s="1">
        <v>-3.6505110000000001E-6</v>
      </c>
      <c r="I5933">
        <v>27.419029999999999</v>
      </c>
      <c r="J5933">
        <v>-186.334</v>
      </c>
      <c r="K5933">
        <v>1.1218090000000001</v>
      </c>
      <c r="L5933">
        <v>-2.1885379999999999</v>
      </c>
      <c r="M5933">
        <v>2.636198E-2</v>
      </c>
      <c r="N5933">
        <v>-1.090171E-2</v>
      </c>
      <c r="O5933">
        <v>0.99959299999999995</v>
      </c>
      <c r="P5933">
        <v>-1.8639419999999999E-3</v>
      </c>
      <c r="Q5933">
        <v>0.19363939999999999</v>
      </c>
      <c r="R5933">
        <v>0.98107100000000003</v>
      </c>
      <c r="S5933">
        <v>-0.19692989999999999</v>
      </c>
      <c r="T5933">
        <v>-0.11563320000000001</v>
      </c>
      <c r="U5933">
        <v>3.079987</v>
      </c>
      <c r="V5933">
        <v>-2.8190639999999999E-2</v>
      </c>
      <c r="W5933">
        <v>0.20425550000000001</v>
      </c>
      <c r="X5933">
        <v>0.97851160000000004</v>
      </c>
      <c r="Y5933">
        <v>-9.0049770000000001E-2</v>
      </c>
      <c r="Z5933">
        <v>-2.647766E-2</v>
      </c>
      <c r="AA5933">
        <v>0.99558530000000001</v>
      </c>
      <c r="AB5933">
        <v>31</v>
      </c>
      <c r="AC5933">
        <v>-1.9169999999999701</v>
      </c>
      <c r="AD5933">
        <v>-1.121812650511</v>
      </c>
      <c r="AE5933">
        <v>29.607568000000001</v>
      </c>
      <c r="AF5933">
        <v>-2.6930441952105402</v>
      </c>
      <c r="AG5933">
        <v>-1.121812650511</v>
      </c>
      <c r="AH5933">
        <v>29.504558032075401</v>
      </c>
      <c r="AI5933">
        <v>92.168427086863105</v>
      </c>
      <c r="AJ5933">
        <v>95.215251583751098</v>
      </c>
      <c r="AK5933">
        <v>29.6484383286592</v>
      </c>
      <c r="AL5933">
        <v>78.2140796318795</v>
      </c>
      <c r="AM5933">
        <v>91.650218600441903</v>
      </c>
      <c r="AN5933">
        <v>0.99999998639920895</v>
      </c>
    </row>
    <row r="5934" spans="1:40" x14ac:dyDescent="0.25">
      <c r="A5934" t="str">
        <f>"20190303170652177"</f>
        <v>20190303170652177</v>
      </c>
      <c r="B5934" t="str">
        <f>"1551604012171109"</f>
        <v>1551604012171109</v>
      </c>
      <c r="C5934" t="s">
        <v>40</v>
      </c>
      <c r="D5934">
        <v>5.6325760000000002</v>
      </c>
      <c r="E5934">
        <v>0.47806979999999999</v>
      </c>
      <c r="F5934" t="s">
        <v>41</v>
      </c>
      <c r="G5934">
        <v>-188.27590000000001</v>
      </c>
      <c r="H5934" s="1">
        <v>-3.8894060000000001E-6</v>
      </c>
      <c r="I5934">
        <v>27.9862</v>
      </c>
      <c r="J5934">
        <v>-186.32689999999999</v>
      </c>
      <c r="K5934">
        <v>1.1217760000000001</v>
      </c>
      <c r="L5934">
        <v>-1.8765259999999999</v>
      </c>
      <c r="M5934">
        <v>2.5266879999999999E-2</v>
      </c>
      <c r="N5934">
        <v>-1.0803470000000001E-2</v>
      </c>
      <c r="O5934">
        <v>0.99962229999999996</v>
      </c>
      <c r="P5934">
        <v>-2.5059599999999998E-3</v>
      </c>
      <c r="Q5934">
        <v>0.19378049999999999</v>
      </c>
      <c r="R5934">
        <v>0.98104170000000002</v>
      </c>
      <c r="S5934">
        <v>-0.19822690000000001</v>
      </c>
      <c r="T5934">
        <v>-0.1145099</v>
      </c>
      <c r="U5934">
        <v>3.0801090000000002</v>
      </c>
      <c r="V5934">
        <v>-2.774569E-2</v>
      </c>
      <c r="W5934">
        <v>0.20430309999999999</v>
      </c>
      <c r="X5934">
        <v>0.97851440000000001</v>
      </c>
      <c r="Y5934">
        <v>-8.9374720000000005E-2</v>
      </c>
      <c r="Z5934">
        <v>-2.6214230000000002E-2</v>
      </c>
      <c r="AA5934">
        <v>0.99565300000000001</v>
      </c>
      <c r="AB5934">
        <v>31</v>
      </c>
      <c r="AC5934">
        <v>-1.9490000000000101</v>
      </c>
      <c r="AD5934">
        <v>-1.12177988940599</v>
      </c>
      <c r="AE5934">
        <v>29.862725999999999</v>
      </c>
      <c r="AF5934">
        <v>-2.6991670638755001</v>
      </c>
      <c r="AG5934">
        <v>-1.12177988940599</v>
      </c>
      <c r="AH5934">
        <v>29.762123860406302</v>
      </c>
      <c r="AI5934">
        <v>92.149729373770597</v>
      </c>
      <c r="AJ5934">
        <v>95.182055044990193</v>
      </c>
      <c r="AK5934">
        <v>29.905315742208</v>
      </c>
      <c r="AL5934">
        <v>78.211293831101202</v>
      </c>
      <c r="AM5934">
        <v>91.624181615513706</v>
      </c>
      <c r="AN5934">
        <v>1.00000000549527</v>
      </c>
    </row>
    <row r="5935" spans="1:40" x14ac:dyDescent="0.25">
      <c r="A5935" t="str">
        <f>"20190303170652200"</f>
        <v>20190303170652200</v>
      </c>
      <c r="B5935" t="str">
        <f>"1551604012190629"</f>
        <v>1551604012190629</v>
      </c>
      <c r="C5935" t="s">
        <v>40</v>
      </c>
      <c r="D5935">
        <v>5.486917</v>
      </c>
      <c r="E5935">
        <v>0.47810950000000002</v>
      </c>
      <c r="F5935" t="s">
        <v>41</v>
      </c>
      <c r="G5935">
        <v>-188.2859</v>
      </c>
      <c r="H5935" s="1">
        <v>-4.0163960000000001E-6</v>
      </c>
      <c r="I5935">
        <v>28.28633</v>
      </c>
      <c r="J5935">
        <v>-186.32</v>
      </c>
      <c r="K5935">
        <v>1.1217349999999999</v>
      </c>
      <c r="L5935">
        <v>-1.5623469999999999</v>
      </c>
      <c r="M5935">
        <v>2.4209169999999999E-2</v>
      </c>
      <c r="N5935">
        <v>-1.0711460000000001E-2</v>
      </c>
      <c r="O5935">
        <v>0.99964949999999997</v>
      </c>
      <c r="P5935">
        <v>-2.9447470000000002E-3</v>
      </c>
      <c r="Q5935">
        <v>0.19365489999999999</v>
      </c>
      <c r="R5935">
        <v>0.98106530000000003</v>
      </c>
      <c r="S5935">
        <v>-0.20004269999999999</v>
      </c>
      <c r="T5935">
        <v>-0.1145505</v>
      </c>
      <c r="U5935">
        <v>3.0800779999999999</v>
      </c>
      <c r="V5935">
        <v>-2.7131479999999999E-2</v>
      </c>
      <c r="W5935">
        <v>0.2040912</v>
      </c>
      <c r="X5935">
        <v>0.9785758</v>
      </c>
      <c r="Y5935">
        <v>-8.8906180000000001E-2</v>
      </c>
      <c r="Z5935">
        <v>-2.6321580000000001E-2</v>
      </c>
      <c r="AA5935">
        <v>0.99569209999999997</v>
      </c>
      <c r="AB5935">
        <v>31</v>
      </c>
      <c r="AC5935">
        <v>-1.9659</v>
      </c>
      <c r="AD5935">
        <v>-1.1217390163959999</v>
      </c>
      <c r="AE5935">
        <v>29.848676999999999</v>
      </c>
      <c r="AF5935">
        <v>-2.6842023506461001</v>
      </c>
      <c r="AG5935">
        <v>-1.1217390163959999</v>
      </c>
      <c r="AH5935">
        <v>29.7504964792485</v>
      </c>
      <c r="AI5935">
        <v>92.150580612129204</v>
      </c>
      <c r="AJ5935">
        <v>95.155483125959407</v>
      </c>
      <c r="AK5935">
        <v>29.892395043587499</v>
      </c>
      <c r="AL5935">
        <v>78.223695650816694</v>
      </c>
      <c r="AM5935">
        <v>91.588145914547596</v>
      </c>
      <c r="AN5935">
        <v>0.99999996573503402</v>
      </c>
    </row>
    <row r="5936" spans="1:40" x14ac:dyDescent="0.25">
      <c r="A5936" t="str">
        <f>"20190303170652222"</f>
        <v>20190303170652222</v>
      </c>
      <c r="B5936" t="str">
        <f>"1551604012210655"</f>
        <v>1551604012210655</v>
      </c>
      <c r="C5936" t="s">
        <v>40</v>
      </c>
      <c r="D5936">
        <v>5.5820889999999999</v>
      </c>
      <c r="E5936">
        <v>0.47825679999999998</v>
      </c>
      <c r="F5936" t="s">
        <v>41</v>
      </c>
      <c r="G5936">
        <v>-188.29</v>
      </c>
      <c r="H5936" s="1">
        <v>-4.1114540000000004E-6</v>
      </c>
      <c r="I5936">
        <v>28.509620000000002</v>
      </c>
      <c r="J5936">
        <v>-186.31370000000001</v>
      </c>
      <c r="K5936">
        <v>1.121691</v>
      </c>
      <c r="L5936">
        <v>-1.2588200000000001</v>
      </c>
      <c r="M5936">
        <v>2.324041E-2</v>
      </c>
      <c r="N5936">
        <v>-1.0630000000000001E-2</v>
      </c>
      <c r="O5936">
        <v>0.99967340000000005</v>
      </c>
      <c r="P5936">
        <v>-2.676215E-3</v>
      </c>
      <c r="Q5936">
        <v>0.19394910000000001</v>
      </c>
      <c r="R5936">
        <v>0.98100790000000004</v>
      </c>
      <c r="S5936">
        <v>-0.201767</v>
      </c>
      <c r="T5936">
        <v>-0.11488909999999999</v>
      </c>
      <c r="U5936">
        <v>3.079987</v>
      </c>
      <c r="V5936">
        <v>-2.5894170000000001E-2</v>
      </c>
      <c r="W5936">
        <v>0.20431009999999999</v>
      </c>
      <c r="X5936">
        <v>0.97856370000000004</v>
      </c>
      <c r="Y5936">
        <v>-8.8497790000000007E-2</v>
      </c>
      <c r="Z5936">
        <v>-2.6515110000000001E-2</v>
      </c>
      <c r="AA5936">
        <v>0.99572340000000004</v>
      </c>
      <c r="AB5936">
        <v>31</v>
      </c>
      <c r="AC5936">
        <v>-1.97629999999998</v>
      </c>
      <c r="AD5936">
        <v>-1.1216951114539999</v>
      </c>
      <c r="AE5936">
        <v>29.768439999999998</v>
      </c>
      <c r="AF5936">
        <v>-2.6638703297798898</v>
      </c>
      <c r="AG5936">
        <v>-1.1216951114539999</v>
      </c>
      <c r="AH5936">
        <v>29.6725209999268</v>
      </c>
      <c r="AI5936">
        <v>92.156228592042396</v>
      </c>
      <c r="AJ5936">
        <v>95.1300141779043</v>
      </c>
      <c r="AK5936">
        <v>29.812965426942</v>
      </c>
      <c r="AL5936">
        <v>78.210884291770597</v>
      </c>
      <c r="AM5936">
        <v>91.515773085601595</v>
      </c>
      <c r="AN5936">
        <v>1.00000001997984</v>
      </c>
    </row>
    <row r="5937" spans="1:40" x14ac:dyDescent="0.25">
      <c r="A5937" t="str">
        <f>"20190303170652245"</f>
        <v>20190303170652245</v>
      </c>
      <c r="B5937" t="str">
        <f>"1551604012231152"</f>
        <v>1551604012231152</v>
      </c>
      <c r="C5937" t="s">
        <v>40</v>
      </c>
      <c r="D5937">
        <v>5.5817430000000003</v>
      </c>
      <c r="E5937">
        <v>0.47828579999999998</v>
      </c>
      <c r="F5937" t="s">
        <v>41</v>
      </c>
      <c r="G5937">
        <v>-188.2646</v>
      </c>
      <c r="H5937" s="1">
        <v>-4.2425849999999996E-6</v>
      </c>
      <c r="I5937">
        <v>28.804790000000001</v>
      </c>
      <c r="J5937">
        <v>-186.3073</v>
      </c>
      <c r="K5937">
        <v>1.1216360000000001</v>
      </c>
      <c r="L5937">
        <v>-0.94177250000000001</v>
      </c>
      <c r="M5937">
        <v>2.2297170000000002E-2</v>
      </c>
      <c r="N5937">
        <v>-1.055244E-2</v>
      </c>
      <c r="O5937">
        <v>0.99969569999999996</v>
      </c>
      <c r="P5937">
        <v>-2.7834769999999999E-3</v>
      </c>
      <c r="Q5937">
        <v>0.19437209999999999</v>
      </c>
      <c r="R5937">
        <v>0.98092400000000002</v>
      </c>
      <c r="S5937">
        <v>-0.19989009999999999</v>
      </c>
      <c r="T5937">
        <v>-0.1149268</v>
      </c>
      <c r="U5937">
        <v>3.0802610000000001</v>
      </c>
      <c r="V5937">
        <v>-2.505284E-2</v>
      </c>
      <c r="W5937">
        <v>0.20466110000000001</v>
      </c>
      <c r="X5937">
        <v>0.97851220000000005</v>
      </c>
      <c r="Y5937">
        <v>-8.6948339999999999E-2</v>
      </c>
      <c r="Z5937">
        <v>-2.660645E-2</v>
      </c>
      <c r="AA5937">
        <v>0.99585749999999995</v>
      </c>
      <c r="AB5937">
        <v>31</v>
      </c>
      <c r="AC5937">
        <v>-1.9573</v>
      </c>
      <c r="AD5937">
        <v>-1.1216402425850001</v>
      </c>
      <c r="AE5937">
        <v>29.7465625</v>
      </c>
      <c r="AF5937">
        <v>-2.61641049113901</v>
      </c>
      <c r="AG5937">
        <v>-1.1216402425850001</v>
      </c>
      <c r="AH5937">
        <v>29.653542440504602</v>
      </c>
      <c r="AI5937">
        <v>92.157795568144707</v>
      </c>
      <c r="AJ5937">
        <v>95.042300473775498</v>
      </c>
      <c r="AK5937">
        <v>29.789868411302798</v>
      </c>
      <c r="AL5937">
        <v>78.190338728506404</v>
      </c>
      <c r="AM5937">
        <v>91.466622975264997</v>
      </c>
      <c r="AN5937">
        <v>0.99999996809705705</v>
      </c>
    </row>
    <row r="5938" spans="1:40" x14ac:dyDescent="0.25">
      <c r="A5938" t="str">
        <f>"20190303170652267"</f>
        <v>20190303170652267</v>
      </c>
      <c r="B5938" t="str">
        <f>"1551604012260430"</f>
        <v>1551604012260430</v>
      </c>
      <c r="C5938" t="s">
        <v>40</v>
      </c>
      <c r="D5938">
        <v>5.5625090000000004</v>
      </c>
      <c r="E5938">
        <v>0.47842519999999999</v>
      </c>
      <c r="F5938" t="s">
        <v>41</v>
      </c>
      <c r="G5938">
        <v>-188.28299999999999</v>
      </c>
      <c r="H5938" s="1">
        <v>-4.5057659999999996E-6</v>
      </c>
      <c r="I5938">
        <v>29.42587</v>
      </c>
      <c r="J5938">
        <v>-186.3013</v>
      </c>
      <c r="K5938">
        <v>1.1215850000000001</v>
      </c>
      <c r="L5938">
        <v>-0.63619999999999999</v>
      </c>
      <c r="M5938">
        <v>2.1455470000000001E-2</v>
      </c>
      <c r="N5938">
        <v>-1.047967E-2</v>
      </c>
      <c r="O5938">
        <v>0.99971489999999996</v>
      </c>
      <c r="P5938">
        <v>-1.9320940000000001E-3</v>
      </c>
      <c r="Q5938">
        <v>0.19414509999999999</v>
      </c>
      <c r="R5938">
        <v>0.98097089999999998</v>
      </c>
      <c r="S5938">
        <v>-0.2004089</v>
      </c>
      <c r="T5938">
        <v>-0.1137729</v>
      </c>
      <c r="U5938">
        <v>3.0803219999999998</v>
      </c>
      <c r="V5938">
        <v>-2.3353530000000001E-2</v>
      </c>
      <c r="W5938">
        <v>0.20436979999999999</v>
      </c>
      <c r="X5938">
        <v>0.97861509999999996</v>
      </c>
      <c r="Y5938">
        <v>-8.6276320000000004E-2</v>
      </c>
      <c r="Z5938">
        <v>-2.630795E-2</v>
      </c>
      <c r="AA5938">
        <v>0.99592380000000003</v>
      </c>
      <c r="AB5938">
        <v>31</v>
      </c>
      <c r="AC5938">
        <v>-1.98169999999998</v>
      </c>
      <c r="AD5938">
        <v>-1.1215895057659999</v>
      </c>
      <c r="AE5938">
        <v>30.062069999999999</v>
      </c>
      <c r="AF5938">
        <v>-2.6226401772711601</v>
      </c>
      <c r="AG5938">
        <v>-1.1215895057659999</v>
      </c>
      <c r="AH5938">
        <v>29.971090083651699</v>
      </c>
      <c r="AI5938">
        <v>92.1349934322499</v>
      </c>
      <c r="AJ5938">
        <v>95.000966728357795</v>
      </c>
      <c r="AK5938">
        <v>30.106518319481001</v>
      </c>
      <c r="AL5938">
        <v>78.207389265663096</v>
      </c>
      <c r="AM5938">
        <v>91.367038779232701</v>
      </c>
      <c r="AN5938">
        <v>0.99999995823175403</v>
      </c>
    </row>
    <row r="5939" spans="1:40" x14ac:dyDescent="0.25">
      <c r="A5939" t="str">
        <f>"20190303170652304"</f>
        <v>20190303170652304</v>
      </c>
      <c r="B5939" t="str">
        <f>"1551604012290687"</f>
        <v>1551604012290687</v>
      </c>
      <c r="C5939" t="s">
        <v>40</v>
      </c>
      <c r="D5939">
        <v>5.7639969999999998</v>
      </c>
      <c r="E5939">
        <v>0.47846519999999998</v>
      </c>
      <c r="F5939" t="s">
        <v>41</v>
      </c>
      <c r="G5939">
        <v>-188.22200000000001</v>
      </c>
      <c r="H5939" s="1">
        <v>-4.4655839999999996E-6</v>
      </c>
      <c r="I5939">
        <v>29.30697</v>
      </c>
      <c r="J5939">
        <v>-186.2919</v>
      </c>
      <c r="K5939">
        <v>1.121515</v>
      </c>
      <c r="L5939">
        <v>-0.12661739999999999</v>
      </c>
      <c r="M5939">
        <v>2.016546E-2</v>
      </c>
      <c r="N5939">
        <v>-1.03722E-2</v>
      </c>
      <c r="O5939">
        <v>0.99974289999999999</v>
      </c>
      <c r="P5939">
        <v>-2.5050910000000001E-3</v>
      </c>
      <c r="Q5939">
        <v>0.19473460000000001</v>
      </c>
      <c r="R5939">
        <v>0.98085279999999997</v>
      </c>
      <c r="S5939">
        <v>-0.19760130000000001</v>
      </c>
      <c r="T5939">
        <v>-0.11539190000000001</v>
      </c>
      <c r="U5939">
        <v>3.0806269999999998</v>
      </c>
      <c r="V5939">
        <v>-2.2623669999999999E-2</v>
      </c>
      <c r="W5939">
        <v>0.20485809999999999</v>
      </c>
      <c r="X5939">
        <v>0.97853020000000002</v>
      </c>
      <c r="Y5939">
        <v>-8.4079749999999995E-2</v>
      </c>
      <c r="Z5939">
        <v>-2.6941380000000001E-2</v>
      </c>
      <c r="AA5939">
        <v>0.99609479999999995</v>
      </c>
      <c r="AB5939">
        <v>31</v>
      </c>
      <c r="AC5939">
        <v>-1.9301000000000099</v>
      </c>
      <c r="AD5939">
        <v>-1.121519465584</v>
      </c>
      <c r="AE5939">
        <v>29.4335874</v>
      </c>
      <c r="AF5939">
        <v>-2.5196386950359</v>
      </c>
      <c r="AG5939">
        <v>-1.121519465584</v>
      </c>
      <c r="AH5939">
        <v>29.346253710133201</v>
      </c>
      <c r="AI5939">
        <v>92.180580584811096</v>
      </c>
      <c r="AJ5939">
        <v>94.907320873264695</v>
      </c>
      <c r="AK5939">
        <v>29.475566014662199</v>
      </c>
      <c r="AL5939">
        <v>78.178807657281396</v>
      </c>
      <c r="AM5939">
        <v>91.3244454992995</v>
      </c>
      <c r="AN5939">
        <v>1.00000001194595</v>
      </c>
    </row>
    <row r="5940" spans="1:40" x14ac:dyDescent="0.25">
      <c r="A5940" t="str">
        <f>"20190303170652346"</f>
        <v>20190303170652346</v>
      </c>
      <c r="B5940" t="str">
        <f>"1551604012340970"</f>
        <v>1551604012340970</v>
      </c>
      <c r="C5940" t="s">
        <v>40</v>
      </c>
      <c r="D5940">
        <v>5.5442109999999998</v>
      </c>
      <c r="E5940">
        <v>0.47861389999999998</v>
      </c>
      <c r="F5940" t="s">
        <v>41</v>
      </c>
      <c r="G5940">
        <v>-188.25919999999999</v>
      </c>
      <c r="H5940" s="1">
        <v>-6.7229269999999999E-7</v>
      </c>
      <c r="I5940">
        <v>30.262540000000001</v>
      </c>
      <c r="J5940">
        <v>-186.28110000000001</v>
      </c>
      <c r="K5940">
        <v>1.12144</v>
      </c>
      <c r="L5940">
        <v>0.48519899999999999</v>
      </c>
      <c r="M5940">
        <v>1.8816309999999999E-2</v>
      </c>
      <c r="N5940">
        <v>-1.026882E-2</v>
      </c>
      <c r="O5940">
        <v>0.99977020000000005</v>
      </c>
      <c r="P5940">
        <v>-8.4269279999999998E-4</v>
      </c>
      <c r="Q5940">
        <v>0.19691239999999999</v>
      </c>
      <c r="R5940">
        <v>0.98042070000000003</v>
      </c>
      <c r="S5940">
        <v>-0.19943240000000001</v>
      </c>
      <c r="T5940">
        <v>-0.113691</v>
      </c>
      <c r="U5940">
        <v>3.0806269999999998</v>
      </c>
      <c r="V5940">
        <v>-1.9593559999999999E-2</v>
      </c>
      <c r="W5940">
        <v>0.2069396</v>
      </c>
      <c r="X5940">
        <v>0.97815750000000001</v>
      </c>
      <c r="Y5940">
        <v>-8.3326070000000002E-2</v>
      </c>
      <c r="Z5940">
        <v>-2.6497650000000001E-2</v>
      </c>
      <c r="AA5940">
        <v>0.99617</v>
      </c>
      <c r="AB5940">
        <v>31</v>
      </c>
      <c r="AC5940">
        <v>-1.97809999999998</v>
      </c>
      <c r="AD5940">
        <v>-1.1214406722926999</v>
      </c>
      <c r="AE5940">
        <v>29.7773409999999</v>
      </c>
      <c r="AF5940">
        <v>-2.5344999985169401</v>
      </c>
      <c r="AG5940">
        <v>-1.1214406722926999</v>
      </c>
      <c r="AH5940">
        <v>29.692916423840799</v>
      </c>
      <c r="AI5940">
        <v>92.155087172476797</v>
      </c>
      <c r="AJ5940">
        <v>94.878773491937295</v>
      </c>
      <c r="AK5940">
        <v>29.821981912293399</v>
      </c>
      <c r="AL5940">
        <v>78.056934997830197</v>
      </c>
      <c r="AM5940">
        <v>91.147543396934495</v>
      </c>
      <c r="AN5940">
        <v>1.00000000022394</v>
      </c>
    </row>
    <row r="5941" spans="1:40" x14ac:dyDescent="0.25">
      <c r="A5941" t="str">
        <f>"20190303170652369"</f>
        <v>20190303170652369</v>
      </c>
      <c r="B5941" t="str">
        <f>"1551604012360490"</f>
        <v>1551604012360490</v>
      </c>
      <c r="C5941" t="s">
        <v>40</v>
      </c>
      <c r="D5941">
        <v>5.766051</v>
      </c>
      <c r="E5941">
        <v>0.47868070000000001</v>
      </c>
      <c r="F5941" t="s">
        <v>41</v>
      </c>
      <c r="G5941">
        <v>-188.33699999999999</v>
      </c>
      <c r="H5941" s="1">
        <v>-1.718971E-6</v>
      </c>
      <c r="I5941">
        <v>32.952089999999998</v>
      </c>
      <c r="J5941">
        <v>-186.27590000000001</v>
      </c>
      <c r="K5941">
        <v>1.1214040000000001</v>
      </c>
      <c r="L5941">
        <v>0.79858399999999996</v>
      </c>
      <c r="M5941">
        <v>1.818852E-2</v>
      </c>
      <c r="N5941">
        <v>-1.022493E-2</v>
      </c>
      <c r="O5941">
        <v>0.99978230000000001</v>
      </c>
      <c r="P5941">
        <v>5.8057019999999896E-4</v>
      </c>
      <c r="Q5941">
        <v>0.19761780000000001</v>
      </c>
      <c r="R5941">
        <v>0.98027900000000001</v>
      </c>
      <c r="S5941">
        <v>-0.19509889999999999</v>
      </c>
      <c r="T5941">
        <v>-0.10642500000000001</v>
      </c>
      <c r="U5941">
        <v>3.0811160000000002</v>
      </c>
      <c r="V5941">
        <v>-1.753594E-2</v>
      </c>
      <c r="W5941">
        <v>0.20760529999999999</v>
      </c>
      <c r="X5941">
        <v>0.97805549999999997</v>
      </c>
      <c r="Y5941">
        <v>-8.1299869999999996E-2</v>
      </c>
      <c r="Z5941">
        <v>-2.419383E-2</v>
      </c>
      <c r="AA5941">
        <v>0.99639599999999995</v>
      </c>
      <c r="AB5941">
        <v>32</v>
      </c>
      <c r="AC5941">
        <v>-2.0611000000000099</v>
      </c>
      <c r="AD5941">
        <v>-1.1214057189710001</v>
      </c>
      <c r="AE5941">
        <v>32.153506</v>
      </c>
      <c r="AF5941">
        <v>-2.6424132401456202</v>
      </c>
      <c r="AG5941">
        <v>-1.1214057189710001</v>
      </c>
      <c r="AH5941">
        <v>32.071844269109903</v>
      </c>
      <c r="AI5941">
        <v>91.995798576976995</v>
      </c>
      <c r="AJ5941">
        <v>94.709986074652406</v>
      </c>
      <c r="AK5941">
        <v>32.2000480331982</v>
      </c>
      <c r="AL5941">
        <v>78.017946678162701</v>
      </c>
      <c r="AM5941">
        <v>91.027168407908903</v>
      </c>
      <c r="AN5941">
        <v>1.0000000154300099</v>
      </c>
    </row>
    <row r="5942" spans="1:40" x14ac:dyDescent="0.25">
      <c r="A5942" t="str">
        <f>"20190303170652391"</f>
        <v>20190303170652391</v>
      </c>
      <c r="B5942" t="str">
        <f>"1551604012380986"</f>
        <v>1551604012380986</v>
      </c>
      <c r="C5942" t="s">
        <v>40</v>
      </c>
      <c r="D5942">
        <v>5.7638490000000004</v>
      </c>
      <c r="E5942">
        <v>0.47876829999999998</v>
      </c>
      <c r="F5942" t="s">
        <v>41</v>
      </c>
      <c r="G5942">
        <v>-188.3357</v>
      </c>
      <c r="H5942" s="1">
        <v>-2.152862E-6</v>
      </c>
      <c r="I5942">
        <v>33.962989999999998</v>
      </c>
      <c r="J5942">
        <v>-186.27080000000001</v>
      </c>
      <c r="K5942">
        <v>1.121375</v>
      </c>
      <c r="L5942">
        <v>1.1128849999999999</v>
      </c>
      <c r="M5942">
        <v>1.7583250000000002E-2</v>
      </c>
      <c r="N5942">
        <v>-1.0186499999999999E-2</v>
      </c>
      <c r="O5942">
        <v>0.9997935</v>
      </c>
      <c r="P5942">
        <v>1.929835E-3</v>
      </c>
      <c r="Q5942">
        <v>0.1974957</v>
      </c>
      <c r="R5942">
        <v>0.98030189999999995</v>
      </c>
      <c r="S5942">
        <v>-0.19139100000000001</v>
      </c>
      <c r="T5942">
        <v>-0.10419580000000001</v>
      </c>
      <c r="U5942">
        <v>3.0814819999999998</v>
      </c>
      <c r="V5942">
        <v>-1.558E-2</v>
      </c>
      <c r="W5942">
        <v>0.20745</v>
      </c>
      <c r="X5942">
        <v>0.97812149999999998</v>
      </c>
      <c r="Y5942">
        <v>-7.9496440000000002E-2</v>
      </c>
      <c r="Z5942">
        <v>-2.351249E-2</v>
      </c>
      <c r="AA5942">
        <v>0.99655780000000005</v>
      </c>
      <c r="AB5942">
        <v>32</v>
      </c>
      <c r="AC5942">
        <v>-2.06489999999999</v>
      </c>
      <c r="AD5942">
        <v>-1.121377152862</v>
      </c>
      <c r="AE5942">
        <v>32.850104999999999</v>
      </c>
      <c r="AF5942">
        <v>-2.6391590712061999</v>
      </c>
      <c r="AG5942">
        <v>-1.121377152862</v>
      </c>
      <c r="AH5942">
        <v>32.770679705810501</v>
      </c>
      <c r="AI5942">
        <v>91.953514946104207</v>
      </c>
      <c r="AJ5942">
        <v>94.604330293311506</v>
      </c>
      <c r="AK5942">
        <v>32.895897855248002</v>
      </c>
      <c r="AL5942">
        <v>78.027041993152594</v>
      </c>
      <c r="AM5942">
        <v>90.912558165130903</v>
      </c>
      <c r="AN5942">
        <v>0.99999995383112295</v>
      </c>
    </row>
    <row r="5943" spans="1:40" x14ac:dyDescent="0.25">
      <c r="A5943" t="str">
        <f>"20190303170652412"</f>
        <v>20190303170652412</v>
      </c>
      <c r="B5943" t="str">
        <f>"1551604012400779"</f>
        <v>1551604012400779</v>
      </c>
      <c r="C5943" t="s">
        <v>40</v>
      </c>
      <c r="D5943">
        <v>5.4993860000000003</v>
      </c>
      <c r="E5943">
        <v>0.47880139999999999</v>
      </c>
      <c r="F5943" t="s">
        <v>41</v>
      </c>
      <c r="G5943">
        <v>-188.2878</v>
      </c>
      <c r="H5943" s="1">
        <v>-2.2705359999999998E-6</v>
      </c>
      <c r="I5943">
        <v>34.217460000000003</v>
      </c>
      <c r="J5943">
        <v>-186.26609999999999</v>
      </c>
      <c r="K5943">
        <v>1.121353</v>
      </c>
      <c r="L5943">
        <v>1.4125369999999999</v>
      </c>
      <c r="M5943">
        <v>1.702124E-2</v>
      </c>
      <c r="N5943">
        <v>-1.015463E-2</v>
      </c>
      <c r="O5943">
        <v>0.99980349999999996</v>
      </c>
      <c r="P5943">
        <v>2.2509449999999999E-3</v>
      </c>
      <c r="Q5943">
        <v>0.19683780000000001</v>
      </c>
      <c r="R5943">
        <v>0.98043349999999996</v>
      </c>
      <c r="S5943">
        <v>-0.18775939999999999</v>
      </c>
      <c r="T5943">
        <v>-0.1043887</v>
      </c>
      <c r="U5943">
        <v>3.081696</v>
      </c>
      <c r="V5943">
        <v>-1.47002E-2</v>
      </c>
      <c r="W5943">
        <v>0.20676430000000001</v>
      </c>
      <c r="X5943">
        <v>0.97828040000000005</v>
      </c>
      <c r="Y5943">
        <v>-7.7762040000000004E-2</v>
      </c>
      <c r="Z5943">
        <v>-2.360868E-2</v>
      </c>
      <c r="AA5943">
        <v>0.99669240000000003</v>
      </c>
      <c r="AB5943">
        <v>32</v>
      </c>
      <c r="AC5943">
        <v>-2.0217000000000098</v>
      </c>
      <c r="AD5943">
        <v>-1.1213552705359999</v>
      </c>
      <c r="AE5943">
        <v>32.804922999999903</v>
      </c>
      <c r="AF5943">
        <v>-2.5768168977499499</v>
      </c>
      <c r="AG5943">
        <v>-1.1213552705359999</v>
      </c>
      <c r="AH5943">
        <v>32.727660588178303</v>
      </c>
      <c r="AI5943">
        <v>91.956320892168407</v>
      </c>
      <c r="AJ5943">
        <v>94.501903712359706</v>
      </c>
      <c r="AK5943">
        <v>32.848092646945098</v>
      </c>
      <c r="AL5943">
        <v>78.067201657330301</v>
      </c>
      <c r="AM5943">
        <v>90.860894313259195</v>
      </c>
      <c r="AN5943">
        <v>1.0000000563293401</v>
      </c>
    </row>
    <row r="5944" spans="1:40" x14ac:dyDescent="0.25">
      <c r="A5944" t="str">
        <f>"20190303170652433"</f>
        <v>20190303170652433</v>
      </c>
      <c r="B5944" t="str">
        <f>"1551604012431035"</f>
        <v>1551604012431035</v>
      </c>
      <c r="C5944" t="s">
        <v>40</v>
      </c>
      <c r="D5944">
        <v>5.7506969999999997</v>
      </c>
      <c r="E5944">
        <v>0.47851169999999998</v>
      </c>
      <c r="F5944" t="s">
        <v>41</v>
      </c>
      <c r="G5944">
        <v>-188.2431</v>
      </c>
      <c r="H5944" s="1">
        <v>-2.1444780000000002E-6</v>
      </c>
      <c r="I5944">
        <v>33.90513</v>
      </c>
      <c r="J5944">
        <v>-186.26150000000001</v>
      </c>
      <c r="K5944">
        <v>1.1213420000000001</v>
      </c>
      <c r="L5944">
        <v>1.716278</v>
      </c>
      <c r="M5944">
        <v>1.6460349999999999E-2</v>
      </c>
      <c r="N5944">
        <v>-1.01265E-2</v>
      </c>
      <c r="O5944">
        <v>0.99981330000000002</v>
      </c>
      <c r="P5944">
        <v>2.458689E-3</v>
      </c>
      <c r="Q5944">
        <v>0.1970015</v>
      </c>
      <c r="R5944">
        <v>0.9804001</v>
      </c>
      <c r="S5944">
        <v>-0.1875</v>
      </c>
      <c r="T5944">
        <v>-0.1063516</v>
      </c>
      <c r="U5944">
        <v>3.0816650000000001</v>
      </c>
      <c r="V5944">
        <v>-1.393662E-2</v>
      </c>
      <c r="W5944">
        <v>0.20690140000000001</v>
      </c>
      <c r="X5944">
        <v>0.97826250000000003</v>
      </c>
      <c r="Y5944">
        <v>-7.7118690000000004E-2</v>
      </c>
      <c r="Z5944">
        <v>-2.4273099999999999E-2</v>
      </c>
      <c r="AA5944">
        <v>0.99672640000000001</v>
      </c>
      <c r="AB5944">
        <v>32</v>
      </c>
      <c r="AC5944">
        <v>-1.98159999999998</v>
      </c>
      <c r="AD5944">
        <v>-1.1213441444779999</v>
      </c>
      <c r="AE5944">
        <v>32.188851999999997</v>
      </c>
      <c r="AF5944">
        <v>-2.5081660524400702</v>
      </c>
      <c r="AG5944">
        <v>-1.1213441444779999</v>
      </c>
      <c r="AH5944">
        <v>32.113046610098699</v>
      </c>
      <c r="AI5944">
        <v>91.993811317621805</v>
      </c>
      <c r="AJ5944">
        <v>94.465978504748506</v>
      </c>
      <c r="AK5944">
        <v>32.2303594801445</v>
      </c>
      <c r="AL5944">
        <v>78.059171732061102</v>
      </c>
      <c r="AM5944">
        <v>90.816197587268107</v>
      </c>
      <c r="AN5944">
        <v>0.99999996880261599</v>
      </c>
    </row>
    <row r="5945" spans="1:40" x14ac:dyDescent="0.25">
      <c r="A5945" t="str">
        <f>"20190303170652456"</f>
        <v>20190303170652456</v>
      </c>
      <c r="B5945" t="str">
        <f>"1551604012450555"</f>
        <v>1551604012450555</v>
      </c>
      <c r="C5945" t="s">
        <v>40</v>
      </c>
      <c r="D5945">
        <v>5.6857810000000004</v>
      </c>
      <c r="E5945">
        <v>0.47820970000000002</v>
      </c>
      <c r="F5945" t="s">
        <v>41</v>
      </c>
      <c r="G5945">
        <v>-188.28200000000001</v>
      </c>
      <c r="H5945" s="1">
        <v>-2.3778389999999999E-6</v>
      </c>
      <c r="I5945">
        <v>34.465179999999997</v>
      </c>
      <c r="J5945">
        <v>-186.2568</v>
      </c>
      <c r="K5945">
        <v>1.121324</v>
      </c>
      <c r="L5945">
        <v>2.0394290000000002</v>
      </c>
      <c r="M5945">
        <v>1.5867320000000001E-2</v>
      </c>
      <c r="N5945">
        <v>-1.0100690000000001E-2</v>
      </c>
      <c r="O5945">
        <v>0.99982309999999996</v>
      </c>
      <c r="P5945">
        <v>1.6604619999999999E-3</v>
      </c>
      <c r="Q5945">
        <v>0.1978007</v>
      </c>
      <c r="R5945">
        <v>0.98024080000000002</v>
      </c>
      <c r="S5945">
        <v>-0.1901245</v>
      </c>
      <c r="T5945">
        <v>-0.10551820000000001</v>
      </c>
      <c r="U5945">
        <v>3.0816650000000001</v>
      </c>
      <c r="V5945">
        <v>-1.4147899999999901E-2</v>
      </c>
      <c r="W5945">
        <v>0.20767340000000001</v>
      </c>
      <c r="X5945">
        <v>0.97809590000000002</v>
      </c>
      <c r="Y5945">
        <v>-7.737347E-2</v>
      </c>
      <c r="Z5945">
        <v>-2.4028959999999999E-2</v>
      </c>
      <c r="AA5945">
        <v>0.99671259999999995</v>
      </c>
      <c r="AB5945">
        <v>32</v>
      </c>
      <c r="AC5945">
        <v>-2.0252000000000101</v>
      </c>
      <c r="AD5945">
        <v>-1.1213263778389999</v>
      </c>
      <c r="AE5945">
        <v>32.425750999999998</v>
      </c>
      <c r="AF5945">
        <v>-2.5364595326166599</v>
      </c>
      <c r="AG5945">
        <v>-1.1213263778389999</v>
      </c>
      <c r="AH5945">
        <v>32.350994986419401</v>
      </c>
      <c r="AI5945">
        <v>91.979080630045999</v>
      </c>
      <c r="AJ5945">
        <v>94.483068600443204</v>
      </c>
      <c r="AK5945">
        <v>32.469645461839796</v>
      </c>
      <c r="AL5945">
        <v>78.013957676283795</v>
      </c>
      <c r="AM5945">
        <v>90.828710591112198</v>
      </c>
      <c r="AN5945">
        <v>0.99999999686939001</v>
      </c>
    </row>
    <row r="5946" spans="1:40" x14ac:dyDescent="0.25">
      <c r="A5946" t="str">
        <f>"20190303170652479"</f>
        <v>20190303170652479</v>
      </c>
      <c r="B5946" t="str">
        <f>"1551604012471051"</f>
        <v>1551604012471051</v>
      </c>
      <c r="C5946" t="s">
        <v>40</v>
      </c>
      <c r="D5946">
        <v>5.6876059999999997</v>
      </c>
      <c r="E5946">
        <v>0.4780548</v>
      </c>
      <c r="F5946" t="s">
        <v>41</v>
      </c>
      <c r="G5946">
        <v>-188.39410000000001</v>
      </c>
      <c r="H5946" s="1">
        <v>-2.9138500000000001E-6</v>
      </c>
      <c r="I5946">
        <v>35.761020000000002</v>
      </c>
      <c r="J5946">
        <v>-186.25219999999999</v>
      </c>
      <c r="K5946">
        <v>1.1213249999999999</v>
      </c>
      <c r="L5946">
        <v>2.3635250000000001</v>
      </c>
      <c r="M5946">
        <v>1.5271979999999999E-2</v>
      </c>
      <c r="N5946">
        <v>-1.007858E-2</v>
      </c>
      <c r="O5946">
        <v>0.99983259999999996</v>
      </c>
      <c r="P5946">
        <v>5.5484920000000001E-4</v>
      </c>
      <c r="Q5946">
        <v>0.19894300000000001</v>
      </c>
      <c r="R5946">
        <v>0.98001090000000002</v>
      </c>
      <c r="S5946">
        <v>-0.1953125</v>
      </c>
      <c r="T5946">
        <v>-0.1024669</v>
      </c>
      <c r="U5946">
        <v>3.0814819999999998</v>
      </c>
      <c r="V5946">
        <v>-1.466575E-2</v>
      </c>
      <c r="W5946">
        <v>0.2087918</v>
      </c>
      <c r="X5946">
        <v>0.97785010000000006</v>
      </c>
      <c r="Y5946">
        <v>-7.8456590000000007E-2</v>
      </c>
      <c r="Z5946">
        <v>-2.3064290000000001E-2</v>
      </c>
      <c r="AA5946">
        <v>0.9966507</v>
      </c>
      <c r="AB5946">
        <v>32</v>
      </c>
      <c r="AC5946">
        <v>-2.1419000000000201</v>
      </c>
      <c r="AD5946">
        <v>-1.1213279138500001</v>
      </c>
      <c r="AE5946">
        <v>33.397494999999999</v>
      </c>
      <c r="AF5946">
        <v>-2.6487482622588301</v>
      </c>
      <c r="AG5946">
        <v>-1.1213279138500001</v>
      </c>
      <c r="AH5946">
        <v>33.323475456494599</v>
      </c>
      <c r="AI5946">
        <v>91.921208688924807</v>
      </c>
      <c r="AJ5946">
        <v>94.544654741351295</v>
      </c>
      <c r="AK5946">
        <v>33.447380467636002</v>
      </c>
      <c r="AL5946">
        <v>77.948441460396893</v>
      </c>
      <c r="AM5946">
        <v>90.859254994886797</v>
      </c>
      <c r="AN5946">
        <v>0.99999995902015504</v>
      </c>
    </row>
    <row r="5947" spans="1:40" x14ac:dyDescent="0.25">
      <c r="A5947" t="str">
        <f>"20190303170652502"</f>
        <v>20190303170652502</v>
      </c>
      <c r="B5947" t="str">
        <f>"1551604012490571"</f>
        <v>1551604012490571</v>
      </c>
      <c r="C5947" t="s">
        <v>40</v>
      </c>
      <c r="D5947">
        <v>5.5631449999999996</v>
      </c>
      <c r="E5947">
        <v>0.47787540000000001</v>
      </c>
      <c r="F5947" t="s">
        <v>41</v>
      </c>
      <c r="G5947">
        <v>-188.53270000000001</v>
      </c>
      <c r="H5947" s="1">
        <v>-3.631051E-6</v>
      </c>
      <c r="I5947">
        <v>37.49015</v>
      </c>
      <c r="J5947">
        <v>-186.24789999999999</v>
      </c>
      <c r="K5947">
        <v>1.121324</v>
      </c>
      <c r="L5947">
        <v>2.6886290000000002</v>
      </c>
      <c r="M5947">
        <v>1.46719E-2</v>
      </c>
      <c r="N5947">
        <v>-1.005969E-2</v>
      </c>
      <c r="O5947">
        <v>0.99984170000000006</v>
      </c>
      <c r="P5947" s="1">
        <v>-6.2155069999999995E-5</v>
      </c>
      <c r="Q5947">
        <v>0.200458</v>
      </c>
      <c r="R5947">
        <v>0.97970230000000003</v>
      </c>
      <c r="S5947">
        <v>-0.20004269999999999</v>
      </c>
      <c r="T5947">
        <v>-9.8361729999999994E-2</v>
      </c>
      <c r="U5947">
        <v>3.0812680000000001</v>
      </c>
      <c r="V5947">
        <v>-1.469079E-2</v>
      </c>
      <c r="W5947">
        <v>0.21028469999999999</v>
      </c>
      <c r="X5947">
        <v>0.9775298</v>
      </c>
      <c r="Y5947">
        <v>-7.9388600000000004E-2</v>
      </c>
      <c r="Z5947">
        <v>-2.1756299999999999E-2</v>
      </c>
      <c r="AA5947">
        <v>0.99660629999999994</v>
      </c>
      <c r="AB5947">
        <v>32</v>
      </c>
      <c r="AC5947">
        <v>-2.2848000000000099</v>
      </c>
      <c r="AD5947">
        <v>-1.1213276310510001</v>
      </c>
      <c r="AE5947">
        <v>34.801521000000001</v>
      </c>
      <c r="AF5947">
        <v>-2.7922979066448699</v>
      </c>
      <c r="AG5947">
        <v>-1.1213276310510001</v>
      </c>
      <c r="AH5947">
        <v>34.728351385827899</v>
      </c>
      <c r="AI5947">
        <v>91.843409434658795</v>
      </c>
      <c r="AJ5947">
        <v>94.596920062030406</v>
      </c>
      <c r="AK5947">
        <v>34.858466593255997</v>
      </c>
      <c r="AL5947">
        <v>77.860962994488503</v>
      </c>
      <c r="AM5947">
        <v>90.861003832623894</v>
      </c>
      <c r="AN5947">
        <v>0.99999999212647595</v>
      </c>
    </row>
    <row r="5948" spans="1:40" x14ac:dyDescent="0.25">
      <c r="A5948" t="str">
        <f>"20190303170652526"</f>
        <v>20190303170652526</v>
      </c>
      <c r="B5948" t="str">
        <f>"1551604012520358"</f>
        <v>1551604012520358</v>
      </c>
      <c r="C5948" t="s">
        <v>40</v>
      </c>
      <c r="D5948">
        <v>5.6269689999999999</v>
      </c>
      <c r="E5948">
        <v>0.47755940000000002</v>
      </c>
      <c r="F5948" t="s">
        <v>41</v>
      </c>
      <c r="G5948">
        <v>-188.69990000000001</v>
      </c>
      <c r="H5948" s="1">
        <v>-3.7136779999999998E-7</v>
      </c>
      <c r="I5948">
        <v>39.722839999999998</v>
      </c>
      <c r="J5948">
        <v>-186.24379999999999</v>
      </c>
      <c r="K5948">
        <v>1.121326</v>
      </c>
      <c r="L5948">
        <v>3.0085449999999998</v>
      </c>
      <c r="M5948">
        <v>1.407832E-2</v>
      </c>
      <c r="N5948">
        <v>-1.004407E-2</v>
      </c>
      <c r="O5948">
        <v>0.99985049999999998</v>
      </c>
      <c r="P5948">
        <v>-3.0469710000000002E-4</v>
      </c>
      <c r="Q5948">
        <v>0.20097280000000001</v>
      </c>
      <c r="R5948">
        <v>0.97959680000000005</v>
      </c>
      <c r="S5948">
        <v>-0.20401</v>
      </c>
      <c r="T5948">
        <v>-9.3293909999999994E-2</v>
      </c>
      <c r="U5948">
        <v>3.0812379999999999</v>
      </c>
      <c r="V5948">
        <v>-1.435034E-2</v>
      </c>
      <c r="W5948">
        <v>0.21078350000000001</v>
      </c>
      <c r="X5948">
        <v>0.97742739999999995</v>
      </c>
      <c r="Y5948">
        <v>-8.0077919999999997E-2</v>
      </c>
      <c r="Z5948">
        <v>-2.013241E-2</v>
      </c>
      <c r="AA5948">
        <v>0.99658519999999995</v>
      </c>
      <c r="AB5948">
        <v>32</v>
      </c>
      <c r="AC5948">
        <v>-2.4561000000000202</v>
      </c>
      <c r="AD5948">
        <v>-1.1213263713677999</v>
      </c>
      <c r="AE5948">
        <v>36.714295</v>
      </c>
      <c r="AF5948">
        <v>-2.97000009995004</v>
      </c>
      <c r="AG5948">
        <v>-1.1213263713677999</v>
      </c>
      <c r="AH5948">
        <v>36.642048755024099</v>
      </c>
      <c r="AI5948">
        <v>91.747102301365501</v>
      </c>
      <c r="AJ5948">
        <v>94.6339459736636</v>
      </c>
      <c r="AK5948">
        <v>36.779314979895801</v>
      </c>
      <c r="AL5948">
        <v>77.831728331482793</v>
      </c>
      <c r="AM5948">
        <v>90.841141600030198</v>
      </c>
      <c r="AN5948">
        <v>0.999999969200562</v>
      </c>
    </row>
    <row r="5949" spans="1:40" x14ac:dyDescent="0.25">
      <c r="A5949" t="str">
        <f>"20190303170652547"</f>
        <v>20190303170652547</v>
      </c>
      <c r="B5949" t="str">
        <f>"1551604012540854"</f>
        <v>1551604012540854</v>
      </c>
      <c r="C5949" t="s">
        <v>40</v>
      </c>
      <c r="D5949">
        <v>5.5902479999999999</v>
      </c>
      <c r="E5949">
        <v>0.47739809999999999</v>
      </c>
      <c r="F5949" t="s">
        <v>41</v>
      </c>
      <c r="G5949">
        <v>-188.8107</v>
      </c>
      <c r="H5949" s="1">
        <v>-8.0000939999999997E-7</v>
      </c>
      <c r="I5949">
        <v>41.005859999999998</v>
      </c>
      <c r="J5949">
        <v>-186.24</v>
      </c>
      <c r="K5949">
        <v>1.121324</v>
      </c>
      <c r="L5949">
        <v>3.3210139999999999</v>
      </c>
      <c r="M5949">
        <v>1.3496340000000001E-2</v>
      </c>
      <c r="N5949">
        <v>-1.003125E-2</v>
      </c>
      <c r="O5949">
        <v>0.99985860000000004</v>
      </c>
      <c r="P5949">
        <v>-4.315861E-4</v>
      </c>
      <c r="Q5949">
        <v>0.2002999</v>
      </c>
      <c r="R5949">
        <v>0.97973449999999995</v>
      </c>
      <c r="S5949">
        <v>-0.2081451</v>
      </c>
      <c r="T5949">
        <v>-9.0924980000000002E-2</v>
      </c>
      <c r="U5949">
        <v>3.0810849999999999</v>
      </c>
      <c r="V5949">
        <v>-1.390686E-2</v>
      </c>
      <c r="W5949">
        <v>0.2101006</v>
      </c>
      <c r="X5949">
        <v>0.97758080000000003</v>
      </c>
      <c r="Y5949">
        <v>-8.0833699999999994E-2</v>
      </c>
      <c r="Z5949">
        <v>-1.9379130000000001E-2</v>
      </c>
      <c r="AA5949">
        <v>0.99653919999999996</v>
      </c>
      <c r="AB5949">
        <v>32</v>
      </c>
      <c r="AC5949">
        <v>-2.57069999999998</v>
      </c>
      <c r="AD5949">
        <v>-1.1213248000094</v>
      </c>
      <c r="AE5949">
        <v>37.684846</v>
      </c>
      <c r="AF5949">
        <v>-3.07638777041078</v>
      </c>
      <c r="AG5949">
        <v>-1.1213248000094</v>
      </c>
      <c r="AH5949">
        <v>37.613568516970297</v>
      </c>
      <c r="AI5949">
        <v>91.701899849503505</v>
      </c>
      <c r="AJ5949">
        <v>94.675774553413703</v>
      </c>
      <c r="AK5949">
        <v>37.755821638548298</v>
      </c>
      <c r="AL5949">
        <v>77.871751557244195</v>
      </c>
      <c r="AM5949">
        <v>90.815022799350302</v>
      </c>
      <c r="AN5949">
        <v>0.99999994170202799</v>
      </c>
    </row>
    <row r="5950" spans="1:40" x14ac:dyDescent="0.25">
      <c r="A5950" t="str">
        <f>"20190303170652569"</f>
        <v>20190303170652569</v>
      </c>
      <c r="B5950" t="str">
        <f>"1551604012560374"</f>
        <v>1551604012560374</v>
      </c>
      <c r="C5950" t="s">
        <v>40</v>
      </c>
      <c r="D5950">
        <v>5.5621150000000004</v>
      </c>
      <c r="E5950">
        <v>0.47725200000000001</v>
      </c>
      <c r="F5950" t="s">
        <v>41</v>
      </c>
      <c r="G5950">
        <v>-188.7885</v>
      </c>
      <c r="H5950" s="1">
        <v>-6.3300050000000003E-7</v>
      </c>
      <c r="I5950">
        <v>40.560940000000002</v>
      </c>
      <c r="J5950">
        <v>-186.2363</v>
      </c>
      <c r="K5950">
        <v>1.121316</v>
      </c>
      <c r="L5950">
        <v>3.634979</v>
      </c>
      <c r="M5950">
        <v>1.2910680000000001E-2</v>
      </c>
      <c r="N5950">
        <v>-1.001879E-2</v>
      </c>
      <c r="O5950">
        <v>0.99986649999999999</v>
      </c>
      <c r="P5950">
        <v>-1.5124680000000001E-4</v>
      </c>
      <c r="Q5950">
        <v>0.19983580000000001</v>
      </c>
      <c r="R5950">
        <v>0.97982939999999996</v>
      </c>
      <c r="S5950">
        <v>-0.2108459</v>
      </c>
      <c r="T5950">
        <v>-9.2769379999999999E-2</v>
      </c>
      <c r="U5950">
        <v>3.0809329999999999</v>
      </c>
      <c r="V5950">
        <v>-1.3053769999999999E-2</v>
      </c>
      <c r="W5950">
        <v>0.20962600000000001</v>
      </c>
      <c r="X5950">
        <v>0.97769450000000002</v>
      </c>
      <c r="Y5950">
        <v>-8.1121659999999998E-2</v>
      </c>
      <c r="Z5950">
        <v>-1.9988570000000001E-2</v>
      </c>
      <c r="AA5950">
        <v>0.99650380000000005</v>
      </c>
      <c r="AB5950">
        <v>32</v>
      </c>
      <c r="AC5950">
        <v>-2.5521999999999898</v>
      </c>
      <c r="AD5950">
        <v>-1.1213166330005</v>
      </c>
      <c r="AE5950">
        <v>36.925961000000001</v>
      </c>
      <c r="AF5950">
        <v>-3.0259733585448698</v>
      </c>
      <c r="AG5950">
        <v>-1.1213166330005</v>
      </c>
      <c r="AH5950">
        <v>36.856106162001701</v>
      </c>
      <c r="AI5950">
        <v>91.736799013128405</v>
      </c>
      <c r="AJ5950">
        <v>94.693591519629393</v>
      </c>
      <c r="AK5950">
        <v>36.997113768276698</v>
      </c>
      <c r="AL5950">
        <v>77.899564179594904</v>
      </c>
      <c r="AM5950">
        <v>90.764943946738896</v>
      </c>
      <c r="AN5950">
        <v>0.99999999805873097</v>
      </c>
    </row>
    <row r="5951" spans="1:40" x14ac:dyDescent="0.25">
      <c r="A5951" t="str">
        <f>"20190303170652590"</f>
        <v>20190303170652590</v>
      </c>
      <c r="B5951" t="str">
        <f>"1551604012580870"</f>
        <v>1551604012580870</v>
      </c>
      <c r="C5951" t="s">
        <v>40</v>
      </c>
      <c r="D5951">
        <v>5.4418660000000001</v>
      </c>
      <c r="E5951">
        <v>0.47713949999999999</v>
      </c>
      <c r="F5951" t="s">
        <v>41</v>
      </c>
      <c r="G5951">
        <v>-188.75380000000001</v>
      </c>
      <c r="H5951" s="1">
        <v>-5.7184849999999898E-7</v>
      </c>
      <c r="I5951">
        <v>40.354080000000003</v>
      </c>
      <c r="J5951">
        <v>-186.2328</v>
      </c>
      <c r="K5951">
        <v>1.1213109999999999</v>
      </c>
      <c r="L5951">
        <v>3.9525450000000002</v>
      </c>
      <c r="M5951">
        <v>1.2318040000000001E-2</v>
      </c>
      <c r="N5951">
        <v>-1.00006E-2</v>
      </c>
      <c r="O5951">
        <v>0.99987409999999999</v>
      </c>
      <c r="P5951">
        <v>8.3911049999999996E-4</v>
      </c>
      <c r="Q5951">
        <v>0.19986570000000001</v>
      </c>
      <c r="R5951">
        <v>0.97982290000000005</v>
      </c>
      <c r="S5951">
        <v>-0.21122740000000001</v>
      </c>
      <c r="T5951">
        <v>-9.4083669999999994E-2</v>
      </c>
      <c r="U5951">
        <v>3.080902</v>
      </c>
      <c r="V5951">
        <v>-1.148355E-2</v>
      </c>
      <c r="W5951">
        <v>0.20963989999999999</v>
      </c>
      <c r="X5951">
        <v>0.9777112</v>
      </c>
      <c r="Y5951">
        <v>-8.0653699999999995E-2</v>
      </c>
      <c r="Z5951">
        <v>-2.04329E-2</v>
      </c>
      <c r="AA5951">
        <v>0.99653270000000005</v>
      </c>
      <c r="AB5951">
        <v>32</v>
      </c>
      <c r="AC5951">
        <v>-2.5210000000000101</v>
      </c>
      <c r="AD5951">
        <v>-1.1213115718485001</v>
      </c>
      <c r="AE5951">
        <v>36.401535000000003</v>
      </c>
      <c r="AF5951">
        <v>-2.9664253516520902</v>
      </c>
      <c r="AG5951">
        <v>-1.1213115718485001</v>
      </c>
      <c r="AH5951">
        <v>36.333405983353401</v>
      </c>
      <c r="AI5951">
        <v>91.761826947658193</v>
      </c>
      <c r="AJ5951">
        <v>94.667536709312699</v>
      </c>
      <c r="AK5951">
        <v>36.471542459282702</v>
      </c>
      <c r="AL5951">
        <v>77.898749387930906</v>
      </c>
      <c r="AM5951">
        <v>90.672927440667294</v>
      </c>
      <c r="AN5951">
        <v>0.99999997509902505</v>
      </c>
    </row>
    <row r="5952" spans="1:40" x14ac:dyDescent="0.25">
      <c r="A5952" t="str">
        <f>"20190303170652613"</f>
        <v>20190303170652613</v>
      </c>
      <c r="B5952" t="str">
        <f>"1551604012600897"</f>
        <v>1551604012600897</v>
      </c>
      <c r="C5952" t="s">
        <v>40</v>
      </c>
      <c r="D5952">
        <v>5.7054919999999996</v>
      </c>
      <c r="E5952">
        <v>0.47700490000000001</v>
      </c>
      <c r="F5952" t="s">
        <v>41</v>
      </c>
      <c r="G5952">
        <v>-188.7542</v>
      </c>
      <c r="H5952" s="1">
        <v>-7.7909099999999899E-7</v>
      </c>
      <c r="I5952">
        <v>40.933729999999997</v>
      </c>
      <c r="J5952">
        <v>-186.2295</v>
      </c>
      <c r="K5952">
        <v>1.121308</v>
      </c>
      <c r="L5952">
        <v>4.2637939999999999</v>
      </c>
      <c r="M5952">
        <v>1.1736989999999999E-2</v>
      </c>
      <c r="N5952">
        <v>-9.973417E-3</v>
      </c>
      <c r="O5952">
        <v>0.99988140000000003</v>
      </c>
      <c r="P5952">
        <v>2.7380439999999998E-3</v>
      </c>
      <c r="Q5952">
        <v>0.19916039999999999</v>
      </c>
      <c r="R5952">
        <v>0.97996309999999998</v>
      </c>
      <c r="S5952">
        <v>-0.2100677</v>
      </c>
      <c r="T5952">
        <v>-9.3420149999999993E-2</v>
      </c>
      <c r="U5952">
        <v>3.0810240000000002</v>
      </c>
      <c r="V5952">
        <v>-9.0159079999999996E-3</v>
      </c>
      <c r="W5952">
        <v>0.20891299999999999</v>
      </c>
      <c r="X5952">
        <v>0.9778926</v>
      </c>
      <c r="Y5952">
        <v>-7.9698989999999997E-2</v>
      </c>
      <c r="Z5952">
        <v>-2.0246489999999999E-2</v>
      </c>
      <c r="AA5952">
        <v>0.99661330000000004</v>
      </c>
      <c r="AB5952">
        <v>32</v>
      </c>
      <c r="AC5952">
        <v>-2.52469999999999</v>
      </c>
      <c r="AD5952">
        <v>-1.1213087790909999</v>
      </c>
      <c r="AE5952">
        <v>36.669936</v>
      </c>
      <c r="AF5952">
        <v>-2.9521947532525501</v>
      </c>
      <c r="AG5952">
        <v>-1.1213087790909999</v>
      </c>
      <c r="AH5952">
        <v>36.603711583621902</v>
      </c>
      <c r="AI5952">
        <v>91.748959961924001</v>
      </c>
      <c r="AJ5952">
        <v>94.611088702988496</v>
      </c>
      <c r="AK5952">
        <v>36.739685476826999</v>
      </c>
      <c r="AL5952">
        <v>77.941340295211006</v>
      </c>
      <c r="AM5952">
        <v>90.528236782627999</v>
      </c>
      <c r="AN5952">
        <v>0.99999993265040998</v>
      </c>
    </row>
    <row r="5953" spans="1:40" x14ac:dyDescent="0.25">
      <c r="A5953" t="str">
        <f>"20190303170652635"</f>
        <v>20190303170652635</v>
      </c>
      <c r="B5953" t="str">
        <f>"1551604012631153"</f>
        <v>1551604012631153</v>
      </c>
      <c r="C5953" t="s">
        <v>40</v>
      </c>
      <c r="D5953">
        <v>5.763922</v>
      </c>
      <c r="E5953">
        <v>0.47679549999999998</v>
      </c>
      <c r="F5953" t="s">
        <v>41</v>
      </c>
      <c r="G5953">
        <v>-188.65209999999999</v>
      </c>
      <c r="H5953" s="1">
        <v>-6.4431399999999998E-7</v>
      </c>
      <c r="I5953">
        <v>40.487520000000004</v>
      </c>
      <c r="J5953">
        <v>-186.22640000000001</v>
      </c>
      <c r="K5953">
        <v>1.121297</v>
      </c>
      <c r="L5953">
        <v>4.5839230000000004</v>
      </c>
      <c r="M5953">
        <v>1.1139659999999999E-2</v>
      </c>
      <c r="N5953">
        <v>-9.9345749999999993E-3</v>
      </c>
      <c r="O5953">
        <v>0.99988860000000002</v>
      </c>
      <c r="P5953">
        <v>4.0614079999999999E-3</v>
      </c>
      <c r="Q5953">
        <v>0.1986173</v>
      </c>
      <c r="R5953">
        <v>0.98006870000000001</v>
      </c>
      <c r="S5953">
        <v>-0.2060699</v>
      </c>
      <c r="T5953">
        <v>-9.5381859999999999E-2</v>
      </c>
      <c r="U5953">
        <v>3.081299</v>
      </c>
      <c r="V5953">
        <v>-7.10824E-3</v>
      </c>
      <c r="W5953">
        <v>0.20833570000000001</v>
      </c>
      <c r="X5953">
        <v>0.97803150000000005</v>
      </c>
      <c r="Y5953">
        <v>-7.7809439999999994E-2</v>
      </c>
      <c r="Z5953">
        <v>-2.0920999999999999E-2</v>
      </c>
      <c r="AA5953">
        <v>0.99674870000000004</v>
      </c>
      <c r="AB5953">
        <v>32</v>
      </c>
      <c r="AC5953">
        <v>-2.4256999999999702</v>
      </c>
      <c r="AD5953">
        <v>-1.1212976443139999</v>
      </c>
      <c r="AE5953">
        <v>35.903596999999998</v>
      </c>
      <c r="AF5953">
        <v>-2.8227823522348898</v>
      </c>
      <c r="AG5953">
        <v>-1.1212976443139999</v>
      </c>
      <c r="AH5953">
        <v>35.839548525994701</v>
      </c>
      <c r="AI5953">
        <v>91.786476680723197</v>
      </c>
      <c r="AJ5953">
        <v>94.503413928732897</v>
      </c>
      <c r="AK5953">
        <v>35.968022563971502</v>
      </c>
      <c r="AL5953">
        <v>77.975161603443198</v>
      </c>
      <c r="AM5953">
        <v>90.416412948822895</v>
      </c>
      <c r="AN5953">
        <v>0.99999995298131705</v>
      </c>
    </row>
    <row r="5954" spans="1:40" x14ac:dyDescent="0.25">
      <c r="A5954" t="str">
        <f>"20190303170652657"</f>
        <v>20190303170652657</v>
      </c>
      <c r="B5954" t="str">
        <f>"1551604012650673"</f>
        <v>1551604012650673</v>
      </c>
      <c r="C5954" t="s">
        <v>40</v>
      </c>
      <c r="D5954">
        <v>5.5570389999999996</v>
      </c>
      <c r="E5954">
        <v>0.47665999999999997</v>
      </c>
      <c r="F5954" t="s">
        <v>41</v>
      </c>
      <c r="G5954">
        <v>-188.5806</v>
      </c>
      <c r="H5954" s="1">
        <v>-5.7470159999999996E-7</v>
      </c>
      <c r="I5954">
        <v>40.227089999999997</v>
      </c>
      <c r="J5954">
        <v>-186.2234</v>
      </c>
      <c r="K5954">
        <v>1.1212839999999999</v>
      </c>
      <c r="L5954">
        <v>4.9014889999999998</v>
      </c>
      <c r="M5954">
        <v>1.054689E-2</v>
      </c>
      <c r="N5954">
        <v>-9.8930189999999994E-3</v>
      </c>
      <c r="O5954">
        <v>0.99989550000000005</v>
      </c>
      <c r="P5954">
        <v>4.7442539999999998E-3</v>
      </c>
      <c r="Q5954">
        <v>0.1984447</v>
      </c>
      <c r="R5954">
        <v>0.98010059999999999</v>
      </c>
      <c r="S5954">
        <v>-0.203537</v>
      </c>
      <c r="T5954">
        <v>-9.6941230000000003E-2</v>
      </c>
      <c r="U5954">
        <v>3.081512</v>
      </c>
      <c r="V5954">
        <v>-5.8451290000000001E-3</v>
      </c>
      <c r="W5954">
        <v>0.20812439999999999</v>
      </c>
      <c r="X5954">
        <v>0.97808490000000003</v>
      </c>
      <c r="Y5954">
        <v>-7.6397430000000002E-2</v>
      </c>
      <c r="Z5954">
        <v>-2.1467610000000002E-2</v>
      </c>
      <c r="AA5954">
        <v>0.99684629999999996</v>
      </c>
      <c r="AB5954">
        <v>32</v>
      </c>
      <c r="AC5954">
        <v>-2.3572000000000002</v>
      </c>
      <c r="AD5954">
        <v>-1.1212845747016</v>
      </c>
      <c r="AE5954">
        <v>35.325600999999999</v>
      </c>
      <c r="AF5954">
        <v>-2.7269270713839502</v>
      </c>
      <c r="AG5954">
        <v>-1.1212845747016</v>
      </c>
      <c r="AH5954">
        <v>35.263402653406402</v>
      </c>
      <c r="AI5954">
        <v>91.815825721477296</v>
      </c>
      <c r="AJ5954">
        <v>94.4218956144814</v>
      </c>
      <c r="AK5954">
        <v>35.386451885522199</v>
      </c>
      <c r="AL5954">
        <v>77.987540119520801</v>
      </c>
      <c r="AM5954">
        <v>90.342400987520307</v>
      </c>
      <c r="AN5954">
        <v>1.00000000150819</v>
      </c>
    </row>
    <row r="5955" spans="1:40" x14ac:dyDescent="0.25">
      <c r="A5955" t="str">
        <f>"20190303170652680"</f>
        <v>20190303170652680</v>
      </c>
      <c r="B5955" t="str">
        <f>"1551604012671169"</f>
        <v>1551604012671169</v>
      </c>
      <c r="C5955" t="s">
        <v>40</v>
      </c>
      <c r="D5955">
        <v>5.6143640000000001</v>
      </c>
      <c r="E5955">
        <v>0.47655500000000001</v>
      </c>
      <c r="F5955" t="s">
        <v>41</v>
      </c>
      <c r="G5955">
        <v>-188.56389999999999</v>
      </c>
      <c r="H5955" s="1">
        <v>-6.4655530000000004E-7</v>
      </c>
      <c r="I5955">
        <v>40.425170000000001</v>
      </c>
      <c r="J5955">
        <v>-186.22049999999999</v>
      </c>
      <c r="K5955">
        <v>1.121273</v>
      </c>
      <c r="L5955">
        <v>5.237762</v>
      </c>
      <c r="M5955">
        <v>9.9194690000000002E-3</v>
      </c>
      <c r="N5955">
        <v>-9.8466339999999999E-3</v>
      </c>
      <c r="O5955">
        <v>0.99990230000000002</v>
      </c>
      <c r="P5955">
        <v>5.2763230000000003E-3</v>
      </c>
      <c r="Q5955">
        <v>0.1981069</v>
      </c>
      <c r="R5955">
        <v>0.98016619999999999</v>
      </c>
      <c r="S5955">
        <v>-0.2030334</v>
      </c>
      <c r="T5955">
        <v>-9.7268099999999996E-2</v>
      </c>
      <c r="U5955">
        <v>3.0815730000000001</v>
      </c>
      <c r="V5955">
        <v>-4.6986689999999999E-3</v>
      </c>
      <c r="W5955">
        <v>0.20774339999999999</v>
      </c>
      <c r="X5955">
        <v>0.97817209999999999</v>
      </c>
      <c r="Y5955">
        <v>-7.5608250000000002E-2</v>
      </c>
      <c r="Z5955">
        <v>-2.162068E-2</v>
      </c>
      <c r="AA5955">
        <v>0.99690319999999999</v>
      </c>
      <c r="AB5955">
        <v>32</v>
      </c>
      <c r="AC5955">
        <v>-2.3433999999999999</v>
      </c>
      <c r="AD5955">
        <v>-1.1212736465552999</v>
      </c>
      <c r="AE5955">
        <v>35.187407999999998</v>
      </c>
      <c r="AF5955">
        <v>-2.68962297124218</v>
      </c>
      <c r="AG5955">
        <v>-1.1212736465552999</v>
      </c>
      <c r="AH5955">
        <v>35.126918912930897</v>
      </c>
      <c r="AI5955">
        <v>91.822964628505403</v>
      </c>
      <c r="AJ5955">
        <v>94.378520681787194</v>
      </c>
      <c r="AK5955">
        <v>35.247578053442403</v>
      </c>
      <c r="AL5955">
        <v>78.0098579236451</v>
      </c>
      <c r="AM5955">
        <v>90.275219291637399</v>
      </c>
      <c r="AN5955">
        <v>1.00000002747617</v>
      </c>
    </row>
    <row r="5956" spans="1:40" x14ac:dyDescent="0.25">
      <c r="A5956" t="str">
        <f>"20190303170652704"</f>
        <v>20190303170652704</v>
      </c>
      <c r="B5956" t="str">
        <f>"1551604012690689"</f>
        <v>1551604012690689</v>
      </c>
      <c r="C5956" t="s">
        <v>40</v>
      </c>
      <c r="D5956">
        <v>5.6078049999999999</v>
      </c>
      <c r="E5956">
        <v>0.4764642</v>
      </c>
      <c r="F5956" t="s">
        <v>41</v>
      </c>
      <c r="G5956">
        <v>-188.54929999999999</v>
      </c>
      <c r="H5956" s="1">
        <v>-6.8824589999999999E-7</v>
      </c>
      <c r="I5956">
        <v>40.536250000000003</v>
      </c>
      <c r="J5956">
        <v>-186.21780000000001</v>
      </c>
      <c r="K5956">
        <v>1.121259</v>
      </c>
      <c r="L5956">
        <v>5.5661009999999997</v>
      </c>
      <c r="M5956">
        <v>9.3069789999999999E-3</v>
      </c>
      <c r="N5956">
        <v>-9.8006719999999999E-3</v>
      </c>
      <c r="O5956">
        <v>0.99990869999999998</v>
      </c>
      <c r="P5956">
        <v>4.9348350000000003E-3</v>
      </c>
      <c r="Q5956">
        <v>0.19740189999999999</v>
      </c>
      <c r="R5956">
        <v>0.98031020000000002</v>
      </c>
      <c r="S5956">
        <v>-0.20330809999999999</v>
      </c>
      <c r="T5956">
        <v>-9.7887639999999998E-2</v>
      </c>
      <c r="U5956">
        <v>3.0815730000000001</v>
      </c>
      <c r="V5956">
        <v>-4.4409879999999999E-3</v>
      </c>
      <c r="W5956">
        <v>0.20699519999999999</v>
      </c>
      <c r="X5956">
        <v>0.97833190000000003</v>
      </c>
      <c r="Y5956">
        <v>-7.5085680000000002E-2</v>
      </c>
      <c r="Z5956">
        <v>-2.1867930000000001E-2</v>
      </c>
      <c r="AA5956">
        <v>0.99693730000000003</v>
      </c>
      <c r="AB5956">
        <v>32</v>
      </c>
      <c r="AC5956">
        <v>-2.3314999999999699</v>
      </c>
      <c r="AD5956">
        <v>-1.1212596882459001</v>
      </c>
      <c r="AE5956">
        <v>34.970148999999999</v>
      </c>
      <c r="AF5956">
        <v>-2.6541645135117</v>
      </c>
      <c r="AG5956">
        <v>-1.1212596882459001</v>
      </c>
      <c r="AH5956">
        <v>34.911202107111897</v>
      </c>
      <c r="AI5956">
        <v>91.834273702097803</v>
      </c>
      <c r="AJ5956">
        <v>94.347614399755997</v>
      </c>
      <c r="AK5956">
        <v>35.029899302123098</v>
      </c>
      <c r="AL5956">
        <v>78.0536791002245</v>
      </c>
      <c r="AM5956">
        <v>90.260083639904195</v>
      </c>
      <c r="AN5956">
        <v>1.0000000208775299</v>
      </c>
    </row>
    <row r="5957" spans="1:40" x14ac:dyDescent="0.25">
      <c r="A5957" t="str">
        <f>"20190303170652726"</f>
        <v>20190303170652726</v>
      </c>
      <c r="B5957" t="str">
        <f>"1551604012710715"</f>
        <v>1551604012710715</v>
      </c>
      <c r="C5957" t="s">
        <v>40</v>
      </c>
      <c r="D5957">
        <v>5.6248100000000001</v>
      </c>
      <c r="E5957">
        <v>0.47634009999999999</v>
      </c>
      <c r="F5957" t="s">
        <v>41</v>
      </c>
      <c r="G5957">
        <v>-188.51750000000001</v>
      </c>
      <c r="H5957" s="1">
        <v>-5.4729469999999902E-7</v>
      </c>
      <c r="I5957">
        <v>40.097160000000002</v>
      </c>
      <c r="J5957">
        <v>-186.21549999999999</v>
      </c>
      <c r="K5957">
        <v>1.1212500000000001</v>
      </c>
      <c r="L5957">
        <v>5.8813779999999998</v>
      </c>
      <c r="M5957">
        <v>8.7191969999999997E-3</v>
      </c>
      <c r="N5957">
        <v>-9.7599579999999991E-3</v>
      </c>
      <c r="O5957">
        <v>0.99991430000000003</v>
      </c>
      <c r="P5957">
        <v>4.618133E-3</v>
      </c>
      <c r="Q5957">
        <v>0.19673750000000001</v>
      </c>
      <c r="R5957">
        <v>0.98044529999999996</v>
      </c>
      <c r="S5957">
        <v>-0.2052155</v>
      </c>
      <c r="T5957">
        <v>-0.10005799999999999</v>
      </c>
      <c r="U5957">
        <v>3.0814509999999999</v>
      </c>
      <c r="V5957">
        <v>-4.1822450000000002E-3</v>
      </c>
      <c r="W5957">
        <v>0.20629210000000001</v>
      </c>
      <c r="X5957">
        <v>0.9784815</v>
      </c>
      <c r="Y5957">
        <v>-7.5115199999999993E-2</v>
      </c>
      <c r="Z5957">
        <v>-2.2611240000000001E-2</v>
      </c>
      <c r="AA5957">
        <v>0.99691850000000004</v>
      </c>
      <c r="AB5957">
        <v>32</v>
      </c>
      <c r="AC5957">
        <v>-2.30200000000002</v>
      </c>
      <c r="AD5957">
        <v>-1.1212505472947001</v>
      </c>
      <c r="AE5957">
        <v>34.215781999999997</v>
      </c>
      <c r="AF5957">
        <v>-2.5974840609121999</v>
      </c>
      <c r="AG5957">
        <v>-1.1212505472947001</v>
      </c>
      <c r="AH5957">
        <v>34.157892778664603</v>
      </c>
      <c r="AI5957">
        <v>91.874680023539497</v>
      </c>
      <c r="AJ5957">
        <v>94.348599633517694</v>
      </c>
      <c r="AK5957">
        <v>34.274856167681499</v>
      </c>
      <c r="AL5957">
        <v>78.094851988740601</v>
      </c>
      <c r="AM5957">
        <v>90.244893263871603</v>
      </c>
      <c r="AN5957">
        <v>0.99999998376894905</v>
      </c>
    </row>
    <row r="5958" spans="1:40" x14ac:dyDescent="0.25">
      <c r="A5958" t="str">
        <f>"20190303170652750"</f>
        <v>20190303170652750</v>
      </c>
      <c r="B5958" t="str">
        <f>"1551604012740971"</f>
        <v>1551604012740971</v>
      </c>
      <c r="C5958" t="s">
        <v>40</v>
      </c>
      <c r="D5958">
        <v>5.5945900000000002</v>
      </c>
      <c r="E5958">
        <v>0.4762245</v>
      </c>
      <c r="F5958" t="s">
        <v>41</v>
      </c>
      <c r="G5958">
        <v>-188.4898</v>
      </c>
      <c r="H5958" s="1">
        <v>-4.378232E-7</v>
      </c>
      <c r="I5958">
        <v>39.753880000000002</v>
      </c>
      <c r="J5958">
        <v>-186.2131</v>
      </c>
      <c r="K5958">
        <v>1.121238</v>
      </c>
      <c r="L5958">
        <v>6.2316589999999996</v>
      </c>
      <c r="M5958">
        <v>8.0663160000000005E-3</v>
      </c>
      <c r="N5958">
        <v>-9.7187980000000007E-3</v>
      </c>
      <c r="O5958">
        <v>0.99992020000000004</v>
      </c>
      <c r="P5958">
        <v>4.144605E-3</v>
      </c>
      <c r="Q5958">
        <v>0.19727729999999999</v>
      </c>
      <c r="R5958">
        <v>0.98033899999999996</v>
      </c>
      <c r="S5958">
        <v>-0.20689389999999999</v>
      </c>
      <c r="T5958">
        <v>-0.1019964</v>
      </c>
      <c r="U5958">
        <v>3.0812680000000001</v>
      </c>
      <c r="V5958">
        <v>-4.0161789999999999E-3</v>
      </c>
      <c r="W5958">
        <v>0.2067908</v>
      </c>
      <c r="X5958">
        <v>0.97837689999999999</v>
      </c>
      <c r="Y5958">
        <v>-7.5007509999999999E-2</v>
      </c>
      <c r="Z5958">
        <v>-2.3280970000000002E-2</v>
      </c>
      <c r="AA5958">
        <v>0.9969112</v>
      </c>
      <c r="AB5958">
        <v>32</v>
      </c>
      <c r="AC5958">
        <v>-2.2766999999999999</v>
      </c>
      <c r="AD5958">
        <v>-1.1212384378232001</v>
      </c>
      <c r="AE5958">
        <v>33.522221000000002</v>
      </c>
      <c r="AF5958">
        <v>-2.5442062885949199</v>
      </c>
      <c r="AG5958">
        <v>-1.1212384378232001</v>
      </c>
      <c r="AH5958">
        <v>33.465497464170802</v>
      </c>
      <c r="AI5958">
        <v>91.9134203388261</v>
      </c>
      <c r="AJ5958">
        <v>94.347534636678006</v>
      </c>
      <c r="AK5958">
        <v>33.580793346759997</v>
      </c>
      <c r="AL5958">
        <v>78.065648632359597</v>
      </c>
      <c r="AM5958">
        <v>90.235194447036903</v>
      </c>
      <c r="AN5958">
        <v>0.99999996155600401</v>
      </c>
    </row>
    <row r="5959" spans="1:40" x14ac:dyDescent="0.25">
      <c r="A5959" t="str">
        <f>"20190303170652770"</f>
        <v>20190303170652770</v>
      </c>
      <c r="B5959" t="str">
        <f>"1551604012760491"</f>
        <v>1551604012760491</v>
      </c>
      <c r="C5959" t="s">
        <v>40</v>
      </c>
      <c r="D5959">
        <v>5.6196609999999998</v>
      </c>
      <c r="E5959">
        <v>0.47618440000000001</v>
      </c>
      <c r="F5959" t="s">
        <v>41</v>
      </c>
      <c r="G5959">
        <v>-188.52860000000001</v>
      </c>
      <c r="H5959" s="1">
        <v>-6.6109989999999997E-7</v>
      </c>
      <c r="I5959">
        <v>40.440289999999997</v>
      </c>
      <c r="J5959">
        <v>-186.21119999999999</v>
      </c>
      <c r="K5959">
        <v>1.1212359999999999</v>
      </c>
      <c r="L5959">
        <v>6.5260009999999999</v>
      </c>
      <c r="M5959">
        <v>7.5179859999999999E-3</v>
      </c>
      <c r="N5959">
        <v>-9.687335E-3</v>
      </c>
      <c r="O5959">
        <v>0.99992479999999995</v>
      </c>
      <c r="P5959">
        <v>4.1688430000000002E-3</v>
      </c>
      <c r="Q5959">
        <v>0.19872480000000001</v>
      </c>
      <c r="R5959">
        <v>0.98004650000000004</v>
      </c>
      <c r="S5959">
        <v>-0.20857239999999999</v>
      </c>
      <c r="T5959">
        <v>-0.10099610000000001</v>
      </c>
      <c r="U5959">
        <v>3.0813600000000001</v>
      </c>
      <c r="V5959">
        <v>-3.4543529999999999E-3</v>
      </c>
      <c r="W5959">
        <v>0.20820559999999999</v>
      </c>
      <c r="X5959">
        <v>0.97807900000000003</v>
      </c>
      <c r="Y5959">
        <v>-7.4999910000000003E-2</v>
      </c>
      <c r="Z5959">
        <v>-2.298789E-2</v>
      </c>
      <c r="AA5959">
        <v>0.99691859999999999</v>
      </c>
      <c r="AB5959">
        <v>32</v>
      </c>
      <c r="AC5959">
        <v>-2.3174000000000201</v>
      </c>
      <c r="AD5959">
        <v>-1.1212366610998901</v>
      </c>
      <c r="AE5959">
        <v>33.914288999999997</v>
      </c>
      <c r="AF5959">
        <v>-2.56951813234287</v>
      </c>
      <c r="AG5959">
        <v>-1.1212366610998901</v>
      </c>
      <c r="AH5959">
        <v>33.859070744063096</v>
      </c>
      <c r="AI5959">
        <v>91.891211679451402</v>
      </c>
      <c r="AJ5959">
        <v>94.339779310592604</v>
      </c>
      <c r="AK5959">
        <v>33.974935860632598</v>
      </c>
      <c r="AL5959">
        <v>77.982783695478503</v>
      </c>
      <c r="AM5959">
        <v>90.202354845510399</v>
      </c>
      <c r="AN5959">
        <v>1.0000000173335</v>
      </c>
    </row>
    <row r="5960" spans="1:40" x14ac:dyDescent="0.25">
      <c r="A5960" t="str">
        <f>"20190303170652792"</f>
        <v>20190303170652792</v>
      </c>
      <c r="B5960" t="str">
        <f>"1551604012780987"</f>
        <v>1551604012780987</v>
      </c>
      <c r="C5960" t="s">
        <v>40</v>
      </c>
      <c r="D5960">
        <v>5.6335800000000003</v>
      </c>
      <c r="E5960">
        <v>0.47607759999999999</v>
      </c>
      <c r="F5960" t="s">
        <v>41</v>
      </c>
      <c r="G5960">
        <v>-188.65029999999999</v>
      </c>
      <c r="H5960" s="1">
        <v>-1.4189399999999999E-6</v>
      </c>
      <c r="I5960">
        <v>42.382249999999999</v>
      </c>
      <c r="J5960">
        <v>-186.20939999999999</v>
      </c>
      <c r="K5960">
        <v>1.121235</v>
      </c>
      <c r="L5960">
        <v>6.845917</v>
      </c>
      <c r="M5960">
        <v>6.9209329999999998E-3</v>
      </c>
      <c r="N5960">
        <v>-9.6543310000000004E-3</v>
      </c>
      <c r="O5960">
        <v>0.99992939999999997</v>
      </c>
      <c r="P5960">
        <v>3.5859759999999998E-3</v>
      </c>
      <c r="Q5960">
        <v>0.1991966</v>
      </c>
      <c r="R5960">
        <v>0.97995299999999996</v>
      </c>
      <c r="S5960">
        <v>-0.20960999999999999</v>
      </c>
      <c r="T5960">
        <v>-9.6359970000000003E-2</v>
      </c>
      <c r="U5960">
        <v>3.081512</v>
      </c>
      <c r="V5960">
        <v>-3.4530899999999998E-3</v>
      </c>
      <c r="W5960">
        <v>0.208644</v>
      </c>
      <c r="X5960">
        <v>0.97798560000000001</v>
      </c>
      <c r="Y5960">
        <v>-7.4738189999999996E-2</v>
      </c>
      <c r="Z5960">
        <v>-2.1520910000000001E-2</v>
      </c>
      <c r="AA5960">
        <v>0.99697100000000005</v>
      </c>
      <c r="AB5960">
        <v>32</v>
      </c>
      <c r="AC5960">
        <v>-2.4408999999999899</v>
      </c>
      <c r="AD5960">
        <v>-1.1212364189399999</v>
      </c>
      <c r="AE5960">
        <v>35.536332999999999</v>
      </c>
      <c r="AF5960">
        <v>-2.6841380281438698</v>
      </c>
      <c r="AG5960">
        <v>-1.1212364189399999</v>
      </c>
      <c r="AH5960">
        <v>35.483429213880299</v>
      </c>
      <c r="AI5960">
        <v>91.804727250875899</v>
      </c>
      <c r="AJ5960">
        <v>94.325891027734698</v>
      </c>
      <c r="AK5960">
        <v>35.602465038782597</v>
      </c>
      <c r="AL5960">
        <v>77.957101451980293</v>
      </c>
      <c r="AM5960">
        <v>90.202300178159803</v>
      </c>
      <c r="AN5960">
        <v>1.00000003818695</v>
      </c>
    </row>
    <row r="5961" spans="1:40" x14ac:dyDescent="0.25">
      <c r="A5961" t="str">
        <f>"20190303170652815"</f>
        <v>20190303170652815</v>
      </c>
      <c r="B5961" t="str">
        <f>"1551604012800818"</f>
        <v>1551604012800818</v>
      </c>
      <c r="C5961" t="s">
        <v>40</v>
      </c>
      <c r="D5961">
        <v>5.5993969999999997</v>
      </c>
      <c r="E5961">
        <v>0.47596169999999999</v>
      </c>
      <c r="F5961" t="s">
        <v>41</v>
      </c>
      <c r="G5961">
        <v>-188.73070000000001</v>
      </c>
      <c r="H5961" s="1">
        <v>-1.833119E-6</v>
      </c>
      <c r="I5961">
        <v>43.380989999999997</v>
      </c>
      <c r="J5961">
        <v>-186.20769999999999</v>
      </c>
      <c r="K5961">
        <v>1.12124</v>
      </c>
      <c r="L5961">
        <v>7.1746220000000003</v>
      </c>
      <c r="M5961">
        <v>6.3018529999999996E-3</v>
      </c>
      <c r="N5961">
        <v>-9.6195229999999996E-3</v>
      </c>
      <c r="O5961">
        <v>0.99993390000000004</v>
      </c>
      <c r="P5961">
        <v>3.6171699999999998E-3</v>
      </c>
      <c r="Q5961">
        <v>0.1993103</v>
      </c>
      <c r="R5961">
        <v>0.97992970000000001</v>
      </c>
      <c r="S5961">
        <v>-0.21264649999999999</v>
      </c>
      <c r="T5961">
        <v>-9.4564910000000002E-2</v>
      </c>
      <c r="U5961">
        <v>3.0813600000000001</v>
      </c>
      <c r="V5961">
        <v>-2.8174189999999998E-3</v>
      </c>
      <c r="W5961">
        <v>0.2087242</v>
      </c>
      <c r="X5961">
        <v>0.97797049999999996</v>
      </c>
      <c r="Y5961">
        <v>-7.5102989999999994E-2</v>
      </c>
      <c r="Z5961">
        <v>-2.0975810000000001E-2</v>
      </c>
      <c r="AA5961">
        <v>0.99695520000000004</v>
      </c>
      <c r="AB5961">
        <v>32</v>
      </c>
      <c r="AC5961">
        <v>-2.5230000000000201</v>
      </c>
      <c r="AD5961">
        <v>-1.1212418331189999</v>
      </c>
      <c r="AE5961">
        <v>36.206367999999998</v>
      </c>
      <c r="AF5961">
        <v>-2.7485045174071399</v>
      </c>
      <c r="AG5961">
        <v>-1.1212418331189999</v>
      </c>
      <c r="AH5961">
        <v>36.155242553726502</v>
      </c>
      <c r="AI5961">
        <v>91.771173078401503</v>
      </c>
      <c r="AJ5961">
        <v>94.347236868380904</v>
      </c>
      <c r="AK5961">
        <v>36.276893809273901</v>
      </c>
      <c r="AL5961">
        <v>77.952402589313706</v>
      </c>
      <c r="AM5961">
        <v>90.165062004668997</v>
      </c>
      <c r="AN5961">
        <v>1.00000001419285</v>
      </c>
    </row>
    <row r="5962" spans="1:40" x14ac:dyDescent="0.25">
      <c r="A5962" t="str">
        <f>"20190303170652835"</f>
        <v>20190303170652835</v>
      </c>
      <c r="B5962" t="str">
        <f>"1551604012831075"</f>
        <v>1551604012831075</v>
      </c>
      <c r="C5962" t="s">
        <v>40</v>
      </c>
      <c r="D5962">
        <v>5.6268539999999998</v>
      </c>
      <c r="E5962">
        <v>0.47585490000000003</v>
      </c>
      <c r="F5962" t="s">
        <v>41</v>
      </c>
      <c r="G5962">
        <v>-188.75700000000001</v>
      </c>
      <c r="H5962" s="1">
        <v>-2.0862270000000001E-6</v>
      </c>
      <c r="I5962">
        <v>43.981850000000001</v>
      </c>
      <c r="J5962">
        <v>-186.2064</v>
      </c>
      <c r="K5962">
        <v>1.1212420000000001</v>
      </c>
      <c r="L5962">
        <v>7.4811709999999998</v>
      </c>
      <c r="M5962">
        <v>5.7139859999999999E-3</v>
      </c>
      <c r="N5962">
        <v>-9.5897210000000007E-3</v>
      </c>
      <c r="O5962">
        <v>0.99993770000000004</v>
      </c>
      <c r="P5962">
        <v>3.4140400000000001E-3</v>
      </c>
      <c r="Q5962">
        <v>0.19945660000000001</v>
      </c>
      <c r="R5962">
        <v>0.97990069999999996</v>
      </c>
      <c r="S5962">
        <v>-0.2134094</v>
      </c>
      <c r="T5962">
        <v>-9.3865160000000003E-2</v>
      </c>
      <c r="U5962">
        <v>3.0813290000000002</v>
      </c>
      <c r="V5962">
        <v>-2.4489529999999998E-3</v>
      </c>
      <c r="W5962">
        <v>0.20884169999999999</v>
      </c>
      <c r="X5962">
        <v>0.97794639999999999</v>
      </c>
      <c r="Y5962">
        <v>-7.4763579999999996E-2</v>
      </c>
      <c r="Z5962">
        <v>-2.0780159999999999E-2</v>
      </c>
      <c r="AA5962">
        <v>0.99698469999999995</v>
      </c>
      <c r="AB5962">
        <v>32</v>
      </c>
      <c r="AC5962">
        <v>-2.5506000000000002</v>
      </c>
      <c r="AD5962">
        <v>-1.1212440862269999</v>
      </c>
      <c r="AE5962">
        <v>36.500678999999998</v>
      </c>
      <c r="AF5962">
        <v>-2.7565438174071901</v>
      </c>
      <c r="AG5962">
        <v>-1.1212440862269999</v>
      </c>
      <c r="AH5962">
        <v>36.451279190365099</v>
      </c>
      <c r="AI5962">
        <v>91.7568537187218</v>
      </c>
      <c r="AJ5962">
        <v>94.324629670841105</v>
      </c>
      <c r="AK5962">
        <v>36.572550864441098</v>
      </c>
      <c r="AL5962">
        <v>77.945518540410504</v>
      </c>
      <c r="AM5962">
        <v>90.1434785974227</v>
      </c>
      <c r="AN5962">
        <v>1.00000000715132</v>
      </c>
    </row>
    <row r="5963" spans="1:40" x14ac:dyDescent="0.25">
      <c r="A5963" t="str">
        <f>"20190303170652859"</f>
        <v>20190303170652859</v>
      </c>
      <c r="B5963" t="str">
        <f>"1551604012850595"</f>
        <v>1551604012850595</v>
      </c>
      <c r="C5963" t="s">
        <v>40</v>
      </c>
      <c r="D5963">
        <v>5.7141739999999999</v>
      </c>
      <c r="E5963">
        <v>0.47576859999999999</v>
      </c>
      <c r="F5963" t="s">
        <v>41</v>
      </c>
      <c r="G5963">
        <v>-188.82339999999999</v>
      </c>
      <c r="H5963" s="1">
        <v>-2.4676049999999998E-6</v>
      </c>
      <c r="I5963">
        <v>44.898330000000001</v>
      </c>
      <c r="J5963">
        <v>-186.20509999999999</v>
      </c>
      <c r="K5963">
        <v>1.1212660000000001</v>
      </c>
      <c r="L5963">
        <v>7.8162839999999996</v>
      </c>
      <c r="M5963">
        <v>5.0535529999999997E-3</v>
      </c>
      <c r="N5963">
        <v>-9.5609279999999998E-3</v>
      </c>
      <c r="O5963">
        <v>0.99994150000000004</v>
      </c>
      <c r="P5963">
        <v>2.9700339999999999E-3</v>
      </c>
      <c r="Q5963">
        <v>0.2001658</v>
      </c>
      <c r="R5963">
        <v>0.97975749999999995</v>
      </c>
      <c r="S5963">
        <v>-0.21549989999999999</v>
      </c>
      <c r="T5963">
        <v>-9.2327950000000006E-2</v>
      </c>
      <c r="U5963">
        <v>3.0810849999999999</v>
      </c>
      <c r="V5963">
        <v>-2.2532289999999998E-3</v>
      </c>
      <c r="W5963">
        <v>0.2095216</v>
      </c>
      <c r="X5963">
        <v>0.97780140000000004</v>
      </c>
      <c r="Y5963">
        <v>-7.478448E-2</v>
      </c>
      <c r="Z5963">
        <v>-2.0313930000000001E-2</v>
      </c>
      <c r="AA5963">
        <v>0.99699280000000001</v>
      </c>
      <c r="AB5963">
        <v>32</v>
      </c>
      <c r="AC5963">
        <v>-2.6183000000000001</v>
      </c>
      <c r="AD5963">
        <v>-1.121268467605</v>
      </c>
      <c r="AE5963">
        <v>37.082045999999998</v>
      </c>
      <c r="AF5963">
        <v>-2.8031210201044998</v>
      </c>
      <c r="AG5963">
        <v>-1.121268467605</v>
      </c>
      <c r="AH5963">
        <v>37.034647079206202</v>
      </c>
      <c r="AI5963">
        <v>91.729225721703401</v>
      </c>
      <c r="AJ5963">
        <v>94.328415923771502</v>
      </c>
      <c r="AK5963">
        <v>37.1575001138552</v>
      </c>
      <c r="AL5963">
        <v>77.905681464259303</v>
      </c>
      <c r="AM5963">
        <v>90.132031191059298</v>
      </c>
      <c r="AN5963">
        <v>0.99999997787472295</v>
      </c>
    </row>
    <row r="5964" spans="1:40" x14ac:dyDescent="0.25">
      <c r="A5964" t="str">
        <f>"20190303170652880"</f>
        <v>20190303170652880</v>
      </c>
      <c r="B5964" t="str">
        <f>"1551604012871091"</f>
        <v>1551604012871091</v>
      </c>
      <c r="C5964" t="s">
        <v>40</v>
      </c>
      <c r="D5964">
        <v>5.7163979999999999</v>
      </c>
      <c r="E5964">
        <v>0.47569519999999998</v>
      </c>
      <c r="F5964" t="s">
        <v>41</v>
      </c>
      <c r="G5964">
        <v>-188.9196</v>
      </c>
      <c r="H5964" s="1">
        <v>-3.0543769999999999E-6</v>
      </c>
      <c r="I5964">
        <v>46.30585</v>
      </c>
      <c r="J5964">
        <v>-186.20410000000001</v>
      </c>
      <c r="K5964">
        <v>1.121292</v>
      </c>
      <c r="L5964">
        <v>8.140015</v>
      </c>
      <c r="M5964">
        <v>4.3908050000000002E-3</v>
      </c>
      <c r="N5964">
        <v>-9.5363089999999998E-3</v>
      </c>
      <c r="O5964">
        <v>0.99994490000000003</v>
      </c>
      <c r="P5964">
        <v>2.1661279999999998E-3</v>
      </c>
      <c r="Q5964">
        <v>0.2015913</v>
      </c>
      <c r="R5964">
        <v>0.97946730000000004</v>
      </c>
      <c r="S5964">
        <v>-0.21728520000000001</v>
      </c>
      <c r="T5964">
        <v>-8.9754819999999999E-2</v>
      </c>
      <c r="U5964">
        <v>3.080994</v>
      </c>
      <c r="V5964">
        <v>-2.4180059999999999E-3</v>
      </c>
      <c r="W5964">
        <v>0.21091960000000001</v>
      </c>
      <c r="X5964">
        <v>0.97750040000000005</v>
      </c>
      <c r="Y5964">
        <v>-7.4701989999999996E-2</v>
      </c>
      <c r="Z5964">
        <v>-1.9507219999999999E-2</v>
      </c>
      <c r="AA5964">
        <v>0.99701510000000004</v>
      </c>
      <c r="AB5964">
        <v>33</v>
      </c>
      <c r="AC5964">
        <v>-2.7154999999999898</v>
      </c>
      <c r="AD5964">
        <v>-1.1212950543769999</v>
      </c>
      <c r="AE5964">
        <v>38.165834999999902</v>
      </c>
      <c r="AF5964">
        <v>-2.88058630141128</v>
      </c>
      <c r="AG5964">
        <v>-1.1212950543769999</v>
      </c>
      <c r="AH5964">
        <v>38.120804746327302</v>
      </c>
      <c r="AI5964">
        <v>91.680039905234494</v>
      </c>
      <c r="AJ5964">
        <v>94.321324614022402</v>
      </c>
      <c r="AK5964">
        <v>38.245925724793999</v>
      </c>
      <c r="AL5964">
        <v>77.823751142071998</v>
      </c>
      <c r="AM5964">
        <v>90.141730127230105</v>
      </c>
      <c r="AN5964">
        <v>0.99999997820866704</v>
      </c>
    </row>
    <row r="5965" spans="1:40" x14ac:dyDescent="0.25">
      <c r="A5965" t="str">
        <f>"20190303170652904"</f>
        <v>20190303170652904</v>
      </c>
      <c r="B5965" t="str">
        <f>"1551604012890610"</f>
        <v>1551604012890610</v>
      </c>
      <c r="C5965" t="s">
        <v>40</v>
      </c>
      <c r="D5965">
        <v>5.5691930000000003</v>
      </c>
      <c r="E5965">
        <v>0.47559509999999999</v>
      </c>
      <c r="F5965" t="s">
        <v>41</v>
      </c>
      <c r="G5965">
        <v>-189.11969999999999</v>
      </c>
      <c r="H5965" s="1">
        <v>-4.0986290000000002E-6</v>
      </c>
      <c r="I5965">
        <v>48.822800000000001</v>
      </c>
      <c r="J5965">
        <v>-186.20339999999999</v>
      </c>
      <c r="K5965">
        <v>1.121319</v>
      </c>
      <c r="L5965">
        <v>8.4640199999999997</v>
      </c>
      <c r="M5965">
        <v>3.6959610000000002E-3</v>
      </c>
      <c r="N5965">
        <v>-9.5146980000000003E-3</v>
      </c>
      <c r="O5965">
        <v>0.9999479</v>
      </c>
      <c r="P5965">
        <v>1.6953649999999999E-3</v>
      </c>
      <c r="Q5965">
        <v>0.20254520000000001</v>
      </c>
      <c r="R5965">
        <v>0.97927149999999996</v>
      </c>
      <c r="S5965">
        <v>-0.22079470000000001</v>
      </c>
      <c r="T5965">
        <v>-8.4913970000000005E-2</v>
      </c>
      <c r="U5965">
        <v>3.0808409999999999</v>
      </c>
      <c r="V5965">
        <v>-2.2213160000000001E-3</v>
      </c>
      <c r="W5965">
        <v>0.21185080000000001</v>
      </c>
      <c r="X5965">
        <v>0.97729949999999999</v>
      </c>
      <c r="Y5965">
        <v>-7.5145119999999996E-2</v>
      </c>
      <c r="Z5965">
        <v>-1.7963449999999999E-2</v>
      </c>
      <c r="AA5965">
        <v>0.99701079999999997</v>
      </c>
      <c r="AB5965">
        <v>33</v>
      </c>
      <c r="AC5965">
        <v>-2.9163000000000001</v>
      </c>
      <c r="AD5965">
        <v>-1.1213230986289999</v>
      </c>
      <c r="AE5965">
        <v>40.358779999999904</v>
      </c>
      <c r="AF5965">
        <v>-3.0630990523342598</v>
      </c>
      <c r="AG5965">
        <v>-1.1213230986289999</v>
      </c>
      <c r="AH5965">
        <v>40.316764698422098</v>
      </c>
      <c r="AI5965">
        <v>91.588570827243203</v>
      </c>
      <c r="AJ5965">
        <v>94.344746606129505</v>
      </c>
      <c r="AK5965">
        <v>40.448503767677998</v>
      </c>
      <c r="AL5965">
        <v>77.769164111969303</v>
      </c>
      <c r="AM5965">
        <v>90.130228054549903</v>
      </c>
      <c r="AN5965">
        <v>1.0000000042028301</v>
      </c>
    </row>
    <row r="5966" spans="1:40" x14ac:dyDescent="0.25">
      <c r="A5966" t="str">
        <f>"20190303170652927"</f>
        <v>20190303170652927</v>
      </c>
      <c r="B5966" t="str">
        <f>"1551604012920398"</f>
        <v>1551604012920398</v>
      </c>
      <c r="C5966" t="s">
        <v>40</v>
      </c>
      <c r="D5966">
        <v>5.6071569999999999</v>
      </c>
      <c r="E5966">
        <v>0.47553109999999998</v>
      </c>
      <c r="F5966" t="s">
        <v>41</v>
      </c>
      <c r="G5966">
        <v>-189.27680000000001</v>
      </c>
      <c r="H5966" s="1">
        <v>-6.3573509999999996E-7</v>
      </c>
      <c r="I5966">
        <v>50.815669999999997</v>
      </c>
      <c r="J5966">
        <v>-186.2029</v>
      </c>
      <c r="K5966">
        <v>1.1213489999999999</v>
      </c>
      <c r="L5966">
        <v>8.8005680000000002</v>
      </c>
      <c r="M5966">
        <v>2.9364149999999999E-3</v>
      </c>
      <c r="N5966">
        <v>-9.4957979999999997E-3</v>
      </c>
      <c r="O5966">
        <v>0.99995060000000002</v>
      </c>
      <c r="P5966">
        <v>1.1101279999999999E-3</v>
      </c>
      <c r="Q5966">
        <v>0.20305010000000001</v>
      </c>
      <c r="R5966">
        <v>0.97916769999999997</v>
      </c>
      <c r="S5966">
        <v>-0.22357179999999999</v>
      </c>
      <c r="T5966">
        <v>-8.1567169999999994E-2</v>
      </c>
      <c r="U5966">
        <v>3.0807500000000001</v>
      </c>
      <c r="V5966">
        <v>-2.078491E-3</v>
      </c>
      <c r="W5966">
        <v>0.21233589999999999</v>
      </c>
      <c r="X5966">
        <v>0.97719449999999997</v>
      </c>
      <c r="Y5966">
        <v>-7.5285619999999998E-2</v>
      </c>
      <c r="Z5966">
        <v>-1.6900040000000002E-2</v>
      </c>
      <c r="AA5966">
        <v>0.99701879999999998</v>
      </c>
      <c r="AB5966">
        <v>33</v>
      </c>
      <c r="AC5966">
        <v>-3.0739000000000001</v>
      </c>
      <c r="AD5966">
        <v>-1.1213496357350901</v>
      </c>
      <c r="AE5966">
        <v>42.015101999999999</v>
      </c>
      <c r="AF5966">
        <v>-3.1950023583430598</v>
      </c>
      <c r="AG5966">
        <v>-1.1213496357350901</v>
      </c>
      <c r="AH5966">
        <v>41.976153199327598</v>
      </c>
      <c r="AI5966">
        <v>91.525822302929896</v>
      </c>
      <c r="AJ5966">
        <v>94.352658451405603</v>
      </c>
      <c r="AK5966">
        <v>42.1125029235832</v>
      </c>
      <c r="AL5966">
        <v>77.7407224819014</v>
      </c>
      <c r="AM5966">
        <v>90.121867839478895</v>
      </c>
      <c r="AN5966">
        <v>0.99999997269194796</v>
      </c>
    </row>
    <row r="5967" spans="1:40" x14ac:dyDescent="0.25">
      <c r="A5967" t="str">
        <f>"20190303170652950"</f>
        <v>20190303170652950</v>
      </c>
      <c r="B5967" t="str">
        <f>"1551604012940894"</f>
        <v>1551604012940894</v>
      </c>
      <c r="C5967" t="s">
        <v>40</v>
      </c>
      <c r="D5967">
        <v>5.5640939999999999</v>
      </c>
      <c r="E5967">
        <v>0.47550389999999998</v>
      </c>
      <c r="F5967" t="s">
        <v>41</v>
      </c>
      <c r="G5967">
        <v>-189.3638</v>
      </c>
      <c r="H5967" s="1">
        <v>-1.0956229999999999E-6</v>
      </c>
      <c r="I5967">
        <v>51.923630000000003</v>
      </c>
      <c r="J5967">
        <v>-186.20269999999999</v>
      </c>
      <c r="K5967">
        <v>1.121373</v>
      </c>
      <c r="L5967">
        <v>9.1477050000000002</v>
      </c>
      <c r="M5967">
        <v>2.1197099999999999E-3</v>
      </c>
      <c r="N5967">
        <v>-9.4750939999999999E-3</v>
      </c>
      <c r="O5967">
        <v>0.99995290000000003</v>
      </c>
      <c r="P5967">
        <v>7.2063740000000002E-4</v>
      </c>
      <c r="Q5967">
        <v>0.20308280000000001</v>
      </c>
      <c r="R5967">
        <v>0.97916130000000001</v>
      </c>
      <c r="S5967">
        <v>-0.22581480000000001</v>
      </c>
      <c r="T5967">
        <v>-8.0108639999999995E-2</v>
      </c>
      <c r="U5967">
        <v>3.0806879999999999</v>
      </c>
      <c r="V5967">
        <v>-1.6828850000000001E-3</v>
      </c>
      <c r="W5967">
        <v>0.21234900000000001</v>
      </c>
      <c r="X5967">
        <v>0.97719250000000002</v>
      </c>
      <c r="Y5967">
        <v>-7.5195479999999995E-2</v>
      </c>
      <c r="Z5967">
        <v>-1.6449269999999998E-2</v>
      </c>
      <c r="AA5967">
        <v>0.99703310000000001</v>
      </c>
      <c r="AB5967">
        <v>33</v>
      </c>
      <c r="AC5967">
        <v>-3.1610999999999998</v>
      </c>
      <c r="AD5967">
        <v>-1.1213740956230001</v>
      </c>
      <c r="AE5967">
        <v>42.775925000000001</v>
      </c>
      <c r="AF5967">
        <v>-3.2495484624008699</v>
      </c>
      <c r="AG5967">
        <v>-1.1213740956230001</v>
      </c>
      <c r="AH5967">
        <v>42.739915348381899</v>
      </c>
      <c r="AI5967">
        <v>91.498610592414494</v>
      </c>
      <c r="AJ5967">
        <v>94.347876935508594</v>
      </c>
      <c r="AK5967">
        <v>42.877936156707399</v>
      </c>
      <c r="AL5967">
        <v>77.739955428085096</v>
      </c>
      <c r="AM5967">
        <v>90.098672587623795</v>
      </c>
      <c r="AN5967">
        <v>1.0000000559795801</v>
      </c>
    </row>
    <row r="5968" spans="1:40" x14ac:dyDescent="0.25">
      <c r="A5968" t="str">
        <f>"20190303170652972"</f>
        <v>20190303170652972</v>
      </c>
      <c r="B5968" t="str">
        <f>"1551604012961390"</f>
        <v>1551604012961390</v>
      </c>
      <c r="C5968" t="s">
        <v>40</v>
      </c>
      <c r="D5968">
        <v>5.5573930000000002</v>
      </c>
      <c r="E5968">
        <v>0.47547539999999999</v>
      </c>
      <c r="F5968" t="s">
        <v>41</v>
      </c>
      <c r="G5968">
        <v>-189.35230000000001</v>
      </c>
      <c r="H5968" s="1">
        <v>-1.065998E-6</v>
      </c>
      <c r="I5968">
        <v>51.849829999999997</v>
      </c>
      <c r="J5968">
        <v>-186.20269999999999</v>
      </c>
      <c r="K5968">
        <v>1.1213879999999901</v>
      </c>
      <c r="L5968">
        <v>9.4685670000000002</v>
      </c>
      <c r="M5968">
        <v>1.3323269999999999E-3</v>
      </c>
      <c r="N5968">
        <v>-9.4437040000000007E-3</v>
      </c>
      <c r="O5968">
        <v>0.99995449999999997</v>
      </c>
      <c r="P5968">
        <v>5.2127610000000002E-4</v>
      </c>
      <c r="Q5968">
        <v>0.203151</v>
      </c>
      <c r="R5968">
        <v>0.97914730000000005</v>
      </c>
      <c r="S5968">
        <v>-0.22723389999999999</v>
      </c>
      <c r="T5968">
        <v>-8.0902459999999995E-2</v>
      </c>
      <c r="U5968">
        <v>3.0807799999999999</v>
      </c>
      <c r="V5968">
        <v>-1.124187E-3</v>
      </c>
      <c r="W5968">
        <v>0.2123872</v>
      </c>
      <c r="X5968">
        <v>0.97718499999999997</v>
      </c>
      <c r="Y5968">
        <v>-7.486458E-2</v>
      </c>
      <c r="Z5968">
        <v>-1.6736839999999999E-2</v>
      </c>
      <c r="AA5968">
        <v>0.99705330000000003</v>
      </c>
      <c r="AB5968">
        <v>33</v>
      </c>
      <c r="AC5968">
        <v>-3.1496000000000199</v>
      </c>
      <c r="AD5968">
        <v>-1.1213890659979999</v>
      </c>
      <c r="AE5968">
        <v>42.381262999999997</v>
      </c>
      <c r="AF5968">
        <v>-3.2038347150648199</v>
      </c>
      <c r="AG5968">
        <v>-1.1213890659979999</v>
      </c>
      <c r="AH5968">
        <v>42.347543897142401</v>
      </c>
      <c r="AI5968">
        <v>91.512552496404396</v>
      </c>
      <c r="AJ5968">
        <v>94.326512400537894</v>
      </c>
      <c r="AK5968">
        <v>42.483367856599997</v>
      </c>
      <c r="AL5968">
        <v>77.737715631714593</v>
      </c>
      <c r="AM5968">
        <v>90.065914992624101</v>
      </c>
      <c r="AN5968">
        <v>1.00000005537262</v>
      </c>
    </row>
    <row r="5969" spans="1:40" x14ac:dyDescent="0.25">
      <c r="A5969" t="str">
        <f>"20190303170652993"</f>
        <v>20190303170652993</v>
      </c>
      <c r="B5969" t="str">
        <f>"1551604012980910"</f>
        <v>1551604012980910</v>
      </c>
      <c r="C5969" t="s">
        <v>40</v>
      </c>
      <c r="D5969">
        <v>5.71387</v>
      </c>
      <c r="E5969">
        <v>0.47543970000000002</v>
      </c>
      <c r="F5969" t="s">
        <v>41</v>
      </c>
      <c r="G5969">
        <v>-189.3827</v>
      </c>
      <c r="H5969" s="1">
        <v>-1.270663E-6</v>
      </c>
      <c r="I5969">
        <v>52.339489999999998</v>
      </c>
      <c r="J5969">
        <v>-186.20310000000001</v>
      </c>
      <c r="K5969">
        <v>1.121407</v>
      </c>
      <c r="L5969">
        <v>9.7738949999999996</v>
      </c>
      <c r="M5969">
        <v>5.5225439999999999E-4</v>
      </c>
      <c r="N5969">
        <v>-9.4031859999999991E-3</v>
      </c>
      <c r="O5969">
        <v>0.9999557</v>
      </c>
      <c r="P5969">
        <v>-1.42504E-4</v>
      </c>
      <c r="Q5969">
        <v>0.20334920000000001</v>
      </c>
      <c r="R5969">
        <v>0.97910620000000004</v>
      </c>
      <c r="S5969">
        <v>-0.22851560000000001</v>
      </c>
      <c r="T5969">
        <v>-8.0583450000000001E-2</v>
      </c>
      <c r="U5969">
        <v>3.0807190000000002</v>
      </c>
      <c r="V5969">
        <v>-1.037481E-3</v>
      </c>
      <c r="W5969">
        <v>0.2125456</v>
      </c>
      <c r="X5969">
        <v>0.97715059999999998</v>
      </c>
      <c r="Y5969">
        <v>-7.4500899999999995E-2</v>
      </c>
      <c r="Z5969">
        <v>-1.6674950000000001E-2</v>
      </c>
      <c r="AA5969">
        <v>0.99708149999999995</v>
      </c>
      <c r="AB5969">
        <v>33</v>
      </c>
      <c r="AC5969">
        <v>-3.17959999999999</v>
      </c>
      <c r="AD5969">
        <v>-1.121408270663</v>
      </c>
      <c r="AE5969">
        <v>42.565595000000002</v>
      </c>
      <c r="AF5969">
        <v>-3.2008982357272702</v>
      </c>
      <c r="AG5969">
        <v>-1.121408270663</v>
      </c>
      <c r="AH5969">
        <v>42.534473935183598</v>
      </c>
      <c r="AI5969">
        <v>91.505979340241396</v>
      </c>
      <c r="AJ5969">
        <v>94.303636745913295</v>
      </c>
      <c r="AK5969">
        <v>42.669482993912702</v>
      </c>
      <c r="AL5969">
        <v>77.728427259232902</v>
      </c>
      <c r="AM5969">
        <v>90.060833263867707</v>
      </c>
      <c r="AN5969">
        <v>1.00000000176327</v>
      </c>
    </row>
    <row r="5970" spans="1:40" x14ac:dyDescent="0.25">
      <c r="A5970" t="str">
        <f>"20190303170653014"</f>
        <v>20190303170653014</v>
      </c>
      <c r="B5970" t="str">
        <f>"1551604013000936"</f>
        <v>1551604013000936</v>
      </c>
      <c r="C5970" t="s">
        <v>40</v>
      </c>
      <c r="D5970">
        <v>5.4695140000000002</v>
      </c>
      <c r="E5970">
        <v>0.47536630000000002</v>
      </c>
      <c r="F5970" t="s">
        <v>41</v>
      </c>
      <c r="G5970">
        <v>-189.45920000000001</v>
      </c>
      <c r="H5970" s="1">
        <v>-1.585288E-6</v>
      </c>
      <c r="I5970">
        <v>53.104500000000002</v>
      </c>
      <c r="J5970">
        <v>-186.2037</v>
      </c>
      <c r="K5970">
        <v>1.1214150000000001</v>
      </c>
      <c r="L5970">
        <v>10.09521</v>
      </c>
      <c r="M5970">
        <v>-2.9760790000000001E-4</v>
      </c>
      <c r="N5970">
        <v>-9.3516699999999994E-3</v>
      </c>
      <c r="O5970">
        <v>0.99995630000000002</v>
      </c>
      <c r="P5970">
        <v>-1.529931E-3</v>
      </c>
      <c r="Q5970">
        <v>0.20403189999999999</v>
      </c>
      <c r="R5970">
        <v>0.97896300000000003</v>
      </c>
      <c r="S5970">
        <v>-0.23149110000000001</v>
      </c>
      <c r="T5970">
        <v>-7.9725149999999995E-2</v>
      </c>
      <c r="U5970">
        <v>3.0805359999999999</v>
      </c>
      <c r="V5970">
        <v>-1.607568E-3</v>
      </c>
      <c r="W5970">
        <v>0.21317549999999999</v>
      </c>
      <c r="X5970">
        <v>0.97701260000000001</v>
      </c>
      <c r="Y5970">
        <v>-7.4615899999999999E-2</v>
      </c>
      <c r="Z5970">
        <v>-1.6449640000000001E-2</v>
      </c>
      <c r="AA5970">
        <v>0.99707670000000004</v>
      </c>
      <c r="AB5970">
        <v>33</v>
      </c>
      <c r="AC5970">
        <v>-3.2555000000000098</v>
      </c>
      <c r="AD5970">
        <v>-1.121416585288</v>
      </c>
      <c r="AE5970">
        <v>43.00929</v>
      </c>
      <c r="AF5970">
        <v>-3.2405089015601498</v>
      </c>
      <c r="AG5970">
        <v>-1.121416585288</v>
      </c>
      <c r="AH5970">
        <v>42.981202940994798</v>
      </c>
      <c r="AI5970">
        <v>91.490329393878199</v>
      </c>
      <c r="AJ5970">
        <v>94.311579840911094</v>
      </c>
      <c r="AK5970">
        <v>43.117772198408304</v>
      </c>
      <c r="AL5970">
        <v>77.6914901134475</v>
      </c>
      <c r="AM5970">
        <v>90.094273890182905</v>
      </c>
      <c r="AN5970">
        <v>0.99999999931694195</v>
      </c>
    </row>
    <row r="5971" spans="1:40" x14ac:dyDescent="0.25">
      <c r="A5971" t="str">
        <f>"20190303170653039"</f>
        <v>20190303170653039</v>
      </c>
      <c r="B5971" t="str">
        <f>"1551604013031192"</f>
        <v>1551604013031192</v>
      </c>
      <c r="C5971" t="s">
        <v>40</v>
      </c>
      <c r="D5971">
        <v>5.6500019999999997</v>
      </c>
      <c r="E5971">
        <v>0.47528710000000002</v>
      </c>
      <c r="F5971" t="s">
        <v>41</v>
      </c>
      <c r="G5971">
        <v>-189.6045</v>
      </c>
      <c r="H5971" s="1">
        <v>-2.154957E-6</v>
      </c>
      <c r="I5971">
        <v>54.49248</v>
      </c>
      <c r="J5971">
        <v>-186.2047</v>
      </c>
      <c r="K5971">
        <v>1.1214299999999999</v>
      </c>
      <c r="L5971">
        <v>10.443020000000001</v>
      </c>
      <c r="M5971">
        <v>-1.2432189999999901E-3</v>
      </c>
      <c r="N5971">
        <v>-9.286028E-3</v>
      </c>
      <c r="O5971">
        <v>0.99995610000000001</v>
      </c>
      <c r="P5971">
        <v>-3.6762040000000002E-3</v>
      </c>
      <c r="Q5971">
        <v>0.2046761</v>
      </c>
      <c r="R5971">
        <v>0.97882290000000005</v>
      </c>
      <c r="S5971">
        <v>-0.23594670000000001</v>
      </c>
      <c r="T5971">
        <v>-7.780492E-2</v>
      </c>
      <c r="U5971">
        <v>3.0803219999999998</v>
      </c>
      <c r="V5971">
        <v>-2.843169E-3</v>
      </c>
      <c r="W5971">
        <v>0.21375179999999999</v>
      </c>
      <c r="X5971">
        <v>0.97688390000000003</v>
      </c>
      <c r="Y5971">
        <v>-7.5112979999999996E-2</v>
      </c>
      <c r="Z5971">
        <v>-1.589438E-2</v>
      </c>
      <c r="AA5971">
        <v>0.99704839999999995</v>
      </c>
      <c r="AB5971">
        <v>33</v>
      </c>
      <c r="AC5971">
        <v>-3.3997999999999902</v>
      </c>
      <c r="AD5971">
        <v>-1.1214321549570001</v>
      </c>
      <c r="AE5971">
        <v>44.049460000000003</v>
      </c>
      <c r="AF5971">
        <v>-3.34287808199181</v>
      </c>
      <c r="AG5971">
        <v>-1.1214321549570001</v>
      </c>
      <c r="AH5971">
        <v>44.025287517937102</v>
      </c>
      <c r="AI5971">
        <v>91.4549621790418</v>
      </c>
      <c r="AJ5971">
        <v>94.342185833524795</v>
      </c>
      <c r="AK5971">
        <v>44.166258444498801</v>
      </c>
      <c r="AL5971">
        <v>77.6576919772981</v>
      </c>
      <c r="AM5971">
        <v>90.1667558695369</v>
      </c>
      <c r="AN5971">
        <v>1.0000000348461999</v>
      </c>
    </row>
    <row r="5972" spans="1:40" x14ac:dyDescent="0.25">
      <c r="A5972" t="str">
        <f>"20190303170653060"</f>
        <v>20190303170653060</v>
      </c>
      <c r="B5972" t="str">
        <f>"1551604013050713"</f>
        <v>1551604013050713</v>
      </c>
      <c r="C5972" t="s">
        <v>40</v>
      </c>
      <c r="D5972">
        <v>5.6030749999999996</v>
      </c>
      <c r="E5972">
        <v>0.47531259999999997</v>
      </c>
      <c r="F5972" t="s">
        <v>41</v>
      </c>
      <c r="G5972">
        <v>-189.78970000000001</v>
      </c>
      <c r="H5972" s="1">
        <v>-2.704443E-6</v>
      </c>
      <c r="I5972">
        <v>55.849939999999997</v>
      </c>
      <c r="J5972">
        <v>-186.20599999999999</v>
      </c>
      <c r="K5972">
        <v>1.1214409999999999</v>
      </c>
      <c r="L5972">
        <v>10.763059999999999</v>
      </c>
      <c r="M5972">
        <v>-2.1301890000000002E-3</v>
      </c>
      <c r="N5972">
        <v>-9.2156449999999997E-3</v>
      </c>
      <c r="O5972">
        <v>0.99995520000000004</v>
      </c>
      <c r="P5972">
        <v>-5.25852E-3</v>
      </c>
      <c r="Q5972">
        <v>0.2047611</v>
      </c>
      <c r="R5972">
        <v>0.9787979</v>
      </c>
      <c r="S5972">
        <v>-0.24316409999999999</v>
      </c>
      <c r="T5972">
        <v>-7.6065419999999995E-2</v>
      </c>
      <c r="U5972">
        <v>3.079895</v>
      </c>
      <c r="V5972">
        <v>-3.5679639999999999E-3</v>
      </c>
      <c r="W5972">
        <v>0.2137667</v>
      </c>
      <c r="X5972">
        <v>0.97687820000000003</v>
      </c>
      <c r="Y5972">
        <v>-7.6562030000000003E-2</v>
      </c>
      <c r="Z5972">
        <v>-1.540217E-2</v>
      </c>
      <c r="AA5972">
        <v>0.99694590000000005</v>
      </c>
      <c r="AB5972">
        <v>33</v>
      </c>
      <c r="AC5972">
        <v>-3.5837000000000199</v>
      </c>
      <c r="AD5972">
        <v>-1.1214437044429999</v>
      </c>
      <c r="AE5972">
        <v>45.086880000000001</v>
      </c>
      <c r="AF5972">
        <v>-3.4855013924139699</v>
      </c>
      <c r="AG5972">
        <v>-1.1214437044429999</v>
      </c>
      <c r="AH5972">
        <v>45.066705887056003</v>
      </c>
      <c r="AI5972">
        <v>91.4212163251117</v>
      </c>
      <c r="AJ5972">
        <v>94.422505545225803</v>
      </c>
      <c r="AK5972">
        <v>45.2152002699221</v>
      </c>
      <c r="AL5972">
        <v>77.656817320930202</v>
      </c>
      <c r="AM5972">
        <v>90.209266999329202</v>
      </c>
      <c r="AN5972">
        <v>0.99999997501561699</v>
      </c>
    </row>
    <row r="5973" spans="1:40" x14ac:dyDescent="0.25">
      <c r="A5973" t="str">
        <f>"20190303170653082"</f>
        <v>20190303170653082</v>
      </c>
      <c r="B5973" t="str">
        <f>"1551604013071209"</f>
        <v>1551604013071209</v>
      </c>
      <c r="C5973" t="s">
        <v>40</v>
      </c>
      <c r="D5973">
        <v>5.587078</v>
      </c>
      <c r="E5973">
        <v>0.47534759999999998</v>
      </c>
      <c r="F5973" t="s">
        <v>41</v>
      </c>
      <c r="G5973">
        <v>-189.8766</v>
      </c>
      <c r="H5973" s="1">
        <v>-2.932435E-6</v>
      </c>
      <c r="I5973">
        <v>56.417319999999997</v>
      </c>
      <c r="J5973">
        <v>-186.20760000000001</v>
      </c>
      <c r="K5973">
        <v>1.1214459999999999</v>
      </c>
      <c r="L5973">
        <v>11.10345</v>
      </c>
      <c r="M5973">
        <v>-3.0848410000000001E-3</v>
      </c>
      <c r="N5973">
        <v>-9.1333219999999993E-3</v>
      </c>
      <c r="O5973">
        <v>0.99995350000000005</v>
      </c>
      <c r="P5973">
        <v>-6.9164059999999999E-3</v>
      </c>
      <c r="Q5973">
        <v>0.20466780000000001</v>
      </c>
      <c r="R5973">
        <v>0.97880699999999998</v>
      </c>
      <c r="S5973">
        <v>-0.24758910000000001</v>
      </c>
      <c r="T5973">
        <v>-7.5643539999999995E-2</v>
      </c>
      <c r="U5973">
        <v>3.0794679999999999</v>
      </c>
      <c r="V5973">
        <v>-4.2989899999999999E-3</v>
      </c>
      <c r="W5973">
        <v>0.21359149999999999</v>
      </c>
      <c r="X5973">
        <v>0.97691360000000005</v>
      </c>
      <c r="Y5973">
        <v>-7.7044699999999994E-2</v>
      </c>
      <c r="Z5973">
        <v>-1.534982E-2</v>
      </c>
      <c r="AA5973">
        <v>0.9969095</v>
      </c>
      <c r="AB5973">
        <v>33</v>
      </c>
      <c r="AC5973">
        <v>-3.6689999999999801</v>
      </c>
      <c r="AD5973">
        <v>-1.1214489324350001</v>
      </c>
      <c r="AE5973">
        <v>45.313870000000001</v>
      </c>
      <c r="AF5973">
        <v>-3.5270444240807302</v>
      </c>
      <c r="AG5973">
        <v>-1.1214489324350001</v>
      </c>
      <c r="AH5973">
        <v>45.297409766525298</v>
      </c>
      <c r="AI5973">
        <v>91.413930431052705</v>
      </c>
      <c r="AJ5973">
        <v>94.452303969175901</v>
      </c>
      <c r="AK5973">
        <v>45.448355543781801</v>
      </c>
      <c r="AL5973">
        <v>77.667093129945698</v>
      </c>
      <c r="AM5973">
        <v>90.252133242099802</v>
      </c>
      <c r="AN5973">
        <v>0.999999996026115</v>
      </c>
    </row>
    <row r="5974" spans="1:40" x14ac:dyDescent="0.25">
      <c r="A5974" t="str">
        <f>"20190303170653105"</f>
        <v>20190303170653105</v>
      </c>
      <c r="B5974" t="str">
        <f>"1551604013100489"</f>
        <v>1551604013100489</v>
      </c>
      <c r="C5974" t="s">
        <v>40</v>
      </c>
      <c r="D5974">
        <v>5.5401559999999996</v>
      </c>
      <c r="E5974">
        <v>0.47534749999999998</v>
      </c>
      <c r="F5974" t="s">
        <v>41</v>
      </c>
      <c r="G5974">
        <v>-189.93270000000001</v>
      </c>
      <c r="H5974" s="1">
        <v>-2.9920680000000001E-6</v>
      </c>
      <c r="I5974">
        <v>56.579520000000002</v>
      </c>
      <c r="J5974">
        <v>-186.20939999999999</v>
      </c>
      <c r="K5974">
        <v>1.1214440000000001</v>
      </c>
      <c r="L5974">
        <v>11.41788</v>
      </c>
      <c r="M5974">
        <v>-3.9732400000000003E-3</v>
      </c>
      <c r="N5974">
        <v>-9.0539769999999995E-3</v>
      </c>
      <c r="O5974">
        <v>0.99995109999999998</v>
      </c>
      <c r="P5974">
        <v>-8.4079789999999995E-3</v>
      </c>
      <c r="Q5974">
        <v>0.2049742</v>
      </c>
      <c r="R5974">
        <v>0.97873129999999997</v>
      </c>
      <c r="S5974">
        <v>-0.25221250000000001</v>
      </c>
      <c r="T5974">
        <v>-7.5929759999999999E-2</v>
      </c>
      <c r="U5974">
        <v>3.0790410000000001</v>
      </c>
      <c r="V5974">
        <v>-4.9276069999999996E-3</v>
      </c>
      <c r="W5974">
        <v>0.21381839999999999</v>
      </c>
      <c r="X5974">
        <v>0.97686099999999998</v>
      </c>
      <c r="Y5974">
        <v>-7.7656849999999999E-2</v>
      </c>
      <c r="Z5974">
        <v>-1.552329E-2</v>
      </c>
      <c r="AA5974">
        <v>0.9968593</v>
      </c>
      <c r="AB5974">
        <v>33</v>
      </c>
      <c r="AC5974">
        <v>-3.72330000000002</v>
      </c>
      <c r="AD5974">
        <v>-1.1214469920679999</v>
      </c>
      <c r="AE5974">
        <v>45.161639999999899</v>
      </c>
      <c r="AF5974">
        <v>-3.5416561004029301</v>
      </c>
      <c r="AG5974">
        <v>-1.1214469920679999</v>
      </c>
      <c r="AH5974">
        <v>45.148426158715701</v>
      </c>
      <c r="AI5974">
        <v>91.418527900612403</v>
      </c>
      <c r="AJ5974">
        <v>94.485366655794195</v>
      </c>
      <c r="AK5974">
        <v>45.3010083320289</v>
      </c>
      <c r="AL5974">
        <v>77.653785350414296</v>
      </c>
      <c r="AM5974">
        <v>90.289016236265695</v>
      </c>
      <c r="AN5974">
        <v>1.00000000140515</v>
      </c>
    </row>
    <row r="5975" spans="1:40" x14ac:dyDescent="0.25">
      <c r="A5975" t="str">
        <f>"20190303170653127"</f>
        <v>20190303170653127</v>
      </c>
      <c r="B5975" t="str">
        <f>"1551604013120985"</f>
        <v>1551604013120985</v>
      </c>
      <c r="C5975" t="s">
        <v>40</v>
      </c>
      <c r="D5975">
        <v>5.532006</v>
      </c>
      <c r="E5975">
        <v>0.47535739999999999</v>
      </c>
      <c r="F5975" t="s">
        <v>41</v>
      </c>
      <c r="G5975">
        <v>-190.01730000000001</v>
      </c>
      <c r="H5975" s="1">
        <v>-3.2152839999999999E-6</v>
      </c>
      <c r="I5975">
        <v>57.073270000000001</v>
      </c>
      <c r="J5975">
        <v>-186.21170000000001</v>
      </c>
      <c r="K5975">
        <v>1.1214390000000001</v>
      </c>
      <c r="L5975">
        <v>11.75909</v>
      </c>
      <c r="M5975">
        <v>-4.9394180000000001E-3</v>
      </c>
      <c r="N5975">
        <v>-8.9721379999999993E-3</v>
      </c>
      <c r="O5975">
        <v>0.99994749999999999</v>
      </c>
      <c r="P5975">
        <v>-9.8252110000000004E-3</v>
      </c>
      <c r="Q5975">
        <v>0.2051444</v>
      </c>
      <c r="R5975">
        <v>0.97868239999999995</v>
      </c>
      <c r="S5975">
        <v>-0.25679020000000002</v>
      </c>
      <c r="T5975">
        <v>-7.562613E-2</v>
      </c>
      <c r="U5975">
        <v>3.078827</v>
      </c>
      <c r="V5975">
        <v>-5.4040169999999997E-3</v>
      </c>
      <c r="W5975">
        <v>0.2139074</v>
      </c>
      <c r="X5975">
        <v>0.97683900000000001</v>
      </c>
      <c r="Y5975">
        <v>-7.8171350000000001E-2</v>
      </c>
      <c r="Z5975">
        <v>-1.5506819999999999E-2</v>
      </c>
      <c r="AA5975">
        <v>0.99681929999999996</v>
      </c>
      <c r="AB5975">
        <v>33</v>
      </c>
      <c r="AC5975">
        <v>-3.8055999999999899</v>
      </c>
      <c r="AD5975">
        <v>-1.12144221528399</v>
      </c>
      <c r="AE5975">
        <v>45.314179999999901</v>
      </c>
      <c r="AF5975">
        <v>-3.5795418636651699</v>
      </c>
      <c r="AG5975">
        <v>-1.12144221528399</v>
      </c>
      <c r="AH5975">
        <v>45.304871790366803</v>
      </c>
      <c r="AI5975">
        <v>91.413562943459993</v>
      </c>
      <c r="AJ5975">
        <v>94.517559694296196</v>
      </c>
      <c r="AK5975">
        <v>45.459896178252897</v>
      </c>
      <c r="AL5975">
        <v>77.648565304183805</v>
      </c>
      <c r="AM5975">
        <v>90.316965444557098</v>
      </c>
      <c r="AN5975">
        <v>1.00000000554774</v>
      </c>
    </row>
    <row r="5976" spans="1:40" x14ac:dyDescent="0.25">
      <c r="A5976" t="str">
        <f>"20190303170653150"</f>
        <v>20190303170653150</v>
      </c>
      <c r="B5976" t="str">
        <f>"1551604013140505"</f>
        <v>1551604013140505</v>
      </c>
      <c r="C5976" t="s">
        <v>40</v>
      </c>
      <c r="D5976">
        <v>5.5278919999999996</v>
      </c>
      <c r="E5976">
        <v>0.47537299999999899</v>
      </c>
      <c r="F5976" t="s">
        <v>41</v>
      </c>
      <c r="G5976">
        <v>-190.07730000000001</v>
      </c>
      <c r="H5976" s="1">
        <v>-3.3598119999999999E-6</v>
      </c>
      <c r="I5976">
        <v>57.372990000000001</v>
      </c>
      <c r="J5976">
        <v>-186.21430000000001</v>
      </c>
      <c r="K5976">
        <v>1.1214329999999999</v>
      </c>
      <c r="L5976">
        <v>12.097530000000001</v>
      </c>
      <c r="M5976">
        <v>-5.897195E-3</v>
      </c>
      <c r="N5976">
        <v>-8.8976279999999994E-3</v>
      </c>
      <c r="O5976">
        <v>0.99994300000000003</v>
      </c>
      <c r="P5976">
        <v>-1.057836E-2</v>
      </c>
      <c r="Q5976">
        <v>0.20472609999999999</v>
      </c>
      <c r="R5976">
        <v>0.97876209999999997</v>
      </c>
      <c r="S5976">
        <v>-0.26089479999999998</v>
      </c>
      <c r="T5976">
        <v>-7.5688599999999995E-2</v>
      </c>
      <c r="U5976">
        <v>3.0785830000000001</v>
      </c>
      <c r="V5976">
        <v>-5.2224639999999996E-3</v>
      </c>
      <c r="W5976">
        <v>0.2134173</v>
      </c>
      <c r="X5976">
        <v>0.97694720000000002</v>
      </c>
      <c r="Y5976">
        <v>-7.8542639999999997E-2</v>
      </c>
      <c r="Z5976">
        <v>-1.560193E-2</v>
      </c>
      <c r="AA5976">
        <v>0.99678869999999997</v>
      </c>
      <c r="AB5976">
        <v>33</v>
      </c>
      <c r="AC5976">
        <v>-3.863</v>
      </c>
      <c r="AD5976">
        <v>-1.1214363598119901</v>
      </c>
      <c r="AE5976">
        <v>45.275459999999903</v>
      </c>
      <c r="AF5976">
        <v>-3.5937351624362699</v>
      </c>
      <c r="AG5976">
        <v>-1.1214363598119901</v>
      </c>
      <c r="AH5976">
        <v>45.269881509436402</v>
      </c>
      <c r="AI5976">
        <v>91.414606006997602</v>
      </c>
      <c r="AJ5976">
        <v>94.538888642610303</v>
      </c>
      <c r="AK5976">
        <v>45.426145817197103</v>
      </c>
      <c r="AL5976">
        <v>77.677309986208698</v>
      </c>
      <c r="AM5976">
        <v>90.306282975825894</v>
      </c>
      <c r="AN5976">
        <v>1.00000002482868</v>
      </c>
    </row>
    <row r="5977" spans="1:40" x14ac:dyDescent="0.25">
      <c r="A5977" t="str">
        <f>"20190303170653172"</f>
        <v>20190303170653172</v>
      </c>
      <c r="B5977" t="str">
        <f>"1551604013161000"</f>
        <v>1551604013161000</v>
      </c>
      <c r="C5977" t="s">
        <v>40</v>
      </c>
      <c r="D5977">
        <v>5.547682</v>
      </c>
      <c r="E5977">
        <v>0.47536529999999999</v>
      </c>
      <c r="F5977" t="s">
        <v>41</v>
      </c>
      <c r="G5977">
        <v>-189.99279999999999</v>
      </c>
      <c r="H5977" s="1">
        <v>-2.8865420000000001E-6</v>
      </c>
      <c r="I5977">
        <v>56.322159999999997</v>
      </c>
      <c r="J5977">
        <v>-186.21709999999999</v>
      </c>
      <c r="K5977">
        <v>1.1214299999999999</v>
      </c>
      <c r="L5977">
        <v>12.42981</v>
      </c>
      <c r="M5977">
        <v>-6.8357790000000002E-3</v>
      </c>
      <c r="N5977">
        <v>-8.8310230000000003E-3</v>
      </c>
      <c r="O5977">
        <v>0.99993770000000004</v>
      </c>
      <c r="P5977">
        <v>-1.143837E-2</v>
      </c>
      <c r="Q5977">
        <v>0.20470930000000001</v>
      </c>
      <c r="R5977">
        <v>0.97875599999999996</v>
      </c>
      <c r="S5977">
        <v>-0.26303100000000001</v>
      </c>
      <c r="T5977">
        <v>-7.8065869999999996E-2</v>
      </c>
      <c r="U5977">
        <v>3.0785830000000001</v>
      </c>
      <c r="V5977">
        <v>-5.1666580000000002E-3</v>
      </c>
      <c r="W5977">
        <v>0.21333579999999999</v>
      </c>
      <c r="X5977">
        <v>0.97696530000000004</v>
      </c>
      <c r="Y5977">
        <v>-7.8292349999999997E-2</v>
      </c>
      <c r="Z5977">
        <v>-1.6437190000000001E-2</v>
      </c>
      <c r="AA5977">
        <v>0.99679490000000004</v>
      </c>
      <c r="AB5977">
        <v>33</v>
      </c>
      <c r="AC5977">
        <v>-3.7757000000000001</v>
      </c>
      <c r="AD5977">
        <v>-1.121432886542</v>
      </c>
      <c r="AE5977">
        <v>43.892349999999901</v>
      </c>
      <c r="AF5977">
        <v>-3.4733110256700699</v>
      </c>
      <c r="AG5977">
        <v>-1.121432886542</v>
      </c>
      <c r="AH5977">
        <v>43.888695910625998</v>
      </c>
      <c r="AI5977">
        <v>91.459128673059197</v>
      </c>
      <c r="AJ5977">
        <v>94.524904532159397</v>
      </c>
      <c r="AK5977">
        <v>44.040199022432397</v>
      </c>
      <c r="AL5977">
        <v>77.682089703454693</v>
      </c>
      <c r="AM5977">
        <v>90.303004556935505</v>
      </c>
      <c r="AN5977">
        <v>1.0000000276603001</v>
      </c>
    </row>
    <row r="5978" spans="1:40" x14ac:dyDescent="0.25">
      <c r="A5978" t="str">
        <f>"20190303170653194"</f>
        <v>20190303170653194</v>
      </c>
      <c r="B5978" t="str">
        <f>"1551604013180520"</f>
        <v>1551604013180520</v>
      </c>
      <c r="C5978" t="s">
        <v>40</v>
      </c>
      <c r="D5978">
        <v>5.6070549999999999</v>
      </c>
      <c r="E5978">
        <v>0.47539599999999999</v>
      </c>
      <c r="F5978" t="s">
        <v>41</v>
      </c>
      <c r="G5978">
        <v>-190.0341</v>
      </c>
      <c r="H5978" s="1">
        <v>-3.0346920000000001E-6</v>
      </c>
      <c r="I5978">
        <v>56.641889999999997</v>
      </c>
      <c r="J5978">
        <v>-186.22020000000001</v>
      </c>
      <c r="K5978">
        <v>1.121429</v>
      </c>
      <c r="L5978">
        <v>12.74762</v>
      </c>
      <c r="M5978">
        <v>-7.7316609999999999E-3</v>
      </c>
      <c r="N5978">
        <v>-8.7735880000000006E-3</v>
      </c>
      <c r="O5978">
        <v>0.99993160000000003</v>
      </c>
      <c r="P5978">
        <v>-1.218341E-2</v>
      </c>
      <c r="Q5978">
        <v>0.20402390000000001</v>
      </c>
      <c r="R5978">
        <v>0.97889009999999999</v>
      </c>
      <c r="S5978">
        <v>-0.26576230000000001</v>
      </c>
      <c r="T5978">
        <v>-7.8081609999999996E-2</v>
      </c>
      <c r="U5978">
        <v>3.0783390000000002</v>
      </c>
      <c r="V5978">
        <v>-5.0356510000000004E-3</v>
      </c>
      <c r="W5978">
        <v>0.21259549999999999</v>
      </c>
      <c r="X5978">
        <v>0.97712730000000003</v>
      </c>
      <c r="Y5978">
        <v>-7.8283829999999999E-2</v>
      </c>
      <c r="Z5978">
        <v>-1.6500859999999999E-2</v>
      </c>
      <c r="AA5978">
        <v>0.99679450000000003</v>
      </c>
      <c r="AB5978">
        <v>33</v>
      </c>
      <c r="AC5978">
        <v>-3.8138999999999799</v>
      </c>
      <c r="AD5978">
        <v>-1.1214320346919999</v>
      </c>
      <c r="AE5978">
        <v>43.894269999999999</v>
      </c>
      <c r="AF5978">
        <v>-3.47214793376041</v>
      </c>
      <c r="AG5978">
        <v>-1.1214320346919999</v>
      </c>
      <c r="AH5978">
        <v>43.894010789745401</v>
      </c>
      <c r="AI5978">
        <v>91.458955101162303</v>
      </c>
      <c r="AJ5978">
        <v>94.522850147274198</v>
      </c>
      <c r="AK5978">
        <v>44.045403895215202</v>
      </c>
      <c r="AL5978">
        <v>77.725501088497396</v>
      </c>
      <c r="AM5978">
        <v>90.295272678571607</v>
      </c>
      <c r="AN5978">
        <v>0.99999998240326604</v>
      </c>
    </row>
    <row r="5979" spans="1:40" x14ac:dyDescent="0.25">
      <c r="A5979" t="str">
        <f>"20190303170653215"</f>
        <v>20190303170653215</v>
      </c>
      <c r="B5979" t="str">
        <f>"1551604013200549"</f>
        <v>1551604013200549</v>
      </c>
      <c r="C5979" t="s">
        <v>40</v>
      </c>
      <c r="D5979">
        <v>5.5826520000000004</v>
      </c>
      <c r="E5979">
        <v>0.47543639999999998</v>
      </c>
      <c r="F5979" t="s">
        <v>41</v>
      </c>
      <c r="G5979">
        <v>-189.93289999999999</v>
      </c>
      <c r="H5979" s="1">
        <v>-2.539461E-6</v>
      </c>
      <c r="I5979">
        <v>55.52458</v>
      </c>
      <c r="J5979">
        <v>-186.2236</v>
      </c>
      <c r="K5979">
        <v>1.1214219999999999</v>
      </c>
      <c r="L5979">
        <v>13.076930000000001</v>
      </c>
      <c r="M5979">
        <v>-8.6581550000000007E-3</v>
      </c>
      <c r="N5979">
        <v>-8.7205749999999995E-3</v>
      </c>
      <c r="O5979">
        <v>0.99992449999999999</v>
      </c>
      <c r="P5979">
        <v>-1.2676059999999999E-2</v>
      </c>
      <c r="Q5979">
        <v>0.2037255</v>
      </c>
      <c r="R5979">
        <v>0.97894599999999998</v>
      </c>
      <c r="S5979">
        <v>-0.26716610000000002</v>
      </c>
      <c r="T5979">
        <v>-8.0697060000000001E-2</v>
      </c>
      <c r="U5979">
        <v>3.0781860000000001</v>
      </c>
      <c r="V5979">
        <v>-4.6227300000000002E-3</v>
      </c>
      <c r="W5979">
        <v>0.2122465</v>
      </c>
      <c r="X5979">
        <v>0.9772052</v>
      </c>
      <c r="Y5979">
        <v>-7.7814120000000001E-2</v>
      </c>
      <c r="Z5979">
        <v>-1.740121E-2</v>
      </c>
      <c r="AA5979">
        <v>0.99681600000000004</v>
      </c>
      <c r="AB5979">
        <v>33</v>
      </c>
      <c r="AC5979">
        <v>-3.7092999999999798</v>
      </c>
      <c r="AD5979">
        <v>-1.1214245394609901</v>
      </c>
      <c r="AE5979">
        <v>42.447650000000003</v>
      </c>
      <c r="AF5979">
        <v>-3.3393155923164599</v>
      </c>
      <c r="AG5979">
        <v>-1.1214245394609901</v>
      </c>
      <c r="AH5979">
        <v>42.448772576924199</v>
      </c>
      <c r="AI5979">
        <v>91.508646517698295</v>
      </c>
      <c r="AJ5979">
        <v>94.498020998355599</v>
      </c>
      <c r="AK5979">
        <v>42.594681767918203</v>
      </c>
      <c r="AL5979">
        <v>77.7459642265285</v>
      </c>
      <c r="AM5979">
        <v>90.271039228132295</v>
      </c>
      <c r="AN5979">
        <v>0.99999997465097101</v>
      </c>
    </row>
    <row r="5980" spans="1:40" x14ac:dyDescent="0.25">
      <c r="A5980" t="str">
        <f>"20190303170653238"</f>
        <v>20190303170653238</v>
      </c>
      <c r="B5980" t="str">
        <f>"1551604013230805"</f>
        <v>1551604013230805</v>
      </c>
      <c r="C5980" t="s">
        <v>40</v>
      </c>
      <c r="D5980">
        <v>5.6114750000000004</v>
      </c>
      <c r="E5980">
        <v>0.47550009999999998</v>
      </c>
      <c r="F5980" t="s">
        <v>41</v>
      </c>
      <c r="G5980">
        <v>-189.9247</v>
      </c>
      <c r="H5980" s="1">
        <v>-2.5557770000000002E-6</v>
      </c>
      <c r="I5980">
        <v>55.559220000000003</v>
      </c>
      <c r="J5980">
        <v>-186.2276</v>
      </c>
      <c r="K5980">
        <v>1.1214189999999999</v>
      </c>
      <c r="L5980">
        <v>13.4264799999999</v>
      </c>
      <c r="M5980">
        <v>-9.6403840000000001E-3</v>
      </c>
      <c r="N5980">
        <v>-8.6711369999999902E-3</v>
      </c>
      <c r="O5980">
        <v>0.99991600000000003</v>
      </c>
      <c r="P5980">
        <v>-1.374422E-2</v>
      </c>
      <c r="Q5980">
        <v>0.20324390000000001</v>
      </c>
      <c r="R5980">
        <v>0.97903169999999995</v>
      </c>
      <c r="S5980">
        <v>-0.26815800000000001</v>
      </c>
      <c r="T5980">
        <v>-8.1250669999999997E-2</v>
      </c>
      <c r="U5980">
        <v>3.0779719999999999</v>
      </c>
      <c r="V5980">
        <v>-4.7304590000000002E-3</v>
      </c>
      <c r="W5980">
        <v>0.21171709999999999</v>
      </c>
      <c r="X5980">
        <v>0.97731950000000001</v>
      </c>
      <c r="Y5980">
        <v>-7.7159320000000003E-2</v>
      </c>
      <c r="Z5980">
        <v>-1.7631850000000001E-2</v>
      </c>
      <c r="AA5980">
        <v>0.9968629</v>
      </c>
      <c r="AB5980">
        <v>34</v>
      </c>
      <c r="AC5980">
        <v>-3.6970999999999998</v>
      </c>
      <c r="AD5980">
        <v>-1.121421555777</v>
      </c>
      <c r="AE5980">
        <v>42.132739999999998</v>
      </c>
      <c r="AF5980">
        <v>-3.2884253218525199</v>
      </c>
      <c r="AG5980">
        <v>-1.121421555777</v>
      </c>
      <c r="AH5980">
        <v>42.136801782369297</v>
      </c>
      <c r="AI5980">
        <v>91.519880890738193</v>
      </c>
      <c r="AJ5980">
        <v>94.462412108066701</v>
      </c>
      <c r="AK5980">
        <v>42.279798862457298</v>
      </c>
      <c r="AL5980">
        <v>77.777001762810201</v>
      </c>
      <c r="AM5980">
        <v>90.277323044606007</v>
      </c>
      <c r="AN5980">
        <v>0.99999995637750405</v>
      </c>
    </row>
    <row r="5981" spans="1:40" x14ac:dyDescent="0.25">
      <c r="A5981" t="str">
        <f>"20190303170653261"</f>
        <v>20190303170653261</v>
      </c>
      <c r="B5981" t="str">
        <f>"1551604013251300"</f>
        <v>1551604013251300</v>
      </c>
      <c r="C5981" t="s">
        <v>40</v>
      </c>
      <c r="D5981">
        <v>5.6082140000000003</v>
      </c>
      <c r="E5981">
        <v>0.47550369999999997</v>
      </c>
      <c r="F5981" t="s">
        <v>41</v>
      </c>
      <c r="G5981">
        <v>-189.9008</v>
      </c>
      <c r="H5981" s="1">
        <v>-2.410512E-6</v>
      </c>
      <c r="I5981">
        <v>55.210729999999998</v>
      </c>
      <c r="J5981">
        <v>-186.23169999999999</v>
      </c>
      <c r="K5981">
        <v>1.121421</v>
      </c>
      <c r="L5981">
        <v>13.76407</v>
      </c>
      <c r="M5981">
        <v>-1.058864E-2</v>
      </c>
      <c r="N5981">
        <v>-8.6296559999999994E-3</v>
      </c>
      <c r="O5981">
        <v>0.99990670000000004</v>
      </c>
      <c r="P5981">
        <v>-1.5226989999999999E-2</v>
      </c>
      <c r="Q5981">
        <v>0.20290230000000001</v>
      </c>
      <c r="R5981">
        <v>0.97908059999999997</v>
      </c>
      <c r="S5981">
        <v>-0.27055359999999901</v>
      </c>
      <c r="T5981">
        <v>-8.2597970000000007E-2</v>
      </c>
      <c r="U5981">
        <v>3.0776059999999998</v>
      </c>
      <c r="V5981">
        <v>-5.2850060000000001E-3</v>
      </c>
      <c r="W5981">
        <v>0.21133450000000001</v>
      </c>
      <c r="X5981">
        <v>0.97739949999999998</v>
      </c>
      <c r="Y5981">
        <v>-7.6993320000000004E-2</v>
      </c>
      <c r="Z5981">
        <v>-1.8111579999999999E-2</v>
      </c>
      <c r="AA5981">
        <v>0.99686710000000001</v>
      </c>
      <c r="AB5981">
        <v>34</v>
      </c>
      <c r="AC5981">
        <v>-3.66910000000001</v>
      </c>
      <c r="AD5981">
        <v>-1.121423410512</v>
      </c>
      <c r="AE5981">
        <v>41.446659999999902</v>
      </c>
      <c r="AF5981">
        <v>-3.22766963868794</v>
      </c>
      <c r="AG5981">
        <v>-1.121423410512</v>
      </c>
      <c r="AH5981">
        <v>41.453077395892997</v>
      </c>
      <c r="AI5981">
        <v>91.544961560530894</v>
      </c>
      <c r="AJ5981">
        <v>94.452250247006205</v>
      </c>
      <c r="AK5981">
        <v>41.593666192727603</v>
      </c>
      <c r="AL5981">
        <v>77.799431086699599</v>
      </c>
      <c r="AM5981">
        <v>90.309807389288906</v>
      </c>
      <c r="AN5981">
        <v>0.99999999238945902</v>
      </c>
    </row>
    <row r="5982" spans="1:40" x14ac:dyDescent="0.25">
      <c r="A5982" t="str">
        <f>"20190303170653284"</f>
        <v>20190303170653284</v>
      </c>
      <c r="B5982" t="str">
        <f>"1551604013270820"</f>
        <v>1551604013270820</v>
      </c>
      <c r="C5982" t="s">
        <v>40</v>
      </c>
      <c r="D5982">
        <v>5.6559419999999996</v>
      </c>
      <c r="E5982">
        <v>0.47550629999999999</v>
      </c>
      <c r="F5982" t="s">
        <v>41</v>
      </c>
      <c r="G5982">
        <v>-189.9325</v>
      </c>
      <c r="H5982" s="1">
        <v>-2.358831E-6</v>
      </c>
      <c r="I5982">
        <v>55.103340000000003</v>
      </c>
      <c r="J5982">
        <v>-186.2363</v>
      </c>
      <c r="K5982">
        <v>1.1214200000000001</v>
      </c>
      <c r="L5982">
        <v>14.1066</v>
      </c>
      <c r="M5982">
        <v>-1.155017E-2</v>
      </c>
      <c r="N5982">
        <v>-8.5933840000000008E-3</v>
      </c>
      <c r="O5982">
        <v>0.99989629999999996</v>
      </c>
      <c r="P5982">
        <v>-1.5906770000000001E-2</v>
      </c>
      <c r="Q5982">
        <v>0.20244129999999999</v>
      </c>
      <c r="R5982">
        <v>0.97916519999999996</v>
      </c>
      <c r="S5982">
        <v>-0.27546690000000001</v>
      </c>
      <c r="T5982">
        <v>-8.3473919999999993E-2</v>
      </c>
      <c r="U5982">
        <v>3.077118</v>
      </c>
      <c r="V5982">
        <v>-5.0231629999999998E-3</v>
      </c>
      <c r="W5982">
        <v>0.21083950000000001</v>
      </c>
      <c r="X5982">
        <v>0.97750780000000004</v>
      </c>
      <c r="Y5982">
        <v>-7.7626970000000003E-2</v>
      </c>
      <c r="Z5982">
        <v>-1.8432919999999998E-2</v>
      </c>
      <c r="AA5982">
        <v>0.99681200000000003</v>
      </c>
      <c r="AB5982">
        <v>34</v>
      </c>
      <c r="AC5982">
        <v>-3.6962000000000002</v>
      </c>
      <c r="AD5982">
        <v>-1.1214223588309999</v>
      </c>
      <c r="AE5982">
        <v>40.996740000000003</v>
      </c>
      <c r="AF5982">
        <v>-3.2200266717049399</v>
      </c>
      <c r="AG5982">
        <v>-1.1214223588309999</v>
      </c>
      <c r="AH5982">
        <v>41.006263356752299</v>
      </c>
      <c r="AI5982">
        <v>91.561705758373407</v>
      </c>
      <c r="AJ5982">
        <v>94.489951297674494</v>
      </c>
      <c r="AK5982">
        <v>41.147779944447798</v>
      </c>
      <c r="AL5982">
        <v>77.828446544277298</v>
      </c>
      <c r="AM5982">
        <v>90.294425790168404</v>
      </c>
      <c r="AN5982">
        <v>1.0000000129938</v>
      </c>
    </row>
    <row r="5983" spans="1:40" x14ac:dyDescent="0.25">
      <c r="A5983" t="str">
        <f>"20190303170653305"</f>
        <v>20190303170653305</v>
      </c>
      <c r="B5983" t="str">
        <f>"1551604013301077"</f>
        <v>1551604013301077</v>
      </c>
      <c r="C5983" t="s">
        <v>40</v>
      </c>
      <c r="D5983">
        <v>5.7908049999999998</v>
      </c>
      <c r="E5983">
        <v>0.47553859999999998</v>
      </c>
      <c r="F5983" t="s">
        <v>41</v>
      </c>
      <c r="G5983">
        <v>-189.9186</v>
      </c>
      <c r="H5983" s="1">
        <v>-2.2458179999999998E-6</v>
      </c>
      <c r="I5983">
        <v>54.834159999999997</v>
      </c>
      <c r="J5983">
        <v>-186.24100000000001</v>
      </c>
      <c r="K5983">
        <v>1.1214139999999999</v>
      </c>
      <c r="L5983">
        <v>14.439450000000001</v>
      </c>
      <c r="M5983">
        <v>-1.2484230000000001E-2</v>
      </c>
      <c r="N5983">
        <v>-8.5634430000000004E-3</v>
      </c>
      <c r="O5983">
        <v>0.99988540000000004</v>
      </c>
      <c r="P5983">
        <v>-1.659014E-2</v>
      </c>
      <c r="Q5983">
        <v>0.20078209999999999</v>
      </c>
      <c r="R5983">
        <v>0.97949549999999996</v>
      </c>
      <c r="S5983">
        <v>-0.27818300000000001</v>
      </c>
      <c r="T5983">
        <v>-8.4719180000000005E-2</v>
      </c>
      <c r="U5983">
        <v>3.076813</v>
      </c>
      <c r="V5983">
        <v>-4.7867509999999997E-3</v>
      </c>
      <c r="W5983">
        <v>0.20915420000000001</v>
      </c>
      <c r="X5983">
        <v>0.97787089999999999</v>
      </c>
      <c r="Y5983">
        <v>-7.7576480000000003E-2</v>
      </c>
      <c r="Z5983">
        <v>-1.886732E-2</v>
      </c>
      <c r="AA5983">
        <v>0.99680789999999997</v>
      </c>
      <c r="AB5983">
        <v>34</v>
      </c>
      <c r="AC5983">
        <v>-3.6776000000000102</v>
      </c>
      <c r="AD5983">
        <v>-1.1214162458179999</v>
      </c>
      <c r="AE5983">
        <v>40.394710000000003</v>
      </c>
      <c r="AF5983">
        <v>-3.17057456712923</v>
      </c>
      <c r="AG5983">
        <v>-1.1214162458179999</v>
      </c>
      <c r="AH5983">
        <v>40.406590138995298</v>
      </c>
      <c r="AI5983">
        <v>91.5848698519641</v>
      </c>
      <c r="AJ5983">
        <v>94.486621661484094</v>
      </c>
      <c r="AK5983">
        <v>40.546302471900702</v>
      </c>
      <c r="AL5983">
        <v>77.927208503706197</v>
      </c>
      <c r="AM5983">
        <v>90.280464874578797</v>
      </c>
      <c r="AN5983">
        <v>0.99999994471479103</v>
      </c>
    </row>
    <row r="5984" spans="1:40" x14ac:dyDescent="0.25">
      <c r="A5984" t="str">
        <f>"20190303170653341"</f>
        <v>20190303170653341</v>
      </c>
      <c r="B5984" t="str">
        <f>"1551604013331332"</f>
        <v>1551604013331332</v>
      </c>
      <c r="C5984" t="s">
        <v>40</v>
      </c>
      <c r="D5984">
        <v>5.5303839999999997</v>
      </c>
      <c r="E5984">
        <v>0.51582240000000001</v>
      </c>
      <c r="F5984" t="s">
        <v>41</v>
      </c>
      <c r="G5984">
        <v>-189.71979999999999</v>
      </c>
      <c r="H5984" s="1">
        <v>-1.387198E-6</v>
      </c>
      <c r="I5984">
        <v>52.750480000000003</v>
      </c>
      <c r="J5984">
        <v>-186.2491</v>
      </c>
      <c r="K5984">
        <v>1.121394</v>
      </c>
      <c r="L5984">
        <v>14.9668299999999</v>
      </c>
      <c r="M5984">
        <v>-1.3963730000000001E-2</v>
      </c>
      <c r="N5984">
        <v>-8.5244940000000005E-3</v>
      </c>
      <c r="O5984">
        <v>0.99986620000000004</v>
      </c>
      <c r="P5984">
        <v>-1.90654E-2</v>
      </c>
      <c r="Q5984">
        <v>0.19813420000000001</v>
      </c>
      <c r="R5984">
        <v>0.97998949999999996</v>
      </c>
      <c r="S5984">
        <v>-0.27935789999999999</v>
      </c>
      <c r="T5984">
        <v>-9.0054389999999998E-2</v>
      </c>
      <c r="U5984">
        <v>3.0765380000000002</v>
      </c>
      <c r="V5984">
        <v>-5.8019680000000002E-3</v>
      </c>
      <c r="W5984">
        <v>0.20647080000000001</v>
      </c>
      <c r="X5984">
        <v>0.97843559999999996</v>
      </c>
      <c r="Y5984">
        <v>-7.6483319999999994E-2</v>
      </c>
      <c r="Z5984">
        <v>-2.0635239999999999E-2</v>
      </c>
      <c r="AA5984">
        <v>0.99685729999999995</v>
      </c>
      <c r="AB5984">
        <v>34</v>
      </c>
      <c r="AC5984">
        <v>-3.4706999999999901</v>
      </c>
      <c r="AD5984">
        <v>-1.121395387198</v>
      </c>
      <c r="AE5984">
        <v>37.783650000000002</v>
      </c>
      <c r="AF5984">
        <v>-2.9401735233766599</v>
      </c>
      <c r="AG5984">
        <v>-1.121395387198</v>
      </c>
      <c r="AH5984">
        <v>37.795417470059199</v>
      </c>
      <c r="AI5984">
        <v>91.694359282736201</v>
      </c>
      <c r="AJ5984">
        <v>94.448183382158007</v>
      </c>
      <c r="AK5984">
        <v>37.926187914131901</v>
      </c>
      <c r="AL5984">
        <v>78.084388623406696</v>
      </c>
      <c r="AM5984">
        <v>90.339750907426193</v>
      </c>
      <c r="AN5984">
        <v>1.0000000387163299</v>
      </c>
    </row>
    <row r="5985" spans="1:40" x14ac:dyDescent="0.25">
      <c r="A5985" t="str">
        <f>"20190303170653365"</f>
        <v>20190303170653365</v>
      </c>
      <c r="B5985" t="str">
        <f>"1551604013360612"</f>
        <v>1551604013360612</v>
      </c>
      <c r="C5985" t="s">
        <v>40</v>
      </c>
      <c r="D5985">
        <v>5.5279559999999996</v>
      </c>
      <c r="E5985">
        <v>0.55644249999999995</v>
      </c>
      <c r="F5985" t="s">
        <v>41</v>
      </c>
      <c r="G5985">
        <v>-186.1225</v>
      </c>
      <c r="H5985" s="1">
        <v>-4.5713240000000004E-6</v>
      </c>
      <c r="I5985">
        <v>28.68534</v>
      </c>
      <c r="J5985">
        <v>-186.2551</v>
      </c>
      <c r="K5985">
        <v>1.1213900000000001</v>
      </c>
      <c r="L5985">
        <v>15.325679999999901</v>
      </c>
      <c r="M5985">
        <v>-1.496978E-2</v>
      </c>
      <c r="N5985">
        <v>-8.5034340000000007E-3</v>
      </c>
      <c r="O5985">
        <v>0.99985179999999996</v>
      </c>
      <c r="P5985">
        <v>-2.0566649999999999E-2</v>
      </c>
      <c r="Q5985">
        <v>0.1974072</v>
      </c>
      <c r="R5985">
        <v>0.98010580000000003</v>
      </c>
      <c r="S5985">
        <v>2.8747559999999998E-2</v>
      </c>
      <c r="T5985">
        <v>-0.25449040000000001</v>
      </c>
      <c r="U5985">
        <v>3.1132810000000002</v>
      </c>
      <c r="V5985">
        <v>-6.3157259999999998E-3</v>
      </c>
      <c r="W5985">
        <v>0.20572370000000001</v>
      </c>
      <c r="X5985">
        <v>0.97858970000000001</v>
      </c>
      <c r="Y5985">
        <v>2.4168209999999999E-2</v>
      </c>
      <c r="Z5985">
        <v>-7.2965730000000006E-2</v>
      </c>
      <c r="AA5985">
        <v>0.99704159999999997</v>
      </c>
      <c r="AB5985">
        <v>34</v>
      </c>
      <c r="AC5985">
        <v>0.132599999999996</v>
      </c>
      <c r="AD5985">
        <v>-1.1213945713239999</v>
      </c>
      <c r="AE5985">
        <v>13.35966</v>
      </c>
      <c r="AF5985">
        <v>0.33025686815809502</v>
      </c>
      <c r="AG5985">
        <v>-1.1213945713239999</v>
      </c>
      <c r="AH5985">
        <v>13.2627413221935</v>
      </c>
      <c r="AI5985">
        <v>94.831500989491701</v>
      </c>
      <c r="AJ5985">
        <v>88.573566755722993</v>
      </c>
      <c r="AK5985">
        <v>13.3141617371497</v>
      </c>
      <c r="AL5985">
        <v>78.128132547206903</v>
      </c>
      <c r="AM5985">
        <v>90.369776444869203</v>
      </c>
      <c r="AN5985">
        <v>0.99999996504134203</v>
      </c>
    </row>
    <row r="5986" spans="1:40" x14ac:dyDescent="0.25">
      <c r="A5986" t="str">
        <f>"20190303170653385"</f>
        <v>20190303170653385</v>
      </c>
      <c r="B5986" t="str">
        <f>"1551604013371351"</f>
        <v>1551604013371351</v>
      </c>
      <c r="C5986" t="s">
        <v>40</v>
      </c>
      <c r="D5986">
        <v>5.5162579999999997</v>
      </c>
      <c r="E5986">
        <v>0.55570010000000003</v>
      </c>
      <c r="F5986" t="s">
        <v>42</v>
      </c>
      <c r="G5986">
        <v>-186.15369999999999</v>
      </c>
      <c r="H5986">
        <v>0.94150270000000003</v>
      </c>
      <c r="I5986">
        <v>16.295059999999999</v>
      </c>
      <c r="J5986">
        <v>-186.26050000000001</v>
      </c>
      <c r="K5986">
        <v>1.1213879999999901</v>
      </c>
      <c r="L5986">
        <v>15.632479999999999</v>
      </c>
      <c r="M5986">
        <v>-1.5829340000000001E-2</v>
      </c>
      <c r="N5986">
        <v>-8.4933460000000006E-3</v>
      </c>
      <c r="O5986">
        <v>0.99983869999999997</v>
      </c>
      <c r="P5986">
        <v>-2.2645439999999999E-2</v>
      </c>
      <c r="Q5986">
        <v>0.1984139</v>
      </c>
      <c r="R5986">
        <v>0.97985670000000002</v>
      </c>
      <c r="S5986">
        <v>0.33303829999999901</v>
      </c>
      <c r="T5986">
        <v>-0.591445</v>
      </c>
      <c r="U5986">
        <v>3.1870120000000002</v>
      </c>
      <c r="V5986">
        <v>-7.5590689999999999E-3</v>
      </c>
      <c r="W5986">
        <v>0.2067157</v>
      </c>
      <c r="X5986">
        <v>0.97837189999999996</v>
      </c>
      <c r="Y5986">
        <v>0.11799949999999999</v>
      </c>
      <c r="Z5986">
        <v>-0.17294999999999999</v>
      </c>
      <c r="AA5986">
        <v>0.97783659999999994</v>
      </c>
      <c r="AB5986">
        <v>34</v>
      </c>
      <c r="AC5986">
        <v>0.106800000000021</v>
      </c>
      <c r="AD5986">
        <v>-0.179885299999999</v>
      </c>
      <c r="AE5986">
        <v>0.66257999999999995</v>
      </c>
      <c r="AF5986">
        <v>0.109414688895536</v>
      </c>
      <c r="AG5986">
        <v>-0.179885299999999</v>
      </c>
      <c r="AH5986">
        <v>0.61651500722674701</v>
      </c>
      <c r="AI5986">
        <v>106.028745430642</v>
      </c>
      <c r="AJ5986">
        <v>79.936337505284399</v>
      </c>
      <c r="AK5986">
        <v>0.65147605438572498</v>
      </c>
      <c r="AL5986">
        <v>78.070047610863298</v>
      </c>
      <c r="AM5986">
        <v>90.4426682054319</v>
      </c>
      <c r="AN5986">
        <v>1.0000000474301201</v>
      </c>
    </row>
    <row r="5987" spans="1:40" x14ac:dyDescent="0.25">
      <c r="A5987" t="str">
        <f>"20190303170653406"</f>
        <v>20190303170653406</v>
      </c>
      <c r="B5987" t="str">
        <f>"1551604013400629"</f>
        <v>1551604013400629</v>
      </c>
      <c r="C5987" t="s">
        <v>40</v>
      </c>
      <c r="D5987">
        <v>5.5520009999999997</v>
      </c>
      <c r="E5987">
        <v>0.55537399999999904</v>
      </c>
      <c r="F5987" t="s">
        <v>42</v>
      </c>
      <c r="G5987">
        <v>-186.1634</v>
      </c>
      <c r="H5987">
        <v>0.93889809999999996</v>
      </c>
      <c r="I5987">
        <v>16.59881</v>
      </c>
      <c r="J5987">
        <v>-186.26669999999999</v>
      </c>
      <c r="K5987">
        <v>1.121399</v>
      </c>
      <c r="L5987">
        <v>15.9660299999999</v>
      </c>
      <c r="M5987">
        <v>-1.6763650000000001E-2</v>
      </c>
      <c r="N5987">
        <v>-8.4873399999999995E-3</v>
      </c>
      <c r="O5987">
        <v>0.99982349999999998</v>
      </c>
      <c r="P5987">
        <v>-2.4317950000000001E-2</v>
      </c>
      <c r="Q5987">
        <v>0.1982476</v>
      </c>
      <c r="R5987">
        <v>0.97985029999999995</v>
      </c>
      <c r="S5987">
        <v>0.32038879999999997</v>
      </c>
      <c r="T5987">
        <v>-0.60263900000000004</v>
      </c>
      <c r="U5987">
        <v>3.1911010000000002</v>
      </c>
      <c r="V5987">
        <v>-8.3170139999999993E-3</v>
      </c>
      <c r="W5987">
        <v>0.20654220000000001</v>
      </c>
      <c r="X5987">
        <v>0.97840240000000001</v>
      </c>
      <c r="Y5987">
        <v>0.1149061</v>
      </c>
      <c r="Z5987">
        <v>-0.176113299999999</v>
      </c>
      <c r="AA5987">
        <v>0.97764030000000002</v>
      </c>
      <c r="AB5987">
        <v>34</v>
      </c>
      <c r="AC5987">
        <v>0.10329999999999</v>
      </c>
      <c r="AD5987">
        <v>-0.18250089999999999</v>
      </c>
      <c r="AE5987">
        <v>0.63278000000000201</v>
      </c>
      <c r="AF5987">
        <v>0.105357321823498</v>
      </c>
      <c r="AG5987">
        <v>-0.18250089999999999</v>
      </c>
      <c r="AH5987">
        <v>0.58366935506478601</v>
      </c>
      <c r="AI5987">
        <v>107.103430655331</v>
      </c>
      <c r="AJ5987">
        <v>79.767804227403104</v>
      </c>
      <c r="AK5987">
        <v>0.620545453455566</v>
      </c>
      <c r="AL5987">
        <v>78.080207777047093</v>
      </c>
      <c r="AM5987">
        <v>90.487037156475097</v>
      </c>
      <c r="AN5987">
        <v>1.00000005471423</v>
      </c>
    </row>
    <row r="5988" spans="1:40" x14ac:dyDescent="0.25">
      <c r="A5988" t="str">
        <f>"20190303170653428"</f>
        <v>20190303170653428</v>
      </c>
      <c r="B5988" t="str">
        <f>"1551604013421124"</f>
        <v>1551604013421124</v>
      </c>
      <c r="C5988" t="s">
        <v>40</v>
      </c>
      <c r="D5988">
        <v>5.5395079999999997</v>
      </c>
      <c r="E5988">
        <v>0.55559590000000003</v>
      </c>
      <c r="F5988" t="s">
        <v>42</v>
      </c>
      <c r="G5988">
        <v>-186.17519999999999</v>
      </c>
      <c r="H5988">
        <v>0.93795669999999998</v>
      </c>
      <c r="I5988">
        <v>16.903790000000001</v>
      </c>
      <c r="J5988">
        <v>-186.27350000000001</v>
      </c>
      <c r="K5988">
        <v>1.121394</v>
      </c>
      <c r="L5988">
        <v>16.315059999999999</v>
      </c>
      <c r="M5988">
        <v>-1.7740740000000001E-2</v>
      </c>
      <c r="N5988">
        <v>-8.4831059999999903E-3</v>
      </c>
      <c r="O5988">
        <v>0.99980659999999999</v>
      </c>
      <c r="P5988">
        <v>-2.6370370000000001E-2</v>
      </c>
      <c r="Q5988">
        <v>0.1975103</v>
      </c>
      <c r="R5988">
        <v>0.97994610000000004</v>
      </c>
      <c r="S5988">
        <v>0.31127929999999998</v>
      </c>
      <c r="T5988">
        <v>-0.62519169999999902</v>
      </c>
      <c r="U5988">
        <v>3.1959230000000001</v>
      </c>
      <c r="V5988">
        <v>-9.4097439999999994E-3</v>
      </c>
      <c r="W5988">
        <v>0.2057998</v>
      </c>
      <c r="X5988">
        <v>0.97854890000000005</v>
      </c>
      <c r="Y5988">
        <v>0.11285489999999999</v>
      </c>
      <c r="Z5988">
        <v>-0.1825483</v>
      </c>
      <c r="AA5988">
        <v>0.97669850000000002</v>
      </c>
      <c r="AB5988">
        <v>34</v>
      </c>
      <c r="AC5988">
        <v>9.8300000000023105E-2</v>
      </c>
      <c r="AD5988">
        <v>-0.1834373</v>
      </c>
      <c r="AE5988">
        <v>0.58873000000000097</v>
      </c>
      <c r="AF5988">
        <v>9.9346183443186395E-2</v>
      </c>
      <c r="AG5988">
        <v>-0.1834373</v>
      </c>
      <c r="AH5988">
        <v>0.53624511806702502</v>
      </c>
      <c r="AI5988">
        <v>108.590562508451</v>
      </c>
      <c r="AJ5988">
        <v>79.504232647223901</v>
      </c>
      <c r="AK5988">
        <v>0.57539354692830402</v>
      </c>
      <c r="AL5988">
        <v>78.123677725323603</v>
      </c>
      <c r="AM5988">
        <v>90.550940275713799</v>
      </c>
      <c r="AN5988">
        <v>1.0000000253266901</v>
      </c>
    </row>
    <row r="5989" spans="1:40" x14ac:dyDescent="0.25">
      <c r="A5989" t="str">
        <f>"20190303170653450"</f>
        <v>20190303170653450</v>
      </c>
      <c r="B5989" t="str">
        <f>"1551604013440644"</f>
        <v>1551604013440644</v>
      </c>
      <c r="C5989" t="s">
        <v>40</v>
      </c>
      <c r="D5989">
        <v>5.5412839999999903</v>
      </c>
      <c r="E5989">
        <v>0.5561604</v>
      </c>
      <c r="F5989" t="s">
        <v>42</v>
      </c>
      <c r="G5989">
        <v>-186.18680000000001</v>
      </c>
      <c r="H5989">
        <v>0.94396559999999896</v>
      </c>
      <c r="I5989">
        <v>17.212610000000002</v>
      </c>
      <c r="J5989">
        <v>-186.28020000000001</v>
      </c>
      <c r="K5989">
        <v>1.1213900000000001</v>
      </c>
      <c r="L5989">
        <v>16.643550000000001</v>
      </c>
      <c r="M5989">
        <v>-1.8660039999999999E-2</v>
      </c>
      <c r="N5989">
        <v>-8.4825390000000007E-3</v>
      </c>
      <c r="O5989">
        <v>0.99978990000000001</v>
      </c>
      <c r="P5989">
        <v>-2.752599E-2</v>
      </c>
      <c r="Q5989">
        <v>0.19717589999999999</v>
      </c>
      <c r="R5989">
        <v>0.97998160000000001</v>
      </c>
      <c r="S5989">
        <v>0.30838009999999999</v>
      </c>
      <c r="T5989">
        <v>-0.63203319999999996</v>
      </c>
      <c r="U5989">
        <v>3.1970830000000001</v>
      </c>
      <c r="V5989">
        <v>-9.6642749999999999E-3</v>
      </c>
      <c r="W5989">
        <v>0.20546429999999999</v>
      </c>
      <c r="X5989">
        <v>0.97861690000000001</v>
      </c>
      <c r="Y5989">
        <v>0.112820699999999</v>
      </c>
      <c r="Z5989">
        <v>-0.18449940000000001</v>
      </c>
      <c r="AA5989">
        <v>0.97633579999999998</v>
      </c>
      <c r="AB5989">
        <v>34</v>
      </c>
      <c r="AC5989">
        <v>9.3400000000002606E-2</v>
      </c>
      <c r="AD5989">
        <v>-0.17742440000000001</v>
      </c>
      <c r="AE5989">
        <v>0.56906000000000001</v>
      </c>
      <c r="AF5989">
        <v>9.5009236558699195E-2</v>
      </c>
      <c r="AG5989">
        <v>-0.17742440000000001</v>
      </c>
      <c r="AH5989">
        <v>0.51816824856329902</v>
      </c>
      <c r="AI5989">
        <v>108.613131769484</v>
      </c>
      <c r="AJ5989">
        <v>79.609887944482594</v>
      </c>
      <c r="AK5989">
        <v>0.55588173793171503</v>
      </c>
      <c r="AL5989">
        <v>78.143320009573301</v>
      </c>
      <c r="AM5989">
        <v>90.565802787729396</v>
      </c>
      <c r="AN5989">
        <v>1.00000000687568</v>
      </c>
    </row>
    <row r="5990" spans="1:40" x14ac:dyDescent="0.25">
      <c r="A5990" t="str">
        <f>"20190303170653472"</f>
        <v>20190303170653472</v>
      </c>
      <c r="B5990" t="str">
        <f>"1551604013461140"</f>
        <v>1551604013461140</v>
      </c>
      <c r="C5990" t="s">
        <v>40</v>
      </c>
      <c r="D5990">
        <v>5.5540839999999996</v>
      </c>
      <c r="E5990">
        <v>0.55656740000000005</v>
      </c>
      <c r="F5990" t="s">
        <v>42</v>
      </c>
      <c r="G5990">
        <v>-186.1953</v>
      </c>
      <c r="H5990">
        <v>0.94692960000000004</v>
      </c>
      <c r="I5990">
        <v>17.520720000000001</v>
      </c>
      <c r="J5990">
        <v>-186.28729999999999</v>
      </c>
      <c r="K5990">
        <v>1.1214029999999999</v>
      </c>
      <c r="L5990">
        <v>16.97888</v>
      </c>
      <c r="M5990">
        <v>-1.9597839999999998E-2</v>
      </c>
      <c r="N5990">
        <v>-8.4903200000000009E-3</v>
      </c>
      <c r="O5990">
        <v>0.99977190000000005</v>
      </c>
      <c r="P5990">
        <v>-2.819611E-2</v>
      </c>
      <c r="Q5990">
        <v>0.1970394</v>
      </c>
      <c r="R5990">
        <v>0.97999009999999998</v>
      </c>
      <c r="S5990">
        <v>0.30911250000000001</v>
      </c>
      <c r="T5990">
        <v>-0.63608050000000005</v>
      </c>
      <c r="U5990">
        <v>3.197937</v>
      </c>
      <c r="V5990">
        <v>-9.4158149999999993E-3</v>
      </c>
      <c r="W5990">
        <v>0.2053364</v>
      </c>
      <c r="X5990">
        <v>0.97864620000000002</v>
      </c>
      <c r="Y5990">
        <v>0.1139271</v>
      </c>
      <c r="Z5990">
        <v>-0.1856121</v>
      </c>
      <c r="AA5990">
        <v>0.97599630000000004</v>
      </c>
      <c r="AB5990">
        <v>34</v>
      </c>
      <c r="AC5990">
        <v>9.1999999999984497E-2</v>
      </c>
      <c r="AD5990">
        <v>-0.1744734</v>
      </c>
      <c r="AE5990">
        <v>0.54183999999999999</v>
      </c>
      <c r="AF5990">
        <v>9.3208120451175699E-2</v>
      </c>
      <c r="AG5990">
        <v>-0.1744734</v>
      </c>
      <c r="AH5990">
        <v>0.49050038602333301</v>
      </c>
      <c r="AI5990">
        <v>109.262044605295</v>
      </c>
      <c r="AJ5990">
        <v>79.240561975863699</v>
      </c>
      <c r="AK5990">
        <v>0.52888500613520895</v>
      </c>
      <c r="AL5990">
        <v>78.150808189257006</v>
      </c>
      <c r="AM5990">
        <v>90.551240902556103</v>
      </c>
      <c r="AN5990">
        <v>1.00000003975575</v>
      </c>
    </row>
    <row r="5991" spans="1:40" x14ac:dyDescent="0.25">
      <c r="A5991" t="str">
        <f>"20190303170653495"</f>
        <v>20190303170653495</v>
      </c>
      <c r="B5991" t="str">
        <f>"1551604013490421"</f>
        <v>1551604013490421</v>
      </c>
      <c r="C5991" t="s">
        <v>40</v>
      </c>
      <c r="D5991">
        <v>5.5575619999999999</v>
      </c>
      <c r="E5991">
        <v>0.55704969999999998</v>
      </c>
      <c r="F5991" t="s">
        <v>42</v>
      </c>
      <c r="G5991">
        <v>-186.20500000000001</v>
      </c>
      <c r="H5991">
        <v>0.95135270000000005</v>
      </c>
      <c r="I5991">
        <v>17.829979999999999</v>
      </c>
      <c r="J5991">
        <v>-186.29499999999999</v>
      </c>
      <c r="K5991">
        <v>1.12141</v>
      </c>
      <c r="L5991">
        <v>17.324950000000001</v>
      </c>
      <c r="M5991">
        <v>-2.0565369999999999E-2</v>
      </c>
      <c r="N5991">
        <v>-8.5081949999999996E-3</v>
      </c>
      <c r="O5991">
        <v>0.99975230000000004</v>
      </c>
      <c r="P5991">
        <v>-2.8501039999999998E-2</v>
      </c>
      <c r="Q5991">
        <v>0.19699169999999999</v>
      </c>
      <c r="R5991">
        <v>0.97999080000000005</v>
      </c>
      <c r="S5991">
        <v>0.30920409999999998</v>
      </c>
      <c r="T5991">
        <v>-0.63910250000000002</v>
      </c>
      <c r="U5991">
        <v>3.198639</v>
      </c>
      <c r="V5991">
        <v>-8.7732820000000003E-3</v>
      </c>
      <c r="W5991">
        <v>0.2053075</v>
      </c>
      <c r="X5991">
        <v>0.97865820000000003</v>
      </c>
      <c r="Y5991">
        <v>0.114879</v>
      </c>
      <c r="Z5991">
        <v>-0.18642420000000001</v>
      </c>
      <c r="AA5991">
        <v>0.97572990000000004</v>
      </c>
      <c r="AB5991">
        <v>34</v>
      </c>
      <c r="AC5991">
        <v>8.9999999999974906E-2</v>
      </c>
      <c r="AD5991">
        <v>-0.170057299999999</v>
      </c>
      <c r="AE5991">
        <v>0.50502999999999698</v>
      </c>
      <c r="AF5991">
        <v>9.0429687386108404E-2</v>
      </c>
      <c r="AG5991">
        <v>-0.170057299999999</v>
      </c>
      <c r="AH5991">
        <v>0.45326105233859099</v>
      </c>
      <c r="AI5991">
        <v>110.20033765955</v>
      </c>
      <c r="AJ5991">
        <v>78.717116881865707</v>
      </c>
      <c r="AK5991">
        <v>0.492486137075071</v>
      </c>
      <c r="AL5991">
        <v>78.152499680948793</v>
      </c>
      <c r="AM5991">
        <v>90.513620144532297</v>
      </c>
      <c r="AN5991">
        <v>1.0000000062302701</v>
      </c>
    </row>
    <row r="5992" spans="1:40" x14ac:dyDescent="0.25">
      <c r="A5992" t="str">
        <f>"20190303170653518"</f>
        <v>20190303170653518</v>
      </c>
      <c r="B5992" t="str">
        <f>"1551604013510917"</f>
        <v>1551604013510917</v>
      </c>
      <c r="C5992" t="s">
        <v>40</v>
      </c>
      <c r="D5992">
        <v>5.5490180000000002</v>
      </c>
      <c r="E5992">
        <v>0.55722380000000005</v>
      </c>
      <c r="F5992" t="s">
        <v>42</v>
      </c>
      <c r="G5992">
        <v>-186.21530000000001</v>
      </c>
      <c r="H5992">
        <v>0.95801069999999999</v>
      </c>
      <c r="I5992">
        <v>18.140820000000001</v>
      </c>
      <c r="J5992">
        <v>-186.3032</v>
      </c>
      <c r="K5992">
        <v>1.1214139999999999</v>
      </c>
      <c r="L5992">
        <v>17.678739999999902</v>
      </c>
      <c r="M5992">
        <v>-2.155375E-2</v>
      </c>
      <c r="N5992">
        <v>-8.5357690000000003E-3</v>
      </c>
      <c r="O5992">
        <v>0.99973120000000004</v>
      </c>
      <c r="P5992">
        <v>-2.8878339999999999E-2</v>
      </c>
      <c r="Q5992">
        <v>0.19653180000000001</v>
      </c>
      <c r="R5992">
        <v>0.9800721</v>
      </c>
      <c r="S5992">
        <v>0.31222529999999998</v>
      </c>
      <c r="T5992">
        <v>-0.64074279999999995</v>
      </c>
      <c r="U5992">
        <v>3.1991269999999998</v>
      </c>
      <c r="V5992">
        <v>-8.1809099999999996E-3</v>
      </c>
      <c r="W5992">
        <v>0.20487720000000001</v>
      </c>
      <c r="X5992">
        <v>0.97875350000000005</v>
      </c>
      <c r="Y5992">
        <v>0.1167497</v>
      </c>
      <c r="Z5992">
        <v>-0.18681349999999999</v>
      </c>
      <c r="AA5992">
        <v>0.97543329999999995</v>
      </c>
      <c r="AB5992">
        <v>34</v>
      </c>
      <c r="AC5992">
        <v>8.78999999999905E-2</v>
      </c>
      <c r="AD5992">
        <v>-0.163403299999999</v>
      </c>
      <c r="AE5992">
        <v>0.46208000000000299</v>
      </c>
      <c r="AF5992">
        <v>8.7303382446223404E-2</v>
      </c>
      <c r="AG5992">
        <v>-0.163403299999999</v>
      </c>
      <c r="AH5992">
        <v>0.410533234395346</v>
      </c>
      <c r="AI5992">
        <v>111.272010798655</v>
      </c>
      <c r="AJ5992">
        <v>77.994411871817604</v>
      </c>
      <c r="AK5992">
        <v>0.45039988408140802</v>
      </c>
      <c r="AL5992">
        <v>78.177689498905593</v>
      </c>
      <c r="AM5992">
        <v>90.478895554532798</v>
      </c>
      <c r="AN5992">
        <v>1.0000000040652499</v>
      </c>
    </row>
    <row r="5993" spans="1:40" x14ac:dyDescent="0.25">
      <c r="A5993" t="str">
        <f>"20190303170653542"</f>
        <v>20190303170653542</v>
      </c>
      <c r="B5993" t="str">
        <f>"1551604013530437"</f>
        <v>1551604013530437</v>
      </c>
      <c r="C5993" t="s">
        <v>40</v>
      </c>
      <c r="D5993">
        <v>5.5430070000000002</v>
      </c>
      <c r="E5993">
        <v>0.55732859999999995</v>
      </c>
      <c r="F5993" t="s">
        <v>42</v>
      </c>
      <c r="G5993">
        <v>-186.22730000000001</v>
      </c>
      <c r="H5993">
        <v>0.96587069999999997</v>
      </c>
      <c r="I5993">
        <v>18.452670000000001</v>
      </c>
      <c r="J5993">
        <v>-186.31209999999999</v>
      </c>
      <c r="K5993">
        <v>1.1214139999999999</v>
      </c>
      <c r="L5993">
        <v>18.04495</v>
      </c>
      <c r="M5993">
        <v>-2.2572499999999999E-2</v>
      </c>
      <c r="N5993">
        <v>-8.5734599999999998E-3</v>
      </c>
      <c r="O5993">
        <v>0.9997085</v>
      </c>
      <c r="P5993">
        <v>-2.885478E-2</v>
      </c>
      <c r="Q5993">
        <v>0.19556209999999999</v>
      </c>
      <c r="R5993">
        <v>0.98026670000000005</v>
      </c>
      <c r="S5993">
        <v>0.31321719999999997</v>
      </c>
      <c r="T5993">
        <v>-0.64299119999999998</v>
      </c>
      <c r="U5993">
        <v>3.1991580000000002</v>
      </c>
      <c r="V5993">
        <v>-7.1527700000000001E-3</v>
      </c>
      <c r="W5993">
        <v>0.20394789999999999</v>
      </c>
      <c r="X5993">
        <v>0.97895560000000004</v>
      </c>
      <c r="Y5993">
        <v>0.1180469</v>
      </c>
      <c r="Z5993">
        <v>-0.1874093</v>
      </c>
      <c r="AA5993">
        <v>0.97516290000000005</v>
      </c>
      <c r="AB5993">
        <v>34</v>
      </c>
      <c r="AC5993">
        <v>8.4799999999972897E-2</v>
      </c>
      <c r="AD5993">
        <v>-0.155543299999999</v>
      </c>
      <c r="AE5993">
        <v>0.40772000000000103</v>
      </c>
      <c r="AF5993">
        <v>8.2476222614228503E-2</v>
      </c>
      <c r="AG5993">
        <v>-0.155543299999999</v>
      </c>
      <c r="AH5993">
        <v>0.35603374216393302</v>
      </c>
      <c r="AI5993">
        <v>113.054967832185</v>
      </c>
      <c r="AJ5993">
        <v>76.957325987319095</v>
      </c>
      <c r="AK5993">
        <v>0.39718518480786202</v>
      </c>
      <c r="AL5993">
        <v>78.232082797931696</v>
      </c>
      <c r="AM5993">
        <v>90.418625972614507</v>
      </c>
      <c r="AN5993">
        <v>0.99999998740222096</v>
      </c>
    </row>
    <row r="5994" spans="1:40" x14ac:dyDescent="0.25">
      <c r="A5994" t="str">
        <f>"20190303170653563"</f>
        <v>20190303170653563</v>
      </c>
      <c r="B5994" t="str">
        <f>"1551604013550934"</f>
        <v>1551604013550934</v>
      </c>
      <c r="C5994" t="s">
        <v>40</v>
      </c>
      <c r="D5994">
        <v>5.5677339999999997</v>
      </c>
      <c r="E5994">
        <v>0.55728979999999995</v>
      </c>
      <c r="F5994" t="s">
        <v>42</v>
      </c>
      <c r="G5994">
        <v>-186.2407</v>
      </c>
      <c r="H5994">
        <v>0.97570199999999996</v>
      </c>
      <c r="I5994">
        <v>18.765989999999999</v>
      </c>
      <c r="J5994">
        <v>-186.32040000000001</v>
      </c>
      <c r="K5994">
        <v>1.1214150000000001</v>
      </c>
      <c r="L5994">
        <v>18.3779</v>
      </c>
      <c r="M5994">
        <v>-2.348801E-2</v>
      </c>
      <c r="N5994">
        <v>-8.6205559999999997E-3</v>
      </c>
      <c r="O5994">
        <v>0.99968699999999999</v>
      </c>
      <c r="P5994">
        <v>-2.9423310000000001E-2</v>
      </c>
      <c r="Q5994">
        <v>0.1954456</v>
      </c>
      <c r="R5994">
        <v>0.98027310000000001</v>
      </c>
      <c r="S5994">
        <v>0.31605529999999998</v>
      </c>
      <c r="T5994">
        <v>-0.64643909999999905</v>
      </c>
      <c r="U5994">
        <v>3.1986690000000002</v>
      </c>
      <c r="V5994">
        <v>-6.8214399999999998E-3</v>
      </c>
      <c r="W5994">
        <v>0.2038788</v>
      </c>
      <c r="X5994">
        <v>0.97897239999999996</v>
      </c>
      <c r="Y5994">
        <v>0.11980639999999899</v>
      </c>
      <c r="Z5994">
        <v>-0.1883668</v>
      </c>
      <c r="AA5994">
        <v>0.97476379999999996</v>
      </c>
      <c r="AB5994">
        <v>35</v>
      </c>
      <c r="AC5994">
        <v>7.9700000000002505E-2</v>
      </c>
      <c r="AD5994">
        <v>-0.14571299999999901</v>
      </c>
      <c r="AE5994">
        <v>0.38808999999999799</v>
      </c>
      <c r="AF5994">
        <v>7.8214047646970999E-2</v>
      </c>
      <c r="AG5994">
        <v>-0.14571299999999901</v>
      </c>
      <c r="AH5994">
        <v>0.340105837024121</v>
      </c>
      <c r="AI5994">
        <v>112.662273833993</v>
      </c>
      <c r="AJ5994">
        <v>77.048882681943994</v>
      </c>
      <c r="AK5994">
        <v>0.37818209370117001</v>
      </c>
      <c r="AL5994">
        <v>78.236127398318203</v>
      </c>
      <c r="AM5994">
        <v>90.399228208043496</v>
      </c>
      <c r="AN5994">
        <v>1.00000002854743</v>
      </c>
    </row>
    <row r="5995" spans="1:40" x14ac:dyDescent="0.25">
      <c r="A5995" t="str">
        <f>"20190303170653585"</f>
        <v>20190303170653585</v>
      </c>
      <c r="B5995" t="str">
        <f>"1551604013581189"</f>
        <v>1551604013581189</v>
      </c>
      <c r="C5995" t="s">
        <v>40</v>
      </c>
      <c r="D5995">
        <v>5.5501250000000004</v>
      </c>
      <c r="E5995">
        <v>0.55728310000000003</v>
      </c>
      <c r="F5995" t="s">
        <v>42</v>
      </c>
      <c r="G5995">
        <v>-186.2516</v>
      </c>
      <c r="H5995">
        <v>0.97992959999999996</v>
      </c>
      <c r="I5995">
        <v>19.077100000000002</v>
      </c>
      <c r="J5995">
        <v>-186.32900000000001</v>
      </c>
      <c r="K5995">
        <v>1.12141</v>
      </c>
      <c r="L5995">
        <v>18.704249999999998</v>
      </c>
      <c r="M5995">
        <v>-2.436547E-2</v>
      </c>
      <c r="N5995">
        <v>-8.6820070000000003E-3</v>
      </c>
      <c r="O5995">
        <v>0.99966540000000004</v>
      </c>
      <c r="P5995">
        <v>-3.0412020000000001E-2</v>
      </c>
      <c r="Q5995">
        <v>0.19504170000000001</v>
      </c>
      <c r="R5995">
        <v>0.98032330000000001</v>
      </c>
      <c r="S5995">
        <v>0.31478879999999998</v>
      </c>
      <c r="T5995">
        <v>-0.64731510000000003</v>
      </c>
      <c r="U5995">
        <v>3.1988829999999999</v>
      </c>
      <c r="V5995">
        <v>-6.9423820000000004E-3</v>
      </c>
      <c r="W5995">
        <v>0.20353560000000001</v>
      </c>
      <c r="X5995">
        <v>0.97904290000000005</v>
      </c>
      <c r="Y5995">
        <v>0.12028419999999999</v>
      </c>
      <c r="Z5995">
        <v>-0.18854190000000001</v>
      </c>
      <c r="AA5995">
        <v>0.97467110000000001</v>
      </c>
      <c r="AB5995">
        <v>35</v>
      </c>
      <c r="AC5995">
        <v>7.7400000000011404E-2</v>
      </c>
      <c r="AD5995">
        <v>-0.14148039999999901</v>
      </c>
      <c r="AE5995">
        <v>0.37285000000000301</v>
      </c>
      <c r="AF5995">
        <v>7.5974591682907405E-2</v>
      </c>
      <c r="AG5995">
        <v>-0.14148039999999901</v>
      </c>
      <c r="AH5995">
        <v>0.32587058039419298</v>
      </c>
      <c r="AI5995">
        <v>112.919707870461</v>
      </c>
      <c r="AJ5995">
        <v>76.876295842730201</v>
      </c>
      <c r="AK5995">
        <v>0.36329117431062402</v>
      </c>
      <c r="AL5995">
        <v>78.256211741552093</v>
      </c>
      <c r="AM5995">
        <v>90.406276907453403</v>
      </c>
      <c r="AN5995">
        <v>0.99999996858780105</v>
      </c>
    </row>
    <row r="5996" spans="1:40" x14ac:dyDescent="0.25">
      <c r="A5996" t="str">
        <f>"20190303170653607"</f>
        <v>20190303170653607</v>
      </c>
      <c r="B5996" t="str">
        <f>"1551604013600710"</f>
        <v>1551604013600710</v>
      </c>
      <c r="C5996" t="s">
        <v>40</v>
      </c>
      <c r="D5996">
        <v>5.5163789999999997</v>
      </c>
      <c r="E5996">
        <v>0.55724229999999997</v>
      </c>
      <c r="F5996" t="s">
        <v>42</v>
      </c>
      <c r="G5996">
        <v>-186.23429999999999</v>
      </c>
      <c r="H5996">
        <v>0.92524729999999999</v>
      </c>
      <c r="I5996">
        <v>19.67238</v>
      </c>
      <c r="J5996">
        <v>-186.33840000000001</v>
      </c>
      <c r="K5996">
        <v>1.121399</v>
      </c>
      <c r="L5996">
        <v>19.054690000000001</v>
      </c>
      <c r="M5996">
        <v>-2.527942E-2</v>
      </c>
      <c r="N5996">
        <v>-8.7608709999999999E-3</v>
      </c>
      <c r="O5996">
        <v>0.99964200000000003</v>
      </c>
      <c r="P5996">
        <v>-3.1251229999999998E-2</v>
      </c>
      <c r="Q5996">
        <v>0.19452240000000001</v>
      </c>
      <c r="R5996">
        <v>0.9804001</v>
      </c>
      <c r="S5996">
        <v>0.31280520000000001</v>
      </c>
      <c r="T5996">
        <v>-0.64817729999999996</v>
      </c>
      <c r="U5996">
        <v>3.1988829999999999</v>
      </c>
      <c r="V5996">
        <v>-6.8739339999999999E-3</v>
      </c>
      <c r="W5996">
        <v>0.20309489999999999</v>
      </c>
      <c r="X5996">
        <v>0.97913490000000003</v>
      </c>
      <c r="Y5996">
        <v>0.1205883</v>
      </c>
      <c r="Z5996">
        <v>-0.18871199999999999</v>
      </c>
      <c r="AA5996">
        <v>0.97460060000000004</v>
      </c>
      <c r="AB5996">
        <v>35</v>
      </c>
      <c r="AC5996">
        <v>0.104100000000016</v>
      </c>
      <c r="AD5996">
        <v>-0.19615170000000001</v>
      </c>
      <c r="AE5996">
        <v>0.61768999999999896</v>
      </c>
      <c r="AF5996">
        <v>0.10899447413427001</v>
      </c>
      <c r="AG5996">
        <v>-0.19615170000000001</v>
      </c>
      <c r="AH5996">
        <v>0.55995339764841401</v>
      </c>
      <c r="AI5996">
        <v>108.975363558686</v>
      </c>
      <c r="AJ5996">
        <v>78.985156016506394</v>
      </c>
      <c r="AK5996">
        <v>0.60324380837493796</v>
      </c>
      <c r="AL5996">
        <v>78.2820006641643</v>
      </c>
      <c r="AM5996">
        <v>90.4022335805046</v>
      </c>
      <c r="AN5996">
        <v>0.99999997088632697</v>
      </c>
    </row>
    <row r="5997" spans="1:40" x14ac:dyDescent="0.25">
      <c r="A5997" t="str">
        <f>"20190303170653629"</f>
        <v>20190303170653629</v>
      </c>
      <c r="B5997" t="str">
        <f>"1551604013621204"</f>
        <v>1551604013621204</v>
      </c>
      <c r="C5997" t="s">
        <v>40</v>
      </c>
      <c r="D5997">
        <v>5.486675</v>
      </c>
      <c r="E5997">
        <v>0.55717340000000004</v>
      </c>
      <c r="F5997" t="s">
        <v>42</v>
      </c>
      <c r="G5997">
        <v>-186.24760000000001</v>
      </c>
      <c r="H5997">
        <v>0.93238810000000005</v>
      </c>
      <c r="I5997">
        <v>19.98583</v>
      </c>
      <c r="J5997">
        <v>-186.3484</v>
      </c>
      <c r="K5997">
        <v>1.121383</v>
      </c>
      <c r="L5997">
        <v>19.414180000000002</v>
      </c>
      <c r="M5997">
        <v>-2.618821E-2</v>
      </c>
      <c r="N5997">
        <v>-8.8414679999999999E-3</v>
      </c>
      <c r="O5997">
        <v>0.99961789999999995</v>
      </c>
      <c r="P5997">
        <v>-3.213825E-2</v>
      </c>
      <c r="Q5997">
        <v>0.19451640000000001</v>
      </c>
      <c r="R5997">
        <v>0.98037269999999999</v>
      </c>
      <c r="S5997">
        <v>0.31097409999999998</v>
      </c>
      <c r="T5997">
        <v>-0.64934799999999904</v>
      </c>
      <c r="U5997">
        <v>3.1987299999999999</v>
      </c>
      <c r="V5997">
        <v>-6.85982E-3</v>
      </c>
      <c r="W5997">
        <v>0.20316780000000001</v>
      </c>
      <c r="X5997">
        <v>0.97911990000000004</v>
      </c>
      <c r="Y5997">
        <v>0.1209358</v>
      </c>
      <c r="Z5997">
        <v>-0.18897849999999999</v>
      </c>
      <c r="AA5997">
        <v>0.97450579999999998</v>
      </c>
      <c r="AB5997">
        <v>35</v>
      </c>
      <c r="AC5997">
        <v>0.10079999999999199</v>
      </c>
      <c r="AD5997">
        <v>-0.18899489999999999</v>
      </c>
      <c r="AE5997">
        <v>0.57165000000000099</v>
      </c>
      <c r="AF5997">
        <v>0.104643381072033</v>
      </c>
      <c r="AG5997">
        <v>-0.18899489999999999</v>
      </c>
      <c r="AH5997">
        <v>0.51429432014953902</v>
      </c>
      <c r="AI5997">
        <v>109.80421984207</v>
      </c>
      <c r="AJ5997">
        <v>78.499035158523895</v>
      </c>
      <c r="AK5997">
        <v>0.55782430671876704</v>
      </c>
      <c r="AL5997">
        <v>78.277735156830403</v>
      </c>
      <c r="AM5997">
        <v>90.401413865214707</v>
      </c>
      <c r="AN5997">
        <v>0.99999999533164097</v>
      </c>
    </row>
    <row r="5998" spans="1:40" x14ac:dyDescent="0.25">
      <c r="A5998" t="str">
        <f>"20190303170653651"</f>
        <v>20190303170653651</v>
      </c>
      <c r="B5998" t="str">
        <f>"1551604013640724"</f>
        <v>1551604013640724</v>
      </c>
      <c r="C5998" t="s">
        <v>40</v>
      </c>
      <c r="D5998">
        <v>5.4735199999999997</v>
      </c>
      <c r="E5998">
        <v>0.55712910000000004</v>
      </c>
      <c r="F5998" t="s">
        <v>42</v>
      </c>
      <c r="G5998">
        <v>-186.26310000000001</v>
      </c>
      <c r="H5998">
        <v>0.94145380000000001</v>
      </c>
      <c r="I5998">
        <v>20.300509999999999</v>
      </c>
      <c r="J5998">
        <v>-186.358</v>
      </c>
      <c r="K5998">
        <v>1.1213679999999999</v>
      </c>
      <c r="L5998">
        <v>19.749110000000002</v>
      </c>
      <c r="M5998">
        <v>-2.7001270000000001E-2</v>
      </c>
      <c r="N5998">
        <v>-8.9140299999999999E-3</v>
      </c>
      <c r="O5998">
        <v>0.99959560000000003</v>
      </c>
      <c r="P5998">
        <v>-3.2787179999999999E-2</v>
      </c>
      <c r="Q5998">
        <v>0.19503519999999999</v>
      </c>
      <c r="R5998">
        <v>0.98024800000000001</v>
      </c>
      <c r="S5998">
        <v>0.30773929999999999</v>
      </c>
      <c r="T5998">
        <v>-0.64942569999999999</v>
      </c>
      <c r="U5998">
        <v>3.1990050000000001</v>
      </c>
      <c r="V5998">
        <v>-6.7039769999999999E-3</v>
      </c>
      <c r="W5998">
        <v>0.20375740000000001</v>
      </c>
      <c r="X5998">
        <v>0.97899849999999999</v>
      </c>
      <c r="Y5998">
        <v>0.1207589</v>
      </c>
      <c r="Z5998">
        <v>-0.18891839999999999</v>
      </c>
      <c r="AA5998">
        <v>0.9745395</v>
      </c>
      <c r="AB5998">
        <v>35</v>
      </c>
      <c r="AC5998">
        <v>9.4899999999995502E-2</v>
      </c>
      <c r="AD5998">
        <v>-0.179914199999999</v>
      </c>
      <c r="AE5998">
        <v>0.551399999999997</v>
      </c>
      <c r="AF5998">
        <v>9.9469369416880601E-2</v>
      </c>
      <c r="AG5998">
        <v>-0.179914199999999</v>
      </c>
      <c r="AH5998">
        <v>0.49722356839963999</v>
      </c>
      <c r="AI5998">
        <v>109.535072243027</v>
      </c>
      <c r="AJ5998">
        <v>78.6873357100486</v>
      </c>
      <c r="AK5998">
        <v>0.53804697916251099</v>
      </c>
      <c r="AL5998">
        <v>78.243232407776404</v>
      </c>
      <c r="AM5998">
        <v>90.392343383878497</v>
      </c>
      <c r="AN5998">
        <v>1.0000000421823101</v>
      </c>
    </row>
    <row r="5999" spans="1:40" x14ac:dyDescent="0.25">
      <c r="A5999" t="str">
        <f>"20190303170653673"</f>
        <v>20190303170653673</v>
      </c>
      <c r="B5999" t="str">
        <f>"1551604013661220"</f>
        <v>1551604013661220</v>
      </c>
      <c r="C5999" t="s">
        <v>40</v>
      </c>
      <c r="D5999">
        <v>5.4410020000000001</v>
      </c>
      <c r="E5999">
        <v>0.55710439999999894</v>
      </c>
      <c r="F5999" t="s">
        <v>42</v>
      </c>
      <c r="G5999">
        <v>-186.27529999999999</v>
      </c>
      <c r="H5999">
        <v>0.94637420000000005</v>
      </c>
      <c r="I5999">
        <v>20.613859999999999</v>
      </c>
      <c r="J5999">
        <v>-186.36779999999999</v>
      </c>
      <c r="K5999">
        <v>1.121345</v>
      </c>
      <c r="L5999">
        <v>20.085540000000002</v>
      </c>
      <c r="M5999">
        <v>-2.7777820000000002E-2</v>
      </c>
      <c r="N5999">
        <v>-8.9868020000000003E-3</v>
      </c>
      <c r="O5999">
        <v>0.99957370000000001</v>
      </c>
      <c r="P5999">
        <v>-3.4052329999999999E-2</v>
      </c>
      <c r="Q5999">
        <v>0.195159</v>
      </c>
      <c r="R5999">
        <v>0.9801803</v>
      </c>
      <c r="S5999">
        <v>0.30551149999999999</v>
      </c>
      <c r="T5999">
        <v>-0.64747969999999999</v>
      </c>
      <c r="U5999">
        <v>3.1994929999999999</v>
      </c>
      <c r="V5999">
        <v>-7.1952429999999996E-3</v>
      </c>
      <c r="W5999">
        <v>0.2039521</v>
      </c>
      <c r="X5999">
        <v>0.9789544</v>
      </c>
      <c r="Y5999">
        <v>0.1208548</v>
      </c>
      <c r="Z5999">
        <v>-0.18824650000000001</v>
      </c>
      <c r="AA5999">
        <v>0.97465760000000001</v>
      </c>
      <c r="AB5999">
        <v>35</v>
      </c>
      <c r="AC5999">
        <v>9.2500000000001095E-2</v>
      </c>
      <c r="AD5999">
        <v>-0.17497079999999901</v>
      </c>
      <c r="AE5999">
        <v>0.52832000000000001</v>
      </c>
      <c r="AF5999">
        <v>9.6835247345985795E-2</v>
      </c>
      <c r="AG5999">
        <v>-0.17497079999999901</v>
      </c>
      <c r="AH5999">
        <v>0.47499725840266799</v>
      </c>
      <c r="AI5999">
        <v>109.846420038535</v>
      </c>
      <c r="AJ5999">
        <v>78.477303662314597</v>
      </c>
      <c r="AK5999">
        <v>0.51537776579053995</v>
      </c>
      <c r="AL5999">
        <v>78.231836828474798</v>
      </c>
      <c r="AM5999">
        <v>90.421112191886493</v>
      </c>
      <c r="AN5999">
        <v>0.99999997394779905</v>
      </c>
    </row>
    <row r="6000" spans="1:40" x14ac:dyDescent="0.25">
      <c r="A6000" t="str">
        <f>"20190303170653696"</f>
        <v>20190303170653696</v>
      </c>
      <c r="B6000" t="str">
        <f>"1551604013690501"</f>
        <v>1551604013690501</v>
      </c>
      <c r="C6000" t="s">
        <v>40</v>
      </c>
      <c r="D6000">
        <v>5.4058570000000001</v>
      </c>
      <c r="E6000">
        <v>0.55699270000000001</v>
      </c>
      <c r="F6000" t="s">
        <v>42</v>
      </c>
      <c r="G6000">
        <v>-186.2885</v>
      </c>
      <c r="H6000">
        <v>0.95110050000000002</v>
      </c>
      <c r="I6000">
        <v>20.92745</v>
      </c>
      <c r="J6000">
        <v>-186.3783</v>
      </c>
      <c r="K6000">
        <v>1.1213219999999999</v>
      </c>
      <c r="L6000">
        <v>20.437840000000001</v>
      </c>
      <c r="M6000">
        <v>-2.8541150000000001E-2</v>
      </c>
      <c r="N6000">
        <v>-9.0621350000000007E-3</v>
      </c>
      <c r="O6000">
        <v>0.99955150000000004</v>
      </c>
      <c r="P6000">
        <v>-3.5260100000000003E-2</v>
      </c>
      <c r="Q6000">
        <v>0.19465740000000001</v>
      </c>
      <c r="R6000">
        <v>0.98023740000000004</v>
      </c>
      <c r="S6000">
        <v>0.3008728</v>
      </c>
      <c r="T6000">
        <v>-0.64708889999999997</v>
      </c>
      <c r="U6000">
        <v>3.199951</v>
      </c>
      <c r="V6000">
        <v>-7.6333290000000003E-3</v>
      </c>
      <c r="W6000">
        <v>0.2035245</v>
      </c>
      <c r="X6000">
        <v>0.97904009999999997</v>
      </c>
      <c r="Y6000">
        <v>0.1202025</v>
      </c>
      <c r="Z6000">
        <v>-0.1880452</v>
      </c>
      <c r="AA6000">
        <v>0.97477709999999995</v>
      </c>
      <c r="AB6000">
        <v>35</v>
      </c>
      <c r="AC6000">
        <v>8.9799999999996702E-2</v>
      </c>
      <c r="AD6000">
        <v>-0.1702215</v>
      </c>
      <c r="AE6000">
        <v>0.48961000000000199</v>
      </c>
      <c r="AF6000">
        <v>9.2877075823987201E-2</v>
      </c>
      <c r="AG6000">
        <v>-0.1702215</v>
      </c>
      <c r="AH6000">
        <v>0.43587649714784399</v>
      </c>
      <c r="AI6000">
        <v>110.90446477594899</v>
      </c>
      <c r="AJ6000">
        <v>77.971244314743601</v>
      </c>
      <c r="AK6000">
        <v>0.47706375993334399</v>
      </c>
      <c r="AL6000">
        <v>78.256861738400801</v>
      </c>
      <c r="AM6000">
        <v>90.446711706130699</v>
      </c>
      <c r="AN6000">
        <v>1.0000000036099399</v>
      </c>
    </row>
    <row r="6001" spans="1:40" x14ac:dyDescent="0.25">
      <c r="A6001" t="str">
        <f>"20190303170653718"</f>
        <v>20190303170653718</v>
      </c>
      <c r="B6001" t="str">
        <f>"1551604013710997"</f>
        <v>1551604013710997</v>
      </c>
      <c r="C6001" t="s">
        <v>40</v>
      </c>
      <c r="D6001">
        <v>5.4405679999999998</v>
      </c>
      <c r="E6001">
        <v>0.53458190000000005</v>
      </c>
      <c r="F6001" t="s">
        <v>42</v>
      </c>
      <c r="G6001">
        <v>-186.30359999999999</v>
      </c>
      <c r="H6001">
        <v>0.95819310000000002</v>
      </c>
      <c r="I6001">
        <v>21.242519999999999</v>
      </c>
      <c r="J6001">
        <v>-186.38929999999999</v>
      </c>
      <c r="K6001">
        <v>1.1212899999999999</v>
      </c>
      <c r="L6001">
        <v>20.798459999999999</v>
      </c>
      <c r="M6001">
        <v>-2.9264439999999999E-2</v>
      </c>
      <c r="N6001">
        <v>-9.14097E-3</v>
      </c>
      <c r="O6001">
        <v>0.99952989999999997</v>
      </c>
      <c r="P6001">
        <v>-3.611843E-2</v>
      </c>
      <c r="Q6001">
        <v>0.19528889999999999</v>
      </c>
      <c r="R6001">
        <v>0.98008050000000002</v>
      </c>
      <c r="S6001">
        <v>0.29696660000000002</v>
      </c>
      <c r="T6001">
        <v>-0.64873139999999996</v>
      </c>
      <c r="U6001">
        <v>3.1999819999999999</v>
      </c>
      <c r="V6001">
        <v>-7.7661429999999997E-3</v>
      </c>
      <c r="W6001">
        <v>0.20423259999999999</v>
      </c>
      <c r="X6001">
        <v>0.97889159999999997</v>
      </c>
      <c r="Y6001">
        <v>0.11973200000000001</v>
      </c>
      <c r="Z6001">
        <v>-0.18845700000000001</v>
      </c>
      <c r="AA6001">
        <v>0.9747555</v>
      </c>
      <c r="AB6001">
        <v>35</v>
      </c>
      <c r="AC6001">
        <v>8.5700000000002705E-2</v>
      </c>
      <c r="AD6001">
        <v>-0.16309689999999899</v>
      </c>
      <c r="AE6001">
        <v>0.44406000000000001</v>
      </c>
      <c r="AF6001">
        <v>8.7304617779247903E-2</v>
      </c>
      <c r="AG6001">
        <v>-0.16309689999999899</v>
      </c>
      <c r="AH6001">
        <v>0.39056665955711001</v>
      </c>
      <c r="AI6001">
        <v>112.172513118046</v>
      </c>
      <c r="AJ6001">
        <v>77.399633096090696</v>
      </c>
      <c r="AK6001">
        <v>0.43216317593333903</v>
      </c>
      <c r="AL6001">
        <v>78.215420315759999</v>
      </c>
      <c r="AM6001">
        <v>90.454552763162695</v>
      </c>
      <c r="AN6001">
        <v>1.0000000162152001</v>
      </c>
    </row>
    <row r="6002" spans="1:40" x14ac:dyDescent="0.25">
      <c r="A6002" t="str">
        <f>"20190303170653743"</f>
        <v>20190303170653743</v>
      </c>
      <c r="B6002" t="str">
        <f>"1551604013730516"</f>
        <v>1551604013730516</v>
      </c>
      <c r="C6002" t="s">
        <v>40</v>
      </c>
      <c r="D6002">
        <v>5.4542330000000003</v>
      </c>
      <c r="E6002">
        <v>0.52510400000000002</v>
      </c>
      <c r="F6002" t="s">
        <v>42</v>
      </c>
      <c r="G6002">
        <v>-186.35980000000001</v>
      </c>
      <c r="H6002">
        <v>0.99060550000000003</v>
      </c>
      <c r="I6002">
        <v>21.569030000000001</v>
      </c>
      <c r="J6002">
        <v>-186.40090000000001</v>
      </c>
      <c r="K6002">
        <v>1.1212519999999999</v>
      </c>
      <c r="L6002">
        <v>21.169530000000002</v>
      </c>
      <c r="M6002">
        <v>-2.994173E-2</v>
      </c>
      <c r="N6002">
        <v>-9.2250879999999993E-3</v>
      </c>
      <c r="O6002">
        <v>0.99950910000000004</v>
      </c>
      <c r="P6002">
        <v>-3.6616080000000002E-2</v>
      </c>
      <c r="Q6002">
        <v>0.1976543</v>
      </c>
      <c r="R6002">
        <v>0.97958769999999995</v>
      </c>
      <c r="S6002">
        <v>0.1212463</v>
      </c>
      <c r="T6002">
        <v>-0.53807950000000004</v>
      </c>
      <c r="U6002">
        <v>3.1726679999999998</v>
      </c>
      <c r="V6002">
        <v>-7.5927210000000002E-3</v>
      </c>
      <c r="W6002">
        <v>0.20667740000000001</v>
      </c>
      <c r="X6002">
        <v>0.97837969999999996</v>
      </c>
      <c r="Y6002">
        <v>6.7557549999999994E-2</v>
      </c>
      <c r="Z6002">
        <v>-0.1577404</v>
      </c>
      <c r="AA6002">
        <v>0.98516700000000001</v>
      </c>
      <c r="AB6002">
        <v>35</v>
      </c>
      <c r="AC6002">
        <v>4.1100000000000102E-2</v>
      </c>
      <c r="AD6002">
        <v>-0.1306465</v>
      </c>
      <c r="AE6002">
        <v>0.39949999999999902</v>
      </c>
      <c r="AF6002">
        <v>4.7967613142931798E-2</v>
      </c>
      <c r="AG6002">
        <v>-0.1306465</v>
      </c>
      <c r="AH6002">
        <v>0.35999375700733399</v>
      </c>
      <c r="AI6002">
        <v>109.785375827134</v>
      </c>
      <c r="AJ6002">
        <v>82.410291100241807</v>
      </c>
      <c r="AK6002">
        <v>0.38595971934534201</v>
      </c>
      <c r="AL6002">
        <v>78.072290107964804</v>
      </c>
      <c r="AM6002">
        <v>90.444635283547598</v>
      </c>
      <c r="AN6002">
        <v>1.0000000172275101</v>
      </c>
    </row>
    <row r="6003" spans="1:40" x14ac:dyDescent="0.25">
      <c r="A6003" t="str">
        <f>"20190303170653767"</f>
        <v>20190303170653767</v>
      </c>
      <c r="B6003" t="str">
        <f>"1551604013760773"</f>
        <v>1551604013760773</v>
      </c>
      <c r="C6003" t="s">
        <v>40</v>
      </c>
      <c r="D6003">
        <v>5.5501620000000003</v>
      </c>
      <c r="E6003">
        <v>0.48875489999999999</v>
      </c>
      <c r="F6003" t="s">
        <v>42</v>
      </c>
      <c r="G6003">
        <v>-186.38929999999999</v>
      </c>
      <c r="H6003">
        <v>1.025131</v>
      </c>
      <c r="I6003">
        <v>21.898099999999999</v>
      </c>
      <c r="J6003">
        <v>-186.4128</v>
      </c>
      <c r="K6003">
        <v>1.1212040000000001</v>
      </c>
      <c r="L6003">
        <v>21.548400000000001</v>
      </c>
      <c r="M6003">
        <v>-3.054488E-2</v>
      </c>
      <c r="N6003">
        <v>-9.3065319999999993E-3</v>
      </c>
      <c r="O6003">
        <v>0.99949010000000005</v>
      </c>
      <c r="P6003">
        <v>-3.6571100000000002E-2</v>
      </c>
      <c r="Q6003">
        <v>0.1992439</v>
      </c>
      <c r="R6003">
        <v>0.97926729999999995</v>
      </c>
      <c r="S6003">
        <v>4.9377440000000002E-2</v>
      </c>
      <c r="T6003">
        <v>-0.41535630000000001</v>
      </c>
      <c r="U6003">
        <v>3.1481629999999998</v>
      </c>
      <c r="V6003">
        <v>-6.9384709999999999E-3</v>
      </c>
      <c r="W6003">
        <v>0.208345</v>
      </c>
      <c r="X6003">
        <v>0.97803079999999998</v>
      </c>
      <c r="Y6003">
        <v>4.6071300000000003E-2</v>
      </c>
      <c r="Z6003">
        <v>-0.1213993</v>
      </c>
      <c r="AA6003">
        <v>0.99153400000000003</v>
      </c>
      <c r="AB6003">
        <v>35</v>
      </c>
      <c r="AC6003">
        <v>2.3500000000012702E-2</v>
      </c>
      <c r="AD6003">
        <v>-9.6073000000000006E-2</v>
      </c>
      <c r="AE6003">
        <v>0.34969999999999801</v>
      </c>
      <c r="AF6003">
        <v>3.17829601479016E-2</v>
      </c>
      <c r="AG6003">
        <v>-9.6073000000000006E-2</v>
      </c>
      <c r="AH6003">
        <v>0.32444138321180499</v>
      </c>
      <c r="AI6003">
        <v>106.420640166276</v>
      </c>
      <c r="AJ6003">
        <v>84.405036874392593</v>
      </c>
      <c r="AK6003">
        <v>0.33985642413400502</v>
      </c>
      <c r="AL6003">
        <v>77.974617537235602</v>
      </c>
      <c r="AM6003">
        <v>90.4064682169127</v>
      </c>
      <c r="AN6003">
        <v>1.00000001357672</v>
      </c>
    </row>
    <row r="6004" spans="1:40" x14ac:dyDescent="0.25">
      <c r="A6004" t="str">
        <f>"20190303170653787"</f>
        <v>20190303170653787</v>
      </c>
      <c r="B6004" t="str">
        <f>"1551604013781269"</f>
        <v>1551604013781269</v>
      </c>
      <c r="C6004" t="s">
        <v>40</v>
      </c>
      <c r="D6004">
        <v>5.5448329999999997</v>
      </c>
      <c r="E6004">
        <v>0.48987779999999997</v>
      </c>
      <c r="F6004" t="s">
        <v>41</v>
      </c>
      <c r="G6004">
        <v>-192.7336</v>
      </c>
      <c r="H6004" s="1">
        <v>-4.0250009999999998E-6</v>
      </c>
      <c r="I6004">
        <v>107.3895</v>
      </c>
      <c r="J6004">
        <v>-186.4229</v>
      </c>
      <c r="K6004">
        <v>1.1211580000000001</v>
      </c>
      <c r="L6004">
        <v>21.861940000000001</v>
      </c>
      <c r="M6004">
        <v>-3.098358E-2</v>
      </c>
      <c r="N6004">
        <v>-9.3681279999999999E-3</v>
      </c>
      <c r="O6004">
        <v>0.99947600000000003</v>
      </c>
      <c r="P6004">
        <v>-3.6640449999999998E-2</v>
      </c>
      <c r="Q6004">
        <v>0.1984573</v>
      </c>
      <c r="R6004">
        <v>0.97942439999999997</v>
      </c>
      <c r="S6004">
        <v>-0.22555539999999999</v>
      </c>
      <c r="T6004">
        <v>-4.0010209999999997E-2</v>
      </c>
      <c r="U6004">
        <v>3.0632320000000002</v>
      </c>
      <c r="V6004">
        <v>-6.5449569999999997E-3</v>
      </c>
      <c r="W6004">
        <v>0.2076221</v>
      </c>
      <c r="X6004">
        <v>0.97818720000000003</v>
      </c>
      <c r="Y6004">
        <v>-4.2492839999999997E-2</v>
      </c>
      <c r="Z6004">
        <v>-3.6701559999999999E-3</v>
      </c>
      <c r="AA6004">
        <v>0.99909000000000003</v>
      </c>
      <c r="AB6004">
        <v>35</v>
      </c>
      <c r="AC6004">
        <v>-6.31069999999999</v>
      </c>
      <c r="AD6004">
        <v>-1.1211620250009999</v>
      </c>
      <c r="AE6004">
        <v>85.527559999999994</v>
      </c>
      <c r="AF6004">
        <v>-3.6569786512455802</v>
      </c>
      <c r="AG6004">
        <v>-1.1211620250009999</v>
      </c>
      <c r="AH6004">
        <v>85.6673893437342</v>
      </c>
      <c r="AI6004">
        <v>90.749126895074198</v>
      </c>
      <c r="AJ6004">
        <v>92.444364298740396</v>
      </c>
      <c r="AK6004">
        <v>85.752738114376996</v>
      </c>
      <c r="AL6004">
        <v>78.016962305108905</v>
      </c>
      <c r="AM6004">
        <v>90.383354860238796</v>
      </c>
      <c r="AN6004">
        <v>0.99999998555719005</v>
      </c>
    </row>
    <row r="6005" spans="1:40" x14ac:dyDescent="0.25">
      <c r="A6005" t="str">
        <f>"20190303170653808"</f>
        <v>20190303170653808</v>
      </c>
      <c r="B6005" t="str">
        <f>"1551604013800789"</f>
        <v>1551604013800789</v>
      </c>
      <c r="C6005" t="s">
        <v>40</v>
      </c>
      <c r="D6005">
        <v>5.2774599999999996</v>
      </c>
      <c r="E6005">
        <v>0.48987730000000002</v>
      </c>
      <c r="F6005" t="s">
        <v>41</v>
      </c>
      <c r="G6005">
        <v>-190.40450000000001</v>
      </c>
      <c r="H6005" s="1">
        <v>-3.7708310000000002E-6</v>
      </c>
      <c r="I6005">
        <v>78.128109999999893</v>
      </c>
      <c r="J6005">
        <v>-186.43369999999999</v>
      </c>
      <c r="K6005">
        <v>1.121108</v>
      </c>
      <c r="L6005">
        <v>22.199369999999998</v>
      </c>
      <c r="M6005">
        <v>-3.1400740000000003E-2</v>
      </c>
      <c r="N6005">
        <v>-9.4299420000000002E-3</v>
      </c>
      <c r="O6005">
        <v>0.99946239999999997</v>
      </c>
      <c r="P6005">
        <v>-3.6625499999999998E-2</v>
      </c>
      <c r="Q6005">
        <v>0.19715530000000001</v>
      </c>
      <c r="R6005">
        <v>0.97968789999999994</v>
      </c>
      <c r="S6005">
        <v>-0.21705630000000001</v>
      </c>
      <c r="T6005">
        <v>-6.111896E-2</v>
      </c>
      <c r="U6005">
        <v>3.067291</v>
      </c>
      <c r="V6005">
        <v>-6.0848119999999898E-3</v>
      </c>
      <c r="W6005">
        <v>0.2063845</v>
      </c>
      <c r="X6005">
        <v>0.97845199999999999</v>
      </c>
      <c r="Y6005">
        <v>-3.9220400000000002E-2</v>
      </c>
      <c r="Z6005">
        <v>-1.045635E-2</v>
      </c>
      <c r="AA6005">
        <v>0.99917579999999995</v>
      </c>
      <c r="AB6005">
        <v>35</v>
      </c>
      <c r="AC6005">
        <v>-3.9708000000000201</v>
      </c>
      <c r="AD6005">
        <v>-1.1211117708310001</v>
      </c>
      <c r="AE6005">
        <v>55.928739999999898</v>
      </c>
      <c r="AF6005">
        <v>-2.2116755994844399</v>
      </c>
      <c r="AG6005">
        <v>-1.1211117708310001</v>
      </c>
      <c r="AH6005">
        <v>56.003459046581</v>
      </c>
      <c r="AI6005">
        <v>91.145936045550201</v>
      </c>
      <c r="AJ6005">
        <v>92.261536410622895</v>
      </c>
      <c r="AK6005">
        <v>56.058325213496403</v>
      </c>
      <c r="AL6005">
        <v>78.089441037712106</v>
      </c>
      <c r="AM6005">
        <v>90.356307261384899</v>
      </c>
      <c r="AN6005">
        <v>0.99999995154066101</v>
      </c>
    </row>
    <row r="6006" spans="1:40" x14ac:dyDescent="0.25">
      <c r="A6006" t="str">
        <f>"20190303170653831"</f>
        <v>20190303170653831</v>
      </c>
      <c r="B6006" t="str">
        <f>"1551604013821284"</f>
        <v>1551604013821284</v>
      </c>
      <c r="C6006" t="s">
        <v>40</v>
      </c>
      <c r="D6006">
        <v>5.5407349999999997</v>
      </c>
      <c r="E6006">
        <v>0.4900332</v>
      </c>
      <c r="F6006" t="s">
        <v>41</v>
      </c>
      <c r="G6006">
        <v>-189.64779999999999</v>
      </c>
      <c r="H6006" s="1">
        <v>-3.523076E-6</v>
      </c>
      <c r="I6006">
        <v>67.699529999999996</v>
      </c>
      <c r="J6006">
        <v>-186.4451</v>
      </c>
      <c r="K6006">
        <v>1.121062</v>
      </c>
      <c r="L6006">
        <v>22.549410000000002</v>
      </c>
      <c r="M6006">
        <v>-3.1776510000000001E-2</v>
      </c>
      <c r="N6006">
        <v>-9.4932530000000001E-3</v>
      </c>
      <c r="O6006">
        <v>0.9994499</v>
      </c>
      <c r="P6006">
        <v>-3.6967029999999998E-2</v>
      </c>
      <c r="Q6006">
        <v>0.19742000000000001</v>
      </c>
      <c r="R6006">
        <v>0.97962179999999999</v>
      </c>
      <c r="S6006">
        <v>-0.21681210000000001</v>
      </c>
      <c r="T6006">
        <v>-7.5626849999999995E-2</v>
      </c>
      <c r="U6006">
        <v>3.0693049999999999</v>
      </c>
      <c r="V6006">
        <v>-6.0335329999999998E-3</v>
      </c>
      <c r="W6006">
        <v>0.20671110000000001</v>
      </c>
      <c r="X6006">
        <v>0.97838340000000001</v>
      </c>
      <c r="Y6006">
        <v>-3.8714419999999999E-2</v>
      </c>
      <c r="Z6006">
        <v>-1.5092919999999999E-2</v>
      </c>
      <c r="AA6006">
        <v>0.99913629999999998</v>
      </c>
      <c r="AB6006">
        <v>35</v>
      </c>
      <c r="AC6006">
        <v>-3.2026999999999899</v>
      </c>
      <c r="AD6006">
        <v>-1.121065523076</v>
      </c>
      <c r="AE6006">
        <v>45.150120000000001</v>
      </c>
      <c r="AF6006">
        <v>-1.7652217352476001</v>
      </c>
      <c r="AG6006">
        <v>-1.121065523076</v>
      </c>
      <c r="AH6006">
        <v>45.201364478039203</v>
      </c>
      <c r="AI6006">
        <v>91.419653243549902</v>
      </c>
      <c r="AJ6006">
        <v>92.236401218397205</v>
      </c>
      <c r="AK6006">
        <v>45.2497087986007</v>
      </c>
      <c r="AL6006">
        <v>78.070316172016504</v>
      </c>
      <c r="AM6006">
        <v>90.353329374037997</v>
      </c>
      <c r="AN6006">
        <v>0.99999997988961498</v>
      </c>
    </row>
    <row r="6007" spans="1:40" x14ac:dyDescent="0.25">
      <c r="A6007" t="str">
        <f>"20190303170653852"</f>
        <v>20190303170653852</v>
      </c>
      <c r="B6007" t="str">
        <f>"1551604013840814"</f>
        <v>1551604013840814</v>
      </c>
      <c r="C6007" t="s">
        <v>40</v>
      </c>
      <c r="D6007">
        <v>5.4879949999999997</v>
      </c>
      <c r="E6007">
        <v>0.49038189999999998</v>
      </c>
      <c r="F6007" t="s">
        <v>41</v>
      </c>
      <c r="G6007">
        <v>-189.42150000000001</v>
      </c>
      <c r="H6007" s="1">
        <v>-2.2716669999999999E-6</v>
      </c>
      <c r="I6007">
        <v>64.688890000000001</v>
      </c>
      <c r="J6007">
        <v>-186.45650000000001</v>
      </c>
      <c r="K6007">
        <v>1.1210199999999999</v>
      </c>
      <c r="L6007">
        <v>22.895869999999999</v>
      </c>
      <c r="M6007">
        <v>-3.2096E-2</v>
      </c>
      <c r="N6007">
        <v>-9.5516860000000002E-3</v>
      </c>
      <c r="O6007">
        <v>0.99943910000000002</v>
      </c>
      <c r="P6007">
        <v>-3.6493640000000001E-2</v>
      </c>
      <c r="Q6007">
        <v>0.1985162</v>
      </c>
      <c r="R6007">
        <v>0.97941800000000001</v>
      </c>
      <c r="S6007">
        <v>-0.21688840000000001</v>
      </c>
      <c r="T6007">
        <v>-8.1691269999999996E-2</v>
      </c>
      <c r="U6007">
        <v>3.0706790000000002</v>
      </c>
      <c r="V6007">
        <v>-5.2307270000000001E-3</v>
      </c>
      <c r="W6007">
        <v>0.20786370000000001</v>
      </c>
      <c r="X6007">
        <v>0.97814380000000001</v>
      </c>
      <c r="Y6007">
        <v>-3.8385759999999998E-2</v>
      </c>
      <c r="Z6007">
        <v>-1.6992159999999999E-2</v>
      </c>
      <c r="AA6007">
        <v>0.99911850000000002</v>
      </c>
      <c r="AB6007">
        <v>35</v>
      </c>
      <c r="AC6007">
        <v>-2.9649999999999999</v>
      </c>
      <c r="AD6007">
        <v>-1.121022271667</v>
      </c>
      <c r="AE6007">
        <v>41.793019999999999</v>
      </c>
      <c r="AF6007">
        <v>-1.6208618911455701</v>
      </c>
      <c r="AG6007">
        <v>-1.121022271667</v>
      </c>
      <c r="AH6007">
        <v>41.836704780982799</v>
      </c>
      <c r="AI6007">
        <v>91.533733704029999</v>
      </c>
      <c r="AJ6007">
        <v>92.218676709376496</v>
      </c>
      <c r="AK6007">
        <v>41.883096245798797</v>
      </c>
      <c r="AL6007">
        <v>78.002810914035393</v>
      </c>
      <c r="AM6007">
        <v>90.3063922954059</v>
      </c>
      <c r="AN6007">
        <v>0.99999998588053896</v>
      </c>
    </row>
    <row r="6008" spans="1:40" x14ac:dyDescent="0.25">
      <c r="A6008" t="str">
        <f>"20190303170653874"</f>
        <v>20190303170653874</v>
      </c>
      <c r="B6008" t="str">
        <f>"1551604013861301"</f>
        <v>1551604013861301</v>
      </c>
      <c r="C6008" t="s">
        <v>40</v>
      </c>
      <c r="D6008">
        <v>5.306781</v>
      </c>
      <c r="E6008">
        <v>0.49092429999999898</v>
      </c>
      <c r="F6008" t="s">
        <v>41</v>
      </c>
      <c r="G6008">
        <v>-189.3323</v>
      </c>
      <c r="H6008" s="1">
        <v>-2.1315019999999999E-6</v>
      </c>
      <c r="I6008">
        <v>64.325280000000006</v>
      </c>
      <c r="J6008">
        <v>-186.46789999999999</v>
      </c>
      <c r="K6008">
        <v>1.120986</v>
      </c>
      <c r="L6008">
        <v>23.24353</v>
      </c>
      <c r="M6008">
        <v>-3.237276E-2</v>
      </c>
      <c r="N6008">
        <v>-9.6044489999999993E-3</v>
      </c>
      <c r="O6008">
        <v>0.99942969999999998</v>
      </c>
      <c r="P6008">
        <v>-3.581753E-2</v>
      </c>
      <c r="Q6008">
        <v>0.19875190000000001</v>
      </c>
      <c r="R6008">
        <v>0.97939509999999996</v>
      </c>
      <c r="S6008">
        <v>-0.2132416</v>
      </c>
      <c r="T6008">
        <v>-8.3122970000000004E-2</v>
      </c>
      <c r="U6008">
        <v>3.0719599999999998</v>
      </c>
      <c r="V6008">
        <v>-4.2626460000000001E-3</v>
      </c>
      <c r="W6008">
        <v>0.208152</v>
      </c>
      <c r="X6008">
        <v>0.97808720000000005</v>
      </c>
      <c r="Y6008">
        <v>-3.6899040000000001E-2</v>
      </c>
      <c r="Z6008">
        <v>-1.7394380000000001E-2</v>
      </c>
      <c r="AA6008">
        <v>0.99916760000000004</v>
      </c>
      <c r="AB6008">
        <v>35</v>
      </c>
      <c r="AC6008">
        <v>-2.86440000000001</v>
      </c>
      <c r="AD6008">
        <v>-1.1209881315020001</v>
      </c>
      <c r="AE6008">
        <v>41.08175</v>
      </c>
      <c r="AF6008">
        <v>-1.5317725383766301</v>
      </c>
      <c r="AG6008">
        <v>-1.1209881315020001</v>
      </c>
      <c r="AH6008">
        <v>41.122478100153899</v>
      </c>
      <c r="AI6008">
        <v>91.560399842510094</v>
      </c>
      <c r="AJ6008">
        <v>92.133226128779597</v>
      </c>
      <c r="AK6008">
        <v>41.166262237394498</v>
      </c>
      <c r="AL6008">
        <v>77.9859233053634</v>
      </c>
      <c r="AM6008">
        <v>90.249701743475001</v>
      </c>
      <c r="AN6008">
        <v>0.99999999802938</v>
      </c>
    </row>
    <row r="6009" spans="1:40" x14ac:dyDescent="0.25">
      <c r="A6009" t="str">
        <f>"20190303170653898"</f>
        <v>20190303170653898</v>
      </c>
      <c r="B6009" t="str">
        <f>"1551604013890581"</f>
        <v>1551604013890581</v>
      </c>
      <c r="C6009" t="s">
        <v>40</v>
      </c>
      <c r="D6009">
        <v>5.3395720000000004</v>
      </c>
      <c r="E6009">
        <v>0.49139450000000001</v>
      </c>
      <c r="F6009" t="s">
        <v>41</v>
      </c>
      <c r="G6009">
        <v>-189.09460000000001</v>
      </c>
      <c r="H6009" s="1">
        <v>-1.2266579999999999E-6</v>
      </c>
      <c r="I6009">
        <v>62.117759999999997</v>
      </c>
      <c r="J6009">
        <v>-186.48</v>
      </c>
      <c r="K6009">
        <v>1.120949</v>
      </c>
      <c r="L6009">
        <v>23.607939999999999</v>
      </c>
      <c r="M6009">
        <v>-3.2628650000000002E-2</v>
      </c>
      <c r="N6009">
        <v>-9.6540589999999996E-3</v>
      </c>
      <c r="O6009">
        <v>0.99942089999999995</v>
      </c>
      <c r="P6009">
        <v>-3.5370489999999997E-2</v>
      </c>
      <c r="Q6009">
        <v>0.19831270000000001</v>
      </c>
      <c r="R6009">
        <v>0.97950040000000005</v>
      </c>
      <c r="S6009">
        <v>-0.2076721</v>
      </c>
      <c r="T6009">
        <v>-8.8627819999999996E-2</v>
      </c>
      <c r="U6009">
        <v>3.0734859999999999</v>
      </c>
      <c r="V6009">
        <v>-3.5414410000000002E-3</v>
      </c>
      <c r="W6009">
        <v>0.20776339999999999</v>
      </c>
      <c r="X6009">
        <v>0.97817270000000001</v>
      </c>
      <c r="Y6009">
        <v>-3.4804580000000002E-2</v>
      </c>
      <c r="Z6009">
        <v>-1.9118989999999999E-2</v>
      </c>
      <c r="AA6009">
        <v>0.99921130000000002</v>
      </c>
      <c r="AB6009">
        <v>35</v>
      </c>
      <c r="AC6009">
        <v>-2.6146000000000198</v>
      </c>
      <c r="AD6009">
        <v>-1.120950226658</v>
      </c>
      <c r="AE6009">
        <v>38.509819999999998</v>
      </c>
      <c r="AF6009">
        <v>-1.35548248073177</v>
      </c>
      <c r="AG6009">
        <v>-1.120950226658</v>
      </c>
      <c r="AH6009">
        <v>38.542121811151198</v>
      </c>
      <c r="AI6009">
        <v>91.664878994717895</v>
      </c>
      <c r="AJ6009">
        <v>92.014197095031506</v>
      </c>
      <c r="AK6009">
        <v>38.582237051159098</v>
      </c>
      <c r="AL6009">
        <v>78.008686133087707</v>
      </c>
      <c r="AM6009">
        <v>90.207436515184895</v>
      </c>
      <c r="AN6009">
        <v>1.0000000016046</v>
      </c>
    </row>
    <row r="6010" spans="1:40" x14ac:dyDescent="0.25">
      <c r="A6010" t="str">
        <f>"20190303170653920"</f>
        <v>20190303170653920</v>
      </c>
      <c r="B6010" t="str">
        <f>"1551604013911077"</f>
        <v>1551604013911077</v>
      </c>
      <c r="C6010" t="s">
        <v>40</v>
      </c>
      <c r="D6010">
        <v>5.53024</v>
      </c>
      <c r="E6010">
        <v>0.49149520000000002</v>
      </c>
      <c r="F6010" t="s">
        <v>41</v>
      </c>
      <c r="G6010">
        <v>-188.84960000000001</v>
      </c>
      <c r="H6010" s="1">
        <v>-4.409833E-6</v>
      </c>
      <c r="I6010">
        <v>59.436520000000002</v>
      </c>
      <c r="J6010">
        <v>-186.49180000000001</v>
      </c>
      <c r="K6010">
        <v>1.1209070000000001</v>
      </c>
      <c r="L6010">
        <v>23.962009999999999</v>
      </c>
      <c r="M6010">
        <v>-3.285503E-2</v>
      </c>
      <c r="N6010">
        <v>-9.6929609999999999E-3</v>
      </c>
      <c r="O6010">
        <v>0.99941310000000005</v>
      </c>
      <c r="P6010">
        <v>-3.4981169999999999E-2</v>
      </c>
      <c r="Q6010">
        <v>0.1975355</v>
      </c>
      <c r="R6010">
        <v>0.97967139999999997</v>
      </c>
      <c r="S6010">
        <v>-0.2033691</v>
      </c>
      <c r="T6010">
        <v>-9.620368E-2</v>
      </c>
      <c r="U6010">
        <v>3.0749209999999998</v>
      </c>
      <c r="V6010">
        <v>-2.9094260000000001E-3</v>
      </c>
      <c r="W6010">
        <v>0.2070264</v>
      </c>
      <c r="X6010">
        <v>0.97833099999999995</v>
      </c>
      <c r="Y6010">
        <v>-3.3151390000000003E-2</v>
      </c>
      <c r="Z6010">
        <v>-2.1524120000000001E-2</v>
      </c>
      <c r="AA6010">
        <v>0.99921850000000001</v>
      </c>
      <c r="AB6010">
        <v>35</v>
      </c>
      <c r="AC6010">
        <v>-2.3577999999999899</v>
      </c>
      <c r="AD6010">
        <v>-1.120911409833</v>
      </c>
      <c r="AE6010">
        <v>35.474509999999903</v>
      </c>
      <c r="AF6010">
        <v>-1.1897734351082401</v>
      </c>
      <c r="AG6010">
        <v>-1.120911409833</v>
      </c>
      <c r="AH6010">
        <v>35.497540433187602</v>
      </c>
      <c r="AI6010">
        <v>91.807622471156705</v>
      </c>
      <c r="AJ6010">
        <v>91.919667838782104</v>
      </c>
      <c r="AK6010">
        <v>35.535156957882897</v>
      </c>
      <c r="AL6010">
        <v>78.0518512790469</v>
      </c>
      <c r="AM6010">
        <v>90.170389509470198</v>
      </c>
      <c r="AN6010">
        <v>0.99999997030880405</v>
      </c>
    </row>
    <row r="6011" spans="1:40" x14ac:dyDescent="0.25">
      <c r="A6011" t="str">
        <f>"20190303170653946"</f>
        <v>20190303170653946</v>
      </c>
      <c r="B6011" t="str">
        <f>"1551604013941333"</f>
        <v>1551604013941333</v>
      </c>
      <c r="C6011" t="s">
        <v>40</v>
      </c>
      <c r="D6011">
        <v>5.3716330000000001</v>
      </c>
      <c r="E6011">
        <v>0.49163950000000001</v>
      </c>
      <c r="F6011" t="s">
        <v>41</v>
      </c>
      <c r="G6011">
        <v>-188.6961</v>
      </c>
      <c r="H6011" s="1">
        <v>-3.6578579999999999E-6</v>
      </c>
      <c r="I6011">
        <v>57.620170000000002</v>
      </c>
      <c r="J6011">
        <v>-186.50399999999999</v>
      </c>
      <c r="K6011">
        <v>1.1208769999999999</v>
      </c>
      <c r="L6011">
        <v>24.32544</v>
      </c>
      <c r="M6011">
        <v>-3.3073859999999997E-2</v>
      </c>
      <c r="N6011">
        <v>-9.719419E-3</v>
      </c>
      <c r="O6011">
        <v>0.99940560000000001</v>
      </c>
      <c r="P6011">
        <v>-3.473445E-2</v>
      </c>
      <c r="Q6011">
        <v>0.1974738</v>
      </c>
      <c r="R6011">
        <v>0.97969260000000002</v>
      </c>
      <c r="S6011">
        <v>-0.20143130000000001</v>
      </c>
      <c r="T6011">
        <v>-0.1024299</v>
      </c>
      <c r="U6011">
        <v>3.0757140000000001</v>
      </c>
      <c r="V6011">
        <v>-2.43501E-3</v>
      </c>
      <c r="W6011">
        <v>0.20699100000000001</v>
      </c>
      <c r="X6011">
        <v>0.97833990000000004</v>
      </c>
      <c r="Y6011">
        <v>-3.2285620000000001E-2</v>
      </c>
      <c r="Z6011">
        <v>-2.3507730000000001E-2</v>
      </c>
      <c r="AA6011">
        <v>0.99920220000000004</v>
      </c>
      <c r="AB6011">
        <v>35</v>
      </c>
      <c r="AC6011">
        <v>-2.19209999999998</v>
      </c>
      <c r="AD6011">
        <v>-1.120880657858</v>
      </c>
      <c r="AE6011">
        <v>33.294729999999902</v>
      </c>
      <c r="AF6011">
        <v>-1.0884350369390901</v>
      </c>
      <c r="AG6011">
        <v>-1.120880657858</v>
      </c>
      <c r="AH6011">
        <v>33.311426829181599</v>
      </c>
      <c r="AI6011">
        <v>91.926164670783294</v>
      </c>
      <c r="AJ6011">
        <v>91.8714465485766</v>
      </c>
      <c r="AK6011">
        <v>33.348046744520403</v>
      </c>
      <c r="AL6011">
        <v>78.053925806216895</v>
      </c>
      <c r="AM6011">
        <v>90.142604332079202</v>
      </c>
      <c r="AN6011">
        <v>1.0000000816433501</v>
      </c>
    </row>
    <row r="6012" spans="1:40" x14ac:dyDescent="0.25">
      <c r="A6012" t="str">
        <f>"20190303170653987"</f>
        <v>20190303170653987</v>
      </c>
      <c r="B6012" t="str">
        <f>"1551604013981350"</f>
        <v>1551604013981350</v>
      </c>
      <c r="C6012" t="s">
        <v>40</v>
      </c>
      <c r="D6012">
        <v>5.5918020000000004</v>
      </c>
      <c r="E6012">
        <v>0.49160749999999998</v>
      </c>
      <c r="F6012" t="s">
        <v>41</v>
      </c>
      <c r="G6012">
        <v>-188.6198</v>
      </c>
      <c r="H6012" s="1">
        <v>-3.359961E-6</v>
      </c>
      <c r="I6012">
        <v>56.894219999999997</v>
      </c>
      <c r="J6012">
        <v>-186.52709999999999</v>
      </c>
      <c r="K6012">
        <v>1.1208469999999999</v>
      </c>
      <c r="L6012">
        <v>25.010439999999999</v>
      </c>
      <c r="M6012">
        <v>-3.3470409999999999E-2</v>
      </c>
      <c r="N6012">
        <v>-9.7375670000000008E-3</v>
      </c>
      <c r="O6012">
        <v>0.99939230000000001</v>
      </c>
      <c r="P6012">
        <v>-3.5290019999999998E-2</v>
      </c>
      <c r="Q6012">
        <v>0.19788130000000001</v>
      </c>
      <c r="R6012">
        <v>0.97959050000000003</v>
      </c>
      <c r="S6012">
        <v>-0.1998596</v>
      </c>
      <c r="T6012">
        <v>-0.105878399999999</v>
      </c>
      <c r="U6012">
        <v>3.0764469999999999</v>
      </c>
      <c r="V6012">
        <v>-2.5910519999999999E-3</v>
      </c>
      <c r="W6012">
        <v>0.20741589999999999</v>
      </c>
      <c r="X6012">
        <v>0.97824940000000005</v>
      </c>
      <c r="Y6012">
        <v>-3.1363509999999997E-2</v>
      </c>
      <c r="Z6012">
        <v>-2.4599070000000001E-2</v>
      </c>
      <c r="AA6012">
        <v>0.99920529999999996</v>
      </c>
      <c r="AB6012">
        <v>35</v>
      </c>
      <c r="AC6012">
        <v>-2.0926999999999998</v>
      </c>
      <c r="AD6012">
        <v>-1.120850359961</v>
      </c>
      <c r="AE6012">
        <v>31.883780000000002</v>
      </c>
      <c r="AF6012">
        <v>-1.0230547220942501</v>
      </c>
      <c r="AG6012">
        <v>-1.120850359961</v>
      </c>
      <c r="AH6012">
        <v>31.896711405499701</v>
      </c>
      <c r="AI6012">
        <v>92.011511900659201</v>
      </c>
      <c r="AJ6012">
        <v>91.837074329468095</v>
      </c>
      <c r="AK6012">
        <v>31.932791061533599</v>
      </c>
      <c r="AL6012">
        <v>78.029039524625503</v>
      </c>
      <c r="AM6012">
        <v>90.151756798357994</v>
      </c>
      <c r="AN6012">
        <v>0.99999997886181802</v>
      </c>
    </row>
    <row r="6013" spans="1:40" x14ac:dyDescent="0.25">
      <c r="A6013" t="str">
        <f>"20190303170654009"</f>
        <v>20190303170654009</v>
      </c>
      <c r="B6013" t="str">
        <f>"1551604014000869"</f>
        <v>1551604014000869</v>
      </c>
      <c r="C6013" t="s">
        <v>40</v>
      </c>
      <c r="D6013">
        <v>5.5815130000000002</v>
      </c>
      <c r="E6013">
        <v>0.4917685</v>
      </c>
      <c r="F6013" t="s">
        <v>41</v>
      </c>
      <c r="G6013">
        <v>-188.6935</v>
      </c>
      <c r="H6013" s="1">
        <v>-3.812318E-6</v>
      </c>
      <c r="I6013">
        <v>57.97916</v>
      </c>
      <c r="J6013">
        <v>-186.5394</v>
      </c>
      <c r="K6013">
        <v>1.120835</v>
      </c>
      <c r="L6013">
        <v>25.371089999999999</v>
      </c>
      <c r="M6013">
        <v>-3.3678420000000001E-2</v>
      </c>
      <c r="N6013">
        <v>-9.7350309999999999E-3</v>
      </c>
      <c r="O6013">
        <v>0.99938530000000003</v>
      </c>
      <c r="P6013">
        <v>-3.529939E-2</v>
      </c>
      <c r="Q6013">
        <v>0.1972517</v>
      </c>
      <c r="R6013">
        <v>0.97971719999999896</v>
      </c>
      <c r="S6013">
        <v>-0.20214840000000001</v>
      </c>
      <c r="T6013">
        <v>-0.104588</v>
      </c>
      <c r="U6013">
        <v>3.076355</v>
      </c>
      <c r="V6013">
        <v>-2.387999E-3</v>
      </c>
      <c r="W6013">
        <v>0.20678479999999999</v>
      </c>
      <c r="X6013">
        <v>0.97838349999999996</v>
      </c>
      <c r="Y6013">
        <v>-3.1898269999999999E-2</v>
      </c>
      <c r="Z6013">
        <v>-2.4183429999999999E-2</v>
      </c>
      <c r="AA6013">
        <v>0.99919849999999999</v>
      </c>
      <c r="AB6013">
        <v>35</v>
      </c>
      <c r="AC6013">
        <v>-2.1541000000000001</v>
      </c>
      <c r="AD6013">
        <v>-1.120838812318</v>
      </c>
      <c r="AE6013">
        <v>32.608069999999998</v>
      </c>
      <c r="AF6013">
        <v>-1.05339839227673</v>
      </c>
      <c r="AG6013">
        <v>-1.120838812318</v>
      </c>
      <c r="AH6013">
        <v>32.623742812433399</v>
      </c>
      <c r="AI6013">
        <v>91.966686415580696</v>
      </c>
      <c r="AJ6013">
        <v>91.849399071373199</v>
      </c>
      <c r="AK6013">
        <v>32.659983510526303</v>
      </c>
      <c r="AL6013">
        <v>78.0660000380025</v>
      </c>
      <c r="AM6013">
        <v>90.139844950865296</v>
      </c>
      <c r="AN6013">
        <v>0.99999996456125595</v>
      </c>
    </row>
    <row r="6014" spans="1:40" x14ac:dyDescent="0.25">
      <c r="A6014" t="str">
        <f>"20190303170654032"</f>
        <v>20190303170654032</v>
      </c>
      <c r="B6014" t="str">
        <f>"1551604014020389"</f>
        <v>1551604014020389</v>
      </c>
      <c r="C6014" t="s">
        <v>40</v>
      </c>
      <c r="D6014">
        <v>5.4023979999999998</v>
      </c>
      <c r="E6014">
        <v>0.49180669999999999</v>
      </c>
      <c r="F6014" t="s">
        <v>41</v>
      </c>
      <c r="G6014">
        <v>-188.5889</v>
      </c>
      <c r="H6014" s="1">
        <v>-3.3197039999999999E-6</v>
      </c>
      <c r="I6014">
        <v>56.787619999999997</v>
      </c>
      <c r="J6014">
        <v>-186.55170000000001</v>
      </c>
      <c r="K6014">
        <v>1.1208279999999999</v>
      </c>
      <c r="L6014">
        <v>25.728490000000001</v>
      </c>
      <c r="M6014">
        <v>-3.3886260000000001E-2</v>
      </c>
      <c r="N6014">
        <v>-9.7239019999999995E-3</v>
      </c>
      <c r="O6014">
        <v>0.9993784</v>
      </c>
      <c r="P6014">
        <v>-3.5343819999999998E-2</v>
      </c>
      <c r="Q6014">
        <v>0.197098</v>
      </c>
      <c r="R6014">
        <v>0.97974649999999996</v>
      </c>
      <c r="S6014">
        <v>-0.2007294</v>
      </c>
      <c r="T6014">
        <v>-0.109776</v>
      </c>
      <c r="U6014">
        <v>3.076965</v>
      </c>
      <c r="V6014">
        <v>-2.2238589999999999E-3</v>
      </c>
      <c r="W6014">
        <v>0.206621</v>
      </c>
      <c r="X6014">
        <v>0.97841849999999997</v>
      </c>
      <c r="Y6014">
        <v>-3.1215739999999999E-2</v>
      </c>
      <c r="Z6014">
        <v>-2.5868209999999999E-2</v>
      </c>
      <c r="AA6014">
        <v>0.99917789999999995</v>
      </c>
      <c r="AB6014">
        <v>36</v>
      </c>
      <c r="AC6014">
        <v>-2.0371999999999799</v>
      </c>
      <c r="AD6014">
        <v>-1.1208313197040001</v>
      </c>
      <c r="AE6014">
        <v>31.05913</v>
      </c>
      <c r="AF6014">
        <v>-0.98222876047866603</v>
      </c>
      <c r="AG6014">
        <v>-1.1208313197040001</v>
      </c>
      <c r="AH6014">
        <v>31.070038939384801</v>
      </c>
      <c r="AI6014">
        <v>92.064981124716596</v>
      </c>
      <c r="AJ6014">
        <v>91.810709854664495</v>
      </c>
      <c r="AK6014">
        <v>31.1057608150007</v>
      </c>
      <c r="AL6014">
        <v>78.075592334646501</v>
      </c>
      <c r="AM6014">
        <v>90.130228031781897</v>
      </c>
      <c r="AN6014">
        <v>0.99999997216604997</v>
      </c>
    </row>
    <row r="6015" spans="1:40" x14ac:dyDescent="0.25">
      <c r="A6015" t="str">
        <f>"20190303170654054"</f>
        <v>20190303170654054</v>
      </c>
      <c r="B6015" t="str">
        <f>"1551604014040885"</f>
        <v>1551604014040885</v>
      </c>
      <c r="C6015" t="s">
        <v>40</v>
      </c>
      <c r="D6015">
        <v>5.396776</v>
      </c>
      <c r="E6015">
        <v>0.49196289999999998</v>
      </c>
      <c r="F6015" t="s">
        <v>41</v>
      </c>
      <c r="G6015">
        <v>-188.5394</v>
      </c>
      <c r="H6015" s="1">
        <v>-3.1128850000000001E-6</v>
      </c>
      <c r="I6015">
        <v>56.285040000000002</v>
      </c>
      <c r="J6015">
        <v>-186.56399999999999</v>
      </c>
      <c r="K6015">
        <v>1.120819</v>
      </c>
      <c r="L6015">
        <v>26.087009999999999</v>
      </c>
      <c r="M6015">
        <v>-3.4096380000000003E-2</v>
      </c>
      <c r="N6015">
        <v>-9.7076339999999997E-3</v>
      </c>
      <c r="O6015">
        <v>0.99937140000000002</v>
      </c>
      <c r="P6015">
        <v>-3.4557579999999997E-2</v>
      </c>
      <c r="Q6015">
        <v>0.19825970000000001</v>
      </c>
      <c r="R6015">
        <v>0.97954010000000002</v>
      </c>
      <c r="S6015">
        <v>-0.20019529999999999</v>
      </c>
      <c r="T6015">
        <v>-0.1128849</v>
      </c>
      <c r="U6015">
        <v>3.077515</v>
      </c>
      <c r="V6015">
        <v>-1.236806E-3</v>
      </c>
      <c r="W6015">
        <v>0.2077648</v>
      </c>
      <c r="X6015">
        <v>0.97817799999999999</v>
      </c>
      <c r="Y6015">
        <v>-3.0819559999999999E-2</v>
      </c>
      <c r="Z6015">
        <v>-2.688453E-2</v>
      </c>
      <c r="AA6015">
        <v>0.99916329999999998</v>
      </c>
      <c r="AB6015">
        <v>36</v>
      </c>
      <c r="AC6015">
        <v>-1.9753999999999701</v>
      </c>
      <c r="AD6015">
        <v>-1.120822112885</v>
      </c>
      <c r="AE6015">
        <v>30.198029999999999</v>
      </c>
      <c r="AF6015">
        <v>-0.94326538208269495</v>
      </c>
      <c r="AG6015">
        <v>-1.120822112885</v>
      </c>
      <c r="AH6015">
        <v>30.2063924889558</v>
      </c>
      <c r="AI6015">
        <v>92.123977016517699</v>
      </c>
      <c r="AJ6015">
        <v>91.788613729096596</v>
      </c>
      <c r="AK6015">
        <v>30.2418937731521</v>
      </c>
      <c r="AL6015">
        <v>78.008603754058896</v>
      </c>
      <c r="AM6015">
        <v>90.072444612445906</v>
      </c>
      <c r="AN6015">
        <v>0.99999997074605995</v>
      </c>
    </row>
    <row r="6016" spans="1:40" x14ac:dyDescent="0.25">
      <c r="A6016" t="str">
        <f>"20190303170654076"</f>
        <v>20190303170654076</v>
      </c>
      <c r="B6016" t="str">
        <f>"1551604014060406"</f>
        <v>1551604014060406</v>
      </c>
      <c r="C6016" t="s">
        <v>40</v>
      </c>
      <c r="D6016">
        <v>5.4000240000000002</v>
      </c>
      <c r="E6016">
        <v>0.49201820000000002</v>
      </c>
      <c r="F6016" t="s">
        <v>41</v>
      </c>
      <c r="G6016">
        <v>-188.54580000000001</v>
      </c>
      <c r="H6016" s="1">
        <v>-3.3912249999999999E-6</v>
      </c>
      <c r="I6016">
        <v>56.936520000000002</v>
      </c>
      <c r="J6016">
        <v>-186.57560000000001</v>
      </c>
      <c r="K6016">
        <v>1.1208149999999999</v>
      </c>
      <c r="L6016">
        <v>26.42258</v>
      </c>
      <c r="M6016">
        <v>-3.4293860000000002E-2</v>
      </c>
      <c r="N6016">
        <v>-9.6884840000000007E-3</v>
      </c>
      <c r="O6016">
        <v>0.9993649</v>
      </c>
      <c r="P6016">
        <v>-3.3610069999999999E-2</v>
      </c>
      <c r="Q6016">
        <v>0.1985972</v>
      </c>
      <c r="R6016">
        <v>0.97950470000000001</v>
      </c>
      <c r="S6016">
        <v>-0.19775390000000001</v>
      </c>
      <c r="T6016">
        <v>-0.1118408</v>
      </c>
      <c r="U6016">
        <v>3.0783079999999998</v>
      </c>
      <c r="V6016" s="1">
        <v>-9.5742989999999994E-5</v>
      </c>
      <c r="W6016">
        <v>0.20808289999999999</v>
      </c>
      <c r="X6016">
        <v>0.97811119999999996</v>
      </c>
      <c r="Y6016">
        <v>-2.9817050000000001E-2</v>
      </c>
      <c r="Z6016">
        <v>-2.655743E-2</v>
      </c>
      <c r="AA6016">
        <v>0.99920249999999999</v>
      </c>
      <c r="AB6016">
        <v>36</v>
      </c>
      <c r="AC6016">
        <v>-1.9702</v>
      </c>
      <c r="AD6016">
        <v>-1.1208183912249901</v>
      </c>
      <c r="AE6016">
        <v>30.513939999999899</v>
      </c>
      <c r="AF6016">
        <v>-0.92131330650597598</v>
      </c>
      <c r="AG6016">
        <v>-1.1208183912249901</v>
      </c>
      <c r="AH6016">
        <v>30.522548893578101</v>
      </c>
      <c r="AI6016">
        <v>92.102056634943295</v>
      </c>
      <c r="AJ6016">
        <v>91.728929691681103</v>
      </c>
      <c r="AK6016">
        <v>30.557012992694801</v>
      </c>
      <c r="AL6016">
        <v>77.9899712324506</v>
      </c>
      <c r="AM6016">
        <v>90.005608431053005</v>
      </c>
      <c r="AN6016">
        <v>1.00000001100228</v>
      </c>
    </row>
    <row r="6017" spans="1:40" x14ac:dyDescent="0.25">
      <c r="A6017" t="str">
        <f>"20190303170654099"</f>
        <v>20190303170654099</v>
      </c>
      <c r="B6017" t="str">
        <f>"1551604014090661"</f>
        <v>1551604014090661</v>
      </c>
      <c r="C6017" t="s">
        <v>40</v>
      </c>
      <c r="D6017">
        <v>5.6983110000000003</v>
      </c>
      <c r="E6017">
        <v>0.49224210000000002</v>
      </c>
      <c r="F6017" t="s">
        <v>41</v>
      </c>
      <c r="G6017">
        <v>-188.56100000000001</v>
      </c>
      <c r="H6017" s="1">
        <v>-3.680669E-6</v>
      </c>
      <c r="I6017">
        <v>57.61748</v>
      </c>
      <c r="J6017">
        <v>-186.58869999999999</v>
      </c>
      <c r="K6017">
        <v>1.1208070000000001</v>
      </c>
      <c r="L6017">
        <v>26.795870000000001</v>
      </c>
      <c r="M6017">
        <v>-3.4514219999999998E-2</v>
      </c>
      <c r="N6017">
        <v>-9.6627880000000003E-3</v>
      </c>
      <c r="O6017">
        <v>0.99935750000000001</v>
      </c>
      <c r="P6017">
        <v>-3.3297599999999997E-2</v>
      </c>
      <c r="Q6017">
        <v>0.19785079999999999</v>
      </c>
      <c r="R6017">
        <v>0.97966640000000005</v>
      </c>
      <c r="S6017">
        <v>-0.19592290000000001</v>
      </c>
      <c r="T6017">
        <v>-0.11060879999999999</v>
      </c>
      <c r="U6017">
        <v>3.0784910000000001</v>
      </c>
      <c r="V6017">
        <v>4.398793E-4</v>
      </c>
      <c r="W6017">
        <v>0.20731379999999999</v>
      </c>
      <c r="X6017">
        <v>0.97827439999999999</v>
      </c>
      <c r="Y6017">
        <v>-2.9001849999999999E-2</v>
      </c>
      <c r="Z6017">
        <v>-2.6182919999999998E-2</v>
      </c>
      <c r="AA6017">
        <v>0.99923640000000002</v>
      </c>
      <c r="AB6017">
        <v>36</v>
      </c>
      <c r="AC6017">
        <v>-1.97229999999999</v>
      </c>
      <c r="AD6017">
        <v>-1.1208106806689999</v>
      </c>
      <c r="AE6017">
        <v>30.82161</v>
      </c>
      <c r="AF6017">
        <v>-0.90609800752657998</v>
      </c>
      <c r="AG6017">
        <v>-1.1208106806689999</v>
      </c>
      <c r="AH6017">
        <v>30.830717118712698</v>
      </c>
      <c r="AI6017">
        <v>92.081099013658701</v>
      </c>
      <c r="AJ6017">
        <v>91.683407233275204</v>
      </c>
      <c r="AK6017">
        <v>30.864386406264899</v>
      </c>
      <c r="AL6017">
        <v>78.035019702758206</v>
      </c>
      <c r="AM6017">
        <v>89.974237058961506</v>
      </c>
      <c r="AN6017">
        <v>1.00000000342979</v>
      </c>
    </row>
    <row r="6018" spans="1:40" x14ac:dyDescent="0.25">
      <c r="A6018" t="str">
        <f>"20190303170654120"</f>
        <v>20190303170654120</v>
      </c>
      <c r="B6018" t="str">
        <f>"1551604014111157"</f>
        <v>1551604014111157</v>
      </c>
      <c r="C6018" t="s">
        <v>40</v>
      </c>
      <c r="D6018">
        <v>5.5826830000000003</v>
      </c>
      <c r="E6018">
        <v>0.49218469999999997</v>
      </c>
      <c r="F6018" t="s">
        <v>41</v>
      </c>
      <c r="G6018">
        <v>-188.4838</v>
      </c>
      <c r="H6018" s="1">
        <v>-3.4662240000000002E-6</v>
      </c>
      <c r="I6018">
        <v>57.08569</v>
      </c>
      <c r="J6018">
        <v>-186.60130000000001</v>
      </c>
      <c r="K6018">
        <v>1.1207929999999999</v>
      </c>
      <c r="L6018">
        <v>27.15558</v>
      </c>
      <c r="M6018">
        <v>-3.4726649999999998E-2</v>
      </c>
      <c r="N6018">
        <v>-9.630998E-3</v>
      </c>
      <c r="O6018">
        <v>0.99935039999999997</v>
      </c>
      <c r="P6018">
        <v>-3.3224709999999998E-2</v>
      </c>
      <c r="Q6018">
        <v>0.19748160000000001</v>
      </c>
      <c r="R6018">
        <v>0.97974340000000004</v>
      </c>
      <c r="S6018">
        <v>-0.19262699999999999</v>
      </c>
      <c r="T6018">
        <v>-0.113922</v>
      </c>
      <c r="U6018">
        <v>3.078735</v>
      </c>
      <c r="V6018">
        <v>7.2485349999999997E-4</v>
      </c>
      <c r="W6018">
        <v>0.20691399999999999</v>
      </c>
      <c r="X6018">
        <v>0.97835890000000003</v>
      </c>
      <c r="Y6018">
        <v>-2.7717180000000001E-2</v>
      </c>
      <c r="Z6018">
        <v>-2.7285299999999998E-2</v>
      </c>
      <c r="AA6018">
        <v>0.9992434</v>
      </c>
      <c r="AB6018">
        <v>36</v>
      </c>
      <c r="AC6018">
        <v>-1.8824999999999901</v>
      </c>
      <c r="AD6018">
        <v>-1.120796466224</v>
      </c>
      <c r="AE6018">
        <v>29.930109999999999</v>
      </c>
      <c r="AF6018">
        <v>-0.84076940236505104</v>
      </c>
      <c r="AG6018">
        <v>-1.120796466224</v>
      </c>
      <c r="AH6018">
        <v>29.935618955045499</v>
      </c>
      <c r="AI6018">
        <v>92.143321284182093</v>
      </c>
      <c r="AJ6018">
        <v>91.608781762402799</v>
      </c>
      <c r="AK6018">
        <v>29.968389348250501</v>
      </c>
      <c r="AL6018">
        <v>78.0584346155444</v>
      </c>
      <c r="AM6018">
        <v>89.957550303149105</v>
      </c>
      <c r="AN6018">
        <v>1.0000000330089001</v>
      </c>
    </row>
    <row r="6019" spans="1:40" x14ac:dyDescent="0.25">
      <c r="A6019" t="str">
        <f>"20190303170654146"</f>
        <v>20190303170654146</v>
      </c>
      <c r="B6019" t="str">
        <f>"1551604014130677"</f>
        <v>1551604014130677</v>
      </c>
      <c r="C6019" t="s">
        <v>40</v>
      </c>
      <c r="D6019">
        <v>5.5432980000000001</v>
      </c>
      <c r="E6019">
        <v>0.49207679999999998</v>
      </c>
      <c r="F6019" t="s">
        <v>41</v>
      </c>
      <c r="G6019">
        <v>-188.47380000000001</v>
      </c>
      <c r="H6019" s="1">
        <v>-3.4158270000000001E-6</v>
      </c>
      <c r="I6019">
        <v>56.964089999999999</v>
      </c>
      <c r="J6019">
        <v>-186.6146</v>
      </c>
      <c r="K6019">
        <v>1.1207750000000001</v>
      </c>
      <c r="L6019">
        <v>27.533449999999998</v>
      </c>
      <c r="M6019">
        <v>-3.4943439999999999E-2</v>
      </c>
      <c r="N6019">
        <v>-9.5954820000000007E-3</v>
      </c>
      <c r="O6019">
        <v>0.99934319999999999</v>
      </c>
      <c r="P6019">
        <v>-3.2448659999999997E-2</v>
      </c>
      <c r="Q6019">
        <v>0.19759399999999999</v>
      </c>
      <c r="R6019">
        <v>0.97974680000000003</v>
      </c>
      <c r="S6019">
        <v>-0.1934052</v>
      </c>
      <c r="T6019">
        <v>-0.1157624</v>
      </c>
      <c r="U6019">
        <v>3.0787960000000001</v>
      </c>
      <c r="V6019">
        <v>1.7150920000000001E-3</v>
      </c>
      <c r="W6019">
        <v>0.20699190000000001</v>
      </c>
      <c r="X6019">
        <v>0.97834120000000002</v>
      </c>
      <c r="Y6019">
        <v>-2.7749550000000001E-2</v>
      </c>
      <c r="Z6019">
        <v>-2.791486E-2</v>
      </c>
      <c r="AA6019">
        <v>0.99922509999999998</v>
      </c>
      <c r="AB6019">
        <v>36</v>
      </c>
      <c r="AC6019">
        <v>-1.85920000000001</v>
      </c>
      <c r="AD6019">
        <v>-1.120778415827</v>
      </c>
      <c r="AE6019">
        <v>29.43064</v>
      </c>
      <c r="AF6019">
        <v>-0.82841266663065904</v>
      </c>
      <c r="AG6019">
        <v>-1.120778415827</v>
      </c>
      <c r="AH6019">
        <v>29.435116312581801</v>
      </c>
      <c r="AI6019">
        <v>92.179691975324602</v>
      </c>
      <c r="AJ6019">
        <v>91.612088881846105</v>
      </c>
      <c r="AK6019">
        <v>29.468092645076901</v>
      </c>
      <c r="AL6019">
        <v>78.053872665367606</v>
      </c>
      <c r="AM6019">
        <v>89.899557094793906</v>
      </c>
      <c r="AN6019">
        <v>1.0000000459117999</v>
      </c>
    </row>
    <row r="6020" spans="1:40" x14ac:dyDescent="0.25">
      <c r="A6020" t="str">
        <f>"20190303170654188"</f>
        <v>20190303170654188</v>
      </c>
      <c r="B6020" t="str">
        <f>"1551604014180454"</f>
        <v>1551604014180454</v>
      </c>
      <c r="C6020" t="s">
        <v>40</v>
      </c>
      <c r="D6020">
        <v>5.4167269999999998</v>
      </c>
      <c r="E6020">
        <v>0.49204429999999999</v>
      </c>
      <c r="F6020" t="s">
        <v>41</v>
      </c>
      <c r="G6020">
        <v>-188.50550000000001</v>
      </c>
      <c r="H6020" s="1">
        <v>-3.7387950000000002E-6</v>
      </c>
      <c r="I6020">
        <v>57.730029999999999</v>
      </c>
      <c r="J6020">
        <v>-186.63939999999999</v>
      </c>
      <c r="K6020">
        <v>1.1207450000000001</v>
      </c>
      <c r="L6020">
        <v>28.230799999999999</v>
      </c>
      <c r="M6020">
        <v>-3.5297040000000002E-2</v>
      </c>
      <c r="N6020">
        <v>-9.5372479999999999E-3</v>
      </c>
      <c r="O6020">
        <v>0.99933139999999998</v>
      </c>
      <c r="P6020">
        <v>-3.2059989999999997E-2</v>
      </c>
      <c r="Q6020">
        <v>0.19747039999999999</v>
      </c>
      <c r="R6020">
        <v>0.97978449999999995</v>
      </c>
      <c r="S6020">
        <v>-0.19277949999999999</v>
      </c>
      <c r="T6020">
        <v>-0.1142683</v>
      </c>
      <c r="U6020">
        <v>3.0786739999999999</v>
      </c>
      <c r="V6020">
        <v>2.4619730000000001E-3</v>
      </c>
      <c r="W6020">
        <v>0.20681189999999999</v>
      </c>
      <c r="X6020">
        <v>0.97837759999999996</v>
      </c>
      <c r="Y6020">
        <v>-2.719705E-2</v>
      </c>
      <c r="Z6020">
        <v>-2.7490980000000002E-2</v>
      </c>
      <c r="AA6020">
        <v>0.99925200000000003</v>
      </c>
      <c r="AB6020">
        <v>36</v>
      </c>
      <c r="AC6020">
        <v>-1.8661000000000101</v>
      </c>
      <c r="AD6020">
        <v>-1.1207487387949999</v>
      </c>
      <c r="AE6020">
        <v>29.499230000000001</v>
      </c>
      <c r="AF6020">
        <v>-0.82247180156756305</v>
      </c>
      <c r="AG6020">
        <v>-1.1207487387949999</v>
      </c>
      <c r="AH6020">
        <v>29.504299544230399</v>
      </c>
      <c r="AI6020">
        <v>92.174544561701097</v>
      </c>
      <c r="AJ6020">
        <v>91.5967829380685</v>
      </c>
      <c r="AK6020">
        <v>29.537031489226599</v>
      </c>
      <c r="AL6020">
        <v>78.0644131519647</v>
      </c>
      <c r="AM6020">
        <v>89.855822164739294</v>
      </c>
      <c r="AN6020">
        <v>0.999999975737211</v>
      </c>
    </row>
    <row r="6021" spans="1:40" x14ac:dyDescent="0.25">
      <c r="A6021" t="str">
        <f>"20190303170654212"</f>
        <v>20190303170654212</v>
      </c>
      <c r="B6021" t="str">
        <f>"1551604014200949"</f>
        <v>1551604014200949</v>
      </c>
      <c r="C6021" t="s">
        <v>40</v>
      </c>
      <c r="D6021">
        <v>5.4338300000000004</v>
      </c>
      <c r="E6021">
        <v>0.49199809999999999</v>
      </c>
      <c r="F6021" t="s">
        <v>41</v>
      </c>
      <c r="G6021">
        <v>-188.5308</v>
      </c>
      <c r="H6021" s="1">
        <v>-4.1444539999999999E-6</v>
      </c>
      <c r="I6021">
        <v>58.686079999999997</v>
      </c>
      <c r="J6021">
        <v>-186.65299999999999</v>
      </c>
      <c r="K6021">
        <v>1.1207149999999999</v>
      </c>
      <c r="L6021">
        <v>28.611329999999999</v>
      </c>
      <c r="M6021">
        <v>-3.5449319999999999E-2</v>
      </c>
      <c r="N6021">
        <v>-9.5096250000000007E-3</v>
      </c>
      <c r="O6021">
        <v>0.99932619999999905</v>
      </c>
      <c r="P6021">
        <v>-3.2623029999999997E-2</v>
      </c>
      <c r="Q6021">
        <v>0.1973154</v>
      </c>
      <c r="R6021">
        <v>0.97979709999999998</v>
      </c>
      <c r="S6021">
        <v>-0.1911774</v>
      </c>
      <c r="T6021">
        <v>-0.1132869</v>
      </c>
      <c r="U6021">
        <v>3.0784609999999999</v>
      </c>
      <c r="V6021">
        <v>2.0596899999999999E-3</v>
      </c>
      <c r="W6021">
        <v>0.20662990000000001</v>
      </c>
      <c r="X6021">
        <v>0.97841699999999998</v>
      </c>
      <c r="Y6021">
        <v>-2.6531699999999998E-2</v>
      </c>
      <c r="Z6021">
        <v>-2.720411E-2</v>
      </c>
      <c r="AA6021">
        <v>0.99927779999999999</v>
      </c>
      <c r="AB6021">
        <v>36</v>
      </c>
      <c r="AC6021">
        <v>-1.8777999999999999</v>
      </c>
      <c r="AD6021">
        <v>-1.1207191444539999</v>
      </c>
      <c r="AE6021">
        <v>30.074750000000002</v>
      </c>
      <c r="AF6021">
        <v>-0.80932247877006402</v>
      </c>
      <c r="AG6021">
        <v>-1.1207191444539999</v>
      </c>
      <c r="AH6021">
        <v>30.080806127031899</v>
      </c>
      <c r="AI6021">
        <v>92.132908094527593</v>
      </c>
      <c r="AJ6021">
        <v>91.541168081191401</v>
      </c>
      <c r="AK6021">
        <v>30.112554051881201</v>
      </c>
      <c r="AL6021">
        <v>78.0750713939006</v>
      </c>
      <c r="AM6021">
        <v>89.879385405424202</v>
      </c>
      <c r="AN6021">
        <v>0.99999999189295297</v>
      </c>
    </row>
    <row r="6022" spans="1:40" x14ac:dyDescent="0.25">
      <c r="A6022" t="str">
        <f>"20190303170654233"</f>
        <v>20190303170654233</v>
      </c>
      <c r="B6022" t="str">
        <f>"1551604014220469"</f>
        <v>1551604014220469</v>
      </c>
      <c r="C6022" t="s">
        <v>40</v>
      </c>
      <c r="D6022">
        <v>5.596114</v>
      </c>
      <c r="E6022">
        <v>0.49194450000000001</v>
      </c>
      <c r="F6022" t="s">
        <v>41</v>
      </c>
      <c r="G6022">
        <v>-188.5712</v>
      </c>
      <c r="H6022" s="1">
        <v>-4.3274640000000003E-6</v>
      </c>
      <c r="I6022">
        <v>59.129429999999999</v>
      </c>
      <c r="J6022">
        <v>-186.6651</v>
      </c>
      <c r="K6022">
        <v>1.120684</v>
      </c>
      <c r="L6022">
        <v>28.95007</v>
      </c>
      <c r="M6022">
        <v>-3.5549219999999999E-2</v>
      </c>
      <c r="N6022">
        <v>-9.4876249999999995E-3</v>
      </c>
      <c r="O6022">
        <v>0.99932290000000001</v>
      </c>
      <c r="P6022">
        <v>-3.2760329999999997E-2</v>
      </c>
      <c r="Q6022">
        <v>0.19772419999999999</v>
      </c>
      <c r="R6022">
        <v>0.97971010000000003</v>
      </c>
      <c r="S6022">
        <v>-0.1934814</v>
      </c>
      <c r="T6022">
        <v>-0.1130406</v>
      </c>
      <c r="U6022">
        <v>3.0781860000000001</v>
      </c>
      <c r="V6022">
        <v>2.030217E-3</v>
      </c>
      <c r="W6022">
        <v>0.20701620000000001</v>
      </c>
      <c r="X6022">
        <v>0.97833539999999997</v>
      </c>
      <c r="Y6022">
        <v>-2.7182339999999999E-2</v>
      </c>
      <c r="Z6022">
        <v>-2.7148419999999999E-2</v>
      </c>
      <c r="AA6022">
        <v>0.99926179999999998</v>
      </c>
      <c r="AB6022">
        <v>36</v>
      </c>
      <c r="AC6022">
        <v>-1.9060999999999999</v>
      </c>
      <c r="AD6022">
        <v>-1.120688327464</v>
      </c>
      <c r="AE6022">
        <v>30.179359999999999</v>
      </c>
      <c r="AF6022">
        <v>-0.83085295436913698</v>
      </c>
      <c r="AG6022">
        <v>-1.120688327464</v>
      </c>
      <c r="AH6022">
        <v>30.186585621554499</v>
      </c>
      <c r="AI6022">
        <v>92.125346716052604</v>
      </c>
      <c r="AJ6022">
        <v>91.576605999513205</v>
      </c>
      <c r="AK6022">
        <v>30.2188055761067</v>
      </c>
      <c r="AL6022">
        <v>78.052448898299801</v>
      </c>
      <c r="AM6022">
        <v>89.881101411008402</v>
      </c>
      <c r="AN6022">
        <v>0.99999999186833299</v>
      </c>
    </row>
    <row r="6023" spans="1:40" x14ac:dyDescent="0.25">
      <c r="A6023" t="str">
        <f>"20190303170654255"</f>
        <v>20190303170654255</v>
      </c>
      <c r="B6023" t="str">
        <f>"1551604014250725"</f>
        <v>1551604014250725</v>
      </c>
      <c r="C6023" t="s">
        <v>40</v>
      </c>
      <c r="D6023">
        <v>5.7146280000000003</v>
      </c>
      <c r="E6023">
        <v>0.49180499999999999</v>
      </c>
      <c r="F6023" t="s">
        <v>41</v>
      </c>
      <c r="G6023">
        <v>-188.63220000000001</v>
      </c>
      <c r="H6023" s="1">
        <v>-4.7914549999999998E-7</v>
      </c>
      <c r="I6023">
        <v>59.986609999999999</v>
      </c>
      <c r="J6023">
        <v>-186.6781</v>
      </c>
      <c r="K6023">
        <v>1.120657</v>
      </c>
      <c r="L6023">
        <v>29.312439999999999</v>
      </c>
      <c r="M6023">
        <v>-3.5615380000000002E-2</v>
      </c>
      <c r="N6023">
        <v>-9.4667120000000004E-3</v>
      </c>
      <c r="O6023">
        <v>0.99932069999999995</v>
      </c>
      <c r="P6023">
        <v>-3.3492679999999997E-2</v>
      </c>
      <c r="Q6023">
        <v>0.19771810000000001</v>
      </c>
      <c r="R6023">
        <v>0.97968659999999996</v>
      </c>
      <c r="S6023">
        <v>-0.1950836</v>
      </c>
      <c r="T6023">
        <v>-0.1111434</v>
      </c>
      <c r="U6023">
        <v>3.078033</v>
      </c>
      <c r="V6023">
        <v>1.378853E-3</v>
      </c>
      <c r="W6023">
        <v>0.2069896</v>
      </c>
      <c r="X6023">
        <v>0.97834219999999905</v>
      </c>
      <c r="Y6023">
        <v>-2.7638329999999999E-2</v>
      </c>
      <c r="Z6023">
        <v>-2.6556260000000002E-2</v>
      </c>
      <c r="AA6023">
        <v>0.99926519999999996</v>
      </c>
      <c r="AB6023">
        <v>36</v>
      </c>
      <c r="AC6023">
        <v>-1.9541000000000099</v>
      </c>
      <c r="AD6023">
        <v>-1.1206574791455</v>
      </c>
      <c r="AE6023">
        <v>30.67417</v>
      </c>
      <c r="AF6023">
        <v>-0.859196760889961</v>
      </c>
      <c r="AG6023">
        <v>-1.1206574791455</v>
      </c>
      <c r="AH6023">
        <v>30.6835175004049</v>
      </c>
      <c r="AI6023">
        <v>92.090871471899703</v>
      </c>
      <c r="AJ6023">
        <v>91.603971495970001</v>
      </c>
      <c r="AK6023">
        <v>30.7159948309857</v>
      </c>
      <c r="AL6023">
        <v>78.054007145950706</v>
      </c>
      <c r="AM6023">
        <v>89.919248699319695</v>
      </c>
      <c r="AN6023">
        <v>1.00000002802229</v>
      </c>
    </row>
    <row r="6024" spans="1:40" x14ac:dyDescent="0.25">
      <c r="A6024" t="str">
        <f>"20190303170654278"</f>
        <v>20190303170654278</v>
      </c>
      <c r="B6024" t="str">
        <f>"1551604014271221"</f>
        <v>1551604014271221</v>
      </c>
      <c r="C6024" t="s">
        <v>40</v>
      </c>
      <c r="D6024">
        <v>5.4755010000000004</v>
      </c>
      <c r="E6024">
        <v>0.49170439999999999</v>
      </c>
      <c r="F6024" t="s">
        <v>41</v>
      </c>
      <c r="G6024">
        <v>-188.70859999999999</v>
      </c>
      <c r="H6024" s="1">
        <v>-7.2660609999999995E-7</v>
      </c>
      <c r="I6024">
        <v>60.773510000000002</v>
      </c>
      <c r="J6024">
        <v>-186.6908</v>
      </c>
      <c r="K6024">
        <v>1.1206199999999999</v>
      </c>
      <c r="L6024">
        <v>29.666689999999999</v>
      </c>
      <c r="M6024">
        <v>-3.5625179999999999E-2</v>
      </c>
      <c r="N6024">
        <v>-9.4488720000000005E-3</v>
      </c>
      <c r="O6024">
        <v>0.9993206</v>
      </c>
      <c r="P6024">
        <v>-3.4334799999999999E-2</v>
      </c>
      <c r="Q6024">
        <v>0.19825960000000001</v>
      </c>
      <c r="R6024">
        <v>0.97954799999999997</v>
      </c>
      <c r="S6024">
        <v>-0.19862369999999999</v>
      </c>
      <c r="T6024">
        <v>-0.1096236</v>
      </c>
      <c r="U6024">
        <v>3.0775450000000002</v>
      </c>
      <c r="V6024">
        <v>5.6200469999999998E-4</v>
      </c>
      <c r="W6024">
        <v>0.207512</v>
      </c>
      <c r="X6024">
        <v>0.97823230000000005</v>
      </c>
      <c r="Y6024">
        <v>-2.8783909999999999E-2</v>
      </c>
      <c r="Z6024">
        <v>-2.6086089999999999E-2</v>
      </c>
      <c r="AA6024">
        <v>0.99924519999999994</v>
      </c>
      <c r="AB6024">
        <v>36</v>
      </c>
      <c r="AC6024">
        <v>-2.01779999999999</v>
      </c>
      <c r="AD6024">
        <v>-1.1206207266060999</v>
      </c>
      <c r="AE6024">
        <v>31.1068199999999</v>
      </c>
      <c r="AF6024">
        <v>-0.90711123685890804</v>
      </c>
      <c r="AG6024">
        <v>-1.1206207266060999</v>
      </c>
      <c r="AH6024">
        <v>31.1187434731041</v>
      </c>
      <c r="AI6024">
        <v>92.061518932695606</v>
      </c>
      <c r="AJ6024">
        <v>91.669698903887294</v>
      </c>
      <c r="AK6024">
        <v>31.152124116242799</v>
      </c>
      <c r="AL6024">
        <v>78.023411064836296</v>
      </c>
      <c r="AM6024">
        <v>89.967082978313201</v>
      </c>
      <c r="AN6024">
        <v>0.99999998937828605</v>
      </c>
    </row>
    <row r="6025" spans="1:40" x14ac:dyDescent="0.25">
      <c r="A6025" t="str">
        <f>"20190303170654300"</f>
        <v>20190303170654300</v>
      </c>
      <c r="B6025" t="str">
        <f>"1551604014290741"</f>
        <v>1551604014290741</v>
      </c>
      <c r="C6025" t="s">
        <v>40</v>
      </c>
      <c r="D6025">
        <v>5.5022650000000004</v>
      </c>
      <c r="E6025">
        <v>0.49161339999999998</v>
      </c>
      <c r="F6025" t="s">
        <v>41</v>
      </c>
      <c r="G6025">
        <v>-188.79079999999999</v>
      </c>
      <c r="H6025" s="1">
        <v>-1.1625000000000001E-6</v>
      </c>
      <c r="I6025">
        <v>61.842610000000001</v>
      </c>
      <c r="J6025">
        <v>-186.70410000000001</v>
      </c>
      <c r="K6025">
        <v>1.1205700000000001</v>
      </c>
      <c r="L6025">
        <v>30.043980000000001</v>
      </c>
      <c r="M6025">
        <v>-3.5551270000000003E-2</v>
      </c>
      <c r="N6025">
        <v>-9.4325620000000002E-3</v>
      </c>
      <c r="O6025">
        <v>0.99932330000000003</v>
      </c>
      <c r="P6025">
        <v>-3.5043169999999998E-2</v>
      </c>
      <c r="Q6025">
        <v>0.19909160000000001</v>
      </c>
      <c r="R6025">
        <v>0.97935410000000001</v>
      </c>
      <c r="S6025">
        <v>-0.20085140000000001</v>
      </c>
      <c r="T6025">
        <v>-0.1071761</v>
      </c>
      <c r="U6025">
        <v>3.0773009999999998</v>
      </c>
      <c r="V6025">
        <v>-1.9570650000000001E-4</v>
      </c>
      <c r="W6025">
        <v>0.20832639999999999</v>
      </c>
      <c r="X6025">
        <v>0.97805940000000002</v>
      </c>
      <c r="Y6025">
        <v>-2.9584539999999999E-2</v>
      </c>
      <c r="Z6025">
        <v>-2.5311859999999999E-2</v>
      </c>
      <c r="AA6025">
        <v>0.99924179999999996</v>
      </c>
      <c r="AB6025">
        <v>36</v>
      </c>
      <c r="AC6025">
        <v>-2.0866999999999698</v>
      </c>
      <c r="AD6025">
        <v>-1.1205711625000001</v>
      </c>
      <c r="AE6025">
        <v>31.798629999999999</v>
      </c>
      <c r="AF6025">
        <v>-0.95366954741417898</v>
      </c>
      <c r="AG6025">
        <v>-1.1205711625000001</v>
      </c>
      <c r="AH6025">
        <v>31.813377563471999</v>
      </c>
      <c r="AI6025">
        <v>92.016405624348593</v>
      </c>
      <c r="AJ6025">
        <v>91.717041253569107</v>
      </c>
      <c r="AK6025">
        <v>31.8473885480728</v>
      </c>
      <c r="AL6025">
        <v>77.975707696885607</v>
      </c>
      <c r="AM6025">
        <v>90.011464698691697</v>
      </c>
      <c r="AN6025">
        <v>1.0000000585831701</v>
      </c>
    </row>
    <row r="6026" spans="1:40" x14ac:dyDescent="0.25">
      <c r="A6026" t="str">
        <f>"20190303170654325"</f>
        <v>20190303170654325</v>
      </c>
      <c r="B6026" t="str">
        <f>"1551604014311237"</f>
        <v>1551604014311237</v>
      </c>
      <c r="C6026" t="s">
        <v>40</v>
      </c>
      <c r="D6026">
        <v>5.384506</v>
      </c>
      <c r="E6026">
        <v>0.49160779999999898</v>
      </c>
      <c r="F6026" t="s">
        <v>41</v>
      </c>
      <c r="G6026">
        <v>-188.8853</v>
      </c>
      <c r="H6026" s="1">
        <v>-1.677537E-6</v>
      </c>
      <c r="I6026">
        <v>63.082239999999999</v>
      </c>
      <c r="J6026">
        <v>-186.71729999999999</v>
      </c>
      <c r="K6026">
        <v>1.1204989999999999</v>
      </c>
      <c r="L6026">
        <v>30.416260000000001</v>
      </c>
      <c r="M6026">
        <v>-3.53662E-2</v>
      </c>
      <c r="N6026">
        <v>-9.4191729999999994E-3</v>
      </c>
      <c r="O6026">
        <v>0.99933000000000005</v>
      </c>
      <c r="P6026">
        <v>-3.4942189999999998E-2</v>
      </c>
      <c r="Q6026">
        <v>0.20036609999999999</v>
      </c>
      <c r="R6026">
        <v>0.97909780000000002</v>
      </c>
      <c r="S6026">
        <v>-0.20315549999999999</v>
      </c>
      <c r="T6026">
        <v>-0.1043699</v>
      </c>
      <c r="U6026">
        <v>3.0771790000000001</v>
      </c>
      <c r="V6026">
        <v>-2.4554090000000002E-4</v>
      </c>
      <c r="W6026">
        <v>0.20958540000000001</v>
      </c>
      <c r="X6026">
        <v>0.9777903</v>
      </c>
      <c r="Y6026">
        <v>-3.0518630000000001E-2</v>
      </c>
      <c r="Z6026">
        <v>-2.4417149999999999E-2</v>
      </c>
      <c r="AA6026">
        <v>0.99923589999999995</v>
      </c>
      <c r="AB6026">
        <v>36</v>
      </c>
      <c r="AC6026">
        <v>-2.1680000000000001</v>
      </c>
      <c r="AD6026">
        <v>-1.1205006775369999</v>
      </c>
      <c r="AE6026">
        <v>32.665979999999998</v>
      </c>
      <c r="AF6026">
        <v>-1.0101374267963801</v>
      </c>
      <c r="AG6026">
        <v>-1.1205006775369999</v>
      </c>
      <c r="AH6026">
        <v>32.683932714212197</v>
      </c>
      <c r="AI6026">
        <v>91.962561310630306</v>
      </c>
      <c r="AJ6026">
        <v>91.770233543058097</v>
      </c>
      <c r="AK6026">
        <v>32.718730981756103</v>
      </c>
      <c r="AL6026">
        <v>77.901943082139198</v>
      </c>
      <c r="AM6026">
        <v>90.014388010365906</v>
      </c>
      <c r="AN6026">
        <v>0.99999998547879099</v>
      </c>
    </row>
    <row r="6027" spans="1:40" x14ac:dyDescent="0.25">
      <c r="A6027" t="str">
        <f>"20190303170654346"</f>
        <v>20190303170654346</v>
      </c>
      <c r="B6027" t="str">
        <f>"1551604014340517"</f>
        <v>1551604014340517</v>
      </c>
      <c r="C6027" t="s">
        <v>40</v>
      </c>
      <c r="D6027">
        <v>5.6478609999999998</v>
      </c>
      <c r="E6027">
        <v>0.49149510000000002</v>
      </c>
      <c r="F6027" t="s">
        <v>41</v>
      </c>
      <c r="G6027">
        <v>-188.98050000000001</v>
      </c>
      <c r="H6027" s="1">
        <v>-2.400034E-6</v>
      </c>
      <c r="I6027">
        <v>64.805779999999999</v>
      </c>
      <c r="J6027">
        <v>-186.72970000000001</v>
      </c>
      <c r="K6027">
        <v>1.1204080000000001</v>
      </c>
      <c r="L6027">
        <v>30.774809999999999</v>
      </c>
      <c r="M6027">
        <v>-3.5059090000000001E-2</v>
      </c>
      <c r="N6027">
        <v>-9.4088360000000003E-3</v>
      </c>
      <c r="O6027">
        <v>0.99934100000000003</v>
      </c>
      <c r="P6027">
        <v>-3.4374269999999998E-2</v>
      </c>
      <c r="Q6027">
        <v>0.2021918</v>
      </c>
      <c r="R6027">
        <v>0.97874249999999996</v>
      </c>
      <c r="S6027">
        <v>-0.20252990000000001</v>
      </c>
      <c r="T6027">
        <v>-0.1002676</v>
      </c>
      <c r="U6027">
        <v>3.0773320000000002</v>
      </c>
      <c r="V6027" s="1">
        <v>5.7693340000000001E-5</v>
      </c>
      <c r="W6027">
        <v>0.21139740000000001</v>
      </c>
      <c r="X6027">
        <v>0.97740020000000005</v>
      </c>
      <c r="Y6027">
        <v>-3.062252E-2</v>
      </c>
      <c r="Z6027">
        <v>-2.3098170000000001E-2</v>
      </c>
      <c r="AA6027">
        <v>0.99926409999999999</v>
      </c>
      <c r="AB6027">
        <v>36</v>
      </c>
      <c r="AC6027">
        <v>-2.2507999999999901</v>
      </c>
      <c r="AD6027">
        <v>-1.1204104000340001</v>
      </c>
      <c r="AE6027">
        <v>34.030970000000003</v>
      </c>
      <c r="AF6027">
        <v>-1.05512986743475</v>
      </c>
      <c r="AG6027">
        <v>-1.1204104000340001</v>
      </c>
      <c r="AH6027">
        <v>34.052211973254799</v>
      </c>
      <c r="AI6027">
        <v>91.883603779536998</v>
      </c>
      <c r="AJ6027">
        <v>91.774779029523003</v>
      </c>
      <c r="AK6027">
        <v>34.0869734469509</v>
      </c>
      <c r="AL6027">
        <v>77.795744064342301</v>
      </c>
      <c r="AM6027">
        <v>89.996617982189704</v>
      </c>
      <c r="AN6027">
        <v>1.00000000750766</v>
      </c>
    </row>
    <row r="6028" spans="1:40" x14ac:dyDescent="0.25">
      <c r="A6028" t="str">
        <f>"20190303170654369"</f>
        <v>20190303170654369</v>
      </c>
      <c r="B6028" t="str">
        <f>"1551604014361013"</f>
        <v>1551604014361013</v>
      </c>
      <c r="C6028" t="s">
        <v>40</v>
      </c>
      <c r="D6028">
        <v>5.5051449999999997</v>
      </c>
      <c r="E6028">
        <v>0.49151790000000001</v>
      </c>
      <c r="F6028" t="s">
        <v>41</v>
      </c>
      <c r="G6028">
        <v>-189.13200000000001</v>
      </c>
      <c r="H6028" s="1">
        <v>-3.4886529999999999E-6</v>
      </c>
      <c r="I6028">
        <v>67.406009999999995</v>
      </c>
      <c r="J6028">
        <v>-186.74289999999999</v>
      </c>
      <c r="K6028">
        <v>1.120309</v>
      </c>
      <c r="L6028">
        <v>31.162780000000001</v>
      </c>
      <c r="M6028">
        <v>-3.4607720000000002E-2</v>
      </c>
      <c r="N6028">
        <v>-9.3999289999999996E-3</v>
      </c>
      <c r="O6028">
        <v>0.99935669999999999</v>
      </c>
      <c r="P6028">
        <v>-3.3670779999999997E-2</v>
      </c>
      <c r="Q6028">
        <v>0.2044581</v>
      </c>
      <c r="R6028">
        <v>0.97829600000000005</v>
      </c>
      <c r="S6028">
        <v>-0.20182800000000001</v>
      </c>
      <c r="T6028">
        <v>-9.4129679999999993E-2</v>
      </c>
      <c r="U6028">
        <v>3.077515</v>
      </c>
      <c r="V6028">
        <v>3.5893939999999999E-4</v>
      </c>
      <c r="W6028">
        <v>0.2136507</v>
      </c>
      <c r="X6028">
        <v>0.9769101</v>
      </c>
      <c r="Y6028">
        <v>-3.084626E-2</v>
      </c>
      <c r="Z6028">
        <v>-2.1118270000000001E-2</v>
      </c>
      <c r="AA6028">
        <v>0.99930099999999999</v>
      </c>
      <c r="AB6028">
        <v>36</v>
      </c>
      <c r="AC6028">
        <v>-2.3891000000000102</v>
      </c>
      <c r="AD6028">
        <v>-1.120312488653</v>
      </c>
      <c r="AE6028">
        <v>36.243229999999997</v>
      </c>
      <c r="AF6028">
        <v>-1.13224052202536</v>
      </c>
      <c r="AG6028">
        <v>-1.120312488653</v>
      </c>
      <c r="AH6028">
        <v>36.269697110517001</v>
      </c>
      <c r="AI6028">
        <v>91.768350878898602</v>
      </c>
      <c r="AJ6028">
        <v>91.788036505083099</v>
      </c>
      <c r="AK6028">
        <v>36.3046553097615</v>
      </c>
      <c r="AL6028">
        <v>77.663621711165405</v>
      </c>
      <c r="AM6028">
        <v>89.978948204348001</v>
      </c>
      <c r="AN6028">
        <v>1.0000000469649899</v>
      </c>
    </row>
    <row r="6029" spans="1:40" x14ac:dyDescent="0.25">
      <c r="A6029" t="str">
        <f>"20190303170654401"</f>
        <v>20190303170654401</v>
      </c>
      <c r="B6029" t="str">
        <f>"1551604014391269"</f>
        <v>1551604014391269</v>
      </c>
      <c r="C6029" t="s">
        <v>40</v>
      </c>
      <c r="D6029">
        <v>5.648892</v>
      </c>
      <c r="E6029">
        <v>0.4915293</v>
      </c>
      <c r="F6029" t="s">
        <v>41</v>
      </c>
      <c r="G6029">
        <v>-189.3081</v>
      </c>
      <c r="H6029" s="1">
        <v>-5.9482420000000002E-7</v>
      </c>
      <c r="I6029">
        <v>70.73321</v>
      </c>
      <c r="J6029">
        <v>-186.75980000000001</v>
      </c>
      <c r="K6029">
        <v>1.1201810000000001</v>
      </c>
      <c r="L6029">
        <v>31.672239999999999</v>
      </c>
      <c r="M6029">
        <v>-3.3827259999999998E-2</v>
      </c>
      <c r="N6029">
        <v>-9.3908910000000002E-3</v>
      </c>
      <c r="O6029">
        <v>0.99938360000000004</v>
      </c>
      <c r="P6029">
        <v>-3.1947179999999999E-2</v>
      </c>
      <c r="Q6029">
        <v>0.20428009999999999</v>
      </c>
      <c r="R6029">
        <v>0.97839109999999996</v>
      </c>
      <c r="S6029">
        <v>-0.1995239</v>
      </c>
      <c r="T6029">
        <v>-8.7141159999999995E-2</v>
      </c>
      <c r="U6029">
        <v>3.0779109999999998</v>
      </c>
      <c r="V6029">
        <v>1.392052E-3</v>
      </c>
      <c r="W6029">
        <v>0.2134625</v>
      </c>
      <c r="X6029">
        <v>0.97695030000000005</v>
      </c>
      <c r="Y6029">
        <v>-3.0876790000000001E-2</v>
      </c>
      <c r="Z6029">
        <v>-1.8861699999999999E-2</v>
      </c>
      <c r="AA6029">
        <v>0.99934520000000004</v>
      </c>
      <c r="AB6029">
        <v>36</v>
      </c>
      <c r="AC6029">
        <v>-2.5482999999999798</v>
      </c>
      <c r="AD6029">
        <v>-1.12018159482419</v>
      </c>
      <c r="AE6029">
        <v>39.060969999999998</v>
      </c>
      <c r="AF6029">
        <v>-1.2244549030191501</v>
      </c>
      <c r="AG6029">
        <v>-1.12018159482419</v>
      </c>
      <c r="AH6029">
        <v>39.092804788624498</v>
      </c>
      <c r="AI6029">
        <v>91.640524051163993</v>
      </c>
      <c r="AJ6029">
        <v>91.794017333024001</v>
      </c>
      <c r="AK6029">
        <v>39.128014041814303</v>
      </c>
      <c r="AL6029">
        <v>77.674659229708496</v>
      </c>
      <c r="AM6029">
        <v>89.918359561910094</v>
      </c>
      <c r="AN6029">
        <v>1.00000003269255</v>
      </c>
    </row>
    <row r="6030" spans="1:40" x14ac:dyDescent="0.25">
      <c r="A6030" t="str">
        <f>"20190303170654423"</f>
        <v>20190303170654423</v>
      </c>
      <c r="B6030" t="str">
        <f>"1551604014410794"</f>
        <v>1551604014410794</v>
      </c>
      <c r="C6030" t="s">
        <v>40</v>
      </c>
      <c r="D6030">
        <v>5.5206879999999998</v>
      </c>
      <c r="E6030">
        <v>0.49148320000000001</v>
      </c>
      <c r="F6030" t="s">
        <v>41</v>
      </c>
      <c r="G6030">
        <v>-189.22149999999999</v>
      </c>
      <c r="H6030" s="1">
        <v>-6.5651440000000002E-7</v>
      </c>
      <c r="I6030">
        <v>70.841219999999893</v>
      </c>
      <c r="J6030">
        <v>-186.7714</v>
      </c>
      <c r="K6030">
        <v>1.120088</v>
      </c>
      <c r="L6030">
        <v>32.031590000000001</v>
      </c>
      <c r="M6030">
        <v>-3.3139149999999999E-2</v>
      </c>
      <c r="N6030">
        <v>-9.3862340000000002E-3</v>
      </c>
      <c r="O6030">
        <v>0.99940669999999998</v>
      </c>
      <c r="P6030">
        <v>-2.9942659999999999E-2</v>
      </c>
      <c r="Q6030">
        <v>0.20483770000000001</v>
      </c>
      <c r="R6030">
        <v>0.97833789999999998</v>
      </c>
      <c r="S6030">
        <v>-0.1934662</v>
      </c>
      <c r="T6030">
        <v>-8.8035580000000002E-2</v>
      </c>
      <c r="U6030">
        <v>3.0783079999999998</v>
      </c>
      <c r="V6030">
        <v>2.7706279999999998E-3</v>
      </c>
      <c r="W6030">
        <v>0.2140126</v>
      </c>
      <c r="X6030">
        <v>0.976827</v>
      </c>
      <c r="Y6030">
        <v>-2.959788E-2</v>
      </c>
      <c r="Z6030">
        <v>-1.9155180000000001E-2</v>
      </c>
      <c r="AA6030">
        <v>0.99937830000000005</v>
      </c>
      <c r="AB6030">
        <v>36</v>
      </c>
      <c r="AC6030">
        <v>-2.4500999999999902</v>
      </c>
      <c r="AD6030">
        <v>-1.1200886565143999</v>
      </c>
      <c r="AE6030">
        <v>38.809629999999899</v>
      </c>
      <c r="AF6030">
        <v>-1.1616156442861401</v>
      </c>
      <c r="AG6030">
        <v>-1.1200886565143999</v>
      </c>
      <c r="AH6030">
        <v>38.837288034206601</v>
      </c>
      <c r="AI6030">
        <v>91.651245708845195</v>
      </c>
      <c r="AJ6030">
        <v>91.713194742149696</v>
      </c>
      <c r="AK6030">
        <v>38.870797410851097</v>
      </c>
      <c r="AL6030">
        <v>77.642395186310907</v>
      </c>
      <c r="AM6030">
        <v>89.837489273632102</v>
      </c>
      <c r="AN6030">
        <v>1.0000000286336299</v>
      </c>
    </row>
    <row r="6031" spans="1:40" x14ac:dyDescent="0.25">
      <c r="A6031" t="str">
        <f>"20190303170654445"</f>
        <v>20190303170654445</v>
      </c>
      <c r="B6031" t="str">
        <f>"1551604014431285"</f>
        <v>1551604014431285</v>
      </c>
      <c r="C6031" t="s">
        <v>40</v>
      </c>
      <c r="D6031">
        <v>5.5065339999999896</v>
      </c>
      <c r="E6031">
        <v>0.49148720000000001</v>
      </c>
      <c r="F6031" t="s">
        <v>41</v>
      </c>
      <c r="G6031">
        <v>-189.1952</v>
      </c>
      <c r="H6031" s="1">
        <v>-1.0684889999999999E-6</v>
      </c>
      <c r="I6031">
        <v>71.790689999999998</v>
      </c>
      <c r="J6031">
        <v>-186.7825</v>
      </c>
      <c r="K6031">
        <v>1.119993</v>
      </c>
      <c r="L6031">
        <v>32.38843</v>
      </c>
      <c r="M6031">
        <v>-3.2350520000000001E-2</v>
      </c>
      <c r="N6031">
        <v>-9.3829450000000002E-3</v>
      </c>
      <c r="O6031">
        <v>0.9994326</v>
      </c>
      <c r="P6031">
        <v>-2.7232719999999998E-2</v>
      </c>
      <c r="Q6031">
        <v>0.2057216</v>
      </c>
      <c r="R6031">
        <v>0.97823159999999998</v>
      </c>
      <c r="S6031">
        <v>-0.18769839999999999</v>
      </c>
      <c r="T6031">
        <v>-8.673728E-2</v>
      </c>
      <c r="U6031">
        <v>3.0788570000000002</v>
      </c>
      <c r="V6031">
        <v>4.7528889999999997E-3</v>
      </c>
      <c r="W6031">
        <v>0.21488779999999999</v>
      </c>
      <c r="X6031">
        <v>0.97662720000000003</v>
      </c>
      <c r="Y6031">
        <v>-2.8511129999999999E-2</v>
      </c>
      <c r="Z6031">
        <v>-1.873561E-2</v>
      </c>
      <c r="AA6031">
        <v>0.99941789999999997</v>
      </c>
      <c r="AB6031">
        <v>36</v>
      </c>
      <c r="AC6031">
        <v>-2.4127000000000001</v>
      </c>
      <c r="AD6031">
        <v>-1.119994068489</v>
      </c>
      <c r="AE6031">
        <v>39.402259999999998</v>
      </c>
      <c r="AF6031">
        <v>-1.1357831671823999</v>
      </c>
      <c r="AG6031">
        <v>-1.119994068489</v>
      </c>
      <c r="AH6031">
        <v>39.427952818282897</v>
      </c>
      <c r="AI6031">
        <v>91.626437335267894</v>
      </c>
      <c r="AJ6031">
        <v>91.650037243895198</v>
      </c>
      <c r="AK6031">
        <v>39.460205949247801</v>
      </c>
      <c r="AL6031">
        <v>77.591055416317303</v>
      </c>
      <c r="AM6031">
        <v>89.721164503372293</v>
      </c>
      <c r="AN6031">
        <v>1.0000000221612599</v>
      </c>
    </row>
    <row r="6032" spans="1:40" x14ac:dyDescent="0.25">
      <c r="A6032" t="str">
        <f>"20190303170654467"</f>
        <v>20190303170654467</v>
      </c>
      <c r="B6032" t="str">
        <f>"1551604014460565"</f>
        <v>1551604014460565</v>
      </c>
      <c r="C6032" t="s">
        <v>40</v>
      </c>
      <c r="D6032">
        <v>5.5213070000000002</v>
      </c>
      <c r="E6032">
        <v>0.49151509999999998</v>
      </c>
      <c r="F6032" t="s">
        <v>41</v>
      </c>
      <c r="G6032">
        <v>-189.1729</v>
      </c>
      <c r="H6032" s="1">
        <v>-1.7137359999999999E-6</v>
      </c>
      <c r="I6032">
        <v>73.285550000000001</v>
      </c>
      <c r="J6032">
        <v>-186.79349999999999</v>
      </c>
      <c r="K6032">
        <v>1.1199079999999999</v>
      </c>
      <c r="L6032">
        <v>32.752079999999999</v>
      </c>
      <c r="M6032">
        <v>-3.1471640000000002E-2</v>
      </c>
      <c r="N6032">
        <v>-9.3806440000000005E-3</v>
      </c>
      <c r="O6032">
        <v>0.99946060000000003</v>
      </c>
      <c r="P6032">
        <v>-2.537493E-2</v>
      </c>
      <c r="Q6032">
        <v>0.20560320000000001</v>
      </c>
      <c r="R6032">
        <v>0.97830640000000002</v>
      </c>
      <c r="S6032">
        <v>-0.17999270000000001</v>
      </c>
      <c r="T6032">
        <v>-8.43333E-2</v>
      </c>
      <c r="U6032">
        <v>3.0794679999999999</v>
      </c>
      <c r="V6032">
        <v>5.7951019999999999E-3</v>
      </c>
      <c r="W6032">
        <v>0.21476480000000001</v>
      </c>
      <c r="X6032">
        <v>0.97664859999999998</v>
      </c>
      <c r="Y6032">
        <v>-2.6887350000000001E-2</v>
      </c>
      <c r="Z6032">
        <v>-1.79571E-2</v>
      </c>
      <c r="AA6032">
        <v>0.99947710000000001</v>
      </c>
      <c r="AB6032">
        <v>37</v>
      </c>
      <c r="AC6032">
        <v>-2.3794</v>
      </c>
      <c r="AD6032">
        <v>-1.1199097137359999</v>
      </c>
      <c r="AE6032">
        <v>40.533470000000001</v>
      </c>
      <c r="AF6032">
        <v>-1.1016722101497001</v>
      </c>
      <c r="AG6032">
        <v>-1.1199097137359999</v>
      </c>
      <c r="AH6032">
        <v>40.557422463923501</v>
      </c>
      <c r="AI6032">
        <v>91.581120152733902</v>
      </c>
      <c r="AJ6032">
        <v>91.555958110132195</v>
      </c>
      <c r="AK6032">
        <v>40.5878355710514</v>
      </c>
      <c r="AL6032">
        <v>77.598270931210095</v>
      </c>
      <c r="AM6032">
        <v>89.660030240424703</v>
      </c>
      <c r="AN6032">
        <v>0.99999999520409499</v>
      </c>
    </row>
    <row r="6033" spans="1:40" x14ac:dyDescent="0.25">
      <c r="A6033" t="str">
        <f>"20190303170654490"</f>
        <v>20190303170654490</v>
      </c>
      <c r="B6033" t="str">
        <f>"1551604014481062"</f>
        <v>1551604014481062</v>
      </c>
      <c r="C6033" t="s">
        <v>40</v>
      </c>
      <c r="D6033">
        <v>5.540832</v>
      </c>
      <c r="E6033">
        <v>0.49150709999999997</v>
      </c>
      <c r="F6033" t="s">
        <v>41</v>
      </c>
      <c r="G6033">
        <v>-189.101</v>
      </c>
      <c r="H6033" s="1">
        <v>-1.7437440000000001E-6</v>
      </c>
      <c r="I6033">
        <v>73.325769999999906</v>
      </c>
      <c r="J6033">
        <v>-186.8049</v>
      </c>
      <c r="K6033">
        <v>1.119831</v>
      </c>
      <c r="L6033">
        <v>33.142299999999999</v>
      </c>
      <c r="M6033">
        <v>-3.04718E-2</v>
      </c>
      <c r="N6033">
        <v>-9.3789040000000004E-3</v>
      </c>
      <c r="O6033">
        <v>0.99949160000000004</v>
      </c>
      <c r="P6033">
        <v>-2.3760099999999999E-2</v>
      </c>
      <c r="Q6033">
        <v>0.20435059999999999</v>
      </c>
      <c r="R6033">
        <v>0.97860939999999996</v>
      </c>
      <c r="S6033">
        <v>-0.17515559999999999</v>
      </c>
      <c r="T6033">
        <v>-8.5009219999999996E-2</v>
      </c>
      <c r="U6033">
        <v>3.079834</v>
      </c>
      <c r="V6033">
        <v>6.4753600000000003E-3</v>
      </c>
      <c r="W6033">
        <v>0.21351049999999999</v>
      </c>
      <c r="X6033">
        <v>0.97691930000000005</v>
      </c>
      <c r="Y6033">
        <v>-2.6315740000000001E-2</v>
      </c>
      <c r="Z6033">
        <v>-1.817672E-2</v>
      </c>
      <c r="AA6033">
        <v>0.99948840000000005</v>
      </c>
      <c r="AB6033">
        <v>37</v>
      </c>
      <c r="AC6033">
        <v>-2.2960999999999898</v>
      </c>
      <c r="AD6033">
        <v>-1.1198327437440001</v>
      </c>
      <c r="AE6033">
        <v>40.1834699999999</v>
      </c>
      <c r="AF6033">
        <v>-1.0696890674098201</v>
      </c>
      <c r="AG6033">
        <v>-1.1198327437440001</v>
      </c>
      <c r="AH6033">
        <v>40.203656055309601</v>
      </c>
      <c r="AI6033">
        <v>91.594940106987494</v>
      </c>
      <c r="AJ6033">
        <v>91.524095533088698</v>
      </c>
      <c r="AK6033">
        <v>40.233471392467798</v>
      </c>
      <c r="AL6033">
        <v>77.671843614934403</v>
      </c>
      <c r="AM6033">
        <v>89.620229259960198</v>
      </c>
      <c r="AN6033">
        <v>0.999999991304934</v>
      </c>
    </row>
    <row r="6034" spans="1:40" x14ac:dyDescent="0.25">
      <c r="A6034" t="str">
        <f>"20190303170654512"</f>
        <v>20190303170654512</v>
      </c>
      <c r="B6034" t="str">
        <f>"1551604014500581"</f>
        <v>1551604014500581</v>
      </c>
      <c r="C6034" t="s">
        <v>40</v>
      </c>
      <c r="D6034">
        <v>5.5471139999999997</v>
      </c>
      <c r="E6034">
        <v>0.49138680000000001</v>
      </c>
      <c r="F6034" t="s">
        <v>41</v>
      </c>
      <c r="G6034">
        <v>-188.93190000000001</v>
      </c>
      <c r="H6034" s="1">
        <v>-9.4789889999999999E-7</v>
      </c>
      <c r="I6034">
        <v>71.400719999999893</v>
      </c>
      <c r="J6034">
        <v>-186.81469999999999</v>
      </c>
      <c r="K6034">
        <v>1.119772</v>
      </c>
      <c r="L6034">
        <v>33.490479999999998</v>
      </c>
      <c r="M6034">
        <v>-2.9548000000000001E-2</v>
      </c>
      <c r="N6034">
        <v>-9.3779659999999997E-3</v>
      </c>
      <c r="O6034">
        <v>0.9995193</v>
      </c>
      <c r="P6034">
        <v>-2.2748890000000001E-2</v>
      </c>
      <c r="Q6034">
        <v>0.20320089999999999</v>
      </c>
      <c r="R6034">
        <v>0.97887279999999999</v>
      </c>
      <c r="S6034">
        <v>-0.1712494</v>
      </c>
      <c r="T6034">
        <v>-9.0159059999999999E-2</v>
      </c>
      <c r="U6034">
        <v>3.0802309999999999</v>
      </c>
      <c r="V6034">
        <v>6.6133090000000004E-3</v>
      </c>
      <c r="W6034">
        <v>0.21236160000000001</v>
      </c>
      <c r="X6034">
        <v>0.97716879999999995</v>
      </c>
      <c r="Y6034">
        <v>-2.5966960000000001E-2</v>
      </c>
      <c r="Z6034">
        <v>-1.9843530000000002E-2</v>
      </c>
      <c r="AA6034">
        <v>0.99946579999999996</v>
      </c>
      <c r="AB6034">
        <v>37</v>
      </c>
      <c r="AC6034">
        <v>-2.11720000000002</v>
      </c>
      <c r="AD6034">
        <v>-1.11977294789889</v>
      </c>
      <c r="AE6034">
        <v>37.910240000000002</v>
      </c>
      <c r="AF6034">
        <v>-0.99518879449728903</v>
      </c>
      <c r="AG6034">
        <v>-1.11977294789889</v>
      </c>
      <c r="AH6034">
        <v>37.9232635327905</v>
      </c>
      <c r="AI6034">
        <v>91.690718604812801</v>
      </c>
      <c r="AJ6034">
        <v>91.503220684097997</v>
      </c>
      <c r="AK6034">
        <v>37.9528419116279</v>
      </c>
      <c r="AL6034">
        <v>77.739216257870495</v>
      </c>
      <c r="AM6034">
        <v>89.612238019396997</v>
      </c>
      <c r="AN6034">
        <v>1.00000002435196</v>
      </c>
    </row>
    <row r="6035" spans="1:40" x14ac:dyDescent="0.25">
      <c r="A6035" t="str">
        <f>"20190303170654533"</f>
        <v>20190303170654533</v>
      </c>
      <c r="B6035" t="str">
        <f>"1551604014521077"</f>
        <v>1551604014521077</v>
      </c>
      <c r="C6035" t="s">
        <v>40</v>
      </c>
      <c r="D6035">
        <v>5.5746440000000002</v>
      </c>
      <c r="E6035">
        <v>0.49129850000000003</v>
      </c>
      <c r="F6035" t="s">
        <v>41</v>
      </c>
      <c r="G6035">
        <v>-188.833</v>
      </c>
      <c r="H6035" s="1">
        <v>-4.6906320000000001E-7</v>
      </c>
      <c r="I6035">
        <v>70.113979999999998</v>
      </c>
      <c r="J6035">
        <v>-186.8245</v>
      </c>
      <c r="K6035">
        <v>1.1197280000000001</v>
      </c>
      <c r="L6035">
        <v>33.84863</v>
      </c>
      <c r="M6035">
        <v>-2.8578340000000001E-2</v>
      </c>
      <c r="N6035">
        <v>-9.3775969999999997E-3</v>
      </c>
      <c r="O6035">
        <v>0.99954750000000003</v>
      </c>
      <c r="P6035">
        <v>-2.109277E-2</v>
      </c>
      <c r="Q6035">
        <v>0.2028586</v>
      </c>
      <c r="R6035">
        <v>0.97898079999999998</v>
      </c>
      <c r="S6035">
        <v>-0.16975399999999999</v>
      </c>
      <c r="T6035">
        <v>-9.4182489999999994E-2</v>
      </c>
      <c r="U6035">
        <v>3.0803530000000001</v>
      </c>
      <c r="V6035">
        <v>7.3419869999999899E-3</v>
      </c>
      <c r="W6035">
        <v>0.2120167</v>
      </c>
      <c r="X6035">
        <v>0.97723850000000001</v>
      </c>
      <c r="Y6035">
        <v>-2.6449110000000001E-2</v>
      </c>
      <c r="Z6035">
        <v>-2.114657E-2</v>
      </c>
      <c r="AA6035">
        <v>0.9994265</v>
      </c>
      <c r="AB6035">
        <v>37</v>
      </c>
      <c r="AC6035">
        <v>-2.00849999999999</v>
      </c>
      <c r="AD6035">
        <v>-1.1197284690631999</v>
      </c>
      <c r="AE6035">
        <v>36.265349999999998</v>
      </c>
      <c r="AF6035">
        <v>-0.97030823016738399</v>
      </c>
      <c r="AG6035">
        <v>-1.1197284690631999</v>
      </c>
      <c r="AH6035">
        <v>36.273463736612399</v>
      </c>
      <c r="AI6035">
        <v>91.767474712325296</v>
      </c>
      <c r="AJ6035">
        <v>91.532285756774897</v>
      </c>
      <c r="AK6035">
        <v>36.303711399212297</v>
      </c>
      <c r="AL6035">
        <v>77.759438193203493</v>
      </c>
      <c r="AM6035">
        <v>89.569545250430295</v>
      </c>
      <c r="AN6035">
        <v>1.0000000358671199</v>
      </c>
    </row>
    <row r="6036" spans="1:40" x14ac:dyDescent="0.25">
      <c r="A6036" t="str">
        <f>"20190303170654557"</f>
        <v>20190303170654557</v>
      </c>
      <c r="B6036" t="str">
        <f>"1551604014551334"</f>
        <v>1551604014551334</v>
      </c>
      <c r="C6036" t="s">
        <v>40</v>
      </c>
      <c r="D6036">
        <v>5.5906289999999998</v>
      </c>
      <c r="E6036">
        <v>0.49116379999999998</v>
      </c>
      <c r="F6036" t="s">
        <v>41</v>
      </c>
      <c r="G6036">
        <v>-188.75810000000001</v>
      </c>
      <c r="H6036" s="1">
        <v>-3.7412880000000002E-7</v>
      </c>
      <c r="I6036">
        <v>69.776439999999994</v>
      </c>
      <c r="J6036">
        <v>-186.83449999999999</v>
      </c>
      <c r="K6036">
        <v>1.1196900000000001</v>
      </c>
      <c r="L6036">
        <v>34.231319999999997</v>
      </c>
      <c r="M6036">
        <v>-2.7532520000000001E-2</v>
      </c>
      <c r="N6036">
        <v>-9.3777649999999997E-3</v>
      </c>
      <c r="O6036">
        <v>0.99957689999999999</v>
      </c>
      <c r="P6036">
        <v>-1.9554459999999999E-2</v>
      </c>
      <c r="Q6036">
        <v>0.20291580000000001</v>
      </c>
      <c r="R6036">
        <v>0.97900089999999995</v>
      </c>
      <c r="S6036">
        <v>-0.165802</v>
      </c>
      <c r="T6036">
        <v>-9.6014859999999994E-2</v>
      </c>
      <c r="U6036">
        <v>3.0807500000000001</v>
      </c>
      <c r="V6036">
        <v>7.8730309999999904E-3</v>
      </c>
      <c r="W6036">
        <v>0.2120726</v>
      </c>
      <c r="X6036">
        <v>0.97722220000000004</v>
      </c>
      <c r="Y6036">
        <v>-2.620896E-2</v>
      </c>
      <c r="Z6036">
        <v>-2.173775E-2</v>
      </c>
      <c r="AA6036">
        <v>0.99942010000000003</v>
      </c>
      <c r="AB6036">
        <v>37</v>
      </c>
      <c r="AC6036">
        <v>-1.92360000000002</v>
      </c>
      <c r="AD6036">
        <v>-1.1196903741288</v>
      </c>
      <c r="AE6036">
        <v>35.545119999999997</v>
      </c>
      <c r="AF6036">
        <v>-0.94324769728393998</v>
      </c>
      <c r="AG6036">
        <v>-1.1196903741288</v>
      </c>
      <c r="AH6036">
        <v>35.549435716834097</v>
      </c>
      <c r="AI6036">
        <v>91.803398037363607</v>
      </c>
      <c r="AJ6036">
        <v>91.519895706113601</v>
      </c>
      <c r="AK6036">
        <v>35.579570016199902</v>
      </c>
      <c r="AL6036">
        <v>77.756160388889199</v>
      </c>
      <c r="AM6036">
        <v>89.538404173725695</v>
      </c>
      <c r="AN6036">
        <v>1.00000000023036</v>
      </c>
    </row>
    <row r="6037" spans="1:40" x14ac:dyDescent="0.25">
      <c r="A6037" t="str">
        <f>"20190303170654580"</f>
        <v>20190303170654580</v>
      </c>
      <c r="B6037" t="str">
        <f>"1551604014570854"</f>
        <v>1551604014570854</v>
      </c>
      <c r="C6037" t="s">
        <v>40</v>
      </c>
      <c r="D6037">
        <v>5.5912119999999996</v>
      </c>
      <c r="E6037">
        <v>0.491087</v>
      </c>
      <c r="F6037" t="s">
        <v>41</v>
      </c>
      <c r="G6037">
        <v>-188.70849999999999</v>
      </c>
      <c r="H6037" s="1">
        <v>-3.7239350000000001E-7</v>
      </c>
      <c r="I6037">
        <v>69.732550000000003</v>
      </c>
      <c r="J6037">
        <v>-186.8441</v>
      </c>
      <c r="K6037">
        <v>1.119658</v>
      </c>
      <c r="L6037">
        <v>34.609679999999997</v>
      </c>
      <c r="M6037">
        <v>-2.6496659999999998E-2</v>
      </c>
      <c r="N6037">
        <v>-9.3784799999999998E-3</v>
      </c>
      <c r="O6037">
        <v>0.99960490000000002</v>
      </c>
      <c r="P6037">
        <v>-1.8847719999999998E-2</v>
      </c>
      <c r="Q6037">
        <v>0.2018607</v>
      </c>
      <c r="R6037">
        <v>0.97923289999999996</v>
      </c>
      <c r="S6037">
        <v>-0.16264339999999999</v>
      </c>
      <c r="T6037">
        <v>-9.7180600000000006E-2</v>
      </c>
      <c r="U6037">
        <v>3.0812379999999999</v>
      </c>
      <c r="V6037">
        <v>7.5821309999999998E-3</v>
      </c>
      <c r="W6037">
        <v>0.21102029999999999</v>
      </c>
      <c r="X6037">
        <v>0.97745230000000005</v>
      </c>
      <c r="Y6037">
        <v>-2.6214310000000001E-2</v>
      </c>
      <c r="Z6037">
        <v>-2.2111240000000001E-2</v>
      </c>
      <c r="AA6037">
        <v>0.99941179999999996</v>
      </c>
      <c r="AB6037">
        <v>37</v>
      </c>
      <c r="AC6037">
        <v>-1.8643999999999801</v>
      </c>
      <c r="AD6037">
        <v>-1.1196583723935001</v>
      </c>
      <c r="AE6037">
        <v>35.122869999999999</v>
      </c>
      <c r="AF6037">
        <v>-0.93212108738258803</v>
      </c>
      <c r="AG6037">
        <v>-1.1196583723935001</v>
      </c>
      <c r="AH6037">
        <v>35.124345844264603</v>
      </c>
      <c r="AI6037">
        <v>91.825156517342293</v>
      </c>
      <c r="AJ6037">
        <v>91.520144249671404</v>
      </c>
      <c r="AK6037">
        <v>35.1545467269871</v>
      </c>
      <c r="AL6037">
        <v>77.817849212471302</v>
      </c>
      <c r="AM6037">
        <v>89.555563588114197</v>
      </c>
      <c r="AN6037">
        <v>1.00000002724894</v>
      </c>
    </row>
    <row r="6038" spans="1:40" x14ac:dyDescent="0.25">
      <c r="A6038" t="str">
        <f>"20190303170654603"</f>
        <v>20190303170654603</v>
      </c>
      <c r="B6038" t="str">
        <f>"1551604014591350"</f>
        <v>1551604014591350</v>
      </c>
      <c r="C6038" t="s">
        <v>40</v>
      </c>
      <c r="D6038">
        <v>5.6051830000000002</v>
      </c>
      <c r="E6038">
        <v>0.49098000000000003</v>
      </c>
      <c r="F6038" t="s">
        <v>41</v>
      </c>
      <c r="G6038">
        <v>-188.62639999999999</v>
      </c>
      <c r="H6038" s="1">
        <v>-4.1351700000000003E-6</v>
      </c>
      <c r="I6038">
        <v>68.703990000000005</v>
      </c>
      <c r="J6038">
        <v>-186.85329999999999</v>
      </c>
      <c r="K6038">
        <v>1.119632</v>
      </c>
      <c r="L6038">
        <v>34.990630000000003</v>
      </c>
      <c r="M6038">
        <v>-2.5456300000000001E-2</v>
      </c>
      <c r="N6038">
        <v>-9.3797759999999994E-3</v>
      </c>
      <c r="O6038">
        <v>0.99963190000000002</v>
      </c>
      <c r="P6038">
        <v>-1.858686E-2</v>
      </c>
      <c r="Q6038">
        <v>0.20053399999999999</v>
      </c>
      <c r="R6038">
        <v>0.9795104</v>
      </c>
      <c r="S6038">
        <v>-0.16108699999999901</v>
      </c>
      <c r="T6038">
        <v>-0.1011933</v>
      </c>
      <c r="U6038">
        <v>3.0813899999999999</v>
      </c>
      <c r="V6038">
        <v>6.8388290000000003E-3</v>
      </c>
      <c r="W6038">
        <v>0.20969869999999999</v>
      </c>
      <c r="X6038">
        <v>0.97774209999999995</v>
      </c>
      <c r="Y6038">
        <v>-2.6746869999999999E-2</v>
      </c>
      <c r="Z6038">
        <v>-2.340834E-2</v>
      </c>
      <c r="AA6038">
        <v>0.99936809999999998</v>
      </c>
      <c r="AB6038">
        <v>37</v>
      </c>
      <c r="AC6038">
        <v>-1.7730999999999899</v>
      </c>
      <c r="AD6038">
        <v>-1.1196361351699999</v>
      </c>
      <c r="AE6038">
        <v>33.713360000000002</v>
      </c>
      <c r="AF6038">
        <v>-0.91326566961704403</v>
      </c>
      <c r="AG6038">
        <v>-1.1196361351699999</v>
      </c>
      <c r="AH6038">
        <v>33.710494391707002</v>
      </c>
      <c r="AI6038">
        <v>91.901584379220907</v>
      </c>
      <c r="AJ6038">
        <v>91.551845307296801</v>
      </c>
      <c r="AK6038">
        <v>33.741444417685997</v>
      </c>
      <c r="AL6038">
        <v>77.895303675451501</v>
      </c>
      <c r="AM6038">
        <v>89.599250509166396</v>
      </c>
      <c r="AN6038">
        <v>0.99999996423809501</v>
      </c>
    </row>
    <row r="6039" spans="1:40" x14ac:dyDescent="0.25">
      <c r="A6039" t="str">
        <f>"20190303170654624"</f>
        <v>20190303170654624</v>
      </c>
      <c r="B6039" t="str">
        <f>"1551604014610869"</f>
        <v>1551604014610869</v>
      </c>
      <c r="C6039" t="s">
        <v>40</v>
      </c>
      <c r="D6039">
        <v>5.6284720000000004</v>
      </c>
      <c r="E6039">
        <v>0.49094100000000002</v>
      </c>
      <c r="F6039" t="s">
        <v>41</v>
      </c>
      <c r="G6039">
        <v>-188.5368</v>
      </c>
      <c r="H6039" s="1">
        <v>-3.6159649999999999E-6</v>
      </c>
      <c r="I6039">
        <v>67.456669999999903</v>
      </c>
      <c r="J6039">
        <v>-186.86109999999999</v>
      </c>
      <c r="K6039">
        <v>1.1196120000000001</v>
      </c>
      <c r="L6039">
        <v>35.328490000000002</v>
      </c>
      <c r="M6039">
        <v>-2.453756E-2</v>
      </c>
      <c r="N6039">
        <v>-9.3860969999999995E-3</v>
      </c>
      <c r="O6039">
        <v>0.99965479999999995</v>
      </c>
      <c r="P6039">
        <v>-1.7957499999999901E-2</v>
      </c>
      <c r="Q6039">
        <v>0.2008964</v>
      </c>
      <c r="R6039">
        <v>0.97944790000000004</v>
      </c>
      <c r="S6039">
        <v>-0.15978999999999999</v>
      </c>
      <c r="T6039">
        <v>-0.10626910000000001</v>
      </c>
      <c r="U6039">
        <v>3.0814819999999998</v>
      </c>
      <c r="V6039">
        <v>6.5751780000000001E-3</v>
      </c>
      <c r="W6039">
        <v>0.210067</v>
      </c>
      <c r="X6039">
        <v>0.97766489999999995</v>
      </c>
      <c r="Y6039">
        <v>-2.7242200000000001E-2</v>
      </c>
      <c r="Z6039">
        <v>-2.5044750000000001E-2</v>
      </c>
      <c r="AA6039">
        <v>0.99931510000000001</v>
      </c>
      <c r="AB6039">
        <v>37</v>
      </c>
      <c r="AC6039">
        <v>-1.6757</v>
      </c>
      <c r="AD6039">
        <v>-1.1196156159649999</v>
      </c>
      <c r="AE6039">
        <v>32.128179999999901</v>
      </c>
      <c r="AF6039">
        <v>-0.88574077333504497</v>
      </c>
      <c r="AG6039">
        <v>-1.1196156159649999</v>
      </c>
      <c r="AH6039">
        <v>32.120723105667501</v>
      </c>
      <c r="AI6039">
        <v>91.995563492476705</v>
      </c>
      <c r="AJ6039">
        <v>91.579551945478897</v>
      </c>
      <c r="AK6039">
        <v>32.152432702301397</v>
      </c>
      <c r="AL6039">
        <v>77.873721566661999</v>
      </c>
      <c r="AM6039">
        <v>89.614669331833596</v>
      </c>
      <c r="AN6039">
        <v>1.0000000170733701</v>
      </c>
    </row>
    <row r="6040" spans="1:40" x14ac:dyDescent="0.25">
      <c r="A6040" t="str">
        <f>"20190303170654646"</f>
        <v>20190303170654646</v>
      </c>
      <c r="B6040" t="str">
        <f>"1551604014631367"</f>
        <v>1551604014631367</v>
      </c>
      <c r="C6040" t="s">
        <v>40</v>
      </c>
      <c r="D6040">
        <v>5.7640010000000004</v>
      </c>
      <c r="E6040">
        <v>0.49088579999999998</v>
      </c>
      <c r="F6040" t="s">
        <v>41</v>
      </c>
      <c r="G6040">
        <v>-188.53399999999999</v>
      </c>
      <c r="H6040" s="1">
        <v>-3.8664360000000001E-6</v>
      </c>
      <c r="I6040">
        <v>68.039379999999994</v>
      </c>
      <c r="J6040">
        <v>-186.86920000000001</v>
      </c>
      <c r="K6040">
        <v>1.1196029999999999</v>
      </c>
      <c r="L6040">
        <v>35.692630000000001</v>
      </c>
      <c r="M6040">
        <v>-2.3550249999999998E-2</v>
      </c>
      <c r="N6040">
        <v>-9.3959089999999992E-3</v>
      </c>
      <c r="O6040">
        <v>0.99967850000000003</v>
      </c>
      <c r="P6040">
        <v>-1.668795E-2</v>
      </c>
      <c r="Q6040">
        <v>0.202183</v>
      </c>
      <c r="R6040">
        <v>0.97920549999999995</v>
      </c>
      <c r="S6040">
        <v>-0.157608</v>
      </c>
      <c r="T6040">
        <v>-0.10547910000000001</v>
      </c>
      <c r="U6040">
        <v>3.081696</v>
      </c>
      <c r="V6040">
        <v>6.8816249999999997E-3</v>
      </c>
      <c r="W6040">
        <v>0.2113601</v>
      </c>
      <c r="X6040">
        <v>0.97738400000000003</v>
      </c>
      <c r="Y6040">
        <v>-2.75205E-2</v>
      </c>
      <c r="Z6040">
        <v>-2.477832E-2</v>
      </c>
      <c r="AA6040">
        <v>0.99931409999999998</v>
      </c>
      <c r="AB6040">
        <v>37</v>
      </c>
      <c r="AC6040">
        <v>-1.66480000000001</v>
      </c>
      <c r="AD6040">
        <v>-1.1196068664359999</v>
      </c>
      <c r="AE6040">
        <v>32.34675</v>
      </c>
      <c r="AF6040">
        <v>-0.90145343691693602</v>
      </c>
      <c r="AG6040">
        <v>-1.1196068664359999</v>
      </c>
      <c r="AH6040">
        <v>32.338346022427999</v>
      </c>
      <c r="AI6040">
        <v>91.982113016397605</v>
      </c>
      <c r="AJ6040">
        <v>91.596745406307704</v>
      </c>
      <c r="AK6040">
        <v>32.370275891635302</v>
      </c>
      <c r="AL6040">
        <v>77.797930089725099</v>
      </c>
      <c r="AM6040">
        <v>89.596595039981494</v>
      </c>
      <c r="AN6040">
        <v>0.99999996604532404</v>
      </c>
    </row>
    <row r="6041" spans="1:40" x14ac:dyDescent="0.25">
      <c r="A6041" t="str">
        <f>"20190303170654667"</f>
        <v>20190303170654667</v>
      </c>
      <c r="B6041" t="str">
        <f>"1551604014660646"</f>
        <v>1551604014660646</v>
      </c>
      <c r="C6041" t="s">
        <v>40</v>
      </c>
      <c r="D6041">
        <v>5.7640269999999996</v>
      </c>
      <c r="E6041">
        <v>0.49073670000000003</v>
      </c>
      <c r="F6041" t="s">
        <v>41</v>
      </c>
      <c r="G6041">
        <v>-188.57089999999999</v>
      </c>
      <c r="H6041" s="1">
        <v>-4.5168389999999997E-6</v>
      </c>
      <c r="I6041">
        <v>69.570709999999906</v>
      </c>
      <c r="J6041">
        <v>-186.87710000000001</v>
      </c>
      <c r="K6041">
        <v>1.119599</v>
      </c>
      <c r="L6041">
        <v>36.06729</v>
      </c>
      <c r="M6041">
        <v>-2.2536460000000001E-2</v>
      </c>
      <c r="N6041">
        <v>-9.4060649999999999E-3</v>
      </c>
      <c r="O6041">
        <v>0.99970179999999997</v>
      </c>
      <c r="P6041">
        <v>-1.5071009999999999E-2</v>
      </c>
      <c r="Q6041">
        <v>0.2040447</v>
      </c>
      <c r="R6041">
        <v>0.97884550000000004</v>
      </c>
      <c r="S6041">
        <v>-0.1548157</v>
      </c>
      <c r="T6041">
        <v>-0.1018574</v>
      </c>
      <c r="U6041">
        <v>3.0820919999999998</v>
      </c>
      <c r="V6041">
        <v>7.50759199999999E-3</v>
      </c>
      <c r="W6041">
        <v>0.21322579999999999</v>
      </c>
      <c r="X6041">
        <v>0.97697409999999996</v>
      </c>
      <c r="Y6041">
        <v>-2.762616E-2</v>
      </c>
      <c r="Z6041">
        <v>-2.3593380000000001E-2</v>
      </c>
      <c r="AA6041">
        <v>0.99933989999999995</v>
      </c>
      <c r="AB6041">
        <v>37</v>
      </c>
      <c r="AC6041">
        <v>-1.69379999999998</v>
      </c>
      <c r="AD6041">
        <v>-1.1196035168389999</v>
      </c>
      <c r="AE6041">
        <v>33.503419999999899</v>
      </c>
      <c r="AF6041">
        <v>-0.93724392133560896</v>
      </c>
      <c r="AG6041">
        <v>-1.1196035168389999</v>
      </c>
      <c r="AH6041">
        <v>33.495773502084397</v>
      </c>
      <c r="AI6041">
        <v>91.913662720409604</v>
      </c>
      <c r="AJ6041">
        <v>91.602772752514994</v>
      </c>
      <c r="AK6041">
        <v>33.527582386833899</v>
      </c>
      <c r="AL6041">
        <v>77.688540310009301</v>
      </c>
      <c r="AM6041">
        <v>89.559717223766796</v>
      </c>
      <c r="AN6041">
        <v>0.99999999889704405</v>
      </c>
    </row>
    <row r="6042" spans="1:40" x14ac:dyDescent="0.25">
      <c r="A6042" t="str">
        <f>"20190303170654690"</f>
        <v>20190303170654690</v>
      </c>
      <c r="B6042" t="str">
        <f>"1551604014681141"</f>
        <v>1551604014681141</v>
      </c>
      <c r="C6042" t="s">
        <v>40</v>
      </c>
      <c r="D6042">
        <v>5.6052309999999999</v>
      </c>
      <c r="E6042">
        <v>0.49060900000000002</v>
      </c>
      <c r="F6042" t="s">
        <v>41</v>
      </c>
      <c r="G6042">
        <v>-188.62870000000001</v>
      </c>
      <c r="H6042" s="1">
        <v>-1.1247729999999999E-6</v>
      </c>
      <c r="I6042">
        <v>71.687640000000002</v>
      </c>
      <c r="J6042">
        <v>-186.88470000000001</v>
      </c>
      <c r="K6042">
        <v>1.119597</v>
      </c>
      <c r="L6042">
        <v>36.446660000000001</v>
      </c>
      <c r="M6042">
        <v>-2.1510499999999998E-2</v>
      </c>
      <c r="N6042">
        <v>-9.4160170000000005E-3</v>
      </c>
      <c r="O6042">
        <v>0.99972430000000001</v>
      </c>
      <c r="P6042">
        <v>-1.3509200000000001E-2</v>
      </c>
      <c r="Q6042">
        <v>0.2038451</v>
      </c>
      <c r="R6042">
        <v>0.97890999999999995</v>
      </c>
      <c r="S6042">
        <v>-0.15159610000000001</v>
      </c>
      <c r="T6042">
        <v>-9.689391E-2</v>
      </c>
      <c r="U6042">
        <v>3.082703</v>
      </c>
      <c r="V6042">
        <v>8.0702009999999904E-3</v>
      </c>
      <c r="W6042">
        <v>0.2130348</v>
      </c>
      <c r="X6042">
        <v>0.97701130000000003</v>
      </c>
      <c r="Y6042">
        <v>-2.7602979999999999E-2</v>
      </c>
      <c r="Z6042">
        <v>-2.1972350000000002E-2</v>
      </c>
      <c r="AA6042">
        <v>0.99937739999999997</v>
      </c>
      <c r="AB6042">
        <v>37</v>
      </c>
      <c r="AC6042">
        <v>-1.74399999999999</v>
      </c>
      <c r="AD6042">
        <v>-1.119598124773</v>
      </c>
      <c r="AE6042">
        <v>35.24098</v>
      </c>
      <c r="AF6042">
        <v>-0.98452048168567696</v>
      </c>
      <c r="AG6042">
        <v>-1.119598124773</v>
      </c>
      <c r="AH6042">
        <v>35.234864950124702</v>
      </c>
      <c r="AI6042">
        <v>91.819268199744897</v>
      </c>
      <c r="AJ6042">
        <v>91.600522529317999</v>
      </c>
      <c r="AK6042">
        <v>35.266393189456998</v>
      </c>
      <c r="AL6042">
        <v>77.699741386177195</v>
      </c>
      <c r="AM6042">
        <v>89.526742483490807</v>
      </c>
      <c r="AN6042">
        <v>1.00000001724145</v>
      </c>
    </row>
    <row r="6043" spans="1:40" x14ac:dyDescent="0.25">
      <c r="A6043" t="str">
        <f>"20190303170654712"</f>
        <v>20190303170654712</v>
      </c>
      <c r="B6043" t="str">
        <f>"1551604014700661"</f>
        <v>1551604014700661</v>
      </c>
      <c r="C6043" t="s">
        <v>40</v>
      </c>
      <c r="D6043">
        <v>5.618036</v>
      </c>
      <c r="E6043">
        <v>0.49049700000000002</v>
      </c>
      <c r="F6043" t="s">
        <v>41</v>
      </c>
      <c r="G6043">
        <v>-188.59139999999999</v>
      </c>
      <c r="H6043" s="1">
        <v>-1.1563160000000001E-6</v>
      </c>
      <c r="I6043">
        <v>71.745739999999998</v>
      </c>
      <c r="J6043">
        <v>-186.89150000000001</v>
      </c>
      <c r="K6043">
        <v>1.119583</v>
      </c>
      <c r="L6043">
        <v>36.806269999999998</v>
      </c>
      <c r="M6043">
        <v>-2.0538130000000002E-2</v>
      </c>
      <c r="N6043">
        <v>-9.4253480000000001E-3</v>
      </c>
      <c r="O6043">
        <v>0.99974470000000004</v>
      </c>
      <c r="P6043">
        <v>-1.14065E-2</v>
      </c>
      <c r="Q6043">
        <v>0.20219190000000001</v>
      </c>
      <c r="R6043">
        <v>0.97927949999999997</v>
      </c>
      <c r="S6043">
        <v>-0.1490631</v>
      </c>
      <c r="T6043">
        <v>-9.7783330000000002E-2</v>
      </c>
      <c r="U6043">
        <v>3.0829469999999999</v>
      </c>
      <c r="V6043">
        <v>9.2274320000000007E-3</v>
      </c>
      <c r="W6043">
        <v>0.2113913</v>
      </c>
      <c r="X6043">
        <v>0.9773579</v>
      </c>
      <c r="Y6043">
        <v>-2.775184E-2</v>
      </c>
      <c r="Z6043">
        <v>-2.224959E-2</v>
      </c>
      <c r="AA6043">
        <v>0.99936720000000001</v>
      </c>
      <c r="AB6043">
        <v>37</v>
      </c>
      <c r="AC6043">
        <v>-1.69989999999998</v>
      </c>
      <c r="AD6043">
        <v>-1.1195841563160001</v>
      </c>
      <c r="AE6043">
        <v>34.93947</v>
      </c>
      <c r="AF6043">
        <v>-0.98091338561758201</v>
      </c>
      <c r="AG6043">
        <v>-1.1195841563160001</v>
      </c>
      <c r="AH6043">
        <v>34.931231616172099</v>
      </c>
      <c r="AI6043">
        <v>91.835041044522995</v>
      </c>
      <c r="AJ6043">
        <v>91.608515604986593</v>
      </c>
      <c r="AK6043">
        <v>34.962931827520102</v>
      </c>
      <c r="AL6043">
        <v>77.796100886962805</v>
      </c>
      <c r="AM6043">
        <v>89.459075123234797</v>
      </c>
      <c r="AN6043">
        <v>0.99999994595470498</v>
      </c>
    </row>
    <row r="6044" spans="1:40" x14ac:dyDescent="0.25">
      <c r="A6044" t="str">
        <f>"20190303170654733"</f>
        <v>20190303170654733</v>
      </c>
      <c r="B6044" t="str">
        <f>"1551604014720688"</f>
        <v>1551604014720688</v>
      </c>
      <c r="C6044" t="s">
        <v>40</v>
      </c>
      <c r="D6044">
        <v>5.5577050000000003</v>
      </c>
      <c r="E6044">
        <v>0.49037890000000001</v>
      </c>
      <c r="F6044" t="s">
        <v>41</v>
      </c>
      <c r="G6044">
        <v>-188.44990000000001</v>
      </c>
      <c r="H6044" s="1">
        <v>-5.7320559999999996E-7</v>
      </c>
      <c r="I6044">
        <v>70.120490000000004</v>
      </c>
      <c r="J6044">
        <v>-186.898</v>
      </c>
      <c r="K6044">
        <v>1.1195710000000001</v>
      </c>
      <c r="L6044">
        <v>37.16104</v>
      </c>
      <c r="M6044">
        <v>-1.957865E-2</v>
      </c>
      <c r="N6044">
        <v>-9.4343139999999992E-3</v>
      </c>
      <c r="O6044">
        <v>0.99976379999999998</v>
      </c>
      <c r="P6044">
        <v>-9.1019640000000006E-3</v>
      </c>
      <c r="Q6044">
        <v>0.20206669999999999</v>
      </c>
      <c r="R6044">
        <v>0.97932949999999996</v>
      </c>
      <c r="S6044">
        <v>-0.1442261</v>
      </c>
      <c r="T6044">
        <v>-0.1036161</v>
      </c>
      <c r="U6044">
        <v>3.0831909999999998</v>
      </c>
      <c r="V6044">
        <v>1.05951E-2</v>
      </c>
      <c r="W6044">
        <v>0.2112715</v>
      </c>
      <c r="X6044">
        <v>0.97736999999999996</v>
      </c>
      <c r="Y6044">
        <v>-2.7140890000000001E-2</v>
      </c>
      <c r="Z6044">
        <v>-2.412748E-2</v>
      </c>
      <c r="AA6044">
        <v>0.99934040000000002</v>
      </c>
      <c r="AB6044">
        <v>37</v>
      </c>
      <c r="AC6044">
        <v>-1.55190000000001</v>
      </c>
      <c r="AD6044">
        <v>-1.1195715732056</v>
      </c>
      <c r="AE6044">
        <v>32.959449999999997</v>
      </c>
      <c r="AF6044">
        <v>-0.90523006898215796</v>
      </c>
      <c r="AG6044">
        <v>-1.1195715732056</v>
      </c>
      <c r="AH6044">
        <v>32.945587534258202</v>
      </c>
      <c r="AI6044">
        <v>91.945567922029099</v>
      </c>
      <c r="AJ6044">
        <v>91.5738925916705</v>
      </c>
      <c r="AK6044">
        <v>32.977031703335399</v>
      </c>
      <c r="AL6044">
        <v>77.803124323585294</v>
      </c>
      <c r="AM6044">
        <v>89.3789140899312</v>
      </c>
      <c r="AN6044">
        <v>1.0000000098781201</v>
      </c>
    </row>
    <row r="6045" spans="1:40" x14ac:dyDescent="0.25">
      <c r="A6045" t="str">
        <f>"20190303170654757"</f>
        <v>20190303170654757</v>
      </c>
      <c r="B6045" t="str">
        <f>"1551604014750944"</f>
        <v>1551604014750944</v>
      </c>
      <c r="C6045" t="s">
        <v>40</v>
      </c>
      <c r="D6045">
        <v>5.5879570000000003</v>
      </c>
      <c r="E6045">
        <v>0.49017860000000002</v>
      </c>
      <c r="F6045" t="s">
        <v>41</v>
      </c>
      <c r="G6045">
        <v>-188.37629999999999</v>
      </c>
      <c r="H6045" s="1">
        <v>-6.2028290000000003E-7</v>
      </c>
      <c r="I6045">
        <v>70.201279999999997</v>
      </c>
      <c r="J6045">
        <v>-186.90479999999999</v>
      </c>
      <c r="K6045">
        <v>1.1195729999999999</v>
      </c>
      <c r="L6045">
        <v>37.560209999999998</v>
      </c>
      <c r="M6045">
        <v>-1.8498980000000002E-2</v>
      </c>
      <c r="N6045">
        <v>-9.4439740000000008E-3</v>
      </c>
      <c r="O6045">
        <v>0.99978429999999996</v>
      </c>
      <c r="P6045">
        <v>-6.2837359999999998E-3</v>
      </c>
      <c r="Q6045">
        <v>0.20210690000000001</v>
      </c>
      <c r="R6045">
        <v>0.97934330000000003</v>
      </c>
      <c r="S6045">
        <v>-0.13797000000000001</v>
      </c>
      <c r="T6045">
        <v>-0.1044877</v>
      </c>
      <c r="U6045">
        <v>3.0835880000000002</v>
      </c>
      <c r="V6045">
        <v>1.235811E-2</v>
      </c>
      <c r="W6045">
        <v>0.2113167</v>
      </c>
      <c r="X6045">
        <v>0.97733950000000003</v>
      </c>
      <c r="Y6045">
        <v>-2.6190979999999999E-2</v>
      </c>
      <c r="Z6045">
        <v>-2.4398090000000001E-2</v>
      </c>
      <c r="AA6045">
        <v>0.9993592</v>
      </c>
      <c r="AB6045">
        <v>37</v>
      </c>
      <c r="AC6045">
        <v>-1.47149999999999</v>
      </c>
      <c r="AD6045">
        <v>-1.1195736202829001</v>
      </c>
      <c r="AE6045">
        <v>32.641069999999999</v>
      </c>
      <c r="AF6045">
        <v>-0.86637756768131202</v>
      </c>
      <c r="AG6045">
        <v>-1.1195736202829001</v>
      </c>
      <c r="AH6045">
        <v>32.624402994180997</v>
      </c>
      <c r="AI6045">
        <v>91.964759308984299</v>
      </c>
      <c r="AJ6045">
        <v>91.521196079033203</v>
      </c>
      <c r="AK6045">
        <v>32.655102601396599</v>
      </c>
      <c r="AL6045">
        <v>77.800474417989605</v>
      </c>
      <c r="AM6045">
        <v>89.275553876169496</v>
      </c>
      <c r="AN6045">
        <v>0.99999998442095595</v>
      </c>
    </row>
    <row r="6046" spans="1:40" x14ac:dyDescent="0.25">
      <c r="A6046" t="str">
        <f>"20190303170654781"</f>
        <v>20190303170654781</v>
      </c>
      <c r="B6046" t="str">
        <f>"1551604014770464"</f>
        <v>1551604014770464</v>
      </c>
      <c r="C6046" t="s">
        <v>40</v>
      </c>
      <c r="D6046">
        <v>5.6191779999999998</v>
      </c>
      <c r="E6046">
        <v>0.49001479999999997</v>
      </c>
      <c r="F6046" t="s">
        <v>41</v>
      </c>
      <c r="G6046">
        <v>-188.30850000000001</v>
      </c>
      <c r="H6046" s="1">
        <v>-7.1260799999999997E-7</v>
      </c>
      <c r="I6046">
        <v>70.419550000000001</v>
      </c>
      <c r="J6046">
        <v>-186.9111</v>
      </c>
      <c r="K6046">
        <v>1.1195710000000001</v>
      </c>
      <c r="L6046">
        <v>37.954039999999999</v>
      </c>
      <c r="M6046">
        <v>-1.74337E-2</v>
      </c>
      <c r="N6046">
        <v>-9.4530069999999994E-3</v>
      </c>
      <c r="O6046">
        <v>0.99980329999999995</v>
      </c>
      <c r="P6046">
        <v>-4.0877250000000004E-3</v>
      </c>
      <c r="Q6046">
        <v>0.20253560000000001</v>
      </c>
      <c r="R6046">
        <v>0.97926630000000003</v>
      </c>
      <c r="S6046">
        <v>-0.13174439999999901</v>
      </c>
      <c r="T6046">
        <v>-0.1050807</v>
      </c>
      <c r="U6046">
        <v>3.0841059999999998</v>
      </c>
      <c r="V6046">
        <v>1.3512049999999999E-2</v>
      </c>
      <c r="W6046">
        <v>0.21174970000000001</v>
      </c>
      <c r="X6046">
        <v>0.9772305</v>
      </c>
      <c r="Y6046">
        <v>-2.5235110000000002E-2</v>
      </c>
      <c r="Z6046">
        <v>-2.4577720000000001E-2</v>
      </c>
      <c r="AA6046">
        <v>0.99937940000000003</v>
      </c>
      <c r="AB6046">
        <v>37</v>
      </c>
      <c r="AC6046">
        <v>-1.3974</v>
      </c>
      <c r="AD6046">
        <v>-1.11957171260799</v>
      </c>
      <c r="AE6046">
        <v>32.465509999999902</v>
      </c>
      <c r="AF6046">
        <v>-0.83018289719583704</v>
      </c>
      <c r="AG6046">
        <v>-1.11957171260799</v>
      </c>
      <c r="AH6046">
        <v>32.446424110155803</v>
      </c>
      <c r="AI6046">
        <v>91.975574633197894</v>
      </c>
      <c r="AJ6046">
        <v>91.465665379508707</v>
      </c>
      <c r="AK6046">
        <v>32.476346500161704</v>
      </c>
      <c r="AL6046">
        <v>77.775090889077006</v>
      </c>
      <c r="AM6046">
        <v>89.207828545653697</v>
      </c>
      <c r="AN6046">
        <v>0.99999998053777095</v>
      </c>
    </row>
    <row r="6047" spans="1:40" x14ac:dyDescent="0.25">
      <c r="A6047" t="str">
        <f>"20190303170654802"</f>
        <v>20190303170654802</v>
      </c>
      <c r="B6047" t="str">
        <f>"1551604014790960"</f>
        <v>1551604014790960</v>
      </c>
      <c r="C6047" t="s">
        <v>40</v>
      </c>
      <c r="D6047">
        <v>5.595472</v>
      </c>
      <c r="E6047">
        <v>0.48995250000000001</v>
      </c>
      <c r="F6047" t="s">
        <v>41</v>
      </c>
      <c r="G6047">
        <v>-188.2739</v>
      </c>
      <c r="H6047" s="1">
        <v>-9.5342609999999997E-7</v>
      </c>
      <c r="I6047">
        <v>71.100160000000002</v>
      </c>
      <c r="J6047">
        <v>-186.91650000000001</v>
      </c>
      <c r="K6047">
        <v>1.1195679999999999</v>
      </c>
      <c r="L6047">
        <v>38.309420000000003</v>
      </c>
      <c r="M6047">
        <v>-1.6472540000000001E-2</v>
      </c>
      <c r="N6047">
        <v>-9.4606480000000003E-3</v>
      </c>
      <c r="O6047">
        <v>0.99981960000000003</v>
      </c>
      <c r="P6047">
        <v>-3.1628369999999999E-3</v>
      </c>
      <c r="Q6047">
        <v>0.20240259999999999</v>
      </c>
      <c r="R6047">
        <v>0.97929730000000004</v>
      </c>
      <c r="S6047">
        <v>-0.12681580000000001</v>
      </c>
      <c r="T6047">
        <v>-0.1041858</v>
      </c>
      <c r="U6047">
        <v>3.0845340000000001</v>
      </c>
      <c r="V6047">
        <v>1.349727E-2</v>
      </c>
      <c r="W6047">
        <v>0.21162429999999999</v>
      </c>
      <c r="X6047">
        <v>0.97725790000000001</v>
      </c>
      <c r="Y6047">
        <v>-2.4596659999999999E-2</v>
      </c>
      <c r="Z6047">
        <v>-2.4277819999999999E-2</v>
      </c>
      <c r="AA6047">
        <v>0.99940260000000003</v>
      </c>
      <c r="AB6047">
        <v>37</v>
      </c>
      <c r="AC6047">
        <v>-1.35739999999998</v>
      </c>
      <c r="AD6047">
        <v>-1.1195689534261</v>
      </c>
      <c r="AE6047">
        <v>32.79074</v>
      </c>
      <c r="AF6047">
        <v>-0.81609515886491102</v>
      </c>
      <c r="AG6047">
        <v>-1.1195689534261</v>
      </c>
      <c r="AH6047">
        <v>32.770514996707</v>
      </c>
      <c r="AI6047">
        <v>91.956080885247104</v>
      </c>
      <c r="AJ6047">
        <v>91.426561213676493</v>
      </c>
      <c r="AK6047">
        <v>32.7997880953398</v>
      </c>
      <c r="AL6047">
        <v>77.782442771958202</v>
      </c>
      <c r="AM6047">
        <v>89.208717126519304</v>
      </c>
      <c r="AN6047">
        <v>1.00000001188017</v>
      </c>
    </row>
    <row r="6048" spans="1:40" x14ac:dyDescent="0.25">
      <c r="A6048" t="str">
        <f>"20190303170654826"</f>
        <v>20190303170654826</v>
      </c>
      <c r="B6048" t="str">
        <f>"1551604014820747"</f>
        <v>1551604014820747</v>
      </c>
      <c r="C6048" t="s">
        <v>40</v>
      </c>
      <c r="D6048">
        <v>5.5727359999999999</v>
      </c>
      <c r="E6048">
        <v>0.48312850000000002</v>
      </c>
      <c r="F6048" t="s">
        <v>41</v>
      </c>
      <c r="G6048">
        <v>-188.2388</v>
      </c>
      <c r="H6048" s="1">
        <v>-9.985414000000001E-7</v>
      </c>
      <c r="I6048">
        <v>71.205280000000002</v>
      </c>
      <c r="J6048">
        <v>-186.922</v>
      </c>
      <c r="K6048">
        <v>1.1195489999999999</v>
      </c>
      <c r="L6048">
        <v>38.703310000000002</v>
      </c>
      <c r="M6048">
        <v>-1.540909E-2</v>
      </c>
      <c r="N6048">
        <v>-9.4687950000000003E-3</v>
      </c>
      <c r="O6048">
        <v>0.99983639999999996</v>
      </c>
      <c r="P6048">
        <v>-2.2874459999999998E-3</v>
      </c>
      <c r="Q6048">
        <v>0.2018305</v>
      </c>
      <c r="R6048">
        <v>0.97941780000000001</v>
      </c>
      <c r="S6048">
        <v>-0.1239929</v>
      </c>
      <c r="T6048">
        <v>-0.10498440000000001</v>
      </c>
      <c r="U6048">
        <v>3.0847169999999999</v>
      </c>
      <c r="V6048">
        <v>1.3332780000000001E-2</v>
      </c>
      <c r="W6048">
        <v>0.21106230000000001</v>
      </c>
      <c r="X6048">
        <v>0.97738170000000002</v>
      </c>
      <c r="Y6048">
        <v>-2.4744169999999999E-2</v>
      </c>
      <c r="Z6048">
        <v>-2.4527150000000001E-2</v>
      </c>
      <c r="AA6048">
        <v>0.99939290000000003</v>
      </c>
      <c r="AB6048">
        <v>37</v>
      </c>
      <c r="AC6048">
        <v>-1.3168</v>
      </c>
      <c r="AD6048">
        <v>-1.1195499985413999</v>
      </c>
      <c r="AE6048">
        <v>32.50197</v>
      </c>
      <c r="AF6048">
        <v>-0.81483018197882395</v>
      </c>
      <c r="AG6048">
        <v>-1.1195499985413999</v>
      </c>
      <c r="AH6048">
        <v>32.4799281189106</v>
      </c>
      <c r="AI6048">
        <v>91.973525054502801</v>
      </c>
      <c r="AJ6048">
        <v>91.437088767307898</v>
      </c>
      <c r="AK6048">
        <v>32.509430493847397</v>
      </c>
      <c r="AL6048">
        <v>77.815387282676298</v>
      </c>
      <c r="AM6048">
        <v>89.218458209217204</v>
      </c>
      <c r="AN6048">
        <v>1.0000000224993499</v>
      </c>
    </row>
    <row r="6049" spans="1:40" x14ac:dyDescent="0.25">
      <c r="A6049" t="str">
        <f>"20190303170654848"</f>
        <v>20190303170654848</v>
      </c>
      <c r="B6049" t="str">
        <f>"1551604014841243"</f>
        <v>1551604014841243</v>
      </c>
      <c r="C6049" t="s">
        <v>40</v>
      </c>
      <c r="D6049">
        <v>5.605677</v>
      </c>
      <c r="E6049">
        <v>0.48339549999999998</v>
      </c>
      <c r="F6049" t="s">
        <v>41</v>
      </c>
      <c r="G6049">
        <v>-188.46629999999999</v>
      </c>
      <c r="H6049" s="1">
        <v>-2.8654569999999998E-6</v>
      </c>
      <c r="I6049">
        <v>65.678069999999906</v>
      </c>
      <c r="J6049">
        <v>-186.92660000000001</v>
      </c>
      <c r="K6049">
        <v>1.1195489999999999</v>
      </c>
      <c r="L6049">
        <v>39.056820000000002</v>
      </c>
      <c r="M6049">
        <v>-1.446067E-2</v>
      </c>
      <c r="N6049">
        <v>-9.4755140000000009E-3</v>
      </c>
      <c r="O6049">
        <v>0.99985049999999998</v>
      </c>
      <c r="P6049">
        <v>-9.5732320000000001E-4</v>
      </c>
      <c r="Q6049">
        <v>0.2009851</v>
      </c>
      <c r="R6049">
        <v>0.97959379999999996</v>
      </c>
      <c r="S6049">
        <v>-0.17684939999999999</v>
      </c>
      <c r="T6049">
        <v>-0.12820699999999999</v>
      </c>
      <c r="U6049">
        <v>3.0890499999999999</v>
      </c>
      <c r="V6049">
        <v>1.373422E-2</v>
      </c>
      <c r="W6049">
        <v>0.21022370000000001</v>
      </c>
      <c r="X6049">
        <v>0.9775568</v>
      </c>
      <c r="Y6049">
        <v>-4.2673700000000002E-2</v>
      </c>
      <c r="Z6049">
        <v>-3.1943439999999997E-2</v>
      </c>
      <c r="AA6049">
        <v>0.99857830000000003</v>
      </c>
      <c r="AB6049">
        <v>37</v>
      </c>
      <c r="AC6049">
        <v>-1.5396999999999801</v>
      </c>
      <c r="AD6049">
        <v>-1.11955186545699</v>
      </c>
      <c r="AE6049">
        <v>26.6212499999999</v>
      </c>
      <c r="AF6049">
        <v>-1.1525290071110801</v>
      </c>
      <c r="AG6049">
        <v>-1.11955186545699</v>
      </c>
      <c r="AH6049">
        <v>26.593855011366902</v>
      </c>
      <c r="AI6049">
        <v>92.408364450268493</v>
      </c>
      <c r="AJ6049">
        <v>92.481541397325401</v>
      </c>
      <c r="AK6049">
        <v>26.642350569296401</v>
      </c>
      <c r="AL6049">
        <v>77.864537615119005</v>
      </c>
      <c r="AM6049">
        <v>89.195073809592898</v>
      </c>
      <c r="AN6049">
        <v>0.999999965033468</v>
      </c>
    </row>
    <row r="6050" spans="1:40" x14ac:dyDescent="0.25">
      <c r="A6050" t="str">
        <f>"20190303170654869"</f>
        <v>20190303170654869</v>
      </c>
      <c r="B6050" t="str">
        <f>"1551604014860763"</f>
        <v>1551604014860763</v>
      </c>
      <c r="C6050" t="s">
        <v>40</v>
      </c>
      <c r="D6050">
        <v>5.5762720000000003</v>
      </c>
      <c r="E6050">
        <v>0.48322130000000002</v>
      </c>
      <c r="F6050" t="s">
        <v>41</v>
      </c>
      <c r="G6050">
        <v>-188.47239999999999</v>
      </c>
      <c r="H6050" s="1">
        <v>-3.4417550000000001E-6</v>
      </c>
      <c r="I6050">
        <v>67.023929999999993</v>
      </c>
      <c r="J6050">
        <v>-186.93109999999999</v>
      </c>
      <c r="K6050">
        <v>1.11955</v>
      </c>
      <c r="L6050">
        <v>39.431429999999999</v>
      </c>
      <c r="M6050">
        <v>-1.346406E-2</v>
      </c>
      <c r="N6050">
        <v>-9.4821019999999992E-3</v>
      </c>
      <c r="O6050">
        <v>0.99986439999999999</v>
      </c>
      <c r="P6050">
        <v>-2.687923E-4</v>
      </c>
      <c r="Q6050">
        <v>0.2006298</v>
      </c>
      <c r="R6050">
        <v>0.97966710000000001</v>
      </c>
      <c r="S6050">
        <v>-0.17065429999999901</v>
      </c>
      <c r="T6050">
        <v>-0.123603</v>
      </c>
      <c r="U6050">
        <v>3.0876769999999998</v>
      </c>
      <c r="V6050">
        <v>1.344505E-2</v>
      </c>
      <c r="W6050">
        <v>0.20987639999999999</v>
      </c>
      <c r="X6050">
        <v>0.97763549999999999</v>
      </c>
      <c r="Y6050">
        <v>-4.1700699999999903E-2</v>
      </c>
      <c r="Z6050">
        <v>-3.047296E-2</v>
      </c>
      <c r="AA6050">
        <v>0.99866529999999998</v>
      </c>
      <c r="AB6050">
        <v>37</v>
      </c>
      <c r="AC6050">
        <v>-1.5412999999999999</v>
      </c>
      <c r="AD6050">
        <v>-1.1195534417549999</v>
      </c>
      <c r="AE6050">
        <v>27.592500000000001</v>
      </c>
      <c r="AF6050">
        <v>-1.1677200694504399</v>
      </c>
      <c r="AG6050">
        <v>-1.1195534417549999</v>
      </c>
      <c r="AH6050">
        <v>27.565511960168401</v>
      </c>
      <c r="AI6050">
        <v>92.323666950083194</v>
      </c>
      <c r="AJ6050">
        <v>92.425692437350406</v>
      </c>
      <c r="AK6050">
        <v>27.612939352697101</v>
      </c>
      <c r="AL6050">
        <v>77.884891197740401</v>
      </c>
      <c r="AM6050">
        <v>89.212082560845204</v>
      </c>
      <c r="AN6050">
        <v>1.00000002175335</v>
      </c>
    </row>
    <row r="6051" spans="1:40" x14ac:dyDescent="0.25">
      <c r="A6051" t="str">
        <f>"20190303170654891"</f>
        <v>20190303170654891</v>
      </c>
      <c r="B6051" t="str">
        <f>"1551604014881260"</f>
        <v>1551604014881260</v>
      </c>
      <c r="C6051" t="s">
        <v>40</v>
      </c>
      <c r="D6051">
        <v>5.6149959999999997</v>
      </c>
      <c r="E6051">
        <v>0.48303849999999998</v>
      </c>
      <c r="F6051" t="s">
        <v>41</v>
      </c>
      <c r="G6051">
        <v>-188.50640000000001</v>
      </c>
      <c r="H6051" s="1">
        <v>-3.8579940000000004E-6</v>
      </c>
      <c r="I6051">
        <v>68.008269999999996</v>
      </c>
      <c r="J6051">
        <v>-186.93530000000001</v>
      </c>
      <c r="K6051">
        <v>1.119553</v>
      </c>
      <c r="L6051">
        <v>39.807459999999999</v>
      </c>
      <c r="M6051">
        <v>-1.248171E-2</v>
      </c>
      <c r="N6051">
        <v>-9.4882669999999999E-3</v>
      </c>
      <c r="O6051">
        <v>0.99987709999999996</v>
      </c>
      <c r="P6051">
        <v>2.8219490000000002E-4</v>
      </c>
      <c r="Q6051">
        <v>0.2011918</v>
      </c>
      <c r="R6051">
        <v>0.97955190000000003</v>
      </c>
      <c r="S6051">
        <v>-0.17016600000000001</v>
      </c>
      <c r="T6051">
        <v>-0.1209383</v>
      </c>
      <c r="U6051">
        <v>3.0869749999999998</v>
      </c>
      <c r="V6051">
        <v>1.302915E-2</v>
      </c>
      <c r="W6051">
        <v>0.21044460000000001</v>
      </c>
      <c r="X6051">
        <v>0.97751900000000003</v>
      </c>
      <c r="Y6051">
        <v>-4.2538720000000002E-2</v>
      </c>
      <c r="Z6051">
        <v>-2.9615499999999999E-2</v>
      </c>
      <c r="AA6051">
        <v>0.99865579999999998</v>
      </c>
      <c r="AB6051">
        <v>38</v>
      </c>
      <c r="AC6051">
        <v>-1.5710999999999999</v>
      </c>
      <c r="AD6051">
        <v>-1.1195568579940001</v>
      </c>
      <c r="AE6051">
        <v>28.200810000000001</v>
      </c>
      <c r="AF6051">
        <v>-1.21705522821533</v>
      </c>
      <c r="AG6051">
        <v>-1.1195568579940001</v>
      </c>
      <c r="AH6051">
        <v>28.173957778761199</v>
      </c>
      <c r="AI6051">
        <v>92.273464024585195</v>
      </c>
      <c r="AJ6051">
        <v>92.4735183588366</v>
      </c>
      <c r="AK6051">
        <v>28.222447234537</v>
      </c>
      <c r="AL6051">
        <v>77.851592311443397</v>
      </c>
      <c r="AM6051">
        <v>89.236361541286797</v>
      </c>
      <c r="AN6051">
        <v>1.00000004188994</v>
      </c>
    </row>
    <row r="6052" spans="1:40" x14ac:dyDescent="0.25">
      <c r="A6052" t="str">
        <f>"20190303170654913"</f>
        <v>20190303170654913</v>
      </c>
      <c r="B6052" t="str">
        <f>"1551604014900779"</f>
        <v>1551604014900779</v>
      </c>
      <c r="C6052" t="s">
        <v>40</v>
      </c>
      <c r="D6052">
        <v>5.6350100000000003</v>
      </c>
      <c r="E6052">
        <v>0.48323890000000003</v>
      </c>
      <c r="F6052" t="s">
        <v>41</v>
      </c>
      <c r="G6052">
        <v>-188.63550000000001</v>
      </c>
      <c r="H6052" s="1">
        <v>-7.4827450000000003E-7</v>
      </c>
      <c r="I6052">
        <v>70.780010000000004</v>
      </c>
      <c r="J6052">
        <v>-186.93899999999999</v>
      </c>
      <c r="K6052">
        <v>1.1195759999999999</v>
      </c>
      <c r="L6052">
        <v>40.169559999999997</v>
      </c>
      <c r="M6052">
        <v>-1.156446E-2</v>
      </c>
      <c r="N6052">
        <v>-9.4937870000000001E-3</v>
      </c>
      <c r="O6052">
        <v>0.99988809999999995</v>
      </c>
      <c r="P6052">
        <v>1.618342E-3</v>
      </c>
      <c r="Q6052">
        <v>0.20217650000000001</v>
      </c>
      <c r="R6052">
        <v>0.97934779999999999</v>
      </c>
      <c r="S6052">
        <v>-0.16937260000000001</v>
      </c>
      <c r="T6052">
        <v>-0.11153299999999999</v>
      </c>
      <c r="U6052">
        <v>3.0855709999999998</v>
      </c>
      <c r="V6052">
        <v>1.3458380000000001E-2</v>
      </c>
      <c r="W6052">
        <v>0.21143229999999999</v>
      </c>
      <c r="X6052">
        <v>0.97729999999999995</v>
      </c>
      <c r="Y6052">
        <v>-4.3229299999999998E-2</v>
      </c>
      <c r="Z6052">
        <v>-2.6589209999999999E-2</v>
      </c>
      <c r="AA6052">
        <v>0.99871129999999997</v>
      </c>
      <c r="AB6052">
        <v>38</v>
      </c>
      <c r="AC6052">
        <v>-1.6964999999999799</v>
      </c>
      <c r="AD6052">
        <v>-1.1195767482745</v>
      </c>
      <c r="AE6052">
        <v>30.61045</v>
      </c>
      <c r="AF6052">
        <v>-1.34058942500516</v>
      </c>
      <c r="AG6052">
        <v>-1.1195767482745</v>
      </c>
      <c r="AH6052">
        <v>30.5872307227792</v>
      </c>
      <c r="AI6052">
        <v>92.094238566350199</v>
      </c>
      <c r="AJ6052">
        <v>92.509576337988705</v>
      </c>
      <c r="AK6052">
        <v>30.637057877515598</v>
      </c>
      <c r="AL6052">
        <v>77.793698324538695</v>
      </c>
      <c r="AM6052">
        <v>89.211030764025907</v>
      </c>
      <c r="AN6052">
        <v>1.0000000177377499</v>
      </c>
    </row>
    <row r="6053" spans="1:40" x14ac:dyDescent="0.25">
      <c r="A6053" t="str">
        <f>"20190303170654940"</f>
        <v>20190303170654940</v>
      </c>
      <c r="B6053" t="str">
        <f>"1551604014932011"</f>
        <v>1551604014932011</v>
      </c>
      <c r="C6053" t="s">
        <v>40</v>
      </c>
      <c r="D6053">
        <v>5.5476320000000001</v>
      </c>
      <c r="E6053">
        <v>0.48297770000000001</v>
      </c>
      <c r="F6053" t="s">
        <v>41</v>
      </c>
      <c r="G6053">
        <v>-188.66970000000001</v>
      </c>
      <c r="H6053" s="1">
        <v>-1.6006810000000001E-6</v>
      </c>
      <c r="I6053">
        <v>72.813929999999999</v>
      </c>
      <c r="J6053">
        <v>-186.9434</v>
      </c>
      <c r="K6053">
        <v>1.1196159999999999</v>
      </c>
      <c r="L6053">
        <v>40.641269999999999</v>
      </c>
      <c r="M6053">
        <v>-1.042887E-2</v>
      </c>
      <c r="N6053">
        <v>-9.5005430000000002E-3</v>
      </c>
      <c r="O6053">
        <v>0.99990049999999997</v>
      </c>
      <c r="P6053">
        <v>3.2508139999999999E-3</v>
      </c>
      <c r="Q6053">
        <v>0.2024763</v>
      </c>
      <c r="R6053">
        <v>0.97928179999999998</v>
      </c>
      <c r="S6053">
        <v>-0.1635742</v>
      </c>
      <c r="T6053">
        <v>-0.1058171</v>
      </c>
      <c r="U6053">
        <v>3.085388</v>
      </c>
      <c r="V6053">
        <v>1.3959940000000001E-2</v>
      </c>
      <c r="W6053">
        <v>0.21173810000000001</v>
      </c>
      <c r="X6053">
        <v>0.9772267</v>
      </c>
      <c r="Y6053">
        <v>-4.2498790000000002E-2</v>
      </c>
      <c r="Z6053">
        <v>-2.4739870000000001E-2</v>
      </c>
      <c r="AA6053">
        <v>0.99879010000000001</v>
      </c>
      <c r="AB6053">
        <v>38</v>
      </c>
      <c r="AC6053">
        <v>-1.7262999999999999</v>
      </c>
      <c r="AD6053">
        <v>-1.1196176006809999</v>
      </c>
      <c r="AE6053">
        <v>32.17266</v>
      </c>
      <c r="AF6053">
        <v>-1.38898916554444</v>
      </c>
      <c r="AG6053">
        <v>-1.1196176006809999</v>
      </c>
      <c r="AH6053">
        <v>32.150090498971103</v>
      </c>
      <c r="AI6053">
        <v>91.992645630037302</v>
      </c>
      <c r="AJ6053">
        <v>92.473826869142997</v>
      </c>
      <c r="AK6053">
        <v>32.1995520708874</v>
      </c>
      <c r="AL6053">
        <v>77.775770723143594</v>
      </c>
      <c r="AM6053">
        <v>89.181570414429601</v>
      </c>
      <c r="AN6053">
        <v>0.999999963054651</v>
      </c>
    </row>
    <row r="6054" spans="1:40" x14ac:dyDescent="0.25">
      <c r="A6054" t="str">
        <f>"20190303170654960"</f>
        <v>20190303170654960</v>
      </c>
      <c r="B6054" t="str">
        <f>"1551604014950555"</f>
        <v>1551604014950555</v>
      </c>
      <c r="C6054" t="s">
        <v>40</v>
      </c>
      <c r="D6054">
        <v>5.5093880000000004</v>
      </c>
      <c r="E6054">
        <v>0.50698799999999999</v>
      </c>
      <c r="F6054" t="s">
        <v>41</v>
      </c>
      <c r="G6054">
        <v>-188.65880000000001</v>
      </c>
      <c r="H6054" s="1">
        <v>-1.8441419999999999E-6</v>
      </c>
      <c r="I6054">
        <v>73.376940000000005</v>
      </c>
      <c r="J6054">
        <v>-186.9462</v>
      </c>
      <c r="K6054">
        <v>1.1196600000000001</v>
      </c>
      <c r="L6054">
        <v>40.964970000000001</v>
      </c>
      <c r="M6054">
        <v>-9.7093189999999992E-3</v>
      </c>
      <c r="N6054">
        <v>-9.5048100000000007E-3</v>
      </c>
      <c r="O6054">
        <v>0.99990769999999995</v>
      </c>
      <c r="P6054">
        <v>4.7072030000000001E-3</v>
      </c>
      <c r="Q6054">
        <v>0.20242969999999999</v>
      </c>
      <c r="R6054">
        <v>0.97928550000000003</v>
      </c>
      <c r="S6054">
        <v>-0.16169739999999999</v>
      </c>
      <c r="T6054">
        <v>-0.10554040000000001</v>
      </c>
      <c r="U6054">
        <v>3.0858150000000002</v>
      </c>
      <c r="V6054">
        <v>1.4692159999999999E-2</v>
      </c>
      <c r="W6054">
        <v>0.2116952</v>
      </c>
      <c r="X6054">
        <v>0.97722529999999996</v>
      </c>
      <c r="Y6054">
        <v>-4.2604780000000002E-2</v>
      </c>
      <c r="Z6054">
        <v>-2.464208E-2</v>
      </c>
      <c r="AA6054">
        <v>0.99878809999999996</v>
      </c>
      <c r="AB6054">
        <v>38</v>
      </c>
      <c r="AC6054">
        <v>-1.7125999999999999</v>
      </c>
      <c r="AD6054">
        <v>-1.1196618441419901</v>
      </c>
      <c r="AE6054">
        <v>32.411969999999997</v>
      </c>
      <c r="AF6054">
        <v>-1.3961454649943801</v>
      </c>
      <c r="AG6054">
        <v>-1.1196618441419901</v>
      </c>
      <c r="AH6054">
        <v>32.388528201467501</v>
      </c>
      <c r="AI6054">
        <v>91.9780742454288</v>
      </c>
      <c r="AJ6054">
        <v>92.468273677916798</v>
      </c>
      <c r="AK6054">
        <v>32.437934950639303</v>
      </c>
      <c r="AL6054">
        <v>77.778286209269496</v>
      </c>
      <c r="AM6054">
        <v>89.138647615551605</v>
      </c>
      <c r="AN6054">
        <v>1.0000000021142901</v>
      </c>
    </row>
    <row r="6055" spans="1:40" x14ac:dyDescent="0.25">
      <c r="A6055" t="str">
        <f>"20190303170654982"</f>
        <v>20190303170654982</v>
      </c>
      <c r="B6055" t="str">
        <f>"1551604014971051"</f>
        <v>1551604014971051</v>
      </c>
      <c r="C6055" t="s">
        <v>40</v>
      </c>
      <c r="D6055">
        <v>5.5433810000000001</v>
      </c>
      <c r="E6055">
        <v>0.51872829999999903</v>
      </c>
      <c r="F6055" t="s">
        <v>41</v>
      </c>
      <c r="G6055">
        <v>-186.65860000000001</v>
      </c>
      <c r="H6055" s="1">
        <v>-4.1368220000000001E-6</v>
      </c>
      <c r="I6055">
        <v>67.894199999999998</v>
      </c>
      <c r="J6055">
        <v>-186.94909999999999</v>
      </c>
      <c r="K6055">
        <v>1.1197159999999999</v>
      </c>
      <c r="L6055">
        <v>41.337710000000001</v>
      </c>
      <c r="M6055">
        <v>-8.9517780000000005E-3</v>
      </c>
      <c r="N6055">
        <v>-9.5096480000000008E-3</v>
      </c>
      <c r="O6055">
        <v>0.99991470000000005</v>
      </c>
      <c r="P6055">
        <v>5.5305490000000001E-3</v>
      </c>
      <c r="Q6055">
        <v>0.20207349999999999</v>
      </c>
      <c r="R6055">
        <v>0.97935470000000002</v>
      </c>
      <c r="S6055">
        <v>3.2989499999999998E-2</v>
      </c>
      <c r="T6055">
        <v>-0.1284708</v>
      </c>
      <c r="U6055">
        <v>3.089874</v>
      </c>
      <c r="V6055">
        <v>1.474457E-2</v>
      </c>
      <c r="W6055">
        <v>0.2113466</v>
      </c>
      <c r="X6055">
        <v>0.97729999999999995</v>
      </c>
      <c r="Y6055">
        <v>1.9617039999999999E-2</v>
      </c>
      <c r="Z6055">
        <v>-3.2030660000000002E-2</v>
      </c>
      <c r="AA6055">
        <v>0.99929429999999997</v>
      </c>
      <c r="AB6055">
        <v>38</v>
      </c>
      <c r="AC6055">
        <v>0.29049999999998</v>
      </c>
      <c r="AD6055">
        <v>-1.119720136822</v>
      </c>
      <c r="AE6055">
        <v>26.55649</v>
      </c>
      <c r="AF6055">
        <v>0.52728962315184202</v>
      </c>
      <c r="AG6055">
        <v>-1.119720136822</v>
      </c>
      <c r="AH6055">
        <v>26.505709589355298</v>
      </c>
      <c r="AI6055">
        <v>92.418514645663095</v>
      </c>
      <c r="AJ6055">
        <v>88.860340431641902</v>
      </c>
      <c r="AK6055">
        <v>26.534589658909901</v>
      </c>
      <c r="AL6055">
        <v>77.798722361890796</v>
      </c>
      <c r="AM6055">
        <v>89.135641519629502</v>
      </c>
      <c r="AN6055">
        <v>1.0000000388380199</v>
      </c>
    </row>
    <row r="6056" spans="1:40" x14ac:dyDescent="0.25">
      <c r="A6056" t="str">
        <f>"20190303170655005"</f>
        <v>20190303170655005</v>
      </c>
      <c r="B6056" t="str">
        <f>"1551604015001308"</f>
        <v>1551604015001308</v>
      </c>
      <c r="C6056" t="s">
        <v>40</v>
      </c>
      <c r="D6056">
        <v>5.4944499999999996</v>
      </c>
      <c r="E6056">
        <v>0.5261903</v>
      </c>
      <c r="F6056" t="s">
        <v>41</v>
      </c>
      <c r="G6056">
        <v>-185.84719999999999</v>
      </c>
      <c r="H6056" s="1">
        <v>-4.1765429999999999E-6</v>
      </c>
      <c r="I6056">
        <v>67.65128</v>
      </c>
      <c r="J6056">
        <v>-186.95189999999999</v>
      </c>
      <c r="K6056">
        <v>1.1197820000000001</v>
      </c>
      <c r="L6056">
        <v>41.714320000000001</v>
      </c>
      <c r="M6056">
        <v>-8.2787139999999995E-3</v>
      </c>
      <c r="N6056">
        <v>-9.5142790000000005E-3</v>
      </c>
      <c r="O6056">
        <v>0.99992049999999999</v>
      </c>
      <c r="P6056">
        <v>6.168509E-3</v>
      </c>
      <c r="Q6056">
        <v>0.2024155</v>
      </c>
      <c r="R6056">
        <v>0.97928029999999999</v>
      </c>
      <c r="S6056">
        <v>0.1293793</v>
      </c>
      <c r="T6056">
        <v>-0.131472799999999</v>
      </c>
      <c r="U6056">
        <v>3.0896300000000001</v>
      </c>
      <c r="V6056">
        <v>1.468799E-2</v>
      </c>
      <c r="W6056">
        <v>0.21169470000000001</v>
      </c>
      <c r="X6056">
        <v>0.97722549999999997</v>
      </c>
      <c r="Y6056">
        <v>5.0073949999999999E-2</v>
      </c>
      <c r="Z6056">
        <v>-3.2957779999999999E-2</v>
      </c>
      <c r="AA6056">
        <v>0.99820149999999996</v>
      </c>
      <c r="AB6056">
        <v>38</v>
      </c>
      <c r="AC6056">
        <v>1.1047</v>
      </c>
      <c r="AD6056">
        <v>-1.1197861765429999</v>
      </c>
      <c r="AE6056">
        <v>25.936959999999999</v>
      </c>
      <c r="AF6056">
        <v>1.3169462609757301</v>
      </c>
      <c r="AG6056">
        <v>-1.1197861765429999</v>
      </c>
      <c r="AH6056">
        <v>25.8787760181762</v>
      </c>
      <c r="AI6056">
        <v>92.474470355257495</v>
      </c>
      <c r="AJ6056">
        <v>87.086785402066994</v>
      </c>
      <c r="AK6056">
        <v>25.9364476506404</v>
      </c>
      <c r="AL6056">
        <v>77.778315873210701</v>
      </c>
      <c r="AM6056">
        <v>89.138892228147995</v>
      </c>
      <c r="AN6056">
        <v>1.00000003045428</v>
      </c>
    </row>
    <row r="6057" spans="1:40" x14ac:dyDescent="0.25">
      <c r="A6057" t="str">
        <f>"20190303170655025"</f>
        <v>20190303170655025</v>
      </c>
      <c r="B6057" t="str">
        <f>"1551604015010599"</f>
        <v>1551604015010599</v>
      </c>
      <c r="C6057" t="s">
        <v>40</v>
      </c>
      <c r="D6057">
        <v>5.5482440000000004</v>
      </c>
      <c r="E6057">
        <v>0.52740399999999998</v>
      </c>
      <c r="F6057" t="s">
        <v>41</v>
      </c>
      <c r="G6057">
        <v>-185.2774</v>
      </c>
      <c r="H6057" s="1">
        <v>-4.7693329999999997E-6</v>
      </c>
      <c r="I6057">
        <v>68.797489999999996</v>
      </c>
      <c r="J6057">
        <v>-186.95429999999999</v>
      </c>
      <c r="K6057">
        <v>1.119848</v>
      </c>
      <c r="L6057">
        <v>42.058619999999998</v>
      </c>
      <c r="M6057">
        <v>-7.7458319999999898E-3</v>
      </c>
      <c r="N6057">
        <v>-9.5183060000000007E-3</v>
      </c>
      <c r="O6057">
        <v>0.9999247</v>
      </c>
      <c r="P6057">
        <v>6.6848690000000004E-3</v>
      </c>
      <c r="Q6057">
        <v>0.20292850000000001</v>
      </c>
      <c r="R6057">
        <v>0.97917069999999995</v>
      </c>
      <c r="S6057">
        <v>0.19096369999999999</v>
      </c>
      <c r="T6057">
        <v>-0.12770429999999999</v>
      </c>
      <c r="U6057">
        <v>3.088654</v>
      </c>
      <c r="V6057">
        <v>1.464726E-2</v>
      </c>
      <c r="W6057">
        <v>0.21221290000000001</v>
      </c>
      <c r="X6057">
        <v>0.97711369999999997</v>
      </c>
      <c r="Y6057">
        <v>6.9391439999999999E-2</v>
      </c>
      <c r="Z6057">
        <v>-3.170568E-2</v>
      </c>
      <c r="AA6057">
        <v>0.99708549999999996</v>
      </c>
      <c r="AB6057">
        <v>38</v>
      </c>
      <c r="AC6057">
        <v>1.6768999999999801</v>
      </c>
      <c r="AD6057">
        <v>-1.119852769333</v>
      </c>
      <c r="AE6057">
        <v>26.738869999999999</v>
      </c>
      <c r="AF6057">
        <v>1.88068801663832</v>
      </c>
      <c r="AG6057">
        <v>-1.119852769333</v>
      </c>
      <c r="AH6057">
        <v>26.6784668318986</v>
      </c>
      <c r="AI6057">
        <v>92.397687814967398</v>
      </c>
      <c r="AJ6057">
        <v>85.967627361563601</v>
      </c>
      <c r="AK6057">
        <v>26.7681088263931</v>
      </c>
      <c r="AL6057">
        <v>77.747934805600195</v>
      </c>
      <c r="AM6057">
        <v>89.141181495008297</v>
      </c>
      <c r="AN6057">
        <v>1.0000000199398</v>
      </c>
    </row>
    <row r="6058" spans="1:40" x14ac:dyDescent="0.25">
      <c r="A6058" t="str">
        <f>"20190303170655046"</f>
        <v>20190303170655046</v>
      </c>
      <c r="B6058" t="str">
        <f>"1551604015040855"</f>
        <v>1551604015040855</v>
      </c>
      <c r="C6058" t="s">
        <v>40</v>
      </c>
      <c r="D6058">
        <v>5.5690569999999999</v>
      </c>
      <c r="E6058">
        <v>0.52925149999999999</v>
      </c>
      <c r="F6058" t="s">
        <v>41</v>
      </c>
      <c r="G6058">
        <v>-185.15270000000001</v>
      </c>
      <c r="H6058" s="1">
        <v>-1.2838760000000001E-6</v>
      </c>
      <c r="I6058">
        <v>69.63082</v>
      </c>
      <c r="J6058">
        <v>-186.95670000000001</v>
      </c>
      <c r="K6058">
        <v>1.11992</v>
      </c>
      <c r="L6058">
        <v>42.436709999999998</v>
      </c>
      <c r="M6058">
        <v>-7.2396099999999996E-3</v>
      </c>
      <c r="N6058">
        <v>-9.5226170000000006E-3</v>
      </c>
      <c r="O6058">
        <v>0.9999285</v>
      </c>
      <c r="P6058">
        <v>6.536633E-3</v>
      </c>
      <c r="Q6058">
        <v>0.20310320000000001</v>
      </c>
      <c r="R6058">
        <v>0.97913550000000005</v>
      </c>
      <c r="S6058">
        <v>0.20179749999999999</v>
      </c>
      <c r="T6058">
        <v>-0.12543750000000001</v>
      </c>
      <c r="U6058">
        <v>3.0884399999999999</v>
      </c>
      <c r="V6058">
        <v>1.396638E-2</v>
      </c>
      <c r="W6058">
        <v>0.2123951</v>
      </c>
      <c r="X6058">
        <v>0.97708399999999995</v>
      </c>
      <c r="Y6058">
        <v>7.2374919999999995E-2</v>
      </c>
      <c r="Z6058">
        <v>-3.096494E-2</v>
      </c>
      <c r="AA6058">
        <v>0.99689669999999997</v>
      </c>
      <c r="AB6058">
        <v>38</v>
      </c>
      <c r="AC6058">
        <v>1.804</v>
      </c>
      <c r="AD6058">
        <v>-1.119921283876</v>
      </c>
      <c r="AE6058">
        <v>27.194109999999998</v>
      </c>
      <c r="AF6058">
        <v>1.9974635366648901</v>
      </c>
      <c r="AG6058">
        <v>-1.119921283876</v>
      </c>
      <c r="AH6058">
        <v>27.134517979784601</v>
      </c>
      <c r="AI6058">
        <v>92.357053278852007</v>
      </c>
      <c r="AJ6058">
        <v>85.789857971137394</v>
      </c>
      <c r="AK6058">
        <v>27.2309777690343</v>
      </c>
      <c r="AL6058">
        <v>77.737250998433893</v>
      </c>
      <c r="AM6058">
        <v>89.181073339978695</v>
      </c>
      <c r="AN6058">
        <v>0.99999994066515496</v>
      </c>
    </row>
    <row r="6059" spans="1:40" x14ac:dyDescent="0.25">
      <c r="A6059" t="str">
        <f>"20190303170655070"</f>
        <v>20190303170655070</v>
      </c>
      <c r="B6059" t="str">
        <f>"1551604015061351"</f>
        <v>1551604015061351</v>
      </c>
      <c r="C6059" t="s">
        <v>40</v>
      </c>
      <c r="D6059">
        <v>5.5605710000000004</v>
      </c>
      <c r="E6059">
        <v>0.53004370000000001</v>
      </c>
      <c r="F6059" t="s">
        <v>41</v>
      </c>
      <c r="G6059">
        <v>-185.006</v>
      </c>
      <c r="H6059" s="1">
        <v>-1.5561250000000001E-6</v>
      </c>
      <c r="I6059">
        <v>70.316149999999993</v>
      </c>
      <c r="J6059">
        <v>-186.95920000000001</v>
      </c>
      <c r="K6059">
        <v>1.119988</v>
      </c>
      <c r="L6059">
        <v>42.834690000000002</v>
      </c>
      <c r="M6059">
        <v>-6.7876259999999997E-3</v>
      </c>
      <c r="N6059">
        <v>-9.5270449999999996E-3</v>
      </c>
      <c r="O6059">
        <v>0.99993160000000003</v>
      </c>
      <c r="P6059">
        <v>6.0282280000000001E-3</v>
      </c>
      <c r="Q6059">
        <v>0.2030865</v>
      </c>
      <c r="R6059">
        <v>0.97914219999999996</v>
      </c>
      <c r="S6059">
        <v>0.21607970000000001</v>
      </c>
      <c r="T6059">
        <v>-0.1240532</v>
      </c>
      <c r="U6059">
        <v>3.0881959999999999</v>
      </c>
      <c r="V6059">
        <v>1.2979579999999999E-2</v>
      </c>
      <c r="W6059">
        <v>0.2123862</v>
      </c>
      <c r="X6059">
        <v>0.97709959999999996</v>
      </c>
      <c r="Y6059">
        <v>7.6518130000000004E-2</v>
      </c>
      <c r="Z6059">
        <v>-3.0505230000000001E-2</v>
      </c>
      <c r="AA6059">
        <v>0.99660139999999997</v>
      </c>
      <c r="AB6059">
        <v>38</v>
      </c>
      <c r="AC6059">
        <v>1.95320000000003</v>
      </c>
      <c r="AD6059">
        <v>-1.119989556125</v>
      </c>
      <c r="AE6059">
        <v>27.481459999999899</v>
      </c>
      <c r="AF6059">
        <v>2.1361671687416299</v>
      </c>
      <c r="AG6059">
        <v>-1.119989556125</v>
      </c>
      <c r="AH6059">
        <v>27.422251471220399</v>
      </c>
      <c r="AI6059">
        <v>92.331738904277103</v>
      </c>
      <c r="AJ6059">
        <v>85.545708961380001</v>
      </c>
      <c r="AK6059">
        <v>27.528121304031799</v>
      </c>
      <c r="AL6059">
        <v>77.737773549267402</v>
      </c>
      <c r="AM6059">
        <v>89.238940005932704</v>
      </c>
      <c r="AN6059">
        <v>0.99999999788378802</v>
      </c>
    </row>
    <row r="6060" spans="1:40" x14ac:dyDescent="0.25">
      <c r="A6060" t="str">
        <f>"20190303170655092"</f>
        <v>20190303170655092</v>
      </c>
      <c r="B6060" t="str">
        <f>"1551604015080871"</f>
        <v>1551604015080871</v>
      </c>
      <c r="C6060" t="s">
        <v>40</v>
      </c>
      <c r="D6060">
        <v>5.5187939999999998</v>
      </c>
      <c r="E6060">
        <v>0.53051569999999904</v>
      </c>
      <c r="F6060" t="s">
        <v>41</v>
      </c>
      <c r="G6060">
        <v>-184.97749999999999</v>
      </c>
      <c r="H6060" s="1">
        <v>-1.6232399999999901E-6</v>
      </c>
      <c r="I6060">
        <v>70.491100000000003</v>
      </c>
      <c r="J6060">
        <v>-186.9614</v>
      </c>
      <c r="K6060">
        <v>1.1200460000000001</v>
      </c>
      <c r="L6060">
        <v>43.20776</v>
      </c>
      <c r="M6060">
        <v>-6.4299429999999996E-3</v>
      </c>
      <c r="N6060">
        <v>-9.5311630000000005E-3</v>
      </c>
      <c r="O6060">
        <v>0.99993390000000004</v>
      </c>
      <c r="P6060">
        <v>5.507189E-3</v>
      </c>
      <c r="Q6060">
        <v>0.20284930000000001</v>
      </c>
      <c r="R6060">
        <v>0.97919449999999997</v>
      </c>
      <c r="S6060">
        <v>0.2212982</v>
      </c>
      <c r="T6060">
        <v>-0.1250725</v>
      </c>
      <c r="U6060">
        <v>3.08847</v>
      </c>
      <c r="V6060">
        <v>1.2077650000000001E-2</v>
      </c>
      <c r="W6060">
        <v>0.21215700000000001</v>
      </c>
      <c r="X6060">
        <v>0.9771609</v>
      </c>
      <c r="Y6060">
        <v>7.7829620000000002E-2</v>
      </c>
      <c r="Z6060">
        <v>-3.0821749999999998E-2</v>
      </c>
      <c r="AA6060">
        <v>0.99649010000000005</v>
      </c>
      <c r="AB6060">
        <v>38</v>
      </c>
      <c r="AC6060">
        <v>1.9839</v>
      </c>
      <c r="AD6060">
        <v>-1.1200476232399901</v>
      </c>
      <c r="AE6060">
        <v>27.283339999999999</v>
      </c>
      <c r="AF6060">
        <v>2.15568340424552</v>
      </c>
      <c r="AG6060">
        <v>-1.1200476232399901</v>
      </c>
      <c r="AH6060">
        <v>27.224378995792001</v>
      </c>
      <c r="AI6060">
        <v>92.3485542273378</v>
      </c>
      <c r="AJ6060">
        <v>85.472646165034107</v>
      </c>
      <c r="AK6060">
        <v>27.332549996738098</v>
      </c>
      <c r="AL6060">
        <v>77.751211316731499</v>
      </c>
      <c r="AM6060">
        <v>89.291863667245494</v>
      </c>
      <c r="AN6060">
        <v>0.99999994338366405</v>
      </c>
    </row>
    <row r="6061" spans="1:40" x14ac:dyDescent="0.25">
      <c r="A6061" t="str">
        <f>"20190303170655113"</f>
        <v>20190303170655113</v>
      </c>
      <c r="B6061" t="str">
        <f>"1551604015101368"</f>
        <v>1551604015101368</v>
      </c>
      <c r="C6061" t="s">
        <v>40</v>
      </c>
      <c r="D6061">
        <v>5.5262539999999998</v>
      </c>
      <c r="E6061">
        <v>0.53109200000000001</v>
      </c>
      <c r="F6061" t="s">
        <v>41</v>
      </c>
      <c r="G6061">
        <v>-184.96010000000001</v>
      </c>
      <c r="H6061" s="1">
        <v>-1.7183929999999999E-6</v>
      </c>
      <c r="I6061">
        <v>70.757059999999996</v>
      </c>
      <c r="J6061">
        <v>-186.96350000000001</v>
      </c>
      <c r="K6061">
        <v>1.120101</v>
      </c>
      <c r="L6061">
        <v>43.56879</v>
      </c>
      <c r="M6061">
        <v>-6.1332380000000001E-3</v>
      </c>
      <c r="N6061">
        <v>-9.5351140000000008E-3</v>
      </c>
      <c r="O6061">
        <v>0.99993569999999998</v>
      </c>
      <c r="P6061">
        <v>4.497348E-3</v>
      </c>
      <c r="Q6061">
        <v>0.20309199999999999</v>
      </c>
      <c r="R6061">
        <v>0.9791493</v>
      </c>
      <c r="S6061">
        <v>0.22436519999999999</v>
      </c>
      <c r="T6061">
        <v>-0.1255665</v>
      </c>
      <c r="U6061">
        <v>3.0885009999999999</v>
      </c>
      <c r="V6061">
        <v>1.075069E-2</v>
      </c>
      <c r="W6061">
        <v>0.21240629999999999</v>
      </c>
      <c r="X6061">
        <v>0.9771223</v>
      </c>
      <c r="Y6061">
        <v>7.8516950000000002E-2</v>
      </c>
      <c r="Z6061">
        <v>-3.0974209999999999E-2</v>
      </c>
      <c r="AA6061">
        <v>0.99643150000000003</v>
      </c>
      <c r="AB6061">
        <v>38</v>
      </c>
      <c r="AC6061">
        <v>2.0033999999999899</v>
      </c>
      <c r="AD6061">
        <v>-1.1201027183929999</v>
      </c>
      <c r="AE6061">
        <v>27.188269999999999</v>
      </c>
      <c r="AF6061">
        <v>2.1664648004728102</v>
      </c>
      <c r="AG6061">
        <v>-1.1201027183929999</v>
      </c>
      <c r="AH6061">
        <v>27.129672810653101</v>
      </c>
      <c r="AI6061">
        <v>92.356733951059894</v>
      </c>
      <c r="AJ6061">
        <v>85.434281892847906</v>
      </c>
      <c r="AK6061">
        <v>27.239077565962599</v>
      </c>
      <c r="AL6061">
        <v>77.736595057816103</v>
      </c>
      <c r="AM6061">
        <v>89.3696343735798</v>
      </c>
      <c r="AN6061">
        <v>1.00000000138622</v>
      </c>
    </row>
    <row r="6062" spans="1:40" x14ac:dyDescent="0.25">
      <c r="A6062" t="str">
        <f>"20190303170655137"</f>
        <v>20190303170655137</v>
      </c>
      <c r="B6062" t="str">
        <f>"1551604015130647"</f>
        <v>1551604015130647</v>
      </c>
      <c r="C6062" t="s">
        <v>40</v>
      </c>
      <c r="D6062">
        <v>5.5440300000000002</v>
      </c>
      <c r="E6062">
        <v>0.53184739999999997</v>
      </c>
      <c r="F6062" t="s">
        <v>41</v>
      </c>
      <c r="G6062">
        <v>-184.92449999999999</v>
      </c>
      <c r="H6062" s="1">
        <v>-1.9481270000000001E-6</v>
      </c>
      <c r="I6062">
        <v>71.404319999999998</v>
      </c>
      <c r="J6062">
        <v>-186.96559999999999</v>
      </c>
      <c r="K6062">
        <v>1.120147</v>
      </c>
      <c r="L6062">
        <v>43.969090000000001</v>
      </c>
      <c r="M6062">
        <v>-5.843638E-3</v>
      </c>
      <c r="N6062">
        <v>-9.5393969999999998E-3</v>
      </c>
      <c r="O6062">
        <v>0.99993739999999998</v>
      </c>
      <c r="P6062">
        <v>3.550316E-3</v>
      </c>
      <c r="Q6062">
        <v>0.2035923</v>
      </c>
      <c r="R6062">
        <v>0.97904930000000001</v>
      </c>
      <c r="S6062">
        <v>0.2262421</v>
      </c>
      <c r="T6062">
        <v>-0.1242863</v>
      </c>
      <c r="U6062">
        <v>3.0886230000000001</v>
      </c>
      <c r="V6062">
        <v>9.4947599999999997E-3</v>
      </c>
      <c r="W6062">
        <v>0.21291280000000001</v>
      </c>
      <c r="X6062">
        <v>0.97702509999999998</v>
      </c>
      <c r="Y6062">
        <v>7.8828699999999904E-2</v>
      </c>
      <c r="Z6062">
        <v>-3.0554729999999999E-2</v>
      </c>
      <c r="AA6062">
        <v>0.99641979999999997</v>
      </c>
      <c r="AB6062">
        <v>38</v>
      </c>
      <c r="AC6062">
        <v>2.0411000000000001</v>
      </c>
      <c r="AD6062">
        <v>-1.1201489481269999</v>
      </c>
      <c r="AE6062">
        <v>27.435230000000001</v>
      </c>
      <c r="AF6062">
        <v>2.1977505250575402</v>
      </c>
      <c r="AG6062">
        <v>-1.1201489481269999</v>
      </c>
      <c r="AH6062">
        <v>27.377446671669901</v>
      </c>
      <c r="AI6062">
        <v>92.335446873355906</v>
      </c>
      <c r="AJ6062">
        <v>85.410368891549595</v>
      </c>
      <c r="AK6062">
        <v>27.488350756211499</v>
      </c>
      <c r="AL6062">
        <v>77.7068957438089</v>
      </c>
      <c r="AM6062">
        <v>89.443215377974198</v>
      </c>
      <c r="AN6062">
        <v>1.0000000284506501</v>
      </c>
    </row>
    <row r="6063" spans="1:40" x14ac:dyDescent="0.25">
      <c r="A6063" t="str">
        <f>"20190303170655159"</f>
        <v>20190303170655159</v>
      </c>
      <c r="B6063" t="str">
        <f>"1551604015151143"</f>
        <v>1551604015151143</v>
      </c>
      <c r="C6063" t="s">
        <v>40</v>
      </c>
      <c r="D6063">
        <v>5.528721</v>
      </c>
      <c r="E6063">
        <v>0.5322093</v>
      </c>
      <c r="F6063" t="s">
        <v>41</v>
      </c>
      <c r="G6063">
        <v>-184.86920000000001</v>
      </c>
      <c r="H6063" s="1">
        <v>-2.2141269999999998E-6</v>
      </c>
      <c r="I6063">
        <v>72.142769999999999</v>
      </c>
      <c r="J6063">
        <v>-186.96770000000001</v>
      </c>
      <c r="K6063">
        <v>1.1201829999999999</v>
      </c>
      <c r="L6063">
        <v>44.366669999999999</v>
      </c>
      <c r="M6063">
        <v>-5.5813700000000004E-3</v>
      </c>
      <c r="N6063">
        <v>-9.5435959999999997E-3</v>
      </c>
      <c r="O6063">
        <v>0.99993889999999996</v>
      </c>
      <c r="P6063">
        <v>3.2502389999999998E-3</v>
      </c>
      <c r="Q6063">
        <v>0.2036654</v>
      </c>
      <c r="R6063">
        <v>0.97903510000000005</v>
      </c>
      <c r="S6063">
        <v>0.22984309999999999</v>
      </c>
      <c r="T6063">
        <v>-0.12281060000000001</v>
      </c>
      <c r="U6063">
        <v>3.0888979999999999</v>
      </c>
      <c r="V6063">
        <v>8.9171879999999995E-3</v>
      </c>
      <c r="W6063">
        <v>0.21299100000000001</v>
      </c>
      <c r="X6063">
        <v>0.97701349999999998</v>
      </c>
      <c r="Y6063">
        <v>7.9717140000000006E-2</v>
      </c>
      <c r="Z6063">
        <v>-3.0068660000000001E-2</v>
      </c>
      <c r="AA6063">
        <v>0.99636389999999997</v>
      </c>
      <c r="AB6063">
        <v>38</v>
      </c>
      <c r="AC6063">
        <v>2.0985</v>
      </c>
      <c r="AD6063">
        <v>-1.1201852141269999</v>
      </c>
      <c r="AE6063">
        <v>27.7761</v>
      </c>
      <c r="AF6063">
        <v>2.24986456590534</v>
      </c>
      <c r="AG6063">
        <v>-1.1201852141269999</v>
      </c>
      <c r="AH6063">
        <v>27.7191267511852</v>
      </c>
      <c r="AI6063">
        <v>92.306600288382498</v>
      </c>
      <c r="AJ6063">
        <v>85.359674295314207</v>
      </c>
      <c r="AK6063">
        <v>27.832834805803301</v>
      </c>
      <c r="AL6063">
        <v>77.702310058767097</v>
      </c>
      <c r="AM6063">
        <v>89.477076773813494</v>
      </c>
      <c r="AN6063">
        <v>1.0000000307525301</v>
      </c>
    </row>
    <row r="6064" spans="1:40" x14ac:dyDescent="0.25">
      <c r="A6064" t="str">
        <f>"20190303170655183"</f>
        <v>20190303170655183</v>
      </c>
      <c r="B6064" t="str">
        <f>"1551604015170663"</f>
        <v>1551604015170663</v>
      </c>
      <c r="C6064" t="s">
        <v>40</v>
      </c>
      <c r="D6064">
        <v>5.7003779999999997</v>
      </c>
      <c r="E6064">
        <v>0.53249119999999905</v>
      </c>
      <c r="F6064" t="s">
        <v>41</v>
      </c>
      <c r="G6064">
        <v>-184.83940000000001</v>
      </c>
      <c r="H6064" s="1">
        <v>-2.378278E-6</v>
      </c>
      <c r="I6064">
        <v>72.60181</v>
      </c>
      <c r="J6064">
        <v>-186.96960000000001</v>
      </c>
      <c r="K6064">
        <v>1.120209</v>
      </c>
      <c r="L6064">
        <v>44.758450000000003</v>
      </c>
      <c r="M6064">
        <v>-5.3375030000000004E-3</v>
      </c>
      <c r="N6064">
        <v>-9.5477830000000007E-3</v>
      </c>
      <c r="O6064">
        <v>0.99994019999999995</v>
      </c>
      <c r="P6064">
        <v>3.3843269999999999E-3</v>
      </c>
      <c r="Q6064">
        <v>0.20318020000000001</v>
      </c>
      <c r="R6064">
        <v>0.97913550000000005</v>
      </c>
      <c r="S6064">
        <v>0.23283390000000001</v>
      </c>
      <c r="T6064">
        <v>-0.1225497</v>
      </c>
      <c r="U6064">
        <v>3.088959</v>
      </c>
      <c r="V6064">
        <v>8.7964129999999995E-3</v>
      </c>
      <c r="W6064">
        <v>0.21251210000000001</v>
      </c>
      <c r="X6064">
        <v>0.97711879999999995</v>
      </c>
      <c r="Y6064">
        <v>8.0431900000000001E-2</v>
      </c>
      <c r="Z6064">
        <v>-2.9977219999999999E-2</v>
      </c>
      <c r="AA6064">
        <v>0.99630920000000001</v>
      </c>
      <c r="AB6064">
        <v>38</v>
      </c>
      <c r="AC6064">
        <v>2.1301999999999999</v>
      </c>
      <c r="AD6064">
        <v>-1.1202113782780001</v>
      </c>
      <c r="AE6064">
        <v>27.843360000000001</v>
      </c>
      <c r="AF6064">
        <v>2.2751292020899201</v>
      </c>
      <c r="AG6064">
        <v>-1.1202113782780001</v>
      </c>
      <c r="AH6064">
        <v>27.786876999796402</v>
      </c>
      <c r="AI6064">
        <v>92.300903642917405</v>
      </c>
      <c r="AJ6064">
        <v>85.319187272185602</v>
      </c>
      <c r="AK6064">
        <v>27.9023586784351</v>
      </c>
      <c r="AL6064">
        <v>77.730391014681999</v>
      </c>
      <c r="AM6064">
        <v>89.484214483199594</v>
      </c>
      <c r="AN6064">
        <v>0.99999995942075703</v>
      </c>
    </row>
    <row r="6065" spans="1:40" x14ac:dyDescent="0.25">
      <c r="A6065" t="str">
        <f>"20190303170655205"</f>
        <v>20190303170655205</v>
      </c>
      <c r="B6065" t="str">
        <f>"1551604015200920"</f>
        <v>1551604015200920</v>
      </c>
      <c r="C6065" t="s">
        <v>40</v>
      </c>
      <c r="D6065">
        <v>5.5063329999999997</v>
      </c>
      <c r="E6065">
        <v>0.53287640000000003</v>
      </c>
      <c r="F6065" t="s">
        <v>41</v>
      </c>
      <c r="G6065">
        <v>-184.8605</v>
      </c>
      <c r="H6065" s="1">
        <v>-2.2993780000000002E-6</v>
      </c>
      <c r="I6065">
        <v>72.386449999999996</v>
      </c>
      <c r="J6065">
        <v>-186.97139999999999</v>
      </c>
      <c r="K6065">
        <v>1.1202270000000001</v>
      </c>
      <c r="L6065">
        <v>45.135379999999998</v>
      </c>
      <c r="M6065">
        <v>-5.1101879999999999E-3</v>
      </c>
      <c r="N6065">
        <v>-9.5517469999999993E-3</v>
      </c>
      <c r="O6065">
        <v>0.99994130000000003</v>
      </c>
      <c r="P6065">
        <v>3.679664E-3</v>
      </c>
      <c r="Q6065">
        <v>0.20298550000000001</v>
      </c>
      <c r="R6065">
        <v>0.97917489999999996</v>
      </c>
      <c r="S6065">
        <v>0.2358246</v>
      </c>
      <c r="T6065">
        <v>-0.1252519</v>
      </c>
      <c r="U6065">
        <v>3.0891109999999999</v>
      </c>
      <c r="V6065">
        <v>8.8572000000000008E-3</v>
      </c>
      <c r="W6065">
        <v>0.2123215</v>
      </c>
      <c r="X6065">
        <v>0.97715969999999996</v>
      </c>
      <c r="Y6065">
        <v>8.1158159999999993E-2</v>
      </c>
      <c r="Z6065">
        <v>-3.083907E-2</v>
      </c>
      <c r="AA6065">
        <v>0.996224</v>
      </c>
      <c r="AB6065">
        <v>38</v>
      </c>
      <c r="AC6065">
        <v>2.11089999999998</v>
      </c>
      <c r="AD6065">
        <v>-1.1202292993780001</v>
      </c>
      <c r="AE6065">
        <v>27.251069999999999</v>
      </c>
      <c r="AF6065">
        <v>2.2463635185983302</v>
      </c>
      <c r="AG6065">
        <v>-1.1202292993780001</v>
      </c>
      <c r="AH6065">
        <v>27.194246602527699</v>
      </c>
      <c r="AI6065">
        <v>92.350888599233201</v>
      </c>
      <c r="AJ6065">
        <v>85.277839469486906</v>
      </c>
      <c r="AK6065">
        <v>27.309853734869399</v>
      </c>
      <c r="AL6065">
        <v>77.741566813253797</v>
      </c>
      <c r="AM6065">
        <v>89.480672114544006</v>
      </c>
      <c r="AN6065">
        <v>0.99999997432908905</v>
      </c>
    </row>
    <row r="6066" spans="1:40" x14ac:dyDescent="0.25">
      <c r="A6066" t="str">
        <f>"20190303170655226"</f>
        <v>20190303170655226</v>
      </c>
      <c r="B6066" t="str">
        <f>"1551604015220440"</f>
        <v>1551604015220440</v>
      </c>
      <c r="C6066" t="s">
        <v>40</v>
      </c>
      <c r="D6066">
        <v>5.5452969999999997</v>
      </c>
      <c r="E6066">
        <v>0.53309390000000001</v>
      </c>
      <c r="F6066" t="s">
        <v>41</v>
      </c>
      <c r="G6066">
        <v>-184.85679999999999</v>
      </c>
      <c r="H6066" s="1">
        <v>-2.2925070000000001E-6</v>
      </c>
      <c r="I6066">
        <v>72.363399999999999</v>
      </c>
      <c r="J6066">
        <v>-186.97300000000001</v>
      </c>
      <c r="K6066">
        <v>1.1202399999999999</v>
      </c>
      <c r="L6066">
        <v>45.49033</v>
      </c>
      <c r="M6066">
        <v>-4.8982610000000001E-3</v>
      </c>
      <c r="N6066">
        <v>-9.5554070000000001E-3</v>
      </c>
      <c r="O6066">
        <v>0.99994240000000001</v>
      </c>
      <c r="P6066">
        <v>4.1667270000000003E-3</v>
      </c>
      <c r="Q6066">
        <v>0.20292199999999999</v>
      </c>
      <c r="R6066">
        <v>0.97918609999999995</v>
      </c>
      <c r="S6066">
        <v>0.23991390000000001</v>
      </c>
      <c r="T6066">
        <v>-0.12709880000000001</v>
      </c>
      <c r="U6066">
        <v>3.0892330000000001</v>
      </c>
      <c r="V6066">
        <v>9.127675E-3</v>
      </c>
      <c r="W6066">
        <v>0.2122618</v>
      </c>
      <c r="X6066">
        <v>0.97717019999999999</v>
      </c>
      <c r="Y6066">
        <v>8.2252930000000002E-2</v>
      </c>
      <c r="Z6066">
        <v>-3.1424720000000003E-2</v>
      </c>
      <c r="AA6066">
        <v>0.99611590000000005</v>
      </c>
      <c r="AB6066">
        <v>38</v>
      </c>
      <c r="AC6066">
        <v>2.1161999999999899</v>
      </c>
      <c r="AD6066">
        <v>-1.1202422925069999</v>
      </c>
      <c r="AE6066">
        <v>26.873069999999998</v>
      </c>
      <c r="AF6066">
        <v>2.2439365373172402</v>
      </c>
      <c r="AG6066">
        <v>-1.1202422925069999</v>
      </c>
      <c r="AH6066">
        <v>26.8160687647208</v>
      </c>
      <c r="AI6066">
        <v>92.383820757685001</v>
      </c>
      <c r="AJ6066">
        <v>85.2167014241505</v>
      </c>
      <c r="AK6066">
        <v>26.933097444810599</v>
      </c>
      <c r="AL6066">
        <v>77.7450673890893</v>
      </c>
      <c r="AM6066">
        <v>89.464819900735094</v>
      </c>
      <c r="AN6066">
        <v>0.99999999297909203</v>
      </c>
    </row>
    <row r="6067" spans="1:40" x14ac:dyDescent="0.25">
      <c r="A6067" t="str">
        <f>"20190303170655249"</f>
        <v>20190303170655249</v>
      </c>
      <c r="B6067" t="str">
        <f>"1551604015240936"</f>
        <v>1551604015240936</v>
      </c>
      <c r="C6067" t="s">
        <v>40</v>
      </c>
      <c r="D6067">
        <v>5.6948819999999998</v>
      </c>
      <c r="E6067">
        <v>0.53308489999999997</v>
      </c>
      <c r="F6067" t="s">
        <v>41</v>
      </c>
      <c r="G6067">
        <v>-184.8458</v>
      </c>
      <c r="H6067" s="1">
        <v>-2.3370299999999998E-6</v>
      </c>
      <c r="I6067">
        <v>72.485579999999999</v>
      </c>
      <c r="J6067">
        <v>-186.97470000000001</v>
      </c>
      <c r="K6067">
        <v>1.1202570000000001</v>
      </c>
      <c r="L6067">
        <v>45.89273</v>
      </c>
      <c r="M6067">
        <v>-4.6582739999999996E-3</v>
      </c>
      <c r="N6067">
        <v>-9.5595850000000007E-3</v>
      </c>
      <c r="O6067">
        <v>0.99994340000000004</v>
      </c>
      <c r="P6067">
        <v>4.2256769999999997E-3</v>
      </c>
      <c r="Q6067">
        <v>0.2026329</v>
      </c>
      <c r="R6067">
        <v>0.9792457</v>
      </c>
      <c r="S6067">
        <v>0.24343870000000001</v>
      </c>
      <c r="T6067">
        <v>-0.1281987</v>
      </c>
      <c r="U6067">
        <v>3.0892940000000002</v>
      </c>
      <c r="V6067">
        <v>8.9436169999999992E-3</v>
      </c>
      <c r="W6067">
        <v>0.211978</v>
      </c>
      <c r="X6067">
        <v>0.97723349999999998</v>
      </c>
      <c r="Y6067">
        <v>8.3140599999999995E-2</v>
      </c>
      <c r="Z6067">
        <v>-3.1770640000000003E-2</v>
      </c>
      <c r="AA6067">
        <v>0.99603129999999995</v>
      </c>
      <c r="AB6067">
        <v>38</v>
      </c>
      <c r="AC6067">
        <v>2.12890000000001</v>
      </c>
      <c r="AD6067">
        <v>-1.12025933703</v>
      </c>
      <c r="AE6067">
        <v>26.592849999999999</v>
      </c>
      <c r="AF6067">
        <v>2.24879398925412</v>
      </c>
      <c r="AG6067">
        <v>-1.12025933703</v>
      </c>
      <c r="AH6067">
        <v>26.5358526001021</v>
      </c>
      <c r="AI6067">
        <v>92.408786183923098</v>
      </c>
      <c r="AJ6067">
        <v>85.156014799827801</v>
      </c>
      <c r="AK6067">
        <v>26.654521729017201</v>
      </c>
      <c r="AL6067">
        <v>77.761706506255507</v>
      </c>
      <c r="AM6067">
        <v>89.475645071988893</v>
      </c>
      <c r="AN6067">
        <v>0.99999998714564597</v>
      </c>
    </row>
    <row r="6068" spans="1:40" x14ac:dyDescent="0.25">
      <c r="A6068" t="str">
        <f>"20190303170655273"</f>
        <v>20190303170655273</v>
      </c>
      <c r="B6068" t="str">
        <f>"1551604015260459"</f>
        <v>1551604015260459</v>
      </c>
      <c r="C6068" t="s">
        <v>40</v>
      </c>
      <c r="D6068">
        <v>5.5246639999999996</v>
      </c>
      <c r="E6068">
        <v>0.53314419999999996</v>
      </c>
      <c r="F6068" t="s">
        <v>41</v>
      </c>
      <c r="G6068">
        <v>-184.8647</v>
      </c>
      <c r="H6068" s="1">
        <v>-2.3900809999999999E-6</v>
      </c>
      <c r="I6068">
        <v>72.656269999999907</v>
      </c>
      <c r="J6068">
        <v>-186.97640000000001</v>
      </c>
      <c r="K6068">
        <v>1.1202700000000001</v>
      </c>
      <c r="L6068">
        <v>46.299320000000002</v>
      </c>
      <c r="M6068">
        <v>-4.4150559999999997E-3</v>
      </c>
      <c r="N6068">
        <v>-9.5637919999999998E-3</v>
      </c>
      <c r="O6068">
        <v>0.99994450000000001</v>
      </c>
      <c r="P6068">
        <v>4.2162370000000003E-3</v>
      </c>
      <c r="Q6068">
        <v>0.2022052</v>
      </c>
      <c r="R6068">
        <v>0.97933409999999999</v>
      </c>
      <c r="S6068">
        <v>0.24356079999999999</v>
      </c>
      <c r="T6068">
        <v>-0.1293107</v>
      </c>
      <c r="U6068">
        <v>3.0892940000000002</v>
      </c>
      <c r="V6068">
        <v>8.6897280000000007E-3</v>
      </c>
      <c r="W6068">
        <v>0.21155579999999999</v>
      </c>
      <c r="X6068">
        <v>0.97732730000000001</v>
      </c>
      <c r="Y6068">
        <v>8.2936319999999994E-2</v>
      </c>
      <c r="Z6068">
        <v>-3.2124840000000002E-2</v>
      </c>
      <c r="AA6068">
        <v>0.9960369</v>
      </c>
      <c r="AB6068">
        <v>38</v>
      </c>
      <c r="AC6068">
        <v>2.1117000000000101</v>
      </c>
      <c r="AD6068">
        <v>-1.1202723900810001</v>
      </c>
      <c r="AE6068">
        <v>26.356949999999902</v>
      </c>
      <c r="AF6068">
        <v>2.2240598385215602</v>
      </c>
      <c r="AG6068">
        <v>-1.1202723900810001</v>
      </c>
      <c r="AH6068">
        <v>26.3001591225986</v>
      </c>
      <c r="AI6068">
        <v>92.430412386940205</v>
      </c>
      <c r="AJ6068">
        <v>85.1663112445503</v>
      </c>
      <c r="AK6068">
        <v>26.4177936676648</v>
      </c>
      <c r="AL6068">
        <v>77.786458425634706</v>
      </c>
      <c r="AM6068">
        <v>89.490578417325693</v>
      </c>
      <c r="AN6068">
        <v>1.0000000096058199</v>
      </c>
    </row>
    <row r="6069" spans="1:40" x14ac:dyDescent="0.25">
      <c r="A6069" t="str">
        <f>"20190303170655294"</f>
        <v>20190303170655294</v>
      </c>
      <c r="B6069" t="str">
        <f>"1551604015290712"</f>
        <v>1551604015290712</v>
      </c>
      <c r="C6069" t="s">
        <v>40</v>
      </c>
      <c r="D6069">
        <v>5.6980209999999998</v>
      </c>
      <c r="E6069">
        <v>0.53331249999999997</v>
      </c>
      <c r="F6069" t="s">
        <v>41</v>
      </c>
      <c r="G6069">
        <v>-184.89109999999999</v>
      </c>
      <c r="H6069" s="1">
        <v>-2.3879520000000002E-6</v>
      </c>
      <c r="I6069">
        <v>72.670649999999995</v>
      </c>
      <c r="J6069">
        <v>-186.97790000000001</v>
      </c>
      <c r="K6069">
        <v>1.120277</v>
      </c>
      <c r="L6069">
        <v>46.674840000000003</v>
      </c>
      <c r="M6069">
        <v>-4.1893570000000003E-3</v>
      </c>
      <c r="N6069">
        <v>-9.5676709999999998E-3</v>
      </c>
      <c r="O6069">
        <v>0.99994550000000004</v>
      </c>
      <c r="P6069">
        <v>3.8636909999999998E-3</v>
      </c>
      <c r="Q6069">
        <v>0.2024687</v>
      </c>
      <c r="R6069">
        <v>0.97928110000000002</v>
      </c>
      <c r="S6069">
        <v>0.24429319999999999</v>
      </c>
      <c r="T6069">
        <v>-0.13123799999999999</v>
      </c>
      <c r="U6069">
        <v>3.0893549999999999</v>
      </c>
      <c r="V6069">
        <v>8.1115010000000001E-3</v>
      </c>
      <c r="W6069">
        <v>0.21182329999999999</v>
      </c>
      <c r="X6069">
        <v>0.97727430000000004</v>
      </c>
      <c r="Y6069">
        <v>8.2942689999999999E-2</v>
      </c>
      <c r="Z6069">
        <v>-3.2740239999999997E-2</v>
      </c>
      <c r="AA6069">
        <v>0.99601640000000002</v>
      </c>
      <c r="AB6069">
        <v>38</v>
      </c>
      <c r="AC6069">
        <v>2.08680000000001</v>
      </c>
      <c r="AD6069">
        <v>-1.1202793879520001</v>
      </c>
      <c r="AE6069">
        <v>25.995809999999899</v>
      </c>
      <c r="AF6069">
        <v>2.1916482445813998</v>
      </c>
      <c r="AG6069">
        <v>-1.1202793879520001</v>
      </c>
      <c r="AH6069">
        <v>25.938975084382498</v>
      </c>
      <c r="AI6069">
        <v>92.464243182930602</v>
      </c>
      <c r="AJ6069">
        <v>85.170408677238498</v>
      </c>
      <c r="AK6069">
        <v>26.0554941684717</v>
      </c>
      <c r="AL6069">
        <v>77.770776061519896</v>
      </c>
      <c r="AM6069">
        <v>89.524448662354601</v>
      </c>
      <c r="AN6069">
        <v>0.999999982155926</v>
      </c>
    </row>
    <row r="6070" spans="1:40" x14ac:dyDescent="0.25">
      <c r="A6070" t="str">
        <f>"20190303170655316"</f>
        <v>20190303170655316</v>
      </c>
      <c r="B6070" t="str">
        <f>"1551604015311208"</f>
        <v>1551604015311208</v>
      </c>
      <c r="C6070" t="s">
        <v>40</v>
      </c>
      <c r="D6070">
        <v>5.4130159999999998</v>
      </c>
      <c r="E6070">
        <v>0.53345690000000001</v>
      </c>
      <c r="F6070" t="s">
        <v>41</v>
      </c>
      <c r="G6070">
        <v>-184.88229999999999</v>
      </c>
      <c r="H6070" s="1">
        <v>-2.5553910000000001E-6</v>
      </c>
      <c r="I6070">
        <v>73.155789999999996</v>
      </c>
      <c r="J6070">
        <v>-186.97919999999999</v>
      </c>
      <c r="K6070">
        <v>1.120288</v>
      </c>
      <c r="L6070">
        <v>47.045650000000002</v>
      </c>
      <c r="M6070">
        <v>-3.9659109999999999E-3</v>
      </c>
      <c r="N6070">
        <v>-9.5715109999999996E-3</v>
      </c>
      <c r="O6070">
        <v>0.99994640000000001</v>
      </c>
      <c r="P6070">
        <v>3.4740299999999999E-3</v>
      </c>
      <c r="Q6070">
        <v>0.20246539999999999</v>
      </c>
      <c r="R6070">
        <v>0.97928329999999997</v>
      </c>
      <c r="S6070">
        <v>0.2444916</v>
      </c>
      <c r="T6070">
        <v>-0.13070319999999999</v>
      </c>
      <c r="U6070">
        <v>3.0895389999999998</v>
      </c>
      <c r="V6070">
        <v>7.4995519999999996E-3</v>
      </c>
      <c r="W6070">
        <v>0.21182429999999999</v>
      </c>
      <c r="X6070">
        <v>0.97727900000000001</v>
      </c>
      <c r="Y6070">
        <v>8.2779489999999997E-2</v>
      </c>
      <c r="Z6070">
        <v>-3.2562109999999998E-2</v>
      </c>
      <c r="AA6070">
        <v>0.99603580000000003</v>
      </c>
      <c r="AB6070">
        <v>38</v>
      </c>
      <c r="AC6070">
        <v>2.0969000000000002</v>
      </c>
      <c r="AD6070">
        <v>-1.1202905553910001</v>
      </c>
      <c r="AE6070">
        <v>26.110139999999902</v>
      </c>
      <c r="AF6070">
        <v>2.1964211372791298</v>
      </c>
      <c r="AG6070">
        <v>-1.1202905553910001</v>
      </c>
      <c r="AH6070">
        <v>26.053961369742801</v>
      </c>
      <c r="AI6070">
        <v>92.453444217797298</v>
      </c>
      <c r="AJ6070">
        <v>85.181201135291104</v>
      </c>
      <c r="AK6070">
        <v>26.170369118467502</v>
      </c>
      <c r="AL6070">
        <v>77.770717788567097</v>
      </c>
      <c r="AM6070">
        <v>89.560325921844296</v>
      </c>
      <c r="AN6070">
        <v>1.00000001059584</v>
      </c>
    </row>
    <row r="6071" spans="1:40" x14ac:dyDescent="0.25">
      <c r="A6071" t="str">
        <f>"20190303170655340"</f>
        <v>20190303170655340</v>
      </c>
      <c r="B6071" t="str">
        <f>"1551604015330727"</f>
        <v>1551604015330727</v>
      </c>
      <c r="C6071" t="s">
        <v>40</v>
      </c>
      <c r="D6071">
        <v>5.4452819999999997</v>
      </c>
      <c r="E6071">
        <v>0.53341640000000001</v>
      </c>
      <c r="F6071" t="s">
        <v>41</v>
      </c>
      <c r="G6071">
        <v>-184.88509999999999</v>
      </c>
      <c r="H6071" s="1">
        <v>-2.667497E-6</v>
      </c>
      <c r="I6071">
        <v>73.487449999999995</v>
      </c>
      <c r="J6071">
        <v>-186.98070000000001</v>
      </c>
      <c r="K6071">
        <v>1.1202939999999999</v>
      </c>
      <c r="L6071">
        <v>47.460239999999999</v>
      </c>
      <c r="M6071">
        <v>-3.7158680000000002E-3</v>
      </c>
      <c r="N6071">
        <v>-9.5757889999999995E-3</v>
      </c>
      <c r="O6071">
        <v>0.99994720000000004</v>
      </c>
      <c r="P6071">
        <v>2.5192119999999998E-3</v>
      </c>
      <c r="Q6071">
        <v>0.20208390000000001</v>
      </c>
      <c r="R6071">
        <v>0.97936500000000004</v>
      </c>
      <c r="S6071">
        <v>0.24468989999999999</v>
      </c>
      <c r="T6071">
        <v>-0.1309032</v>
      </c>
      <c r="U6071">
        <v>3.089661</v>
      </c>
      <c r="V6071">
        <v>6.2970839999999997E-3</v>
      </c>
      <c r="W6071">
        <v>0.21144869999999999</v>
      </c>
      <c r="X6071">
        <v>0.97736880000000004</v>
      </c>
      <c r="Y6071">
        <v>8.2590590000000005E-2</v>
      </c>
      <c r="Z6071">
        <v>-3.2620929999999999E-2</v>
      </c>
      <c r="AA6071">
        <v>0.99604950000000003</v>
      </c>
      <c r="AB6071">
        <v>39</v>
      </c>
      <c r="AC6071">
        <v>2.0956000000000099</v>
      </c>
      <c r="AD6071">
        <v>-1.1202966674969901</v>
      </c>
      <c r="AE6071">
        <v>26.02721</v>
      </c>
      <c r="AF6071">
        <v>2.1882754886283902</v>
      </c>
      <c r="AG6071">
        <v>-1.1202966674969901</v>
      </c>
      <c r="AH6071">
        <v>25.971434978582899</v>
      </c>
      <c r="AI6071">
        <v>92.461253493806396</v>
      </c>
      <c r="AJ6071">
        <v>85.183804481425895</v>
      </c>
      <c r="AK6071">
        <v>26.0875266954171</v>
      </c>
      <c r="AL6071">
        <v>77.792736576552798</v>
      </c>
      <c r="AM6071">
        <v>89.630854448967199</v>
      </c>
      <c r="AN6071">
        <v>0.99999998860601602</v>
      </c>
    </row>
    <row r="6072" spans="1:40" x14ac:dyDescent="0.25">
      <c r="A6072" t="str">
        <f>"20190303170655361"</f>
        <v>20190303170655361</v>
      </c>
      <c r="B6072" t="str">
        <f>"1551604015351223"</f>
        <v>1551604015351223</v>
      </c>
      <c r="C6072" t="s">
        <v>40</v>
      </c>
      <c r="D6072">
        <v>5.4420070000000003</v>
      </c>
      <c r="E6072">
        <v>0.53336629999999996</v>
      </c>
      <c r="F6072" t="s">
        <v>41</v>
      </c>
      <c r="G6072">
        <v>-184.92699999999999</v>
      </c>
      <c r="H6072" s="1">
        <v>-2.7150540000000001E-6</v>
      </c>
      <c r="I6072">
        <v>73.659899999999993</v>
      </c>
      <c r="J6072">
        <v>-186.9819</v>
      </c>
      <c r="K6072">
        <v>1.120293</v>
      </c>
      <c r="L6072">
        <v>47.835360000000001</v>
      </c>
      <c r="M6072">
        <v>-3.4895199999999999E-3</v>
      </c>
      <c r="N6072">
        <v>-9.5796460000000007E-3</v>
      </c>
      <c r="O6072">
        <v>0.99994799999999995</v>
      </c>
      <c r="P6072">
        <v>1.1442189999999999E-3</v>
      </c>
      <c r="Q6072">
        <v>0.2020015</v>
      </c>
      <c r="R6072">
        <v>0.97938449999999999</v>
      </c>
      <c r="S6072">
        <v>0.2422028</v>
      </c>
      <c r="T6072">
        <v>-0.13212160000000001</v>
      </c>
      <c r="U6072">
        <v>3.0898439999999998</v>
      </c>
      <c r="V6072">
        <v>4.698603E-3</v>
      </c>
      <c r="W6072">
        <v>0.21137130000000001</v>
      </c>
      <c r="X6072">
        <v>0.9773946</v>
      </c>
      <c r="Y6072">
        <v>8.1562590000000004E-2</v>
      </c>
      <c r="Z6072">
        <v>-3.3009980000000001E-2</v>
      </c>
      <c r="AA6072">
        <v>0.99612140000000005</v>
      </c>
      <c r="AB6072">
        <v>39</v>
      </c>
      <c r="AC6072">
        <v>2.0548999999999702</v>
      </c>
      <c r="AD6072">
        <v>-1.1202957150540001</v>
      </c>
      <c r="AE6072">
        <v>25.824539999999999</v>
      </c>
      <c r="AF6072">
        <v>2.14100303779255</v>
      </c>
      <c r="AG6072">
        <v>-1.1202957150540001</v>
      </c>
      <c r="AH6072">
        <v>25.769021807254401</v>
      </c>
      <c r="AI6072">
        <v>92.4808016392779</v>
      </c>
      <c r="AJ6072">
        <v>85.250524562220605</v>
      </c>
      <c r="AK6072">
        <v>25.882067950605499</v>
      </c>
      <c r="AL6072">
        <v>77.797274630022997</v>
      </c>
      <c r="AM6072">
        <v>89.724565648580395</v>
      </c>
      <c r="AN6072">
        <v>1.0000000537214899</v>
      </c>
    </row>
    <row r="6073" spans="1:40" x14ac:dyDescent="0.25">
      <c r="A6073" t="str">
        <f>"20190303170655385"</f>
        <v>20190303170655385</v>
      </c>
      <c r="B6073" t="str">
        <f>"1551604015370743"</f>
        <v>1551604015370743</v>
      </c>
      <c r="C6073" t="s">
        <v>40</v>
      </c>
      <c r="D6073">
        <v>5.3438869999999996</v>
      </c>
      <c r="E6073">
        <v>0.53336349999999999</v>
      </c>
      <c r="F6073" t="s">
        <v>41</v>
      </c>
      <c r="G6073">
        <v>-184.95750000000001</v>
      </c>
      <c r="H6073" s="1">
        <v>-2.8291569999999998E-6</v>
      </c>
      <c r="I6073">
        <v>74.019090000000006</v>
      </c>
      <c r="J6073">
        <v>-186.983</v>
      </c>
      <c r="K6073">
        <v>1.120293</v>
      </c>
      <c r="L6073">
        <v>48.232849999999999</v>
      </c>
      <c r="M6073">
        <v>-3.2501639999999998E-3</v>
      </c>
      <c r="N6073">
        <v>-9.5837479999999996E-3</v>
      </c>
      <c r="O6073">
        <v>0.99994879999999997</v>
      </c>
      <c r="P6073">
        <v>4.7614169999999999E-4</v>
      </c>
      <c r="Q6073">
        <v>0.20260610000000001</v>
      </c>
      <c r="R6073">
        <v>0.97926020000000003</v>
      </c>
      <c r="S6073">
        <v>0.23890690000000001</v>
      </c>
      <c r="T6073">
        <v>-0.13221369999999999</v>
      </c>
      <c r="U6073">
        <v>3.0901179999999999</v>
      </c>
      <c r="V6073">
        <v>3.7949099999999999E-3</v>
      </c>
      <c r="W6073">
        <v>0.21197940000000001</v>
      </c>
      <c r="X6073">
        <v>0.97726679999999999</v>
      </c>
      <c r="Y6073">
        <v>8.0261219999999994E-2</v>
      </c>
      <c r="Z6073">
        <v>-3.3035929999999998E-2</v>
      </c>
      <c r="AA6073">
        <v>0.99622630000000001</v>
      </c>
      <c r="AB6073">
        <v>39</v>
      </c>
      <c r="AC6073">
        <v>2.0254999999999899</v>
      </c>
      <c r="AD6073">
        <v>-1.120295829157</v>
      </c>
      <c r="AE6073">
        <v>25.786239999999999</v>
      </c>
      <c r="AF6073">
        <v>2.1053531504962</v>
      </c>
      <c r="AG6073">
        <v>-1.120295829157</v>
      </c>
      <c r="AH6073">
        <v>25.731250102474799</v>
      </c>
      <c r="AI6073">
        <v>92.484695749474696</v>
      </c>
      <c r="AJ6073">
        <v>85.322429407258497</v>
      </c>
      <c r="AK6073">
        <v>25.841532587469299</v>
      </c>
      <c r="AL6073">
        <v>77.761624995163402</v>
      </c>
      <c r="AM6073">
        <v>89.777510876513801</v>
      </c>
      <c r="AN6073">
        <v>1.00000003287425</v>
      </c>
    </row>
    <row r="6074" spans="1:40" x14ac:dyDescent="0.25">
      <c r="A6074" t="str">
        <f>"20190303170655406"</f>
        <v>20190303170655406</v>
      </c>
      <c r="B6074" t="str">
        <f>"1551604015391239"</f>
        <v>1551604015391239</v>
      </c>
      <c r="C6074" t="s">
        <v>40</v>
      </c>
      <c r="D6074">
        <v>5.5887669999999998</v>
      </c>
      <c r="E6074">
        <v>0.5333502</v>
      </c>
      <c r="F6074" t="s">
        <v>41</v>
      </c>
      <c r="G6074">
        <v>-184.9522</v>
      </c>
      <c r="H6074" s="1">
        <v>-3.1044220000000001E-6</v>
      </c>
      <c r="I6074">
        <v>74.782069999999905</v>
      </c>
      <c r="J6074">
        <v>-186.98400000000001</v>
      </c>
      <c r="K6074">
        <v>1.120295</v>
      </c>
      <c r="L6074">
        <v>48.591340000000002</v>
      </c>
      <c r="M6074">
        <v>-3.0344539999999998E-3</v>
      </c>
      <c r="N6074">
        <v>-9.5875460000000006E-3</v>
      </c>
      <c r="O6074">
        <v>0.99994950000000005</v>
      </c>
      <c r="P6074">
        <v>-6.1404839999999999E-4</v>
      </c>
      <c r="Q6074">
        <v>0.20264740000000001</v>
      </c>
      <c r="R6074">
        <v>0.9792516</v>
      </c>
      <c r="S6074">
        <v>0.23638919999999999</v>
      </c>
      <c r="T6074">
        <v>-0.1304052</v>
      </c>
      <c r="U6074">
        <v>3.0903930000000002</v>
      </c>
      <c r="V6074">
        <v>2.492841E-3</v>
      </c>
      <c r="W6074">
        <v>0.21202509999999999</v>
      </c>
      <c r="X6074">
        <v>0.97726109999999999</v>
      </c>
      <c r="Y6074">
        <v>7.9234460000000007E-2</v>
      </c>
      <c r="Z6074">
        <v>-3.2449520000000003E-2</v>
      </c>
      <c r="AA6074">
        <v>0.99632770000000004</v>
      </c>
      <c r="AB6074">
        <v>39</v>
      </c>
      <c r="AC6074">
        <v>2.0318000000000001</v>
      </c>
      <c r="AD6074">
        <v>-1.120298104422</v>
      </c>
      <c r="AE6074">
        <v>26.190729999999899</v>
      </c>
      <c r="AF6074">
        <v>2.1074360191197798</v>
      </c>
      <c r="AG6074">
        <v>-1.120298104422</v>
      </c>
      <c r="AH6074">
        <v>26.136907969392102</v>
      </c>
      <c r="AI6074">
        <v>92.446418867965505</v>
      </c>
      <c r="AJ6074">
        <v>85.390176439439102</v>
      </c>
      <c r="AK6074">
        <v>26.245653213778599</v>
      </c>
      <c r="AL6074">
        <v>77.758945980222407</v>
      </c>
      <c r="AM6074">
        <v>89.853847698930295</v>
      </c>
      <c r="AN6074">
        <v>1.0000000574297301</v>
      </c>
    </row>
    <row r="6075" spans="1:40" x14ac:dyDescent="0.25">
      <c r="A6075" t="str">
        <f>"20190303170655439"</f>
        <v>20190303170655439</v>
      </c>
      <c r="B6075" t="str">
        <f>"1551604015431255"</f>
        <v>1551604015431255</v>
      </c>
      <c r="C6075" t="s">
        <v>40</v>
      </c>
      <c r="D6075">
        <v>5.3908259999999997</v>
      </c>
      <c r="E6075">
        <v>0.53335759999999999</v>
      </c>
      <c r="F6075" t="s">
        <v>41</v>
      </c>
      <c r="G6075">
        <v>-184.9922</v>
      </c>
      <c r="H6075" s="1">
        <v>-3.2324580000000001E-6</v>
      </c>
      <c r="I6075">
        <v>75.097080000000005</v>
      </c>
      <c r="J6075">
        <v>-186.9854</v>
      </c>
      <c r="K6075">
        <v>1.1202939999999999</v>
      </c>
      <c r="L6075">
        <v>49.170960000000001</v>
      </c>
      <c r="M6075">
        <v>-2.6879310000000002E-3</v>
      </c>
      <c r="N6075">
        <v>-9.5936170000000005E-3</v>
      </c>
      <c r="O6075">
        <v>0.99995029999999996</v>
      </c>
      <c r="P6075">
        <v>-1.2419039999999901E-3</v>
      </c>
      <c r="Q6075">
        <v>0.201181</v>
      </c>
      <c r="R6075">
        <v>0.97955329999999996</v>
      </c>
      <c r="S6075">
        <v>0.23225399999999999</v>
      </c>
      <c r="T6075">
        <v>-0.1306348</v>
      </c>
      <c r="U6075">
        <v>3.0907589999999998</v>
      </c>
      <c r="V6075">
        <v>1.5247640000000001E-3</v>
      </c>
      <c r="W6075">
        <v>0.2105687</v>
      </c>
      <c r="X6075">
        <v>0.9775779</v>
      </c>
      <c r="Y6075">
        <v>7.755476E-2</v>
      </c>
      <c r="Z6075">
        <v>-3.2517490000000003E-2</v>
      </c>
      <c r="AA6075">
        <v>0.99645760000000005</v>
      </c>
      <c r="AB6075">
        <v>39</v>
      </c>
      <c r="AC6075">
        <v>1.9932000000000001</v>
      </c>
      <c r="AD6075">
        <v>-1.1202972324580001</v>
      </c>
      <c r="AE6075">
        <v>25.926120000000001</v>
      </c>
      <c r="AF6075">
        <v>2.05906153774347</v>
      </c>
      <c r="AG6075">
        <v>-1.1202972324580001</v>
      </c>
      <c r="AH6075">
        <v>25.872642890135701</v>
      </c>
      <c r="AI6075">
        <v>92.471579568251201</v>
      </c>
      <c r="AJ6075">
        <v>85.449734107082406</v>
      </c>
      <c r="AK6075">
        <v>25.9786152522754</v>
      </c>
      <c r="AL6075">
        <v>77.844318736007494</v>
      </c>
      <c r="AM6075">
        <v>89.910633749894401</v>
      </c>
      <c r="AN6075">
        <v>1.00000002644667</v>
      </c>
    </row>
    <row r="6076" spans="1:40" x14ac:dyDescent="0.25">
      <c r="A6076" t="str">
        <f>"20190303170655462"</f>
        <v>20190303170655462</v>
      </c>
      <c r="B6076" t="str">
        <f>"1551604015450775"</f>
        <v>1551604015450775</v>
      </c>
      <c r="C6076" t="s">
        <v>40</v>
      </c>
      <c r="D6076">
        <v>5.3937780000000002</v>
      </c>
      <c r="E6076">
        <v>0.5333656</v>
      </c>
      <c r="F6076" t="s">
        <v>41</v>
      </c>
      <c r="G6076">
        <v>-185.07480000000001</v>
      </c>
      <c r="H6076" s="1">
        <v>-3.071901E-6</v>
      </c>
      <c r="I6076">
        <v>74.75694</v>
      </c>
      <c r="J6076">
        <v>-186.9863</v>
      </c>
      <c r="K6076">
        <v>1.1202920000000001</v>
      </c>
      <c r="L6076">
        <v>49.564509999999999</v>
      </c>
      <c r="M6076">
        <v>-2.4560939999999998E-3</v>
      </c>
      <c r="N6076">
        <v>-9.5975629999999999E-3</v>
      </c>
      <c r="O6076">
        <v>0.99995089999999998</v>
      </c>
      <c r="P6076">
        <v>-1.109266E-3</v>
      </c>
      <c r="Q6076">
        <v>0.20018040000000001</v>
      </c>
      <c r="R6076">
        <v>0.97975840000000003</v>
      </c>
      <c r="S6076">
        <v>0.23080439999999999</v>
      </c>
      <c r="T6076">
        <v>-0.13532810000000001</v>
      </c>
      <c r="U6076">
        <v>3.0906980000000002</v>
      </c>
      <c r="V6076">
        <v>1.4292370000000001E-3</v>
      </c>
      <c r="W6076">
        <v>0.20957329999999999</v>
      </c>
      <c r="X6076">
        <v>0.97779190000000005</v>
      </c>
      <c r="Y6076">
        <v>7.6856170000000001E-2</v>
      </c>
      <c r="Z6076">
        <v>-3.402691E-2</v>
      </c>
      <c r="AA6076">
        <v>0.99646140000000005</v>
      </c>
      <c r="AB6076">
        <v>39</v>
      </c>
      <c r="AC6076">
        <v>1.91149999999998</v>
      </c>
      <c r="AD6076">
        <v>-1.1202950719010001</v>
      </c>
      <c r="AE6076">
        <v>25.192429999999899</v>
      </c>
      <c r="AF6076">
        <v>1.96949959680058</v>
      </c>
      <c r="AG6076">
        <v>-1.1202950719010001</v>
      </c>
      <c r="AH6076">
        <v>25.138231731881302</v>
      </c>
      <c r="AI6076">
        <v>92.543934903903903</v>
      </c>
      <c r="AJ6076">
        <v>85.520210991391707</v>
      </c>
      <c r="AK6076">
        <v>25.240140338668699</v>
      </c>
      <c r="AL6076">
        <v>77.902652350146397</v>
      </c>
      <c r="AM6076">
        <v>89.916250901952097</v>
      </c>
      <c r="AN6076">
        <v>1.0000000052484499</v>
      </c>
    </row>
    <row r="6077" spans="1:40" x14ac:dyDescent="0.25">
      <c r="A6077" t="str">
        <f>"20190303170655483"</f>
        <v>20190303170655483</v>
      </c>
      <c r="B6077" t="str">
        <f>"1551604015471271"</f>
        <v>1551604015471271</v>
      </c>
      <c r="C6077" t="s">
        <v>40</v>
      </c>
      <c r="D6077">
        <v>5.3857619999999997</v>
      </c>
      <c r="E6077">
        <v>0.53334999999999999</v>
      </c>
      <c r="F6077" t="s">
        <v>41</v>
      </c>
      <c r="G6077">
        <v>-185.1062</v>
      </c>
      <c r="H6077" s="1">
        <v>-3.0080109999999999E-6</v>
      </c>
      <c r="I6077">
        <v>74.621009999999998</v>
      </c>
      <c r="J6077">
        <v>-186.98699999999999</v>
      </c>
      <c r="K6077">
        <v>1.1202859999999999</v>
      </c>
      <c r="L6077">
        <v>49.948520000000002</v>
      </c>
      <c r="M6077">
        <v>-2.2350199999999999E-3</v>
      </c>
      <c r="N6077">
        <v>-9.6013360000000002E-3</v>
      </c>
      <c r="O6077">
        <v>0.99995140000000005</v>
      </c>
      <c r="P6077">
        <v>-1.5705729999999999E-4</v>
      </c>
      <c r="Q6077">
        <v>0.1997178</v>
      </c>
      <c r="R6077">
        <v>0.97985350000000004</v>
      </c>
      <c r="S6077">
        <v>0.23188780000000001</v>
      </c>
      <c r="T6077">
        <v>-0.13817660000000001</v>
      </c>
      <c r="U6077">
        <v>3.0904539999999998</v>
      </c>
      <c r="V6077">
        <v>2.1630450000000002E-3</v>
      </c>
      <c r="W6077">
        <v>0.209115</v>
      </c>
      <c r="X6077">
        <v>0.9778886</v>
      </c>
      <c r="Y6077">
        <v>7.6986219999999994E-2</v>
      </c>
      <c r="Z6077">
        <v>-3.4942590000000003E-2</v>
      </c>
      <c r="AA6077">
        <v>0.99641970000000002</v>
      </c>
      <c r="AB6077">
        <v>39</v>
      </c>
      <c r="AC6077">
        <v>1.88079999999999</v>
      </c>
      <c r="AD6077">
        <v>-1.120289008011</v>
      </c>
      <c r="AE6077">
        <v>24.67249</v>
      </c>
      <c r="AF6077">
        <v>1.9319811208639199</v>
      </c>
      <c r="AG6077">
        <v>-1.120289008011</v>
      </c>
      <c r="AH6077">
        <v>24.617762333853801</v>
      </c>
      <c r="AI6077">
        <v>92.597605132869404</v>
      </c>
      <c r="AJ6077">
        <v>85.512673156519995</v>
      </c>
      <c r="AK6077">
        <v>24.718855573002401</v>
      </c>
      <c r="AL6077">
        <v>77.929505205204904</v>
      </c>
      <c r="AM6077">
        <v>89.8732645545997</v>
      </c>
      <c r="AN6077">
        <v>0.99999993799931397</v>
      </c>
    </row>
    <row r="6078" spans="1:40" x14ac:dyDescent="0.25">
      <c r="A6078" t="str">
        <f>"20190303170655505"</f>
        <v>20190303170655505</v>
      </c>
      <c r="B6078" t="str">
        <f>"1551604015490792"</f>
        <v>1551604015490792</v>
      </c>
      <c r="C6078" t="s">
        <v>40</v>
      </c>
      <c r="D6078">
        <v>5.4218570000000001</v>
      </c>
      <c r="E6078">
        <v>0.5334101</v>
      </c>
      <c r="F6078" t="s">
        <v>41</v>
      </c>
      <c r="G6078">
        <v>-185.10550000000001</v>
      </c>
      <c r="H6078" s="1">
        <v>-3.0422179999999999E-6</v>
      </c>
      <c r="I6078">
        <v>74.700450000000004</v>
      </c>
      <c r="J6078">
        <v>-186.98769999999999</v>
      </c>
      <c r="K6078">
        <v>1.120293</v>
      </c>
      <c r="L6078">
        <v>50.33032</v>
      </c>
      <c r="M6078">
        <v>-2.0238740000000002E-3</v>
      </c>
      <c r="N6078">
        <v>-9.6051620000000004E-3</v>
      </c>
      <c r="O6078">
        <v>0.99995179999999995</v>
      </c>
      <c r="P6078">
        <v>4.2384299999999997E-4</v>
      </c>
      <c r="Q6078">
        <v>0.2002167</v>
      </c>
      <c r="R6078">
        <v>0.9797515</v>
      </c>
      <c r="S6078">
        <v>0.23490910000000001</v>
      </c>
      <c r="T6078">
        <v>-0.1398664</v>
      </c>
      <c r="U6078">
        <v>3.0902400000000001</v>
      </c>
      <c r="V6078">
        <v>2.5341209999999999E-3</v>
      </c>
      <c r="W6078">
        <v>0.20961669999999999</v>
      </c>
      <c r="X6078">
        <v>0.97778030000000005</v>
      </c>
      <c r="Y6078">
        <v>7.7747609999999995E-2</v>
      </c>
      <c r="Z6078">
        <v>-3.548275E-2</v>
      </c>
      <c r="AA6078">
        <v>0.99634149999999999</v>
      </c>
      <c r="AB6078">
        <v>39</v>
      </c>
      <c r="AC6078">
        <v>1.8821999999999799</v>
      </c>
      <c r="AD6078">
        <v>-1.1202960422179999</v>
      </c>
      <c r="AE6078">
        <v>24.37013</v>
      </c>
      <c r="AF6078">
        <v>1.92747142677937</v>
      </c>
      <c r="AG6078">
        <v>-1.1202960422179999</v>
      </c>
      <c r="AH6078">
        <v>24.3151913009781</v>
      </c>
      <c r="AI6078">
        <v>92.629737495841795</v>
      </c>
      <c r="AJ6078">
        <v>85.467626532837102</v>
      </c>
      <c r="AK6078">
        <v>24.4171811912518</v>
      </c>
      <c r="AL6078">
        <v>77.900108533792903</v>
      </c>
      <c r="AM6078">
        <v>89.851506403852795</v>
      </c>
      <c r="AN6078">
        <v>0.99999994887810995</v>
      </c>
    </row>
    <row r="6079" spans="1:40" x14ac:dyDescent="0.25">
      <c r="A6079" t="str">
        <f>"20190303170655527"</f>
        <v>20190303170655527</v>
      </c>
      <c r="B6079" t="str">
        <f>"1551604015521048"</f>
        <v>1551604015521048</v>
      </c>
      <c r="C6079" t="s">
        <v>40</v>
      </c>
      <c r="D6079">
        <v>5.4668169999999998</v>
      </c>
      <c r="E6079">
        <v>0.53358059999999996</v>
      </c>
      <c r="F6079" t="s">
        <v>41</v>
      </c>
      <c r="G6079">
        <v>-185.0669</v>
      </c>
      <c r="H6079" s="1">
        <v>-3.3205740000000002E-6</v>
      </c>
      <c r="I6079">
        <v>75.333359999999999</v>
      </c>
      <c r="J6079">
        <v>-186.98830000000001</v>
      </c>
      <c r="K6079">
        <v>1.120295</v>
      </c>
      <c r="L6079">
        <v>50.711030000000001</v>
      </c>
      <c r="M6079">
        <v>-1.8221629999999999E-3</v>
      </c>
      <c r="N6079">
        <v>-9.6089379999999992E-3</v>
      </c>
      <c r="O6079">
        <v>0.99995219999999996</v>
      </c>
      <c r="P6079">
        <v>5.2435790000000002E-4</v>
      </c>
      <c r="Q6079">
        <v>0.199126</v>
      </c>
      <c r="R6079">
        <v>0.97997369999999995</v>
      </c>
      <c r="S6079">
        <v>0.2373962</v>
      </c>
      <c r="T6079">
        <v>-0.13846120000000001</v>
      </c>
      <c r="U6079">
        <v>3.0902099999999999</v>
      </c>
      <c r="V6079">
        <v>2.4331090000000001E-3</v>
      </c>
      <c r="W6079">
        <v>0.2085321</v>
      </c>
      <c r="X6079">
        <v>0.97801249999999995</v>
      </c>
      <c r="Y6079">
        <v>7.8345719999999994E-2</v>
      </c>
      <c r="Z6079">
        <v>-3.5024930000000003E-2</v>
      </c>
      <c r="AA6079">
        <v>0.99631080000000005</v>
      </c>
      <c r="AB6079">
        <v>39</v>
      </c>
      <c r="AC6079">
        <v>1.9214</v>
      </c>
      <c r="AD6079">
        <v>-1.120298320574</v>
      </c>
      <c r="AE6079">
        <v>24.622330000000002</v>
      </c>
      <c r="AF6079">
        <v>1.9622271929166</v>
      </c>
      <c r="AG6079">
        <v>-1.120298320574</v>
      </c>
      <c r="AH6079">
        <v>24.568234911539999</v>
      </c>
      <c r="AI6079">
        <v>92.602571974808498</v>
      </c>
      <c r="AJ6079">
        <v>85.433567332401495</v>
      </c>
      <c r="AK6079">
        <v>24.671918663782801</v>
      </c>
      <c r="AL6079">
        <v>77.963656624715597</v>
      </c>
      <c r="AM6079">
        <v>89.857459297104199</v>
      </c>
      <c r="AN6079">
        <v>1.0000000034530301</v>
      </c>
    </row>
    <row r="6080" spans="1:40" x14ac:dyDescent="0.25">
      <c r="A6080" t="str">
        <f>"20190303170655550"</f>
        <v>20190303170655550</v>
      </c>
      <c r="B6080" t="str">
        <f>"1551604015540567"</f>
        <v>1551604015540567</v>
      </c>
      <c r="C6080" t="s">
        <v>40</v>
      </c>
      <c r="D6080">
        <v>5.3885360000000002</v>
      </c>
      <c r="E6080">
        <v>0.53363760000000005</v>
      </c>
      <c r="F6080" t="s">
        <v>41</v>
      </c>
      <c r="G6080">
        <v>-185.09049999999999</v>
      </c>
      <c r="H6080" s="1">
        <v>-3.2767549999999999E-6</v>
      </c>
      <c r="I6080">
        <v>75.240979999999993</v>
      </c>
      <c r="J6080">
        <v>-186.9889</v>
      </c>
      <c r="K6080">
        <v>1.1202970000000001</v>
      </c>
      <c r="L6080">
        <v>51.119169999999997</v>
      </c>
      <c r="M6080">
        <v>-1.6204049999999999E-3</v>
      </c>
      <c r="N6080">
        <v>-9.6129900000000001E-3</v>
      </c>
      <c r="O6080">
        <v>0.99995250000000002</v>
      </c>
      <c r="P6080">
        <v>1.9347249999999999E-4</v>
      </c>
      <c r="Q6080">
        <v>0.1983355</v>
      </c>
      <c r="R6080">
        <v>0.98013419999999896</v>
      </c>
      <c r="S6080">
        <v>0.23904420000000001</v>
      </c>
      <c r="T6080">
        <v>-0.14111509999999999</v>
      </c>
      <c r="U6080">
        <v>3.0898439999999998</v>
      </c>
      <c r="V6080">
        <v>1.8991209999999999E-3</v>
      </c>
      <c r="W6080">
        <v>0.20774709999999999</v>
      </c>
      <c r="X6080">
        <v>0.97818070000000001</v>
      </c>
      <c r="Y6080">
        <v>7.867905E-2</v>
      </c>
      <c r="Z6080">
        <v>-3.5878729999999998E-2</v>
      </c>
      <c r="AA6080">
        <v>0.99625410000000003</v>
      </c>
      <c r="AB6080">
        <v>39</v>
      </c>
      <c r="AC6080">
        <v>1.8984000000000001</v>
      </c>
      <c r="AD6080">
        <v>-1.1203002767550001</v>
      </c>
      <c r="AE6080">
        <v>24.12181</v>
      </c>
      <c r="AF6080">
        <v>1.93334187631846</v>
      </c>
      <c r="AG6080">
        <v>-1.1203002767550001</v>
      </c>
      <c r="AH6080">
        <v>24.0671089364407</v>
      </c>
      <c r="AI6080">
        <v>92.656592860246406</v>
      </c>
      <c r="AJ6080">
        <v>85.407218501449506</v>
      </c>
      <c r="AK6080">
        <v>24.170614722826802</v>
      </c>
      <c r="AL6080">
        <v>78.009640538562294</v>
      </c>
      <c r="AM6080">
        <v>89.888761369582895</v>
      </c>
      <c r="AN6080">
        <v>0.99999997303573596</v>
      </c>
    </row>
    <row r="6081" spans="1:40" x14ac:dyDescent="0.25">
      <c r="A6081" t="str">
        <f>"20190303170655573"</f>
        <v>20190303170655573</v>
      </c>
      <c r="B6081" t="str">
        <f>"1551604015561063"</f>
        <v>1551604015561063</v>
      </c>
      <c r="C6081" t="s">
        <v>40</v>
      </c>
      <c r="D6081">
        <v>5.4557390000000003</v>
      </c>
      <c r="E6081">
        <v>0.53309849999999903</v>
      </c>
      <c r="F6081" t="s">
        <v>41</v>
      </c>
      <c r="G6081">
        <v>-185.12200000000001</v>
      </c>
      <c r="H6081" s="1">
        <v>-3.3235660000000002E-6</v>
      </c>
      <c r="I6081">
        <v>75.363100000000003</v>
      </c>
      <c r="J6081">
        <v>-186.98929999999999</v>
      </c>
      <c r="K6081">
        <v>1.120304</v>
      </c>
      <c r="L6081">
        <v>51.506349999999998</v>
      </c>
      <c r="M6081">
        <v>-1.44848E-3</v>
      </c>
      <c r="N6081">
        <v>-9.6169519999999998E-3</v>
      </c>
      <c r="O6081">
        <v>0.99995270000000003</v>
      </c>
      <c r="P6081" s="1">
        <v>8.250214E-5</v>
      </c>
      <c r="Q6081">
        <v>0.19809579999999999</v>
      </c>
      <c r="R6081">
        <v>0.98018260000000001</v>
      </c>
      <c r="S6081">
        <v>0.23791499999999999</v>
      </c>
      <c r="T6081">
        <v>-0.1427717</v>
      </c>
      <c r="U6081">
        <v>3.089661</v>
      </c>
      <c r="V6081">
        <v>1.6130020000000001E-3</v>
      </c>
      <c r="W6081">
        <v>0.207512</v>
      </c>
      <c r="X6081">
        <v>0.97823110000000002</v>
      </c>
      <c r="Y6081">
        <v>7.8148690000000007E-2</v>
      </c>
      <c r="Z6081">
        <v>-3.6412239999999998E-2</v>
      </c>
      <c r="AA6081">
        <v>0.99627659999999996</v>
      </c>
      <c r="AB6081">
        <v>39</v>
      </c>
      <c r="AC6081">
        <v>1.86729999999997</v>
      </c>
      <c r="AD6081">
        <v>-1.1203073235659999</v>
      </c>
      <c r="AE6081">
        <v>23.856750000000002</v>
      </c>
      <c r="AF6081">
        <v>1.8976963097928199</v>
      </c>
      <c r="AG6081">
        <v>-1.1203073235659999</v>
      </c>
      <c r="AH6081">
        <v>23.801851402679301</v>
      </c>
      <c r="AI6081">
        <v>92.686301241935894</v>
      </c>
      <c r="AJ6081">
        <v>85.441511076133807</v>
      </c>
      <c r="AK6081">
        <v>23.9036497208829</v>
      </c>
      <c r="AL6081">
        <v>78.023410689091904</v>
      </c>
      <c r="AM6081">
        <v>89.9055252657691</v>
      </c>
      <c r="AN6081">
        <v>0.99999995846333001</v>
      </c>
    </row>
    <row r="6082" spans="1:40" x14ac:dyDescent="0.25">
      <c r="A6082" t="str">
        <f>"20190303170655595"</f>
        <v>20190303170655595</v>
      </c>
      <c r="B6082" t="str">
        <f>"1551604015580583"</f>
        <v>1551604015580583</v>
      </c>
      <c r="C6082" t="s">
        <v>40</v>
      </c>
      <c r="D6082">
        <v>5.4666160000000001</v>
      </c>
      <c r="E6082">
        <v>0.53243430000000003</v>
      </c>
      <c r="F6082" t="s">
        <v>41</v>
      </c>
      <c r="G6082">
        <v>-185.17599999999999</v>
      </c>
      <c r="H6082" s="1">
        <v>-3.4078720000000001E-6</v>
      </c>
      <c r="I6082">
        <v>75.581950000000006</v>
      </c>
      <c r="J6082">
        <v>-186.9897</v>
      </c>
      <c r="K6082">
        <v>1.1203259999999999</v>
      </c>
      <c r="L6082">
        <v>51.898319999999998</v>
      </c>
      <c r="M6082">
        <v>-1.298439E-3</v>
      </c>
      <c r="N6082">
        <v>-9.6209529999999998E-3</v>
      </c>
      <c r="O6082">
        <v>0.99995290000000003</v>
      </c>
      <c r="P6082">
        <v>2.1759789999999999E-4</v>
      </c>
      <c r="Q6082">
        <v>0.1989109</v>
      </c>
      <c r="R6082">
        <v>0.98001749999999999</v>
      </c>
      <c r="S6082">
        <v>0.2327118</v>
      </c>
      <c r="T6082">
        <v>-0.14377219999999999</v>
      </c>
      <c r="U6082">
        <v>3.0896910000000002</v>
      </c>
      <c r="V6082">
        <v>1.5924239999999901E-3</v>
      </c>
      <c r="W6082">
        <v>0.2083296</v>
      </c>
      <c r="X6082">
        <v>0.97805739999999997</v>
      </c>
      <c r="Y6082">
        <v>7.6329590000000003E-2</v>
      </c>
      <c r="Z6082">
        <v>-3.6736039999999998E-2</v>
      </c>
      <c r="AA6082">
        <v>0.99640569999999895</v>
      </c>
      <c r="AB6082">
        <v>39</v>
      </c>
      <c r="AC6082">
        <v>1.8137000000000101</v>
      </c>
      <c r="AD6082">
        <v>-1.1203294078720001</v>
      </c>
      <c r="AE6082">
        <v>23.683630000000001</v>
      </c>
      <c r="AF6082">
        <v>1.84035754993087</v>
      </c>
      <c r="AG6082">
        <v>-1.1203294078720001</v>
      </c>
      <c r="AH6082">
        <v>23.628690137649102</v>
      </c>
      <c r="AI6082">
        <v>92.706401644564806</v>
      </c>
      <c r="AJ6082">
        <v>85.546419537122503</v>
      </c>
      <c r="AK6082">
        <v>23.726715986726099</v>
      </c>
      <c r="AL6082">
        <v>77.975519740516702</v>
      </c>
      <c r="AM6082">
        <v>89.906713968142995</v>
      </c>
      <c r="AN6082">
        <v>1.0000000178725501</v>
      </c>
    </row>
    <row r="6083" spans="1:40" x14ac:dyDescent="0.25">
      <c r="A6083" t="str">
        <f>"20190303170655616"</f>
        <v>20190303170655616</v>
      </c>
      <c r="B6083" t="str">
        <f>"1551604015601080"</f>
        <v>1551604015601080</v>
      </c>
      <c r="C6083" t="s">
        <v>40</v>
      </c>
      <c r="D6083">
        <v>5.4472079999999998</v>
      </c>
      <c r="E6083">
        <v>0.53184709999999902</v>
      </c>
      <c r="F6083" t="s">
        <v>41</v>
      </c>
      <c r="G6083">
        <v>-185.1885</v>
      </c>
      <c r="H6083" s="1">
        <v>-3.7560300000000001E-6</v>
      </c>
      <c r="I6083">
        <v>76.398679999999999</v>
      </c>
      <c r="J6083">
        <v>-186.99010000000001</v>
      </c>
      <c r="K6083">
        <v>1.120352</v>
      </c>
      <c r="L6083">
        <v>52.277250000000002</v>
      </c>
      <c r="M6083">
        <v>-1.1797719999999999E-3</v>
      </c>
      <c r="N6083">
        <v>-9.6247969999999992E-3</v>
      </c>
      <c r="O6083">
        <v>0.99995299999999998</v>
      </c>
      <c r="P6083">
        <v>1.102308E-3</v>
      </c>
      <c r="Q6083">
        <v>0.2005033</v>
      </c>
      <c r="R6083">
        <v>0.97969240000000002</v>
      </c>
      <c r="S6083">
        <v>0.22715759999999999</v>
      </c>
      <c r="T6083">
        <v>-0.14128660000000001</v>
      </c>
      <c r="U6083">
        <v>3.0897830000000002</v>
      </c>
      <c r="V6083">
        <v>2.350469E-3</v>
      </c>
      <c r="W6083">
        <v>0.20992250000000001</v>
      </c>
      <c r="X6083">
        <v>0.97771520000000001</v>
      </c>
      <c r="Y6083">
        <v>7.4430540000000003E-2</v>
      </c>
      <c r="Z6083">
        <v>-3.5937259999999999E-2</v>
      </c>
      <c r="AA6083">
        <v>0.99657850000000003</v>
      </c>
      <c r="AB6083">
        <v>39</v>
      </c>
      <c r="AC6083">
        <v>1.8016000000000001</v>
      </c>
      <c r="AD6083">
        <v>-1.1203557560299999</v>
      </c>
      <c r="AE6083">
        <v>24.12143</v>
      </c>
      <c r="AF6083">
        <v>1.8261402165207301</v>
      </c>
      <c r="AG6083">
        <v>-1.1203557560299999</v>
      </c>
      <c r="AH6083">
        <v>24.067655078656301</v>
      </c>
      <c r="AI6083">
        <v>92.657581856747498</v>
      </c>
      <c r="AJ6083">
        <v>85.660980252626103</v>
      </c>
      <c r="AK6083">
        <v>24.162822808927601</v>
      </c>
      <c r="AL6083">
        <v>77.8821893700798</v>
      </c>
      <c r="AM6083">
        <v>89.862258770104702</v>
      </c>
      <c r="AN6083">
        <v>0.99999999651090499</v>
      </c>
    </row>
    <row r="6084" spans="1:40" x14ac:dyDescent="0.25">
      <c r="A6084" t="str">
        <f>"20190303170655640"</f>
        <v>20190303170655640</v>
      </c>
      <c r="B6084" t="str">
        <f>"1551604015631336"</f>
        <v>1551604015631336</v>
      </c>
      <c r="C6084" t="s">
        <v>40</v>
      </c>
      <c r="D6084">
        <v>5.4443469999999996</v>
      </c>
      <c r="E6084">
        <v>0.53103230000000001</v>
      </c>
      <c r="F6084" t="s">
        <v>41</v>
      </c>
      <c r="G6084">
        <v>-185.1489</v>
      </c>
      <c r="H6084" s="1">
        <v>-4.2958839999999901E-6</v>
      </c>
      <c r="I6084">
        <v>77.640730000000005</v>
      </c>
      <c r="J6084">
        <v>-186.9905</v>
      </c>
      <c r="K6084">
        <v>1.1203860000000001</v>
      </c>
      <c r="L6084">
        <v>52.679380000000002</v>
      </c>
      <c r="M6084">
        <v>-1.085679E-3</v>
      </c>
      <c r="N6084">
        <v>-9.6288559999999999E-3</v>
      </c>
      <c r="O6084">
        <v>0.99995299999999998</v>
      </c>
      <c r="P6084">
        <v>1.4837209999999999E-3</v>
      </c>
      <c r="Q6084">
        <v>0.20116329999999999</v>
      </c>
      <c r="R6084">
        <v>0.9795566</v>
      </c>
      <c r="S6084">
        <v>0.22430420000000001</v>
      </c>
      <c r="T6084">
        <v>-0.13648589999999999</v>
      </c>
      <c r="U6084">
        <v>3.089874</v>
      </c>
      <c r="V6084">
        <v>2.6264959999999999E-3</v>
      </c>
      <c r="W6084">
        <v>0.21058450000000001</v>
      </c>
      <c r="X6084">
        <v>0.97757210000000005</v>
      </c>
      <c r="Y6084">
        <v>7.3423859999999994E-2</v>
      </c>
      <c r="Z6084">
        <v>-3.4389679999999999E-2</v>
      </c>
      <c r="AA6084">
        <v>0.99670769999999997</v>
      </c>
      <c r="AB6084">
        <v>39</v>
      </c>
      <c r="AC6084">
        <v>1.8415999999999999</v>
      </c>
      <c r="AD6084">
        <v>-1.120390295884</v>
      </c>
      <c r="AE6084">
        <v>24.961349999999999</v>
      </c>
      <c r="AF6084">
        <v>1.8649632531665099</v>
      </c>
      <c r="AG6084">
        <v>-1.120390295884</v>
      </c>
      <c r="AH6084">
        <v>24.9094233835464</v>
      </c>
      <c r="AI6084">
        <v>92.568168390342606</v>
      </c>
      <c r="AJ6084">
        <v>85.718265598120894</v>
      </c>
      <c r="AK6084">
        <v>25.0042543510407</v>
      </c>
      <c r="AL6084">
        <v>77.843392006884898</v>
      </c>
      <c r="AM6084">
        <v>89.846060690965899</v>
      </c>
      <c r="AN6084">
        <v>0.99999997040994804</v>
      </c>
    </row>
    <row r="6085" spans="1:40" x14ac:dyDescent="0.25">
      <c r="A6085" t="str">
        <f>"20190303170655661"</f>
        <v>20190303170655661</v>
      </c>
      <c r="B6085" t="str">
        <f>"1551604015650855"</f>
        <v>1551604015650855</v>
      </c>
      <c r="C6085" t="s">
        <v>40</v>
      </c>
      <c r="D6085">
        <v>5.4310539999999996</v>
      </c>
      <c r="E6085">
        <v>0.53055090000000005</v>
      </c>
      <c r="F6085" t="s">
        <v>41</v>
      </c>
      <c r="G6085">
        <v>-185.16139999999999</v>
      </c>
      <c r="H6085" s="1">
        <v>-4.6535719999999999E-6</v>
      </c>
      <c r="I6085">
        <v>78.479669999999999</v>
      </c>
      <c r="J6085">
        <v>-186.99090000000001</v>
      </c>
      <c r="K6085">
        <v>1.1204130000000001</v>
      </c>
      <c r="L6085">
        <v>53.06644</v>
      </c>
      <c r="M6085">
        <v>-1.0242160000000001E-3</v>
      </c>
      <c r="N6085">
        <v>-9.6367929999999994E-3</v>
      </c>
      <c r="O6085">
        <v>0.99995299999999998</v>
      </c>
      <c r="P6085">
        <v>1.273632E-3</v>
      </c>
      <c r="Q6085">
        <v>0.20094490000000001</v>
      </c>
      <c r="R6085">
        <v>0.97960170000000002</v>
      </c>
      <c r="S6085">
        <v>0.21905520000000001</v>
      </c>
      <c r="T6085">
        <v>-0.13417799999999999</v>
      </c>
      <c r="U6085">
        <v>3.0898439999999998</v>
      </c>
      <c r="V6085">
        <v>2.3428770000000002E-3</v>
      </c>
      <c r="W6085">
        <v>0.2103747</v>
      </c>
      <c r="X6085">
        <v>0.97761799999999999</v>
      </c>
      <c r="Y6085">
        <v>7.1681079999999994E-2</v>
      </c>
      <c r="Z6085">
        <v>-3.3644489999999999E-2</v>
      </c>
      <c r="AA6085">
        <v>0.99685999999999997</v>
      </c>
      <c r="AB6085">
        <v>39</v>
      </c>
      <c r="AC6085">
        <v>1.8295000000000201</v>
      </c>
      <c r="AD6085">
        <v>-1.1204176535719901</v>
      </c>
      <c r="AE6085">
        <v>25.413229999999999</v>
      </c>
      <c r="AF6085">
        <v>1.85194772518235</v>
      </c>
      <c r="AG6085">
        <v>-1.1204176535719901</v>
      </c>
      <c r="AH6085">
        <v>25.3622990118918</v>
      </c>
      <c r="AI6085">
        <v>92.522774583382201</v>
      </c>
      <c r="AJ6085">
        <v>85.823690780914006</v>
      </c>
      <c r="AK6085">
        <v>25.454493852046099</v>
      </c>
      <c r="AL6085">
        <v>77.855688218386703</v>
      </c>
      <c r="AM6085">
        <v>89.862690021018395</v>
      </c>
      <c r="AN6085">
        <v>0.99999997869836299</v>
      </c>
    </row>
    <row r="6086" spans="1:40" x14ac:dyDescent="0.25">
      <c r="A6086" t="str">
        <f>"20190303170655683"</f>
        <v>20190303170655683</v>
      </c>
      <c r="B6086" t="str">
        <f>"1551604015671352"</f>
        <v>1551604015671352</v>
      </c>
      <c r="C6086" t="s">
        <v>40</v>
      </c>
      <c r="D6086">
        <v>5.448035</v>
      </c>
      <c r="E6086">
        <v>0.53006430000000004</v>
      </c>
      <c r="F6086" t="s">
        <v>41</v>
      </c>
      <c r="G6086">
        <v>-185.20410000000001</v>
      </c>
      <c r="H6086" s="1">
        <v>-4.7737060000000003E-6</v>
      </c>
      <c r="I6086">
        <v>78.777369999999905</v>
      </c>
      <c r="J6086">
        <v>-186.99119999999999</v>
      </c>
      <c r="K6086">
        <v>1.120433</v>
      </c>
      <c r="L6086">
        <v>53.43683</v>
      </c>
      <c r="M6086">
        <v>-9.8669579999999995E-4</v>
      </c>
      <c r="N6086">
        <v>-9.6477620000000007E-3</v>
      </c>
      <c r="O6086">
        <v>0.99995299999999998</v>
      </c>
      <c r="P6086">
        <v>1.078189E-3</v>
      </c>
      <c r="Q6086">
        <v>0.2013876</v>
      </c>
      <c r="R6086">
        <v>0.97951100000000002</v>
      </c>
      <c r="S6086">
        <v>0.21472169999999999</v>
      </c>
      <c r="T6086">
        <v>-0.1346463</v>
      </c>
      <c r="U6086">
        <v>3.0898129999999999</v>
      </c>
      <c r="V6086">
        <v>2.0991899999999999E-3</v>
      </c>
      <c r="W6086">
        <v>0.21082780000000001</v>
      </c>
      <c r="X6086">
        <v>0.97752090000000003</v>
      </c>
      <c r="Y6086">
        <v>7.0252980000000007E-2</v>
      </c>
      <c r="Z6086">
        <v>-3.3789100000000002E-2</v>
      </c>
      <c r="AA6086">
        <v>0.99695679999999998</v>
      </c>
      <c r="AB6086">
        <v>39</v>
      </c>
      <c r="AC6086">
        <v>1.7870999999999799</v>
      </c>
      <c r="AD6086">
        <v>-1.1204377737060001</v>
      </c>
      <c r="AE6086">
        <v>25.340539999999901</v>
      </c>
      <c r="AF6086">
        <v>1.8085854356145601</v>
      </c>
      <c r="AG6086">
        <v>-1.1204377737060001</v>
      </c>
      <c r="AH6086">
        <v>25.289568173009499</v>
      </c>
      <c r="AI6086">
        <v>92.530339186469206</v>
      </c>
      <c r="AJ6086">
        <v>85.909451959577794</v>
      </c>
      <c r="AK6086">
        <v>25.378901088501799</v>
      </c>
      <c r="AL6086">
        <v>77.829131404109901</v>
      </c>
      <c r="AM6086">
        <v>89.876959620494702</v>
      </c>
      <c r="AN6086">
        <v>0.99999993889415095</v>
      </c>
    </row>
    <row r="6087" spans="1:40" x14ac:dyDescent="0.25">
      <c r="A6087" t="str">
        <f>"20190303170655706"</f>
        <v>20190303170655706</v>
      </c>
      <c r="B6087" t="str">
        <f>"1551604015700631"</f>
        <v>1551604015700631</v>
      </c>
      <c r="C6087" t="s">
        <v>40</v>
      </c>
      <c r="D6087">
        <v>5.4970559999999997</v>
      </c>
      <c r="E6087">
        <v>0.52941260000000001</v>
      </c>
      <c r="F6087" t="s">
        <v>41</v>
      </c>
      <c r="G6087">
        <v>-185.21719999999999</v>
      </c>
      <c r="H6087" s="1">
        <v>-5.079973E-6</v>
      </c>
      <c r="I6087">
        <v>79.496700000000004</v>
      </c>
      <c r="J6087">
        <v>-186.99160000000001</v>
      </c>
      <c r="K6087">
        <v>1.1204529999999999</v>
      </c>
      <c r="L6087">
        <v>53.844239999999999</v>
      </c>
      <c r="M6087">
        <v>-9.6464740000000004E-4</v>
      </c>
      <c r="N6087">
        <v>-9.6599400000000005E-3</v>
      </c>
      <c r="O6087">
        <v>0.99995290000000003</v>
      </c>
      <c r="P6087">
        <v>6.8733209999999995E-4</v>
      </c>
      <c r="Q6087">
        <v>0.20168659999999999</v>
      </c>
      <c r="R6087">
        <v>0.97944989999999998</v>
      </c>
      <c r="S6087">
        <v>0.21034240000000001</v>
      </c>
      <c r="T6087">
        <v>-0.1328471</v>
      </c>
      <c r="U6087">
        <v>3.0898439999999998</v>
      </c>
      <c r="V6087">
        <v>1.6767500000000001E-3</v>
      </c>
      <c r="W6087">
        <v>0.2111382</v>
      </c>
      <c r="X6087">
        <v>0.97745479999999996</v>
      </c>
      <c r="Y6087">
        <v>6.882576E-2</v>
      </c>
      <c r="Z6087">
        <v>-3.3201250000000002E-2</v>
      </c>
      <c r="AA6087">
        <v>0.99707610000000002</v>
      </c>
      <c r="AB6087">
        <v>39</v>
      </c>
      <c r="AC6087">
        <v>1.77440000000001</v>
      </c>
      <c r="AD6087">
        <v>-1.120458079973</v>
      </c>
      <c r="AE6087">
        <v>25.652460000000001</v>
      </c>
      <c r="AF6087">
        <v>1.7957363123254999</v>
      </c>
      <c r="AG6087">
        <v>-1.120458079973</v>
      </c>
      <c r="AH6087">
        <v>25.6021251252069</v>
      </c>
      <c r="AI6087">
        <v>92.499774757797894</v>
      </c>
      <c r="AJ6087">
        <v>85.987837590177904</v>
      </c>
      <c r="AK6087">
        <v>25.6894707251654</v>
      </c>
      <c r="AL6087">
        <v>77.8109382227656</v>
      </c>
      <c r="AM6087">
        <v>89.901713507301196</v>
      </c>
      <c r="AN6087">
        <v>1.00000001851642</v>
      </c>
    </row>
    <row r="6088" spans="1:40" x14ac:dyDescent="0.25">
      <c r="A6088" t="str">
        <f>"20190303170655728"</f>
        <v>20190303170655728</v>
      </c>
      <c r="B6088" t="str">
        <f>"1551604015721127"</f>
        <v>1551604015721127</v>
      </c>
      <c r="C6088" t="s">
        <v>40</v>
      </c>
      <c r="D6088">
        <v>5.581931</v>
      </c>
      <c r="E6088">
        <v>0.52904640000000003</v>
      </c>
      <c r="F6088" t="s">
        <v>41</v>
      </c>
      <c r="G6088">
        <v>-185.24209999999999</v>
      </c>
      <c r="H6088" s="1">
        <v>-1.5008920000000001E-6</v>
      </c>
      <c r="I6088">
        <v>80.338430000000002</v>
      </c>
      <c r="J6088">
        <v>-186.99199999999999</v>
      </c>
      <c r="K6088">
        <v>1.120468</v>
      </c>
      <c r="L6088">
        <v>54.24924</v>
      </c>
      <c r="M6088">
        <v>-9.5546230000000002E-4</v>
      </c>
      <c r="N6088">
        <v>-9.6714030000000003E-3</v>
      </c>
      <c r="O6088">
        <v>0.99995279999999998</v>
      </c>
      <c r="P6088" s="1">
        <v>2.6644209999999999E-5</v>
      </c>
      <c r="Q6088">
        <v>0.20215279999999999</v>
      </c>
      <c r="R6088">
        <v>0.97935399999999995</v>
      </c>
      <c r="S6088">
        <v>0.20402529999999999</v>
      </c>
      <c r="T6088">
        <v>-0.13066610000000001</v>
      </c>
      <c r="U6088">
        <v>3.0897220000000001</v>
      </c>
      <c r="V6088">
        <v>9.9956640000000005E-4</v>
      </c>
      <c r="W6088">
        <v>0.211615</v>
      </c>
      <c r="X6088">
        <v>0.97735260000000002</v>
      </c>
      <c r="Y6088">
        <v>6.6791909999999996E-2</v>
      </c>
      <c r="Z6088">
        <v>-3.2494729999999999E-2</v>
      </c>
      <c r="AA6088">
        <v>0.99723759999999995</v>
      </c>
      <c r="AB6088">
        <v>39</v>
      </c>
      <c r="AC6088">
        <v>1.74990000000002</v>
      </c>
      <c r="AD6088">
        <v>-1.120469500892</v>
      </c>
      <c r="AE6088">
        <v>26.089189999999999</v>
      </c>
      <c r="AF6088">
        <v>1.77157456793903</v>
      </c>
      <c r="AG6088">
        <v>-1.120469500892</v>
      </c>
      <c r="AH6088">
        <v>26.0396909284764</v>
      </c>
      <c r="AI6088">
        <v>92.458201596200396</v>
      </c>
      <c r="AJ6088">
        <v>86.107957896749198</v>
      </c>
      <c r="AK6088">
        <v>26.123924513801001</v>
      </c>
      <c r="AL6088">
        <v>77.782987897878201</v>
      </c>
      <c r="AM6088">
        <v>89.941401991364003</v>
      </c>
      <c r="AN6088">
        <v>1.0000000060423699</v>
      </c>
    </row>
    <row r="6089" spans="1:40" x14ac:dyDescent="0.25">
      <c r="A6089" t="str">
        <f>"20190303170655750"</f>
        <v>20190303170655750</v>
      </c>
      <c r="B6089" t="str">
        <f>"1551604015740647"</f>
        <v>1551604015740647</v>
      </c>
      <c r="C6089" t="s">
        <v>40</v>
      </c>
      <c r="D6089">
        <v>5.5195119999999998</v>
      </c>
      <c r="E6089">
        <v>0.52866159999999995</v>
      </c>
      <c r="F6089" t="s">
        <v>41</v>
      </c>
      <c r="G6089">
        <v>-185.2653</v>
      </c>
      <c r="H6089" s="1">
        <v>-1.728069E-6</v>
      </c>
      <c r="I6089">
        <v>81.024150000000006</v>
      </c>
      <c r="J6089">
        <v>-186.9923</v>
      </c>
      <c r="K6089">
        <v>1.1204809999999901</v>
      </c>
      <c r="L6089">
        <v>54.642270000000003</v>
      </c>
      <c r="M6089">
        <v>-9.5392579999999995E-4</v>
      </c>
      <c r="N6089">
        <v>-9.6838740000000003E-3</v>
      </c>
      <c r="O6089">
        <v>0.99995270000000003</v>
      </c>
      <c r="P6089">
        <v>-4.5805519999999998E-4</v>
      </c>
      <c r="Q6089">
        <v>0.202045</v>
      </c>
      <c r="R6089">
        <v>0.97937609999999997</v>
      </c>
      <c r="S6089">
        <v>0.19926450000000001</v>
      </c>
      <c r="T6089">
        <v>-0.1293069</v>
      </c>
      <c r="U6089">
        <v>3.0899350000000001</v>
      </c>
      <c r="V6089">
        <v>5.0780550000000002E-4</v>
      </c>
      <c r="W6089">
        <v>0.21151990000000001</v>
      </c>
      <c r="X6089">
        <v>0.97737350000000001</v>
      </c>
      <c r="Y6089">
        <v>6.5257259999999997E-2</v>
      </c>
      <c r="Z6089">
        <v>-3.2045669999999998E-2</v>
      </c>
      <c r="AA6089">
        <v>0.99735379999999996</v>
      </c>
      <c r="AB6089">
        <v>39</v>
      </c>
      <c r="AC6089">
        <v>1.7270000000000001</v>
      </c>
      <c r="AD6089">
        <v>-1.12048272806899</v>
      </c>
      <c r="AE6089">
        <v>26.381879999999999</v>
      </c>
      <c r="AF6089">
        <v>1.74902524337998</v>
      </c>
      <c r="AG6089">
        <v>-1.12048272806899</v>
      </c>
      <c r="AH6089">
        <v>26.332922698898699</v>
      </c>
      <c r="AI6089">
        <v>92.431152092797106</v>
      </c>
      <c r="AJ6089">
        <v>86.200012028130104</v>
      </c>
      <c r="AK6089">
        <v>26.414719167768101</v>
      </c>
      <c r="AL6089">
        <v>77.788562134938701</v>
      </c>
      <c r="AM6089">
        <v>89.970231329839095</v>
      </c>
      <c r="AN6089">
        <v>0.99999994223234101</v>
      </c>
    </row>
    <row r="6090" spans="1:40" x14ac:dyDescent="0.25">
      <c r="A6090" t="str">
        <f>"20190303170655773"</f>
        <v>20190303170655773</v>
      </c>
      <c r="B6090" t="str">
        <f>"1551604015761143"</f>
        <v>1551604015761143</v>
      </c>
      <c r="C6090" t="s">
        <v>40</v>
      </c>
      <c r="D6090">
        <v>5.495069</v>
      </c>
      <c r="E6090">
        <v>0.5283004</v>
      </c>
      <c r="F6090" t="s">
        <v>41</v>
      </c>
      <c r="G6090">
        <v>-185.2921</v>
      </c>
      <c r="H6090" s="1">
        <v>-1.8910659999999999E-6</v>
      </c>
      <c r="I6090">
        <v>81.524019999999993</v>
      </c>
      <c r="J6090">
        <v>-186.99270000000001</v>
      </c>
      <c r="K6090">
        <v>1.1204889999999901</v>
      </c>
      <c r="L6090">
        <v>55.032679999999999</v>
      </c>
      <c r="M6090">
        <v>-9.5575290000000002E-4</v>
      </c>
      <c r="N6090">
        <v>-9.7002990000000008E-3</v>
      </c>
      <c r="O6090">
        <v>0.99995250000000002</v>
      </c>
      <c r="P6090">
        <v>-9.1729500000000005E-4</v>
      </c>
      <c r="Q6090">
        <v>0.2016973</v>
      </c>
      <c r="R6090">
        <v>0.97944750000000003</v>
      </c>
      <c r="S6090">
        <v>0.19543460000000001</v>
      </c>
      <c r="T6090">
        <v>-0.12879060000000001</v>
      </c>
      <c r="U6090">
        <v>3.0898439999999998</v>
      </c>
      <c r="V6090" s="1">
        <v>4.592445E-5</v>
      </c>
      <c r="W6090">
        <v>0.2111886</v>
      </c>
      <c r="X6090">
        <v>0.97744540000000002</v>
      </c>
      <c r="Y6090">
        <v>6.4030379999999998E-2</v>
      </c>
      <c r="Z6090">
        <v>-3.1867399999999997E-2</v>
      </c>
      <c r="AA6090">
        <v>0.99743899999999996</v>
      </c>
      <c r="AB6090">
        <v>40</v>
      </c>
      <c r="AC6090">
        <v>1.7005999999999999</v>
      </c>
      <c r="AD6090">
        <v>-1.1204908910660001</v>
      </c>
      <c r="AE6090">
        <v>26.491339999999902</v>
      </c>
      <c r="AF6090">
        <v>1.7228500708022201</v>
      </c>
      <c r="AG6090">
        <v>-1.1204908910660001</v>
      </c>
      <c r="AH6090">
        <v>26.4425909849863</v>
      </c>
      <c r="AI6090">
        <v>92.421299189815898</v>
      </c>
      <c r="AJ6090">
        <v>86.272199194345106</v>
      </c>
      <c r="AK6090">
        <v>26.522336439361901</v>
      </c>
      <c r="AL6090">
        <v>77.807984515699403</v>
      </c>
      <c r="AM6090">
        <v>89.997308005992394</v>
      </c>
      <c r="AN6090">
        <v>1.00000006843008</v>
      </c>
    </row>
    <row r="6091" spans="1:40" x14ac:dyDescent="0.25">
      <c r="A6091" t="str">
        <f>"20190303170655797"</f>
        <v>20190303170655797</v>
      </c>
      <c r="B6091" t="str">
        <f>"1551604015791399"</f>
        <v>1551604015791399</v>
      </c>
      <c r="C6091" t="s">
        <v>40</v>
      </c>
      <c r="D6091">
        <v>5.5106570000000001</v>
      </c>
      <c r="E6091">
        <v>0.52781469999999997</v>
      </c>
      <c r="F6091" t="s">
        <v>41</v>
      </c>
      <c r="G6091">
        <v>-185.33940000000001</v>
      </c>
      <c r="H6091" s="1">
        <v>-1.9646249999999998E-6</v>
      </c>
      <c r="I6091">
        <v>81.777190000000004</v>
      </c>
      <c r="J6091">
        <v>-186.9931</v>
      </c>
      <c r="K6091">
        <v>1.1204989999999999</v>
      </c>
      <c r="L6091">
        <v>55.453609999999998</v>
      </c>
      <c r="M6091">
        <v>-9.5837669999999995E-4</v>
      </c>
      <c r="N6091">
        <v>-9.7191619999999999E-3</v>
      </c>
      <c r="O6091">
        <v>0.99995230000000002</v>
      </c>
      <c r="P6091">
        <v>-3.7578399999999999E-4</v>
      </c>
      <c r="Q6091">
        <v>0.20126450000000001</v>
      </c>
      <c r="R6091">
        <v>0.97953690000000004</v>
      </c>
      <c r="S6091">
        <v>0.1910095</v>
      </c>
      <c r="T6091">
        <v>-0.12945000000000001</v>
      </c>
      <c r="U6091">
        <v>3.0897830000000002</v>
      </c>
      <c r="V6091">
        <v>5.8594159999999997E-4</v>
      </c>
      <c r="W6091">
        <v>0.2107752</v>
      </c>
      <c r="X6091">
        <v>0.97753440000000003</v>
      </c>
      <c r="Y6091">
        <v>6.2611100000000003E-2</v>
      </c>
      <c r="Z6091">
        <v>-3.20656E-2</v>
      </c>
      <c r="AA6091">
        <v>0.99752280000000004</v>
      </c>
      <c r="AB6091">
        <v>40</v>
      </c>
      <c r="AC6091">
        <v>1.65369999999998</v>
      </c>
      <c r="AD6091">
        <v>-1.1205009646249999</v>
      </c>
      <c r="AE6091">
        <v>26.32358</v>
      </c>
      <c r="AF6091">
        <v>1.6759037028017301</v>
      </c>
      <c r="AG6091">
        <v>-1.1205009646249999</v>
      </c>
      <c r="AH6091">
        <v>26.274563196384801</v>
      </c>
      <c r="AI6091">
        <v>92.437000952558293</v>
      </c>
      <c r="AJ6091">
        <v>86.350374873204402</v>
      </c>
      <c r="AK6091">
        <v>26.351790200925802</v>
      </c>
      <c r="AL6091">
        <v>77.832215390733396</v>
      </c>
      <c r="AM6091">
        <v>89.965656475413596</v>
      </c>
      <c r="AN6091">
        <v>1.00000001572297</v>
      </c>
    </row>
    <row r="6092" spans="1:40" x14ac:dyDescent="0.25">
      <c r="A6092" t="str">
        <f>"20190303170655819"</f>
        <v>20190303170655819</v>
      </c>
      <c r="B6092" t="str">
        <f>"1551604015801159"</f>
        <v>1551604015801159</v>
      </c>
      <c r="C6092" t="s">
        <v>40</v>
      </c>
      <c r="D6092">
        <v>5.5158610000000001</v>
      </c>
      <c r="E6092">
        <v>0.52765289999999998</v>
      </c>
      <c r="F6092" t="s">
        <v>41</v>
      </c>
      <c r="G6092">
        <v>-185.36500000000001</v>
      </c>
      <c r="H6092" s="1">
        <v>-2.0554010000000001E-6</v>
      </c>
      <c r="I6092">
        <v>82.063959999999994</v>
      </c>
      <c r="J6092">
        <v>-186.99350000000001</v>
      </c>
      <c r="K6092">
        <v>1.120495</v>
      </c>
      <c r="L6092">
        <v>55.859189999999998</v>
      </c>
      <c r="M6092">
        <v>-9.6000679999999996E-4</v>
      </c>
      <c r="N6092">
        <v>-9.7399070000000008E-3</v>
      </c>
      <c r="O6092">
        <v>0.99995210000000001</v>
      </c>
      <c r="P6092">
        <v>-4.2475109999999999E-4</v>
      </c>
      <c r="Q6092">
        <v>0.2008721</v>
      </c>
      <c r="R6092">
        <v>0.97961739999999997</v>
      </c>
      <c r="S6092">
        <v>0.1890259</v>
      </c>
      <c r="T6092">
        <v>-0.13009080000000001</v>
      </c>
      <c r="U6092">
        <v>3.0894780000000002</v>
      </c>
      <c r="V6092">
        <v>5.3516119999999999E-4</v>
      </c>
      <c r="W6092">
        <v>0.21040410000000001</v>
      </c>
      <c r="X6092">
        <v>0.97761430000000005</v>
      </c>
      <c r="Y6092">
        <v>6.198041E-2</v>
      </c>
      <c r="Z6092">
        <v>-3.22572E-2</v>
      </c>
      <c r="AA6092">
        <v>0.997556</v>
      </c>
      <c r="AB6092">
        <v>40</v>
      </c>
      <c r="AC6092">
        <v>1.6285000000000001</v>
      </c>
      <c r="AD6092">
        <v>-1.1204970554009901</v>
      </c>
      <c r="AE6092">
        <v>26.2047699999999</v>
      </c>
      <c r="AF6092">
        <v>1.6506508338547901</v>
      </c>
      <c r="AG6092">
        <v>-1.1204970554009901</v>
      </c>
      <c r="AH6092">
        <v>26.1555567898566</v>
      </c>
      <c r="AI6092">
        <v>92.448171527486707</v>
      </c>
      <c r="AJ6092">
        <v>86.388910023725998</v>
      </c>
      <c r="AK6092">
        <v>26.231532795738101</v>
      </c>
      <c r="AL6092">
        <v>77.853964748495699</v>
      </c>
      <c r="AM6092">
        <v>89.968635406564303</v>
      </c>
      <c r="AN6092">
        <v>0.99999994562940298</v>
      </c>
    </row>
    <row r="6093" spans="1:40" x14ac:dyDescent="0.25">
      <c r="A6093" t="str">
        <f>"20190303170655841"</f>
        <v>20190303170655841</v>
      </c>
      <c r="B6093" t="str">
        <f>"1551604015831417"</f>
        <v>1551604015831417</v>
      </c>
      <c r="C6093" t="s">
        <v>40</v>
      </c>
      <c r="D6093">
        <v>5.5491400000000004</v>
      </c>
      <c r="E6093">
        <v>0.52718390000000004</v>
      </c>
      <c r="F6093" t="s">
        <v>41</v>
      </c>
      <c r="G6093">
        <v>-185.39429999999999</v>
      </c>
      <c r="H6093" s="1">
        <v>-2.1088029999999999E-6</v>
      </c>
      <c r="I6093">
        <v>82.243769999999998</v>
      </c>
      <c r="J6093">
        <v>-186.9939</v>
      </c>
      <c r="K6093">
        <v>1.1205069999999999</v>
      </c>
      <c r="L6093">
        <v>56.244140000000002</v>
      </c>
      <c r="M6093">
        <v>-9.6066629999999999E-4</v>
      </c>
      <c r="N6093">
        <v>-9.7622449999999993E-3</v>
      </c>
      <c r="O6093">
        <v>0.9999519</v>
      </c>
      <c r="P6093">
        <v>-4.0982289999999999E-4</v>
      </c>
      <c r="Q6093">
        <v>0.20076350000000001</v>
      </c>
      <c r="R6093">
        <v>0.97963960000000005</v>
      </c>
      <c r="S6093">
        <v>0.1872559</v>
      </c>
      <c r="T6093">
        <v>-0.13120100000000001</v>
      </c>
      <c r="U6093">
        <v>3.0894170000000001</v>
      </c>
      <c r="V6093">
        <v>5.4800979999999997E-4</v>
      </c>
      <c r="W6093">
        <v>0.21031739999999999</v>
      </c>
      <c r="X6093">
        <v>0.97763299999999997</v>
      </c>
      <c r="Y6093">
        <v>6.1412179999999997E-2</v>
      </c>
      <c r="Z6093">
        <v>-3.2595029999999997E-2</v>
      </c>
      <c r="AA6093">
        <v>0.99758009999999997</v>
      </c>
      <c r="AB6093">
        <v>40</v>
      </c>
      <c r="AC6093">
        <v>1.5995999999999999</v>
      </c>
      <c r="AD6093">
        <v>-1.1205091088029999</v>
      </c>
      <c r="AE6093">
        <v>25.99963</v>
      </c>
      <c r="AF6093">
        <v>1.62157692295436</v>
      </c>
      <c r="AG6093">
        <v>-1.1205091088029999</v>
      </c>
      <c r="AH6093">
        <v>25.9500643485948</v>
      </c>
      <c r="AI6093">
        <v>92.467656341998804</v>
      </c>
      <c r="AJ6093">
        <v>86.424330041484595</v>
      </c>
      <c r="AK6093">
        <v>26.024813007516101</v>
      </c>
      <c r="AL6093">
        <v>77.859046610924395</v>
      </c>
      <c r="AM6093">
        <v>89.967882993533095</v>
      </c>
      <c r="AN6093">
        <v>0.99999999587324995</v>
      </c>
    </row>
    <row r="6094" spans="1:40" x14ac:dyDescent="0.25">
      <c r="A6094" t="str">
        <f>"20190303170655862"</f>
        <v>20190303170655862</v>
      </c>
      <c r="B6094" t="str">
        <f>"1551604015850939"</f>
        <v>1551604015850939</v>
      </c>
      <c r="C6094" t="s">
        <v>40</v>
      </c>
      <c r="D6094">
        <v>5.517741</v>
      </c>
      <c r="E6094">
        <v>0.52694039999999998</v>
      </c>
      <c r="F6094" t="s">
        <v>41</v>
      </c>
      <c r="G6094">
        <v>-185.41640000000001</v>
      </c>
      <c r="H6094" s="1">
        <v>-2.2841560000000001E-6</v>
      </c>
      <c r="I6094">
        <v>82.776330000000002</v>
      </c>
      <c r="J6094">
        <v>-186.99420000000001</v>
      </c>
      <c r="K6094">
        <v>1.1205149999999999</v>
      </c>
      <c r="L6094">
        <v>56.615720000000003</v>
      </c>
      <c r="M6094">
        <v>-9.604759E-4</v>
      </c>
      <c r="N6094">
        <v>-9.7834389999999997E-3</v>
      </c>
      <c r="O6094">
        <v>0.9999517</v>
      </c>
      <c r="P6094">
        <v>-4.5901539999999998E-4</v>
      </c>
      <c r="Q6094">
        <v>0.20111329999999999</v>
      </c>
      <c r="R6094">
        <v>0.97956790000000005</v>
      </c>
      <c r="S6094">
        <v>0.18367</v>
      </c>
      <c r="T6094">
        <v>-0.1304622</v>
      </c>
      <c r="U6094">
        <v>3.089172</v>
      </c>
      <c r="V6094">
        <v>4.9636649999999999E-4</v>
      </c>
      <c r="W6094">
        <v>0.2106875</v>
      </c>
      <c r="X6094">
        <v>0.97755340000000002</v>
      </c>
      <c r="Y6094">
        <v>6.0263700000000003E-2</v>
      </c>
      <c r="Z6094">
        <v>-3.2341929999999998E-2</v>
      </c>
      <c r="AA6094">
        <v>0.99765839999999995</v>
      </c>
      <c r="AB6094">
        <v>40</v>
      </c>
      <c r="AC6094">
        <v>1.5777999999999901</v>
      </c>
      <c r="AD6094">
        <v>-1.1205172841559901</v>
      </c>
      <c r="AE6094">
        <v>26.160609999999998</v>
      </c>
      <c r="AF6094">
        <v>1.6000023841326501</v>
      </c>
      <c r="AG6094">
        <v>-1.1205172841559901</v>
      </c>
      <c r="AH6094">
        <v>26.111352155174799</v>
      </c>
      <c r="AI6094">
        <v>92.452633412772002</v>
      </c>
      <c r="AJ6094">
        <v>86.493521139964002</v>
      </c>
      <c r="AK6094">
        <v>26.184313586284301</v>
      </c>
      <c r="AL6094">
        <v>77.837356200235703</v>
      </c>
      <c r="AM6094">
        <v>89.970907263892101</v>
      </c>
      <c r="AN6094">
        <v>1.0000000594437499</v>
      </c>
    </row>
    <row r="6095" spans="1:40" x14ac:dyDescent="0.25">
      <c r="A6095" t="str">
        <f>"20190303170655885"</f>
        <v>20190303170655885</v>
      </c>
      <c r="B6095" t="str">
        <f>"1551604015881192"</f>
        <v>1551604015881192</v>
      </c>
      <c r="C6095" t="s">
        <v>40</v>
      </c>
      <c r="D6095">
        <v>5.5444829999999996</v>
      </c>
      <c r="E6095">
        <v>0.49373159999999999</v>
      </c>
      <c r="F6095" t="s">
        <v>41</v>
      </c>
      <c r="G6095">
        <v>-185.42359999999999</v>
      </c>
      <c r="H6095" s="1">
        <v>-2.4827299999999999E-6</v>
      </c>
      <c r="I6095">
        <v>83.365519999999904</v>
      </c>
      <c r="J6095">
        <v>-186.99459999999999</v>
      </c>
      <c r="K6095">
        <v>1.1205229999999999</v>
      </c>
      <c r="L6095">
        <v>57.007170000000002</v>
      </c>
      <c r="M6095">
        <v>-9.6001680000000001E-4</v>
      </c>
      <c r="N6095">
        <v>-9.8042340000000002E-3</v>
      </c>
      <c r="O6095">
        <v>0.99995149999999999</v>
      </c>
      <c r="P6095">
        <v>-8.766558E-4</v>
      </c>
      <c r="Q6095">
        <v>0.2015489</v>
      </c>
      <c r="R6095">
        <v>0.97947810000000002</v>
      </c>
      <c r="S6095">
        <v>0.18138119999999999</v>
      </c>
      <c r="T6095">
        <v>-0.1294043</v>
      </c>
      <c r="U6095">
        <v>3.0892330000000001</v>
      </c>
      <c r="V6095" s="1">
        <v>7.6381020000000001E-5</v>
      </c>
      <c r="W6095">
        <v>0.21114240000000001</v>
      </c>
      <c r="X6095">
        <v>0.97745530000000003</v>
      </c>
      <c r="Y6095">
        <v>5.95264E-2</v>
      </c>
      <c r="Z6095">
        <v>-3.1981130000000003E-2</v>
      </c>
      <c r="AA6095">
        <v>0.99771430000000005</v>
      </c>
      <c r="AB6095">
        <v>40</v>
      </c>
      <c r="AC6095">
        <v>1.57099999999999</v>
      </c>
      <c r="AD6095">
        <v>-1.12052548273</v>
      </c>
      <c r="AE6095">
        <v>26.358349999999898</v>
      </c>
      <c r="AF6095">
        <v>1.59343548181734</v>
      </c>
      <c r="AG6095">
        <v>-1.12052548273</v>
      </c>
      <c r="AH6095">
        <v>26.309451367853601</v>
      </c>
      <c r="AI6095">
        <v>92.434311111759897</v>
      </c>
      <c r="AJ6095">
        <v>86.534107012723297</v>
      </c>
      <c r="AK6095">
        <v>26.381467837662399</v>
      </c>
      <c r="AL6095">
        <v>77.810691692252206</v>
      </c>
      <c r="AM6095">
        <v>89.995522751708407</v>
      </c>
      <c r="AN6095">
        <v>0.99999999120495497</v>
      </c>
    </row>
    <row r="6096" spans="1:40" x14ac:dyDescent="0.25">
      <c r="A6096" t="str">
        <f>"20190303170655906"</f>
        <v>20190303170655906</v>
      </c>
      <c r="B6096" t="str">
        <f>"1551604015900712"</f>
        <v>1551604015900712</v>
      </c>
      <c r="C6096" t="s">
        <v>40</v>
      </c>
      <c r="D6096">
        <v>5.5964919999999996</v>
      </c>
      <c r="E6096">
        <v>0.48473640000000001</v>
      </c>
      <c r="F6096" t="s">
        <v>41</v>
      </c>
      <c r="G6096">
        <v>-187.8383</v>
      </c>
      <c r="H6096" s="1">
        <v>-3.8638890000000003E-6</v>
      </c>
      <c r="I6096">
        <v>87.745739999999998</v>
      </c>
      <c r="J6096">
        <v>-186.9949</v>
      </c>
      <c r="K6096">
        <v>1.1205259999999999</v>
      </c>
      <c r="L6096">
        <v>57.400539999999999</v>
      </c>
      <c r="M6096">
        <v>-9.5964529999999996E-4</v>
      </c>
      <c r="N6096">
        <v>-9.8236450000000006E-3</v>
      </c>
      <c r="O6096">
        <v>0.99995129999999999</v>
      </c>
      <c r="P6096">
        <v>-1.694025E-3</v>
      </c>
      <c r="Q6096">
        <v>0.20154140000000001</v>
      </c>
      <c r="R6096">
        <v>0.97947850000000003</v>
      </c>
      <c r="S6096">
        <v>-8.4701540000000006E-2</v>
      </c>
      <c r="T6096">
        <v>-0.112493</v>
      </c>
      <c r="U6096">
        <v>3.0859380000000001</v>
      </c>
      <c r="V6096">
        <v>-7.4230369999999995E-4</v>
      </c>
      <c r="W6096">
        <v>0.2111536</v>
      </c>
      <c r="X6096">
        <v>0.9774526</v>
      </c>
      <c r="Y6096">
        <v>-2.646219E-2</v>
      </c>
      <c r="Z6096">
        <v>-2.6597240000000001E-2</v>
      </c>
      <c r="AA6096">
        <v>0.99929590000000001</v>
      </c>
      <c r="AB6096">
        <v>40</v>
      </c>
      <c r="AC6096">
        <v>-0.84340000000000204</v>
      </c>
      <c r="AD6096">
        <v>-1.120529863889</v>
      </c>
      <c r="AE6096">
        <v>30.345199999999998</v>
      </c>
      <c r="AF6096">
        <v>-0.81316964733732999</v>
      </c>
      <c r="AG6096">
        <v>-1.120529863889</v>
      </c>
      <c r="AH6096">
        <v>30.304705743810299</v>
      </c>
      <c r="AI6096">
        <v>92.116810800717005</v>
      </c>
      <c r="AJ6096">
        <v>91.537055396877903</v>
      </c>
      <c r="AK6096">
        <v>30.336315238837798</v>
      </c>
      <c r="AL6096">
        <v>77.810035157042805</v>
      </c>
      <c r="AM6096">
        <v>90.043511942114307</v>
      </c>
      <c r="AN6096">
        <v>0.999999989527251</v>
      </c>
    </row>
    <row r="6097" spans="1:40" x14ac:dyDescent="0.25">
      <c r="A6097" t="str">
        <f>"20190303170655929"</f>
        <v>20190303170655929</v>
      </c>
      <c r="B6097" t="str">
        <f>"1551604015921208"</f>
        <v>1551604015921208</v>
      </c>
      <c r="C6097" t="s">
        <v>40</v>
      </c>
      <c r="D6097">
        <v>5.6149559999999896</v>
      </c>
      <c r="E6097">
        <v>0.48116920000000002</v>
      </c>
      <c r="F6097" t="s">
        <v>41</v>
      </c>
      <c r="G6097">
        <v>-188.7004</v>
      </c>
      <c r="H6097" s="1">
        <v>-6.8360900000000004E-7</v>
      </c>
      <c r="I6097">
        <v>90.640789999999996</v>
      </c>
      <c r="J6097">
        <v>-186.99529999999999</v>
      </c>
      <c r="K6097">
        <v>1.120533</v>
      </c>
      <c r="L6097">
        <v>57.823610000000002</v>
      </c>
      <c r="M6097">
        <v>-9.5953960000000002E-4</v>
      </c>
      <c r="N6097">
        <v>-9.8445010000000003E-3</v>
      </c>
      <c r="O6097">
        <v>0.99995109999999998</v>
      </c>
      <c r="P6097">
        <v>-1.901811E-3</v>
      </c>
      <c r="Q6097">
        <v>0.2014803</v>
      </c>
      <c r="R6097">
        <v>0.97949070000000005</v>
      </c>
      <c r="S6097">
        <v>-0.1582336</v>
      </c>
      <c r="T6097">
        <v>-0.10395989999999999</v>
      </c>
      <c r="U6097">
        <v>3.0839539999999999</v>
      </c>
      <c r="V6097">
        <v>-9.51584E-4</v>
      </c>
      <c r="W6097">
        <v>0.2111131</v>
      </c>
      <c r="X6097">
        <v>0.97746120000000003</v>
      </c>
      <c r="Y6097">
        <v>-5.0257660000000003E-2</v>
      </c>
      <c r="Z6097">
        <v>-2.380709E-2</v>
      </c>
      <c r="AA6097">
        <v>0.99845249999999997</v>
      </c>
      <c r="AB6097">
        <v>40</v>
      </c>
      <c r="AC6097">
        <v>-1.7051000000000101</v>
      </c>
      <c r="AD6097">
        <v>-1.1205336836090001</v>
      </c>
      <c r="AE6097">
        <v>32.81718</v>
      </c>
      <c r="AF6097">
        <v>-1.6716646219234099</v>
      </c>
      <c r="AG6097">
        <v>-1.1205336836090001</v>
      </c>
      <c r="AH6097">
        <v>32.7806862044445</v>
      </c>
      <c r="AI6097">
        <v>91.955225779047296</v>
      </c>
      <c r="AJ6097">
        <v>92.919293103506604</v>
      </c>
      <c r="AK6097">
        <v>32.842403176055001</v>
      </c>
      <c r="AL6097">
        <v>77.8124095543848</v>
      </c>
      <c r="AM6097">
        <v>90.0557789197441</v>
      </c>
      <c r="AN6097">
        <v>1.0000000220045699</v>
      </c>
    </row>
    <row r="6098" spans="1:40" x14ac:dyDescent="0.25">
      <c r="A6098" t="str">
        <f>"20190303170655952"</f>
        <v>20190303170655952</v>
      </c>
      <c r="B6098" t="str">
        <f>"1551604015940728"</f>
        <v>1551604015940728</v>
      </c>
      <c r="C6098" t="s">
        <v>40</v>
      </c>
      <c r="D6098">
        <v>5.5050410000000003</v>
      </c>
      <c r="E6098">
        <v>0.47870220000000002</v>
      </c>
      <c r="F6098" t="s">
        <v>41</v>
      </c>
      <c r="G6098">
        <v>-189.10849999999999</v>
      </c>
      <c r="H6098" s="1">
        <v>-1.43324999999999E-6</v>
      </c>
      <c r="I6098">
        <v>92.605080000000001</v>
      </c>
      <c r="J6098">
        <v>-186.9957</v>
      </c>
      <c r="K6098">
        <v>1.120533</v>
      </c>
      <c r="L6098">
        <v>58.222140000000003</v>
      </c>
      <c r="M6098">
        <v>-9.5969369999999998E-4</v>
      </c>
      <c r="N6098">
        <v>-9.8673479999999997E-3</v>
      </c>
      <c r="O6098">
        <v>0.99995089999999998</v>
      </c>
      <c r="P6098">
        <v>-2.014446E-3</v>
      </c>
      <c r="Q6098">
        <v>0.2011907</v>
      </c>
      <c r="R6098">
        <v>0.97955000000000003</v>
      </c>
      <c r="S6098">
        <v>-0.18730160000000001</v>
      </c>
      <c r="T6098">
        <v>-9.9319580000000005E-2</v>
      </c>
      <c r="U6098">
        <v>3.0828859999999998</v>
      </c>
      <c r="V6098">
        <v>-1.0649069999999999E-3</v>
      </c>
      <c r="W6098">
        <v>0.21084649999999999</v>
      </c>
      <c r="X6098">
        <v>0.97751860000000002</v>
      </c>
      <c r="Y6098">
        <v>-5.9658070000000001E-2</v>
      </c>
      <c r="Z6098">
        <v>-2.2277910000000001E-2</v>
      </c>
      <c r="AA6098">
        <v>0.99797020000000003</v>
      </c>
      <c r="AB6098">
        <v>40</v>
      </c>
      <c r="AC6098">
        <v>-2.1127999999999898</v>
      </c>
      <c r="AD6098">
        <v>-1.12053443325</v>
      </c>
      <c r="AE6098">
        <v>34.382939999999998</v>
      </c>
      <c r="AF6098">
        <v>-2.0776020158705002</v>
      </c>
      <c r="AG6098">
        <v>-1.12053443325</v>
      </c>
      <c r="AH6098">
        <v>34.348607569309699</v>
      </c>
      <c r="AI6098">
        <v>91.865057747472093</v>
      </c>
      <c r="AJ6098">
        <v>93.461362352053598</v>
      </c>
      <c r="AK6098">
        <v>34.4296219773451</v>
      </c>
      <c r="AL6098">
        <v>77.828036052334895</v>
      </c>
      <c r="AM6098">
        <v>90.062417894183</v>
      </c>
      <c r="AN6098">
        <v>0.99999999696756403</v>
      </c>
    </row>
    <row r="6099" spans="1:40" x14ac:dyDescent="0.25">
      <c r="A6099" t="str">
        <f>"20190303170655972"</f>
        <v>20190303170655972</v>
      </c>
      <c r="B6099" t="str">
        <f>"1551604015961224"</f>
        <v>1551604015961224</v>
      </c>
      <c r="C6099" t="s">
        <v>40</v>
      </c>
      <c r="D6099">
        <v>5.6444080000000003</v>
      </c>
      <c r="E6099">
        <v>0.47729769999999999</v>
      </c>
      <c r="F6099" t="s">
        <v>41</v>
      </c>
      <c r="G6099">
        <v>-189.21610000000001</v>
      </c>
      <c r="H6099" s="1">
        <v>-8.3186169999999895E-7</v>
      </c>
      <c r="I6099">
        <v>91.247709999999998</v>
      </c>
      <c r="J6099">
        <v>-186.99610000000001</v>
      </c>
      <c r="K6099">
        <v>1.1205270000000001</v>
      </c>
      <c r="L6099">
        <v>58.592320000000001</v>
      </c>
      <c r="M6099">
        <v>-9.5998009999999996E-4</v>
      </c>
      <c r="N6099">
        <v>-9.8890260000000004E-3</v>
      </c>
      <c r="O6099">
        <v>0.99995060000000002</v>
      </c>
      <c r="P6099">
        <v>-2.2233589999999998E-3</v>
      </c>
      <c r="Q6099">
        <v>0.20132259999999999</v>
      </c>
      <c r="R6099">
        <v>0.97952249999999996</v>
      </c>
      <c r="S6099">
        <v>-0.20732120000000001</v>
      </c>
      <c r="T6099">
        <v>-0.1046281</v>
      </c>
      <c r="U6099">
        <v>3.08371</v>
      </c>
      <c r="V6099">
        <v>-1.2736850000000001E-3</v>
      </c>
      <c r="W6099">
        <v>0.21099979999999999</v>
      </c>
      <c r="X6099">
        <v>0.9774853</v>
      </c>
      <c r="Y6099">
        <v>-6.6088240000000006E-2</v>
      </c>
      <c r="Z6099">
        <v>-2.394986E-2</v>
      </c>
      <c r="AA6099">
        <v>0.99752629999999998</v>
      </c>
      <c r="AB6099">
        <v>40</v>
      </c>
      <c r="AC6099">
        <v>-2.2200000000000002</v>
      </c>
      <c r="AD6099">
        <v>-1.1205278318617</v>
      </c>
      <c r="AE6099">
        <v>32.655389999999997</v>
      </c>
      <c r="AF6099">
        <v>-2.1860867925508498</v>
      </c>
      <c r="AG6099">
        <v>-1.1205278318617</v>
      </c>
      <c r="AH6099">
        <v>32.6192759444221</v>
      </c>
      <c r="AI6099">
        <v>91.963034193602994</v>
      </c>
      <c r="AJ6099">
        <v>93.834129477181193</v>
      </c>
      <c r="AK6099">
        <v>32.711645040029602</v>
      </c>
      <c r="AL6099">
        <v>77.819050801354095</v>
      </c>
      <c r="AM6099">
        <v>90.074657627718295</v>
      </c>
      <c r="AN6099">
        <v>1.0000000247948</v>
      </c>
    </row>
    <row r="6100" spans="1:40" x14ac:dyDescent="0.25">
      <c r="A6100" t="str">
        <f>"20190303170655997"</f>
        <v>20190303170655997</v>
      </c>
      <c r="B6100" t="str">
        <f>"1551604015991480"</f>
        <v>1551604015991480</v>
      </c>
      <c r="C6100" t="s">
        <v>40</v>
      </c>
      <c r="D6100">
        <v>5.6022829999999999</v>
      </c>
      <c r="E6100">
        <v>0.47614260000000003</v>
      </c>
      <c r="F6100" t="s">
        <v>41</v>
      </c>
      <c r="G6100">
        <v>-189.38919999999999</v>
      </c>
      <c r="H6100" s="1">
        <v>-1.236809E-6</v>
      </c>
      <c r="I6100">
        <v>92.263249999999999</v>
      </c>
      <c r="J6100">
        <v>-186.9965</v>
      </c>
      <c r="K6100">
        <v>1.1205259999999999</v>
      </c>
      <c r="L6100">
        <v>59.01923</v>
      </c>
      <c r="M6100">
        <v>-9.6036690000000002E-4</v>
      </c>
      <c r="N6100">
        <v>-9.9122129999999996E-3</v>
      </c>
      <c r="O6100">
        <v>0.99995040000000002</v>
      </c>
      <c r="P6100">
        <v>-2.577317E-3</v>
      </c>
      <c r="Q6100">
        <v>0.2011125</v>
      </c>
      <c r="R6100">
        <v>0.97956480000000001</v>
      </c>
      <c r="S6100">
        <v>-0.2191467</v>
      </c>
      <c r="T6100">
        <v>-0.1026089</v>
      </c>
      <c r="U6100">
        <v>3.083313</v>
      </c>
      <c r="V6100">
        <v>-1.6275230000000001E-3</v>
      </c>
      <c r="W6100">
        <v>0.21081240000000001</v>
      </c>
      <c r="X6100">
        <v>0.97752519999999998</v>
      </c>
      <c r="Y6100">
        <v>-6.9904090000000002E-2</v>
      </c>
      <c r="Z6100">
        <v>-2.326984E-2</v>
      </c>
      <c r="AA6100">
        <v>0.99728229999999995</v>
      </c>
      <c r="AB6100">
        <v>40</v>
      </c>
      <c r="AC6100">
        <v>-2.3926999999999898</v>
      </c>
      <c r="AD6100">
        <v>-1.120527236809</v>
      </c>
      <c r="AE6100">
        <v>33.2440199999999</v>
      </c>
      <c r="AF6100">
        <v>-2.3581056265110898</v>
      </c>
      <c r="AG6100">
        <v>-1.120527236809</v>
      </c>
      <c r="AH6100">
        <v>33.208768499847402</v>
      </c>
      <c r="AI6100">
        <v>91.927685667583106</v>
      </c>
      <c r="AJ6100">
        <v>94.061671274323004</v>
      </c>
      <c r="AK6100">
        <v>33.311237573988102</v>
      </c>
      <c r="AL6100">
        <v>77.830035007928501</v>
      </c>
      <c r="AM6100">
        <v>90.095394075565906</v>
      </c>
      <c r="AN6100">
        <v>1.0000000167299501</v>
      </c>
    </row>
    <row r="6101" spans="1:40" x14ac:dyDescent="0.25">
      <c r="A6101" t="str">
        <f>"20190303170656019"</f>
        <v>20190303170656019</v>
      </c>
      <c r="B6101" t="str">
        <f>"1551604016010999"</f>
        <v>1551604016010999</v>
      </c>
      <c r="C6101" t="s">
        <v>40</v>
      </c>
      <c r="D6101">
        <v>5.6461949999999996</v>
      </c>
      <c r="E6101">
        <v>0.47559869999999999</v>
      </c>
      <c r="F6101" t="s">
        <v>41</v>
      </c>
      <c r="G6101">
        <v>-189.4496</v>
      </c>
      <c r="H6101" s="1">
        <v>-1.095143E-6</v>
      </c>
      <c r="I6101">
        <v>91.957989999999995</v>
      </c>
      <c r="J6101">
        <v>-186.99690000000001</v>
      </c>
      <c r="K6101">
        <v>1.1205309999999999</v>
      </c>
      <c r="L6101">
        <v>59.422179999999997</v>
      </c>
      <c r="M6101">
        <v>-9.6074089999999995E-4</v>
      </c>
      <c r="N6101">
        <v>-9.9320250000000006E-3</v>
      </c>
      <c r="O6101">
        <v>0.99995020000000001</v>
      </c>
      <c r="P6101">
        <v>-3.120748E-3</v>
      </c>
      <c r="Q6101">
        <v>0.2010132</v>
      </c>
      <c r="R6101">
        <v>0.9795836</v>
      </c>
      <c r="S6101">
        <v>-0.22964480000000001</v>
      </c>
      <c r="T6101">
        <v>-0.1048959</v>
      </c>
      <c r="U6101">
        <v>3.0834959999999998</v>
      </c>
      <c r="V6101">
        <v>-2.1705909999999999E-3</v>
      </c>
      <c r="W6101">
        <v>0.2107327</v>
      </c>
      <c r="X6101">
        <v>0.97754129999999995</v>
      </c>
      <c r="Y6101">
        <v>-7.3274329999999999E-2</v>
      </c>
      <c r="Z6101">
        <v>-2.3978619999999999E-2</v>
      </c>
      <c r="AA6101">
        <v>0.99702349999999995</v>
      </c>
      <c r="AB6101">
        <v>40</v>
      </c>
      <c r="AC6101">
        <v>-2.4526999999999899</v>
      </c>
      <c r="AD6101">
        <v>-1.120532095143</v>
      </c>
      <c r="AE6101">
        <v>32.535809999999898</v>
      </c>
      <c r="AF6101">
        <v>-2.4185863405524399</v>
      </c>
      <c r="AG6101">
        <v>-1.120532095143</v>
      </c>
      <c r="AH6101">
        <v>32.499820937967002</v>
      </c>
      <c r="AI6101">
        <v>91.969226383513899</v>
      </c>
      <c r="AJ6101">
        <v>94.256017985435193</v>
      </c>
      <c r="AK6101">
        <v>32.608948358738402</v>
      </c>
      <c r="AL6101">
        <v>77.834706066413204</v>
      </c>
      <c r="AM6101">
        <v>90.127222756682599</v>
      </c>
      <c r="AN6101">
        <v>0.99999998776013399</v>
      </c>
    </row>
    <row r="6102" spans="1:40" x14ac:dyDescent="0.25">
      <c r="A6102" t="str">
        <f>"20190303170656041"</f>
        <v>20190303170656041</v>
      </c>
      <c r="B6102" t="str">
        <f>"1551604016031027"</f>
        <v>1551604016031027</v>
      </c>
      <c r="C6102" t="s">
        <v>40</v>
      </c>
      <c r="D6102">
        <v>5.5715769999999996</v>
      </c>
      <c r="E6102">
        <v>0.47512880000000002</v>
      </c>
      <c r="F6102" t="s">
        <v>41</v>
      </c>
      <c r="G6102">
        <v>-189.46350000000001</v>
      </c>
      <c r="H6102" s="1">
        <v>-9.8643200000000003E-7</v>
      </c>
      <c r="I6102">
        <v>91.710329999999999</v>
      </c>
      <c r="J6102">
        <v>-186.9973</v>
      </c>
      <c r="K6102">
        <v>1.12053</v>
      </c>
      <c r="L6102">
        <v>59.813319999999997</v>
      </c>
      <c r="M6102">
        <v>-9.6108580000000003E-4</v>
      </c>
      <c r="N6102">
        <v>-9.9497390000000008E-3</v>
      </c>
      <c r="O6102">
        <v>0.99995009999999995</v>
      </c>
      <c r="P6102">
        <v>-3.2994840000000001E-3</v>
      </c>
      <c r="Q6102">
        <v>0.20057159999999999</v>
      </c>
      <c r="R6102">
        <v>0.97967349999999997</v>
      </c>
      <c r="S6102">
        <v>-0.2355804</v>
      </c>
      <c r="T6102">
        <v>-0.1070185</v>
      </c>
      <c r="U6102">
        <v>3.0837400000000001</v>
      </c>
      <c r="V6102">
        <v>-2.349337E-3</v>
      </c>
      <c r="W6102">
        <v>0.21030950000000001</v>
      </c>
      <c r="X6102">
        <v>0.97763199999999995</v>
      </c>
      <c r="Y6102">
        <v>-7.5174309999999994E-2</v>
      </c>
      <c r="Z6102">
        <v>-2.4638699999999999E-2</v>
      </c>
      <c r="AA6102">
        <v>0.99686600000000003</v>
      </c>
      <c r="AB6102">
        <v>40</v>
      </c>
      <c r="AC6102">
        <v>-2.4662000000000099</v>
      </c>
      <c r="AD6102">
        <v>-1.1205309864319899</v>
      </c>
      <c r="AE6102">
        <v>31.897009999999899</v>
      </c>
      <c r="AF6102">
        <v>-2.4325574198121398</v>
      </c>
      <c r="AG6102">
        <v>-1.1205309864319899</v>
      </c>
      <c r="AH6102">
        <v>31.8602807233075</v>
      </c>
      <c r="AI6102">
        <v>92.008430464675499</v>
      </c>
      <c r="AJ6102">
        <v>94.366106859450696</v>
      </c>
      <c r="AK6102">
        <v>31.972651017083301</v>
      </c>
      <c r="AL6102">
        <v>77.859509238344501</v>
      </c>
      <c r="AM6102">
        <v>90.137686609729798</v>
      </c>
      <c r="AN6102">
        <v>0.999999966299294</v>
      </c>
    </row>
    <row r="6103" spans="1:40" x14ac:dyDescent="0.25">
      <c r="A6103" t="str">
        <f>"20190303170656064"</f>
        <v>20190303170656064</v>
      </c>
      <c r="B6103" t="str">
        <f>"1551604016050550"</f>
        <v>1551604016050550</v>
      </c>
      <c r="C6103" t="s">
        <v>40</v>
      </c>
      <c r="D6103">
        <v>5.6428079999999996</v>
      </c>
      <c r="E6103">
        <v>0.47475889999999998</v>
      </c>
      <c r="F6103" t="s">
        <v>41</v>
      </c>
      <c r="G6103">
        <v>-189.42070000000001</v>
      </c>
      <c r="H6103" s="1">
        <v>-6.7366489999999899E-7</v>
      </c>
      <c r="I6103">
        <v>90.963579999999993</v>
      </c>
      <c r="J6103">
        <v>-186.99760000000001</v>
      </c>
      <c r="K6103">
        <v>1.12053</v>
      </c>
      <c r="L6103">
        <v>60.211820000000003</v>
      </c>
      <c r="M6103">
        <v>-9.6144950000000002E-4</v>
      </c>
      <c r="N6103">
        <v>-9.9662980000000002E-3</v>
      </c>
      <c r="O6103">
        <v>0.99994989999999995</v>
      </c>
      <c r="P6103">
        <v>-3.437299E-3</v>
      </c>
      <c r="Q6103">
        <v>0.19977710000000001</v>
      </c>
      <c r="R6103">
        <v>0.97983529999999996</v>
      </c>
      <c r="S6103">
        <v>-0.23994450000000001</v>
      </c>
      <c r="T6103">
        <v>-0.110942</v>
      </c>
      <c r="U6103">
        <v>3.0841370000000001</v>
      </c>
      <c r="V6103">
        <v>-2.4868149999999999E-3</v>
      </c>
      <c r="W6103">
        <v>0.20953269999999999</v>
      </c>
      <c r="X6103">
        <v>0.97779850000000001</v>
      </c>
      <c r="Y6103">
        <v>-7.6563080000000006E-2</v>
      </c>
      <c r="Z6103">
        <v>-2.5880420000000001E-2</v>
      </c>
      <c r="AA6103">
        <v>0.99672879999999997</v>
      </c>
      <c r="AB6103">
        <v>40</v>
      </c>
      <c r="AC6103">
        <v>-2.4230999999999998</v>
      </c>
      <c r="AD6103">
        <v>-1.1205306736648999</v>
      </c>
      <c r="AE6103">
        <v>30.751760000000001</v>
      </c>
      <c r="AF6103">
        <v>-2.39037697244212</v>
      </c>
      <c r="AG6103">
        <v>-1.1205306736648999</v>
      </c>
      <c r="AH6103">
        <v>30.7135481227733</v>
      </c>
      <c r="AI6103">
        <v>92.083116868580703</v>
      </c>
      <c r="AJ6103">
        <v>94.450250526265094</v>
      </c>
      <c r="AK6103">
        <v>30.826798882643001</v>
      </c>
      <c r="AL6103">
        <v>77.905031580572796</v>
      </c>
      <c r="AM6103">
        <v>90.145718874310603</v>
      </c>
      <c r="AN6103">
        <v>1.0000000216101901</v>
      </c>
    </row>
    <row r="6104" spans="1:40" x14ac:dyDescent="0.25">
      <c r="A6104" t="str">
        <f>"20190303170656085"</f>
        <v>20190303170656085</v>
      </c>
      <c r="B6104" t="str">
        <f>"1551604016080802"</f>
        <v>1551604016080802</v>
      </c>
      <c r="C6104" t="s">
        <v>40</v>
      </c>
      <c r="D6104">
        <v>5.5878449999999997</v>
      </c>
      <c r="E6104">
        <v>0.4747577</v>
      </c>
      <c r="F6104" t="s">
        <v>41</v>
      </c>
      <c r="G6104">
        <v>-189.37780000000001</v>
      </c>
      <c r="H6104" s="1">
        <v>-4.3739939999999998E-7</v>
      </c>
      <c r="I6104">
        <v>90.395070000000004</v>
      </c>
      <c r="J6104">
        <v>-186.99799999999999</v>
      </c>
      <c r="K6104">
        <v>1.1205290000000001</v>
      </c>
      <c r="L6104">
        <v>60.606630000000003</v>
      </c>
      <c r="M6104">
        <v>-9.6184560000000001E-4</v>
      </c>
      <c r="N6104">
        <v>-9.9811750000000001E-3</v>
      </c>
      <c r="O6104">
        <v>0.9999498</v>
      </c>
      <c r="P6104">
        <v>-3.4086229999999999E-3</v>
      </c>
      <c r="Q6104">
        <v>0.19955680000000001</v>
      </c>
      <c r="R6104">
        <v>0.97988030000000004</v>
      </c>
      <c r="S6104">
        <v>-0.2432098</v>
      </c>
      <c r="T6104">
        <v>-0.1144997</v>
      </c>
      <c r="U6104">
        <v>3.0842290000000001</v>
      </c>
      <c r="V6104">
        <v>-2.4580190000000001E-3</v>
      </c>
      <c r="W6104">
        <v>0.2093276</v>
      </c>
      <c r="X6104">
        <v>0.97784249999999995</v>
      </c>
      <c r="Y6104">
        <v>-7.7606140000000004E-2</v>
      </c>
      <c r="Z6104">
        <v>-2.7009620000000002E-2</v>
      </c>
      <c r="AA6104">
        <v>0.99661820000000001</v>
      </c>
      <c r="AB6104">
        <v>40</v>
      </c>
      <c r="AC6104">
        <v>-2.3798000000000101</v>
      </c>
      <c r="AD6104">
        <v>-1.1205294373993999</v>
      </c>
      <c r="AE6104">
        <v>29.788439999999898</v>
      </c>
      <c r="AF6104">
        <v>-2.3478445043953502</v>
      </c>
      <c r="AG6104">
        <v>-1.1205294373993999</v>
      </c>
      <c r="AH6104">
        <v>29.7488881405786</v>
      </c>
      <c r="AI6104">
        <v>92.150417699309202</v>
      </c>
      <c r="AJ6104">
        <v>94.512549227183399</v>
      </c>
      <c r="AK6104">
        <v>29.862422969972702</v>
      </c>
      <c r="AL6104">
        <v>77.917049442910397</v>
      </c>
      <c r="AM6104">
        <v>90.144025053146294</v>
      </c>
      <c r="AN6104">
        <v>1.0000000203927</v>
      </c>
    </row>
    <row r="6105" spans="1:40" x14ac:dyDescent="0.25">
      <c r="A6105" t="str">
        <f>"20190303170656109"</f>
        <v>20190303170656109</v>
      </c>
      <c r="B6105" t="str">
        <f>"1551604016101299"</f>
        <v>1551604016101299</v>
      </c>
      <c r="C6105" t="s">
        <v>40</v>
      </c>
      <c r="D6105">
        <v>5.5272870000000003</v>
      </c>
      <c r="E6105">
        <v>0.4744855</v>
      </c>
      <c r="F6105" t="s">
        <v>41</v>
      </c>
      <c r="G6105">
        <v>-189.4033</v>
      </c>
      <c r="H6105" s="1">
        <v>-7.4948569999999904E-7</v>
      </c>
      <c r="I6105">
        <v>91.133099999999999</v>
      </c>
      <c r="J6105">
        <v>-186.9984</v>
      </c>
      <c r="K6105">
        <v>1.120522</v>
      </c>
      <c r="L6105">
        <v>61.020319999999998</v>
      </c>
      <c r="M6105">
        <v>-9.622942E-4</v>
      </c>
      <c r="N6105">
        <v>-9.9953709999999994E-3</v>
      </c>
      <c r="O6105">
        <v>0.99994959999999999</v>
      </c>
      <c r="P6105">
        <v>-3.3958840000000001E-3</v>
      </c>
      <c r="Q6105">
        <v>0.19925019999999999</v>
      </c>
      <c r="R6105">
        <v>0.9799428</v>
      </c>
      <c r="S6105">
        <v>-0.242981</v>
      </c>
      <c r="T6105">
        <v>-0.11319650000000001</v>
      </c>
      <c r="U6105">
        <v>3.0838009999999998</v>
      </c>
      <c r="V6105">
        <v>-2.4446540000000001E-3</v>
      </c>
      <c r="W6105">
        <v>0.2090352</v>
      </c>
      <c r="X6105">
        <v>0.97790500000000002</v>
      </c>
      <c r="Y6105">
        <v>-7.754403E-2</v>
      </c>
      <c r="Z6105">
        <v>-2.6580139999999999E-2</v>
      </c>
      <c r="AA6105">
        <v>0.99663449999999998</v>
      </c>
      <c r="AB6105">
        <v>40</v>
      </c>
      <c r="AC6105">
        <v>-2.4048999999999898</v>
      </c>
      <c r="AD6105">
        <v>-1.1205227494857</v>
      </c>
      <c r="AE6105">
        <v>30.112779999999901</v>
      </c>
      <c r="AF6105">
        <v>-2.3726556120428901</v>
      </c>
      <c r="AG6105">
        <v>-1.1205227494857</v>
      </c>
      <c r="AH6105">
        <v>30.0737027858383</v>
      </c>
      <c r="AI6105">
        <v>92.127205189182504</v>
      </c>
      <c r="AJ6105">
        <v>94.510989180530999</v>
      </c>
      <c r="AK6105">
        <v>30.187955630290901</v>
      </c>
      <c r="AL6105">
        <v>77.934180765667094</v>
      </c>
      <c r="AM6105">
        <v>90.143232793356901</v>
      </c>
      <c r="AN6105">
        <v>0.99999994009860804</v>
      </c>
    </row>
    <row r="6106" spans="1:40" x14ac:dyDescent="0.25">
      <c r="A6106" t="str">
        <f>"20190303170656131"</f>
        <v>20190303170656131</v>
      </c>
      <c r="B6106" t="str">
        <f>"1551604016120819"</f>
        <v>1551604016120819</v>
      </c>
      <c r="C6106" t="s">
        <v>40</v>
      </c>
      <c r="D6106">
        <v>5.5537609999999997</v>
      </c>
      <c r="E6106">
        <v>0.47424090000000002</v>
      </c>
      <c r="F6106" t="s">
        <v>41</v>
      </c>
      <c r="G6106">
        <v>-189.37889999999999</v>
      </c>
      <c r="H6106" s="1">
        <v>-6.8433020000000002E-7</v>
      </c>
      <c r="I6106">
        <v>90.971149999999994</v>
      </c>
      <c r="J6106">
        <v>-186.99879999999999</v>
      </c>
      <c r="K6106">
        <v>1.120522</v>
      </c>
      <c r="L6106">
        <v>61.430480000000003</v>
      </c>
      <c r="M6106">
        <v>-9.627762E-4</v>
      </c>
      <c r="N6106">
        <v>-1.000827E-2</v>
      </c>
      <c r="O6106">
        <v>0.99994950000000005</v>
      </c>
      <c r="P6106">
        <v>-3.2170720000000001E-3</v>
      </c>
      <c r="Q6106">
        <v>0.19912099999999999</v>
      </c>
      <c r="R6106">
        <v>0.9799696</v>
      </c>
      <c r="S6106">
        <v>-0.24511720000000001</v>
      </c>
      <c r="T6106">
        <v>-0.1153795</v>
      </c>
      <c r="U6106">
        <v>3.084015</v>
      </c>
      <c r="V6106">
        <v>-2.2651839999999999E-3</v>
      </c>
      <c r="W6106">
        <v>0.2089191</v>
      </c>
      <c r="X6106">
        <v>0.97793030000000003</v>
      </c>
      <c r="Y6106">
        <v>-7.8222269999999997E-2</v>
      </c>
      <c r="Z6106">
        <v>-2.7267179999999999E-2</v>
      </c>
      <c r="AA6106">
        <v>0.99656299999999998</v>
      </c>
      <c r="AB6106">
        <v>40</v>
      </c>
      <c r="AC6106">
        <v>-2.3800999999999899</v>
      </c>
      <c r="AD6106">
        <v>-1.1205226843301901</v>
      </c>
      <c r="AE6106">
        <v>29.540669999999899</v>
      </c>
      <c r="AF6106">
        <v>-2.3482994766452001</v>
      </c>
      <c r="AG6106">
        <v>-1.1205226843301901</v>
      </c>
      <c r="AH6106">
        <v>29.5007759525881</v>
      </c>
      <c r="AI6106">
        <v>92.168357345405994</v>
      </c>
      <c r="AJ6106">
        <v>94.551220749612796</v>
      </c>
      <c r="AK6106">
        <v>29.615297792237499</v>
      </c>
      <c r="AL6106">
        <v>77.940983686513107</v>
      </c>
      <c r="AM6106">
        <v>90.132714213794301</v>
      </c>
      <c r="AN6106">
        <v>0.99999999653072602</v>
      </c>
    </row>
    <row r="6107" spans="1:40" x14ac:dyDescent="0.25">
      <c r="A6107" t="str">
        <f>"20190303170656152"</f>
        <v>20190303170656152</v>
      </c>
      <c r="B6107" t="str">
        <f>"1551604016141315"</f>
        <v>1551604016141315</v>
      </c>
      <c r="C6107" t="s">
        <v>40</v>
      </c>
      <c r="D6107">
        <v>5.5737449999999997</v>
      </c>
      <c r="E6107">
        <v>0.47422700000000001</v>
      </c>
      <c r="F6107" t="s">
        <v>41</v>
      </c>
      <c r="G6107">
        <v>-189.3639</v>
      </c>
      <c r="H6107" s="1">
        <v>-7.0097449999999997E-7</v>
      </c>
      <c r="I6107">
        <v>91.003739999999993</v>
      </c>
      <c r="J6107">
        <v>-186.9992</v>
      </c>
      <c r="K6107">
        <v>1.1205210000000001</v>
      </c>
      <c r="L6107">
        <v>61.809719999999999</v>
      </c>
      <c r="M6107">
        <v>-9.6322010000000002E-4</v>
      </c>
      <c r="N6107">
        <v>-1.0019180000000001E-2</v>
      </c>
      <c r="O6107">
        <v>0.99994930000000004</v>
      </c>
      <c r="P6107">
        <v>-3.9167150000000003E-3</v>
      </c>
      <c r="Q6107">
        <v>0.1987728</v>
      </c>
      <c r="R6107">
        <v>0.98003779999999996</v>
      </c>
      <c r="S6107">
        <v>-0.2466583</v>
      </c>
      <c r="T6107">
        <v>-0.1168617</v>
      </c>
      <c r="U6107">
        <v>3.0842589999999999</v>
      </c>
      <c r="V6107">
        <v>-2.9644049999999998E-3</v>
      </c>
      <c r="W6107">
        <v>0.2085825</v>
      </c>
      <c r="X6107">
        <v>0.97800030000000004</v>
      </c>
      <c r="Y6107">
        <v>-7.8709039999999994E-2</v>
      </c>
      <c r="Z6107">
        <v>-2.7730100000000001E-2</v>
      </c>
      <c r="AA6107">
        <v>0.99651190000000001</v>
      </c>
      <c r="AB6107">
        <v>40</v>
      </c>
      <c r="AC6107">
        <v>-2.3646999999999898</v>
      </c>
      <c r="AD6107">
        <v>-1.1205217009745001</v>
      </c>
      <c r="AE6107">
        <v>29.194019999999998</v>
      </c>
      <c r="AF6107">
        <v>-2.3331624831540498</v>
      </c>
      <c r="AG6107">
        <v>-1.1205217009745001</v>
      </c>
      <c r="AH6107">
        <v>29.153616019340099</v>
      </c>
      <c r="AI6107">
        <v>92.194076510490106</v>
      </c>
      <c r="AJ6107">
        <v>94.575626451039</v>
      </c>
      <c r="AK6107">
        <v>29.268285618708099</v>
      </c>
      <c r="AL6107">
        <v>77.960704153767793</v>
      </c>
      <c r="AM6107">
        <v>90.173668019438693</v>
      </c>
      <c r="AN6107">
        <v>1.0000000169016701</v>
      </c>
    </row>
    <row r="6108" spans="1:40" x14ac:dyDescent="0.25">
      <c r="A6108" t="str">
        <f>"20190303170656174"</f>
        <v>20190303170656174</v>
      </c>
      <c r="B6108" t="str">
        <f>"1551604016160835"</f>
        <v>1551604016160835</v>
      </c>
      <c r="C6108" t="s">
        <v>40</v>
      </c>
      <c r="D6108">
        <v>5.5704279999999997</v>
      </c>
      <c r="E6108">
        <v>0.4741206</v>
      </c>
      <c r="F6108" t="s">
        <v>41</v>
      </c>
      <c r="G6108">
        <v>-189.3888</v>
      </c>
      <c r="H6108" s="1">
        <v>-8.8634809999999998E-7</v>
      </c>
      <c r="I6108">
        <v>91.446129999999997</v>
      </c>
      <c r="J6108">
        <v>-186.99959999999999</v>
      </c>
      <c r="K6108">
        <v>1.1205160000000001</v>
      </c>
      <c r="L6108">
        <v>62.207239999999999</v>
      </c>
      <c r="M6108">
        <v>-9.6368140000000001E-4</v>
      </c>
      <c r="N6108">
        <v>-1.0029659999999999E-2</v>
      </c>
      <c r="O6108">
        <v>0.99994919999999998</v>
      </c>
      <c r="P6108">
        <v>-4.4942879999999999E-3</v>
      </c>
      <c r="Q6108">
        <v>0.1994409</v>
      </c>
      <c r="R6108">
        <v>0.97989950000000003</v>
      </c>
      <c r="S6108">
        <v>-0.248642</v>
      </c>
      <c r="T6108">
        <v>-0.1165942</v>
      </c>
      <c r="U6108">
        <v>3.083771</v>
      </c>
      <c r="V6108">
        <v>-3.5416860000000001E-3</v>
      </c>
      <c r="W6108">
        <v>0.20925949999999999</v>
      </c>
      <c r="X6108">
        <v>0.97785370000000005</v>
      </c>
      <c r="Y6108">
        <v>-7.9358079999999998E-2</v>
      </c>
      <c r="Z6108">
        <v>-2.763732E-2</v>
      </c>
      <c r="AA6108">
        <v>0.99646299999999999</v>
      </c>
      <c r="AB6108">
        <v>40</v>
      </c>
      <c r="AC6108">
        <v>-2.38920000000001</v>
      </c>
      <c r="AD6108">
        <v>-1.1205168863481001</v>
      </c>
      <c r="AE6108">
        <v>29.238890000000001</v>
      </c>
      <c r="AF6108">
        <v>-2.3575810277187101</v>
      </c>
      <c r="AG6108">
        <v>-1.1205168863481001</v>
      </c>
      <c r="AH6108">
        <v>29.198581217380401</v>
      </c>
      <c r="AI6108">
        <v>92.1905669320806</v>
      </c>
      <c r="AJ6108">
        <v>94.616218767686505</v>
      </c>
      <c r="AK6108">
        <v>29.315028424049199</v>
      </c>
      <c r="AL6108">
        <v>77.921039042353499</v>
      </c>
      <c r="AM6108">
        <v>90.207518540698203</v>
      </c>
      <c r="AN6108">
        <v>0.99999997024183096</v>
      </c>
    </row>
    <row r="6109" spans="1:40" x14ac:dyDescent="0.25">
      <c r="A6109" t="str">
        <f>"20190303170656199"</f>
        <v>20190303170656199</v>
      </c>
      <c r="B6109" t="str">
        <f>"1551604016191091"</f>
        <v>1551604016191091</v>
      </c>
      <c r="C6109" t="s">
        <v>40</v>
      </c>
      <c r="D6109">
        <v>5.6015079999999999</v>
      </c>
      <c r="E6109">
        <v>0.47404679999999999</v>
      </c>
      <c r="F6109" t="s">
        <v>41</v>
      </c>
      <c r="G6109">
        <v>-189.46270000000001</v>
      </c>
      <c r="H6109" s="1">
        <v>-1.3252529999999901E-6</v>
      </c>
      <c r="I6109">
        <v>92.499809999999997</v>
      </c>
      <c r="J6109">
        <v>-187</v>
      </c>
      <c r="K6109">
        <v>1.120517</v>
      </c>
      <c r="L6109">
        <v>62.651730000000001</v>
      </c>
      <c r="M6109">
        <v>-9.6421940000000002E-4</v>
      </c>
      <c r="N6109">
        <v>-1.004035E-2</v>
      </c>
      <c r="O6109">
        <v>0.99994919999999998</v>
      </c>
      <c r="P6109">
        <v>-4.2858039999999998E-3</v>
      </c>
      <c r="Q6109">
        <v>0.19909660000000001</v>
      </c>
      <c r="R6109">
        <v>0.97997049999999997</v>
      </c>
      <c r="S6109">
        <v>-0.25073240000000002</v>
      </c>
      <c r="T6109">
        <v>-0.1140615</v>
      </c>
      <c r="U6109">
        <v>3.0835880000000002</v>
      </c>
      <c r="V6109">
        <v>-3.3325690000000001E-3</v>
      </c>
      <c r="W6109">
        <v>0.2089261</v>
      </c>
      <c r="X6109">
        <v>0.97792579999999996</v>
      </c>
      <c r="Y6109">
        <v>-8.0035369999999995E-2</v>
      </c>
      <c r="Z6109">
        <v>-2.680958E-2</v>
      </c>
      <c r="AA6109">
        <v>0.99643139999999997</v>
      </c>
      <c r="AB6109">
        <v>40</v>
      </c>
      <c r="AC6109">
        <v>-2.4627000000000101</v>
      </c>
      <c r="AD6109">
        <v>-1.120518325253</v>
      </c>
      <c r="AE6109">
        <v>29.8480799999999</v>
      </c>
      <c r="AF6109">
        <v>-2.43051513084104</v>
      </c>
      <c r="AG6109">
        <v>-1.120518325253</v>
      </c>
      <c r="AH6109">
        <v>29.808715289873401</v>
      </c>
      <c r="AI6109">
        <v>92.145637612431102</v>
      </c>
      <c r="AJ6109">
        <v>94.661417743606904</v>
      </c>
      <c r="AK6109">
        <v>29.928622961158901</v>
      </c>
      <c r="AL6109">
        <v>77.940574168566997</v>
      </c>
      <c r="AM6109">
        <v>90.195251418359902</v>
      </c>
      <c r="AN6109">
        <v>1.0000000457914899</v>
      </c>
    </row>
    <row r="6110" spans="1:40" x14ac:dyDescent="0.25">
      <c r="A6110" t="str">
        <f>"20190303170656222"</f>
        <v>20190303170656222</v>
      </c>
      <c r="B6110" t="str">
        <f>"1551604016210610"</f>
        <v>1551604016210610</v>
      </c>
      <c r="C6110" t="s">
        <v>40</v>
      </c>
      <c r="D6110">
        <v>5.5404980000000004</v>
      </c>
      <c r="E6110">
        <v>0.47402280000000002</v>
      </c>
      <c r="F6110" t="s">
        <v>41</v>
      </c>
      <c r="G6110">
        <v>-189.48050000000001</v>
      </c>
      <c r="H6110" s="1">
        <v>-1.53847E-6</v>
      </c>
      <c r="I6110">
        <v>93.004199999999997</v>
      </c>
      <c r="J6110">
        <v>-187.00040000000001</v>
      </c>
      <c r="K6110">
        <v>1.12052</v>
      </c>
      <c r="L6110">
        <v>63.065980000000003</v>
      </c>
      <c r="M6110">
        <v>-9.6472789999999995E-4</v>
      </c>
      <c r="N6110">
        <v>-1.004942E-2</v>
      </c>
      <c r="O6110">
        <v>0.99994899999999998</v>
      </c>
      <c r="P6110">
        <v>-4.4045020000000002E-3</v>
      </c>
      <c r="Q6110">
        <v>0.19874510000000001</v>
      </c>
      <c r="R6110">
        <v>0.9800413</v>
      </c>
      <c r="S6110">
        <v>-0.25198359999999997</v>
      </c>
      <c r="T6110">
        <v>-0.1138275</v>
      </c>
      <c r="U6110">
        <v>3.0833439999999999</v>
      </c>
      <c r="V6110">
        <v>-3.4512700000000002E-3</v>
      </c>
      <c r="W6110">
        <v>0.2085843</v>
      </c>
      <c r="X6110">
        <v>0.97799829999999999</v>
      </c>
      <c r="Y6110">
        <v>-8.0442990000000006E-2</v>
      </c>
      <c r="Z6110">
        <v>-2.6726690000000001E-2</v>
      </c>
      <c r="AA6110">
        <v>0.99640079999999998</v>
      </c>
      <c r="AB6110">
        <v>40</v>
      </c>
      <c r="AC6110">
        <v>-2.48009999999999</v>
      </c>
      <c r="AD6110">
        <v>-1.12052153847</v>
      </c>
      <c r="AE6110">
        <v>29.938219999999902</v>
      </c>
      <c r="AF6110">
        <v>-2.4478095323290798</v>
      </c>
      <c r="AG6110">
        <v>-1.12052153847</v>
      </c>
      <c r="AH6110">
        <v>29.899000570552602</v>
      </c>
      <c r="AI6110">
        <v>92.139113016415806</v>
      </c>
      <c r="AJ6110">
        <v>94.680325865656002</v>
      </c>
      <c r="AK6110">
        <v>30.0199529503736</v>
      </c>
      <c r="AL6110">
        <v>77.960598472608694</v>
      </c>
      <c r="AM6110">
        <v>90.202190928266106</v>
      </c>
      <c r="AN6110">
        <v>0.99999999813699603</v>
      </c>
    </row>
    <row r="6111" spans="1:40" x14ac:dyDescent="0.25">
      <c r="A6111" t="str">
        <f>"20190303170656242"</f>
        <v>20190303170656242</v>
      </c>
      <c r="B6111" t="str">
        <f>"1551604016231107"</f>
        <v>1551604016231107</v>
      </c>
      <c r="C6111" t="s">
        <v>40</v>
      </c>
      <c r="D6111">
        <v>5.5542350000000003</v>
      </c>
      <c r="E6111">
        <v>0.4739255</v>
      </c>
      <c r="F6111" t="s">
        <v>41</v>
      </c>
      <c r="G6111">
        <v>-189.45339999999999</v>
      </c>
      <c r="H6111" s="1">
        <v>-1.5528490000000001E-6</v>
      </c>
      <c r="I6111">
        <v>93.026470000000003</v>
      </c>
      <c r="J6111">
        <v>-187.0008</v>
      </c>
      <c r="K6111">
        <v>1.120514</v>
      </c>
      <c r="L6111">
        <v>63.43533</v>
      </c>
      <c r="M6111">
        <v>-9.6516889999999995E-4</v>
      </c>
      <c r="N6111">
        <v>-1.0056900000000001E-2</v>
      </c>
      <c r="O6111">
        <v>0.99994899999999998</v>
      </c>
      <c r="P6111">
        <v>-4.7994800000000001E-3</v>
      </c>
      <c r="Q6111">
        <v>0.19832739999999999</v>
      </c>
      <c r="R6111">
        <v>0.98012410000000005</v>
      </c>
      <c r="S6111">
        <v>-0.25244139999999998</v>
      </c>
      <c r="T6111">
        <v>-0.115317</v>
      </c>
      <c r="U6111">
        <v>3.0833439999999999</v>
      </c>
      <c r="V6111">
        <v>-3.8456760000000001E-3</v>
      </c>
      <c r="W6111">
        <v>0.20817479999999999</v>
      </c>
      <c r="X6111">
        <v>0.97808410000000001</v>
      </c>
      <c r="Y6111">
        <v>-8.0588209999999993E-2</v>
      </c>
      <c r="Z6111">
        <v>-2.719943E-2</v>
      </c>
      <c r="AA6111">
        <v>0.99637629999999999</v>
      </c>
      <c r="AB6111">
        <v>40</v>
      </c>
      <c r="AC6111">
        <v>-2.4525999999999799</v>
      </c>
      <c r="AD6111">
        <v>-1.1205155528489901</v>
      </c>
      <c r="AE6111">
        <v>29.5911399999999</v>
      </c>
      <c r="AF6111">
        <v>-2.4205898146573999</v>
      </c>
      <c r="AG6111">
        <v>-1.1205155528489901</v>
      </c>
      <c r="AH6111">
        <v>29.551409474422201</v>
      </c>
      <c r="AI6111">
        <v>92.164231098894405</v>
      </c>
      <c r="AJ6111">
        <v>94.682708852304103</v>
      </c>
      <c r="AK6111">
        <v>29.671545495305299</v>
      </c>
      <c r="AL6111">
        <v>77.984587991742401</v>
      </c>
      <c r="AM6111">
        <v>90.225277017321702</v>
      </c>
      <c r="AN6111">
        <v>1.00000002162587</v>
      </c>
    </row>
    <row r="6112" spans="1:40" x14ac:dyDescent="0.25">
      <c r="A6112" t="str">
        <f>"20190303170656264"</f>
        <v>20190303170656264</v>
      </c>
      <c r="B6112" t="str">
        <f>"1551604016250627"</f>
        <v>1551604016250627</v>
      </c>
      <c r="C6112" t="s">
        <v>40</v>
      </c>
      <c r="D6112">
        <v>5.5565749999999996</v>
      </c>
      <c r="E6112">
        <v>0.47382550000000001</v>
      </c>
      <c r="F6112" t="s">
        <v>41</v>
      </c>
      <c r="G6112">
        <v>-189.43129999999999</v>
      </c>
      <c r="H6112" s="1">
        <v>-1.492973E-6</v>
      </c>
      <c r="I6112">
        <v>92.877759999999995</v>
      </c>
      <c r="J6112">
        <v>-187.00120000000001</v>
      </c>
      <c r="K6112">
        <v>1.120514</v>
      </c>
      <c r="L6112">
        <v>63.823090000000001</v>
      </c>
      <c r="M6112">
        <v>-9.656272E-4</v>
      </c>
      <c r="N6112">
        <v>-1.0064190000000001E-2</v>
      </c>
      <c r="O6112">
        <v>0.99994890000000003</v>
      </c>
      <c r="P6112">
        <v>-4.6999290000000003E-3</v>
      </c>
      <c r="Q6112">
        <v>0.198242</v>
      </c>
      <c r="R6112">
        <v>0.98014179999999995</v>
      </c>
      <c r="S6112">
        <v>-0.25453189999999998</v>
      </c>
      <c r="T6112">
        <v>-0.11734550000000001</v>
      </c>
      <c r="U6112">
        <v>3.0833439999999999</v>
      </c>
      <c r="V6112">
        <v>-3.7454649999999999E-3</v>
      </c>
      <c r="W6112">
        <v>0.20809649999999999</v>
      </c>
      <c r="X6112">
        <v>0.97810109999999995</v>
      </c>
      <c r="Y6112">
        <v>-8.1256830000000002E-2</v>
      </c>
      <c r="Z6112">
        <v>-2.7844600000000001E-2</v>
      </c>
      <c r="AA6112">
        <v>0.99630419999999997</v>
      </c>
      <c r="AB6112">
        <v>40</v>
      </c>
      <c r="AC6112">
        <v>-2.4300999999999799</v>
      </c>
      <c r="AD6112">
        <v>-1.1205154929729999</v>
      </c>
      <c r="AE6112">
        <v>29.054669999999899</v>
      </c>
      <c r="AF6112">
        <v>-2.3984989177633902</v>
      </c>
      <c r="AG6112">
        <v>-1.1205154929729999</v>
      </c>
      <c r="AH6112">
        <v>29.014149654872199</v>
      </c>
      <c r="AI6112">
        <v>92.204131279189497</v>
      </c>
      <c r="AJ6112">
        <v>94.725697764295006</v>
      </c>
      <c r="AK6112">
        <v>29.1346740538456</v>
      </c>
      <c r="AL6112">
        <v>77.989174093112197</v>
      </c>
      <c r="AM6112">
        <v>90.2194029716172</v>
      </c>
      <c r="AN6112">
        <v>0.99999997182076195</v>
      </c>
    </row>
    <row r="6113" spans="1:40" x14ac:dyDescent="0.25">
      <c r="A6113" t="str">
        <f>"20190303170656288"</f>
        <v>20190303170656288</v>
      </c>
      <c r="B6113" t="str">
        <f>"1551604016280883"</f>
        <v>1551604016280883</v>
      </c>
      <c r="C6113" t="s">
        <v>40</v>
      </c>
      <c r="D6113">
        <v>5.5839259999999999</v>
      </c>
      <c r="E6113">
        <v>0.47365950000000001</v>
      </c>
      <c r="F6113" t="s">
        <v>41</v>
      </c>
      <c r="G6113">
        <v>-189.42740000000001</v>
      </c>
      <c r="H6113" s="1">
        <v>-1.599167E-6</v>
      </c>
      <c r="I6113">
        <v>93.123720000000006</v>
      </c>
      <c r="J6113">
        <v>-187.0016</v>
      </c>
      <c r="K6113">
        <v>1.1205160000000001</v>
      </c>
      <c r="L6113">
        <v>64.265990000000002</v>
      </c>
      <c r="M6113">
        <v>-9.6615969999999999E-4</v>
      </c>
      <c r="N6113">
        <v>-1.007184E-2</v>
      </c>
      <c r="O6113">
        <v>0.99994879999999997</v>
      </c>
      <c r="P6113">
        <v>-4.3933590000000003E-3</v>
      </c>
      <c r="Q6113">
        <v>0.19829840000000001</v>
      </c>
      <c r="R6113">
        <v>0.98013189999999994</v>
      </c>
      <c r="S6113">
        <v>-0.25532529999999998</v>
      </c>
      <c r="T6113">
        <v>-0.1179156</v>
      </c>
      <c r="U6113">
        <v>3.083405</v>
      </c>
      <c r="V6113">
        <v>-3.43853E-3</v>
      </c>
      <c r="W6113">
        <v>0.2081604</v>
      </c>
      <c r="X6113">
        <v>0.97808870000000003</v>
      </c>
      <c r="Y6113">
        <v>-8.150876E-2</v>
      </c>
      <c r="Z6113">
        <v>-2.801938E-2</v>
      </c>
      <c r="AA6113">
        <v>0.99627869999999996</v>
      </c>
      <c r="AB6113">
        <v>41</v>
      </c>
      <c r="AC6113">
        <v>-2.4258000000000002</v>
      </c>
      <c r="AD6113">
        <v>-1.120517599167</v>
      </c>
      <c r="AE6113">
        <v>28.857729999999901</v>
      </c>
      <c r="AF6113">
        <v>-2.3943316886803299</v>
      </c>
      <c r="AG6113">
        <v>-1.120517599167</v>
      </c>
      <c r="AH6113">
        <v>28.816918133132202</v>
      </c>
      <c r="AI6113">
        <v>92.219129283603294</v>
      </c>
      <c r="AJ6113">
        <v>94.749665187670701</v>
      </c>
      <c r="AK6113">
        <v>28.937918975232201</v>
      </c>
      <c r="AL6113">
        <v>77.985431758425506</v>
      </c>
      <c r="AM6113">
        <v>90.201425949502607</v>
      </c>
      <c r="AN6113">
        <v>1.0000000403422</v>
      </c>
    </row>
    <row r="6114" spans="1:40" x14ac:dyDescent="0.25">
      <c r="A6114" t="str">
        <f>"20190303170656310"</f>
        <v>20190303170656310</v>
      </c>
      <c r="B6114" t="str">
        <f>"1551604016301379"</f>
        <v>1551604016301379</v>
      </c>
      <c r="C6114" t="s">
        <v>40</v>
      </c>
      <c r="D6114">
        <v>5.5859379999999996</v>
      </c>
      <c r="E6114">
        <v>0.47363179999999999</v>
      </c>
      <c r="F6114" t="s">
        <v>41</v>
      </c>
      <c r="G6114">
        <v>-189.42619999999999</v>
      </c>
      <c r="H6114" s="1">
        <v>-1.7538700000000001E-6</v>
      </c>
      <c r="I6114">
        <v>93.483829999999998</v>
      </c>
      <c r="J6114">
        <v>-187.00200000000001</v>
      </c>
      <c r="K6114">
        <v>1.1205210000000001</v>
      </c>
      <c r="L6114">
        <v>64.664490000000001</v>
      </c>
      <c r="M6114">
        <v>-9.6663800000000002E-4</v>
      </c>
      <c r="N6114">
        <v>-1.0078149999999999E-2</v>
      </c>
      <c r="O6114">
        <v>0.99994870000000002</v>
      </c>
      <c r="P6114">
        <v>-4.4552029999999996E-3</v>
      </c>
      <c r="Q6114">
        <v>0.19903409999999999</v>
      </c>
      <c r="R6114">
        <v>0.97998240000000003</v>
      </c>
      <c r="S6114">
        <v>-0.2558899</v>
      </c>
      <c r="T6114">
        <v>-0.118257</v>
      </c>
      <c r="U6114">
        <v>3.0835880000000002</v>
      </c>
      <c r="V6114">
        <v>-3.4999950000000001E-3</v>
      </c>
      <c r="W6114">
        <v>0.20890049999999999</v>
      </c>
      <c r="X6114">
        <v>0.97793070000000004</v>
      </c>
      <c r="Y6114">
        <v>-8.1684240000000005E-2</v>
      </c>
      <c r="Z6114">
        <v>-2.8120389999999999E-2</v>
      </c>
      <c r="AA6114">
        <v>0.99626150000000002</v>
      </c>
      <c r="AB6114">
        <v>41</v>
      </c>
      <c r="AC6114">
        <v>-2.4241999999999799</v>
      </c>
      <c r="AD6114">
        <v>-1.12052275386999</v>
      </c>
      <c r="AE6114">
        <v>28.81934</v>
      </c>
      <c r="AF6114">
        <v>-2.3927478153142498</v>
      </c>
      <c r="AG6114">
        <v>-1.12052275386999</v>
      </c>
      <c r="AH6114">
        <v>28.778470460097701</v>
      </c>
      <c r="AI6114">
        <v>92.222090998869902</v>
      </c>
      <c r="AJ6114">
        <v>94.752849881939895</v>
      </c>
      <c r="AK6114">
        <v>28.899501299716999</v>
      </c>
      <c r="AL6114">
        <v>77.942074227733798</v>
      </c>
      <c r="AM6114">
        <v>90.205059607597207</v>
      </c>
      <c r="AN6114">
        <v>1.00000006143386</v>
      </c>
    </row>
    <row r="6115" spans="1:40" x14ac:dyDescent="0.25">
      <c r="A6115" t="str">
        <f>"20190303170656332"</f>
        <v>20190303170656332</v>
      </c>
      <c r="B6115" t="str">
        <f>"1551604016320899"</f>
        <v>1551604016320899</v>
      </c>
      <c r="C6115" t="s">
        <v>40</v>
      </c>
      <c r="D6115">
        <v>5.5232479999999997</v>
      </c>
      <c r="E6115">
        <v>0.47361029999999998</v>
      </c>
      <c r="F6115" t="s">
        <v>41</v>
      </c>
      <c r="G6115">
        <v>-189.4717</v>
      </c>
      <c r="H6115" s="1">
        <v>-2.1587580000000001E-6</v>
      </c>
      <c r="I6115">
        <v>94.446460000000002</v>
      </c>
      <c r="J6115">
        <v>-187.00239999999999</v>
      </c>
      <c r="K6115">
        <v>1.12052</v>
      </c>
      <c r="L6115">
        <v>65.079189999999997</v>
      </c>
      <c r="M6115">
        <v>-9.671317E-4</v>
      </c>
      <c r="N6115">
        <v>-1.0084299999999999E-2</v>
      </c>
      <c r="O6115">
        <v>0.99994870000000002</v>
      </c>
      <c r="P6115">
        <v>-4.6343410000000002E-3</v>
      </c>
      <c r="Q6115">
        <v>0.19865540000000001</v>
      </c>
      <c r="R6115">
        <v>0.9800584</v>
      </c>
      <c r="S6115">
        <v>-0.255722</v>
      </c>
      <c r="T6115">
        <v>-0.116021</v>
      </c>
      <c r="U6115">
        <v>3.0836790000000001</v>
      </c>
      <c r="V6115">
        <v>-3.6788910000000001E-3</v>
      </c>
      <c r="W6115">
        <v>0.2085283</v>
      </c>
      <c r="X6115">
        <v>0.97800940000000003</v>
      </c>
      <c r="Y6115">
        <v>-8.1629430000000003E-2</v>
      </c>
      <c r="Z6115">
        <v>-2.7391950000000002E-2</v>
      </c>
      <c r="AA6115">
        <v>0.99628629999999996</v>
      </c>
      <c r="AB6115">
        <v>41</v>
      </c>
      <c r="AC6115">
        <v>-2.4693000000000001</v>
      </c>
      <c r="AD6115">
        <v>-1.1205221587579901</v>
      </c>
      <c r="AE6115">
        <v>29.367270000000001</v>
      </c>
      <c r="AF6115">
        <v>-2.43737187051947</v>
      </c>
      <c r="AG6115">
        <v>-1.1205221587579901</v>
      </c>
      <c r="AH6115">
        <v>29.327248473808599</v>
      </c>
      <c r="AI6115">
        <v>92.180556252798098</v>
      </c>
      <c r="AJ6115">
        <v>94.750903087802399</v>
      </c>
      <c r="AK6115">
        <v>29.449683437822799</v>
      </c>
      <c r="AL6115">
        <v>77.963879033352299</v>
      </c>
      <c r="AM6115">
        <v>90.215523422795997</v>
      </c>
      <c r="AN6115">
        <v>0.99999998631411902</v>
      </c>
    </row>
    <row r="6116" spans="1:40" x14ac:dyDescent="0.25">
      <c r="A6116" t="str">
        <f>"20190303170656355"</f>
        <v>20190303170656355</v>
      </c>
      <c r="B6116" t="str">
        <f>"1551604016341395"</f>
        <v>1551604016341395</v>
      </c>
      <c r="C6116" t="s">
        <v>40</v>
      </c>
      <c r="D6116">
        <v>5.5891590000000004</v>
      </c>
      <c r="E6116">
        <v>0.47354810000000003</v>
      </c>
      <c r="F6116" t="s">
        <v>41</v>
      </c>
      <c r="G6116">
        <v>-189.435</v>
      </c>
      <c r="H6116" s="1">
        <v>-2.1286970000000002E-6</v>
      </c>
      <c r="I6116">
        <v>94.361180000000004</v>
      </c>
      <c r="J6116">
        <v>-187.0027</v>
      </c>
      <c r="K6116">
        <v>1.120512</v>
      </c>
      <c r="L6116">
        <v>65.476990000000001</v>
      </c>
      <c r="M6116">
        <v>-9.6761959999999995E-4</v>
      </c>
      <c r="N6116">
        <v>-1.008998E-2</v>
      </c>
      <c r="O6116">
        <v>0.99994859999999997</v>
      </c>
      <c r="P6116">
        <v>-4.7135609999999998E-3</v>
      </c>
      <c r="Q6116">
        <v>0.1980556</v>
      </c>
      <c r="R6116">
        <v>0.98017949999999998</v>
      </c>
      <c r="S6116">
        <v>-0.25617980000000001</v>
      </c>
      <c r="T6116">
        <v>-0.11800430000000001</v>
      </c>
      <c r="U6116">
        <v>3.0837400000000001</v>
      </c>
      <c r="V6116">
        <v>-3.7572560000000001E-3</v>
      </c>
      <c r="W6116">
        <v>0.2079356</v>
      </c>
      <c r="X6116">
        <v>0.97813530000000004</v>
      </c>
      <c r="Y6116">
        <v>-8.1772429999999993E-2</v>
      </c>
      <c r="Z6116">
        <v>-2.8024879999999999E-2</v>
      </c>
      <c r="AA6116">
        <v>0.9962569</v>
      </c>
      <c r="AB6116">
        <v>41</v>
      </c>
      <c r="AC6116">
        <v>-2.4322999999999899</v>
      </c>
      <c r="AD6116">
        <v>-1.120514128697</v>
      </c>
      <c r="AE6116">
        <v>28.88419</v>
      </c>
      <c r="AF6116">
        <v>-2.4007610082427799</v>
      </c>
      <c r="AG6116">
        <v>-1.120514128697</v>
      </c>
      <c r="AH6116">
        <v>28.843428634999501</v>
      </c>
      <c r="AI6116">
        <v>92.217058014124206</v>
      </c>
      <c r="AJ6116">
        <v>94.758003460425002</v>
      </c>
      <c r="AK6116">
        <v>28.964850780793199</v>
      </c>
      <c r="AL6116">
        <v>77.998599471434005</v>
      </c>
      <c r="AM6116">
        <v>90.220085966179496</v>
      </c>
      <c r="AN6116">
        <v>0.99999999791304905</v>
      </c>
    </row>
    <row r="6117" spans="1:40" x14ac:dyDescent="0.25">
      <c r="A6117" t="str">
        <f>"20190303170656376"</f>
        <v>20190303170656376</v>
      </c>
      <c r="B6117" t="str">
        <f>"1551604016370675"</f>
        <v>1551604016370675</v>
      </c>
      <c r="C6117" t="s">
        <v>40</v>
      </c>
      <c r="D6117">
        <v>5.527463</v>
      </c>
      <c r="E6117">
        <v>0.47344989999999998</v>
      </c>
      <c r="F6117" t="s">
        <v>41</v>
      </c>
      <c r="G6117">
        <v>-189.41730000000001</v>
      </c>
      <c r="H6117" s="1">
        <v>-2.1446249999999998E-6</v>
      </c>
      <c r="I6117">
        <v>94.391019999999997</v>
      </c>
      <c r="J6117">
        <v>-187.00309999999999</v>
      </c>
      <c r="K6117">
        <v>1.120517</v>
      </c>
      <c r="L6117">
        <v>65.87079</v>
      </c>
      <c r="M6117">
        <v>-9.6812109999999999E-4</v>
      </c>
      <c r="N6117">
        <v>-1.0095399999999999E-2</v>
      </c>
      <c r="O6117">
        <v>0.99994859999999997</v>
      </c>
      <c r="P6117">
        <v>-5.117669E-3</v>
      </c>
      <c r="Q6117">
        <v>0.19838990000000001</v>
      </c>
      <c r="R6117">
        <v>0.98010980000000003</v>
      </c>
      <c r="S6117">
        <v>-0.25750729999999999</v>
      </c>
      <c r="T6117">
        <v>-0.11949799999999999</v>
      </c>
      <c r="U6117">
        <v>3.0835569999999999</v>
      </c>
      <c r="V6117">
        <v>-4.1608610000000001E-3</v>
      </c>
      <c r="W6117">
        <v>0.20827509999999999</v>
      </c>
      <c r="X6117">
        <v>0.97806139999999997</v>
      </c>
      <c r="Y6117">
        <v>-8.2201300000000005E-2</v>
      </c>
      <c r="Z6117">
        <v>-2.8502199999999998E-2</v>
      </c>
      <c r="AA6117">
        <v>0.99620810000000004</v>
      </c>
      <c r="AB6117">
        <v>41</v>
      </c>
      <c r="AC6117">
        <v>-2.4142000000000201</v>
      </c>
      <c r="AD6117">
        <v>-1.120519144625</v>
      </c>
      <c r="AE6117">
        <v>28.520230000000002</v>
      </c>
      <c r="AF6117">
        <v>-2.3829343162536101</v>
      </c>
      <c r="AG6117">
        <v>-1.120519144625</v>
      </c>
      <c r="AH6117">
        <v>28.478906926407099</v>
      </c>
      <c r="AI6117">
        <v>92.245335201832603</v>
      </c>
      <c r="AJ6117">
        <v>94.783005830415206</v>
      </c>
      <c r="AK6117">
        <v>28.6003859909619</v>
      </c>
      <c r="AL6117">
        <v>77.9787117613444</v>
      </c>
      <c r="AM6117">
        <v>90.243745777369298</v>
      </c>
      <c r="AN6117">
        <v>0.99999996610711495</v>
      </c>
    </row>
    <row r="6118" spans="1:40" x14ac:dyDescent="0.25">
      <c r="A6118" t="str">
        <f>"20190303170656399"</f>
        <v>20190303170656399</v>
      </c>
      <c r="B6118" t="str">
        <f>"1551604016391171"</f>
        <v>1551604016391171</v>
      </c>
      <c r="C6118" t="s">
        <v>40</v>
      </c>
      <c r="D6118">
        <v>5.5716089999999996</v>
      </c>
      <c r="E6118">
        <v>0.47348659999999998</v>
      </c>
      <c r="F6118" t="s">
        <v>41</v>
      </c>
      <c r="G6118">
        <v>-189.4588</v>
      </c>
      <c r="H6118" s="1">
        <v>-2.4280919999999999E-6</v>
      </c>
      <c r="I6118">
        <v>95.068950000000001</v>
      </c>
      <c r="J6118">
        <v>-187.0035</v>
      </c>
      <c r="K6118">
        <v>1.120522</v>
      </c>
      <c r="L6118">
        <v>66.285160000000005</v>
      </c>
      <c r="M6118">
        <v>-9.6866089999999997E-4</v>
      </c>
      <c r="N6118">
        <v>-1.010086E-2</v>
      </c>
      <c r="O6118">
        <v>0.99994850000000002</v>
      </c>
      <c r="P6118">
        <v>-5.855E-3</v>
      </c>
      <c r="Q6118">
        <v>0.19871430000000001</v>
      </c>
      <c r="R6118">
        <v>0.98004000000000002</v>
      </c>
      <c r="S6118">
        <v>-0.25933840000000002</v>
      </c>
      <c r="T6118">
        <v>-0.11833349999999999</v>
      </c>
      <c r="U6118">
        <v>3.0834959999999998</v>
      </c>
      <c r="V6118">
        <v>-4.8978499999999996E-3</v>
      </c>
      <c r="W6118">
        <v>0.2086035</v>
      </c>
      <c r="X6118">
        <v>0.97798810000000003</v>
      </c>
      <c r="Y6118">
        <v>-8.2790749999999996E-2</v>
      </c>
      <c r="Z6118">
        <v>-2.8119970000000001E-2</v>
      </c>
      <c r="AA6118">
        <v>0.99617020000000001</v>
      </c>
      <c r="AB6118">
        <v>41</v>
      </c>
      <c r="AC6118">
        <v>-2.45529999999999</v>
      </c>
      <c r="AD6118">
        <v>-1.1205244280919999</v>
      </c>
      <c r="AE6118">
        <v>28.78379</v>
      </c>
      <c r="AF6118">
        <v>-2.4237690832190499</v>
      </c>
      <c r="AG6118">
        <v>-1.1205244280919999</v>
      </c>
      <c r="AH6118">
        <v>28.742910674891601</v>
      </c>
      <c r="AI6118">
        <v>92.2246221942696</v>
      </c>
      <c r="AJ6118">
        <v>94.820109308670993</v>
      </c>
      <c r="AK6118">
        <v>28.866678811867502</v>
      </c>
      <c r="AL6118">
        <v>77.959474484962897</v>
      </c>
      <c r="AM6118">
        <v>90.286939879535296</v>
      </c>
      <c r="AN6118">
        <v>1.0000000664442299</v>
      </c>
    </row>
    <row r="6119" spans="1:40" x14ac:dyDescent="0.25">
      <c r="A6119" t="str">
        <f>"20190303170656423"</f>
        <v>20190303170656423</v>
      </c>
      <c r="B6119" t="str">
        <f>"1551604016410691"</f>
        <v>1551604016410691</v>
      </c>
      <c r="C6119" t="s">
        <v>40</v>
      </c>
      <c r="D6119">
        <v>5.5093509999999997</v>
      </c>
      <c r="E6119">
        <v>0.47342699999999999</v>
      </c>
      <c r="F6119" t="s">
        <v>41</v>
      </c>
      <c r="G6119">
        <v>-189.48439999999999</v>
      </c>
      <c r="H6119" s="1">
        <v>-2.6638619999999998E-6</v>
      </c>
      <c r="I6119">
        <v>95.629090000000005</v>
      </c>
      <c r="J6119">
        <v>-187.00399999999999</v>
      </c>
      <c r="K6119">
        <v>1.120528</v>
      </c>
      <c r="L6119">
        <v>66.722660000000005</v>
      </c>
      <c r="M6119">
        <v>-9.6920440000000001E-4</v>
      </c>
      <c r="N6119">
        <v>-1.01063E-2</v>
      </c>
      <c r="O6119">
        <v>0.99994839999999996</v>
      </c>
      <c r="P6119">
        <v>-6.4229179999999997E-3</v>
      </c>
      <c r="Q6119">
        <v>0.19961419999999999</v>
      </c>
      <c r="R6119">
        <v>0.97985350000000004</v>
      </c>
      <c r="S6119">
        <v>-0.2606812</v>
      </c>
      <c r="T6119">
        <v>-0.11774270000000001</v>
      </c>
      <c r="U6119">
        <v>3.083405</v>
      </c>
      <c r="V6119">
        <v>-5.4652399999999997E-3</v>
      </c>
      <c r="W6119">
        <v>0.2095071</v>
      </c>
      <c r="X6119">
        <v>0.97779179999999999</v>
      </c>
      <c r="Y6119">
        <v>-8.3223850000000002E-2</v>
      </c>
      <c r="Z6119">
        <v>-2.7923679999999999E-2</v>
      </c>
      <c r="AA6119">
        <v>0.99613960000000001</v>
      </c>
      <c r="AB6119">
        <v>41</v>
      </c>
      <c r="AC6119">
        <v>-2.4803999999999702</v>
      </c>
      <c r="AD6119">
        <v>-1.1205306638620001</v>
      </c>
      <c r="AE6119">
        <v>28.90643</v>
      </c>
      <c r="AF6119">
        <v>-2.4487284698681799</v>
      </c>
      <c r="AG6119">
        <v>-1.1205306638620001</v>
      </c>
      <c r="AH6119">
        <v>28.865762384961201</v>
      </c>
      <c r="AI6119">
        <v>92.215082051495699</v>
      </c>
      <c r="AJ6119">
        <v>94.848882717840794</v>
      </c>
      <c r="AK6119">
        <v>28.9911037760351</v>
      </c>
      <c r="AL6119">
        <v>77.906530755686106</v>
      </c>
      <c r="AM6119">
        <v>90.320243967269903</v>
      </c>
      <c r="AN6119">
        <v>0.99999994897295197</v>
      </c>
    </row>
    <row r="6120" spans="1:40" x14ac:dyDescent="0.25">
      <c r="A6120" t="str">
        <f>"20190303170656446"</f>
        <v>20190303170656446</v>
      </c>
      <c r="B6120" t="str">
        <f>"1551604016440947"</f>
        <v>1551604016440947</v>
      </c>
      <c r="C6120" t="s">
        <v>40</v>
      </c>
      <c r="D6120">
        <v>5.638865</v>
      </c>
      <c r="E6120">
        <v>0.47333380000000003</v>
      </c>
      <c r="F6120" t="s">
        <v>41</v>
      </c>
      <c r="G6120">
        <v>-189.55179999999999</v>
      </c>
      <c r="H6120" s="1">
        <v>-3.0763780000000001E-6</v>
      </c>
      <c r="I6120">
        <v>96.618560000000002</v>
      </c>
      <c r="J6120">
        <v>-187.0044</v>
      </c>
      <c r="K6120">
        <v>1.1205259999999999</v>
      </c>
      <c r="L6120">
        <v>67.128569999999996</v>
      </c>
      <c r="M6120">
        <v>-9.6968779999999995E-4</v>
      </c>
      <c r="N6120">
        <v>-1.011109E-2</v>
      </c>
      <c r="O6120">
        <v>0.99994839999999996</v>
      </c>
      <c r="P6120">
        <v>-6.4139990000000001E-3</v>
      </c>
      <c r="Q6120">
        <v>0.2003858</v>
      </c>
      <c r="R6120">
        <v>0.97969600000000001</v>
      </c>
      <c r="S6120">
        <v>-0.26278689999999999</v>
      </c>
      <c r="T6120">
        <v>-0.1155728</v>
      </c>
      <c r="U6120">
        <v>3.0834959999999998</v>
      </c>
      <c r="V6120">
        <v>-5.4563850000000002E-3</v>
      </c>
      <c r="W6120">
        <v>0.21028150000000001</v>
      </c>
      <c r="X6120">
        <v>0.97762570000000004</v>
      </c>
      <c r="Y6120">
        <v>-8.3898039999999993E-2</v>
      </c>
      <c r="Z6120">
        <v>-2.7215690000000001E-2</v>
      </c>
      <c r="AA6120">
        <v>0.99610259999999995</v>
      </c>
      <c r="AB6120">
        <v>41</v>
      </c>
      <c r="AC6120">
        <v>-2.5473999999999801</v>
      </c>
      <c r="AD6120">
        <v>-1.12052907637799</v>
      </c>
      <c r="AE6120">
        <v>29.489989999999999</v>
      </c>
      <c r="AF6120">
        <v>-2.5151967950811098</v>
      </c>
      <c r="AG6120">
        <v>-1.12052907637799</v>
      </c>
      <c r="AH6120">
        <v>29.450242086645599</v>
      </c>
      <c r="AI6120">
        <v>92.171055093412207</v>
      </c>
      <c r="AJ6120">
        <v>94.881498285975795</v>
      </c>
      <c r="AK6120">
        <v>29.578684204863301</v>
      </c>
      <c r="AL6120">
        <v>77.861151190065897</v>
      </c>
      <c r="AM6120">
        <v>90.319779426614602</v>
      </c>
      <c r="AN6120">
        <v>1.00000004534</v>
      </c>
    </row>
    <row r="6121" spans="1:40" x14ac:dyDescent="0.25">
      <c r="A6121" t="str">
        <f>"20190303170656478"</f>
        <v>20190303170656478</v>
      </c>
      <c r="B6121" t="str">
        <f>"1551604016471203"</f>
        <v>1551604016471203</v>
      </c>
      <c r="C6121" t="s">
        <v>40</v>
      </c>
      <c r="D6121">
        <v>5.5775959999999998</v>
      </c>
      <c r="E6121">
        <v>0.47328330000000002</v>
      </c>
      <c r="F6121" t="s">
        <v>41</v>
      </c>
      <c r="G6121">
        <v>-189.59200000000001</v>
      </c>
      <c r="H6121" s="1">
        <v>-3.41086E-6</v>
      </c>
      <c r="I6121">
        <v>97.414860000000004</v>
      </c>
      <c r="J6121">
        <v>-187.00489999999999</v>
      </c>
      <c r="K6121">
        <v>1.1205229999999999</v>
      </c>
      <c r="L6121">
        <v>67.718540000000004</v>
      </c>
      <c r="M6121">
        <v>-9.7040220000000005E-4</v>
      </c>
      <c r="N6121">
        <v>-1.011767E-2</v>
      </c>
      <c r="O6121">
        <v>0.99994830000000001</v>
      </c>
      <c r="P6121">
        <v>-6.7240850000000003E-3</v>
      </c>
      <c r="Q6121">
        <v>0.20040369999999999</v>
      </c>
      <c r="R6121">
        <v>0.97969030000000001</v>
      </c>
      <c r="S6121">
        <v>-0.26347350000000003</v>
      </c>
      <c r="T6121">
        <v>-0.1140931</v>
      </c>
      <c r="U6121">
        <v>3.083771</v>
      </c>
      <c r="V6121">
        <v>-5.7654230000000004E-3</v>
      </c>
      <c r="W6121">
        <v>0.2103062</v>
      </c>
      <c r="X6121">
        <v>0.9776186</v>
      </c>
      <c r="Y6121">
        <v>-8.4111270000000002E-2</v>
      </c>
      <c r="Z6121">
        <v>-2.6727830000000001E-2</v>
      </c>
      <c r="AA6121">
        <v>0.99609789999999998</v>
      </c>
      <c r="AB6121">
        <v>41</v>
      </c>
      <c r="AC6121">
        <v>-2.5871000000000199</v>
      </c>
      <c r="AD6121">
        <v>-1.1205264108599999</v>
      </c>
      <c r="AE6121">
        <v>29.69632</v>
      </c>
      <c r="AF6121">
        <v>-2.5546700736837402</v>
      </c>
      <c r="AG6121">
        <v>-1.1205264108599999</v>
      </c>
      <c r="AH6121">
        <v>29.656910197174099</v>
      </c>
      <c r="AI6121">
        <v>92.155800064342202</v>
      </c>
      <c r="AJ6121">
        <v>94.923351008306497</v>
      </c>
      <c r="AK6121">
        <v>29.787820347686701</v>
      </c>
      <c r="AL6121">
        <v>77.859703455298899</v>
      </c>
      <c r="AM6121">
        <v>90.337893096003697</v>
      </c>
      <c r="AN6121">
        <v>1.00000003246338</v>
      </c>
    </row>
    <row r="6122" spans="1:40" x14ac:dyDescent="0.25">
      <c r="A6122" t="str">
        <f>"20190303170656500"</f>
        <v>20190303170656500</v>
      </c>
      <c r="B6122" t="str">
        <f>"1551604016490723"</f>
        <v>1551604016490723</v>
      </c>
      <c r="C6122" t="s">
        <v>40</v>
      </c>
      <c r="D6122">
        <v>5.5816229999999996</v>
      </c>
      <c r="E6122">
        <v>0.47322239999999999</v>
      </c>
      <c r="F6122" t="s">
        <v>41</v>
      </c>
      <c r="G6122">
        <v>-189.5907</v>
      </c>
      <c r="H6122" s="1">
        <v>-3.6035470000000001E-6</v>
      </c>
      <c r="I6122">
        <v>97.863489999999999</v>
      </c>
      <c r="J6122">
        <v>-187.00530000000001</v>
      </c>
      <c r="K6122">
        <v>1.1205229999999999</v>
      </c>
      <c r="L6122">
        <v>68.134</v>
      </c>
      <c r="M6122">
        <v>-9.7091189999999996E-4</v>
      </c>
      <c r="N6122">
        <v>-1.012208E-2</v>
      </c>
      <c r="O6122">
        <v>0.99994830000000001</v>
      </c>
      <c r="P6122">
        <v>-6.8148030000000004E-3</v>
      </c>
      <c r="Q6122">
        <v>0.20054279999999999</v>
      </c>
      <c r="R6122">
        <v>0.97966120000000001</v>
      </c>
      <c r="S6122">
        <v>-0.26452639999999999</v>
      </c>
      <c r="T6122">
        <v>-0.11463</v>
      </c>
      <c r="U6122">
        <v>3.0838320000000001</v>
      </c>
      <c r="V6122">
        <v>-5.8556759999999998E-3</v>
      </c>
      <c r="W6122">
        <v>0.21044930000000001</v>
      </c>
      <c r="X6122">
        <v>0.97758719999999999</v>
      </c>
      <c r="Y6122">
        <v>-8.4446129999999994E-2</v>
      </c>
      <c r="Z6122">
        <v>-2.6894810000000002E-2</v>
      </c>
      <c r="AA6122">
        <v>0.99606499999999998</v>
      </c>
      <c r="AB6122">
        <v>41</v>
      </c>
      <c r="AC6122">
        <v>-2.5853999999999902</v>
      </c>
      <c r="AD6122">
        <v>-1.1205266035469901</v>
      </c>
      <c r="AE6122">
        <v>29.729489999999998</v>
      </c>
      <c r="AF6122">
        <v>-2.55293313182329</v>
      </c>
      <c r="AG6122">
        <v>-1.1205266035469901</v>
      </c>
      <c r="AH6122">
        <v>29.6901253344613</v>
      </c>
      <c r="AI6122">
        <v>92.153419419022995</v>
      </c>
      <c r="AJ6122">
        <v>94.914542831492298</v>
      </c>
      <c r="AK6122">
        <v>29.8207409334651</v>
      </c>
      <c r="AL6122">
        <v>77.851315906661696</v>
      </c>
      <c r="AM6122">
        <v>90.343193434327802</v>
      </c>
      <c r="AN6122">
        <v>0.99999996520787204</v>
      </c>
    </row>
    <row r="6123" spans="1:40" x14ac:dyDescent="0.25">
      <c r="A6123" t="str">
        <f>"20190303170656522"</f>
        <v>20190303170656522</v>
      </c>
      <c r="B6123" t="str">
        <f>"1551604016511219"</f>
        <v>1551604016511219</v>
      </c>
      <c r="C6123" t="s">
        <v>40</v>
      </c>
      <c r="D6123">
        <v>5.6401940000000002</v>
      </c>
      <c r="E6123">
        <v>0.47320970000000001</v>
      </c>
      <c r="F6123" t="s">
        <v>41</v>
      </c>
      <c r="G6123">
        <v>-189.5882</v>
      </c>
      <c r="H6123" s="1">
        <v>-3.7419729999999998E-6</v>
      </c>
      <c r="I6123">
        <v>98.185109999999995</v>
      </c>
      <c r="J6123">
        <v>-187.00569999999999</v>
      </c>
      <c r="K6123">
        <v>1.120525</v>
      </c>
      <c r="L6123">
        <v>68.547300000000007</v>
      </c>
      <c r="M6123">
        <v>-9.7140889999999998E-4</v>
      </c>
      <c r="N6123">
        <v>-1.013055E-2</v>
      </c>
      <c r="O6123">
        <v>0.99994819999999995</v>
      </c>
      <c r="P6123">
        <v>-6.5532740000000004E-3</v>
      </c>
      <c r="Q6123">
        <v>0.2002295</v>
      </c>
      <c r="R6123">
        <v>0.97972709999999996</v>
      </c>
      <c r="S6123">
        <v>-0.26506039999999997</v>
      </c>
      <c r="T6123">
        <v>-0.1149925</v>
      </c>
      <c r="U6123">
        <v>3.0839539999999999</v>
      </c>
      <c r="V6123">
        <v>-5.5936069999999996E-3</v>
      </c>
      <c r="W6123">
        <v>0.2101449</v>
      </c>
      <c r="X6123">
        <v>0.97765420000000003</v>
      </c>
      <c r="Y6123">
        <v>-8.4613160000000007E-2</v>
      </c>
      <c r="Z6123">
        <v>-2.7001270000000001E-2</v>
      </c>
      <c r="AA6123">
        <v>0.99604800000000004</v>
      </c>
      <c r="AB6123">
        <v>41</v>
      </c>
      <c r="AC6123">
        <v>-2.5825000000000098</v>
      </c>
      <c r="AD6123">
        <v>-1.1205287419729999</v>
      </c>
      <c r="AE6123">
        <v>29.637809999999899</v>
      </c>
      <c r="AF6123">
        <v>-2.5500892406487101</v>
      </c>
      <c r="AG6123">
        <v>-1.1205287419729999</v>
      </c>
      <c r="AH6123">
        <v>29.5983157785105</v>
      </c>
      <c r="AI6123">
        <v>92.160065344143206</v>
      </c>
      <c r="AJ6123">
        <v>94.924247467900798</v>
      </c>
      <c r="AK6123">
        <v>29.7290907483106</v>
      </c>
      <c r="AL6123">
        <v>77.869155510581095</v>
      </c>
      <c r="AM6123">
        <v>90.327811793100693</v>
      </c>
      <c r="AN6123">
        <v>0.99999995110645901</v>
      </c>
    </row>
    <row r="6124" spans="1:40" x14ac:dyDescent="0.25">
      <c r="A6124" t="str">
        <f>"20190303170656543"</f>
        <v>20190303170656543</v>
      </c>
      <c r="B6124" t="str">
        <f>"1551604016530739"</f>
        <v>1551604016530739</v>
      </c>
      <c r="C6124" t="s">
        <v>40</v>
      </c>
      <c r="D6124">
        <v>5.6427449999999997</v>
      </c>
      <c r="E6124">
        <v>0.47319480000000003</v>
      </c>
      <c r="F6124" t="s">
        <v>41</v>
      </c>
      <c r="G6124">
        <v>-189.55869999999999</v>
      </c>
      <c r="H6124" s="1">
        <v>-3.8119240000000001E-6</v>
      </c>
      <c r="I6124">
        <v>98.335999999999999</v>
      </c>
      <c r="J6124">
        <v>-187.0061</v>
      </c>
      <c r="K6124">
        <v>1.1205309999999999</v>
      </c>
      <c r="L6124">
        <v>68.917689999999993</v>
      </c>
      <c r="M6124">
        <v>-9.7185010000000005E-4</v>
      </c>
      <c r="N6124">
        <v>-1.0145680000000001E-2</v>
      </c>
      <c r="O6124">
        <v>0.99994810000000001</v>
      </c>
      <c r="P6124">
        <v>-6.7811619999999899E-3</v>
      </c>
      <c r="Q6124">
        <v>0.20017589999999999</v>
      </c>
      <c r="R6124">
        <v>0.97973650000000001</v>
      </c>
      <c r="S6124">
        <v>-0.26431270000000001</v>
      </c>
      <c r="T6124">
        <v>-0.11600920000000001</v>
      </c>
      <c r="U6124">
        <v>3.0840450000000001</v>
      </c>
      <c r="V6124">
        <v>-5.8216199999999996E-3</v>
      </c>
      <c r="W6124">
        <v>0.21010619999999999</v>
      </c>
      <c r="X6124">
        <v>0.97766129999999996</v>
      </c>
      <c r="Y6124">
        <v>-8.4369639999999996E-2</v>
      </c>
      <c r="Z6124">
        <v>-2.7313730000000001E-2</v>
      </c>
      <c r="AA6124">
        <v>0.9960601</v>
      </c>
      <c r="AB6124">
        <v>41</v>
      </c>
      <c r="AC6124">
        <v>-2.55259999999998</v>
      </c>
      <c r="AD6124">
        <v>-1.120534811924</v>
      </c>
      <c r="AE6124">
        <v>29.418309999999899</v>
      </c>
      <c r="AF6124">
        <v>-2.5203778319253902</v>
      </c>
      <c r="AG6124">
        <v>-1.120534811924</v>
      </c>
      <c r="AH6124">
        <v>29.378472438180602</v>
      </c>
      <c r="AI6124">
        <v>92.176293741822903</v>
      </c>
      <c r="AJ6124">
        <v>94.903396342961699</v>
      </c>
      <c r="AK6124">
        <v>29.507669265486498</v>
      </c>
      <c r="AL6124">
        <v>77.871424857148497</v>
      </c>
      <c r="AM6124">
        <v>90.341171644673395</v>
      </c>
      <c r="AN6124">
        <v>1.00000006202777</v>
      </c>
    </row>
    <row r="6125" spans="1:40" x14ac:dyDescent="0.25">
      <c r="A6125" t="str">
        <f>"20190303170656566"</f>
        <v>20190303170656566</v>
      </c>
      <c r="B6125" t="str">
        <f>"1551604016560995"</f>
        <v>1551604016560995</v>
      </c>
      <c r="C6125" t="s">
        <v>40</v>
      </c>
      <c r="D6125">
        <v>5.5513409999999999</v>
      </c>
      <c r="E6125">
        <v>0.47312369999999998</v>
      </c>
      <c r="F6125" t="s">
        <v>41</v>
      </c>
      <c r="G6125">
        <v>-189.54839999999999</v>
      </c>
      <c r="H6125" s="1">
        <v>-3.8957599999999998E-6</v>
      </c>
      <c r="I6125">
        <v>98.527140000000003</v>
      </c>
      <c r="J6125">
        <v>-187.00649999999999</v>
      </c>
      <c r="K6125">
        <v>1.1205339999999999</v>
      </c>
      <c r="L6125">
        <v>69.344179999999994</v>
      </c>
      <c r="M6125">
        <v>-9.7234570000000002E-4</v>
      </c>
      <c r="N6125">
        <v>-1.017212E-2</v>
      </c>
      <c r="O6125">
        <v>0.99994780000000005</v>
      </c>
      <c r="P6125">
        <v>-7.3824149999999998E-3</v>
      </c>
      <c r="Q6125">
        <v>0.20028270000000001</v>
      </c>
      <c r="R6125">
        <v>0.97971030000000003</v>
      </c>
      <c r="S6125">
        <v>-0.26480100000000001</v>
      </c>
      <c r="T6125">
        <v>-0.11671330000000001</v>
      </c>
      <c r="U6125">
        <v>3.084076</v>
      </c>
      <c r="V6125">
        <v>-6.4223429999999996E-3</v>
      </c>
      <c r="W6125">
        <v>0.2102386</v>
      </c>
      <c r="X6125">
        <v>0.97762899999999997</v>
      </c>
      <c r="Y6125">
        <v>-8.4524199999999994E-2</v>
      </c>
      <c r="Z6125">
        <v>-2.751348E-2</v>
      </c>
      <c r="AA6125">
        <v>0.99604150000000002</v>
      </c>
      <c r="AB6125">
        <v>41</v>
      </c>
      <c r="AC6125">
        <v>-2.5418999999999898</v>
      </c>
      <c r="AD6125">
        <v>-1.1205378957599901</v>
      </c>
      <c r="AE6125">
        <v>29.182959999999898</v>
      </c>
      <c r="AF6125">
        <v>-2.5098489239122701</v>
      </c>
      <c r="AG6125">
        <v>-1.1205378957599901</v>
      </c>
      <c r="AH6125">
        <v>29.142775416469998</v>
      </c>
      <c r="AI6125">
        <v>92.193821589068406</v>
      </c>
      <c r="AJ6125">
        <v>94.922310502013502</v>
      </c>
      <c r="AK6125">
        <v>29.272107983052798</v>
      </c>
      <c r="AL6125">
        <v>77.863664682457696</v>
      </c>
      <c r="AM6125">
        <v>90.376388031896099</v>
      </c>
      <c r="AN6125">
        <v>0.99999998853028405</v>
      </c>
    </row>
    <row r="6126" spans="1:40" x14ac:dyDescent="0.25">
      <c r="A6126" t="str">
        <f>"20190303170656589"</f>
        <v>20190303170656589</v>
      </c>
      <c r="B6126" t="str">
        <f>"1551604016581491"</f>
        <v>1551604016581491</v>
      </c>
      <c r="C6126" t="s">
        <v>40</v>
      </c>
      <c r="D6126">
        <v>5.5253750000000004</v>
      </c>
      <c r="E6126">
        <v>0.47306540000000002</v>
      </c>
      <c r="F6126" t="s">
        <v>41</v>
      </c>
      <c r="G6126">
        <v>-189.56309999999999</v>
      </c>
      <c r="H6126" s="1">
        <v>-4.0258639999999997E-6</v>
      </c>
      <c r="I6126">
        <v>98.836500000000001</v>
      </c>
      <c r="J6126">
        <v>-187.0069</v>
      </c>
      <c r="K6126">
        <v>1.1205350000000001</v>
      </c>
      <c r="L6126">
        <v>69.765469999999993</v>
      </c>
      <c r="M6126">
        <v>-9.7283120000000002E-4</v>
      </c>
      <c r="N6126">
        <v>-1.020506E-2</v>
      </c>
      <c r="O6126">
        <v>0.99994740000000004</v>
      </c>
      <c r="P6126">
        <v>-6.8795749999999998E-3</v>
      </c>
      <c r="Q6126">
        <v>0.20008790000000001</v>
      </c>
      <c r="R6126">
        <v>0.97975380000000001</v>
      </c>
      <c r="S6126">
        <v>-0.26734920000000001</v>
      </c>
      <c r="T6126">
        <v>-0.11717710000000001</v>
      </c>
      <c r="U6126">
        <v>3.084076</v>
      </c>
      <c r="V6126">
        <v>-5.9186250000000003E-3</v>
      </c>
      <c r="W6126">
        <v>0.2100764</v>
      </c>
      <c r="X6126">
        <v>0.97766710000000001</v>
      </c>
      <c r="Y6126">
        <v>-8.5339970000000001E-2</v>
      </c>
      <c r="Z6126">
        <v>-2.7627479999999999E-2</v>
      </c>
      <c r="AA6126">
        <v>0.99596879999999999</v>
      </c>
      <c r="AB6126">
        <v>41</v>
      </c>
      <c r="AC6126">
        <v>-2.5561999999999898</v>
      </c>
      <c r="AD6126">
        <v>-1.120539025864</v>
      </c>
      <c r="AE6126">
        <v>29.07103</v>
      </c>
      <c r="AF6126">
        <v>-2.5241946702587299</v>
      </c>
      <c r="AG6126">
        <v>-1.120539025864</v>
      </c>
      <c r="AH6126">
        <v>29.030702921423501</v>
      </c>
      <c r="AI6126">
        <v>92.202128486492995</v>
      </c>
      <c r="AJ6126">
        <v>94.969320993962</v>
      </c>
      <c r="AK6126">
        <v>29.161770840499301</v>
      </c>
      <c r="AL6126">
        <v>77.873170991078595</v>
      </c>
      <c r="AM6126">
        <v>90.346854354030398</v>
      </c>
      <c r="AN6126">
        <v>1.00000004119062</v>
      </c>
    </row>
    <row r="6127" spans="1:40" x14ac:dyDescent="0.25">
      <c r="A6127" t="str">
        <f>"20190303170656612"</f>
        <v>20190303170656612</v>
      </c>
      <c r="B6127" t="str">
        <f>"1551604016601011"</f>
        <v>1551604016601011</v>
      </c>
      <c r="C6127" t="s">
        <v>40</v>
      </c>
      <c r="D6127">
        <v>5.5778040000000004</v>
      </c>
      <c r="E6127">
        <v>0.47306870000000001</v>
      </c>
      <c r="F6127" t="s">
        <v>41</v>
      </c>
      <c r="G6127">
        <v>-189.53270000000001</v>
      </c>
      <c r="H6127" s="1">
        <v>-4.0988020000000001E-6</v>
      </c>
      <c r="I6127">
        <v>98.993949999999998</v>
      </c>
      <c r="J6127">
        <v>-187.00729999999999</v>
      </c>
      <c r="K6127">
        <v>1.1205449999999999</v>
      </c>
      <c r="L6127">
        <v>70.198210000000003</v>
      </c>
      <c r="M6127">
        <v>-9.7332699999999996E-4</v>
      </c>
      <c r="N6127">
        <v>-1.024194E-2</v>
      </c>
      <c r="O6127">
        <v>0.99994709999999998</v>
      </c>
      <c r="P6127">
        <v>-6.9821290000000001E-3</v>
      </c>
      <c r="Q6127">
        <v>0.20010600000000001</v>
      </c>
      <c r="R6127">
        <v>0.97974939999999999</v>
      </c>
      <c r="S6127">
        <v>-0.26652530000000002</v>
      </c>
      <c r="T6127">
        <v>-0.118242</v>
      </c>
      <c r="U6127">
        <v>3.0842589999999999</v>
      </c>
      <c r="V6127">
        <v>-6.020648E-3</v>
      </c>
      <c r="W6127">
        <v>0.2101305</v>
      </c>
      <c r="X6127">
        <v>0.97765480000000005</v>
      </c>
      <c r="Y6127">
        <v>-8.5069359999999997E-2</v>
      </c>
      <c r="Z6127">
        <v>-2.7932619999999998E-2</v>
      </c>
      <c r="AA6127">
        <v>0.99598339999999996</v>
      </c>
      <c r="AB6127">
        <v>41</v>
      </c>
      <c r="AC6127">
        <v>-2.5254000000000101</v>
      </c>
      <c r="AD6127">
        <v>-1.1205490988019999</v>
      </c>
      <c r="AE6127">
        <v>28.795739999999899</v>
      </c>
      <c r="AF6127">
        <v>-2.4936224493180901</v>
      </c>
      <c r="AG6127">
        <v>-1.1205490988019999</v>
      </c>
      <c r="AH6127">
        <v>28.754973884180899</v>
      </c>
      <c r="AI6127">
        <v>92.223287309933696</v>
      </c>
      <c r="AJ6127">
        <v>94.956272884183903</v>
      </c>
      <c r="AK6127">
        <v>28.884637894259601</v>
      </c>
      <c r="AL6127">
        <v>77.869999911295594</v>
      </c>
      <c r="AM6127">
        <v>90.352837586124295</v>
      </c>
      <c r="AN6127">
        <v>0.99999999159781505</v>
      </c>
    </row>
    <row r="6128" spans="1:40" x14ac:dyDescent="0.25">
      <c r="A6128" t="str">
        <f>"20190303170656634"</f>
        <v>20190303170656634</v>
      </c>
      <c r="B6128" t="str">
        <f>"1551604016621037"</f>
        <v>1551604016621037</v>
      </c>
      <c r="C6128" t="s">
        <v>40</v>
      </c>
      <c r="D6128">
        <v>5.4764670000000004</v>
      </c>
      <c r="E6128">
        <v>0.47313060000000001</v>
      </c>
      <c r="F6128" t="s">
        <v>41</v>
      </c>
      <c r="G6128">
        <v>-189.53290000000001</v>
      </c>
      <c r="H6128" s="1">
        <v>-4.2872680000000004E-6</v>
      </c>
      <c r="I6128">
        <v>99.433369999999996</v>
      </c>
      <c r="J6128">
        <v>-187.0077</v>
      </c>
      <c r="K6128">
        <v>1.120549</v>
      </c>
      <c r="L6128">
        <v>70.597110000000001</v>
      </c>
      <c r="M6128">
        <v>-9.7379719999999995E-4</v>
      </c>
      <c r="N6128">
        <v>-1.0280930000000001E-2</v>
      </c>
      <c r="O6128">
        <v>0.99994669999999997</v>
      </c>
      <c r="P6128">
        <v>-7.2842289999999997E-3</v>
      </c>
      <c r="Q6128">
        <v>0.20026949999999999</v>
      </c>
      <c r="R6128">
        <v>0.97971379999999997</v>
      </c>
      <c r="S6128">
        <v>-0.26644899999999999</v>
      </c>
      <c r="T6128">
        <v>-0.118216</v>
      </c>
      <c r="U6128">
        <v>3.0842589999999999</v>
      </c>
      <c r="V6128">
        <v>-6.3224539999999999E-3</v>
      </c>
      <c r="W6128">
        <v>0.21033180000000001</v>
      </c>
      <c r="X6128">
        <v>0.97760959999999997</v>
      </c>
      <c r="Y6128">
        <v>-8.5044469999999997E-2</v>
      </c>
      <c r="Z6128">
        <v>-2.7885340000000002E-2</v>
      </c>
      <c r="AA6128">
        <v>0.99598690000000001</v>
      </c>
      <c r="AB6128">
        <v>41</v>
      </c>
      <c r="AC6128">
        <v>-2.5252000000000101</v>
      </c>
      <c r="AD6128">
        <v>-1.120553287268</v>
      </c>
      <c r="AE6128">
        <v>28.836259999999999</v>
      </c>
      <c r="AF6128">
        <v>-2.4933802102887901</v>
      </c>
      <c r="AG6128">
        <v>-1.120553287268</v>
      </c>
      <c r="AH6128">
        <v>28.7955540882771</v>
      </c>
      <c r="AI6128">
        <v>92.220190482758298</v>
      </c>
      <c r="AJ6128">
        <v>94.948844556306597</v>
      </c>
      <c r="AK6128">
        <v>28.925015467473099</v>
      </c>
      <c r="AL6128">
        <v>77.858202537246299</v>
      </c>
      <c r="AM6128">
        <v>90.370541451385407</v>
      </c>
      <c r="AN6128">
        <v>0.99999998476398999</v>
      </c>
    </row>
    <row r="6129" spans="1:40" x14ac:dyDescent="0.25">
      <c r="A6129" t="str">
        <f>"20190303170656658"</f>
        <v>20190303170656658</v>
      </c>
      <c r="B6129" t="str">
        <f>"1551604016651294"</f>
        <v>1551604016651294</v>
      </c>
      <c r="C6129" t="s">
        <v>40</v>
      </c>
      <c r="D6129">
        <v>5.5338089999999998</v>
      </c>
      <c r="E6129">
        <v>0.47311900000000001</v>
      </c>
      <c r="F6129" t="s">
        <v>41</v>
      </c>
      <c r="G6129">
        <v>-189.5367</v>
      </c>
      <c r="H6129" s="1">
        <v>-2.0047460000000001E-7</v>
      </c>
      <c r="I6129">
        <v>99.874949999999998</v>
      </c>
      <c r="J6129">
        <v>-187.00810000000001</v>
      </c>
      <c r="K6129">
        <v>1.1205560000000001</v>
      </c>
      <c r="L6129">
        <v>71.018069999999994</v>
      </c>
      <c r="M6129">
        <v>-9.742924E-4</v>
      </c>
      <c r="N6129">
        <v>-1.033187E-2</v>
      </c>
      <c r="O6129">
        <v>0.99994620000000001</v>
      </c>
      <c r="P6129">
        <v>-8.1653739999999995E-3</v>
      </c>
      <c r="Q6129">
        <v>0.2001706</v>
      </c>
      <c r="R6129">
        <v>0.97972700000000001</v>
      </c>
      <c r="S6129">
        <v>-0.2664185</v>
      </c>
      <c r="T6129">
        <v>-0.1180437</v>
      </c>
      <c r="U6129">
        <v>3.0842589999999999</v>
      </c>
      <c r="V6129">
        <v>-7.2031049999999996E-3</v>
      </c>
      <c r="W6129">
        <v>0.21028289999999999</v>
      </c>
      <c r="X6129">
        <v>0.97761399999999998</v>
      </c>
      <c r="Y6129">
        <v>-8.5034349999999995E-2</v>
      </c>
      <c r="Z6129">
        <v>-2.7778870000000001E-2</v>
      </c>
      <c r="AA6129">
        <v>0.99599070000000001</v>
      </c>
      <c r="AB6129">
        <v>41</v>
      </c>
      <c r="AC6129">
        <v>-2.52859999999998</v>
      </c>
      <c r="AD6129">
        <v>-1.1205562004745999</v>
      </c>
      <c r="AE6129">
        <v>28.85688</v>
      </c>
      <c r="AF6129">
        <v>-2.49674613956384</v>
      </c>
      <c r="AG6129">
        <v>-1.1205562004745999</v>
      </c>
      <c r="AH6129">
        <v>28.816209556774901</v>
      </c>
      <c r="AI6129">
        <v>92.218595972077907</v>
      </c>
      <c r="AJ6129">
        <v>94.951957556737696</v>
      </c>
      <c r="AK6129">
        <v>28.945868802021</v>
      </c>
      <c r="AL6129">
        <v>77.861068063523106</v>
      </c>
      <c r="AM6129">
        <v>90.422150304479501</v>
      </c>
      <c r="AN6129">
        <v>0.99999995787502405</v>
      </c>
    </row>
    <row r="6130" spans="1:40" x14ac:dyDescent="0.25">
      <c r="A6130" t="str">
        <f>"20190303170656678"</f>
        <v>20190303170656678</v>
      </c>
      <c r="B6130" t="str">
        <f>"1551604016670814"</f>
        <v>1551604016670814</v>
      </c>
      <c r="C6130" t="s">
        <v>40</v>
      </c>
      <c r="D6130">
        <v>5.5128579999999996</v>
      </c>
      <c r="E6130">
        <v>0.47307979999999999</v>
      </c>
      <c r="F6130" t="s">
        <v>41</v>
      </c>
      <c r="G6130">
        <v>-189.55420000000001</v>
      </c>
      <c r="H6130" s="1">
        <v>-3.040301E-7</v>
      </c>
      <c r="I6130">
        <v>100.1571</v>
      </c>
      <c r="J6130">
        <v>-187.0085</v>
      </c>
      <c r="K6130">
        <v>1.1205620000000001</v>
      </c>
      <c r="L6130">
        <v>71.418610000000001</v>
      </c>
      <c r="M6130">
        <v>-9.747585E-4</v>
      </c>
      <c r="N6130">
        <v>-1.040401E-2</v>
      </c>
      <c r="O6130">
        <v>0.99994539999999998</v>
      </c>
      <c r="P6130">
        <v>-8.5830609999999995E-3</v>
      </c>
      <c r="Q6130">
        <v>0.20010990000000001</v>
      </c>
      <c r="R6130">
        <v>0.97973589999999999</v>
      </c>
      <c r="S6130">
        <v>-0.26947019999999999</v>
      </c>
      <c r="T6130">
        <v>-0.1185985</v>
      </c>
      <c r="U6130">
        <v>3.0840450000000001</v>
      </c>
      <c r="V6130">
        <v>-7.6203039999999996E-3</v>
      </c>
      <c r="W6130">
        <v>0.2102927</v>
      </c>
      <c r="X6130">
        <v>0.97760880000000006</v>
      </c>
      <c r="Y6130">
        <v>-8.6017159999999995E-2</v>
      </c>
      <c r="Z6130">
        <v>-2.788504E-2</v>
      </c>
      <c r="AA6130">
        <v>0.99590339999999999</v>
      </c>
      <c r="AB6130">
        <v>41</v>
      </c>
      <c r="AC6130">
        <v>-2.5457000000000098</v>
      </c>
      <c r="AD6130">
        <v>-1.1205623040301</v>
      </c>
      <c r="AE6130">
        <v>28.738489999999999</v>
      </c>
      <c r="AF6130">
        <v>-2.51389194290052</v>
      </c>
      <c r="AG6130">
        <v>-1.1205623040301</v>
      </c>
      <c r="AH6130">
        <v>28.6976670594062</v>
      </c>
      <c r="AI6130">
        <v>92.227579481223401</v>
      </c>
      <c r="AJ6130">
        <v>95.006283651729404</v>
      </c>
      <c r="AK6130">
        <v>28.8293497538588</v>
      </c>
      <c r="AL6130">
        <v>77.860494577597194</v>
      </c>
      <c r="AM6130">
        <v>90.446602378542806</v>
      </c>
      <c r="AN6130">
        <v>1.0000000272718901</v>
      </c>
    </row>
    <row r="6131" spans="1:40" x14ac:dyDescent="0.25">
      <c r="A6131" t="str">
        <f>"20190303170656701"</f>
        <v>20190303170656701</v>
      </c>
      <c r="B6131" t="str">
        <f>"1551604016691309"</f>
        <v>1551604016691309</v>
      </c>
      <c r="C6131" t="s">
        <v>40</v>
      </c>
      <c r="D6131">
        <v>5.491835</v>
      </c>
      <c r="E6131">
        <v>0.47307329999999997</v>
      </c>
      <c r="F6131" t="s">
        <v>41</v>
      </c>
      <c r="G6131">
        <v>-189.55799999999999</v>
      </c>
      <c r="H6131" s="1">
        <v>-4.1890090000000001E-7</v>
      </c>
      <c r="I6131">
        <v>100.4265</v>
      </c>
      <c r="J6131">
        <v>-187.00890000000001</v>
      </c>
      <c r="K6131">
        <v>1.120584</v>
      </c>
      <c r="L6131">
        <v>71.822389999999999</v>
      </c>
      <c r="M6131">
        <v>-9.751982E-4</v>
      </c>
      <c r="N6131">
        <v>-1.051304E-2</v>
      </c>
      <c r="O6131">
        <v>0.99994430000000001</v>
      </c>
      <c r="P6131">
        <v>-8.9545570000000001E-3</v>
      </c>
      <c r="Q6131">
        <v>0.19972670000000001</v>
      </c>
      <c r="R6131">
        <v>0.97981070000000003</v>
      </c>
      <c r="S6131">
        <v>-0.2710571</v>
      </c>
      <c r="T6131">
        <v>-0.119134199999999</v>
      </c>
      <c r="U6131">
        <v>3.084015</v>
      </c>
      <c r="V6131">
        <v>-7.9909190000000008E-3</v>
      </c>
      <c r="W6131">
        <v>0.21001719999999999</v>
      </c>
      <c r="X6131">
        <v>0.97766509999999995</v>
      </c>
      <c r="Y6131">
        <v>-8.6525480000000002E-2</v>
      </c>
      <c r="Z6131">
        <v>-2.794746E-2</v>
      </c>
      <c r="AA6131">
        <v>0.99585749999999995</v>
      </c>
      <c r="AB6131">
        <v>41</v>
      </c>
      <c r="AC6131">
        <v>-2.5490999999999802</v>
      </c>
      <c r="AD6131">
        <v>-1.1205844189009</v>
      </c>
      <c r="AE6131">
        <v>28.604109999999999</v>
      </c>
      <c r="AF6131">
        <v>-2.5173695265585199</v>
      </c>
      <c r="AG6131">
        <v>-1.1205844189009</v>
      </c>
      <c r="AH6131">
        <v>28.5630911464634</v>
      </c>
      <c r="AI6131">
        <v>92.238004076001999</v>
      </c>
      <c r="AJ6131">
        <v>95.036672325989997</v>
      </c>
      <c r="AK6131">
        <v>28.695697144594799</v>
      </c>
      <c r="AL6131">
        <v>77.876640570256498</v>
      </c>
      <c r="AM6131">
        <v>90.468295061339106</v>
      </c>
      <c r="AN6131">
        <v>1.00000006342015</v>
      </c>
    </row>
    <row r="6132" spans="1:40" x14ac:dyDescent="0.25">
      <c r="A6132" t="str">
        <f>"20190303170656746"</f>
        <v>20190303170656746</v>
      </c>
      <c r="B6132" t="str">
        <f>"1551604016740615"</f>
        <v>1551604016740615</v>
      </c>
      <c r="C6132" t="s">
        <v>40</v>
      </c>
      <c r="D6132">
        <v>5.646827</v>
      </c>
      <c r="E6132">
        <v>0.4730724</v>
      </c>
      <c r="F6132" t="s">
        <v>41</v>
      </c>
      <c r="G6132">
        <v>-189.53639999999999</v>
      </c>
      <c r="H6132" s="1">
        <v>-4.2789229999999998E-7</v>
      </c>
      <c r="I6132">
        <v>100.4385</v>
      </c>
      <c r="J6132">
        <v>-187.00970000000001</v>
      </c>
      <c r="K6132">
        <v>1.1206640000000001</v>
      </c>
      <c r="L6132">
        <v>72.638729999999995</v>
      </c>
      <c r="M6132">
        <v>-9.7588289999999995E-4</v>
      </c>
      <c r="N6132">
        <v>-1.088535E-2</v>
      </c>
      <c r="O6132">
        <v>0.9999403</v>
      </c>
      <c r="P6132">
        <v>-8.3387180000000002E-3</v>
      </c>
      <c r="Q6132">
        <v>0.19936580000000001</v>
      </c>
      <c r="R6132">
        <v>0.97988969999999997</v>
      </c>
      <c r="S6132">
        <v>-0.27238459999999998</v>
      </c>
      <c r="T6132">
        <v>-0.120764</v>
      </c>
      <c r="U6132">
        <v>3.083923</v>
      </c>
      <c r="V6132">
        <v>-7.3741469999999898E-3</v>
      </c>
      <c r="W6132">
        <v>0.21002090000000001</v>
      </c>
      <c r="X6132">
        <v>0.97766909999999896</v>
      </c>
      <c r="Y6132">
        <v>-8.6951039999999993E-2</v>
      </c>
      <c r="Z6132">
        <v>-2.8100460000000001E-2</v>
      </c>
      <c r="AA6132">
        <v>0.99581620000000004</v>
      </c>
      <c r="AB6132">
        <v>41</v>
      </c>
      <c r="AC6132">
        <v>-2.5266999999999702</v>
      </c>
      <c r="AD6132">
        <v>-1.1206644278922999</v>
      </c>
      <c r="AE6132">
        <v>27.799769999999899</v>
      </c>
      <c r="AF6132">
        <v>-2.49554569080582</v>
      </c>
      <c r="AG6132">
        <v>-1.1206644278922999</v>
      </c>
      <c r="AH6132">
        <v>27.757484731425201</v>
      </c>
      <c r="AI6132">
        <v>92.302693094118297</v>
      </c>
      <c r="AJ6132">
        <v>95.137383629643793</v>
      </c>
      <c r="AK6132">
        <v>27.8919629225005</v>
      </c>
      <c r="AL6132">
        <v>77.876423116810997</v>
      </c>
      <c r="AM6132">
        <v>90.432149782232599</v>
      </c>
      <c r="AN6132">
        <v>1.0000000127877899</v>
      </c>
    </row>
    <row r="6133" spans="1:40" x14ac:dyDescent="0.25">
      <c r="A6133" t="str">
        <f>"20190303170656766"</f>
        <v>20190303170656766</v>
      </c>
      <c r="B6133" t="str">
        <f>"1551604016761112"</f>
        <v>1551604016761112</v>
      </c>
      <c r="C6133" t="s">
        <v>40</v>
      </c>
      <c r="D6133">
        <v>5.4534019999999996</v>
      </c>
      <c r="E6133">
        <v>0.47307549999999998</v>
      </c>
      <c r="F6133" t="s">
        <v>41</v>
      </c>
      <c r="G6133">
        <v>-189.4837</v>
      </c>
      <c r="H6133" s="1">
        <v>-6.2082539999999997E-7</v>
      </c>
      <c r="I6133">
        <v>100.8665</v>
      </c>
      <c r="J6133">
        <v>-187.01009999999999</v>
      </c>
      <c r="K6133">
        <v>1.120706</v>
      </c>
      <c r="L6133">
        <v>73.038600000000002</v>
      </c>
      <c r="M6133">
        <v>-9.7599079999999999E-4</v>
      </c>
      <c r="N6133">
        <v>-1.1130350000000001E-2</v>
      </c>
      <c r="O6133">
        <v>0.99993759999999998</v>
      </c>
      <c r="P6133">
        <v>-7.6770509999999998E-3</v>
      </c>
      <c r="Q6133">
        <v>0.19897989999999999</v>
      </c>
      <c r="R6133">
        <v>0.97997350000000005</v>
      </c>
      <c r="S6133">
        <v>-0.27030939999999998</v>
      </c>
      <c r="T6133">
        <v>-0.122444</v>
      </c>
      <c r="U6133">
        <v>3.0841669999999999</v>
      </c>
      <c r="V6133">
        <v>-6.712839E-3</v>
      </c>
      <c r="W6133">
        <v>0.20987539999999999</v>
      </c>
      <c r="X6133">
        <v>0.97770509999999999</v>
      </c>
      <c r="Y6133">
        <v>-8.6277660000000006E-2</v>
      </c>
      <c r="Z6133">
        <v>-2.8396379999999999E-2</v>
      </c>
      <c r="AA6133">
        <v>0.99586640000000004</v>
      </c>
      <c r="AB6133">
        <v>41</v>
      </c>
      <c r="AC6133">
        <v>-2.4735999999999998</v>
      </c>
      <c r="AD6133">
        <v>-1.1207066208254</v>
      </c>
      <c r="AE6133">
        <v>27.8279</v>
      </c>
      <c r="AF6133">
        <v>-2.4425069286766399</v>
      </c>
      <c r="AG6133">
        <v>-1.1207066208254</v>
      </c>
      <c r="AH6133">
        <v>27.7855890516167</v>
      </c>
      <c r="AI6133">
        <v>92.300858401006707</v>
      </c>
      <c r="AJ6133">
        <v>95.0237023926083</v>
      </c>
      <c r="AK6133">
        <v>27.9152428320428</v>
      </c>
      <c r="AL6133">
        <v>77.8849495821663</v>
      </c>
      <c r="AM6133">
        <v>90.393381705487698</v>
      </c>
      <c r="AN6133">
        <v>1.0000000041493</v>
      </c>
    </row>
    <row r="6134" spans="1:40" x14ac:dyDescent="0.25">
      <c r="A6134" t="str">
        <f>"20190303170656789"</f>
        <v>20190303170656789</v>
      </c>
      <c r="B6134" t="str">
        <f>"1551604016780632"</f>
        <v>1551604016780632</v>
      </c>
      <c r="C6134" t="s">
        <v>40</v>
      </c>
      <c r="D6134">
        <v>5.6462839999999996</v>
      </c>
      <c r="E6134">
        <v>0.50356979999999996</v>
      </c>
      <c r="F6134" t="s">
        <v>41</v>
      </c>
      <c r="G6134">
        <v>-189.44280000000001</v>
      </c>
      <c r="H6134" s="1">
        <v>-6.7328519999999997E-7</v>
      </c>
      <c r="I6134">
        <v>100.9718</v>
      </c>
      <c r="J6134">
        <v>-187.01050000000001</v>
      </c>
      <c r="K6134">
        <v>1.120752</v>
      </c>
      <c r="L6134">
        <v>73.452910000000003</v>
      </c>
      <c r="M6134">
        <v>-9.7613490000000001E-4</v>
      </c>
      <c r="N6134">
        <v>-1.1390829999999999E-2</v>
      </c>
      <c r="O6134">
        <v>0.99993469999999995</v>
      </c>
      <c r="P6134">
        <v>-6.3619799999999997E-3</v>
      </c>
      <c r="Q6134">
        <v>0.1986858</v>
      </c>
      <c r="R6134">
        <v>0.98004259999999999</v>
      </c>
      <c r="S6134">
        <v>-0.26861570000000001</v>
      </c>
      <c r="T6134">
        <v>-0.1237458</v>
      </c>
      <c r="U6134">
        <v>3.08432</v>
      </c>
      <c r="V6134">
        <v>-5.3972430000000004E-3</v>
      </c>
      <c r="W6134">
        <v>0.20983669999999999</v>
      </c>
      <c r="X6134">
        <v>0.97772159999999997</v>
      </c>
      <c r="Y6134">
        <v>-8.5729360000000004E-2</v>
      </c>
      <c r="Z6134">
        <v>-2.8555589999999999E-2</v>
      </c>
      <c r="AA6134">
        <v>0.99590919999999905</v>
      </c>
      <c r="AB6134">
        <v>41</v>
      </c>
      <c r="AC6134">
        <v>-2.4322999999999899</v>
      </c>
      <c r="AD6134">
        <v>-1.1207526732852</v>
      </c>
      <c r="AE6134">
        <v>27.518889999999999</v>
      </c>
      <c r="AF6134">
        <v>-2.4014825808426901</v>
      </c>
      <c r="AG6134">
        <v>-1.1207526732852</v>
      </c>
      <c r="AH6134">
        <v>27.476031130104499</v>
      </c>
      <c r="AI6134">
        <v>92.326949771696704</v>
      </c>
      <c r="AJ6134">
        <v>94.9951188069913</v>
      </c>
      <c r="AK6134">
        <v>27.603541290987302</v>
      </c>
      <c r="AL6134">
        <v>77.887217980102307</v>
      </c>
      <c r="AM6134">
        <v>90.316282368955498</v>
      </c>
      <c r="AN6134">
        <v>1.0000000490027201</v>
      </c>
    </row>
    <row r="6135" spans="1:40" x14ac:dyDescent="0.25">
      <c r="A6135" t="str">
        <f>"20190303170656820"</f>
        <v>20190303170656820</v>
      </c>
      <c r="B6135" t="str">
        <f>"1551604016810888"</f>
        <v>1551604016810888</v>
      </c>
      <c r="C6135" t="s">
        <v>40</v>
      </c>
      <c r="D6135">
        <v>5.5371079999999999</v>
      </c>
      <c r="E6135">
        <v>0.52655549999999995</v>
      </c>
      <c r="F6135" t="s">
        <v>41</v>
      </c>
      <c r="G6135">
        <v>-187.1747</v>
      </c>
      <c r="H6135" s="1">
        <v>-3.5508010000000002E-6</v>
      </c>
      <c r="I6135">
        <v>96.741550000000004</v>
      </c>
      <c r="J6135">
        <v>-187.0111</v>
      </c>
      <c r="K6135">
        <v>1.1208</v>
      </c>
      <c r="L6135">
        <v>73.998660000000001</v>
      </c>
      <c r="M6135">
        <v>-9.7643990000000004E-4</v>
      </c>
      <c r="N6135">
        <v>-1.1752429999999999E-2</v>
      </c>
      <c r="O6135">
        <v>0.9999304</v>
      </c>
      <c r="P6135">
        <v>-5.6014139999999999E-3</v>
      </c>
      <c r="Q6135">
        <v>0.1980325</v>
      </c>
      <c r="R6135">
        <v>0.98017949999999998</v>
      </c>
      <c r="S6135">
        <v>-2.1789550000000001E-2</v>
      </c>
      <c r="T6135">
        <v>-0.148759</v>
      </c>
      <c r="U6135">
        <v>3.0911249999999999</v>
      </c>
      <c r="V6135">
        <v>-4.6362180000000001E-3</v>
      </c>
      <c r="W6135">
        <v>0.20953830000000001</v>
      </c>
      <c r="X6135">
        <v>0.97778949999999998</v>
      </c>
      <c r="Y6135">
        <v>-6.0656180000000001E-3</v>
      </c>
      <c r="Z6135">
        <v>-3.6325709999999997E-2</v>
      </c>
      <c r="AA6135">
        <v>0.99932160000000003</v>
      </c>
      <c r="AB6135">
        <v>41</v>
      </c>
      <c r="AC6135">
        <v>-0.16360000000000199</v>
      </c>
      <c r="AD6135">
        <v>-1.1208035508009999</v>
      </c>
      <c r="AE6135">
        <v>22.742889999999999</v>
      </c>
      <c r="AF6135">
        <v>-0.14104877905892901</v>
      </c>
      <c r="AG6135">
        <v>-1.1208035508009999</v>
      </c>
      <c r="AH6135">
        <v>22.687940347436498</v>
      </c>
      <c r="AI6135">
        <v>92.828106517168905</v>
      </c>
      <c r="AJ6135">
        <v>90.356197852594207</v>
      </c>
      <c r="AK6135">
        <v>22.716045707085598</v>
      </c>
      <c r="AL6135">
        <v>77.904703788374405</v>
      </c>
      <c r="AM6135">
        <v>90.271667607032001</v>
      </c>
      <c r="AN6135">
        <v>1.0000000499972399</v>
      </c>
    </row>
    <row r="6136" spans="1:40" x14ac:dyDescent="0.25">
      <c r="A6136" t="str">
        <f>"20190303170656837"</f>
        <v>20190303170656837</v>
      </c>
      <c r="B6136" t="str">
        <f>"1551604016830915"</f>
        <v>1551604016830915</v>
      </c>
      <c r="C6136" t="s">
        <v>40</v>
      </c>
      <c r="D6136">
        <v>5.5404710000000001</v>
      </c>
      <c r="E6136">
        <v>0.53233640000000004</v>
      </c>
      <c r="F6136" t="s">
        <v>41</v>
      </c>
      <c r="G6136">
        <v>-185.5968</v>
      </c>
      <c r="H6136" s="1">
        <v>-1.459408E-6</v>
      </c>
      <c r="I6136">
        <v>100.4939</v>
      </c>
      <c r="J6136">
        <v>-187.01140000000001</v>
      </c>
      <c r="K6136">
        <v>1.1208279999999999</v>
      </c>
      <c r="L6136">
        <v>74.323669999999893</v>
      </c>
      <c r="M6136">
        <v>-9.7665459999999996E-4</v>
      </c>
      <c r="N6136">
        <v>-1.1973030000000001E-2</v>
      </c>
      <c r="O6136">
        <v>0.99992780000000003</v>
      </c>
      <c r="P6136">
        <v>-5.1079020000000001E-3</v>
      </c>
      <c r="Q6136">
        <v>0.19748489999999999</v>
      </c>
      <c r="R6136">
        <v>0.98029259999999996</v>
      </c>
      <c r="S6136">
        <v>0.16482539999999901</v>
      </c>
      <c r="T6136">
        <v>-0.1306291</v>
      </c>
      <c r="U6136">
        <v>3.0880130000000001</v>
      </c>
      <c r="V6136">
        <v>-4.1422969999999996E-3</v>
      </c>
      <c r="W6136">
        <v>0.2092077</v>
      </c>
      <c r="X6136">
        <v>0.97786240000000002</v>
      </c>
      <c r="Y6136">
        <v>5.4233370000000003E-2</v>
      </c>
      <c r="Z6136">
        <v>-3.0237389999999999E-2</v>
      </c>
      <c r="AA6136">
        <v>0.99807040000000002</v>
      </c>
      <c r="AB6136">
        <v>41</v>
      </c>
      <c r="AC6136">
        <v>1.4146000000000001</v>
      </c>
      <c r="AD6136">
        <v>-1.1208294594079999</v>
      </c>
      <c r="AE6136">
        <v>26.17023</v>
      </c>
      <c r="AF6136">
        <v>1.4375312909684499</v>
      </c>
      <c r="AG6136">
        <v>-1.1208294594079999</v>
      </c>
      <c r="AH6136">
        <v>26.121062265934999</v>
      </c>
      <c r="AI6136">
        <v>92.453291405867901</v>
      </c>
      <c r="AJ6136">
        <v>86.849995071581603</v>
      </c>
      <c r="AK6136">
        <v>26.184588001159099</v>
      </c>
      <c r="AL6136">
        <v>77.924073856958401</v>
      </c>
      <c r="AM6136">
        <v>90.242707681564596</v>
      </c>
      <c r="AN6136">
        <v>0.99999994684874105</v>
      </c>
    </row>
    <row r="6137" spans="1:40" x14ac:dyDescent="0.25">
      <c r="A6137" t="str">
        <f>"20190303170656858"</f>
        <v>20190303170656858</v>
      </c>
      <c r="B6137" t="str">
        <f>"1551604016851410"</f>
        <v>1551604016851410</v>
      </c>
      <c r="C6137" t="s">
        <v>40</v>
      </c>
      <c r="D6137">
        <v>5.4882059999999999</v>
      </c>
      <c r="E6137">
        <v>0.5357111</v>
      </c>
      <c r="F6137" t="s">
        <v>41</v>
      </c>
      <c r="G6137">
        <v>-185.12700000000001</v>
      </c>
      <c r="H6137" s="1">
        <v>-1.9824089999999999E-6</v>
      </c>
      <c r="I6137">
        <v>101.6634</v>
      </c>
      <c r="J6137">
        <v>-187.01169999999999</v>
      </c>
      <c r="K6137">
        <v>1.120857</v>
      </c>
      <c r="L6137">
        <v>74.698969999999903</v>
      </c>
      <c r="M6137">
        <v>-9.7708470000000005E-4</v>
      </c>
      <c r="N6137">
        <v>-1.2218379999999999E-2</v>
      </c>
      <c r="O6137">
        <v>0.99992490000000001</v>
      </c>
      <c r="P6137">
        <v>-4.7002670000000002E-3</v>
      </c>
      <c r="Q6137">
        <v>0.1971899</v>
      </c>
      <c r="R6137">
        <v>0.98035410000000001</v>
      </c>
      <c r="S6137">
        <v>0.2127686</v>
      </c>
      <c r="T6137">
        <v>-0.12655250000000001</v>
      </c>
      <c r="U6137">
        <v>3.0869140000000002</v>
      </c>
      <c r="V6137">
        <v>-3.7343419999999999E-3</v>
      </c>
      <c r="W6137">
        <v>0.2091537</v>
      </c>
      <c r="X6137">
        <v>0.97787559999999996</v>
      </c>
      <c r="Y6137">
        <v>6.9686819999999997E-2</v>
      </c>
      <c r="Z6137">
        <v>-2.8652210000000001E-2</v>
      </c>
      <c r="AA6137">
        <v>0.99715730000000002</v>
      </c>
      <c r="AB6137">
        <v>41</v>
      </c>
      <c r="AC6137">
        <v>1.8846999999999801</v>
      </c>
      <c r="AD6137">
        <v>-1.1208589824090001</v>
      </c>
      <c r="AE6137">
        <v>26.96443</v>
      </c>
      <c r="AF6137">
        <v>1.90776718713854</v>
      </c>
      <c r="AG6137">
        <v>-1.1208589824090001</v>
      </c>
      <c r="AH6137">
        <v>26.9162928334143</v>
      </c>
      <c r="AI6137">
        <v>92.378595690178003</v>
      </c>
      <c r="AJ6137">
        <v>85.945782054175694</v>
      </c>
      <c r="AK6137">
        <v>27.007086484715099</v>
      </c>
      <c r="AL6137">
        <v>77.927237892552398</v>
      </c>
      <c r="AM6137">
        <v>90.218801855536995</v>
      </c>
      <c r="AN6137">
        <v>0.99999995230461003</v>
      </c>
    </row>
    <row r="6138" spans="1:40" x14ac:dyDescent="0.25">
      <c r="A6138" t="str">
        <f>"20190303170656879"</f>
        <v>20190303170656879</v>
      </c>
      <c r="B6138" t="str">
        <f>"1551604016870931"</f>
        <v>1551604016870931</v>
      </c>
      <c r="C6138" t="s">
        <v>40</v>
      </c>
      <c r="D6138">
        <v>5.5016920000000002</v>
      </c>
      <c r="E6138">
        <v>0.53768629999999995</v>
      </c>
      <c r="F6138" t="s">
        <v>41</v>
      </c>
      <c r="G6138">
        <v>-184.8185</v>
      </c>
      <c r="H6138" s="1">
        <v>-2.444912E-6</v>
      </c>
      <c r="I6138">
        <v>102.7812</v>
      </c>
      <c r="J6138">
        <v>-187.01220000000001</v>
      </c>
      <c r="K6138">
        <v>1.1208849999999999</v>
      </c>
      <c r="L6138">
        <v>75.115229999999997</v>
      </c>
      <c r="M6138">
        <v>-9.7725440000000002E-4</v>
      </c>
      <c r="N6138">
        <v>-1.246971E-2</v>
      </c>
      <c r="O6138">
        <v>0.99992179999999997</v>
      </c>
      <c r="P6138">
        <v>-3.9266099999999996E-3</v>
      </c>
      <c r="Q6138">
        <v>0.19660830000000001</v>
      </c>
      <c r="R6138">
        <v>0.98047419999999996</v>
      </c>
      <c r="S6138">
        <v>0.24102779999999999</v>
      </c>
      <c r="T6138">
        <v>-0.1231751</v>
      </c>
      <c r="U6138">
        <v>3.0860599999999998</v>
      </c>
      <c r="V6138">
        <v>-2.9600550000000001E-3</v>
      </c>
      <c r="W6138">
        <v>0.20881930000000001</v>
      </c>
      <c r="X6138">
        <v>0.97794970000000003</v>
      </c>
      <c r="Y6138">
        <v>7.8784670000000001E-2</v>
      </c>
      <c r="Z6138">
        <v>-2.7295819999999998E-2</v>
      </c>
      <c r="AA6138">
        <v>0.99651789999999996</v>
      </c>
      <c r="AB6138">
        <v>41</v>
      </c>
      <c r="AC6138">
        <v>2.1937000000000002</v>
      </c>
      <c r="AD6138">
        <v>-1.1208874449120001</v>
      </c>
      <c r="AE6138">
        <v>27.665969999999898</v>
      </c>
      <c r="AF6138">
        <v>2.2171211516536502</v>
      </c>
      <c r="AG6138">
        <v>-1.1208874449120001</v>
      </c>
      <c r="AH6138">
        <v>27.618760782530099</v>
      </c>
      <c r="AI6138">
        <v>92.316588243475493</v>
      </c>
      <c r="AJ6138">
        <v>85.410371144008906</v>
      </c>
      <c r="AK6138">
        <v>27.730271582296002</v>
      </c>
      <c r="AL6138">
        <v>77.946830065423498</v>
      </c>
      <c r="AM6138">
        <v>90.173422151163194</v>
      </c>
      <c r="AN6138">
        <v>0.999999938854089</v>
      </c>
    </row>
    <row r="6139" spans="1:40" x14ac:dyDescent="0.25">
      <c r="A6139" t="str">
        <f>"20190303170656902"</f>
        <v>20190303170656902</v>
      </c>
      <c r="B6139" t="str">
        <f>"1551604016891427"</f>
        <v>1551604016891427</v>
      </c>
      <c r="C6139" t="s">
        <v>40</v>
      </c>
      <c r="D6139">
        <v>5.5170349999999999</v>
      </c>
      <c r="E6139">
        <v>0.53920669999999904</v>
      </c>
      <c r="F6139" t="s">
        <v>41</v>
      </c>
      <c r="G6139">
        <v>-184.57820000000001</v>
      </c>
      <c r="H6139" s="1">
        <v>-2.928277E-6</v>
      </c>
      <c r="I6139">
        <v>104.0138</v>
      </c>
      <c r="J6139">
        <v>-187.01249999999999</v>
      </c>
      <c r="K6139">
        <v>1.12090499999999</v>
      </c>
      <c r="L6139">
        <v>75.521969999999996</v>
      </c>
      <c r="M6139">
        <v>-9.774066000000001E-4</v>
      </c>
      <c r="N6139">
        <v>-1.2691869999999999E-2</v>
      </c>
      <c r="O6139">
        <v>0.999919</v>
      </c>
      <c r="P6139">
        <v>-3.8394280000000002E-3</v>
      </c>
      <c r="Q6139">
        <v>0.1961618</v>
      </c>
      <c r="R6139">
        <v>0.98056410000000005</v>
      </c>
      <c r="S6139">
        <v>0.25981140000000003</v>
      </c>
      <c r="T6139">
        <v>-0.1196492</v>
      </c>
      <c r="U6139">
        <v>3.084778</v>
      </c>
      <c r="V6139">
        <v>-2.8729950000000001E-3</v>
      </c>
      <c r="W6139">
        <v>0.20859179999999999</v>
      </c>
      <c r="X6139">
        <v>0.97799860000000005</v>
      </c>
      <c r="Y6139">
        <v>8.4844719999999998E-2</v>
      </c>
      <c r="Z6139">
        <v>-2.5933669999999999E-2</v>
      </c>
      <c r="AA6139">
        <v>0.99605659999999896</v>
      </c>
      <c r="AB6139">
        <v>41</v>
      </c>
      <c r="AC6139">
        <v>2.4342999999999702</v>
      </c>
      <c r="AD6139">
        <v>-1.12090792827699</v>
      </c>
      <c r="AE6139">
        <v>28.49183</v>
      </c>
      <c r="AF6139">
        <v>2.45837182523079</v>
      </c>
      <c r="AG6139">
        <v>-1.12090792827699</v>
      </c>
      <c r="AH6139">
        <v>28.445729237242201</v>
      </c>
      <c r="AI6139">
        <v>92.248209044764806</v>
      </c>
      <c r="AJ6139">
        <v>85.060586672555104</v>
      </c>
      <c r="AK6139">
        <v>28.573756113840801</v>
      </c>
      <c r="AL6139">
        <v>77.960159446579198</v>
      </c>
      <c r="AM6139">
        <v>90.168313139256199</v>
      </c>
      <c r="AN6139">
        <v>1.00000002736473</v>
      </c>
    </row>
    <row r="6140" spans="1:40" x14ac:dyDescent="0.25">
      <c r="A6140" t="str">
        <f>"20190303170656923"</f>
        <v>20190303170656923</v>
      </c>
      <c r="B6140" t="str">
        <f>"1551604016910951"</f>
        <v>1551604016910951</v>
      </c>
      <c r="C6140" t="s">
        <v>40</v>
      </c>
      <c r="D6140">
        <v>5.5708479999999998</v>
      </c>
      <c r="E6140">
        <v>0.54025319999999899</v>
      </c>
      <c r="F6140" t="s">
        <v>41</v>
      </c>
      <c r="G6140">
        <v>-184.46680000000001</v>
      </c>
      <c r="H6140" s="1">
        <v>-3.084021E-6</v>
      </c>
      <c r="I6140">
        <v>104.3843</v>
      </c>
      <c r="J6140">
        <v>-187.0129</v>
      </c>
      <c r="K6140">
        <v>1.120908</v>
      </c>
      <c r="L6140">
        <v>75.904269999999997</v>
      </c>
      <c r="M6140">
        <v>-9.7752300000000011E-4</v>
      </c>
      <c r="N6140">
        <v>-1.288016E-2</v>
      </c>
      <c r="O6140">
        <v>0.99991660000000004</v>
      </c>
      <c r="P6140">
        <v>-3.9984590000000002E-3</v>
      </c>
      <c r="Q6140">
        <v>0.19630810000000001</v>
      </c>
      <c r="R6140">
        <v>0.98053409999999996</v>
      </c>
      <c r="S6140">
        <v>0.27206419999999998</v>
      </c>
      <c r="T6140">
        <v>-0.1197908</v>
      </c>
      <c r="U6140">
        <v>3.0845030000000002</v>
      </c>
      <c r="V6140">
        <v>-3.0322669999999999E-3</v>
      </c>
      <c r="W6140">
        <v>0.20892150000000001</v>
      </c>
      <c r="X6140">
        <v>0.97792769999999996</v>
      </c>
      <c r="Y6140">
        <v>8.8777620000000002E-2</v>
      </c>
      <c r="Z6140">
        <v>-2.5781269999999998E-2</v>
      </c>
      <c r="AA6140">
        <v>0.99571779999999999</v>
      </c>
      <c r="AB6140">
        <v>41</v>
      </c>
      <c r="AC6140">
        <v>2.5460999999999898</v>
      </c>
      <c r="AD6140">
        <v>-1.1209110840209999</v>
      </c>
      <c r="AE6140">
        <v>28.480029999999999</v>
      </c>
      <c r="AF6140">
        <v>2.56999153267141</v>
      </c>
      <c r="AG6140">
        <v>-1.1209110840209999</v>
      </c>
      <c r="AH6140">
        <v>28.433831519757199</v>
      </c>
      <c r="AI6140">
        <v>92.248374449693898</v>
      </c>
      <c r="AJ6140">
        <v>84.835355219446996</v>
      </c>
      <c r="AK6140">
        <v>28.571735562093899</v>
      </c>
      <c r="AL6140">
        <v>77.940842958456301</v>
      </c>
      <c r="AM6140">
        <v>90.177656839735207</v>
      </c>
      <c r="AN6140">
        <v>0.99999998711634897</v>
      </c>
    </row>
    <row r="6141" spans="1:40" x14ac:dyDescent="0.25">
      <c r="A6141" t="str">
        <f>"20190303170656946"</f>
        <v>20190303170656946</v>
      </c>
      <c r="B6141" t="str">
        <f>"1551604016931442"</f>
        <v>1551604016931442</v>
      </c>
      <c r="C6141" t="s">
        <v>40</v>
      </c>
      <c r="D6141">
        <v>5.5582379999999896</v>
      </c>
      <c r="E6141">
        <v>0.54115740000000001</v>
      </c>
      <c r="F6141" t="s">
        <v>41</v>
      </c>
      <c r="G6141">
        <v>-184.41630000000001</v>
      </c>
      <c r="H6141" s="1">
        <v>-3.1213289999999998E-6</v>
      </c>
      <c r="I6141">
        <v>104.4545</v>
      </c>
      <c r="J6141">
        <v>-187.01329999999999</v>
      </c>
      <c r="K6141">
        <v>1.1209249999999999</v>
      </c>
      <c r="L6141">
        <v>76.310329999999993</v>
      </c>
      <c r="M6141">
        <v>-9.7764389999999992E-4</v>
      </c>
      <c r="N6141">
        <v>-1.305837E-2</v>
      </c>
      <c r="O6141">
        <v>0.99991419999999998</v>
      </c>
      <c r="P6141">
        <v>-4.2910129999999998E-3</v>
      </c>
      <c r="Q6141">
        <v>0.19646739999999999</v>
      </c>
      <c r="R6141">
        <v>0.98050090000000001</v>
      </c>
      <c r="S6141">
        <v>0.28057860000000001</v>
      </c>
      <c r="T6141">
        <v>-0.1211189</v>
      </c>
      <c r="U6141">
        <v>3.0849609999999998</v>
      </c>
      <c r="V6141">
        <v>-3.3244020000000002E-3</v>
      </c>
      <c r="W6141">
        <v>0.20925479999999999</v>
      </c>
      <c r="X6141">
        <v>0.97785549999999999</v>
      </c>
      <c r="Y6141">
        <v>9.1488520000000004E-2</v>
      </c>
      <c r="Z6141">
        <v>-2.601581E-2</v>
      </c>
      <c r="AA6141">
        <v>0.99546619999999997</v>
      </c>
      <c r="AB6141">
        <v>41</v>
      </c>
      <c r="AC6141">
        <v>2.59699999999998</v>
      </c>
      <c r="AD6141">
        <v>-1.1209281213290001</v>
      </c>
      <c r="AE6141">
        <v>28.1441699999999</v>
      </c>
      <c r="AF6141">
        <v>2.6203945086114602</v>
      </c>
      <c r="AG6141">
        <v>-1.1209281213290001</v>
      </c>
      <c r="AH6141">
        <v>28.097423429555501</v>
      </c>
      <c r="AI6141">
        <v>92.274705323348698</v>
      </c>
      <c r="AJ6141">
        <v>84.671948330580506</v>
      </c>
      <c r="AK6141">
        <v>28.241603187738502</v>
      </c>
      <c r="AL6141">
        <v>77.9213148056309</v>
      </c>
      <c r="AM6141">
        <v>90.194786929341504</v>
      </c>
      <c r="AN6141">
        <v>1.00000000092597</v>
      </c>
    </row>
    <row r="6142" spans="1:40" x14ac:dyDescent="0.25">
      <c r="A6142" t="str">
        <f>"20190303170656968"</f>
        <v>20190303170656968</v>
      </c>
      <c r="B6142" t="str">
        <f>"1551604016960724"</f>
        <v>1551604016960724</v>
      </c>
      <c r="C6142" t="s">
        <v>40</v>
      </c>
      <c r="D6142">
        <v>5.5714329999999999</v>
      </c>
      <c r="E6142">
        <v>0.5420239</v>
      </c>
      <c r="F6142" t="s">
        <v>41</v>
      </c>
      <c r="G6142">
        <v>-184.33969999999999</v>
      </c>
      <c r="H6142" s="1">
        <v>-3.3651650000000001E-6</v>
      </c>
      <c r="I6142">
        <v>105.11109999999999</v>
      </c>
      <c r="J6142">
        <v>-187.0137</v>
      </c>
      <c r="K6142">
        <v>1.120938</v>
      </c>
      <c r="L6142">
        <v>76.730379999999997</v>
      </c>
      <c r="M6142">
        <v>-9.778148999999999E-4</v>
      </c>
      <c r="N6142">
        <v>-1.3221480000000001E-2</v>
      </c>
      <c r="O6142">
        <v>0.99991209999999997</v>
      </c>
      <c r="P6142">
        <v>-3.8849029999999999E-3</v>
      </c>
      <c r="Q6142">
        <v>0.1960993</v>
      </c>
      <c r="R6142">
        <v>0.98057629999999996</v>
      </c>
      <c r="S6142">
        <v>0.28637699999999999</v>
      </c>
      <c r="T6142">
        <v>-0.1200668</v>
      </c>
      <c r="U6142">
        <v>3.0849609999999998</v>
      </c>
      <c r="V6142">
        <v>-2.9179399999999999E-3</v>
      </c>
      <c r="W6142">
        <v>0.20904690000000001</v>
      </c>
      <c r="X6142">
        <v>0.97790129999999997</v>
      </c>
      <c r="Y6142">
        <v>9.3344189999999994E-2</v>
      </c>
      <c r="Z6142">
        <v>-2.5507040000000002E-2</v>
      </c>
      <c r="AA6142">
        <v>0.9953071</v>
      </c>
      <c r="AB6142">
        <v>41</v>
      </c>
      <c r="AC6142">
        <v>2.6739999999999999</v>
      </c>
      <c r="AD6142">
        <v>-1.120941365165</v>
      </c>
      <c r="AE6142">
        <v>28.380719999999901</v>
      </c>
      <c r="AF6142">
        <v>2.6975810946662402</v>
      </c>
      <c r="AG6142">
        <v>-1.120941365165</v>
      </c>
      <c r="AH6142">
        <v>28.334279548291001</v>
      </c>
      <c r="AI6142">
        <v>92.2553273741769</v>
      </c>
      <c r="AJ6142">
        <v>84.561515063536206</v>
      </c>
      <c r="AK6142">
        <v>28.484466834173698</v>
      </c>
      <c r="AL6142">
        <v>77.933496442703103</v>
      </c>
      <c r="AM6142">
        <v>90.170963215504202</v>
      </c>
      <c r="AN6142">
        <v>1.0000000366575701</v>
      </c>
    </row>
    <row r="6143" spans="1:40" x14ac:dyDescent="0.25">
      <c r="A6143" t="str">
        <f>"20190303170656990"</f>
        <v>20190303170656990</v>
      </c>
      <c r="B6143" t="str">
        <f>"1551604016981218"</f>
        <v>1551604016981218</v>
      </c>
      <c r="C6143" t="s">
        <v>40</v>
      </c>
      <c r="D6143">
        <v>5.5815020000000004</v>
      </c>
      <c r="E6143">
        <v>0.54250109999999996</v>
      </c>
      <c r="F6143" t="s">
        <v>41</v>
      </c>
      <c r="G6143">
        <v>-184.26310000000001</v>
      </c>
      <c r="H6143" s="1">
        <v>-3.6120380000000001E-6</v>
      </c>
      <c r="I6143">
        <v>105.68040000000001</v>
      </c>
      <c r="J6143">
        <v>-187.01410000000001</v>
      </c>
      <c r="K6143">
        <v>1.1209359999999999</v>
      </c>
      <c r="L6143">
        <v>77.140839999999997</v>
      </c>
      <c r="M6143">
        <v>-9.7802539999999991E-4</v>
      </c>
      <c r="N6143">
        <v>-1.336183E-2</v>
      </c>
      <c r="O6143">
        <v>0.99991019999999997</v>
      </c>
      <c r="P6143">
        <v>-3.3672620000000002E-3</v>
      </c>
      <c r="Q6143">
        <v>0.1958213</v>
      </c>
      <c r="R6143">
        <v>0.9806338</v>
      </c>
      <c r="S6143">
        <v>0.2930603</v>
      </c>
      <c r="T6143">
        <v>-0.11943040000000001</v>
      </c>
      <c r="U6143">
        <v>3.084473</v>
      </c>
      <c r="V6143">
        <v>-2.4004209999999998E-3</v>
      </c>
      <c r="W6143">
        <v>0.2089075</v>
      </c>
      <c r="X6143">
        <v>0.97793249999999998</v>
      </c>
      <c r="Y6143">
        <v>9.5496209999999998E-2</v>
      </c>
      <c r="Z6143">
        <v>-2.5159939999999999E-2</v>
      </c>
      <c r="AA6143">
        <v>0.99511179999999999</v>
      </c>
      <c r="AB6143">
        <v>41</v>
      </c>
      <c r="AC6143">
        <v>2.7509999999999999</v>
      </c>
      <c r="AD6143">
        <v>-1.120939612038</v>
      </c>
      <c r="AE6143">
        <v>28.539560000000002</v>
      </c>
      <c r="AF6143">
        <v>2.7746726238741402</v>
      </c>
      <c r="AG6143">
        <v>-1.120939612038</v>
      </c>
      <c r="AH6143">
        <v>28.493304764836498</v>
      </c>
      <c r="AI6143">
        <v>92.242284741143706</v>
      </c>
      <c r="AJ6143">
        <v>84.438084494676502</v>
      </c>
      <c r="AK6143">
        <v>28.650021469544601</v>
      </c>
      <c r="AL6143">
        <v>77.941663846970002</v>
      </c>
      <c r="AM6143">
        <v>90.140637228174199</v>
      </c>
      <c r="AN6143">
        <v>1.0000000400667299</v>
      </c>
    </row>
    <row r="6144" spans="1:40" x14ac:dyDescent="0.25">
      <c r="A6144" t="str">
        <f>"20190303170657013"</f>
        <v>20190303170657013</v>
      </c>
      <c r="B6144" t="str">
        <f>"1551604017000738"</f>
        <v>1551604017000738</v>
      </c>
      <c r="C6144" t="s">
        <v>40</v>
      </c>
      <c r="D6144">
        <v>5.5507479999999996</v>
      </c>
      <c r="E6144">
        <v>0.54290680000000002</v>
      </c>
      <c r="F6144" t="s">
        <v>41</v>
      </c>
      <c r="G6144">
        <v>-184.2353</v>
      </c>
      <c r="H6144" s="1">
        <v>-3.6806540000000002E-6</v>
      </c>
      <c r="I6144">
        <v>105.8289</v>
      </c>
      <c r="J6144">
        <v>-187.0145</v>
      </c>
      <c r="K6144">
        <v>1.1209480000000001</v>
      </c>
      <c r="L6144">
        <v>77.543909999999997</v>
      </c>
      <c r="M6144">
        <v>-9.7824989999999992E-4</v>
      </c>
      <c r="N6144">
        <v>-1.348281E-2</v>
      </c>
      <c r="O6144">
        <v>0.99990860000000004</v>
      </c>
      <c r="P6144">
        <v>-2.4411440000000001E-3</v>
      </c>
      <c r="Q6144">
        <v>0.19568920000000001</v>
      </c>
      <c r="R6144">
        <v>0.9806629</v>
      </c>
      <c r="S6144">
        <v>0.29875180000000001</v>
      </c>
      <c r="T6144">
        <v>-0.120515</v>
      </c>
      <c r="U6144">
        <v>3.08432</v>
      </c>
      <c r="V6144">
        <v>-1.47339E-3</v>
      </c>
      <c r="W6144">
        <v>0.208894</v>
      </c>
      <c r="X6144">
        <v>0.97793719999999995</v>
      </c>
      <c r="Y6144">
        <v>9.7318669999999996E-2</v>
      </c>
      <c r="Z6144">
        <v>-2.5383429999999998E-2</v>
      </c>
      <c r="AA6144">
        <v>0.99492959999999997</v>
      </c>
      <c r="AB6144">
        <v>41</v>
      </c>
      <c r="AC6144">
        <v>2.7791999999999999</v>
      </c>
      <c r="AD6144">
        <v>-1.1209516806540001</v>
      </c>
      <c r="AE6144">
        <v>28.284990000000001</v>
      </c>
      <c r="AF6144">
        <v>2.80251147780631</v>
      </c>
      <c r="AG6144">
        <v>-1.1209516806540001</v>
      </c>
      <c r="AH6144">
        <v>28.2383308243082</v>
      </c>
      <c r="AI6144">
        <v>92.262124081179195</v>
      </c>
      <c r="AJ6144">
        <v>84.332243414857999</v>
      </c>
      <c r="AK6144">
        <v>28.399188914415699</v>
      </c>
      <c r="AL6144">
        <v>77.942454552778898</v>
      </c>
      <c r="AM6144">
        <v>90.086323502880902</v>
      </c>
      <c r="AN6144">
        <v>1.0000000206289601</v>
      </c>
    </row>
    <row r="6145" spans="1:40" x14ac:dyDescent="0.25">
      <c r="A6145" t="str">
        <f>"20190303170657035"</f>
        <v>20190303170657035</v>
      </c>
      <c r="B6145" t="str">
        <f>"1551604017021236"</f>
        <v>1551604017021236</v>
      </c>
      <c r="C6145" t="s">
        <v>40</v>
      </c>
      <c r="D6145">
        <v>5.5561669999999896</v>
      </c>
      <c r="E6145">
        <v>0.54327959999999997</v>
      </c>
      <c r="F6145" t="s">
        <v>41</v>
      </c>
      <c r="G6145">
        <v>-184.16130000000001</v>
      </c>
      <c r="H6145" s="1">
        <v>-3.9149639999999996E-6</v>
      </c>
      <c r="I6145">
        <v>106.34439999999999</v>
      </c>
      <c r="J6145">
        <v>-187.01490000000001</v>
      </c>
      <c r="K6145">
        <v>1.1209559999999901</v>
      </c>
      <c r="L6145">
        <v>77.958860000000001</v>
      </c>
      <c r="M6145">
        <v>-9.784816E-4</v>
      </c>
      <c r="N6145">
        <v>-1.359163E-2</v>
      </c>
      <c r="O6145">
        <v>0.99990710000000005</v>
      </c>
      <c r="P6145">
        <v>-1.9812419999999998E-3</v>
      </c>
      <c r="Q6145">
        <v>0.19599720000000001</v>
      </c>
      <c r="R6145">
        <v>0.98060239999999999</v>
      </c>
      <c r="S6145">
        <v>0.30551149999999999</v>
      </c>
      <c r="T6145">
        <v>-0.1200278</v>
      </c>
      <c r="U6145">
        <v>3.0838619999999999</v>
      </c>
      <c r="V6145">
        <v>-1.0135109999999999E-3</v>
      </c>
      <c r="W6145">
        <v>0.2093071</v>
      </c>
      <c r="X6145">
        <v>0.97784939999999998</v>
      </c>
      <c r="Y6145">
        <v>9.9492570000000002E-2</v>
      </c>
      <c r="Z6145">
        <v>-2.5115100000000001E-2</v>
      </c>
      <c r="AA6145">
        <v>0.99472130000000003</v>
      </c>
      <c r="AB6145">
        <v>41</v>
      </c>
      <c r="AC6145">
        <v>2.8536000000000001</v>
      </c>
      <c r="AD6145">
        <v>-1.1209599149639999</v>
      </c>
      <c r="AE6145">
        <v>28.385539999999899</v>
      </c>
      <c r="AF6145">
        <v>2.8769342348212699</v>
      </c>
      <c r="AG6145">
        <v>-1.1209599149639999</v>
      </c>
      <c r="AH6145">
        <v>28.338981442585698</v>
      </c>
      <c r="AI6145">
        <v>92.253605859780706</v>
      </c>
      <c r="AJ6145">
        <v>84.203270959189894</v>
      </c>
      <c r="AK6145">
        <v>28.506686424866398</v>
      </c>
      <c r="AL6145">
        <v>77.918249987155505</v>
      </c>
      <c r="AM6145">
        <v>90.059385302067795</v>
      </c>
      <c r="AN6145">
        <v>0.99999996919765799</v>
      </c>
    </row>
    <row r="6146" spans="1:40" x14ac:dyDescent="0.25">
      <c r="A6146" t="str">
        <f>"20190303170657060"</f>
        <v>20190303170657060</v>
      </c>
      <c r="B6146" t="str">
        <f>"1551604017051491"</f>
        <v>1551604017051491</v>
      </c>
      <c r="C6146" t="s">
        <v>40</v>
      </c>
      <c r="D6146">
        <v>5.5779820000000004</v>
      </c>
      <c r="E6146">
        <v>0.54362569999999999</v>
      </c>
      <c r="F6146" t="s">
        <v>41</v>
      </c>
      <c r="G6146">
        <v>-184.07079999999999</v>
      </c>
      <c r="H6146" s="1">
        <v>-4.3197590000000001E-6</v>
      </c>
      <c r="I6146">
        <v>107.25060000000001</v>
      </c>
      <c r="J6146">
        <v>-187.0153</v>
      </c>
      <c r="K6146">
        <v>1.1209639999999901</v>
      </c>
      <c r="L6146">
        <v>78.400120000000001</v>
      </c>
      <c r="M6146">
        <v>-9.7870060000000009E-4</v>
      </c>
      <c r="N6146">
        <v>-1.3691899999999899E-2</v>
      </c>
      <c r="O6146">
        <v>0.99990579999999996</v>
      </c>
      <c r="P6146">
        <v>-1.149508E-3</v>
      </c>
      <c r="Q6146">
        <v>0.19646469999999999</v>
      </c>
      <c r="R6146">
        <v>0.9805102</v>
      </c>
      <c r="S6146">
        <v>0.30992130000000001</v>
      </c>
      <c r="T6146">
        <v>-0.1180041</v>
      </c>
      <c r="U6146">
        <v>3.0835569999999999</v>
      </c>
      <c r="V6146">
        <v>-1.816535E-4</v>
      </c>
      <c r="W6146">
        <v>0.20987120000000001</v>
      </c>
      <c r="X6146">
        <v>0.97772899999999996</v>
      </c>
      <c r="Y6146">
        <v>0.1009124</v>
      </c>
      <c r="Z6146">
        <v>-2.436133E-2</v>
      </c>
      <c r="AA6146">
        <v>0.99459699999999995</v>
      </c>
      <c r="AB6146">
        <v>41</v>
      </c>
      <c r="AC6146">
        <v>2.9445000000000001</v>
      </c>
      <c r="AD6146">
        <v>-1.1209683197589999</v>
      </c>
      <c r="AE6146">
        <v>28.850480000000001</v>
      </c>
      <c r="AF6146">
        <v>2.96830227217592</v>
      </c>
      <c r="AG6146">
        <v>-1.1209683197589999</v>
      </c>
      <c r="AH6146">
        <v>28.804547198051999</v>
      </c>
      <c r="AI6146">
        <v>92.216890971019595</v>
      </c>
      <c r="AJ6146">
        <v>84.116450145383993</v>
      </c>
      <c r="AK6146">
        <v>28.978773742822799</v>
      </c>
      <c r="AL6146">
        <v>77.885195353790394</v>
      </c>
      <c r="AM6146">
        <v>90.010645054779005</v>
      </c>
      <c r="AN6146">
        <v>0.99999997551421604</v>
      </c>
    </row>
    <row r="6147" spans="1:40" x14ac:dyDescent="0.25">
      <c r="A6147" t="str">
        <f>"20190303170657080"</f>
        <v>20190303170657080</v>
      </c>
      <c r="B6147" t="str">
        <f>"1551604017071010"</f>
        <v>1551604017071010</v>
      </c>
      <c r="C6147" t="s">
        <v>40</v>
      </c>
      <c r="D6147">
        <v>5.5631269999999997</v>
      </c>
      <c r="E6147">
        <v>0.54390399999999905</v>
      </c>
      <c r="F6147" t="s">
        <v>41</v>
      </c>
      <c r="G6147">
        <v>-183.99510000000001</v>
      </c>
      <c r="H6147" s="1">
        <v>-4.6428510000000002E-6</v>
      </c>
      <c r="I6147">
        <v>107.97239999999999</v>
      </c>
      <c r="J6147">
        <v>-187.01570000000001</v>
      </c>
      <c r="K6147">
        <v>1.1209720000000001</v>
      </c>
      <c r="L6147">
        <v>78.780029999999996</v>
      </c>
      <c r="M6147">
        <v>-9.7889010000000009E-4</v>
      </c>
      <c r="N6147">
        <v>-1.376658E-2</v>
      </c>
      <c r="O6147">
        <v>0.99990480000000004</v>
      </c>
      <c r="P6147">
        <v>-8.5080460000000002E-4</v>
      </c>
      <c r="Q6147">
        <v>0.1969137</v>
      </c>
      <c r="R6147">
        <v>0.98042050000000003</v>
      </c>
      <c r="S6147">
        <v>0.31491089999999999</v>
      </c>
      <c r="T6147">
        <v>-0.1168796</v>
      </c>
      <c r="U6147">
        <v>3.083405</v>
      </c>
      <c r="V6147">
        <v>1.170957E-4</v>
      </c>
      <c r="W6147">
        <v>0.210392</v>
      </c>
      <c r="X6147">
        <v>0.97761710000000002</v>
      </c>
      <c r="Y6147">
        <v>0.102511</v>
      </c>
      <c r="Z6147">
        <v>-2.3920150000000001E-2</v>
      </c>
      <c r="AA6147">
        <v>0.99444429999999995</v>
      </c>
      <c r="AB6147">
        <v>41</v>
      </c>
      <c r="AC6147">
        <v>3.0206</v>
      </c>
      <c r="AD6147">
        <v>-1.120976642851</v>
      </c>
      <c r="AE6147">
        <v>29.192369999999901</v>
      </c>
      <c r="AF6147">
        <v>3.0447353778780202</v>
      </c>
      <c r="AG6147">
        <v>-1.120976642851</v>
      </c>
      <c r="AH6147">
        <v>29.146876142551001</v>
      </c>
      <c r="AI6147">
        <v>92.190578217871803</v>
      </c>
      <c r="AJ6147">
        <v>84.036408624939</v>
      </c>
      <c r="AK6147">
        <v>29.326905582149799</v>
      </c>
      <c r="AL6147">
        <v>77.854674581491807</v>
      </c>
      <c r="AM6147">
        <v>89.993137303575097</v>
      </c>
      <c r="AN6147">
        <v>1.0000000007939001</v>
      </c>
    </row>
    <row r="6148" spans="1:40" x14ac:dyDescent="0.25">
      <c r="A6148" t="str">
        <f>"20190303170657102"</f>
        <v>20190303170657102</v>
      </c>
      <c r="B6148" t="str">
        <f>"1551604017091507"</f>
        <v>1551604017091507</v>
      </c>
      <c r="C6148" t="s">
        <v>40</v>
      </c>
      <c r="D6148">
        <v>5.5601799999999999</v>
      </c>
      <c r="E6148">
        <v>0.54421850000000005</v>
      </c>
      <c r="F6148" t="s">
        <v>41</v>
      </c>
      <c r="G6148">
        <v>-183.9239</v>
      </c>
      <c r="H6148" s="1">
        <v>-4.981077E-6</v>
      </c>
      <c r="I6148">
        <v>108.73139999999999</v>
      </c>
      <c r="J6148">
        <v>-187.01599999999999</v>
      </c>
      <c r="K6148">
        <v>1.120976</v>
      </c>
      <c r="L6148">
        <v>79.172880000000006</v>
      </c>
      <c r="M6148">
        <v>-9.7907739999999999E-4</v>
      </c>
      <c r="N6148">
        <v>-1.383377E-2</v>
      </c>
      <c r="O6148">
        <v>0.99990389999999996</v>
      </c>
      <c r="P6148">
        <v>-7.7714910000000002E-4</v>
      </c>
      <c r="Q6148">
        <v>0.19748840000000001</v>
      </c>
      <c r="R6148">
        <v>0.98030499999999998</v>
      </c>
      <c r="S6148">
        <v>0.31828309999999999</v>
      </c>
      <c r="T6148">
        <v>-0.11540010000000001</v>
      </c>
      <c r="U6148">
        <v>3.0833740000000001</v>
      </c>
      <c r="V6148">
        <v>1.9084430000000001E-4</v>
      </c>
      <c r="W6148">
        <v>0.211031</v>
      </c>
      <c r="X6148">
        <v>0.97747930000000005</v>
      </c>
      <c r="Y6148">
        <v>0.1035894</v>
      </c>
      <c r="Z6148">
        <v>-2.3372649999999998E-2</v>
      </c>
      <c r="AA6148">
        <v>0.99434549999999999</v>
      </c>
      <c r="AB6148">
        <v>41</v>
      </c>
      <c r="AC6148">
        <v>3.0920999999999799</v>
      </c>
      <c r="AD6148">
        <v>-1.1209809810769999</v>
      </c>
      <c r="AE6148">
        <v>29.558519999999898</v>
      </c>
      <c r="AF6148">
        <v>3.1166074579688701</v>
      </c>
      <c r="AG6148">
        <v>-1.1209809810769999</v>
      </c>
      <c r="AH6148">
        <v>29.513490157133202</v>
      </c>
      <c r="AI6148">
        <v>92.163146014202795</v>
      </c>
      <c r="AJ6148">
        <v>83.971939420272705</v>
      </c>
      <c r="AK6148">
        <v>29.6987532004662</v>
      </c>
      <c r="AL6148">
        <v>77.817221076242902</v>
      </c>
      <c r="AM6148">
        <v>89.988813499380299</v>
      </c>
      <c r="AN6148">
        <v>0.99999995065551694</v>
      </c>
    </row>
    <row r="6149" spans="1:40" x14ac:dyDescent="0.25">
      <c r="A6149" t="str">
        <f>"20190303170657124"</f>
        <v>20190303170657124</v>
      </c>
      <c r="B6149" t="str">
        <f>"1551604017111026"</f>
        <v>1551604017111026</v>
      </c>
      <c r="C6149" t="s">
        <v>40</v>
      </c>
      <c r="D6149">
        <v>5.5460940000000001</v>
      </c>
      <c r="E6149">
        <v>0.5445044</v>
      </c>
      <c r="F6149" t="s">
        <v>41</v>
      </c>
      <c r="G6149">
        <v>-183.8459</v>
      </c>
      <c r="H6149" s="1">
        <v>-5.3740160000000001E-6</v>
      </c>
      <c r="I6149">
        <v>109.6151</v>
      </c>
      <c r="J6149">
        <v>-187.0164</v>
      </c>
      <c r="K6149">
        <v>1.120987</v>
      </c>
      <c r="L6149">
        <v>79.563389999999998</v>
      </c>
      <c r="M6149">
        <v>-9.7924039999999898E-4</v>
      </c>
      <c r="N6149">
        <v>-1.389138E-2</v>
      </c>
      <c r="O6149">
        <v>0.99990299999999999</v>
      </c>
      <c r="P6149">
        <v>-1.5912770000000001E-3</v>
      </c>
      <c r="Q6149">
        <v>0.1980037</v>
      </c>
      <c r="R6149">
        <v>0.98019999999999996</v>
      </c>
      <c r="S6149">
        <v>0.32109070000000001</v>
      </c>
      <c r="T6149">
        <v>-0.1135409</v>
      </c>
      <c r="U6149">
        <v>3.083405</v>
      </c>
      <c r="V6149">
        <v>-6.2339009999999996E-4</v>
      </c>
      <c r="W6149">
        <v>0.21160100000000001</v>
      </c>
      <c r="X6149">
        <v>0.977356</v>
      </c>
      <c r="Y6149">
        <v>0.1044858</v>
      </c>
      <c r="Z6149">
        <v>-2.2712469999999998E-2</v>
      </c>
      <c r="AA6149">
        <v>0.99426700000000001</v>
      </c>
      <c r="AB6149">
        <v>41</v>
      </c>
      <c r="AC6149">
        <v>3.1705000000000001</v>
      </c>
      <c r="AD6149">
        <v>-1.1209923740159999</v>
      </c>
      <c r="AE6149">
        <v>30.0517099999999</v>
      </c>
      <c r="AF6149">
        <v>3.1955316993371401</v>
      </c>
      <c r="AG6149">
        <v>-1.1209923740159999</v>
      </c>
      <c r="AH6149">
        <v>30.007296643671602</v>
      </c>
      <c r="AI6149">
        <v>92.127404496788998</v>
      </c>
      <c r="AJ6149">
        <v>83.921377178900798</v>
      </c>
      <c r="AK6149">
        <v>30.197779696616301</v>
      </c>
      <c r="AL6149">
        <v>77.783809309610803</v>
      </c>
      <c r="AM6149">
        <v>90.036545145143194</v>
      </c>
      <c r="AN6149">
        <v>1.0000000612761</v>
      </c>
    </row>
    <row r="6150" spans="1:40" x14ac:dyDescent="0.25">
      <c r="A6150" t="str">
        <f>"20190303170657145"</f>
        <v>20190303170657145</v>
      </c>
      <c r="B6150" t="str">
        <f>"1551604017141284"</f>
        <v>1551604017141284</v>
      </c>
      <c r="C6150" t="s">
        <v>40</v>
      </c>
      <c r="D6150">
        <v>5.5686450000000001</v>
      </c>
      <c r="E6150">
        <v>0.54484469999999996</v>
      </c>
      <c r="F6150" t="s">
        <v>41</v>
      </c>
      <c r="G6150">
        <v>-183.80170000000001</v>
      </c>
      <c r="H6150" s="1">
        <v>-1.9187450000000001E-6</v>
      </c>
      <c r="I6150">
        <v>110.4401</v>
      </c>
      <c r="J6150">
        <v>-187.01679999999999</v>
      </c>
      <c r="K6150">
        <v>1.1209880000000001</v>
      </c>
      <c r="L6150">
        <v>79.954859999999996</v>
      </c>
      <c r="M6150">
        <v>-9.7941559999999996E-4</v>
      </c>
      <c r="N6150">
        <v>-1.394112E-2</v>
      </c>
      <c r="O6150">
        <v>0.99990239999999997</v>
      </c>
      <c r="P6150">
        <v>-1.7976750000000001E-3</v>
      </c>
      <c r="Q6150">
        <v>0.19833120000000001</v>
      </c>
      <c r="R6150">
        <v>0.98013340000000004</v>
      </c>
      <c r="S6150">
        <v>0.32106020000000002</v>
      </c>
      <c r="T6150">
        <v>-0.1119561</v>
      </c>
      <c r="U6150">
        <v>3.0837400000000001</v>
      </c>
      <c r="V6150">
        <v>-8.2977669999999997E-4</v>
      </c>
      <c r="W6150">
        <v>0.2119762</v>
      </c>
      <c r="X6150">
        <v>0.97727450000000005</v>
      </c>
      <c r="Y6150">
        <v>0.10446660000000001</v>
      </c>
      <c r="Z6150">
        <v>-2.2148520000000001E-2</v>
      </c>
      <c r="AA6150">
        <v>0.99428170000000005</v>
      </c>
      <c r="AB6150">
        <v>41</v>
      </c>
      <c r="AC6150">
        <v>3.2150999999999699</v>
      </c>
      <c r="AD6150">
        <v>-1.1209899187450001</v>
      </c>
      <c r="AE6150">
        <v>30.485240000000001</v>
      </c>
      <c r="AF6150">
        <v>3.2406254739473699</v>
      </c>
      <c r="AG6150">
        <v>-1.1209899187450001</v>
      </c>
      <c r="AH6150">
        <v>30.441367708496902</v>
      </c>
      <c r="AI6150">
        <v>92.097100193624797</v>
      </c>
      <c r="AJ6150">
        <v>83.923482503559597</v>
      </c>
      <c r="AK6150">
        <v>30.633888747990198</v>
      </c>
      <c r="AL6150">
        <v>77.7618124840007</v>
      </c>
      <c r="AM6150">
        <v>90.048648247164294</v>
      </c>
      <c r="AN6150">
        <v>1.0000000231230299</v>
      </c>
    </row>
    <row r="6151" spans="1:40" x14ac:dyDescent="0.25">
      <c r="A6151" t="str">
        <f>"20190303170657169"</f>
        <v>20190303170657169</v>
      </c>
      <c r="B6151" t="str">
        <f>"1551604017160802"</f>
        <v>1551604017160802</v>
      </c>
      <c r="C6151" t="s">
        <v>40</v>
      </c>
      <c r="D6151">
        <v>5.5420160000000003</v>
      </c>
      <c r="E6151">
        <v>0.54506299999999996</v>
      </c>
      <c r="F6151" t="s">
        <v>41</v>
      </c>
      <c r="G6151">
        <v>-183.76079999999999</v>
      </c>
      <c r="H6151" s="1">
        <v>-2.1310419999999999E-6</v>
      </c>
      <c r="I6151">
        <v>111.032</v>
      </c>
      <c r="J6151">
        <v>-187.0172</v>
      </c>
      <c r="K6151">
        <v>1.1209990000000001</v>
      </c>
      <c r="L6151">
        <v>80.395539999999997</v>
      </c>
      <c r="M6151">
        <v>-9.796252000000001E-4</v>
      </c>
      <c r="N6151">
        <v>-1.398889E-2</v>
      </c>
      <c r="O6151">
        <v>0.9999017</v>
      </c>
      <c r="P6151">
        <v>-1.9621550000000001E-3</v>
      </c>
      <c r="Q6151">
        <v>0.19873080000000001</v>
      </c>
      <c r="R6151">
        <v>0.98005220000000004</v>
      </c>
      <c r="S6151">
        <v>0.32310489999999997</v>
      </c>
      <c r="T6151">
        <v>-0.1112399</v>
      </c>
      <c r="U6151">
        <v>3.0838930000000002</v>
      </c>
      <c r="V6151">
        <v>-9.9371139999999991E-4</v>
      </c>
      <c r="W6151">
        <v>0.2124211</v>
      </c>
      <c r="X6151">
        <v>0.97717770000000004</v>
      </c>
      <c r="Y6151">
        <v>0.10511429999999999</v>
      </c>
      <c r="Z6151">
        <v>-2.1865900000000001E-2</v>
      </c>
      <c r="AA6151">
        <v>0.99421970000000004</v>
      </c>
      <c r="AB6151">
        <v>41</v>
      </c>
      <c r="AC6151">
        <v>3.25640000000001</v>
      </c>
      <c r="AD6151">
        <v>-1.1210011310420001</v>
      </c>
      <c r="AE6151">
        <v>30.63646</v>
      </c>
      <c r="AF6151">
        <v>3.2820684846025001</v>
      </c>
      <c r="AG6151">
        <v>-1.1210011310420001</v>
      </c>
      <c r="AH6151">
        <v>30.5927531272573</v>
      </c>
      <c r="AI6151">
        <v>92.086570565427607</v>
      </c>
      <c r="AJ6151">
        <v>83.876583730002096</v>
      </c>
      <c r="AK6151">
        <v>30.7887180794967</v>
      </c>
      <c r="AL6151">
        <v>77.735727064354194</v>
      </c>
      <c r="AM6151">
        <v>90.058265195417206</v>
      </c>
      <c r="AN6151">
        <v>0.99999998428242298</v>
      </c>
    </row>
    <row r="6152" spans="1:40" x14ac:dyDescent="0.25">
      <c r="A6152" t="str">
        <f>"20190303170657192"</f>
        <v>20190303170657192</v>
      </c>
      <c r="B6152" t="str">
        <f>"1551604017181298"</f>
        <v>1551604017181298</v>
      </c>
      <c r="C6152" t="s">
        <v>40</v>
      </c>
      <c r="D6152">
        <v>5.526478</v>
      </c>
      <c r="E6152">
        <v>0.545323</v>
      </c>
      <c r="F6152" t="s">
        <v>41</v>
      </c>
      <c r="G6152">
        <v>-183.71549999999999</v>
      </c>
      <c r="H6152" s="1">
        <v>-2.3933270000000001E-6</v>
      </c>
      <c r="I6152">
        <v>111.76730000000001</v>
      </c>
      <c r="J6152">
        <v>-187.01759999999999</v>
      </c>
      <c r="K6152">
        <v>1.1210119999999999</v>
      </c>
      <c r="L6152">
        <v>80.792209999999997</v>
      </c>
      <c r="M6152">
        <v>-9.7981700000000001E-4</v>
      </c>
      <c r="N6152">
        <v>-1.402578E-2</v>
      </c>
      <c r="O6152">
        <v>0.99990120000000005</v>
      </c>
      <c r="P6152">
        <v>-1.531623E-3</v>
      </c>
      <c r="Q6152">
        <v>0.19957150000000001</v>
      </c>
      <c r="R6152">
        <v>0.97988209999999998</v>
      </c>
      <c r="S6152">
        <v>0.32458500000000001</v>
      </c>
      <c r="T6152">
        <v>-0.1102028</v>
      </c>
      <c r="U6152">
        <v>3.084076</v>
      </c>
      <c r="V6152">
        <v>-5.6305899999999998E-4</v>
      </c>
      <c r="W6152">
        <v>0.2132957</v>
      </c>
      <c r="X6152">
        <v>0.97698750000000001</v>
      </c>
      <c r="Y6152">
        <v>0.1055811</v>
      </c>
      <c r="Z6152">
        <v>-2.1491199999999998E-2</v>
      </c>
      <c r="AA6152">
        <v>0.99417840000000002</v>
      </c>
      <c r="AB6152">
        <v>41</v>
      </c>
      <c r="AC6152">
        <v>3.30209999999999</v>
      </c>
      <c r="AD6152">
        <v>-1.121014393327</v>
      </c>
      <c r="AE6152">
        <v>30.975090000000002</v>
      </c>
      <c r="AF6152">
        <v>3.3281411803864702</v>
      </c>
      <c r="AG6152">
        <v>-1.121014393327</v>
      </c>
      <c r="AH6152">
        <v>30.931780883768202</v>
      </c>
      <c r="AI6152">
        <v>92.063676304460401</v>
      </c>
      <c r="AJ6152">
        <v>83.858819481793802</v>
      </c>
      <c r="AK6152">
        <v>31.130503780505698</v>
      </c>
      <c r="AL6152">
        <v>77.684440719946906</v>
      </c>
      <c r="AM6152">
        <v>90.033020791714307</v>
      </c>
      <c r="AN6152">
        <v>0.99999997391508799</v>
      </c>
    </row>
    <row r="6153" spans="1:40" x14ac:dyDescent="0.25">
      <c r="A6153" t="str">
        <f>"20190303170657214"</f>
        <v>20190303170657214</v>
      </c>
      <c r="B6153" t="str">
        <f>"1551604017200818"</f>
        <v>1551604017200818</v>
      </c>
      <c r="C6153" t="s">
        <v>40</v>
      </c>
      <c r="D6153">
        <v>5.5282859999999996</v>
      </c>
      <c r="E6153">
        <v>0.54558660000000003</v>
      </c>
      <c r="F6153" t="s">
        <v>41</v>
      </c>
      <c r="G6153">
        <v>-183.63079999999999</v>
      </c>
      <c r="H6153" s="1">
        <v>-2.7288009999999998E-6</v>
      </c>
      <c r="I6153">
        <v>112.68689999999999</v>
      </c>
      <c r="J6153">
        <v>-187.018</v>
      </c>
      <c r="K6153">
        <v>1.121014</v>
      </c>
      <c r="L6153">
        <v>81.190399999999997</v>
      </c>
      <c r="M6153">
        <v>-9.8001199999999994E-4</v>
      </c>
      <c r="N6153">
        <v>-1.405764E-2</v>
      </c>
      <c r="O6153">
        <v>0.99990069999999998</v>
      </c>
      <c r="P6153">
        <v>-1.528747E-3</v>
      </c>
      <c r="Q6153">
        <v>0.19977909999999999</v>
      </c>
      <c r="R6153">
        <v>0.97983980000000004</v>
      </c>
      <c r="S6153">
        <v>0.3274994</v>
      </c>
      <c r="T6153">
        <v>-0.1084015</v>
      </c>
      <c r="U6153">
        <v>3.0841980000000002</v>
      </c>
      <c r="V6153">
        <v>-5.6023339999999996E-4</v>
      </c>
      <c r="W6153">
        <v>0.21353330000000001</v>
      </c>
      <c r="X6153">
        <v>0.97693560000000002</v>
      </c>
      <c r="Y6153">
        <v>0.10650759999999999</v>
      </c>
      <c r="Z6153">
        <v>-2.0874529999999999E-2</v>
      </c>
      <c r="AA6153">
        <v>0.9940928</v>
      </c>
      <c r="AB6153">
        <v>41</v>
      </c>
      <c r="AC6153">
        <v>3.3872</v>
      </c>
      <c r="AD6153">
        <v>-1.121016728801</v>
      </c>
      <c r="AE6153">
        <v>31.496500000000001</v>
      </c>
      <c r="AF6153">
        <v>3.41379330495973</v>
      </c>
      <c r="AG6153">
        <v>-1.121016728801</v>
      </c>
      <c r="AH6153">
        <v>31.453775729850999</v>
      </c>
      <c r="AI6153">
        <v>92.029258375202701</v>
      </c>
      <c r="AJ6153">
        <v>83.805725520537493</v>
      </c>
      <c r="AK6153">
        <v>31.6583428324826</v>
      </c>
      <c r="AL6153">
        <v>77.670506233115802</v>
      </c>
      <c r="AM6153">
        <v>90.032856828887802</v>
      </c>
      <c r="AN6153">
        <v>0.99999997530885598</v>
      </c>
    </row>
    <row r="6154" spans="1:40" x14ac:dyDescent="0.25">
      <c r="A6154" t="str">
        <f>"20190303170657236"</f>
        <v>20190303170657236</v>
      </c>
      <c r="B6154" t="str">
        <f>"1551604017231075"</f>
        <v>1551604017231075</v>
      </c>
      <c r="C6154" t="s">
        <v>40</v>
      </c>
      <c r="D6154">
        <v>5.5189620000000001</v>
      </c>
      <c r="E6154">
        <v>0.54597130000000005</v>
      </c>
      <c r="F6154" t="s">
        <v>41</v>
      </c>
      <c r="G6154">
        <v>-183.60409999999999</v>
      </c>
      <c r="H6154" s="1">
        <v>-2.8904650000000002E-6</v>
      </c>
      <c r="I6154">
        <v>113.14100000000001</v>
      </c>
      <c r="J6154">
        <v>-187.01840000000001</v>
      </c>
      <c r="K6154">
        <v>1.1210169999999999</v>
      </c>
      <c r="L6154">
        <v>81.607969999999995</v>
      </c>
      <c r="M6154">
        <v>-9.8021710000000006E-4</v>
      </c>
      <c r="N6154">
        <v>-1.4086319999999999E-2</v>
      </c>
      <c r="O6154">
        <v>0.99990029999999996</v>
      </c>
      <c r="P6154">
        <v>-2.2485119999999998E-3</v>
      </c>
      <c r="Q6154">
        <v>0.20004739999999999</v>
      </c>
      <c r="R6154">
        <v>0.97978370000000004</v>
      </c>
      <c r="S6154">
        <v>0.3295593</v>
      </c>
      <c r="T6154">
        <v>-0.1082162</v>
      </c>
      <c r="U6154">
        <v>3.08432</v>
      </c>
      <c r="V6154">
        <v>-1.27987E-3</v>
      </c>
      <c r="W6154">
        <v>0.21382909999999999</v>
      </c>
      <c r="X6154">
        <v>0.97687020000000002</v>
      </c>
      <c r="Y6154">
        <v>0.10716000000000001</v>
      </c>
      <c r="Z6154">
        <v>-2.078236E-2</v>
      </c>
      <c r="AA6154">
        <v>0.99402460000000004</v>
      </c>
      <c r="AB6154">
        <v>41</v>
      </c>
      <c r="AC6154">
        <v>3.4143000000000199</v>
      </c>
      <c r="AD6154">
        <v>-1.1210198904649999</v>
      </c>
      <c r="AE6154">
        <v>31.53303</v>
      </c>
      <c r="AF6154">
        <v>3.44091224182247</v>
      </c>
      <c r="AG6154">
        <v>-1.1210198904649999</v>
      </c>
      <c r="AH6154">
        <v>31.490329927800602</v>
      </c>
      <c r="AI6154">
        <v>92.026750235452099</v>
      </c>
      <c r="AJ6154">
        <v>83.764095583072205</v>
      </c>
      <c r="AK6154">
        <v>31.697593624950098</v>
      </c>
      <c r="AL6154">
        <v>77.653157187343297</v>
      </c>
      <c r="AM6154">
        <v>90.075067401346104</v>
      </c>
      <c r="AN6154">
        <v>0.99999995486103199</v>
      </c>
    </row>
    <row r="6155" spans="1:40" x14ac:dyDescent="0.25">
      <c r="A6155" t="str">
        <f>"20190303170657259"</f>
        <v>20190303170657259</v>
      </c>
      <c r="B6155" t="str">
        <f>"1551604017250595"</f>
        <v>1551604017250595</v>
      </c>
      <c r="C6155" t="s">
        <v>40</v>
      </c>
      <c r="D6155">
        <v>5.5058759999999998</v>
      </c>
      <c r="E6155">
        <v>0.54624510000000004</v>
      </c>
      <c r="F6155" t="s">
        <v>41</v>
      </c>
      <c r="G6155">
        <v>-183.58080000000001</v>
      </c>
      <c r="H6155" s="1">
        <v>-3.066177E-6</v>
      </c>
      <c r="I6155">
        <v>113.6392</v>
      </c>
      <c r="J6155">
        <v>-187.0188</v>
      </c>
      <c r="K6155">
        <v>1.121024</v>
      </c>
      <c r="L6155">
        <v>82.022030000000001</v>
      </c>
      <c r="M6155">
        <v>-9.8041379999999991E-4</v>
      </c>
      <c r="N6155">
        <v>-1.411047E-2</v>
      </c>
      <c r="O6155">
        <v>0.99990000000000001</v>
      </c>
      <c r="P6155">
        <v>-3.2085780000000001E-3</v>
      </c>
      <c r="Q6155">
        <v>0.2005605</v>
      </c>
      <c r="R6155">
        <v>0.97967610000000005</v>
      </c>
      <c r="S6155">
        <v>0.33105469999999998</v>
      </c>
      <c r="T6155">
        <v>-0.1079582</v>
      </c>
      <c r="U6155">
        <v>3.0847169999999999</v>
      </c>
      <c r="V6155">
        <v>-2.2396310000000002E-3</v>
      </c>
      <c r="W6155">
        <v>0.21436430000000001</v>
      </c>
      <c r="X6155">
        <v>0.97675120000000004</v>
      </c>
      <c r="Y6155">
        <v>0.1076232</v>
      </c>
      <c r="Z6155">
        <v>-2.0668949999999998E-2</v>
      </c>
      <c r="AA6155">
        <v>0.99397690000000005</v>
      </c>
      <c r="AB6155">
        <v>40</v>
      </c>
      <c r="AC6155">
        <v>3.4379999999999802</v>
      </c>
      <c r="AD6155">
        <v>-1.1210270661769901</v>
      </c>
      <c r="AE6155">
        <v>31.617170000000002</v>
      </c>
      <c r="AF6155">
        <v>3.4646946097611102</v>
      </c>
      <c r="AG6155">
        <v>-1.1210270661769901</v>
      </c>
      <c r="AH6155">
        <v>31.574553791743799</v>
      </c>
      <c r="AI6155">
        <v>92.021260474443494</v>
      </c>
      <c r="AJ6155">
        <v>83.737953122862606</v>
      </c>
      <c r="AK6155">
        <v>31.783852151206201</v>
      </c>
      <c r="AL6155">
        <v>77.621764982170305</v>
      </c>
      <c r="AM6155">
        <v>90.131375501848495</v>
      </c>
      <c r="AN6155">
        <v>0.99999998788147304</v>
      </c>
    </row>
    <row r="6156" spans="1:40" x14ac:dyDescent="0.25">
      <c r="A6156" t="str">
        <f>"20190303170657281"</f>
        <v>20190303170657281</v>
      </c>
      <c r="B6156" t="str">
        <f>"1551604017271090"</f>
        <v>1551604017271090</v>
      </c>
      <c r="C6156" t="s">
        <v>40</v>
      </c>
      <c r="D6156">
        <v>5.5207490000000004</v>
      </c>
      <c r="E6156">
        <v>0.54650669999999901</v>
      </c>
      <c r="F6156" t="s">
        <v>41</v>
      </c>
      <c r="G6156">
        <v>-183.55340000000001</v>
      </c>
      <c r="H6156" s="1">
        <v>-3.3255370000000001E-6</v>
      </c>
      <c r="I6156">
        <v>114.37990000000001</v>
      </c>
      <c r="J6156">
        <v>-187.01920000000001</v>
      </c>
      <c r="K6156">
        <v>1.121035</v>
      </c>
      <c r="L6156">
        <v>82.420500000000004</v>
      </c>
      <c r="M6156">
        <v>-9.8059920000000004E-4</v>
      </c>
      <c r="N6156">
        <v>-1.4130159999999999E-2</v>
      </c>
      <c r="O6156">
        <v>0.99989969999999995</v>
      </c>
      <c r="P6156">
        <v>-4.0373270000000003E-3</v>
      </c>
      <c r="Q6156">
        <v>0.20088320000000001</v>
      </c>
      <c r="R6156">
        <v>0.97960689999999995</v>
      </c>
      <c r="S6156">
        <v>0.33041379999999998</v>
      </c>
      <c r="T6156">
        <v>-0.10688590000000001</v>
      </c>
      <c r="U6156">
        <v>3.0852050000000002</v>
      </c>
      <c r="V6156">
        <v>-3.0684330000000002E-3</v>
      </c>
      <c r="W6156">
        <v>0.2147056</v>
      </c>
      <c r="X6156">
        <v>0.97667400000000004</v>
      </c>
      <c r="Y6156">
        <v>0.1074036</v>
      </c>
      <c r="Z6156">
        <v>-2.029951E-2</v>
      </c>
      <c r="AA6156">
        <v>0.99400820000000001</v>
      </c>
      <c r="AB6156">
        <v>40</v>
      </c>
      <c r="AC6156">
        <v>3.4658000000000002</v>
      </c>
      <c r="AD6156">
        <v>-1.121038325537</v>
      </c>
      <c r="AE6156">
        <v>31.959399999999999</v>
      </c>
      <c r="AF6156">
        <v>3.4928931473278499</v>
      </c>
      <c r="AG6156">
        <v>-1.121038325537</v>
      </c>
      <c r="AH6156">
        <v>31.9171715392755</v>
      </c>
      <c r="AI6156">
        <v>91.999664546391003</v>
      </c>
      <c r="AJ6156">
        <v>83.754622081611004</v>
      </c>
      <c r="AK6156">
        <v>32.127291646410399</v>
      </c>
      <c r="AL6156">
        <v>77.601743994135504</v>
      </c>
      <c r="AM6156">
        <v>90.180006514139194</v>
      </c>
      <c r="AN6156">
        <v>1.00000000611421</v>
      </c>
    </row>
    <row r="6157" spans="1:40" x14ac:dyDescent="0.25">
      <c r="A6157" t="str">
        <f>"20190303170657304"</f>
        <v>20190303170657304</v>
      </c>
      <c r="B6157" t="str">
        <f>"1551604017290610"</f>
        <v>1551604017290610</v>
      </c>
      <c r="C6157" t="s">
        <v>40</v>
      </c>
      <c r="D6157">
        <v>5.6702120000000003</v>
      </c>
      <c r="E6157">
        <v>0.52439619999999998</v>
      </c>
      <c r="F6157" t="s">
        <v>41</v>
      </c>
      <c r="G6157">
        <v>-183.55359999999999</v>
      </c>
      <c r="H6157" s="1">
        <v>-3.4948150000000002E-6</v>
      </c>
      <c r="I6157">
        <v>114.8775</v>
      </c>
      <c r="J6157">
        <v>-187.0196</v>
      </c>
      <c r="K6157">
        <v>1.121043</v>
      </c>
      <c r="L6157">
        <v>82.815370000000001</v>
      </c>
      <c r="M6157">
        <v>-9.8080189999999999E-4</v>
      </c>
      <c r="N6157">
        <v>-1.414667E-2</v>
      </c>
      <c r="O6157">
        <v>0.99989939999999999</v>
      </c>
      <c r="P6157">
        <v>-5.2990099999999998E-3</v>
      </c>
      <c r="Q6157">
        <v>0.2006694</v>
      </c>
      <c r="R6157">
        <v>0.97964470000000003</v>
      </c>
      <c r="S6157">
        <v>0.32946779999999998</v>
      </c>
      <c r="T6157">
        <v>-0.1065763</v>
      </c>
      <c r="U6157">
        <v>3.0856629999999998</v>
      </c>
      <c r="V6157">
        <v>-4.3297750000000001E-3</v>
      </c>
      <c r="W6157">
        <v>0.2145087</v>
      </c>
      <c r="X6157">
        <v>0.97671249999999998</v>
      </c>
      <c r="Y6157">
        <v>0.1070873</v>
      </c>
      <c r="Z6157">
        <v>-2.0179470000000001E-2</v>
      </c>
      <c r="AA6157">
        <v>0.99404479999999995</v>
      </c>
      <c r="AB6157">
        <v>40</v>
      </c>
      <c r="AC6157">
        <v>3.4660000000000002</v>
      </c>
      <c r="AD6157">
        <v>-1.1210464948150001</v>
      </c>
      <c r="AE6157">
        <v>32.062130000000003</v>
      </c>
      <c r="AF6157">
        <v>3.4932268059375602</v>
      </c>
      <c r="AG6157">
        <v>-1.1210464948150001</v>
      </c>
      <c r="AH6157">
        <v>32.020021249492999</v>
      </c>
      <c r="AI6157">
        <v>91.993334593368203</v>
      </c>
      <c r="AJ6157">
        <v>83.773934724557606</v>
      </c>
      <c r="AK6157">
        <v>32.229507281049798</v>
      </c>
      <c r="AL6157">
        <v>77.613294814087496</v>
      </c>
      <c r="AM6157">
        <v>90.253991024708995</v>
      </c>
      <c r="AN6157">
        <v>1.0000000184917399</v>
      </c>
    </row>
    <row r="6158" spans="1:40" x14ac:dyDescent="0.25">
      <c r="A6158" t="str">
        <f>"20190303170657327"</f>
        <v>20190303170657327</v>
      </c>
      <c r="B6158" t="str">
        <f>"1551604017320868"</f>
        <v>1551604017320868</v>
      </c>
      <c r="C6158" t="s">
        <v>40</v>
      </c>
      <c r="D6158">
        <v>5.6171470000000001</v>
      </c>
      <c r="E6158">
        <v>0.49823410000000001</v>
      </c>
      <c r="F6158" t="s">
        <v>41</v>
      </c>
      <c r="G6158">
        <v>-186.0016</v>
      </c>
      <c r="H6158" s="1">
        <v>-2.7080839999999999E-6</v>
      </c>
      <c r="I6158">
        <v>104.2921</v>
      </c>
      <c r="J6158">
        <v>-187.02</v>
      </c>
      <c r="K6158">
        <v>1.121051</v>
      </c>
      <c r="L6158">
        <v>83.23657</v>
      </c>
      <c r="M6158">
        <v>-9.8100409999999998E-4</v>
      </c>
      <c r="N6158">
        <v>-1.416125E-2</v>
      </c>
      <c r="O6158">
        <v>0.99989930000000005</v>
      </c>
      <c r="P6158">
        <v>-6.0927109999999998E-3</v>
      </c>
      <c r="Q6158">
        <v>0.20087940000000001</v>
      </c>
      <c r="R6158">
        <v>0.97959700000000005</v>
      </c>
      <c r="S6158">
        <v>0.146759</v>
      </c>
      <c r="T6158">
        <v>-0.1616186</v>
      </c>
      <c r="U6158">
        <v>3.0962519999999998</v>
      </c>
      <c r="V6158">
        <v>-5.1235919999999997E-3</v>
      </c>
      <c r="W6158">
        <v>0.2147318</v>
      </c>
      <c r="X6158">
        <v>0.97665970000000002</v>
      </c>
      <c r="Y6158">
        <v>4.8269039999999999E-2</v>
      </c>
      <c r="Z6158">
        <v>-3.792003E-2</v>
      </c>
      <c r="AA6158">
        <v>0.99811430000000001</v>
      </c>
      <c r="AB6158">
        <v>40</v>
      </c>
      <c r="AC6158">
        <v>1.01840000000001</v>
      </c>
      <c r="AD6158">
        <v>-1.121053708084</v>
      </c>
      <c r="AE6158">
        <v>21.055530000000001</v>
      </c>
      <c r="AF6158">
        <v>1.0361267975275199</v>
      </c>
      <c r="AG6158">
        <v>-1.121053708084</v>
      </c>
      <c r="AH6158">
        <v>20.995142855172499</v>
      </c>
      <c r="AI6158">
        <v>93.052746672720801</v>
      </c>
      <c r="AJ6158">
        <v>87.174700443628296</v>
      </c>
      <c r="AK6158">
        <v>21.0505663502449</v>
      </c>
      <c r="AL6158">
        <v>77.6002079688039</v>
      </c>
      <c r="AM6158">
        <v>90.300572967819093</v>
      </c>
      <c r="AN6158">
        <v>1.0000000833651499</v>
      </c>
    </row>
    <row r="6159" spans="1:40" x14ac:dyDescent="0.25">
      <c r="A6159" t="str">
        <f>"20190303170657349"</f>
        <v>20190303170657349</v>
      </c>
      <c r="B6159" t="str">
        <f>"1551604017341362"</f>
        <v>1551604017341362</v>
      </c>
      <c r="C6159" t="s">
        <v>40</v>
      </c>
      <c r="D6159">
        <v>5.7586510000000004</v>
      </c>
      <c r="E6159">
        <v>0.491726</v>
      </c>
      <c r="F6159" t="s">
        <v>41</v>
      </c>
      <c r="G6159">
        <v>-187.5129</v>
      </c>
      <c r="H6159" s="1">
        <v>-3.6546729999999998E-6</v>
      </c>
      <c r="I6159">
        <v>107.12350000000001</v>
      </c>
      <c r="J6159">
        <v>-187.0204</v>
      </c>
      <c r="K6159">
        <v>1.1210519999999999</v>
      </c>
      <c r="L6159">
        <v>83.634640000000005</v>
      </c>
      <c r="M6159">
        <v>-9.8119820000000003E-4</v>
      </c>
      <c r="N6159">
        <v>-1.4172850000000001E-2</v>
      </c>
      <c r="O6159">
        <v>0.99989910000000004</v>
      </c>
      <c r="P6159">
        <v>-5.9361700000000002E-3</v>
      </c>
      <c r="Q6159">
        <v>0.2010633</v>
      </c>
      <c r="R6159">
        <v>0.97956030000000005</v>
      </c>
      <c r="S6159">
        <v>-6.3797000000000006E-2</v>
      </c>
      <c r="T6159">
        <v>-0.14510609999999999</v>
      </c>
      <c r="U6159">
        <v>3.0918580000000002</v>
      </c>
      <c r="V6159">
        <v>-4.9668960000000002E-3</v>
      </c>
      <c r="W6159">
        <v>0.2149269</v>
      </c>
      <c r="X6159">
        <v>0.97661750000000003</v>
      </c>
      <c r="Y6159">
        <v>-1.9628840000000002E-2</v>
      </c>
      <c r="Z6159">
        <v>-3.2708719999999997E-2</v>
      </c>
      <c r="AA6159">
        <v>0.99927220000000005</v>
      </c>
      <c r="AB6159">
        <v>40</v>
      </c>
      <c r="AC6159">
        <v>-0.49250000000000599</v>
      </c>
      <c r="AD6159">
        <v>-1.1210556546729999</v>
      </c>
      <c r="AE6159">
        <v>23.488859999999999</v>
      </c>
      <c r="AF6159">
        <v>-0.46838376886364302</v>
      </c>
      <c r="AG6159">
        <v>-1.1210556546729999</v>
      </c>
      <c r="AH6159">
        <v>23.435971154387001</v>
      </c>
      <c r="AI6159">
        <v>92.738100265422304</v>
      </c>
      <c r="AJ6159">
        <v>91.144942565516402</v>
      </c>
      <c r="AK6159">
        <v>23.4674432583754</v>
      </c>
      <c r="AL6159">
        <v>77.588761171853903</v>
      </c>
      <c r="AM6159">
        <v>90.291393226618297</v>
      </c>
      <c r="AN6159">
        <v>0.99999999185286703</v>
      </c>
    </row>
    <row r="6160" spans="1:40" x14ac:dyDescent="0.25">
      <c r="A6160" t="str">
        <f>"20190303170657371"</f>
        <v>20190303170657371</v>
      </c>
      <c r="B6160" t="str">
        <f>"1551604017360882"</f>
        <v>1551604017360882</v>
      </c>
      <c r="C6160" t="s">
        <v>40</v>
      </c>
      <c r="D6160">
        <v>5.6863489999999999</v>
      </c>
      <c r="E6160">
        <v>0.48836590000000002</v>
      </c>
      <c r="F6160" t="s">
        <v>41</v>
      </c>
      <c r="G6160">
        <v>-187.93680000000001</v>
      </c>
      <c r="H6160" s="1">
        <v>-4.1003560000000002E-6</v>
      </c>
      <c r="I6160">
        <v>108.3377</v>
      </c>
      <c r="J6160">
        <v>-187.02080000000001</v>
      </c>
      <c r="K6160">
        <v>1.121054</v>
      </c>
      <c r="L6160">
        <v>84.043980000000005</v>
      </c>
      <c r="M6160">
        <v>-9.8139920000000005E-4</v>
      </c>
      <c r="N6160">
        <v>-1.418288E-2</v>
      </c>
      <c r="O6160">
        <v>0.99989890000000003</v>
      </c>
      <c r="P6160">
        <v>-5.5350669999999899E-3</v>
      </c>
      <c r="Q6160">
        <v>0.20087140000000001</v>
      </c>
      <c r="R6160">
        <v>0.97960199999999997</v>
      </c>
      <c r="S6160">
        <v>-0.11465450000000001</v>
      </c>
      <c r="T6160">
        <v>-0.14025969999999999</v>
      </c>
      <c r="U6160">
        <v>3.0906980000000002</v>
      </c>
      <c r="V6160">
        <v>-4.565192E-3</v>
      </c>
      <c r="W6160">
        <v>0.2147452</v>
      </c>
      <c r="X6160">
        <v>0.97665939999999996</v>
      </c>
      <c r="Y6160">
        <v>-3.605713E-2</v>
      </c>
      <c r="Z6160">
        <v>-3.113167E-2</v>
      </c>
      <c r="AA6160">
        <v>0.99886470000000005</v>
      </c>
      <c r="AB6160">
        <v>40</v>
      </c>
      <c r="AC6160">
        <v>-0.91599999999999604</v>
      </c>
      <c r="AD6160">
        <v>-1.1210581003560001</v>
      </c>
      <c r="AE6160">
        <v>24.29372</v>
      </c>
      <c r="AF6160">
        <v>-0.89026224140028498</v>
      </c>
      <c r="AG6160">
        <v>-1.1210581003560001</v>
      </c>
      <c r="AH6160">
        <v>24.243056174726998</v>
      </c>
      <c r="AI6160">
        <v>92.645829752322499</v>
      </c>
      <c r="AJ6160">
        <v>92.1030912316605</v>
      </c>
      <c r="AK6160">
        <v>24.2852858911277</v>
      </c>
      <c r="AL6160">
        <v>77.599420347472403</v>
      </c>
      <c r="AM6160">
        <v>90.267815299073305</v>
      </c>
      <c r="AN6160">
        <v>0.99999996275469705</v>
      </c>
    </row>
    <row r="6161" spans="1:40" x14ac:dyDescent="0.25">
      <c r="A6161" t="str">
        <f>"20190303170657393"</f>
        <v>20190303170657393</v>
      </c>
      <c r="B6161" t="str">
        <f>"1551604017381379"</f>
        <v>1551604017381379</v>
      </c>
      <c r="C6161" t="s">
        <v>40</v>
      </c>
      <c r="D6161">
        <v>5.687303</v>
      </c>
      <c r="E6161">
        <v>0.48676599999999998</v>
      </c>
      <c r="F6161" t="s">
        <v>41</v>
      </c>
      <c r="G6161">
        <v>-188.15479999999999</v>
      </c>
      <c r="H6161" s="1">
        <v>-4.3725360000000002E-6</v>
      </c>
      <c r="I6161">
        <v>109.06229999999999</v>
      </c>
      <c r="J6161">
        <v>-187.02109999999999</v>
      </c>
      <c r="K6161">
        <v>1.121059</v>
      </c>
      <c r="L6161">
        <v>84.422449999999998</v>
      </c>
      <c r="M6161">
        <v>-9.8158659999999999E-4</v>
      </c>
      <c r="N6161">
        <v>-1.4190670000000001E-2</v>
      </c>
      <c r="O6161">
        <v>0.99989890000000003</v>
      </c>
      <c r="P6161">
        <v>-4.9598530000000002E-3</v>
      </c>
      <c r="Q6161">
        <v>0.20038159999999999</v>
      </c>
      <c r="R6161">
        <v>0.97970539999999995</v>
      </c>
      <c r="S6161">
        <v>-0.1400604</v>
      </c>
      <c r="T6161">
        <v>-0.138464</v>
      </c>
      <c r="U6161">
        <v>3.0900569999999998</v>
      </c>
      <c r="V6161">
        <v>-3.9900090000000001E-3</v>
      </c>
      <c r="W6161">
        <v>0.2142646</v>
      </c>
      <c r="X6161">
        <v>0.97676750000000001</v>
      </c>
      <c r="Y6161">
        <v>-4.4259340000000001E-2</v>
      </c>
      <c r="Z6161">
        <v>-3.0539070000000001E-2</v>
      </c>
      <c r="AA6161">
        <v>0.99855320000000003</v>
      </c>
      <c r="AB6161">
        <v>40</v>
      </c>
      <c r="AC6161">
        <v>-1.1336999999999999</v>
      </c>
      <c r="AD6161">
        <v>-1.121063372536</v>
      </c>
      <c r="AE6161">
        <v>24.639849999999999</v>
      </c>
      <c r="AF6161">
        <v>-1.1072236890926299</v>
      </c>
      <c r="AG6161">
        <v>-1.121063372536</v>
      </c>
      <c r="AH6161">
        <v>24.5901553519383</v>
      </c>
      <c r="AI6161">
        <v>92.607664466429497</v>
      </c>
      <c r="AJ6161">
        <v>92.578122115439001</v>
      </c>
      <c r="AK6161">
        <v>24.640585780686902</v>
      </c>
      <c r="AL6161">
        <v>77.627613334948705</v>
      </c>
      <c r="AM6161">
        <v>90.234046898940605</v>
      </c>
      <c r="AN6161">
        <v>0.99999999402061501</v>
      </c>
    </row>
    <row r="6162" spans="1:40" x14ac:dyDescent="0.25">
      <c r="A6162" t="str">
        <f>"20190303170657415"</f>
        <v>20190303170657415</v>
      </c>
      <c r="B6162" t="str">
        <f>"1551604017400899"</f>
        <v>1551604017400899</v>
      </c>
      <c r="C6162" t="s">
        <v>40</v>
      </c>
      <c r="D6162">
        <v>5.5821930000000002</v>
      </c>
      <c r="E6162">
        <v>0.48541719999999999</v>
      </c>
      <c r="F6162" t="s">
        <v>41</v>
      </c>
      <c r="G6162">
        <v>-188.24299999999999</v>
      </c>
      <c r="H6162" s="1">
        <v>-4.5398799999999998E-6</v>
      </c>
      <c r="I6162">
        <v>109.4888</v>
      </c>
      <c r="J6162">
        <v>-187.0215</v>
      </c>
      <c r="K6162">
        <v>1.1210549999999999</v>
      </c>
      <c r="L6162">
        <v>84.81183</v>
      </c>
      <c r="M6162">
        <v>-9.8178679999999996E-4</v>
      </c>
      <c r="N6162">
        <v>-1.4197370000000001E-2</v>
      </c>
      <c r="O6162">
        <v>0.99989870000000003</v>
      </c>
      <c r="P6162">
        <v>-4.303248E-3</v>
      </c>
      <c r="Q6162">
        <v>0.2000016</v>
      </c>
      <c r="R6162">
        <v>0.97978609999999999</v>
      </c>
      <c r="S6162">
        <v>-0.15060419999999999</v>
      </c>
      <c r="T6162">
        <v>-0.1381812</v>
      </c>
      <c r="U6162">
        <v>3.089661</v>
      </c>
      <c r="V6162">
        <v>-3.3331010000000002E-3</v>
      </c>
      <c r="W6162">
        <v>0.213892</v>
      </c>
      <c r="X6162">
        <v>0.97685160000000004</v>
      </c>
      <c r="Y6162">
        <v>-4.7663570000000002E-2</v>
      </c>
      <c r="Z6162">
        <v>-3.0439870000000001E-2</v>
      </c>
      <c r="AA6162">
        <v>0.9983995</v>
      </c>
      <c r="AB6162">
        <v>40</v>
      </c>
      <c r="AC6162">
        <v>-1.22149999999999</v>
      </c>
      <c r="AD6162">
        <v>-1.1210595398799901</v>
      </c>
      <c r="AE6162">
        <v>24.676970000000001</v>
      </c>
      <c r="AF6162">
        <v>-1.1948095895409601</v>
      </c>
      <c r="AG6162">
        <v>-1.1210595398799901</v>
      </c>
      <c r="AH6162">
        <v>24.627454856764199</v>
      </c>
      <c r="AI6162">
        <v>92.603288331661801</v>
      </c>
      <c r="AJ6162">
        <v>92.777546950016003</v>
      </c>
      <c r="AK6162">
        <v>24.6818937111636</v>
      </c>
      <c r="AL6162">
        <v>77.649468154048904</v>
      </c>
      <c r="AM6162">
        <v>90.1954973292506</v>
      </c>
      <c r="AN6162">
        <v>0.99999997282441699</v>
      </c>
    </row>
    <row r="6163" spans="1:40" x14ac:dyDescent="0.25">
      <c r="A6163" t="str">
        <f>"20190303170657438"</f>
        <v>20190303170657438</v>
      </c>
      <c r="B6163" t="str">
        <f>"1551604017431154"</f>
        <v>1551604017431154</v>
      </c>
      <c r="C6163" t="s">
        <v>40</v>
      </c>
      <c r="D6163">
        <v>5.6065639999999997</v>
      </c>
      <c r="E6163">
        <v>0.4842224</v>
      </c>
      <c r="F6163" t="s">
        <v>41</v>
      </c>
      <c r="G6163">
        <v>-188.28569999999999</v>
      </c>
      <c r="H6163" s="1">
        <v>-4.4549219999999997E-6</v>
      </c>
      <c r="I6163">
        <v>109.3085</v>
      </c>
      <c r="J6163">
        <v>-187.02189999999999</v>
      </c>
      <c r="K6163">
        <v>1.1210599999999999</v>
      </c>
      <c r="L6163">
        <v>85.243679999999998</v>
      </c>
      <c r="M6163">
        <v>-9.8202620000000006E-4</v>
      </c>
      <c r="N6163">
        <v>-1.420342E-2</v>
      </c>
      <c r="O6163">
        <v>0.99989870000000003</v>
      </c>
      <c r="P6163">
        <v>-3.1363540000000001E-3</v>
      </c>
      <c r="Q6163">
        <v>0.2000671</v>
      </c>
      <c r="R6163">
        <v>0.97977720000000001</v>
      </c>
      <c r="S6163">
        <v>-0.15946959999999999</v>
      </c>
      <c r="T6163">
        <v>-0.1414127</v>
      </c>
      <c r="U6163">
        <v>3.0900569999999998</v>
      </c>
      <c r="V6163">
        <v>-2.1662370000000001E-3</v>
      </c>
      <c r="W6163">
        <v>0.21396319999999999</v>
      </c>
      <c r="X6163">
        <v>0.97683929999999997</v>
      </c>
      <c r="Y6163">
        <v>-5.0510909999999999E-2</v>
      </c>
      <c r="Z6163">
        <v>-3.146359E-2</v>
      </c>
      <c r="AA6163">
        <v>0.9982278</v>
      </c>
      <c r="AB6163">
        <v>40</v>
      </c>
      <c r="AC6163">
        <v>-1.2638</v>
      </c>
      <c r="AD6163">
        <v>-1.1210644549219999</v>
      </c>
      <c r="AE6163">
        <v>24.064820000000001</v>
      </c>
      <c r="AF6163">
        <v>-1.2374865407226101</v>
      </c>
      <c r="AG6163">
        <v>-1.1210644549219999</v>
      </c>
      <c r="AH6163">
        <v>24.014078047636598</v>
      </c>
      <c r="AI6163">
        <v>92.669297994052897</v>
      </c>
      <c r="AJ6163">
        <v>92.949940218031998</v>
      </c>
      <c r="AK6163">
        <v>24.072060629047499</v>
      </c>
      <c r="AL6163">
        <v>77.645292114646494</v>
      </c>
      <c r="AM6163">
        <v>90.127058804931806</v>
      </c>
      <c r="AN6163">
        <v>0.99999998078073404</v>
      </c>
    </row>
    <row r="6164" spans="1:40" x14ac:dyDescent="0.25">
      <c r="A6164" t="str">
        <f>"20190303170657461"</f>
        <v>20190303170657461</v>
      </c>
      <c r="B6164" t="str">
        <f>"1551604017450675"</f>
        <v>1551604017450675</v>
      </c>
      <c r="C6164" t="s">
        <v>40</v>
      </c>
      <c r="D6164">
        <v>5.6797570000000004</v>
      </c>
      <c r="E6164">
        <v>0.48368159999999999</v>
      </c>
      <c r="F6164" t="s">
        <v>41</v>
      </c>
      <c r="G6164">
        <v>-188.30770000000001</v>
      </c>
      <c r="H6164" s="1">
        <v>-4.4140319999999996E-6</v>
      </c>
      <c r="I6164">
        <v>109.2223</v>
      </c>
      <c r="J6164">
        <v>-187.0224</v>
      </c>
      <c r="K6164">
        <v>1.1210659999999999</v>
      </c>
      <c r="L6164">
        <v>85.653750000000002</v>
      </c>
      <c r="M6164">
        <v>-9.8223230000000009E-4</v>
      </c>
      <c r="N6164">
        <v>-1.420804E-2</v>
      </c>
      <c r="O6164">
        <v>0.99989859999999997</v>
      </c>
      <c r="P6164">
        <v>-2.1811510000000001E-3</v>
      </c>
      <c r="Q6164">
        <v>0.20017209999999999</v>
      </c>
      <c r="R6164">
        <v>0.97975829999999997</v>
      </c>
      <c r="S6164">
        <v>-0.165741</v>
      </c>
      <c r="T6164">
        <v>-0.14450869999999999</v>
      </c>
      <c r="U6164">
        <v>3.0909119999999999</v>
      </c>
      <c r="V6164">
        <v>-1.210399E-3</v>
      </c>
      <c r="W6164">
        <v>0.2140727</v>
      </c>
      <c r="X6164">
        <v>0.97681700000000005</v>
      </c>
      <c r="Y6164">
        <v>-5.2513280000000002E-2</v>
      </c>
      <c r="Z6164">
        <v>-3.2439200000000001E-2</v>
      </c>
      <c r="AA6164">
        <v>0.99809320000000001</v>
      </c>
      <c r="AB6164">
        <v>40</v>
      </c>
      <c r="AC6164">
        <v>-1.2853000000000001</v>
      </c>
      <c r="AD6164">
        <v>-1.12107041403199</v>
      </c>
      <c r="AE6164">
        <v>23.568549999999998</v>
      </c>
      <c r="AF6164">
        <v>-1.25930644487972</v>
      </c>
      <c r="AG6164">
        <v>-1.12107041403199</v>
      </c>
      <c r="AH6164">
        <v>23.516750937691299</v>
      </c>
      <c r="AI6164">
        <v>92.725390246649297</v>
      </c>
      <c r="AJ6164">
        <v>93.065223425772501</v>
      </c>
      <c r="AK6164">
        <v>23.577112339316201</v>
      </c>
      <c r="AL6164">
        <v>77.638869887251204</v>
      </c>
      <c r="AM6164">
        <v>90.070996633691294</v>
      </c>
      <c r="AN6164">
        <v>1.00000001872001</v>
      </c>
    </row>
    <row r="6165" spans="1:40" x14ac:dyDescent="0.25">
      <c r="A6165" t="str">
        <f>"20190303170657482"</f>
        <v>20190303170657482</v>
      </c>
      <c r="B6165" t="str">
        <f>"1551604017471171"</f>
        <v>1551604017471171</v>
      </c>
      <c r="C6165" t="s">
        <v>40</v>
      </c>
      <c r="D6165">
        <v>5.6542130000000004</v>
      </c>
      <c r="E6165">
        <v>0.48297859999999998</v>
      </c>
      <c r="F6165" t="s">
        <v>41</v>
      </c>
      <c r="G6165">
        <v>-188.3192</v>
      </c>
      <c r="H6165" s="1">
        <v>-4.5370749999999999E-7</v>
      </c>
      <c r="I6165">
        <v>109.6671</v>
      </c>
      <c r="J6165">
        <v>-187.02269999999999</v>
      </c>
      <c r="K6165">
        <v>1.121067</v>
      </c>
      <c r="L6165">
        <v>86.035030000000006</v>
      </c>
      <c r="M6165">
        <v>-9.82419E-4</v>
      </c>
      <c r="N6165">
        <v>-1.4211440000000001E-2</v>
      </c>
      <c r="O6165">
        <v>0.99989859999999997</v>
      </c>
      <c r="P6165">
        <v>-1.5594070000000001E-3</v>
      </c>
      <c r="Q6165">
        <v>0.1998144</v>
      </c>
      <c r="R6165">
        <v>0.9798325</v>
      </c>
      <c r="S6165">
        <v>-0.1669312</v>
      </c>
      <c r="T6165">
        <v>-0.1443065</v>
      </c>
      <c r="U6165">
        <v>3.0910639999999998</v>
      </c>
      <c r="V6165">
        <v>-5.8862519999999905E-4</v>
      </c>
      <c r="W6165">
        <v>0.2137192</v>
      </c>
      <c r="X6165">
        <v>0.97689499999999996</v>
      </c>
      <c r="Y6165">
        <v>-5.2893610000000001E-2</v>
      </c>
      <c r="Z6165">
        <v>-3.2367420000000001E-2</v>
      </c>
      <c r="AA6165">
        <v>0.9980755</v>
      </c>
      <c r="AB6165">
        <v>40</v>
      </c>
      <c r="AC6165">
        <v>-1.2965</v>
      </c>
      <c r="AD6165">
        <v>-1.1210674537075001</v>
      </c>
      <c r="AE6165">
        <v>23.632069999999999</v>
      </c>
      <c r="AF6165">
        <v>-1.2704300383046701</v>
      </c>
      <c r="AG6165">
        <v>-1.1210674537075001</v>
      </c>
      <c r="AH6165">
        <v>23.5804262460309</v>
      </c>
      <c r="AI6165">
        <v>92.717987085540202</v>
      </c>
      <c r="AJ6165">
        <v>93.083912572249204</v>
      </c>
      <c r="AK6165">
        <v>23.641220075590201</v>
      </c>
      <c r="AL6165">
        <v>77.659604092949493</v>
      </c>
      <c r="AM6165">
        <v>90.034523398720907</v>
      </c>
      <c r="AN6165">
        <v>1.0000000419766299</v>
      </c>
    </row>
    <row r="6166" spans="1:40" x14ac:dyDescent="0.25">
      <c r="A6166" t="str">
        <f>"20190303170657504"</f>
        <v>20190303170657504</v>
      </c>
      <c r="B6166" t="str">
        <f>"1551604017490691"</f>
        <v>1551604017490691</v>
      </c>
      <c r="C6166" t="s">
        <v>40</v>
      </c>
      <c r="D6166">
        <v>5.7027010000000002</v>
      </c>
      <c r="E6166">
        <v>0.48257319999999998</v>
      </c>
      <c r="F6166" t="s">
        <v>41</v>
      </c>
      <c r="G6166">
        <v>-188.3383</v>
      </c>
      <c r="H6166" s="1">
        <v>-5.1087290000000001E-7</v>
      </c>
      <c r="I6166">
        <v>109.8501</v>
      </c>
      <c r="J6166">
        <v>-187.0231</v>
      </c>
      <c r="K6166">
        <v>1.1210639999999901</v>
      </c>
      <c r="L6166">
        <v>86.410250000000005</v>
      </c>
      <c r="M6166">
        <v>-9.8260240000000009E-4</v>
      </c>
      <c r="N6166">
        <v>-1.42141E-2</v>
      </c>
      <c r="O6166">
        <v>0.99989850000000002</v>
      </c>
      <c r="P6166">
        <v>-9.812817000000001E-4</v>
      </c>
      <c r="Q6166">
        <v>0.1988277</v>
      </c>
      <c r="R6166">
        <v>0.98003399999999996</v>
      </c>
      <c r="S6166">
        <v>-0.1707611</v>
      </c>
      <c r="T6166">
        <v>-0.1455128</v>
      </c>
      <c r="U6166">
        <v>3.0911559999999998</v>
      </c>
      <c r="V6166" s="1">
        <v>-9.909738E-6</v>
      </c>
      <c r="W6166">
        <v>0.2127376</v>
      </c>
      <c r="X6166">
        <v>0.97710940000000002</v>
      </c>
      <c r="Y6166">
        <v>-5.4123379999999999E-2</v>
      </c>
      <c r="Z6166">
        <v>-3.2748890000000003E-2</v>
      </c>
      <c r="AA6166">
        <v>0.99799709999999997</v>
      </c>
      <c r="AB6166">
        <v>40</v>
      </c>
      <c r="AC6166">
        <v>-1.3151999999999999</v>
      </c>
      <c r="AD6166">
        <v>-1.1210645108728901</v>
      </c>
      <c r="AE6166">
        <v>23.43985</v>
      </c>
      <c r="AF6166">
        <v>-1.2892252026893201</v>
      </c>
      <c r="AG6166">
        <v>-1.1210645108728901</v>
      </c>
      <c r="AH6166">
        <v>23.387800613434901</v>
      </c>
      <c r="AI6166">
        <v>92.740146240517007</v>
      </c>
      <c r="AJ6166">
        <v>93.155169731101793</v>
      </c>
      <c r="AK6166">
        <v>23.450119504910301</v>
      </c>
      <c r="AL6166">
        <v>77.717169386456504</v>
      </c>
      <c r="AM6166">
        <v>90.000581087607401</v>
      </c>
      <c r="AN6166">
        <v>1.0000000330601599</v>
      </c>
    </row>
    <row r="6167" spans="1:40" x14ac:dyDescent="0.25">
      <c r="A6167" t="str">
        <f>"20190303170657538"</f>
        <v>20190303170657538</v>
      </c>
      <c r="B6167" t="str">
        <f>"1551604017530707"</f>
        <v>1551604017530707</v>
      </c>
      <c r="C6167" t="s">
        <v>40</v>
      </c>
      <c r="D6167">
        <v>5.7446799999999998</v>
      </c>
      <c r="E6167">
        <v>0.48196369999999999</v>
      </c>
      <c r="F6167" t="s">
        <v>41</v>
      </c>
      <c r="G6167">
        <v>-188.31829999999999</v>
      </c>
      <c r="H6167" s="1">
        <v>-4.5926110000000002E-7</v>
      </c>
      <c r="I6167">
        <v>109.6828</v>
      </c>
      <c r="J6167">
        <v>-187.02369999999999</v>
      </c>
      <c r="K6167">
        <v>1.121073</v>
      </c>
      <c r="L6167">
        <v>87.036500000000004</v>
      </c>
      <c r="M6167">
        <v>-9.8292239999999993E-4</v>
      </c>
      <c r="N6167">
        <v>-1.421706E-2</v>
      </c>
      <c r="O6167">
        <v>0.99989839999999997</v>
      </c>
      <c r="P6167">
        <v>-6.9693710000000005E-4</v>
      </c>
      <c r="Q6167">
        <v>0.19916130000000001</v>
      </c>
      <c r="R6167">
        <v>0.97996649999999996</v>
      </c>
      <c r="S6167">
        <v>-0.1720428</v>
      </c>
      <c r="T6167">
        <v>-0.14890439999999999</v>
      </c>
      <c r="U6167">
        <v>3.0911559999999998</v>
      </c>
      <c r="V6167">
        <v>2.7470430000000001E-4</v>
      </c>
      <c r="W6167">
        <v>0.2130735</v>
      </c>
      <c r="X6167">
        <v>0.97703609999999996</v>
      </c>
      <c r="Y6167">
        <v>-5.453297E-2</v>
      </c>
      <c r="Z6167">
        <v>-3.3837329999999999E-2</v>
      </c>
      <c r="AA6167">
        <v>0.99793849999999995</v>
      </c>
      <c r="AB6167">
        <v>40</v>
      </c>
      <c r="AC6167">
        <v>-1.2946</v>
      </c>
      <c r="AD6167">
        <v>-1.1210734592611</v>
      </c>
      <c r="AE6167">
        <v>22.6463</v>
      </c>
      <c r="AF6167">
        <v>-1.2692372979388</v>
      </c>
      <c r="AG6167">
        <v>-1.1210734592611</v>
      </c>
      <c r="AH6167">
        <v>22.5923769873589</v>
      </c>
      <c r="AI6167">
        <v>92.836322057072493</v>
      </c>
      <c r="AJ6167">
        <v>93.215490655099103</v>
      </c>
      <c r="AK6167">
        <v>22.655755713691899</v>
      </c>
      <c r="AL6167">
        <v>77.6974712970936</v>
      </c>
      <c r="AM6167">
        <v>89.983890670375999</v>
      </c>
      <c r="AN6167">
        <v>0.99999996628395504</v>
      </c>
    </row>
    <row r="6168" spans="1:40" x14ac:dyDescent="0.25">
      <c r="A6168" t="str">
        <f>"20190303170657560"</f>
        <v>20190303170657560</v>
      </c>
      <c r="B6168" t="str">
        <f>"1551604017551203"</f>
        <v>1551604017551203</v>
      </c>
      <c r="C6168" t="s">
        <v>40</v>
      </c>
      <c r="D6168">
        <v>5.6715710000000001</v>
      </c>
      <c r="E6168">
        <v>0.48143200000000003</v>
      </c>
      <c r="F6168" t="s">
        <v>41</v>
      </c>
      <c r="G6168">
        <v>-188.3767</v>
      </c>
      <c r="H6168" s="1">
        <v>-8.2261349999999896E-7</v>
      </c>
      <c r="I6168">
        <v>110.7961</v>
      </c>
      <c r="J6168">
        <v>-187.0241</v>
      </c>
      <c r="K6168">
        <v>1.1210800000000001</v>
      </c>
      <c r="L6168">
        <v>87.434419999999903</v>
      </c>
      <c r="M6168">
        <v>-9.8312240000000004E-4</v>
      </c>
      <c r="N6168">
        <v>-1.421828E-2</v>
      </c>
      <c r="O6168">
        <v>0.99989839999999997</v>
      </c>
      <c r="P6168">
        <v>2.7425559999999998E-4</v>
      </c>
      <c r="Q6168">
        <v>0.1999601</v>
      </c>
      <c r="R6168">
        <v>0.97980400000000001</v>
      </c>
      <c r="S6168">
        <v>-0.1760101</v>
      </c>
      <c r="T6168">
        <v>-0.1458371</v>
      </c>
      <c r="U6168">
        <v>3.0908199999999999</v>
      </c>
      <c r="V6168">
        <v>1.245967E-3</v>
      </c>
      <c r="W6168">
        <v>0.21387100000000001</v>
      </c>
      <c r="X6168">
        <v>0.97686110000000004</v>
      </c>
      <c r="Y6168">
        <v>-5.5817319999999997E-2</v>
      </c>
      <c r="Z6168">
        <v>-3.2849839999999998E-2</v>
      </c>
      <c r="AA6168">
        <v>0.99790040000000002</v>
      </c>
      <c r="AB6168">
        <v>40</v>
      </c>
      <c r="AC6168">
        <v>-1.35259999999999</v>
      </c>
      <c r="AD6168">
        <v>-1.1210808226134901</v>
      </c>
      <c r="AE6168">
        <v>23.36168</v>
      </c>
      <c r="AF6168">
        <v>-1.3265849127460501</v>
      </c>
      <c r="AG6168">
        <v>-1.1210808226134901</v>
      </c>
      <c r="AH6168">
        <v>23.309499665032298</v>
      </c>
      <c r="AI6168">
        <v>92.749102673231803</v>
      </c>
      <c r="AJ6168">
        <v>93.257290595746895</v>
      </c>
      <c r="AK6168">
        <v>23.3741186866093</v>
      </c>
      <c r="AL6168">
        <v>77.650699993974001</v>
      </c>
      <c r="AM6168">
        <v>89.926920406801102</v>
      </c>
      <c r="AN6168">
        <v>0.99999998288398695</v>
      </c>
    </row>
    <row r="6169" spans="1:40" x14ac:dyDescent="0.25">
      <c r="A6169" t="str">
        <f>"20190303170657581"</f>
        <v>20190303170657581</v>
      </c>
      <c r="B6169" t="str">
        <f>"1551604017570723"</f>
        <v>1551604017570723</v>
      </c>
      <c r="C6169" t="s">
        <v>40</v>
      </c>
      <c r="D6169">
        <v>5.7792269999999997</v>
      </c>
      <c r="E6169">
        <v>0.48110350000000002</v>
      </c>
      <c r="F6169" t="s">
        <v>41</v>
      </c>
      <c r="G6169">
        <v>-188.39869999999999</v>
      </c>
      <c r="H6169" s="1">
        <v>-1.0112149999999999E-6</v>
      </c>
      <c r="I6169">
        <v>111.3278</v>
      </c>
      <c r="J6169">
        <v>-187.02440000000001</v>
      </c>
      <c r="K6169">
        <v>1.121081</v>
      </c>
      <c r="L6169">
        <v>87.801760000000002</v>
      </c>
      <c r="M6169">
        <v>-9.8328660000000009E-4</v>
      </c>
      <c r="N6169">
        <v>-1.4218929999999999E-2</v>
      </c>
      <c r="O6169">
        <v>0.99989839999999997</v>
      </c>
      <c r="P6169">
        <v>7.5947419999999996E-4</v>
      </c>
      <c r="Q6169">
        <v>0.20005210000000001</v>
      </c>
      <c r="R6169">
        <v>0.97978500000000002</v>
      </c>
      <c r="S6169">
        <v>-0.1778564</v>
      </c>
      <c r="T6169">
        <v>-0.14505309999999999</v>
      </c>
      <c r="U6169">
        <v>3.0914920000000001</v>
      </c>
      <c r="V6169">
        <v>1.7313319999999999E-3</v>
      </c>
      <c r="W6169">
        <v>0.21396319999999999</v>
      </c>
      <c r="X6169">
        <v>0.97684020000000005</v>
      </c>
      <c r="Y6169">
        <v>-5.6399209999999998E-2</v>
      </c>
      <c r="Z6169">
        <v>-3.2584950000000001E-2</v>
      </c>
      <c r="AA6169">
        <v>0.9978764</v>
      </c>
      <c r="AB6169">
        <v>40</v>
      </c>
      <c r="AC6169">
        <v>-1.3742999999999701</v>
      </c>
      <c r="AD6169">
        <v>-1.121082011215</v>
      </c>
      <c r="AE6169">
        <v>23.526039999999899</v>
      </c>
      <c r="AF6169">
        <v>-1.34811328408871</v>
      </c>
      <c r="AG6169">
        <v>-1.121082011215</v>
      </c>
      <c r="AH6169">
        <v>23.474256251464499</v>
      </c>
      <c r="AI6169">
        <v>92.729759576473995</v>
      </c>
      <c r="AJ6169">
        <v>93.286853942064894</v>
      </c>
      <c r="AK6169">
        <v>23.539646149889901</v>
      </c>
      <c r="AL6169">
        <v>77.645292511467503</v>
      </c>
      <c r="AM6169">
        <v>89.898450214615494</v>
      </c>
      <c r="AN6169">
        <v>1.0000000124003801</v>
      </c>
    </row>
    <row r="6170" spans="1:40" x14ac:dyDescent="0.25">
      <c r="A6170" t="str">
        <f>"20190303170657603"</f>
        <v>20190303170657603</v>
      </c>
      <c r="B6170" t="str">
        <f>"1551604017591219"</f>
        <v>1551604017591219</v>
      </c>
      <c r="C6170" t="s">
        <v>40</v>
      </c>
      <c r="D6170">
        <v>5.831143</v>
      </c>
      <c r="E6170">
        <v>0.48071609999999998</v>
      </c>
      <c r="F6170" t="s">
        <v>41</v>
      </c>
      <c r="G6170">
        <v>-188.4051</v>
      </c>
      <c r="H6170" s="1">
        <v>-1.1671800000000001E-6</v>
      </c>
      <c r="I6170">
        <v>111.694</v>
      </c>
      <c r="J6170">
        <v>-187.0248</v>
      </c>
      <c r="K6170">
        <v>1.1210800000000001</v>
      </c>
      <c r="L6170">
        <v>88.201139999999995</v>
      </c>
      <c r="M6170">
        <v>-9.8346809999999996E-4</v>
      </c>
      <c r="N6170">
        <v>-1.421917E-2</v>
      </c>
      <c r="O6170">
        <v>0.99989839999999997</v>
      </c>
      <c r="P6170">
        <v>9.7777020000000005E-4</v>
      </c>
      <c r="Q6170">
        <v>0.19886529999999999</v>
      </c>
      <c r="R6170">
        <v>0.98002639999999996</v>
      </c>
      <c r="S6170">
        <v>-0.1786499</v>
      </c>
      <c r="T6170">
        <v>-0.14506749999999999</v>
      </c>
      <c r="U6170">
        <v>3.0916440000000001</v>
      </c>
      <c r="V6170">
        <v>1.9499980000000001E-3</v>
      </c>
      <c r="W6170">
        <v>0.21278040000000001</v>
      </c>
      <c r="X6170">
        <v>0.97709809999999997</v>
      </c>
      <c r="Y6170">
        <v>-5.6651340000000001E-2</v>
      </c>
      <c r="Z6170">
        <v>-3.258635E-2</v>
      </c>
      <c r="AA6170">
        <v>0.99786209999999997</v>
      </c>
      <c r="AB6170">
        <v>40</v>
      </c>
      <c r="AC6170">
        <v>-1.3803000000000001</v>
      </c>
      <c r="AD6170">
        <v>-1.1210811671799901</v>
      </c>
      <c r="AE6170">
        <v>23.49286</v>
      </c>
      <c r="AF6170">
        <v>-1.3541195164059101</v>
      </c>
      <c r="AG6170">
        <v>-1.1210811671799901</v>
      </c>
      <c r="AH6170">
        <v>23.441009880498399</v>
      </c>
      <c r="AI6170">
        <v>92.7335703578063</v>
      </c>
      <c r="AJ6170">
        <v>93.306137587496806</v>
      </c>
      <c r="AK6170">
        <v>23.506837449255901</v>
      </c>
      <c r="AL6170">
        <v>77.714659242300996</v>
      </c>
      <c r="AM6170">
        <v>89.885654769843597</v>
      </c>
      <c r="AN6170">
        <v>0.99999999906998405</v>
      </c>
    </row>
    <row r="6171" spans="1:40" x14ac:dyDescent="0.25">
      <c r="A6171" t="str">
        <f>"20190303170657627"</f>
        <v>20190303170657627</v>
      </c>
      <c r="B6171" t="str">
        <f>"1551604017610739"</f>
        <v>1551604017610739</v>
      </c>
      <c r="C6171" t="s">
        <v>40</v>
      </c>
      <c r="D6171">
        <v>5.7254709999999998</v>
      </c>
      <c r="E6171">
        <v>0.48017539999999997</v>
      </c>
      <c r="F6171" t="s">
        <v>41</v>
      </c>
      <c r="G6171">
        <v>-188.3819</v>
      </c>
      <c r="H6171" s="1">
        <v>-1.0358230000000001E-6</v>
      </c>
      <c r="I6171">
        <v>111.3783</v>
      </c>
      <c r="J6171">
        <v>-187.02520000000001</v>
      </c>
      <c r="K6171">
        <v>1.1210819999999999</v>
      </c>
      <c r="L6171">
        <v>88.619320000000002</v>
      </c>
      <c r="M6171">
        <v>-9.8364999999999998E-4</v>
      </c>
      <c r="N6171">
        <v>-1.4219030000000001E-2</v>
      </c>
      <c r="O6171">
        <v>0.99989839999999997</v>
      </c>
      <c r="P6171">
        <v>1.5498860000000001E-3</v>
      </c>
      <c r="Q6171">
        <v>0.19815060000000001</v>
      </c>
      <c r="R6171">
        <v>0.9801704</v>
      </c>
      <c r="S6171">
        <v>-0.18103030000000001</v>
      </c>
      <c r="T6171">
        <v>-0.14954479999999901</v>
      </c>
      <c r="U6171">
        <v>3.091675</v>
      </c>
      <c r="V6171">
        <v>2.5223960000000001E-3</v>
      </c>
      <c r="W6171">
        <v>0.21206749999999999</v>
      </c>
      <c r="X6171">
        <v>0.9772518</v>
      </c>
      <c r="Y6171">
        <v>-5.741255E-2</v>
      </c>
      <c r="Z6171">
        <v>-3.4025680000000003E-2</v>
      </c>
      <c r="AA6171">
        <v>0.9977705</v>
      </c>
      <c r="AB6171">
        <v>40</v>
      </c>
      <c r="AC6171">
        <v>-1.35669999999998</v>
      </c>
      <c r="AD6171">
        <v>-1.121083035823</v>
      </c>
      <c r="AE6171">
        <v>22.758979999999902</v>
      </c>
      <c r="AF6171">
        <v>-1.33109182805073</v>
      </c>
      <c r="AG6171">
        <v>-1.121083035823</v>
      </c>
      <c r="AH6171">
        <v>22.705405367189101</v>
      </c>
      <c r="AI6171">
        <v>92.821855631297097</v>
      </c>
      <c r="AJ6171">
        <v>93.355093268128996</v>
      </c>
      <c r="AK6171">
        <v>22.772001789836001</v>
      </c>
      <c r="AL6171">
        <v>77.756459816136498</v>
      </c>
      <c r="AM6171">
        <v>89.852113524765301</v>
      </c>
      <c r="AN6171">
        <v>1.0000000338205299</v>
      </c>
    </row>
    <row r="6172" spans="1:40" x14ac:dyDescent="0.25">
      <c r="A6172" t="str">
        <f>"20190303170657651"</f>
        <v>20190303170657651</v>
      </c>
      <c r="B6172" t="str">
        <f>"1551604017641501"</f>
        <v>1551604017641501</v>
      </c>
      <c r="C6172" t="s">
        <v>40</v>
      </c>
      <c r="D6172">
        <v>5.7621510000000002</v>
      </c>
      <c r="E6172">
        <v>0.47962009999999999</v>
      </c>
      <c r="F6172" t="s">
        <v>41</v>
      </c>
      <c r="G6172">
        <v>-188.3708</v>
      </c>
      <c r="H6172" s="1">
        <v>-1.0300859999999999E-6</v>
      </c>
      <c r="I6172">
        <v>111.3603</v>
      </c>
      <c r="J6172">
        <v>-187.0257</v>
      </c>
      <c r="K6172">
        <v>1.1210800000000001</v>
      </c>
      <c r="L6172">
        <v>89.031859999999995</v>
      </c>
      <c r="M6172">
        <v>-9.8385859999999999E-4</v>
      </c>
      <c r="N6172">
        <v>-1.4218740000000001E-2</v>
      </c>
      <c r="O6172">
        <v>0.99989839999999997</v>
      </c>
      <c r="P6172">
        <v>2.3568159999999999E-3</v>
      </c>
      <c r="Q6172">
        <v>0.19933780000000001</v>
      </c>
      <c r="R6172">
        <v>0.97992800000000002</v>
      </c>
      <c r="S6172">
        <v>-0.18293760000000001</v>
      </c>
      <c r="T6172">
        <v>-0.15241930000000001</v>
      </c>
      <c r="U6172">
        <v>3.0917970000000001</v>
      </c>
      <c r="V6172">
        <v>3.329327E-3</v>
      </c>
      <c r="W6172">
        <v>0.213251</v>
      </c>
      <c r="X6172">
        <v>0.97699179999999997</v>
      </c>
      <c r="Y6172">
        <v>-5.80209E-2</v>
      </c>
      <c r="Z6172">
        <v>-3.4947720000000002E-2</v>
      </c>
      <c r="AA6172">
        <v>0.99770349999999997</v>
      </c>
      <c r="AB6172">
        <v>40</v>
      </c>
      <c r="AC6172">
        <v>-1.3451</v>
      </c>
      <c r="AD6172">
        <v>-1.1210810300859999</v>
      </c>
      <c r="AE6172">
        <v>22.328440000000001</v>
      </c>
      <c r="AF6172">
        <v>-1.3198139986772801</v>
      </c>
      <c r="AG6172">
        <v>-1.1210810300859999</v>
      </c>
      <c r="AH6172">
        <v>22.273805501554499</v>
      </c>
      <c r="AI6172">
        <v>92.876332478775893</v>
      </c>
      <c r="AJ6172">
        <v>93.391044081627101</v>
      </c>
      <c r="AK6172">
        <v>22.3410192960886</v>
      </c>
      <c r="AL6172">
        <v>77.687062796986098</v>
      </c>
      <c r="AM6172">
        <v>89.804752048759397</v>
      </c>
      <c r="AN6172">
        <v>1.0000000253432499</v>
      </c>
    </row>
    <row r="6173" spans="1:40" x14ac:dyDescent="0.25">
      <c r="A6173" t="str">
        <f>"20190303170657672"</f>
        <v>20190303170657672</v>
      </c>
      <c r="B6173" t="str">
        <f>"1551604017661020"</f>
        <v>1551604017661020</v>
      </c>
      <c r="C6173" t="s">
        <v>40</v>
      </c>
      <c r="D6173">
        <v>5.9884149999999998</v>
      </c>
      <c r="E6173">
        <v>0.47926439999999998</v>
      </c>
      <c r="F6173" t="s">
        <v>41</v>
      </c>
      <c r="G6173">
        <v>-188.4211</v>
      </c>
      <c r="H6173" s="1">
        <v>-1.3880770000000001E-6</v>
      </c>
      <c r="I6173">
        <v>112.21550000000001</v>
      </c>
      <c r="J6173">
        <v>-187.02600000000001</v>
      </c>
      <c r="K6173">
        <v>1.1210880000000001</v>
      </c>
      <c r="L6173">
        <v>89.428650000000005</v>
      </c>
      <c r="M6173">
        <v>-9.840672E-4</v>
      </c>
      <c r="N6173">
        <v>-1.421796E-2</v>
      </c>
      <c r="O6173">
        <v>0.99989839999999997</v>
      </c>
      <c r="P6173">
        <v>3.3866399999999998E-3</v>
      </c>
      <c r="Q6173">
        <v>0.20000190000000001</v>
      </c>
      <c r="R6173">
        <v>0.97978969999999999</v>
      </c>
      <c r="S6173">
        <v>-0.18612670000000001</v>
      </c>
      <c r="T6173">
        <v>-0.14953350000000001</v>
      </c>
      <c r="U6173">
        <v>3.0923159999999998</v>
      </c>
      <c r="V6173">
        <v>4.3592329999999997E-3</v>
      </c>
      <c r="W6173">
        <v>0.21391250000000001</v>
      </c>
      <c r="X6173">
        <v>0.97684309999999996</v>
      </c>
      <c r="Y6173">
        <v>-5.903796E-2</v>
      </c>
      <c r="Z6173">
        <v>-3.400852E-2</v>
      </c>
      <c r="AA6173">
        <v>0.99767629999999996</v>
      </c>
      <c r="AB6173">
        <v>40</v>
      </c>
      <c r="AC6173">
        <v>-1.39510000000001</v>
      </c>
      <c r="AD6173">
        <v>-1.1210893880770001</v>
      </c>
      <c r="AE6173">
        <v>22.786850000000001</v>
      </c>
      <c r="AF6173">
        <v>-1.36937102850917</v>
      </c>
      <c r="AG6173">
        <v>-1.1210893880770001</v>
      </c>
      <c r="AH6173">
        <v>22.733390432431001</v>
      </c>
      <c r="AI6173">
        <v>92.818134887947807</v>
      </c>
      <c r="AJ6173">
        <v>93.447109806557293</v>
      </c>
      <c r="AK6173">
        <v>22.8021722426423</v>
      </c>
      <c r="AL6173">
        <v>77.648266118425894</v>
      </c>
      <c r="AM6173">
        <v>89.744315136336994</v>
      </c>
      <c r="AN6173">
        <v>1.0000000012931001</v>
      </c>
    </row>
    <row r="6174" spans="1:40" x14ac:dyDescent="0.25">
      <c r="A6174" t="str">
        <f>"20190303170657693"</f>
        <v>20190303170657693</v>
      </c>
      <c r="B6174" t="str">
        <f>"1551604017680544"</f>
        <v>1551604017680544</v>
      </c>
      <c r="C6174" t="s">
        <v>40</v>
      </c>
      <c r="D6174">
        <v>5.8862639999999997</v>
      </c>
      <c r="E6174">
        <v>0.4788731</v>
      </c>
      <c r="F6174" t="s">
        <v>41</v>
      </c>
      <c r="G6174">
        <v>-188.4494</v>
      </c>
      <c r="H6174" s="1">
        <v>-1.708751E-6</v>
      </c>
      <c r="I6174">
        <v>112.9748</v>
      </c>
      <c r="J6174">
        <v>-187.0264</v>
      </c>
      <c r="K6174">
        <v>1.1210910000000001</v>
      </c>
      <c r="L6174">
        <v>89.795259999999999</v>
      </c>
      <c r="M6174">
        <v>-9.8423580000000003E-4</v>
      </c>
      <c r="N6174">
        <v>-1.4216889999999999E-2</v>
      </c>
      <c r="O6174">
        <v>0.99989839999999997</v>
      </c>
      <c r="P6174">
        <v>4.4768300000000002E-3</v>
      </c>
      <c r="Q6174">
        <v>0.19974649999999999</v>
      </c>
      <c r="R6174">
        <v>0.97983739999999997</v>
      </c>
      <c r="S6174">
        <v>-0.1869507</v>
      </c>
      <c r="T6174">
        <v>-0.14724599999999999</v>
      </c>
      <c r="U6174">
        <v>3.09259</v>
      </c>
      <c r="V6174">
        <v>5.4496129999999999E-3</v>
      </c>
      <c r="W6174">
        <v>0.21365619999999999</v>
      </c>
      <c r="X6174">
        <v>0.97689369999999998</v>
      </c>
      <c r="Y6174">
        <v>-5.9299030000000003E-2</v>
      </c>
      <c r="Z6174">
        <v>-3.3268319999999997E-2</v>
      </c>
      <c r="AA6174">
        <v>0.99768570000000001</v>
      </c>
      <c r="AB6174">
        <v>40</v>
      </c>
      <c r="AC6174">
        <v>-1.423</v>
      </c>
      <c r="AD6174">
        <v>-1.1210927087510001</v>
      </c>
      <c r="AE6174">
        <v>23.179539999999999</v>
      </c>
      <c r="AF6174">
        <v>-1.3969274012686499</v>
      </c>
      <c r="AG6174">
        <v>-1.1210927087510001</v>
      </c>
      <c r="AH6174">
        <v>23.127033090497399</v>
      </c>
      <c r="AI6174">
        <v>92.770223649674406</v>
      </c>
      <c r="AJ6174">
        <v>93.456600699800504</v>
      </c>
      <c r="AK6174">
        <v>23.1962909663375</v>
      </c>
      <c r="AL6174">
        <v>77.663298366889293</v>
      </c>
      <c r="AM6174">
        <v>89.6803781353142</v>
      </c>
      <c r="AN6174">
        <v>0.99999998558998904</v>
      </c>
    </row>
    <row r="6175" spans="1:40" x14ac:dyDescent="0.25">
      <c r="A6175" t="str">
        <f>"20190303170657716"</f>
        <v>20190303170657716</v>
      </c>
      <c r="B6175" t="str">
        <f>"1551604017701036"</f>
        <v>1551604017701036</v>
      </c>
      <c r="C6175" t="s">
        <v>40</v>
      </c>
      <c r="D6175">
        <v>5.6123589999999997</v>
      </c>
      <c r="E6175">
        <v>0.47852899999999998</v>
      </c>
      <c r="F6175" t="s">
        <v>41</v>
      </c>
      <c r="G6175">
        <v>-188.43</v>
      </c>
      <c r="H6175" s="1">
        <v>-1.7628920000000001E-6</v>
      </c>
      <c r="I6175">
        <v>113.0929</v>
      </c>
      <c r="J6175">
        <v>-187.02670000000001</v>
      </c>
      <c r="K6175">
        <v>1.1210910000000001</v>
      </c>
      <c r="L6175">
        <v>90.190920000000006</v>
      </c>
      <c r="M6175">
        <v>-9.8439730000000002E-4</v>
      </c>
      <c r="N6175">
        <v>-1.421557E-2</v>
      </c>
      <c r="O6175">
        <v>0.99989850000000002</v>
      </c>
      <c r="P6175">
        <v>4.5954580000000002E-3</v>
      </c>
      <c r="Q6175">
        <v>0.19834180000000001</v>
      </c>
      <c r="R6175">
        <v>0.9801221</v>
      </c>
      <c r="S6175">
        <v>-0.18634029999999999</v>
      </c>
      <c r="T6175">
        <v>-0.14883270000000001</v>
      </c>
      <c r="U6175">
        <v>3.0929259999999998</v>
      </c>
      <c r="V6175">
        <v>5.5686119999999997E-3</v>
      </c>
      <c r="W6175">
        <v>0.2122549</v>
      </c>
      <c r="X6175">
        <v>0.97719849999999997</v>
      </c>
      <c r="Y6175">
        <v>-5.9095040000000001E-2</v>
      </c>
      <c r="Z6175">
        <v>-3.377571E-2</v>
      </c>
      <c r="AA6175">
        <v>0.99768080000000003</v>
      </c>
      <c r="AB6175">
        <v>40</v>
      </c>
      <c r="AC6175">
        <v>-1.4033</v>
      </c>
      <c r="AD6175">
        <v>-1.121092762892</v>
      </c>
      <c r="AE6175">
        <v>22.901979999999998</v>
      </c>
      <c r="AF6175">
        <v>-1.37746395627525</v>
      </c>
      <c r="AG6175">
        <v>-1.121092762892</v>
      </c>
      <c r="AH6175">
        <v>22.848803181027399</v>
      </c>
      <c r="AI6175">
        <v>92.803922871842801</v>
      </c>
      <c r="AJ6175">
        <v>93.449960413420499</v>
      </c>
      <c r="AK6175">
        <v>22.917723768716101</v>
      </c>
      <c r="AL6175">
        <v>77.745472411735605</v>
      </c>
      <c r="AM6175">
        <v>89.673500817104795</v>
      </c>
      <c r="AN6175">
        <v>1.0000000302079299</v>
      </c>
    </row>
    <row r="6176" spans="1:40" x14ac:dyDescent="0.25">
      <c r="A6176" t="str">
        <f>"20190303170657739"</f>
        <v>20190303170657739</v>
      </c>
      <c r="B6176" t="str">
        <f>"1551604017731293"</f>
        <v>1551604017731293</v>
      </c>
      <c r="C6176" t="s">
        <v>40</v>
      </c>
      <c r="D6176">
        <v>5.7928810000000004</v>
      </c>
      <c r="E6176">
        <v>0.47807090000000002</v>
      </c>
      <c r="F6176" t="s">
        <v>41</v>
      </c>
      <c r="G6176">
        <v>-188.40430000000001</v>
      </c>
      <c r="H6176" s="1">
        <v>-1.626499E-6</v>
      </c>
      <c r="I6176">
        <v>112.76439999999999</v>
      </c>
      <c r="J6176">
        <v>-187.02719999999999</v>
      </c>
      <c r="K6176">
        <v>1.1210880000000001</v>
      </c>
      <c r="L6176">
        <v>90.612920000000003</v>
      </c>
      <c r="M6176">
        <v>-9.845861E-4</v>
      </c>
      <c r="N6176">
        <v>-1.4214020000000001E-2</v>
      </c>
      <c r="O6176">
        <v>0.99989850000000002</v>
      </c>
      <c r="P6176">
        <v>5.7047640000000002E-3</v>
      </c>
      <c r="Q6176">
        <v>0.1974602</v>
      </c>
      <c r="R6176">
        <v>0.98029429999999995</v>
      </c>
      <c r="S6176">
        <v>-0.18873599999999999</v>
      </c>
      <c r="T6176">
        <v>-0.1536032</v>
      </c>
      <c r="U6176">
        <v>3.0928339999999999</v>
      </c>
      <c r="V6176">
        <v>6.6782339999999999E-3</v>
      </c>
      <c r="W6176">
        <v>0.21137410000000001</v>
      </c>
      <c r="X6176">
        <v>0.97738239999999998</v>
      </c>
      <c r="Y6176">
        <v>-5.9862329999999998E-2</v>
      </c>
      <c r="Z6176">
        <v>-3.5311509999999997E-2</v>
      </c>
      <c r="AA6176">
        <v>0.99758190000000002</v>
      </c>
      <c r="AB6176">
        <v>40</v>
      </c>
      <c r="AC6176">
        <v>-1.37710000000001</v>
      </c>
      <c r="AD6176">
        <v>-1.12108962649899</v>
      </c>
      <c r="AE6176">
        <v>22.151479999999999</v>
      </c>
      <c r="AF6176">
        <v>-1.35183784067391</v>
      </c>
      <c r="AG6176">
        <v>-1.12108962649899</v>
      </c>
      <c r="AH6176">
        <v>22.0964456218605</v>
      </c>
      <c r="AI6176">
        <v>92.899068413413403</v>
      </c>
      <c r="AJ6176">
        <v>93.500933432051497</v>
      </c>
      <c r="AK6176">
        <v>22.1661276865843</v>
      </c>
      <c r="AL6176">
        <v>77.797109609473694</v>
      </c>
      <c r="AM6176">
        <v>89.608516924078202</v>
      </c>
      <c r="AN6176">
        <v>0.99999998239496402</v>
      </c>
    </row>
    <row r="6177" spans="1:40" x14ac:dyDescent="0.25">
      <c r="A6177" t="str">
        <f>"20190303170657761"</f>
        <v>20190303170657761</v>
      </c>
      <c r="B6177" t="str">
        <f>"1551604017750812"</f>
        <v>1551604017750812</v>
      </c>
      <c r="C6177" t="s">
        <v>40</v>
      </c>
      <c r="D6177">
        <v>5.7933000000000003</v>
      </c>
      <c r="E6177">
        <v>0.47780850000000002</v>
      </c>
      <c r="F6177" t="s">
        <v>41</v>
      </c>
      <c r="G6177">
        <v>-188.38159999999999</v>
      </c>
      <c r="H6177" s="1">
        <v>-1.624373E-6</v>
      </c>
      <c r="I6177">
        <v>112.75</v>
      </c>
      <c r="J6177">
        <v>-187.0275</v>
      </c>
      <c r="K6177">
        <v>1.121089</v>
      </c>
      <c r="L6177">
        <v>90.998570000000001</v>
      </c>
      <c r="M6177">
        <v>-9.8477419999999996E-4</v>
      </c>
      <c r="N6177">
        <v>-1.421248E-2</v>
      </c>
      <c r="O6177">
        <v>0.99989850000000002</v>
      </c>
      <c r="P6177">
        <v>6.4624340000000004E-3</v>
      </c>
      <c r="Q6177">
        <v>0.19767409999999999</v>
      </c>
      <c r="R6177">
        <v>0.98024650000000002</v>
      </c>
      <c r="S6177">
        <v>-0.1892395</v>
      </c>
      <c r="T6177">
        <v>-0.15663650000000001</v>
      </c>
      <c r="U6177">
        <v>3.0929570000000002</v>
      </c>
      <c r="V6177">
        <v>7.4360449999999996E-3</v>
      </c>
      <c r="W6177">
        <v>0.2115852</v>
      </c>
      <c r="X6177">
        <v>0.97733130000000001</v>
      </c>
      <c r="Y6177">
        <v>-6.0018929999999998E-2</v>
      </c>
      <c r="Z6177">
        <v>-3.6286449999999998E-2</v>
      </c>
      <c r="AA6177">
        <v>0.99753749999999997</v>
      </c>
      <c r="AB6177">
        <v>40</v>
      </c>
      <c r="AC6177">
        <v>-1.3540999999999801</v>
      </c>
      <c r="AD6177">
        <v>-1.1210906243729899</v>
      </c>
      <c r="AE6177">
        <v>21.751429999999999</v>
      </c>
      <c r="AF6177">
        <v>-1.3291596831328301</v>
      </c>
      <c r="AG6177">
        <v>-1.1210906243729899</v>
      </c>
      <c r="AH6177">
        <v>21.6953424169009</v>
      </c>
      <c r="AI6177">
        <v>92.952559576287697</v>
      </c>
      <c r="AJ6177">
        <v>93.5058296429726</v>
      </c>
      <c r="AK6177">
        <v>21.764911951071699</v>
      </c>
      <c r="AL6177">
        <v>77.784735176942803</v>
      </c>
      <c r="AM6177">
        <v>89.564072312334005</v>
      </c>
      <c r="AN6177">
        <v>1.0000000307919801</v>
      </c>
    </row>
    <row r="6178" spans="1:40" x14ac:dyDescent="0.25">
      <c r="A6178" t="str">
        <f>"20190303170657783"</f>
        <v>20190303170657783</v>
      </c>
      <c r="B6178" t="str">
        <f>"1551604017771308"</f>
        <v>1551604017771308</v>
      </c>
      <c r="C6178" t="s">
        <v>40</v>
      </c>
      <c r="D6178">
        <v>5.9989919999999897</v>
      </c>
      <c r="E6178">
        <v>0.47754829999999998</v>
      </c>
      <c r="F6178" t="s">
        <v>41</v>
      </c>
      <c r="G6178">
        <v>-188.3879</v>
      </c>
      <c r="H6178" s="1">
        <v>-1.842733E-6</v>
      </c>
      <c r="I6178">
        <v>113.2616</v>
      </c>
      <c r="J6178">
        <v>-187.02789999999999</v>
      </c>
      <c r="K6178">
        <v>1.1210869999999999</v>
      </c>
      <c r="L6178">
        <v>91.380129999999994</v>
      </c>
      <c r="M6178">
        <v>-9.8496309999999998E-4</v>
      </c>
      <c r="N6178">
        <v>-1.421101E-2</v>
      </c>
      <c r="O6178">
        <v>0.99989859999999997</v>
      </c>
      <c r="P6178">
        <v>6.2099290000000003E-3</v>
      </c>
      <c r="Q6178">
        <v>0.19929430000000001</v>
      </c>
      <c r="R6178">
        <v>0.97992000000000001</v>
      </c>
      <c r="S6178">
        <v>-0.18899540000000001</v>
      </c>
      <c r="T6178">
        <v>-0.15575829999999999</v>
      </c>
      <c r="U6178">
        <v>3.0931090000000001</v>
      </c>
      <c r="V6178">
        <v>7.1834639999999996E-3</v>
      </c>
      <c r="W6178">
        <v>0.21319930000000001</v>
      </c>
      <c r="X6178">
        <v>0.97698240000000003</v>
      </c>
      <c r="Y6178">
        <v>-5.9938079999999998E-2</v>
      </c>
      <c r="Z6178">
        <v>-3.6003180000000003E-2</v>
      </c>
      <c r="AA6178">
        <v>0.99755260000000001</v>
      </c>
      <c r="AB6178">
        <v>40</v>
      </c>
      <c r="AC6178">
        <v>-1.3600000000000101</v>
      </c>
      <c r="AD6178">
        <v>-1.1210888427329999</v>
      </c>
      <c r="AE6178">
        <v>21.88147</v>
      </c>
      <c r="AF6178">
        <v>-1.3349539730976001</v>
      </c>
      <c r="AG6178">
        <v>-1.1210888427329999</v>
      </c>
      <c r="AH6178">
        <v>21.825727297828902</v>
      </c>
      <c r="AI6178">
        <v>92.934965491733806</v>
      </c>
      <c r="AJ6178">
        <v>93.500092335117301</v>
      </c>
      <c r="AK6178">
        <v>21.8952349698007</v>
      </c>
      <c r="AL6178">
        <v>77.690095356687195</v>
      </c>
      <c r="AM6178">
        <v>89.578728590503502</v>
      </c>
      <c r="AN6178">
        <v>1.00000007679264</v>
      </c>
    </row>
    <row r="6179" spans="1:40" x14ac:dyDescent="0.25">
      <c r="A6179" t="str">
        <f>"20190303170657805"</f>
        <v>20190303170657805</v>
      </c>
      <c r="B6179" t="str">
        <f>"1551604017790829"</f>
        <v>1551604017790829</v>
      </c>
      <c r="C6179" t="s">
        <v>40</v>
      </c>
      <c r="D6179">
        <v>5.8884179999999997</v>
      </c>
      <c r="E6179">
        <v>0.47735939999999999</v>
      </c>
      <c r="F6179" t="s">
        <v>41</v>
      </c>
      <c r="G6179">
        <v>-188.4477</v>
      </c>
      <c r="H6179" s="1">
        <v>-2.2678819999999998E-6</v>
      </c>
      <c r="I6179">
        <v>114.2774</v>
      </c>
      <c r="J6179">
        <v>-187.0283</v>
      </c>
      <c r="K6179">
        <v>1.1210899999999999</v>
      </c>
      <c r="L6179">
        <v>91.775909999999996</v>
      </c>
      <c r="M6179">
        <v>-9.8515100000000008E-4</v>
      </c>
      <c r="N6179">
        <v>-1.420944E-2</v>
      </c>
      <c r="O6179">
        <v>0.99989859999999997</v>
      </c>
      <c r="P6179">
        <v>6.5939290000000001E-3</v>
      </c>
      <c r="Q6179">
        <v>0.19974120000000001</v>
      </c>
      <c r="R6179">
        <v>0.97982650000000004</v>
      </c>
      <c r="S6179">
        <v>-0.19181819999999999</v>
      </c>
      <c r="T6179">
        <v>-0.151463299999999</v>
      </c>
      <c r="U6179">
        <v>3.0935060000000001</v>
      </c>
      <c r="V6179">
        <v>7.56757E-3</v>
      </c>
      <c r="W6179">
        <v>0.21364320000000001</v>
      </c>
      <c r="X6179">
        <v>0.97688249999999999</v>
      </c>
      <c r="Y6179">
        <v>-6.0840169999999999E-2</v>
      </c>
      <c r="Z6179">
        <v>-3.4614069999999997E-2</v>
      </c>
      <c r="AA6179">
        <v>0.99754710000000002</v>
      </c>
      <c r="AB6179">
        <v>40</v>
      </c>
      <c r="AC6179">
        <v>-1.41939999999999</v>
      </c>
      <c r="AD6179">
        <v>-1.1210922678819999</v>
      </c>
      <c r="AE6179">
        <v>22.50149</v>
      </c>
      <c r="AF6179">
        <v>-1.3937835850660101</v>
      </c>
      <c r="AG6179">
        <v>-1.1210922678819999</v>
      </c>
      <c r="AH6179">
        <v>22.447376509615999</v>
      </c>
      <c r="AI6179">
        <v>92.853668505354307</v>
      </c>
      <c r="AJ6179">
        <v>93.552999966920495</v>
      </c>
      <c r="AK6179">
        <v>22.518529985759798</v>
      </c>
      <c r="AL6179">
        <v>77.664061647795904</v>
      </c>
      <c r="AM6179">
        <v>89.556158341306798</v>
      </c>
      <c r="AN6179">
        <v>1.0000000519140899</v>
      </c>
    </row>
    <row r="6180" spans="1:40" x14ac:dyDescent="0.25">
      <c r="A6180" t="str">
        <f>"20190303170657827"</f>
        <v>20190303170657827</v>
      </c>
      <c r="B6180" t="str">
        <f>"1551604017821085"</f>
        <v>1551604017821085</v>
      </c>
      <c r="C6180" t="s">
        <v>40</v>
      </c>
      <c r="D6180">
        <v>5.7798480000000003</v>
      </c>
      <c r="E6180">
        <v>0.52535929999999997</v>
      </c>
      <c r="F6180" t="s">
        <v>41</v>
      </c>
      <c r="G6180">
        <v>-188.46860000000001</v>
      </c>
      <c r="H6180" s="1">
        <v>-2.5273369999999999E-6</v>
      </c>
      <c r="I6180">
        <v>114.8908</v>
      </c>
      <c r="J6180">
        <v>-187.02869999999999</v>
      </c>
      <c r="K6180">
        <v>1.121094</v>
      </c>
      <c r="L6180">
        <v>92.18271</v>
      </c>
      <c r="M6180">
        <v>-9.853679000000001E-4</v>
      </c>
      <c r="N6180">
        <v>-1.420765E-2</v>
      </c>
      <c r="O6180">
        <v>0.99989859999999997</v>
      </c>
      <c r="P6180">
        <v>7.0801850000000001E-3</v>
      </c>
      <c r="Q6180">
        <v>0.1990296</v>
      </c>
      <c r="R6180">
        <v>0.9799679</v>
      </c>
      <c r="S6180">
        <v>-0.1927643</v>
      </c>
      <c r="T6180">
        <v>-0.15004489999999901</v>
      </c>
      <c r="U6180">
        <v>3.093658</v>
      </c>
      <c r="V6180">
        <v>8.0541499999999995E-3</v>
      </c>
      <c r="W6180">
        <v>0.21293229999999999</v>
      </c>
      <c r="X6180">
        <v>0.9770337</v>
      </c>
      <c r="Y6180">
        <v>-6.1141830000000001E-2</v>
      </c>
      <c r="Z6180">
        <v>-3.4156300000000001E-2</v>
      </c>
      <c r="AA6180">
        <v>0.99754449999999995</v>
      </c>
      <c r="AB6180">
        <v>40</v>
      </c>
      <c r="AC6180">
        <v>-1.4399000000000199</v>
      </c>
      <c r="AD6180">
        <v>-1.1210965273369999</v>
      </c>
      <c r="AE6180">
        <v>22.708089999999999</v>
      </c>
      <c r="AF6180">
        <v>-1.4140883392338499</v>
      </c>
      <c r="AG6180">
        <v>-1.1210965273369999</v>
      </c>
      <c r="AH6180">
        <v>22.6545012478188</v>
      </c>
      <c r="AI6180">
        <v>92.827573826378</v>
      </c>
      <c r="AJ6180">
        <v>93.5717543449163</v>
      </c>
      <c r="AK6180">
        <v>22.726260802036698</v>
      </c>
      <c r="AL6180">
        <v>77.705751179490704</v>
      </c>
      <c r="AM6180">
        <v>89.527694541160699</v>
      </c>
      <c r="AN6180">
        <v>0.99999994232559897</v>
      </c>
    </row>
    <row r="6181" spans="1:40" x14ac:dyDescent="0.25">
      <c r="A6181" t="str">
        <f>"20190303170657852"</f>
        <v>20190303170657852</v>
      </c>
      <c r="B6181" t="str">
        <f>"1551604017840604"</f>
        <v>1551604017840604</v>
      </c>
      <c r="C6181" t="s">
        <v>40</v>
      </c>
      <c r="D6181">
        <v>5.7673750000000004</v>
      </c>
      <c r="E6181">
        <v>0.53388719999999901</v>
      </c>
      <c r="F6181" t="s">
        <v>41</v>
      </c>
      <c r="G6181">
        <v>-185.98230000000001</v>
      </c>
      <c r="H6181" s="1">
        <v>-4.8547939999999999E-6</v>
      </c>
      <c r="I6181">
        <v>109.2882</v>
      </c>
      <c r="J6181">
        <v>-187.0291</v>
      </c>
      <c r="K6181">
        <v>1.121092</v>
      </c>
      <c r="L6181">
        <v>92.602540000000005</v>
      </c>
      <c r="M6181">
        <v>-9.8556969999999996E-4</v>
      </c>
      <c r="N6181">
        <v>-1.420571E-2</v>
      </c>
      <c r="O6181">
        <v>0.99989859999999997</v>
      </c>
      <c r="P6181">
        <v>7.0890369999999899E-3</v>
      </c>
      <c r="Q6181">
        <v>0.19855</v>
      </c>
      <c r="R6181">
        <v>0.98006510000000002</v>
      </c>
      <c r="S6181">
        <v>0.18971250000000001</v>
      </c>
      <c r="T6181">
        <v>-0.20325579999999999</v>
      </c>
      <c r="U6181">
        <v>3.1012270000000002</v>
      </c>
      <c r="V6181">
        <v>8.0632740000000005E-3</v>
      </c>
      <c r="W6181">
        <v>0.2124519</v>
      </c>
      <c r="X6181">
        <v>0.97713819999999996</v>
      </c>
      <c r="Y6181">
        <v>6.1928259999999999E-2</v>
      </c>
      <c r="Z6181">
        <v>-5.1094210000000001E-2</v>
      </c>
      <c r="AA6181">
        <v>0.99677190000000004</v>
      </c>
      <c r="AB6181">
        <v>40</v>
      </c>
      <c r="AC6181">
        <v>1.04679999999999</v>
      </c>
      <c r="AD6181">
        <v>-1.1210968547939999</v>
      </c>
      <c r="AE6181">
        <v>16.685659999999999</v>
      </c>
      <c r="AF6181">
        <v>1.05848634092479</v>
      </c>
      <c r="AG6181">
        <v>-1.1210968547939999</v>
      </c>
      <c r="AH6181">
        <v>16.609930290793599</v>
      </c>
      <c r="AI6181">
        <v>93.853562087598505</v>
      </c>
      <c r="AJ6181">
        <v>86.353693092496499</v>
      </c>
      <c r="AK6181">
        <v>16.6813379486412</v>
      </c>
      <c r="AL6181">
        <v>77.733920632549598</v>
      </c>
      <c r="AM6181">
        <v>89.527210088242398</v>
      </c>
      <c r="AN6181">
        <v>0.99999994405022197</v>
      </c>
    </row>
    <row r="6182" spans="1:40" x14ac:dyDescent="0.25">
      <c r="A6182" t="str">
        <f>"20190303170657874"</f>
        <v>20190303170657874</v>
      </c>
      <c r="B6182" t="str">
        <f>"1551604017861100"</f>
        <v>1551604017861100</v>
      </c>
      <c r="C6182" t="s">
        <v>40</v>
      </c>
      <c r="D6182">
        <v>5.7744330000000001</v>
      </c>
      <c r="E6182">
        <v>0.53791140000000004</v>
      </c>
      <c r="F6182" t="s">
        <v>41</v>
      </c>
      <c r="G6182">
        <v>-185.6447</v>
      </c>
      <c r="H6182" s="1">
        <v>-4.8947779999999999E-6</v>
      </c>
      <c r="I6182">
        <v>109.2418</v>
      </c>
      <c r="J6182">
        <v>-187.02950000000001</v>
      </c>
      <c r="K6182">
        <v>1.1210990000000001</v>
      </c>
      <c r="L6182">
        <v>92.994960000000006</v>
      </c>
      <c r="M6182">
        <v>-9.8573129999999999E-4</v>
      </c>
      <c r="N6182">
        <v>-1.4203820000000001E-2</v>
      </c>
      <c r="O6182">
        <v>0.99989859999999997</v>
      </c>
      <c r="P6182">
        <v>6.8692140000000002E-3</v>
      </c>
      <c r="Q6182">
        <v>0.19879769999999999</v>
      </c>
      <c r="R6182">
        <v>0.98001649999999996</v>
      </c>
      <c r="S6182">
        <v>0.25805660000000002</v>
      </c>
      <c r="T6182">
        <v>-0.20896719999999999</v>
      </c>
      <c r="U6182">
        <v>3.1014710000000001</v>
      </c>
      <c r="V6182">
        <v>7.8435610000000006E-3</v>
      </c>
      <c r="W6182">
        <v>0.212697</v>
      </c>
      <c r="X6182">
        <v>0.97708669999999997</v>
      </c>
      <c r="Y6182">
        <v>8.3736430000000001E-2</v>
      </c>
      <c r="Z6182">
        <v>-5.281197E-2</v>
      </c>
      <c r="AA6182">
        <v>0.99508750000000001</v>
      </c>
      <c r="AB6182">
        <v>40</v>
      </c>
      <c r="AC6182">
        <v>1.38480000000001</v>
      </c>
      <c r="AD6182">
        <v>-1.1211038947779901</v>
      </c>
      <c r="AE6182">
        <v>16.246839999999999</v>
      </c>
      <c r="AF6182">
        <v>1.39422508732662</v>
      </c>
      <c r="AG6182">
        <v>-1.1211038947779901</v>
      </c>
      <c r="AH6182">
        <v>16.1690315910901</v>
      </c>
      <c r="AI6182">
        <v>93.951723063689599</v>
      </c>
      <c r="AJ6182">
        <v>85.071683394205493</v>
      </c>
      <c r="AK6182">
        <v>16.267707894189801</v>
      </c>
      <c r="AL6182">
        <v>77.719549384491401</v>
      </c>
      <c r="AM6182">
        <v>89.540068154909605</v>
      </c>
      <c r="AN6182">
        <v>0.99999997728752499</v>
      </c>
    </row>
    <row r="6183" spans="1:40" x14ac:dyDescent="0.25">
      <c r="A6183" t="str">
        <f>"20190303170657895"</f>
        <v>20190303170657895</v>
      </c>
      <c r="B6183" t="str">
        <f>"1551604017881597"</f>
        <v>1551604017881597</v>
      </c>
      <c r="C6183" t="s">
        <v>40</v>
      </c>
      <c r="D6183">
        <v>5.9593369999999997</v>
      </c>
      <c r="E6183">
        <v>0.54022550000000003</v>
      </c>
      <c r="F6183" t="s">
        <v>41</v>
      </c>
      <c r="G6183">
        <v>-185.47640000000001</v>
      </c>
      <c r="H6183" s="1">
        <v>-5.0783869999999998E-6</v>
      </c>
      <c r="I6183">
        <v>109.6002</v>
      </c>
      <c r="J6183">
        <v>-187.0299</v>
      </c>
      <c r="K6183">
        <v>1.1211</v>
      </c>
      <c r="L6183">
        <v>93.35284</v>
      </c>
      <c r="M6183">
        <v>-9.8588350000000007E-4</v>
      </c>
      <c r="N6183">
        <v>-1.420212E-2</v>
      </c>
      <c r="O6183">
        <v>0.99989870000000003</v>
      </c>
      <c r="P6183">
        <v>7.2659559999999996E-3</v>
      </c>
      <c r="Q6183">
        <v>0.2004117</v>
      </c>
      <c r="R6183">
        <v>0.97968480000000002</v>
      </c>
      <c r="S6183">
        <v>0.29010010000000003</v>
      </c>
      <c r="T6183">
        <v>-0.2094047</v>
      </c>
      <c r="U6183">
        <v>3.1015929999999998</v>
      </c>
      <c r="V6183">
        <v>8.2401799999999997E-3</v>
      </c>
      <c r="W6183">
        <v>0.21430469999999999</v>
      </c>
      <c r="X6183">
        <v>0.97673209999999999</v>
      </c>
      <c r="Y6183">
        <v>9.3923229999999996E-2</v>
      </c>
      <c r="Z6183">
        <v>-5.2889850000000002E-2</v>
      </c>
      <c r="AA6183">
        <v>0.99417359999999999</v>
      </c>
      <c r="AB6183">
        <v>39</v>
      </c>
      <c r="AC6183">
        <v>1.5534999999999799</v>
      </c>
      <c r="AD6183">
        <v>-1.121105078387</v>
      </c>
      <c r="AE6183">
        <v>16.24736</v>
      </c>
      <c r="AF6183">
        <v>1.56214836508429</v>
      </c>
      <c r="AG6183">
        <v>-1.121105078387</v>
      </c>
      <c r="AH6183">
        <v>16.1695296086083</v>
      </c>
      <c r="AI6183">
        <v>93.947899875822998</v>
      </c>
      <c r="AJ6183">
        <v>84.481744813846106</v>
      </c>
      <c r="AK6183">
        <v>16.2834539295255</v>
      </c>
      <c r="AL6183">
        <v>77.625261211830903</v>
      </c>
      <c r="AM6183">
        <v>89.516636818008095</v>
      </c>
      <c r="AN6183">
        <v>1.00000000008946</v>
      </c>
    </row>
    <row r="6184" spans="1:40" x14ac:dyDescent="0.25">
      <c r="A6184" t="str">
        <f>"20190303170657916"</f>
        <v>20190303170657916</v>
      </c>
      <c r="B6184" t="str">
        <f>"1551604017910877"</f>
        <v>1551604017910877</v>
      </c>
      <c r="C6184" t="s">
        <v>40</v>
      </c>
      <c r="D6184">
        <v>5.7418699999999996</v>
      </c>
      <c r="E6184">
        <v>0.54253569999999995</v>
      </c>
      <c r="F6184" t="s">
        <v>41</v>
      </c>
      <c r="G6184">
        <v>-185.3374</v>
      </c>
      <c r="H6184" s="1">
        <v>-1.476556E-6</v>
      </c>
      <c r="I6184">
        <v>110.3415</v>
      </c>
      <c r="J6184">
        <v>-187.03020000000001</v>
      </c>
      <c r="K6184">
        <v>1.121102</v>
      </c>
      <c r="L6184">
        <v>93.745670000000004</v>
      </c>
      <c r="M6184">
        <v>-9.8606090000000006E-4</v>
      </c>
      <c r="N6184">
        <v>-1.420022E-2</v>
      </c>
      <c r="O6184">
        <v>0.99989870000000003</v>
      </c>
      <c r="P6184">
        <v>7.9255030000000004E-3</v>
      </c>
      <c r="Q6184">
        <v>0.20174819999999999</v>
      </c>
      <c r="R6184">
        <v>0.97940530000000003</v>
      </c>
      <c r="S6184">
        <v>0.30900569999999999</v>
      </c>
      <c r="T6184">
        <v>-0.2046924</v>
      </c>
      <c r="U6184">
        <v>3.101807</v>
      </c>
      <c r="V6184">
        <v>8.8996609999999997E-3</v>
      </c>
      <c r="W6184">
        <v>0.2156351</v>
      </c>
      <c r="X6184">
        <v>0.97643349999999995</v>
      </c>
      <c r="Y6184">
        <v>9.9924470000000001E-2</v>
      </c>
      <c r="Z6184">
        <v>-5.1345019999999998E-2</v>
      </c>
      <c r="AA6184">
        <v>0.99366929999999998</v>
      </c>
      <c r="AB6184">
        <v>39</v>
      </c>
      <c r="AC6184">
        <v>1.6928000000000001</v>
      </c>
      <c r="AD6184">
        <v>-1.121103476556</v>
      </c>
      <c r="AE6184">
        <v>16.595829999999999</v>
      </c>
      <c r="AF6184">
        <v>1.70148065504659</v>
      </c>
      <c r="AG6184">
        <v>-1.121103476556</v>
      </c>
      <c r="AH6184">
        <v>16.519542689655498</v>
      </c>
      <c r="AI6184">
        <v>93.862072054021993</v>
      </c>
      <c r="AJ6184">
        <v>84.119383067018902</v>
      </c>
      <c r="AK6184">
        <v>16.644734906269701</v>
      </c>
      <c r="AL6184">
        <v>77.547210624599998</v>
      </c>
      <c r="AM6184">
        <v>89.477794550223095</v>
      </c>
      <c r="AN6184">
        <v>1.0000000401200799</v>
      </c>
    </row>
    <row r="6185" spans="1:40" x14ac:dyDescent="0.25">
      <c r="A6185" t="str">
        <f>"20190303170657940"</f>
        <v>20190303170657940</v>
      </c>
      <c r="B6185" t="str">
        <f>"1551604017931372"</f>
        <v>1551604017931372</v>
      </c>
      <c r="C6185" t="s">
        <v>40</v>
      </c>
      <c r="D6185">
        <v>5.7388459999999997</v>
      </c>
      <c r="E6185">
        <v>0.54343430000000004</v>
      </c>
      <c r="F6185" t="s">
        <v>41</v>
      </c>
      <c r="G6185">
        <v>-185.18960000000001</v>
      </c>
      <c r="H6185" s="1">
        <v>-1.775783E-6</v>
      </c>
      <c r="I6185">
        <v>111.1052</v>
      </c>
      <c r="J6185">
        <v>-187.03059999999999</v>
      </c>
      <c r="K6185">
        <v>1.1211089999999999</v>
      </c>
      <c r="L6185">
        <v>94.158140000000003</v>
      </c>
      <c r="M6185">
        <v>-9.8624569999999998E-4</v>
      </c>
      <c r="N6185">
        <v>-1.4198209999999999E-2</v>
      </c>
      <c r="O6185">
        <v>0.99989870000000003</v>
      </c>
      <c r="P6185">
        <v>7.9076809999999997E-3</v>
      </c>
      <c r="Q6185">
        <v>0.201516</v>
      </c>
      <c r="R6185">
        <v>0.97945329999999997</v>
      </c>
      <c r="S6185">
        <v>0.32887270000000002</v>
      </c>
      <c r="T6185">
        <v>-0.20031170000000001</v>
      </c>
      <c r="U6185">
        <v>3.1016849999999998</v>
      </c>
      <c r="V6185">
        <v>8.8820440000000004E-3</v>
      </c>
      <c r="W6185">
        <v>0.2154018</v>
      </c>
      <c r="X6185">
        <v>0.97648509999999999</v>
      </c>
      <c r="Y6185">
        <v>0.1062297</v>
      </c>
      <c r="Z6185">
        <v>-4.9910049999999997E-2</v>
      </c>
      <c r="AA6185">
        <v>0.99308819999999998</v>
      </c>
      <c r="AB6185">
        <v>39</v>
      </c>
      <c r="AC6185">
        <v>1.84099999999998</v>
      </c>
      <c r="AD6185">
        <v>-1.1211107757829999</v>
      </c>
      <c r="AE6185">
        <v>16.947059999999901</v>
      </c>
      <c r="AF6185">
        <v>1.8497142413146399</v>
      </c>
      <c r="AG6185">
        <v>-1.1211107757829999</v>
      </c>
      <c r="AH6185">
        <v>16.872258821327101</v>
      </c>
      <c r="AI6185">
        <v>93.778968272892797</v>
      </c>
      <c r="AJ6185">
        <v>83.743619799154004</v>
      </c>
      <c r="AK6185">
        <v>17.0103336204775</v>
      </c>
      <c r="AL6185">
        <v>77.560898764810005</v>
      </c>
      <c r="AM6185">
        <v>89.478855744485998</v>
      </c>
      <c r="AN6185">
        <v>0.99999998833543302</v>
      </c>
    </row>
    <row r="6186" spans="1:40" x14ac:dyDescent="0.25">
      <c r="A6186" t="str">
        <f>"20190303170657961"</f>
        <v>20190303170657961</v>
      </c>
      <c r="B6186" t="str">
        <f>"1551604017950896"</f>
        <v>1551604017950896</v>
      </c>
      <c r="C6186" t="s">
        <v>40</v>
      </c>
      <c r="D6186">
        <v>5.7310670000000004</v>
      </c>
      <c r="E6186">
        <v>0.54418440000000001</v>
      </c>
      <c r="F6186" t="s">
        <v>41</v>
      </c>
      <c r="G6186">
        <v>-185.15710000000001</v>
      </c>
      <c r="H6186" s="1">
        <v>-1.9000020000000001E-6</v>
      </c>
      <c r="I6186">
        <v>111.4448</v>
      </c>
      <c r="J6186">
        <v>-187.03100000000001</v>
      </c>
      <c r="K6186">
        <v>1.1211070000000001</v>
      </c>
      <c r="L6186">
        <v>94.53192</v>
      </c>
      <c r="M6186">
        <v>-9.8641250000000005E-4</v>
      </c>
      <c r="N6186">
        <v>-1.419638E-2</v>
      </c>
      <c r="O6186">
        <v>0.99989870000000003</v>
      </c>
      <c r="P6186">
        <v>8.5772439999999995E-3</v>
      </c>
      <c r="Q6186">
        <v>0.20087169999999999</v>
      </c>
      <c r="R6186">
        <v>0.97958000000000001</v>
      </c>
      <c r="S6186">
        <v>0.33615109999999998</v>
      </c>
      <c r="T6186">
        <v>-0.20115130000000001</v>
      </c>
      <c r="U6186">
        <v>3.1015929999999998</v>
      </c>
      <c r="V6186">
        <v>9.5518600000000006E-3</v>
      </c>
      <c r="W6186">
        <v>0.2147578</v>
      </c>
      <c r="X6186">
        <v>0.97662059999999995</v>
      </c>
      <c r="Y6186">
        <v>0.1085338</v>
      </c>
      <c r="Z6186">
        <v>-5.0165429999999997E-2</v>
      </c>
      <c r="AA6186">
        <v>0.99282619999999999</v>
      </c>
      <c r="AB6186">
        <v>39</v>
      </c>
      <c r="AC6186">
        <v>1.8738999999999599</v>
      </c>
      <c r="AD6186">
        <v>-1.121108900002</v>
      </c>
      <c r="AE6186">
        <v>16.912879999999902</v>
      </c>
      <c r="AF6186">
        <v>1.8824128242848801</v>
      </c>
      <c r="AG6186">
        <v>-1.121108900002</v>
      </c>
      <c r="AH6186">
        <v>16.837934429892201</v>
      </c>
      <c r="AI6186">
        <v>93.785748938214297</v>
      </c>
      <c r="AJ6186">
        <v>83.621051484552694</v>
      </c>
      <c r="AK6186">
        <v>16.9798821866362</v>
      </c>
      <c r="AL6186">
        <v>77.598681310373905</v>
      </c>
      <c r="AM6186">
        <v>89.439635192236494</v>
      </c>
      <c r="AN6186">
        <v>0.99999997351732905</v>
      </c>
    </row>
    <row r="6187" spans="1:40" x14ac:dyDescent="0.25">
      <c r="A6187" t="str">
        <f>"20190303170657983"</f>
        <v>20190303170657983</v>
      </c>
      <c r="B6187" t="str">
        <f>"1551604017971389"</f>
        <v>1551604017971389</v>
      </c>
      <c r="C6187" t="s">
        <v>40</v>
      </c>
      <c r="D6187">
        <v>5.7846590000000004</v>
      </c>
      <c r="E6187">
        <v>0.5447227</v>
      </c>
      <c r="F6187" t="s">
        <v>41</v>
      </c>
      <c r="G6187">
        <v>-185.1405</v>
      </c>
      <c r="H6187" s="1">
        <v>-1.9488860000000001E-6</v>
      </c>
      <c r="I6187">
        <v>111.57550000000001</v>
      </c>
      <c r="J6187">
        <v>-187.03139999999999</v>
      </c>
      <c r="K6187">
        <v>1.1210960000000001</v>
      </c>
      <c r="L6187">
        <v>94.91095</v>
      </c>
      <c r="M6187">
        <v>-9.8657809999999992E-4</v>
      </c>
      <c r="N6187">
        <v>-1.4194439999999999E-2</v>
      </c>
      <c r="O6187">
        <v>0.99989879999999998</v>
      </c>
      <c r="P6187">
        <v>9.2171760000000005E-3</v>
      </c>
      <c r="Q6187">
        <v>0.2000614</v>
      </c>
      <c r="R6187">
        <v>0.97974000000000006</v>
      </c>
      <c r="S6187">
        <v>0.34400940000000002</v>
      </c>
      <c r="T6187">
        <v>-0.20400599999999999</v>
      </c>
      <c r="U6187">
        <v>3.1013790000000001</v>
      </c>
      <c r="V6187">
        <v>1.0192069999999999E-2</v>
      </c>
      <c r="W6187">
        <v>0.21394740000000001</v>
      </c>
      <c r="X6187">
        <v>0.97679199999999999</v>
      </c>
      <c r="Y6187">
        <v>0.11101949999999999</v>
      </c>
      <c r="Z6187">
        <v>-5.1063839999999999E-2</v>
      </c>
      <c r="AA6187">
        <v>0.99250550000000004</v>
      </c>
      <c r="AB6187">
        <v>39</v>
      </c>
      <c r="AC6187">
        <v>1.89089999999998</v>
      </c>
      <c r="AD6187">
        <v>-1.12109794888599</v>
      </c>
      <c r="AE6187">
        <v>16.664549999999998</v>
      </c>
      <c r="AF6187">
        <v>1.8988569195670999</v>
      </c>
      <c r="AG6187">
        <v>-1.12109794888599</v>
      </c>
      <c r="AH6187">
        <v>16.588553253000999</v>
      </c>
      <c r="AI6187">
        <v>93.841311463091799</v>
      </c>
      <c r="AJ6187">
        <v>83.469894348705793</v>
      </c>
      <c r="AK6187">
        <v>16.734473915831199</v>
      </c>
      <c r="AL6187">
        <v>77.646218960614604</v>
      </c>
      <c r="AM6187">
        <v>89.402184493444594</v>
      </c>
      <c r="AN6187">
        <v>0.99999998976082205</v>
      </c>
    </row>
    <row r="6188" spans="1:40" x14ac:dyDescent="0.25">
      <c r="A6188" t="str">
        <f>"20190303170658007"</f>
        <v>20190303170658007</v>
      </c>
      <c r="B6188" t="str">
        <f>"1551604018000670"</f>
        <v>1551604018000670</v>
      </c>
      <c r="C6188" t="s">
        <v>40</v>
      </c>
      <c r="D6188">
        <v>5.7434539999999998</v>
      </c>
      <c r="E6188">
        <v>0.54551019999999995</v>
      </c>
      <c r="F6188" t="s">
        <v>41</v>
      </c>
      <c r="G6188">
        <v>-185.1309</v>
      </c>
      <c r="H6188" s="1">
        <v>-2.0036249999999998E-6</v>
      </c>
      <c r="I6188">
        <v>111.72880000000001</v>
      </c>
      <c r="J6188">
        <v>-187.0318</v>
      </c>
      <c r="K6188">
        <v>1.1210960000000001</v>
      </c>
      <c r="L6188">
        <v>95.322999999999993</v>
      </c>
      <c r="M6188">
        <v>-9.8676579999999996E-4</v>
      </c>
      <c r="N6188">
        <v>-1.419232E-2</v>
      </c>
      <c r="O6188">
        <v>0.99989879999999998</v>
      </c>
      <c r="P6188">
        <v>1.0404129999999999E-2</v>
      </c>
      <c r="Q6188">
        <v>0.1998433</v>
      </c>
      <c r="R6188">
        <v>0.97977259999999999</v>
      </c>
      <c r="S6188">
        <v>0.3504333</v>
      </c>
      <c r="T6188">
        <v>-0.2067138</v>
      </c>
      <c r="U6188">
        <v>3.1009519999999999</v>
      </c>
      <c r="V6188">
        <v>1.1379220000000001E-2</v>
      </c>
      <c r="W6188">
        <v>0.213728</v>
      </c>
      <c r="X6188">
        <v>0.97682690000000005</v>
      </c>
      <c r="Y6188">
        <v>0.1130583</v>
      </c>
      <c r="Z6188">
        <v>-5.1922599999999999E-2</v>
      </c>
      <c r="AA6188">
        <v>0.99223079999999997</v>
      </c>
      <c r="AB6188">
        <v>39</v>
      </c>
      <c r="AC6188">
        <v>1.9009</v>
      </c>
      <c r="AD6188">
        <v>-1.12109800362499</v>
      </c>
      <c r="AE6188">
        <v>16.405799999999999</v>
      </c>
      <c r="AF6188">
        <v>1.9082961988673799</v>
      </c>
      <c r="AG6188">
        <v>-1.12109800362499</v>
      </c>
      <c r="AH6188">
        <v>16.328675599504201</v>
      </c>
      <c r="AI6188">
        <v>93.901194834179904</v>
      </c>
      <c r="AJ6188">
        <v>83.334206551860802</v>
      </c>
      <c r="AK6188">
        <v>16.477988407271901</v>
      </c>
      <c r="AL6188">
        <v>77.659087044705899</v>
      </c>
      <c r="AM6188">
        <v>89.332582066902702</v>
      </c>
      <c r="AN6188">
        <v>0.99999996859770801</v>
      </c>
    </row>
    <row r="6189" spans="1:40" x14ac:dyDescent="0.25">
      <c r="A6189" t="str">
        <f>"20190303170658029"</f>
        <v>20190303170658029</v>
      </c>
      <c r="B6189" t="str">
        <f>"1551604018021165"</f>
        <v>1551604018021165</v>
      </c>
      <c r="C6189" t="s">
        <v>40</v>
      </c>
      <c r="D6189">
        <v>5.7390040000000004</v>
      </c>
      <c r="E6189">
        <v>0.54602600000000001</v>
      </c>
      <c r="F6189" t="s">
        <v>41</v>
      </c>
      <c r="G6189">
        <v>-185.08430000000001</v>
      </c>
      <c r="H6189" s="1">
        <v>-2.1322920000000001E-6</v>
      </c>
      <c r="I6189">
        <v>112.0705</v>
      </c>
      <c r="J6189">
        <v>-187.03219999999999</v>
      </c>
      <c r="K6189">
        <v>1.1210990000000001</v>
      </c>
      <c r="L6189">
        <v>95.730959999999996</v>
      </c>
      <c r="M6189">
        <v>-9.8696489999999999E-4</v>
      </c>
      <c r="N6189">
        <v>-1.419015E-2</v>
      </c>
      <c r="O6189">
        <v>0.99989890000000003</v>
      </c>
      <c r="P6189">
        <v>1.087865E-2</v>
      </c>
      <c r="Q6189">
        <v>0.2005363</v>
      </c>
      <c r="R6189">
        <v>0.97962590000000005</v>
      </c>
      <c r="S6189">
        <v>0.36053469999999999</v>
      </c>
      <c r="T6189">
        <v>-0.20754909999999999</v>
      </c>
      <c r="U6189">
        <v>3.1004640000000001</v>
      </c>
      <c r="V6189">
        <v>1.1853819999999999E-2</v>
      </c>
      <c r="W6189">
        <v>0.21441689999999999</v>
      </c>
      <c r="X6189">
        <v>0.97667029999999999</v>
      </c>
      <c r="Y6189">
        <v>0.1162625</v>
      </c>
      <c r="Z6189">
        <v>-5.2176670000000001E-2</v>
      </c>
      <c r="AA6189">
        <v>0.99184709999999998</v>
      </c>
      <c r="AB6189">
        <v>39</v>
      </c>
      <c r="AC6189">
        <v>1.94789999999997</v>
      </c>
      <c r="AD6189">
        <v>-1.1211011322919999</v>
      </c>
      <c r="AE6189">
        <v>16.33954</v>
      </c>
      <c r="AF6189">
        <v>1.9549528351811201</v>
      </c>
      <c r="AG6189">
        <v>-1.1211011322919999</v>
      </c>
      <c r="AH6189">
        <v>16.262124714079</v>
      </c>
      <c r="AI6189">
        <v>93.915593643936504</v>
      </c>
      <c r="AJ6189">
        <v>83.145077919776696</v>
      </c>
      <c r="AK6189">
        <v>16.417533570937699</v>
      </c>
      <c r="AL6189">
        <v>77.618679600762206</v>
      </c>
      <c r="AM6189">
        <v>89.304636875678</v>
      </c>
      <c r="AN6189">
        <v>0.99999999747814605</v>
      </c>
    </row>
    <row r="6190" spans="1:40" x14ac:dyDescent="0.25">
      <c r="A6190" t="str">
        <f>"20190303170658053"</f>
        <v>20190303170658053</v>
      </c>
      <c r="B6190" t="str">
        <f>"1551604018040685"</f>
        <v>1551604018040685</v>
      </c>
      <c r="C6190" t="s">
        <v>40</v>
      </c>
      <c r="D6190">
        <v>5.7003110000000001</v>
      </c>
      <c r="E6190">
        <v>0.54641740000000005</v>
      </c>
      <c r="F6190" t="s">
        <v>41</v>
      </c>
      <c r="G6190">
        <v>-185.03059999999999</v>
      </c>
      <c r="H6190" s="1">
        <v>-2.3571389999999999E-6</v>
      </c>
      <c r="I6190">
        <v>112.6892</v>
      </c>
      <c r="J6190">
        <v>-187.0326</v>
      </c>
      <c r="K6190">
        <v>1.121102</v>
      </c>
      <c r="L6190">
        <v>96.130039999999994</v>
      </c>
      <c r="M6190">
        <v>-9.8715970000000006E-4</v>
      </c>
      <c r="N6190">
        <v>-1.4188060000000001E-2</v>
      </c>
      <c r="O6190">
        <v>0.99989890000000003</v>
      </c>
      <c r="P6190">
        <v>1.2053339999999999E-2</v>
      </c>
      <c r="Q6190">
        <v>0.20078789999999999</v>
      </c>
      <c r="R6190">
        <v>0.9795606</v>
      </c>
      <c r="S6190">
        <v>0.365921</v>
      </c>
      <c r="T6190">
        <v>-0.20495769999999999</v>
      </c>
      <c r="U6190">
        <v>3.1002809999999998</v>
      </c>
      <c r="V6190">
        <v>1.3028639999999999E-2</v>
      </c>
      <c r="W6190">
        <v>0.2146651</v>
      </c>
      <c r="X6190">
        <v>0.97660080000000005</v>
      </c>
      <c r="Y6190">
        <v>0.11797390000000001</v>
      </c>
      <c r="Z6190">
        <v>-5.1343939999999998E-2</v>
      </c>
      <c r="AA6190">
        <v>0.99168840000000003</v>
      </c>
      <c r="AB6190">
        <v>39</v>
      </c>
      <c r="AC6190">
        <v>2.0019999999999998</v>
      </c>
      <c r="AD6190">
        <v>-1.121104357139</v>
      </c>
      <c r="AE6190">
        <v>16.559159999999899</v>
      </c>
      <c r="AF6190">
        <v>2.0092700080438899</v>
      </c>
      <c r="AG6190">
        <v>-1.121104357139</v>
      </c>
      <c r="AH6190">
        <v>16.4827121660052</v>
      </c>
      <c r="AI6190">
        <v>93.862587285618304</v>
      </c>
      <c r="AJ6190">
        <v>83.049840372682795</v>
      </c>
      <c r="AK6190">
        <v>16.642531096326501</v>
      </c>
      <c r="AL6190">
        <v>77.604119625004103</v>
      </c>
      <c r="AM6190">
        <v>89.235673569256207</v>
      </c>
      <c r="AN6190">
        <v>0.999999986589449</v>
      </c>
    </row>
    <row r="6191" spans="1:40" x14ac:dyDescent="0.25">
      <c r="A6191" t="str">
        <f>"20190303170658074"</f>
        <v>20190303170658074</v>
      </c>
      <c r="B6191" t="str">
        <f>"1551604018061180"</f>
        <v>1551604018061180</v>
      </c>
      <c r="C6191" t="s">
        <v>40</v>
      </c>
      <c r="D6191">
        <v>5.6744830000000004</v>
      </c>
      <c r="E6191">
        <v>0.54680550000000006</v>
      </c>
      <c r="F6191" t="s">
        <v>41</v>
      </c>
      <c r="G6191">
        <v>-184.97980000000001</v>
      </c>
      <c r="H6191" s="1">
        <v>-2.5516069999999998E-6</v>
      </c>
      <c r="I6191">
        <v>113.2209</v>
      </c>
      <c r="J6191">
        <v>-187.03299999999999</v>
      </c>
      <c r="K6191">
        <v>1.1211009999999999</v>
      </c>
      <c r="L6191">
        <v>96.507230000000007</v>
      </c>
      <c r="M6191">
        <v>-9.8732989999999999E-4</v>
      </c>
      <c r="N6191">
        <v>-1.418604E-2</v>
      </c>
      <c r="O6191">
        <v>0.99989890000000003</v>
      </c>
      <c r="P6191">
        <v>1.309166E-2</v>
      </c>
      <c r="Q6191">
        <v>0.20003099999999999</v>
      </c>
      <c r="R6191">
        <v>0.97970210000000002</v>
      </c>
      <c r="S6191">
        <v>0.37231449999999999</v>
      </c>
      <c r="T6191">
        <v>-0.20333019999999999</v>
      </c>
      <c r="U6191">
        <v>3.099701</v>
      </c>
      <c r="V6191">
        <v>1.406723E-2</v>
      </c>
      <c r="W6191">
        <v>0.21390880000000001</v>
      </c>
      <c r="X6191">
        <v>0.97675230000000002</v>
      </c>
      <c r="Y6191">
        <v>0.1200147</v>
      </c>
      <c r="Z6191">
        <v>-5.0823729999999998E-2</v>
      </c>
      <c r="AA6191">
        <v>0.99147030000000003</v>
      </c>
      <c r="AB6191">
        <v>39</v>
      </c>
      <c r="AC6191">
        <v>2.0531999999999702</v>
      </c>
      <c r="AD6191">
        <v>-1.121103551607</v>
      </c>
      <c r="AE6191">
        <v>16.713669999999901</v>
      </c>
      <c r="AF6191">
        <v>2.0605692171608601</v>
      </c>
      <c r="AG6191">
        <v>-1.121103551607</v>
      </c>
      <c r="AH6191">
        <v>16.637888029375201</v>
      </c>
      <c r="AI6191">
        <v>93.825768280160403</v>
      </c>
      <c r="AJ6191">
        <v>82.9399819143011</v>
      </c>
      <c r="AK6191">
        <v>16.802444368310301</v>
      </c>
      <c r="AL6191">
        <v>77.648482600623595</v>
      </c>
      <c r="AM6191">
        <v>89.174880684361398</v>
      </c>
      <c r="AN6191">
        <v>0.99999995861629998</v>
      </c>
    </row>
    <row r="6192" spans="1:40" x14ac:dyDescent="0.25">
      <c r="A6192" t="str">
        <f>"20190303170658096"</f>
        <v>20190303170658096</v>
      </c>
      <c r="B6192" t="str">
        <f>"1551604018080701"</f>
        <v>1551604018080701</v>
      </c>
      <c r="C6192" t="s">
        <v>40</v>
      </c>
      <c r="D6192">
        <v>5.6208609999999997</v>
      </c>
      <c r="E6192">
        <v>0.54709269999999999</v>
      </c>
      <c r="F6192" t="s">
        <v>41</v>
      </c>
      <c r="G6192">
        <v>-184.9648</v>
      </c>
      <c r="H6192" s="1">
        <v>-2.6323379999999898E-6</v>
      </c>
      <c r="I6192">
        <v>113.4465</v>
      </c>
      <c r="J6192">
        <v>-187.0334</v>
      </c>
      <c r="K6192">
        <v>1.121094</v>
      </c>
      <c r="L6192">
        <v>96.885959999999997</v>
      </c>
      <c r="M6192">
        <v>-9.8750040000000002E-4</v>
      </c>
      <c r="N6192">
        <v>-1.4183919999999999E-2</v>
      </c>
      <c r="O6192">
        <v>0.99989890000000003</v>
      </c>
      <c r="P6192">
        <v>1.3217599999999999E-2</v>
      </c>
      <c r="Q6192">
        <v>0.19893849999999999</v>
      </c>
      <c r="R6192">
        <v>0.97992279999999998</v>
      </c>
      <c r="S6192">
        <v>0.3783569</v>
      </c>
      <c r="T6192">
        <v>-0.2051017</v>
      </c>
      <c r="U6192">
        <v>3.0989689999999999</v>
      </c>
      <c r="V6192">
        <v>1.4193509999999999E-2</v>
      </c>
      <c r="W6192">
        <v>0.2128167</v>
      </c>
      <c r="X6192">
        <v>0.976989</v>
      </c>
      <c r="Y6192">
        <v>0.1219426</v>
      </c>
      <c r="Z6192">
        <v>-5.1390039999999998E-2</v>
      </c>
      <c r="AA6192">
        <v>0.99120589999999997</v>
      </c>
      <c r="AB6192">
        <v>39</v>
      </c>
      <c r="AC6192">
        <v>2.0686</v>
      </c>
      <c r="AD6192">
        <v>-1.1210966323379901</v>
      </c>
      <c r="AE6192">
        <v>16.56054</v>
      </c>
      <c r="AF6192">
        <v>2.0755881716642302</v>
      </c>
      <c r="AG6192">
        <v>-1.1210966323379901</v>
      </c>
      <c r="AH6192">
        <v>16.484105138969898</v>
      </c>
      <c r="AI6192">
        <v>93.860350163469107</v>
      </c>
      <c r="AJ6192">
        <v>82.8233975100284</v>
      </c>
      <c r="AK6192">
        <v>16.652046305184399</v>
      </c>
      <c r="AL6192">
        <v>77.712530100307006</v>
      </c>
      <c r="AM6192">
        <v>89.167676387194604</v>
      </c>
      <c r="AN6192">
        <v>0.99999995482300397</v>
      </c>
    </row>
    <row r="6193" spans="1:40" x14ac:dyDescent="0.25">
      <c r="A6193" t="str">
        <f>"20190303170658118"</f>
        <v>20190303170658118</v>
      </c>
      <c r="B6193" t="str">
        <f>"1551604018110957"</f>
        <v>1551604018110957</v>
      </c>
      <c r="C6193" t="s">
        <v>40</v>
      </c>
      <c r="D6193">
        <v>5.5628699999999904</v>
      </c>
      <c r="E6193">
        <v>0.54753209999999997</v>
      </c>
      <c r="F6193" t="s">
        <v>41</v>
      </c>
      <c r="G6193">
        <v>-184.97540000000001</v>
      </c>
      <c r="H6193" s="1">
        <v>-2.6886590000000001E-6</v>
      </c>
      <c r="I6193">
        <v>113.6202</v>
      </c>
      <c r="J6193">
        <v>-187.03380000000001</v>
      </c>
      <c r="K6193">
        <v>1.1210899999999999</v>
      </c>
      <c r="L6193">
        <v>97.290189999999996</v>
      </c>
      <c r="M6193">
        <v>-9.8769039999999997E-4</v>
      </c>
      <c r="N6193">
        <v>-1.4181569999999999E-2</v>
      </c>
      <c r="O6193">
        <v>0.99989899999999998</v>
      </c>
      <c r="P6193">
        <v>1.3163080000000001E-2</v>
      </c>
      <c r="Q6193">
        <v>0.1980732</v>
      </c>
      <c r="R6193">
        <v>0.98009880000000005</v>
      </c>
      <c r="S6193">
        <v>0.38104250000000001</v>
      </c>
      <c r="T6193">
        <v>-0.20757970000000001</v>
      </c>
      <c r="U6193">
        <v>3.0984799999999999</v>
      </c>
      <c r="V6193">
        <v>1.413931E-2</v>
      </c>
      <c r="W6193">
        <v>0.211952</v>
      </c>
      <c r="X6193">
        <v>0.97717779999999999</v>
      </c>
      <c r="Y6193">
        <v>0.1228017</v>
      </c>
      <c r="Z6193">
        <v>-5.2184870000000001E-2</v>
      </c>
      <c r="AA6193">
        <v>0.99105829999999995</v>
      </c>
      <c r="AB6193">
        <v>39</v>
      </c>
      <c r="AC6193">
        <v>2.0583999999999998</v>
      </c>
      <c r="AD6193">
        <v>-1.121092688659</v>
      </c>
      <c r="AE6193">
        <v>16.330010000000001</v>
      </c>
      <c r="AF6193">
        <v>2.0649494358648002</v>
      </c>
      <c r="AG6193">
        <v>-1.121092688659</v>
      </c>
      <c r="AH6193">
        <v>16.252566225983799</v>
      </c>
      <c r="AI6193">
        <v>93.914608790962006</v>
      </c>
      <c r="AJ6193">
        <v>82.759152381057504</v>
      </c>
      <c r="AK6193">
        <v>16.421533847945899</v>
      </c>
      <c r="AL6193">
        <v>77.763231137338593</v>
      </c>
      <c r="AM6193">
        <v>89.171014468875001</v>
      </c>
      <c r="AN6193">
        <v>1.00000001160205</v>
      </c>
    </row>
    <row r="6194" spans="1:40" x14ac:dyDescent="0.25">
      <c r="A6194" t="str">
        <f>"20190303170658141"</f>
        <v>20190303170658141</v>
      </c>
      <c r="B6194" t="str">
        <f>"1551604018131452"</f>
        <v>1551604018131452</v>
      </c>
      <c r="C6194" t="s">
        <v>40</v>
      </c>
      <c r="D6194">
        <v>5.5363850000000001</v>
      </c>
      <c r="E6194">
        <v>0.54831770000000002</v>
      </c>
      <c r="F6194" t="s">
        <v>41</v>
      </c>
      <c r="G6194">
        <v>-184.9624</v>
      </c>
      <c r="H6194" s="1">
        <v>-2.8065449999999999E-6</v>
      </c>
      <c r="I6194">
        <v>113.95650000000001</v>
      </c>
      <c r="J6194">
        <v>-187.0342</v>
      </c>
      <c r="K6194">
        <v>1.1210910000000001</v>
      </c>
      <c r="L6194">
        <v>97.686980000000005</v>
      </c>
      <c r="M6194">
        <v>-9.879054E-4</v>
      </c>
      <c r="N6194">
        <v>-1.4179239999999999E-2</v>
      </c>
      <c r="O6194">
        <v>0.99989899999999998</v>
      </c>
      <c r="P6194">
        <v>1.3413059999999999E-2</v>
      </c>
      <c r="Q6194">
        <v>0.19821900000000001</v>
      </c>
      <c r="R6194">
        <v>0.98006599999999999</v>
      </c>
      <c r="S6194">
        <v>0.38500980000000001</v>
      </c>
      <c r="T6194">
        <v>-0.2083845</v>
      </c>
      <c r="U6194">
        <v>3.0978699999999999</v>
      </c>
      <c r="V6194">
        <v>1.438948E-2</v>
      </c>
      <c r="W6194">
        <v>0.21209500000000001</v>
      </c>
      <c r="X6194">
        <v>0.97714310000000004</v>
      </c>
      <c r="Y6194">
        <v>0.1240729</v>
      </c>
      <c r="Z6194">
        <v>-5.2445970000000001E-2</v>
      </c>
      <c r="AA6194">
        <v>0.99088620000000005</v>
      </c>
      <c r="AB6194">
        <v>39</v>
      </c>
      <c r="AC6194">
        <v>2.0717999999999899</v>
      </c>
      <c r="AD6194">
        <v>-1.121093806545</v>
      </c>
      <c r="AE6194">
        <v>16.26952</v>
      </c>
      <c r="AF6194">
        <v>2.07816315505434</v>
      </c>
      <c r="AG6194">
        <v>-1.121093806545</v>
      </c>
      <c r="AH6194">
        <v>16.191809048973798</v>
      </c>
      <c r="AI6194">
        <v>93.928619479167097</v>
      </c>
      <c r="AJ6194">
        <v>82.686267633936396</v>
      </c>
      <c r="AK6194">
        <v>16.363077146445601</v>
      </c>
      <c r="AL6194">
        <v>77.754846985662994</v>
      </c>
      <c r="AM6194">
        <v>89.156319187334702</v>
      </c>
      <c r="AN6194">
        <v>0.99999999201863998</v>
      </c>
    </row>
    <row r="6195" spans="1:40" x14ac:dyDescent="0.25">
      <c r="A6195" t="str">
        <f>"20190303170658162"</f>
        <v>20190303170658162</v>
      </c>
      <c r="B6195" t="str">
        <f>"1551604018150976"</f>
        <v>1551604018150976</v>
      </c>
      <c r="C6195" t="s">
        <v>40</v>
      </c>
      <c r="D6195">
        <v>5.4332849999999997</v>
      </c>
      <c r="E6195">
        <v>0.56993680000000002</v>
      </c>
      <c r="F6195" t="s">
        <v>41</v>
      </c>
      <c r="G6195">
        <v>-184.8897</v>
      </c>
      <c r="H6195" s="1">
        <v>-3.0525559999999998E-6</v>
      </c>
      <c r="I6195">
        <v>114.62260000000001</v>
      </c>
      <c r="J6195">
        <v>-187.03450000000001</v>
      </c>
      <c r="K6195">
        <v>1.1210929999999999</v>
      </c>
      <c r="L6195">
        <v>98.050659999999993</v>
      </c>
      <c r="M6195">
        <v>-9.8808019999999997E-4</v>
      </c>
      <c r="N6195">
        <v>-1.417712E-2</v>
      </c>
      <c r="O6195">
        <v>0.99989899999999998</v>
      </c>
      <c r="P6195">
        <v>1.4157309999999999E-2</v>
      </c>
      <c r="Q6195">
        <v>0.19813140000000001</v>
      </c>
      <c r="R6195">
        <v>0.98007319999999998</v>
      </c>
      <c r="S6195">
        <v>0.39216610000000002</v>
      </c>
      <c r="T6195">
        <v>-0.20502280000000001</v>
      </c>
      <c r="U6195">
        <v>3.097137</v>
      </c>
      <c r="V6195">
        <v>1.51339E-2</v>
      </c>
      <c r="W6195">
        <v>0.21200550000000001</v>
      </c>
      <c r="X6195">
        <v>0.97715129999999994</v>
      </c>
      <c r="Y6195">
        <v>0.12636220000000001</v>
      </c>
      <c r="Z6195">
        <v>-5.13739E-2</v>
      </c>
      <c r="AA6195">
        <v>0.99065300000000001</v>
      </c>
      <c r="AB6195">
        <v>39</v>
      </c>
      <c r="AC6195">
        <v>2.1448</v>
      </c>
      <c r="AD6195">
        <v>-1.1210960525560001</v>
      </c>
      <c r="AE6195">
        <v>16.571940000000001</v>
      </c>
      <c r="AF6195">
        <v>2.1514907977767299</v>
      </c>
      <c r="AG6195">
        <v>-1.1210960525560001</v>
      </c>
      <c r="AH6195">
        <v>16.495563272702601</v>
      </c>
      <c r="AI6195">
        <v>93.855486244337797</v>
      </c>
      <c r="AJ6195">
        <v>82.568948626434207</v>
      </c>
      <c r="AK6195">
        <v>16.673013425764101</v>
      </c>
      <c r="AL6195">
        <v>77.760094574084903</v>
      </c>
      <c r="AM6195">
        <v>89.112686770111907</v>
      </c>
      <c r="AN6195">
        <v>1.0000000150255699</v>
      </c>
    </row>
    <row r="6196" spans="1:40" x14ac:dyDescent="0.25">
      <c r="A6196" t="str">
        <f>"20190303170658186"</f>
        <v>20190303170658186</v>
      </c>
      <c r="B6196" t="str">
        <f>"1551604018171470"</f>
        <v>1551604018171470</v>
      </c>
      <c r="C6196" t="s">
        <v>40</v>
      </c>
      <c r="D6196">
        <v>5.3820350000000001</v>
      </c>
      <c r="E6196">
        <v>0.57049359999999905</v>
      </c>
      <c r="F6196" t="s">
        <v>84</v>
      </c>
      <c r="G6196">
        <v>-181.1532</v>
      </c>
      <c r="H6196" s="1">
        <v>-5.4057599999999997E-6</v>
      </c>
      <c r="I6196">
        <v>129.75120000000001</v>
      </c>
      <c r="J6196">
        <v>-187.03489999999999</v>
      </c>
      <c r="K6196">
        <v>1.1210910000000001</v>
      </c>
      <c r="L6196">
        <v>98.438959999999994</v>
      </c>
      <c r="M6196">
        <v>-9.8824580000000006E-4</v>
      </c>
      <c r="N6196">
        <v>-1.4174890000000001E-2</v>
      </c>
      <c r="O6196">
        <v>0.99989899999999998</v>
      </c>
      <c r="P6196">
        <v>1.415104E-2</v>
      </c>
      <c r="Q6196">
        <v>0.19665579999999999</v>
      </c>
      <c r="R6196">
        <v>0.98037050000000003</v>
      </c>
      <c r="S6196">
        <v>0.57044980000000001</v>
      </c>
      <c r="T6196">
        <v>-0.1087389</v>
      </c>
      <c r="U6196">
        <v>3.074738</v>
      </c>
      <c r="V6196">
        <v>1.5128020000000001E-2</v>
      </c>
      <c r="W6196">
        <v>0.21053230000000001</v>
      </c>
      <c r="X6196">
        <v>0.9774699</v>
      </c>
      <c r="Y6196">
        <v>0.18328510000000001</v>
      </c>
      <c r="Z6196">
        <v>-2.0576730000000001E-2</v>
      </c>
      <c r="AA6196">
        <v>0.98284439999999995</v>
      </c>
      <c r="AB6196">
        <v>39</v>
      </c>
      <c r="AC6196">
        <v>5.8816999999999897</v>
      </c>
      <c r="AD6196">
        <v>-1.1210964057599999</v>
      </c>
      <c r="AE6196">
        <v>31.312239999999999</v>
      </c>
      <c r="AF6196">
        <v>5.9053323211968198</v>
      </c>
      <c r="AG6196">
        <v>-1.1210964057599999</v>
      </c>
      <c r="AH6196">
        <v>31.267695241037</v>
      </c>
      <c r="AI6196">
        <v>92.017806570400893</v>
      </c>
      <c r="AJ6196">
        <v>79.304883286522696</v>
      </c>
      <c r="AK6196">
        <v>31.840203715760801</v>
      </c>
      <c r="AL6196">
        <v>77.846452489628305</v>
      </c>
      <c r="AM6196">
        <v>89.113320519850504</v>
      </c>
      <c r="AN6196">
        <v>1.0000000558691999</v>
      </c>
    </row>
    <row r="6197" spans="1:40" x14ac:dyDescent="0.25">
      <c r="A6197" t="str">
        <f>"20190303170658207"</f>
        <v>20190303170658207</v>
      </c>
      <c r="B6197" t="str">
        <f>"1551604018200749"</f>
        <v>1551604018200749</v>
      </c>
      <c r="C6197" t="s">
        <v>40</v>
      </c>
      <c r="D6197">
        <v>5.3357519999999896</v>
      </c>
      <c r="E6197">
        <v>0.57077769999999906</v>
      </c>
      <c r="F6197" t="s">
        <v>84</v>
      </c>
      <c r="G6197">
        <v>-181.22659999999999</v>
      </c>
      <c r="H6197" s="1">
        <v>-5.2993269999999999E-6</v>
      </c>
      <c r="I6197">
        <v>129.47649999999999</v>
      </c>
      <c r="J6197">
        <v>-187.03530000000001</v>
      </c>
      <c r="K6197">
        <v>1.1210789999999999</v>
      </c>
      <c r="L6197">
        <v>98.841549999999998</v>
      </c>
      <c r="M6197">
        <v>-9.8842380000000005E-4</v>
      </c>
      <c r="N6197">
        <v>-1.41727999999999E-2</v>
      </c>
      <c r="O6197">
        <v>0.99989910000000004</v>
      </c>
      <c r="P6197">
        <v>1.350692E-2</v>
      </c>
      <c r="Q6197">
        <v>0.19521530000000001</v>
      </c>
      <c r="R6197">
        <v>0.98066739999999997</v>
      </c>
      <c r="S6197">
        <v>0.57527159999999999</v>
      </c>
      <c r="T6197">
        <v>-0.1110362</v>
      </c>
      <c r="U6197">
        <v>3.074036</v>
      </c>
      <c r="V6197">
        <v>1.448431E-2</v>
      </c>
      <c r="W6197">
        <v>0.20909349999999999</v>
      </c>
      <c r="X6197">
        <v>0.9777884</v>
      </c>
      <c r="Y6197">
        <v>0.1848109</v>
      </c>
      <c r="Z6197">
        <v>-2.1310079999999999E-2</v>
      </c>
      <c r="AA6197">
        <v>0.9825431</v>
      </c>
      <c r="AB6197">
        <v>39</v>
      </c>
      <c r="AC6197">
        <v>5.8087000000000097</v>
      </c>
      <c r="AD6197">
        <v>-1.121084299327</v>
      </c>
      <c r="AE6197">
        <v>30.6349499999999</v>
      </c>
      <c r="AF6197">
        <v>5.8314421280364197</v>
      </c>
      <c r="AG6197">
        <v>-1.121084299327</v>
      </c>
      <c r="AH6197">
        <v>30.589649322377301</v>
      </c>
      <c r="AI6197">
        <v>92.061804292993202</v>
      </c>
      <c r="AJ6197">
        <v>79.206950164272001</v>
      </c>
      <c r="AK6197">
        <v>31.160699494152201</v>
      </c>
      <c r="AL6197">
        <v>77.930765930222293</v>
      </c>
      <c r="AM6197">
        <v>89.151320328750501</v>
      </c>
      <c r="AN6197">
        <v>1.0000000210764901</v>
      </c>
    </row>
    <row r="6198" spans="1:40" x14ac:dyDescent="0.25">
      <c r="A6198" t="str">
        <f>"20190303170658230"</f>
        <v>20190303170658230</v>
      </c>
      <c r="B6198" t="str">
        <f>"1551604018221245"</f>
        <v>1551604018221245</v>
      </c>
      <c r="C6198" t="s">
        <v>40</v>
      </c>
      <c r="D6198">
        <v>5.3012319999999997</v>
      </c>
      <c r="E6198">
        <v>0.57101740000000001</v>
      </c>
      <c r="F6198" t="s">
        <v>84</v>
      </c>
      <c r="G6198">
        <v>-181.31620000000001</v>
      </c>
      <c r="H6198" s="1">
        <v>-5.2176160000000003E-6</v>
      </c>
      <c r="I6198">
        <v>129.29519999999999</v>
      </c>
      <c r="J6198">
        <v>-187.03569999999999</v>
      </c>
      <c r="K6198">
        <v>1.1210739999999999</v>
      </c>
      <c r="L6198">
        <v>99.235900000000001</v>
      </c>
      <c r="M6198">
        <v>-9.8862100000000007E-4</v>
      </c>
      <c r="N6198">
        <v>-1.4170449999999999E-2</v>
      </c>
      <c r="O6198">
        <v>0.99989910000000004</v>
      </c>
      <c r="P6198">
        <v>1.3515650000000001E-2</v>
      </c>
      <c r="Q6198">
        <v>0.1945085</v>
      </c>
      <c r="R6198">
        <v>0.98080769999999995</v>
      </c>
      <c r="S6198">
        <v>0.57723999999999998</v>
      </c>
      <c r="T6198">
        <v>-0.1131525</v>
      </c>
      <c r="U6198">
        <v>3.0737299999999999</v>
      </c>
      <c r="V6198">
        <v>1.449335E-2</v>
      </c>
      <c r="W6198">
        <v>0.20838699999999999</v>
      </c>
      <c r="X6198">
        <v>0.97793909999999995</v>
      </c>
      <c r="Y6198">
        <v>0.18543270000000001</v>
      </c>
      <c r="Z6198">
        <v>-2.1987309999999999E-2</v>
      </c>
      <c r="AA6198">
        <v>0.98241100000000003</v>
      </c>
      <c r="AB6198">
        <v>39</v>
      </c>
      <c r="AC6198">
        <v>5.7194999999999796</v>
      </c>
      <c r="AD6198">
        <v>-1.1210792176159901</v>
      </c>
      <c r="AE6198">
        <v>30.0593</v>
      </c>
      <c r="AF6198">
        <v>5.7415102604608999</v>
      </c>
      <c r="AG6198">
        <v>-1.1210792176159901</v>
      </c>
      <c r="AH6198">
        <v>30.013341561987001</v>
      </c>
      <c r="AI6198">
        <v>92.101092927777401</v>
      </c>
      <c r="AJ6198">
        <v>79.170238085564307</v>
      </c>
      <c r="AK6198">
        <v>30.578136476895502</v>
      </c>
      <c r="AL6198">
        <v>77.972157446870796</v>
      </c>
      <c r="AM6198">
        <v>89.150921568895001</v>
      </c>
      <c r="AN6198">
        <v>1.0000000411360099</v>
      </c>
    </row>
    <row r="6199" spans="1:40" x14ac:dyDescent="0.25">
      <c r="A6199" t="str">
        <f>"20190303170658251"</f>
        <v>20190303170658251</v>
      </c>
      <c r="B6199" t="str">
        <f>"1551604018240958"</f>
        <v>1551604018240958</v>
      </c>
      <c r="C6199" t="s">
        <v>40</v>
      </c>
      <c r="D6199">
        <v>5.2788629999999896</v>
      </c>
      <c r="E6199">
        <v>0.5713357</v>
      </c>
      <c r="F6199" t="s">
        <v>84</v>
      </c>
      <c r="G6199">
        <v>-181.35810000000001</v>
      </c>
      <c r="H6199" s="1">
        <v>-5.23459E-6</v>
      </c>
      <c r="I6199">
        <v>129.34119999999999</v>
      </c>
      <c r="J6199">
        <v>-187.0361</v>
      </c>
      <c r="K6199">
        <v>1.121078</v>
      </c>
      <c r="L6199">
        <v>99.608459999999994</v>
      </c>
      <c r="M6199">
        <v>-9.8880990000000009E-4</v>
      </c>
      <c r="N6199">
        <v>-1.416803E-2</v>
      </c>
      <c r="O6199">
        <v>0.99989910000000004</v>
      </c>
      <c r="P6199">
        <v>1.434057E-2</v>
      </c>
      <c r="Q6199">
        <v>0.19528010000000001</v>
      </c>
      <c r="R6199">
        <v>0.98064269999999998</v>
      </c>
      <c r="S6199">
        <v>0.57962040000000004</v>
      </c>
      <c r="T6199">
        <v>-0.11445</v>
      </c>
      <c r="U6199">
        <v>3.0734249999999999</v>
      </c>
      <c r="V6199">
        <v>1.531832E-2</v>
      </c>
      <c r="W6199">
        <v>0.2091537</v>
      </c>
      <c r="X6199">
        <v>0.97776280000000004</v>
      </c>
      <c r="Y6199">
        <v>0.18618290000000001</v>
      </c>
      <c r="Z6199">
        <v>-2.2402249999999999E-2</v>
      </c>
      <c r="AA6199">
        <v>0.98225969999999996</v>
      </c>
      <c r="AB6199">
        <v>39</v>
      </c>
      <c r="AC6199">
        <v>5.6779999999999902</v>
      </c>
      <c r="AD6199">
        <v>-1.1210832345899999</v>
      </c>
      <c r="AE6199">
        <v>29.73274</v>
      </c>
      <c r="AF6199">
        <v>5.6995822577572399</v>
      </c>
      <c r="AG6199">
        <v>-1.1210832345899999</v>
      </c>
      <c r="AH6199">
        <v>29.686390504277899</v>
      </c>
      <c r="AI6199">
        <v>92.123947388340696</v>
      </c>
      <c r="AJ6199">
        <v>79.131855727657396</v>
      </c>
      <c r="AK6199">
        <v>30.249361095803302</v>
      </c>
      <c r="AL6199">
        <v>77.927238564144304</v>
      </c>
      <c r="AM6199">
        <v>89.102437433045594</v>
      </c>
      <c r="AN6199">
        <v>1.0000000071075701</v>
      </c>
    </row>
    <row r="6200" spans="1:40" x14ac:dyDescent="0.25">
      <c r="A6200" t="str">
        <f>"20190303170658274"</f>
        <v>20190303170658274</v>
      </c>
      <c r="B6200" t="str">
        <f>"1551604018261454"</f>
        <v>1551604018261454</v>
      </c>
      <c r="C6200" t="s">
        <v>40</v>
      </c>
      <c r="D6200">
        <v>5.2636099999999999</v>
      </c>
      <c r="E6200">
        <v>0.57169360000000002</v>
      </c>
      <c r="F6200" t="s">
        <v>84</v>
      </c>
      <c r="G6200">
        <v>-181.06780000000001</v>
      </c>
      <c r="H6200" s="1">
        <v>-5.8235880000000001E-6</v>
      </c>
      <c r="I6200">
        <v>131.01499999999999</v>
      </c>
      <c r="J6200">
        <v>-187.03649999999999</v>
      </c>
      <c r="K6200">
        <v>1.1210850000000001</v>
      </c>
      <c r="L6200">
        <v>99.997439999999997</v>
      </c>
      <c r="M6200">
        <v>-9.8899550000000006E-4</v>
      </c>
      <c r="N6200">
        <v>-1.416546E-2</v>
      </c>
      <c r="O6200">
        <v>0.99989910000000004</v>
      </c>
      <c r="P6200">
        <v>1.494241E-2</v>
      </c>
      <c r="Q6200">
        <v>0.19553290000000001</v>
      </c>
      <c r="R6200">
        <v>0.98058330000000005</v>
      </c>
      <c r="S6200">
        <v>0.5838776</v>
      </c>
      <c r="T6200">
        <v>-0.1096758</v>
      </c>
      <c r="U6200">
        <v>3.0725099999999999</v>
      </c>
      <c r="V6200">
        <v>1.592029E-2</v>
      </c>
      <c r="W6200">
        <v>0.20940310000000001</v>
      </c>
      <c r="X6200">
        <v>0.97769980000000001</v>
      </c>
      <c r="Y6200">
        <v>0.1875578</v>
      </c>
      <c r="Z6200">
        <v>-2.0881960000000001E-2</v>
      </c>
      <c r="AA6200">
        <v>0.9820316</v>
      </c>
      <c r="AB6200">
        <v>39</v>
      </c>
      <c r="AC6200">
        <v>5.9686999999999797</v>
      </c>
      <c r="AD6200">
        <v>-1.1210908235879999</v>
      </c>
      <c r="AE6200">
        <v>31.0175599999999</v>
      </c>
      <c r="AF6200">
        <v>5.99182833912137</v>
      </c>
      <c r="AG6200">
        <v>-1.1210908235879999</v>
      </c>
      <c r="AH6200">
        <v>30.972624263931699</v>
      </c>
      <c r="AI6200">
        <v>92.035280780741601</v>
      </c>
      <c r="AJ6200">
        <v>79.0510604921718</v>
      </c>
      <c r="AK6200">
        <v>31.566791177991501</v>
      </c>
      <c r="AL6200">
        <v>77.912625396025106</v>
      </c>
      <c r="AM6200">
        <v>89.067111583368003</v>
      </c>
      <c r="AN6200">
        <v>1.0000000064216601</v>
      </c>
    </row>
    <row r="6201" spans="1:40" x14ac:dyDescent="0.25">
      <c r="A6201" t="str">
        <f>"20190303170658298"</f>
        <v>20190303170658298</v>
      </c>
      <c r="B6201" t="str">
        <f>"1551604018290735"</f>
        <v>1551604018290735</v>
      </c>
      <c r="C6201" t="s">
        <v>40</v>
      </c>
      <c r="D6201">
        <v>5.2285409999999999</v>
      </c>
      <c r="E6201">
        <v>0.57230419999999904</v>
      </c>
      <c r="F6201" t="s">
        <v>84</v>
      </c>
      <c r="G6201">
        <v>-180.98349999999999</v>
      </c>
      <c r="H6201" s="1">
        <v>-6.0346309999999996E-6</v>
      </c>
      <c r="I6201">
        <v>131.59739999999999</v>
      </c>
      <c r="J6201">
        <v>-187.0369</v>
      </c>
      <c r="K6201">
        <v>1.1210869999999999</v>
      </c>
      <c r="L6201">
        <v>100.41200000000001</v>
      </c>
      <c r="M6201">
        <v>-9.8917249999999992E-4</v>
      </c>
      <c r="N6201">
        <v>-1.416271E-2</v>
      </c>
      <c r="O6201">
        <v>0.99989919999999999</v>
      </c>
      <c r="P6201">
        <v>1.491197E-2</v>
      </c>
      <c r="Q6201">
        <v>0.1944034</v>
      </c>
      <c r="R6201">
        <v>0.98080829999999997</v>
      </c>
      <c r="S6201">
        <v>0.58847050000000001</v>
      </c>
      <c r="T6201">
        <v>-0.1089923</v>
      </c>
      <c r="U6201">
        <v>3.0721440000000002</v>
      </c>
      <c r="V6201">
        <v>1.5890209999999998E-2</v>
      </c>
      <c r="W6201">
        <v>0.20827370000000001</v>
      </c>
      <c r="X6201">
        <v>0.97794150000000002</v>
      </c>
      <c r="Y6201">
        <v>0.18899650000000001</v>
      </c>
      <c r="Z6201">
        <v>-2.0660919999999999E-2</v>
      </c>
      <c r="AA6201">
        <v>0.98176039999999998</v>
      </c>
      <c r="AB6201">
        <v>39</v>
      </c>
      <c r="AC6201">
        <v>6.0534000000000097</v>
      </c>
      <c r="AD6201">
        <v>-1.121093034631</v>
      </c>
      <c r="AE6201">
        <v>31.185399999999898</v>
      </c>
      <c r="AF6201">
        <v>6.0766798205051602</v>
      </c>
      <c r="AG6201">
        <v>-1.121093034631</v>
      </c>
      <c r="AH6201">
        <v>31.140612968378498</v>
      </c>
      <c r="AI6201">
        <v>92.023678010131405</v>
      </c>
      <c r="AJ6201">
        <v>78.958239799212393</v>
      </c>
      <c r="AK6201">
        <v>31.7477662722841</v>
      </c>
      <c r="AL6201">
        <v>77.978794250339504</v>
      </c>
      <c r="AM6201">
        <v>89.069103973076295</v>
      </c>
      <c r="AN6201">
        <v>1.00000000515389</v>
      </c>
    </row>
    <row r="6202" spans="1:40" x14ac:dyDescent="0.25">
      <c r="A6202" t="str">
        <f>"20190303170658320"</f>
        <v>20190303170658320</v>
      </c>
      <c r="B6202" t="str">
        <f>"1551604018311230"</f>
        <v>1551604018311230</v>
      </c>
      <c r="C6202" t="s">
        <v>40</v>
      </c>
      <c r="D6202">
        <v>5.1992960000000004</v>
      </c>
      <c r="E6202">
        <v>0.57251989999999997</v>
      </c>
      <c r="F6202" t="s">
        <v>84</v>
      </c>
      <c r="G6202">
        <v>-181.00899999999999</v>
      </c>
      <c r="H6202" s="1">
        <v>-6.0216650000000004E-6</v>
      </c>
      <c r="I6202">
        <v>131.5667</v>
      </c>
      <c r="J6202">
        <v>-187.03729999999999</v>
      </c>
      <c r="K6202">
        <v>1.1210789999999999</v>
      </c>
      <c r="L6202">
        <v>100.81229999999999</v>
      </c>
      <c r="M6202">
        <v>-9.8775610000000004E-4</v>
      </c>
      <c r="N6202">
        <v>-1.416008E-2</v>
      </c>
      <c r="O6202">
        <v>0.99989930000000005</v>
      </c>
      <c r="P6202">
        <v>1.5665780000000001E-2</v>
      </c>
      <c r="Q6202">
        <v>0.19396569999999999</v>
      </c>
      <c r="R6202">
        <v>0.98088319999999996</v>
      </c>
      <c r="S6202">
        <v>0.59428409999999998</v>
      </c>
      <c r="T6202">
        <v>-0.1105281</v>
      </c>
      <c r="U6202">
        <v>3.0715330000000001</v>
      </c>
      <c r="V6202">
        <v>1.6643040000000001E-2</v>
      </c>
      <c r="W6202">
        <v>0.20783479999999999</v>
      </c>
      <c r="X6202">
        <v>0.97802230000000001</v>
      </c>
      <c r="Y6202">
        <v>0.1908194</v>
      </c>
      <c r="Z6202">
        <v>-2.1148090000000001E-2</v>
      </c>
      <c r="AA6202">
        <v>0.98139730000000003</v>
      </c>
      <c r="AB6202">
        <v>39</v>
      </c>
      <c r="AC6202">
        <v>6.0282999999999696</v>
      </c>
      <c r="AD6202">
        <v>-1.1210850216649999</v>
      </c>
      <c r="AE6202">
        <v>30.7544</v>
      </c>
      <c r="AF6202">
        <v>6.0509349118896196</v>
      </c>
      <c r="AG6202">
        <v>-1.1210850216649999</v>
      </c>
      <c r="AH6202">
        <v>30.709133174992299</v>
      </c>
      <c r="AI6202">
        <v>92.051336181180801</v>
      </c>
      <c r="AJ6202">
        <v>78.853219436032802</v>
      </c>
      <c r="AK6202">
        <v>31.319666430106501</v>
      </c>
      <c r="AL6202">
        <v>78.004503381191398</v>
      </c>
      <c r="AM6202">
        <v>89.025089795078401</v>
      </c>
      <c r="AN6202">
        <v>0.99999995708438405</v>
      </c>
    </row>
    <row r="6203" spans="1:40" x14ac:dyDescent="0.25">
      <c r="A6203" t="str">
        <f>"20190303170658342"</f>
        <v>20190303170658342</v>
      </c>
      <c r="B6203" t="str">
        <f>"1551604018331257"</f>
        <v>1551604018331257</v>
      </c>
      <c r="C6203" t="s">
        <v>40</v>
      </c>
      <c r="D6203">
        <v>5.2111510000000001</v>
      </c>
      <c r="E6203">
        <v>0.57697739999999997</v>
      </c>
      <c r="F6203" t="s">
        <v>84</v>
      </c>
      <c r="G6203">
        <v>-180.97290000000001</v>
      </c>
      <c r="H6203" s="1">
        <v>-6.1414210000000001E-6</v>
      </c>
      <c r="I6203">
        <v>131.90010000000001</v>
      </c>
      <c r="J6203">
        <v>-187.0376</v>
      </c>
      <c r="K6203">
        <v>1.121075</v>
      </c>
      <c r="L6203">
        <v>101.1854</v>
      </c>
      <c r="M6203">
        <v>-9.7326789999999997E-4</v>
      </c>
      <c r="N6203">
        <v>-1.415778E-2</v>
      </c>
      <c r="O6203">
        <v>0.99989930000000005</v>
      </c>
      <c r="P6203">
        <v>1.7780210000000001E-2</v>
      </c>
      <c r="Q6203">
        <v>0.19485849999999999</v>
      </c>
      <c r="R6203">
        <v>0.98067020000000005</v>
      </c>
      <c r="S6203">
        <v>0.59902949999999999</v>
      </c>
      <c r="T6203">
        <v>-0.110739</v>
      </c>
      <c r="U6203">
        <v>3.0708009999999999</v>
      </c>
      <c r="V6203">
        <v>1.8746229999999999E-2</v>
      </c>
      <c r="W6203">
        <v>0.20872180000000001</v>
      </c>
      <c r="X6203">
        <v>0.97779539999999998</v>
      </c>
      <c r="Y6203">
        <v>0.19230920000000001</v>
      </c>
      <c r="Z6203">
        <v>-2.1215629999999999E-2</v>
      </c>
      <c r="AA6203">
        <v>0.981105</v>
      </c>
      <c r="AB6203">
        <v>39</v>
      </c>
      <c r="AC6203">
        <v>6.0646999999999798</v>
      </c>
      <c r="AD6203">
        <v>-1.121081141421</v>
      </c>
      <c r="AE6203">
        <v>30.714700000000001</v>
      </c>
      <c r="AF6203">
        <v>6.0867889971186404</v>
      </c>
      <c r="AG6203">
        <v>-1.121081141421</v>
      </c>
      <c r="AH6203">
        <v>30.6694565072081</v>
      </c>
      <c r="AI6203">
        <v>92.053424530228696</v>
      </c>
      <c r="AJ6203">
        <v>78.774703176758905</v>
      </c>
      <c r="AK6203">
        <v>31.287719406639798</v>
      </c>
      <c r="AL6203">
        <v>77.952543359992902</v>
      </c>
      <c r="AM6203">
        <v>88.901663586858106</v>
      </c>
      <c r="AN6203">
        <v>1.0000000275978</v>
      </c>
    </row>
    <row r="6204" spans="1:40" x14ac:dyDescent="0.25">
      <c r="A6204" t="str">
        <f>"20190303170658364"</f>
        <v>20190303170658364</v>
      </c>
      <c r="B6204" t="str">
        <f>"1551604018350776"</f>
        <v>1551604018350776</v>
      </c>
      <c r="C6204" t="s">
        <v>40</v>
      </c>
      <c r="D6204">
        <v>5.1937410000000002</v>
      </c>
      <c r="E6204">
        <v>0.57713910000000002</v>
      </c>
      <c r="F6204" t="s">
        <v>84</v>
      </c>
      <c r="G6204">
        <v>-179.85069999999999</v>
      </c>
      <c r="H6204" s="1">
        <v>-7.4513009999999902E-6</v>
      </c>
      <c r="I6204">
        <v>135.58160000000001</v>
      </c>
      <c r="J6204">
        <v>-187.03790000000001</v>
      </c>
      <c r="K6204">
        <v>1.121065</v>
      </c>
      <c r="L6204">
        <v>101.5535</v>
      </c>
      <c r="M6204">
        <v>-9.3090160000000003E-4</v>
      </c>
      <c r="N6204">
        <v>-1.4155620000000001E-2</v>
      </c>
      <c r="O6204">
        <v>0.99989939999999999</v>
      </c>
      <c r="P6204">
        <v>1.9771850000000001E-2</v>
      </c>
      <c r="Q6204">
        <v>0.19538539999999999</v>
      </c>
      <c r="R6204">
        <v>0.98052720000000004</v>
      </c>
      <c r="S6204">
        <v>0.64091489999999995</v>
      </c>
      <c r="T6204">
        <v>-9.9975939999999999E-2</v>
      </c>
      <c r="U6204">
        <v>3.067383</v>
      </c>
      <c r="V6204">
        <v>2.070466E-2</v>
      </c>
      <c r="W6204">
        <v>0.2092437</v>
      </c>
      <c r="X6204">
        <v>0.97764430000000002</v>
      </c>
      <c r="Y6204">
        <v>0.2053411</v>
      </c>
      <c r="Z6204">
        <v>-1.7732100000000001E-2</v>
      </c>
      <c r="AA6204">
        <v>0.97852980000000001</v>
      </c>
      <c r="AB6204">
        <v>39</v>
      </c>
      <c r="AC6204">
        <v>7.1872000000000096</v>
      </c>
      <c r="AD6204">
        <v>-1.121072451301</v>
      </c>
      <c r="AE6204">
        <v>34.028100000000002</v>
      </c>
      <c r="AF6204">
        <v>7.2113838685416702</v>
      </c>
      <c r="AG6204">
        <v>-1.121072451301</v>
      </c>
      <c r="AH6204">
        <v>33.986080702255798</v>
      </c>
      <c r="AI6204">
        <v>91.8481687711311</v>
      </c>
      <c r="AJ6204">
        <v>78.020293830463999</v>
      </c>
      <c r="AK6204">
        <v>34.760819067461199</v>
      </c>
      <c r="AL6204">
        <v>77.9219650911065</v>
      </c>
      <c r="AM6204">
        <v>88.786764954534803</v>
      </c>
      <c r="AN6204">
        <v>0.99999999312894705</v>
      </c>
    </row>
    <row r="6205" spans="1:40" x14ac:dyDescent="0.25">
      <c r="A6205" t="str">
        <f>"20190303170658385"</f>
        <v>20190303170658385</v>
      </c>
      <c r="B6205" t="str">
        <f>"1551604018371272"</f>
        <v>1551604018371272</v>
      </c>
      <c r="C6205" t="s">
        <v>40</v>
      </c>
      <c r="D6205">
        <v>5.1831860000000001</v>
      </c>
      <c r="E6205">
        <v>0.57751390000000002</v>
      </c>
      <c r="F6205" t="s">
        <v>84</v>
      </c>
      <c r="G6205">
        <v>-179.87219999999999</v>
      </c>
      <c r="H6205" s="1">
        <v>-7.4349699999999902E-6</v>
      </c>
      <c r="I6205">
        <v>135.4967</v>
      </c>
      <c r="J6205">
        <v>-187.03819999999999</v>
      </c>
      <c r="K6205">
        <v>1.1210329999999999</v>
      </c>
      <c r="L6205">
        <v>101.9315</v>
      </c>
      <c r="M6205">
        <v>-8.4247520000000004E-4</v>
      </c>
      <c r="N6205">
        <v>-1.415335E-2</v>
      </c>
      <c r="O6205">
        <v>0.99989950000000005</v>
      </c>
      <c r="P6205">
        <v>2.0823789999999998E-2</v>
      </c>
      <c r="Q6205">
        <v>0.1950626</v>
      </c>
      <c r="R6205">
        <v>0.98056969999999999</v>
      </c>
      <c r="S6205">
        <v>0.64741519999999997</v>
      </c>
      <c r="T6205">
        <v>-0.1012869</v>
      </c>
      <c r="U6205">
        <v>3.0667110000000002</v>
      </c>
      <c r="V6205">
        <v>2.1685619999999999E-2</v>
      </c>
      <c r="W6205">
        <v>0.20891770000000001</v>
      </c>
      <c r="X6205">
        <v>0.97769280000000003</v>
      </c>
      <c r="Y6205">
        <v>0.20728070000000001</v>
      </c>
      <c r="Z6205">
        <v>-1.814559E-2</v>
      </c>
      <c r="AA6205">
        <v>0.97811320000000002</v>
      </c>
      <c r="AB6205">
        <v>39</v>
      </c>
      <c r="AC6205">
        <v>7.1659999999999897</v>
      </c>
      <c r="AD6205">
        <v>-1.1210404349700001</v>
      </c>
      <c r="AE6205">
        <v>33.565199999999997</v>
      </c>
      <c r="AF6205">
        <v>7.1866110409293</v>
      </c>
      <c r="AG6205">
        <v>-1.1210404349700001</v>
      </c>
      <c r="AH6205">
        <v>33.523385599054002</v>
      </c>
      <c r="AI6205">
        <v>91.872769817369999</v>
      </c>
      <c r="AJ6205">
        <v>77.900294304537695</v>
      </c>
      <c r="AK6205">
        <v>34.303374351997903</v>
      </c>
      <c r="AL6205">
        <v>77.941066258976207</v>
      </c>
      <c r="AM6205">
        <v>88.729364882848202</v>
      </c>
      <c r="AN6205">
        <v>1.0000000413299499</v>
      </c>
    </row>
    <row r="6206" spans="1:40" x14ac:dyDescent="0.25">
      <c r="A6206" t="str">
        <f>"20190303170658409"</f>
        <v>20190303170658409</v>
      </c>
      <c r="B6206" t="str">
        <f>"1551604018401529"</f>
        <v>1551604018401529</v>
      </c>
      <c r="C6206" t="s">
        <v>40</v>
      </c>
      <c r="D6206">
        <v>5.1898030000000004</v>
      </c>
      <c r="E6206">
        <v>0.5780748</v>
      </c>
      <c r="F6206" t="s">
        <v>84</v>
      </c>
      <c r="G6206">
        <v>-179.9991</v>
      </c>
      <c r="H6206" s="1">
        <v>-7.2833339999999999E-6</v>
      </c>
      <c r="I6206">
        <v>134.9211</v>
      </c>
      <c r="J6206">
        <v>-187.0384</v>
      </c>
      <c r="K6206">
        <v>1.120994</v>
      </c>
      <c r="L6206">
        <v>102.33499999999999</v>
      </c>
      <c r="M6206">
        <v>-6.9875690000000001E-4</v>
      </c>
      <c r="N6206">
        <v>-1.415099E-2</v>
      </c>
      <c r="O6206">
        <v>0.9998996</v>
      </c>
      <c r="P6206">
        <v>2.1697589999999999E-2</v>
      </c>
      <c r="Q6206">
        <v>0.19442709999999999</v>
      </c>
      <c r="R6206">
        <v>0.98067689999999996</v>
      </c>
      <c r="S6206">
        <v>0.65426640000000003</v>
      </c>
      <c r="T6206">
        <v>-0.104197499999999</v>
      </c>
      <c r="U6206">
        <v>3.066284</v>
      </c>
      <c r="V6206">
        <v>2.243962E-2</v>
      </c>
      <c r="W6206">
        <v>0.20827879999999999</v>
      </c>
      <c r="X6206">
        <v>0.97781209999999996</v>
      </c>
      <c r="Y6206">
        <v>0.20925289999999999</v>
      </c>
      <c r="Z6206">
        <v>-1.90654E-2</v>
      </c>
      <c r="AA6206">
        <v>0.97767570000000004</v>
      </c>
      <c r="AB6206">
        <v>39</v>
      </c>
      <c r="AC6206">
        <v>7.0392999999999901</v>
      </c>
      <c r="AD6206">
        <v>-1.121001283334</v>
      </c>
      <c r="AE6206">
        <v>32.586100000000002</v>
      </c>
      <c r="AF6206">
        <v>7.0540944023855401</v>
      </c>
      <c r="AG6206">
        <v>-1.121001283334</v>
      </c>
      <c r="AH6206">
        <v>32.544375524444199</v>
      </c>
      <c r="AI6206">
        <v>91.928054201466296</v>
      </c>
      <c r="AJ6206">
        <v>77.770146999058795</v>
      </c>
      <c r="AK6206">
        <v>33.318962618770797</v>
      </c>
      <c r="AL6206">
        <v>77.978496024921995</v>
      </c>
      <c r="AM6206">
        <v>88.6853610337687</v>
      </c>
      <c r="AN6206">
        <v>1.0000000489907901</v>
      </c>
    </row>
    <row r="6207" spans="1:40" x14ac:dyDescent="0.25">
      <c r="A6207" t="str">
        <f>"20190303170658430"</f>
        <v>20190303170658430</v>
      </c>
      <c r="B6207" t="str">
        <f>"1551604018421048"</f>
        <v>1551604018421048</v>
      </c>
      <c r="C6207" t="s">
        <v>40</v>
      </c>
      <c r="D6207">
        <v>5.2269740000000002</v>
      </c>
      <c r="E6207">
        <v>0.57831369999999904</v>
      </c>
      <c r="F6207" t="s">
        <v>84</v>
      </c>
      <c r="G6207">
        <v>-179.9144</v>
      </c>
      <c r="H6207" s="1">
        <v>-7.3874019999999901E-6</v>
      </c>
      <c r="I6207">
        <v>135.28550000000001</v>
      </c>
      <c r="J6207">
        <v>-187.0385</v>
      </c>
      <c r="K6207">
        <v>1.1209420000000001</v>
      </c>
      <c r="L6207">
        <v>102.71120000000001</v>
      </c>
      <c r="M6207">
        <v>-5.0320910000000005E-4</v>
      </c>
      <c r="N6207">
        <v>-1.4148849999999999E-2</v>
      </c>
      <c r="O6207">
        <v>0.99989969999999995</v>
      </c>
      <c r="P6207">
        <v>2.4018129999999999E-2</v>
      </c>
      <c r="Q6207">
        <v>0.19463259999999999</v>
      </c>
      <c r="R6207">
        <v>0.98058210000000001</v>
      </c>
      <c r="S6207">
        <v>0.66268919999999998</v>
      </c>
      <c r="T6207">
        <v>-0.1042778</v>
      </c>
      <c r="U6207">
        <v>3.0651250000000001</v>
      </c>
      <c r="V6207">
        <v>2.4592860000000001E-2</v>
      </c>
      <c r="W6207">
        <v>0.20847750000000001</v>
      </c>
      <c r="X6207">
        <v>0.97771790000000003</v>
      </c>
      <c r="Y6207">
        <v>0.21170369999999999</v>
      </c>
      <c r="Z6207">
        <v>-1.9087349999999999E-2</v>
      </c>
      <c r="AA6207">
        <v>0.97714749999999995</v>
      </c>
      <c r="AB6207">
        <v>39</v>
      </c>
      <c r="AC6207">
        <v>7.1240999999999897</v>
      </c>
      <c r="AD6207">
        <v>-1.120949387402</v>
      </c>
      <c r="AE6207">
        <v>32.574300000000001</v>
      </c>
      <c r="AF6207">
        <v>7.1324318089324397</v>
      </c>
      <c r="AG6207">
        <v>-1.120949387402</v>
      </c>
      <c r="AH6207">
        <v>32.533942836089402</v>
      </c>
      <c r="AI6207">
        <v>91.927589517116104</v>
      </c>
      <c r="AJ6207">
        <v>77.634643213381807</v>
      </c>
      <c r="AK6207">
        <v>33.325448946715198</v>
      </c>
      <c r="AL6207">
        <v>77.966855043324401</v>
      </c>
      <c r="AM6207">
        <v>88.559124232683004</v>
      </c>
      <c r="AN6207">
        <v>0.99999998437481896</v>
      </c>
    </row>
    <row r="6208" spans="1:40" x14ac:dyDescent="0.25">
      <c r="A6208" t="str">
        <f>"20190303170658452"</f>
        <v>20190303170658452</v>
      </c>
      <c r="B6208" t="str">
        <f>"1551604018441545"</f>
        <v>1551604018441545</v>
      </c>
      <c r="C6208" t="s">
        <v>40</v>
      </c>
      <c r="D6208">
        <v>5.1952809999999996</v>
      </c>
      <c r="E6208">
        <v>0.57849879999999998</v>
      </c>
      <c r="F6208" t="s">
        <v>84</v>
      </c>
      <c r="G6208">
        <v>-179.8485</v>
      </c>
      <c r="H6208" s="1">
        <v>-7.4324269999999999E-6</v>
      </c>
      <c r="I6208">
        <v>135.5316</v>
      </c>
      <c r="J6208">
        <v>-187.0384</v>
      </c>
      <c r="K6208">
        <v>1.1208830000000001</v>
      </c>
      <c r="L6208">
        <v>103.0826</v>
      </c>
      <c r="M6208">
        <v>-2.3134760000000001E-4</v>
      </c>
      <c r="N6208">
        <v>-1.4146830000000001E-2</v>
      </c>
      <c r="O6208">
        <v>0.99989989999999995</v>
      </c>
      <c r="P6208">
        <v>2.7214559999999999E-2</v>
      </c>
      <c r="Q6208">
        <v>0.19430610000000001</v>
      </c>
      <c r="R6208">
        <v>0.98056330000000003</v>
      </c>
      <c r="S6208">
        <v>0.67117309999999997</v>
      </c>
      <c r="T6208">
        <v>-0.1046386</v>
      </c>
      <c r="U6208">
        <v>3.0637210000000001</v>
      </c>
      <c r="V6208">
        <v>2.7552730000000001E-2</v>
      </c>
      <c r="W6208">
        <v>0.20814360000000001</v>
      </c>
      <c r="X6208">
        <v>0.97771010000000003</v>
      </c>
      <c r="Y6208">
        <v>0.21411179999999999</v>
      </c>
      <c r="Z6208">
        <v>-1.9201039999999999E-2</v>
      </c>
      <c r="AA6208">
        <v>0.97662040000000006</v>
      </c>
      <c r="AB6208">
        <v>39</v>
      </c>
      <c r="AC6208">
        <v>7.18989999999999</v>
      </c>
      <c r="AD6208">
        <v>-1.1208904324269999</v>
      </c>
      <c r="AE6208">
        <v>32.448999999999998</v>
      </c>
      <c r="AF6208">
        <v>7.1892306132955301</v>
      </c>
      <c r="AG6208">
        <v>-1.1208904324269999</v>
      </c>
      <c r="AH6208">
        <v>32.410472320074803</v>
      </c>
      <c r="AI6208">
        <v>91.933773775581898</v>
      </c>
      <c r="AJ6208">
        <v>77.493256991614004</v>
      </c>
      <c r="AK6208">
        <v>33.217166468303503</v>
      </c>
      <c r="AL6208">
        <v>77.986415091401497</v>
      </c>
      <c r="AM6208">
        <v>88.385781798234603</v>
      </c>
      <c r="AN6208">
        <v>0.99999997539671104</v>
      </c>
    </row>
    <row r="6209" spans="1:40" x14ac:dyDescent="0.25">
      <c r="A6209" t="str">
        <f>"20190303170658476"</f>
        <v>20190303170658476</v>
      </c>
      <c r="B6209" t="str">
        <f>"1551604018461064"</f>
        <v>1551604018461064</v>
      </c>
      <c r="C6209" t="s">
        <v>40</v>
      </c>
      <c r="D6209">
        <v>5.2119519999999904</v>
      </c>
      <c r="E6209">
        <v>0.57871319999999904</v>
      </c>
      <c r="F6209" t="s">
        <v>84</v>
      </c>
      <c r="G6209">
        <v>-179.84530000000001</v>
      </c>
      <c r="H6209" s="1">
        <v>-7.3843879999999996E-6</v>
      </c>
      <c r="I6209">
        <v>135.3999</v>
      </c>
      <c r="J6209">
        <v>-187.03809999999999</v>
      </c>
      <c r="K6209">
        <v>1.1208</v>
      </c>
      <c r="L6209">
        <v>103.4932</v>
      </c>
      <c r="M6209">
        <v>1.78054399999999E-4</v>
      </c>
      <c r="N6209">
        <v>-1.4144810000000001E-2</v>
      </c>
      <c r="O6209">
        <v>0.99989989999999995</v>
      </c>
      <c r="P6209">
        <v>2.955327E-2</v>
      </c>
      <c r="Q6209">
        <v>0.19366050000000001</v>
      </c>
      <c r="R6209">
        <v>0.98062340000000003</v>
      </c>
      <c r="S6209">
        <v>0.68144229999999995</v>
      </c>
      <c r="T6209">
        <v>-0.1061877</v>
      </c>
      <c r="U6209">
        <v>3.0615839999999999</v>
      </c>
      <c r="V6209">
        <v>2.9531290000000002E-2</v>
      </c>
      <c r="W6209">
        <v>0.20749010000000001</v>
      </c>
      <c r="X6209">
        <v>0.97779119999999997</v>
      </c>
      <c r="Y6209">
        <v>0.2169729</v>
      </c>
      <c r="Z6209">
        <v>-1.9697079999999999E-2</v>
      </c>
      <c r="AA6209">
        <v>0.97597889999999998</v>
      </c>
      <c r="AB6209">
        <v>39</v>
      </c>
      <c r="AC6209">
        <v>7.1927999999999699</v>
      </c>
      <c r="AD6209">
        <v>-1.120807384388</v>
      </c>
      <c r="AE6209">
        <v>31.906700000000001</v>
      </c>
      <c r="AF6209">
        <v>7.1786884314495998</v>
      </c>
      <c r="AG6209">
        <v>-1.120807384388</v>
      </c>
      <c r="AH6209">
        <v>31.870555521303402</v>
      </c>
      <c r="AI6209">
        <v>91.964929611573794</v>
      </c>
      <c r="AJ6209">
        <v>77.306247330552907</v>
      </c>
      <c r="AK6209">
        <v>32.688256087243502</v>
      </c>
      <c r="AL6209">
        <v>78.024693096576698</v>
      </c>
      <c r="AM6209">
        <v>88.270076375909298</v>
      </c>
      <c r="AN6209">
        <v>0.99999993474225402</v>
      </c>
    </row>
    <row r="6210" spans="1:40" x14ac:dyDescent="0.25">
      <c r="A6210" t="str">
        <f>"20190303170658499"</f>
        <v>20190303170658499</v>
      </c>
      <c r="B6210" t="str">
        <f>"1551604018491320"</f>
        <v>1551604018491320</v>
      </c>
      <c r="C6210" t="s">
        <v>40</v>
      </c>
      <c r="D6210">
        <v>5.2196220000000002</v>
      </c>
      <c r="E6210">
        <v>0.57902390000000004</v>
      </c>
      <c r="F6210" t="s">
        <v>84</v>
      </c>
      <c r="G6210">
        <v>-179.8527</v>
      </c>
      <c r="H6210" s="1">
        <v>-7.35214899999999E-6</v>
      </c>
      <c r="I6210">
        <v>135.2945</v>
      </c>
      <c r="J6210">
        <v>-187.0376</v>
      </c>
      <c r="K6210">
        <v>1.1207009999999999</v>
      </c>
      <c r="L6210">
        <v>103.8866</v>
      </c>
      <c r="M6210">
        <v>6.9341089999999997E-4</v>
      </c>
      <c r="N6210">
        <v>-1.414311E-2</v>
      </c>
      <c r="O6210">
        <v>0.99989969999999995</v>
      </c>
      <c r="P6210">
        <v>3.1525150000000002E-2</v>
      </c>
      <c r="Q6210">
        <v>0.19293360000000001</v>
      </c>
      <c r="R6210">
        <v>0.9807053</v>
      </c>
      <c r="S6210">
        <v>0.69134519999999899</v>
      </c>
      <c r="T6210">
        <v>-0.107838</v>
      </c>
      <c r="U6210">
        <v>3.0597530000000002</v>
      </c>
      <c r="V6210">
        <v>3.1045840000000002E-2</v>
      </c>
      <c r="W6210">
        <v>0.20675489999999999</v>
      </c>
      <c r="X6210">
        <v>0.97790010000000005</v>
      </c>
      <c r="Y6210">
        <v>0.21959629999999999</v>
      </c>
      <c r="Z6210">
        <v>-2.022287E-2</v>
      </c>
      <c r="AA6210">
        <v>0.97538119999999995</v>
      </c>
      <c r="AB6210">
        <v>39</v>
      </c>
      <c r="AC6210">
        <v>7.1848999999999901</v>
      </c>
      <c r="AD6210">
        <v>-1.120708352149</v>
      </c>
      <c r="AE6210">
        <v>31.407900000000001</v>
      </c>
      <c r="AF6210">
        <v>7.15446122354314</v>
      </c>
      <c r="AG6210">
        <v>-1.120708352149</v>
      </c>
      <c r="AH6210">
        <v>31.374914058354801</v>
      </c>
      <c r="AI6210">
        <v>91.994571922167694</v>
      </c>
      <c r="AJ6210">
        <v>77.154414537772496</v>
      </c>
      <c r="AK6210">
        <v>32.199806440084501</v>
      </c>
      <c r="AL6210">
        <v>78.067751683074107</v>
      </c>
      <c r="AM6210">
        <v>88.181615537214398</v>
      </c>
      <c r="AN6210">
        <v>1.0000000192176599</v>
      </c>
    </row>
    <row r="6211" spans="1:40" x14ac:dyDescent="0.25">
      <c r="A6211" t="str">
        <f>"20190303170658520"</f>
        <v>20190303170658520</v>
      </c>
      <c r="B6211" t="str">
        <f>"1551604018510840"</f>
        <v>1551604018510840</v>
      </c>
      <c r="C6211" t="s">
        <v>40</v>
      </c>
      <c r="D6211">
        <v>5.2590300000000001</v>
      </c>
      <c r="E6211">
        <v>0.57913349999999997</v>
      </c>
      <c r="F6211" t="s">
        <v>84</v>
      </c>
      <c r="G6211">
        <v>-179.78720000000001</v>
      </c>
      <c r="H6211" s="1">
        <v>-7.3757759999999999E-6</v>
      </c>
      <c r="I6211">
        <v>135.4787</v>
      </c>
      <c r="J6211">
        <v>-187.0368</v>
      </c>
      <c r="K6211">
        <v>1.1205799999999999</v>
      </c>
      <c r="L6211">
        <v>104.26560000000001</v>
      </c>
      <c r="M6211">
        <v>1.3228210000000001E-3</v>
      </c>
      <c r="N6211">
        <v>-1.41418E-2</v>
      </c>
      <c r="O6211">
        <v>0.99989910000000004</v>
      </c>
      <c r="P6211">
        <v>3.3803769999999997E-2</v>
      </c>
      <c r="Q6211">
        <v>0.1926892</v>
      </c>
      <c r="R6211">
        <v>0.98067740000000003</v>
      </c>
      <c r="S6211">
        <v>0.70176700000000003</v>
      </c>
      <c r="T6211">
        <v>-0.1084735</v>
      </c>
      <c r="U6211">
        <v>3.0577999999999999</v>
      </c>
      <c r="V6211">
        <v>3.2762810000000003E-2</v>
      </c>
      <c r="W6211">
        <v>0.20649880000000001</v>
      </c>
      <c r="X6211">
        <v>0.97789820000000005</v>
      </c>
      <c r="Y6211">
        <v>0.22227350000000001</v>
      </c>
      <c r="Z6211">
        <v>-2.0425490000000001E-2</v>
      </c>
      <c r="AA6211">
        <v>0.97477040000000004</v>
      </c>
      <c r="AB6211">
        <v>39</v>
      </c>
      <c r="AC6211">
        <v>7.2495999999999796</v>
      </c>
      <c r="AD6211">
        <v>-1.1205873757760001</v>
      </c>
      <c r="AE6211">
        <v>31.213100000000001</v>
      </c>
      <c r="AF6211">
        <v>7.1994957437733698</v>
      </c>
      <c r="AG6211">
        <v>-1.1205873757760001</v>
      </c>
      <c r="AH6211">
        <v>31.184527254844301</v>
      </c>
      <c r="AI6211">
        <v>92.005283639594097</v>
      </c>
      <c r="AJ6211">
        <v>77.000034284426704</v>
      </c>
      <c r="AK6211">
        <v>32.024415609648301</v>
      </c>
      <c r="AL6211">
        <v>78.082748815654497</v>
      </c>
      <c r="AM6211">
        <v>88.0811204537614</v>
      </c>
      <c r="AN6211">
        <v>1.0000000228418799</v>
      </c>
    </row>
    <row r="6212" spans="1:40" x14ac:dyDescent="0.25">
      <c r="A6212" t="str">
        <f>"20190303170658542"</f>
        <v>20190303170658542</v>
      </c>
      <c r="B6212" t="str">
        <f>"1551604018531336"</f>
        <v>1551604018531336</v>
      </c>
      <c r="C6212" t="s">
        <v>40</v>
      </c>
      <c r="D6212">
        <v>5.2537729999999998</v>
      </c>
      <c r="E6212">
        <v>0.57929090000000005</v>
      </c>
      <c r="F6212" t="s">
        <v>84</v>
      </c>
      <c r="G6212">
        <v>-179.7647</v>
      </c>
      <c r="H6212" s="1">
        <v>-7.3991430000000001E-6</v>
      </c>
      <c r="I6212">
        <v>135.5856</v>
      </c>
      <c r="J6212">
        <v>-187.03559999999999</v>
      </c>
      <c r="K6212">
        <v>1.1204590000000001</v>
      </c>
      <c r="L6212">
        <v>104.6283</v>
      </c>
      <c r="M6212">
        <v>2.066441E-3</v>
      </c>
      <c r="N6212">
        <v>-1.414089E-2</v>
      </c>
      <c r="O6212">
        <v>0.99989790000000001</v>
      </c>
      <c r="P6212">
        <v>3.782978E-2</v>
      </c>
      <c r="Q6212">
        <v>0.19259109999999999</v>
      </c>
      <c r="R6212">
        <v>0.98054960000000002</v>
      </c>
      <c r="S6212">
        <v>0.70959469999999902</v>
      </c>
      <c r="T6212">
        <v>-0.10934439999999999</v>
      </c>
      <c r="U6212">
        <v>3.0561370000000001</v>
      </c>
      <c r="V6212">
        <v>3.612112E-2</v>
      </c>
      <c r="W6212">
        <v>0.2063835</v>
      </c>
      <c r="X6212">
        <v>0.97780420000000001</v>
      </c>
      <c r="Y6212">
        <v>0.2240317</v>
      </c>
      <c r="Z6212">
        <v>-2.0706229999999999E-2</v>
      </c>
      <c r="AA6212">
        <v>0.9743619</v>
      </c>
      <c r="AB6212">
        <v>39</v>
      </c>
      <c r="AC6212">
        <v>7.2708999999999797</v>
      </c>
      <c r="AD6212">
        <v>-1.1204663991429999</v>
      </c>
      <c r="AE6212">
        <v>30.9573</v>
      </c>
      <c r="AF6212">
        <v>7.1979702578538296</v>
      </c>
      <c r="AG6212">
        <v>-1.1204663991429999</v>
      </c>
      <c r="AH6212">
        <v>30.933855443435299</v>
      </c>
      <c r="AI6212">
        <v>92.020492896095007</v>
      </c>
      <c r="AJ6212">
        <v>76.900989924341999</v>
      </c>
      <c r="AK6212">
        <v>31.780019404964399</v>
      </c>
      <c r="AL6212">
        <v>78.089499804665493</v>
      </c>
      <c r="AM6212">
        <v>87.884395380839393</v>
      </c>
      <c r="AN6212">
        <v>0.99999996895997101</v>
      </c>
    </row>
    <row r="6213" spans="1:40" x14ac:dyDescent="0.25">
      <c r="A6213" t="str">
        <f>"20190303170658576"</f>
        <v>20190303170658576</v>
      </c>
      <c r="B6213" t="str">
        <f>"1551604018571352"</f>
        <v>1551604018571352</v>
      </c>
      <c r="C6213" t="s">
        <v>40</v>
      </c>
      <c r="D6213">
        <v>5.2879209999999999</v>
      </c>
      <c r="E6213">
        <v>0.57951649999999999</v>
      </c>
      <c r="F6213" t="s">
        <v>84</v>
      </c>
      <c r="G6213">
        <v>-179.73089999999999</v>
      </c>
      <c r="H6213" s="1">
        <v>-7.3542559999999997E-6</v>
      </c>
      <c r="I6213">
        <v>135.51740000000001</v>
      </c>
      <c r="J6213">
        <v>-187.03290000000001</v>
      </c>
      <c r="K6213">
        <v>1.120242</v>
      </c>
      <c r="L6213">
        <v>105.2004</v>
      </c>
      <c r="M6213">
        <v>3.579371E-3</v>
      </c>
      <c r="N6213">
        <v>-1.4140440000000001E-2</v>
      </c>
      <c r="O6213">
        <v>0.99989360000000005</v>
      </c>
      <c r="P6213">
        <v>4.176125E-2</v>
      </c>
      <c r="Q6213">
        <v>0.19165660000000001</v>
      </c>
      <c r="R6213">
        <v>0.98057320000000003</v>
      </c>
      <c r="S6213">
        <v>0.72207639999999995</v>
      </c>
      <c r="T6213">
        <v>-0.1107585</v>
      </c>
      <c r="U6213">
        <v>3.0534059999999998</v>
      </c>
      <c r="V6213">
        <v>3.8679390000000001E-2</v>
      </c>
      <c r="W6213">
        <v>0.2054251</v>
      </c>
      <c r="X6213">
        <v>0.97790820000000001</v>
      </c>
      <c r="Y6213">
        <v>0.22652</v>
      </c>
      <c r="Z6213">
        <v>-2.1163390000000001E-2</v>
      </c>
      <c r="AA6213">
        <v>0.97377659999999999</v>
      </c>
      <c r="AB6213">
        <v>39</v>
      </c>
      <c r="AC6213">
        <v>7.30200000000002</v>
      </c>
      <c r="AD6213">
        <v>-1.1202493542559999</v>
      </c>
      <c r="AE6213">
        <v>30.317</v>
      </c>
      <c r="AF6213">
        <v>7.1841552332647902</v>
      </c>
      <c r="AG6213">
        <v>-1.1202493542559999</v>
      </c>
      <c r="AH6213">
        <v>30.303837045428601</v>
      </c>
      <c r="AI6213">
        <v>92.060055412825605</v>
      </c>
      <c r="AJ6213">
        <v>76.663061495012798</v>
      </c>
      <c r="AK6213">
        <v>31.163914784687201</v>
      </c>
      <c r="AL6213">
        <v>78.145614963084697</v>
      </c>
      <c r="AM6213">
        <v>87.734949775880807</v>
      </c>
      <c r="AN6213">
        <v>1.0000000072740101</v>
      </c>
    </row>
    <row r="6214" spans="1:40" x14ac:dyDescent="0.25">
      <c r="A6214" t="str">
        <f>"20190303170658598"</f>
        <v>20190303170658598</v>
      </c>
      <c r="B6214" t="str">
        <f>"1551604018590872"</f>
        <v>1551604018590872</v>
      </c>
      <c r="C6214" t="s">
        <v>40</v>
      </c>
      <c r="D6214">
        <v>5.3183740000000004</v>
      </c>
      <c r="E6214">
        <v>0.57961229999999997</v>
      </c>
      <c r="F6214" t="s">
        <v>84</v>
      </c>
      <c r="G6214">
        <v>-179.767</v>
      </c>
      <c r="H6214" s="1">
        <v>-7.2915810000000003E-6</v>
      </c>
      <c r="I6214">
        <v>135.27379999999999</v>
      </c>
      <c r="J6214">
        <v>-187.03020000000001</v>
      </c>
      <c r="K6214">
        <v>1.1200730000000001</v>
      </c>
      <c r="L6214">
        <v>105.61409999999999</v>
      </c>
      <c r="M6214">
        <v>4.9061720000000003E-3</v>
      </c>
      <c r="N6214">
        <v>-1.4140689999999999E-2</v>
      </c>
      <c r="O6214">
        <v>0.999888</v>
      </c>
      <c r="P6214">
        <v>4.5142839999999997E-2</v>
      </c>
      <c r="Q6214">
        <v>0.1924004</v>
      </c>
      <c r="R6214">
        <v>0.98027759999999997</v>
      </c>
      <c r="S6214">
        <v>0.73695369999999905</v>
      </c>
      <c r="T6214">
        <v>-0.11362360000000001</v>
      </c>
      <c r="U6214">
        <v>3.050262</v>
      </c>
      <c r="V6214">
        <v>4.0848200000000001E-2</v>
      </c>
      <c r="W6214">
        <v>0.2061442</v>
      </c>
      <c r="X6214">
        <v>0.9776686</v>
      </c>
      <c r="Y6214">
        <v>0.2299361</v>
      </c>
      <c r="Z6214">
        <v>-2.207864E-2</v>
      </c>
      <c r="AA6214">
        <v>0.97295520000000002</v>
      </c>
      <c r="AB6214">
        <v>38</v>
      </c>
      <c r="AC6214">
        <v>7.2632000000000101</v>
      </c>
      <c r="AD6214">
        <v>-1.120080291581</v>
      </c>
      <c r="AE6214">
        <v>29.659700000000001</v>
      </c>
      <c r="AF6214">
        <v>7.1080188510194802</v>
      </c>
      <c r="AG6214">
        <v>-1.120080291581</v>
      </c>
      <c r="AH6214">
        <v>29.6550812092784</v>
      </c>
      <c r="AI6214">
        <v>92.103523278161703</v>
      </c>
      <c r="AJ6214">
        <v>76.521076058316496</v>
      </c>
      <c r="AK6214">
        <v>30.515608356625201</v>
      </c>
      <c r="AL6214">
        <v>78.103511757093798</v>
      </c>
      <c r="AM6214">
        <v>87.607503184906705</v>
      </c>
      <c r="AN6214">
        <v>0.99999994903141798</v>
      </c>
    </row>
    <row r="6215" spans="1:40" x14ac:dyDescent="0.25">
      <c r="A6215" t="str">
        <f>"20190303170658620"</f>
        <v>20190303170658620</v>
      </c>
      <c r="B6215" t="str">
        <f>"1551604018611368"</f>
        <v>1551604018611368</v>
      </c>
      <c r="C6215" t="s">
        <v>40</v>
      </c>
      <c r="D6215">
        <v>5.2991890000000001</v>
      </c>
      <c r="E6215">
        <v>0.57972679999999999</v>
      </c>
      <c r="F6215" t="s">
        <v>84</v>
      </c>
      <c r="G6215">
        <v>-179.47409999999999</v>
      </c>
      <c r="H6215" s="1">
        <v>-7.4889259999999999E-6</v>
      </c>
      <c r="I6215">
        <v>136.3596</v>
      </c>
      <c r="J6215">
        <v>-187.02719999999999</v>
      </c>
      <c r="K6215">
        <v>1.119918</v>
      </c>
      <c r="L6215">
        <v>105.9786</v>
      </c>
      <c r="M6215">
        <v>6.2626019999999999E-3</v>
      </c>
      <c r="N6215">
        <v>-1.4141000000000001E-2</v>
      </c>
      <c r="O6215">
        <v>0.9998804</v>
      </c>
      <c r="P6215">
        <v>5.0215959999999997E-2</v>
      </c>
      <c r="Q6215">
        <v>0.19319839999999999</v>
      </c>
      <c r="R6215">
        <v>0.97987380000000002</v>
      </c>
      <c r="S6215">
        <v>0.74899289999999996</v>
      </c>
      <c r="T6215">
        <v>-0.111028</v>
      </c>
      <c r="U6215">
        <v>3.0476529999999999</v>
      </c>
      <c r="V6215">
        <v>4.4674980000000003E-2</v>
      </c>
      <c r="W6215">
        <v>0.2069116</v>
      </c>
      <c r="X6215">
        <v>0.97733910000000002</v>
      </c>
      <c r="Y6215">
        <v>0.2324379</v>
      </c>
      <c r="Z6215">
        <v>-2.125647E-2</v>
      </c>
      <c r="AA6215">
        <v>0.97237890000000005</v>
      </c>
      <c r="AB6215">
        <v>38</v>
      </c>
      <c r="AC6215">
        <v>7.5530999999999997</v>
      </c>
      <c r="AD6215">
        <v>-1.119925488926</v>
      </c>
      <c r="AE6215">
        <v>30.381</v>
      </c>
      <c r="AF6215">
        <v>7.35325831938954</v>
      </c>
      <c r="AG6215">
        <v>-1.119925488926</v>
      </c>
      <c r="AH6215">
        <v>30.388820537163301</v>
      </c>
      <c r="AI6215">
        <v>92.051428825295403</v>
      </c>
      <c r="AJ6215">
        <v>76.397454902084604</v>
      </c>
      <c r="AK6215">
        <v>31.285860299060602</v>
      </c>
      <c r="AL6215">
        <v>78.058574648549197</v>
      </c>
      <c r="AM6215">
        <v>87.382784306669706</v>
      </c>
      <c r="AN6215">
        <v>0.99999999022068498</v>
      </c>
    </row>
    <row r="6216" spans="1:40" x14ac:dyDescent="0.25">
      <c r="A6216" t="str">
        <f>"20190303170658642"</f>
        <v>20190303170658642</v>
      </c>
      <c r="B6216" t="str">
        <f>"1551604018630888"</f>
        <v>1551604018630888</v>
      </c>
      <c r="C6216" t="s">
        <v>40</v>
      </c>
      <c r="D6216">
        <v>5.3359769999999997</v>
      </c>
      <c r="E6216">
        <v>0.57975359999999998</v>
      </c>
      <c r="F6216" t="s">
        <v>84</v>
      </c>
      <c r="G6216">
        <v>-179.21119999999999</v>
      </c>
      <c r="H6216" s="1">
        <v>-7.5742899999999998E-6</v>
      </c>
      <c r="I6216">
        <v>137.0718</v>
      </c>
      <c r="J6216">
        <v>-187.02340000000001</v>
      </c>
      <c r="K6216">
        <v>1.1197349999999999</v>
      </c>
      <c r="L6216">
        <v>106.34910000000001</v>
      </c>
      <c r="M6216">
        <v>7.8537369999999995E-3</v>
      </c>
      <c r="N6216">
        <v>-1.41418E-2</v>
      </c>
      <c r="O6216">
        <v>0.99986920000000001</v>
      </c>
      <c r="P6216">
        <v>5.557728E-2</v>
      </c>
      <c r="Q6216">
        <v>0.1934398</v>
      </c>
      <c r="R6216">
        <v>0.97953670000000004</v>
      </c>
      <c r="S6216">
        <v>0.76518249999999999</v>
      </c>
      <c r="T6216">
        <v>-0.10964119999999999</v>
      </c>
      <c r="U6216">
        <v>3.0440369999999999</v>
      </c>
      <c r="V6216">
        <v>4.8570229999999999E-2</v>
      </c>
      <c r="W6216">
        <v>0.20711879999999999</v>
      </c>
      <c r="X6216">
        <v>0.97710940000000002</v>
      </c>
      <c r="Y6216">
        <v>0.2360283</v>
      </c>
      <c r="Z6216">
        <v>-2.0819399999999998E-2</v>
      </c>
      <c r="AA6216">
        <v>0.97152309999999997</v>
      </c>
      <c r="AB6216">
        <v>38</v>
      </c>
      <c r="AC6216">
        <v>7.8122000000000096</v>
      </c>
      <c r="AD6216">
        <v>-1.11974257429</v>
      </c>
      <c r="AE6216">
        <v>30.7226999999999</v>
      </c>
      <c r="AF6216">
        <v>7.5612128292992304</v>
      </c>
      <c r="AG6216">
        <v>-1.11974257429</v>
      </c>
      <c r="AH6216">
        <v>30.744753425149199</v>
      </c>
      <c r="AI6216">
        <v>92.025521059599996</v>
      </c>
      <c r="AJ6216">
        <v>76.183168905601804</v>
      </c>
      <c r="AK6216">
        <v>31.680682222071201</v>
      </c>
      <c r="AL6216">
        <v>78.046440487236595</v>
      </c>
      <c r="AM6216">
        <v>87.154279220191398</v>
      </c>
      <c r="AN6216">
        <v>1.00000002206202</v>
      </c>
    </row>
    <row r="6217" spans="1:40" x14ac:dyDescent="0.25">
      <c r="A6217" t="str">
        <f>"20190303170658666"</f>
        <v>20190303170658666</v>
      </c>
      <c r="B6217" t="str">
        <f>"1551604018651385"</f>
        <v>1551604018651385</v>
      </c>
      <c r="C6217" t="s">
        <v>40</v>
      </c>
      <c r="D6217">
        <v>5.3504300000000002</v>
      </c>
      <c r="E6217">
        <v>0.57975710000000003</v>
      </c>
      <c r="F6217" t="s">
        <v>84</v>
      </c>
      <c r="G6217">
        <v>-179.00899999999999</v>
      </c>
      <c r="H6217" s="1">
        <v>-7.6054759999999996E-6</v>
      </c>
      <c r="I6217">
        <v>137.52099999999999</v>
      </c>
      <c r="J6217">
        <v>-187.01859999999999</v>
      </c>
      <c r="K6217">
        <v>1.1195170000000001</v>
      </c>
      <c r="L6217">
        <v>106.7406</v>
      </c>
      <c r="M6217">
        <v>9.8061480000000006E-3</v>
      </c>
      <c r="N6217">
        <v>-1.4144210000000001E-2</v>
      </c>
      <c r="O6217">
        <v>0.99985190000000002</v>
      </c>
      <c r="P6217">
        <v>6.0246979999999999E-2</v>
      </c>
      <c r="Q6217">
        <v>0.19289700000000001</v>
      </c>
      <c r="R6217">
        <v>0.97936769999999995</v>
      </c>
      <c r="S6217">
        <v>0.7815704</v>
      </c>
      <c r="T6217">
        <v>-0.10919810000000001</v>
      </c>
      <c r="U6217">
        <v>3.0399020000000001</v>
      </c>
      <c r="V6217">
        <v>5.1436320000000001E-2</v>
      </c>
      <c r="W6217">
        <v>0.2065408</v>
      </c>
      <c r="X6217">
        <v>0.97708510000000004</v>
      </c>
      <c r="Y6217">
        <v>0.23936070000000001</v>
      </c>
      <c r="Z6217">
        <v>-2.0687480000000001E-2</v>
      </c>
      <c r="AA6217">
        <v>0.97071030000000003</v>
      </c>
      <c r="AB6217">
        <v>38</v>
      </c>
      <c r="AC6217">
        <v>8.0095999999999705</v>
      </c>
      <c r="AD6217">
        <v>-1.119524605476</v>
      </c>
      <c r="AE6217">
        <v>30.7804</v>
      </c>
      <c r="AF6217">
        <v>7.6978100313047397</v>
      </c>
      <c r="AG6217">
        <v>-1.119524605476</v>
      </c>
      <c r="AH6217">
        <v>30.819286449305999</v>
      </c>
      <c r="AI6217">
        <v>92.018425651995898</v>
      </c>
      <c r="AJ6217">
        <v>75.976025564472195</v>
      </c>
      <c r="AK6217">
        <v>31.785814947311</v>
      </c>
      <c r="AL6217">
        <v>78.080289639664997</v>
      </c>
      <c r="AM6217">
        <v>86.986581616180402</v>
      </c>
      <c r="AN6217">
        <v>1.0000000448608899</v>
      </c>
    </row>
    <row r="6218" spans="1:40" x14ac:dyDescent="0.25">
      <c r="A6218" t="str">
        <f>"20190303170658689"</f>
        <v>20190303170658689</v>
      </c>
      <c r="B6218" t="str">
        <f>"1551604018680664"</f>
        <v>1551604018680664</v>
      </c>
      <c r="C6218" t="s">
        <v>40</v>
      </c>
      <c r="D6218">
        <v>5.3824649999999998</v>
      </c>
      <c r="E6218">
        <v>0.57970559999999904</v>
      </c>
      <c r="F6218" t="s">
        <v>84</v>
      </c>
      <c r="G6218">
        <v>-178.97229999999999</v>
      </c>
      <c r="H6218" s="1">
        <v>-7.5402070000000002E-6</v>
      </c>
      <c r="I6218">
        <v>137.3997</v>
      </c>
      <c r="J6218">
        <v>-187.01249999999999</v>
      </c>
      <c r="K6218">
        <v>1.119267</v>
      </c>
      <c r="L6218">
        <v>107.1455</v>
      </c>
      <c r="M6218">
        <v>1.21277E-2</v>
      </c>
      <c r="N6218">
        <v>-1.4148579999999999E-2</v>
      </c>
      <c r="O6218">
        <v>0.9998264</v>
      </c>
      <c r="P6218">
        <v>6.5178920000000001E-2</v>
      </c>
      <c r="Q6218">
        <v>0.19277469999999999</v>
      </c>
      <c r="R6218">
        <v>0.9790759</v>
      </c>
      <c r="S6218">
        <v>0.79678340000000003</v>
      </c>
      <c r="T6218">
        <v>-0.1108606</v>
      </c>
      <c r="U6218">
        <v>3.0360109999999998</v>
      </c>
      <c r="V6218">
        <v>5.4222960000000001E-2</v>
      </c>
      <c r="W6218">
        <v>0.20637749999999999</v>
      </c>
      <c r="X6218">
        <v>0.97696890000000003</v>
      </c>
      <c r="Y6218">
        <v>0.2419569</v>
      </c>
      <c r="Z6218">
        <v>-2.1226180000000001E-2</v>
      </c>
      <c r="AA6218">
        <v>0.97005479999999999</v>
      </c>
      <c r="AB6218">
        <v>38</v>
      </c>
      <c r="AC6218">
        <v>8.0401999999999898</v>
      </c>
      <c r="AD6218">
        <v>-1.1192745402069999</v>
      </c>
      <c r="AE6218">
        <v>30.254200000000001</v>
      </c>
      <c r="AF6218">
        <v>7.6628618583426</v>
      </c>
      <c r="AG6218">
        <v>-1.1192745402069999</v>
      </c>
      <c r="AH6218">
        <v>30.310744419556901</v>
      </c>
      <c r="AI6218">
        <v>92.050331919417602</v>
      </c>
      <c r="AJ6218">
        <v>75.812321970427405</v>
      </c>
      <c r="AK6218">
        <v>31.2843963442496</v>
      </c>
      <c r="AL6218">
        <v>78.0898517203468</v>
      </c>
      <c r="AM6218">
        <v>86.823273850561193</v>
      </c>
      <c r="AN6218">
        <v>1.00000001673231</v>
      </c>
    </row>
    <row r="6219" spans="1:40" x14ac:dyDescent="0.25">
      <c r="A6219" t="str">
        <f>"20190303170658710"</f>
        <v>20190303170658710</v>
      </c>
      <c r="B6219" t="str">
        <f>"1551604018701160"</f>
        <v>1551604018701160</v>
      </c>
      <c r="C6219" t="s">
        <v>40</v>
      </c>
      <c r="D6219">
        <v>5.3853479999999996</v>
      </c>
      <c r="E6219">
        <v>0.57964649999999995</v>
      </c>
      <c r="F6219" t="s">
        <v>84</v>
      </c>
      <c r="G6219">
        <v>-178.81819999999999</v>
      </c>
      <c r="H6219" s="1">
        <v>-7.5523490000000004E-6</v>
      </c>
      <c r="I6219">
        <v>137.7088</v>
      </c>
      <c r="J6219">
        <v>-187.00559999999999</v>
      </c>
      <c r="K6219">
        <v>1.1190260000000001</v>
      </c>
      <c r="L6219">
        <v>107.52809999999999</v>
      </c>
      <c r="M6219">
        <v>1.456037E-2</v>
      </c>
      <c r="N6219">
        <v>-1.4153570000000001E-2</v>
      </c>
      <c r="O6219">
        <v>0.99979379999999995</v>
      </c>
      <c r="P6219">
        <v>7.1717240000000002E-2</v>
      </c>
      <c r="Q6219">
        <v>0.19368260000000001</v>
      </c>
      <c r="R6219">
        <v>0.97843939999999996</v>
      </c>
      <c r="S6219">
        <v>0.81286619999999998</v>
      </c>
      <c r="T6219">
        <v>-0.11103150000000001</v>
      </c>
      <c r="U6219">
        <v>3.03186</v>
      </c>
      <c r="V6219">
        <v>5.8510239999999998E-2</v>
      </c>
      <c r="W6219">
        <v>0.20723169999999999</v>
      </c>
      <c r="X6219">
        <v>0.97654059999999998</v>
      </c>
      <c r="Y6219">
        <v>0.24472679999999999</v>
      </c>
      <c r="Z6219">
        <v>-2.1289559999999999E-2</v>
      </c>
      <c r="AA6219">
        <v>0.96935830000000001</v>
      </c>
      <c r="AB6219">
        <v>38</v>
      </c>
      <c r="AC6219">
        <v>8.1873999999999896</v>
      </c>
      <c r="AD6219">
        <v>-1.119033552349</v>
      </c>
      <c r="AE6219">
        <v>30.180700000000002</v>
      </c>
      <c r="AF6219">
        <v>7.7371381098759704</v>
      </c>
      <c r="AG6219">
        <v>-1.119033552349</v>
      </c>
      <c r="AH6219">
        <v>30.25797738276</v>
      </c>
      <c r="AI6219">
        <v>92.052044269450306</v>
      </c>
      <c r="AJ6219">
        <v>75.656488150461698</v>
      </c>
      <c r="AK6219">
        <v>31.2515717607642</v>
      </c>
      <c r="AL6219">
        <v>78.039827880444506</v>
      </c>
      <c r="AM6219">
        <v>86.571174982221805</v>
      </c>
      <c r="AN6219">
        <v>0.99999998455905303</v>
      </c>
    </row>
    <row r="6220" spans="1:40" x14ac:dyDescent="0.25">
      <c r="A6220" t="str">
        <f>"20190303170658732"</f>
        <v>20190303170658732</v>
      </c>
      <c r="B6220" t="str">
        <f>"1551604018720680"</f>
        <v>1551604018720680</v>
      </c>
      <c r="C6220" t="s">
        <v>40</v>
      </c>
      <c r="D6220">
        <v>5.4328510000000003</v>
      </c>
      <c r="E6220">
        <v>0.57964890000000002</v>
      </c>
      <c r="F6220" t="s">
        <v>84</v>
      </c>
      <c r="G6220">
        <v>-178.4966</v>
      </c>
      <c r="H6220" s="1">
        <v>-7.6194259999999997E-6</v>
      </c>
      <c r="I6220">
        <v>138.47309999999999</v>
      </c>
      <c r="J6220">
        <v>-186.9983</v>
      </c>
      <c r="K6220">
        <v>1.118808</v>
      </c>
      <c r="L6220">
        <v>107.8815</v>
      </c>
      <c r="M6220">
        <v>1.703323E-2</v>
      </c>
      <c r="N6220">
        <v>-1.4158E-2</v>
      </c>
      <c r="O6220">
        <v>0.9997547</v>
      </c>
      <c r="P6220">
        <v>7.8194150000000004E-2</v>
      </c>
      <c r="Q6220">
        <v>0.193967</v>
      </c>
      <c r="R6220">
        <v>0.9778867</v>
      </c>
      <c r="S6220">
        <v>0.8322754</v>
      </c>
      <c r="T6220">
        <v>-0.10945390000000001</v>
      </c>
      <c r="U6220">
        <v>3.026764</v>
      </c>
      <c r="V6220">
        <v>6.2686290000000006E-2</v>
      </c>
      <c r="W6220">
        <v>0.20746210000000001</v>
      </c>
      <c r="X6220">
        <v>0.97623249999999995</v>
      </c>
      <c r="Y6220">
        <v>0.24852579999999999</v>
      </c>
      <c r="Z6220">
        <v>-2.0796470000000001E-2</v>
      </c>
      <c r="AA6220">
        <v>0.96840199999999999</v>
      </c>
      <c r="AB6220">
        <v>38</v>
      </c>
      <c r="AC6220">
        <v>8.5016999999999996</v>
      </c>
      <c r="AD6220">
        <v>-1.1188156194259999</v>
      </c>
      <c r="AE6220">
        <v>30.5915999999999</v>
      </c>
      <c r="AF6220">
        <v>7.9694450382114104</v>
      </c>
      <c r="AG6220">
        <v>-1.1188156194259999</v>
      </c>
      <c r="AH6220">
        <v>30.693875569611802</v>
      </c>
      <c r="AI6220">
        <v>92.020611391914102</v>
      </c>
      <c r="AJ6220">
        <v>75.4449534464989</v>
      </c>
      <c r="AK6220">
        <v>31.731337823832099</v>
      </c>
      <c r="AL6220">
        <v>78.026333783783201</v>
      </c>
      <c r="AM6220">
        <v>86.325941205844103</v>
      </c>
      <c r="AN6220">
        <v>0.99999999397331196</v>
      </c>
    </row>
    <row r="6221" spans="1:40" x14ac:dyDescent="0.25">
      <c r="A6221" t="str">
        <f>"20190303170658753"</f>
        <v>20190303170658753</v>
      </c>
      <c r="B6221" t="str">
        <f>"1551604018741177"</f>
        <v>1551604018741177</v>
      </c>
      <c r="C6221" t="s">
        <v>40</v>
      </c>
      <c r="D6221">
        <v>5.4495779999999998</v>
      </c>
      <c r="E6221">
        <v>0.57961609999999997</v>
      </c>
      <c r="F6221" t="s">
        <v>84</v>
      </c>
      <c r="G6221">
        <v>-178.41919999999999</v>
      </c>
      <c r="H6221" s="1">
        <v>-7.527969E-6</v>
      </c>
      <c r="I6221">
        <v>138.3494</v>
      </c>
      <c r="J6221">
        <v>-186.98929999999999</v>
      </c>
      <c r="K6221">
        <v>1.1185590000000001</v>
      </c>
      <c r="L6221">
        <v>108.2565</v>
      </c>
      <c r="M6221">
        <v>1.9918580000000002E-2</v>
      </c>
      <c r="N6221">
        <v>-1.416333E-2</v>
      </c>
      <c r="O6221">
        <v>0.99970130000000001</v>
      </c>
      <c r="P6221">
        <v>8.4163979999999999E-2</v>
      </c>
      <c r="Q6221">
        <v>0.19338530000000001</v>
      </c>
      <c r="R6221">
        <v>0.97750630000000005</v>
      </c>
      <c r="S6221">
        <v>0.85087590000000002</v>
      </c>
      <c r="T6221">
        <v>-0.1109639</v>
      </c>
      <c r="U6221">
        <v>3.0218050000000001</v>
      </c>
      <c r="V6221">
        <v>6.5955310000000003E-2</v>
      </c>
      <c r="W6221">
        <v>0.20682819999999999</v>
      </c>
      <c r="X6221">
        <v>0.97615160000000001</v>
      </c>
      <c r="Y6221">
        <v>0.2516622</v>
      </c>
      <c r="Z6221">
        <v>-2.1288629999999999E-2</v>
      </c>
      <c r="AA6221">
        <v>0.96758100000000002</v>
      </c>
      <c r="AB6221">
        <v>38</v>
      </c>
      <c r="AC6221">
        <v>8.5700999999999894</v>
      </c>
      <c r="AD6221">
        <v>-1.118566527969</v>
      </c>
      <c r="AE6221">
        <v>30.0929</v>
      </c>
      <c r="AF6221">
        <v>7.9587602152394501</v>
      </c>
      <c r="AG6221">
        <v>-1.118566527969</v>
      </c>
      <c r="AH6221">
        <v>30.219030212352301</v>
      </c>
      <c r="AI6221">
        <v>92.050009677276904</v>
      </c>
      <c r="AJ6221">
        <v>75.245117809113694</v>
      </c>
      <c r="AK6221">
        <v>31.269519379361</v>
      </c>
      <c r="AL6221">
        <v>78.063458603950295</v>
      </c>
      <c r="AM6221">
        <v>86.134590200143094</v>
      </c>
      <c r="AN6221">
        <v>0.99999997670749696</v>
      </c>
    </row>
    <row r="6222" spans="1:40" x14ac:dyDescent="0.25">
      <c r="A6222" t="str">
        <f>"20190303170658777"</f>
        <v>20190303170658777</v>
      </c>
      <c r="B6222" t="str">
        <f>"1551604018771432"</f>
        <v>1551604018771432</v>
      </c>
      <c r="C6222" t="s">
        <v>40</v>
      </c>
      <c r="D6222">
        <v>5.4377599999999999</v>
      </c>
      <c r="E6222">
        <v>0.57950809999999997</v>
      </c>
      <c r="F6222" t="s">
        <v>84</v>
      </c>
      <c r="G6222">
        <v>-178.4126</v>
      </c>
      <c r="H6222" s="1">
        <v>-7.4108289999999996E-6</v>
      </c>
      <c r="I6222">
        <v>138.02610000000001</v>
      </c>
      <c r="J6222">
        <v>-186.97829999999999</v>
      </c>
      <c r="K6222">
        <v>1.118295</v>
      </c>
      <c r="L6222">
        <v>108.6593</v>
      </c>
      <c r="M6222">
        <v>2.3317330000000001E-2</v>
      </c>
      <c r="N6222">
        <v>-1.417089E-2</v>
      </c>
      <c r="O6222">
        <v>0.99962759999999995</v>
      </c>
      <c r="P6222">
        <v>8.9255089999999995E-2</v>
      </c>
      <c r="Q6222">
        <v>0.19269649999999999</v>
      </c>
      <c r="R6222">
        <v>0.97719069999999997</v>
      </c>
      <c r="S6222">
        <v>0.86909479999999995</v>
      </c>
      <c r="T6222">
        <v>-0.113346699999999</v>
      </c>
      <c r="U6222">
        <v>3.0166170000000001</v>
      </c>
      <c r="V6222">
        <v>6.7855219999999994E-2</v>
      </c>
      <c r="W6222">
        <v>0.206091</v>
      </c>
      <c r="X6222">
        <v>0.97617730000000003</v>
      </c>
      <c r="Y6222">
        <v>0.2542026</v>
      </c>
      <c r="Z6222">
        <v>-2.206253E-2</v>
      </c>
      <c r="AA6222">
        <v>0.96689930000000002</v>
      </c>
      <c r="AB6222">
        <v>38</v>
      </c>
      <c r="AC6222">
        <v>8.5656999999999908</v>
      </c>
      <c r="AD6222">
        <v>-1.1183024108290001</v>
      </c>
      <c r="AE6222">
        <v>29.366800000000001</v>
      </c>
      <c r="AF6222">
        <v>7.8680314200781396</v>
      </c>
      <c r="AG6222">
        <v>-1.1183024108290001</v>
      </c>
      <c r="AH6222">
        <v>29.5191132119608</v>
      </c>
      <c r="AI6222">
        <v>92.096433638519798</v>
      </c>
      <c r="AJ6222">
        <v>75.0753460198856</v>
      </c>
      <c r="AK6222">
        <v>30.570158055364399</v>
      </c>
      <c r="AL6222">
        <v>78.106627107551603</v>
      </c>
      <c r="AM6222">
        <v>86.023699697677202</v>
      </c>
      <c r="AN6222">
        <v>0.99999997609876801</v>
      </c>
    </row>
    <row r="6223" spans="1:40" x14ac:dyDescent="0.25">
      <c r="A6223" t="str">
        <f>"20190303170658799"</f>
        <v>20190303170658799</v>
      </c>
      <c r="B6223" t="str">
        <f>"1551604018790956"</f>
        <v>1551604018790956</v>
      </c>
      <c r="C6223" t="s">
        <v>40</v>
      </c>
      <c r="D6223">
        <v>5.4835659999999997</v>
      </c>
      <c r="E6223">
        <v>0.57704369999999905</v>
      </c>
      <c r="F6223" t="s">
        <v>84</v>
      </c>
      <c r="G6223">
        <v>-178.45060000000001</v>
      </c>
      <c r="H6223" s="1">
        <v>-7.3168690000000004E-6</v>
      </c>
      <c r="I6223">
        <v>137.68979999999999</v>
      </c>
      <c r="J6223">
        <v>-186.9659</v>
      </c>
      <c r="K6223">
        <v>1.1180209999999999</v>
      </c>
      <c r="L6223">
        <v>109.05289999999999</v>
      </c>
      <c r="M6223">
        <v>2.692876E-2</v>
      </c>
      <c r="N6223">
        <v>-1.417967E-2</v>
      </c>
      <c r="O6223">
        <v>0.9995368</v>
      </c>
      <c r="P6223">
        <v>9.5060130000000007E-2</v>
      </c>
      <c r="Q6223">
        <v>0.1939128</v>
      </c>
      <c r="R6223">
        <v>0.97640229999999995</v>
      </c>
      <c r="S6223">
        <v>0.88479609999999997</v>
      </c>
      <c r="T6223">
        <v>-0.1160302</v>
      </c>
      <c r="U6223">
        <v>3.0120849999999999</v>
      </c>
      <c r="V6223">
        <v>7.0286860000000007E-2</v>
      </c>
      <c r="W6223">
        <v>0.20724799999999999</v>
      </c>
      <c r="X6223">
        <v>0.97576019999999997</v>
      </c>
      <c r="Y6223">
        <v>0.25573380000000001</v>
      </c>
      <c r="Z6223">
        <v>-2.29321E-2</v>
      </c>
      <c r="AA6223">
        <v>0.96647519999999998</v>
      </c>
      <c r="AB6223">
        <v>38</v>
      </c>
      <c r="AC6223">
        <v>8.5152999999999892</v>
      </c>
      <c r="AD6223">
        <v>-1.1180283168689999</v>
      </c>
      <c r="AE6223">
        <v>28.636900000000001</v>
      </c>
      <c r="AF6223">
        <v>7.7301521842719998</v>
      </c>
      <c r="AG6223">
        <v>-1.1180283168689999</v>
      </c>
      <c r="AH6223">
        <v>28.815488716909002</v>
      </c>
      <c r="AI6223">
        <v>92.146129252345901</v>
      </c>
      <c r="AJ6223">
        <v>74.983183718706698</v>
      </c>
      <c r="AK6223">
        <v>29.855278094562099</v>
      </c>
      <c r="AL6223">
        <v>78.038873082150999</v>
      </c>
      <c r="AM6223">
        <v>85.879933642097996</v>
      </c>
      <c r="AN6223">
        <v>0.99999997204834901</v>
      </c>
    </row>
    <row r="6224" spans="1:40" x14ac:dyDescent="0.25">
      <c r="A6224" t="str">
        <f>"20190303170658822"</f>
        <v>20190303170658822</v>
      </c>
      <c r="B6224" t="str">
        <f>"1551604018811448"</f>
        <v>1551604018811448</v>
      </c>
      <c r="C6224" t="s">
        <v>40</v>
      </c>
      <c r="D6224">
        <v>5.4539900000000001</v>
      </c>
      <c r="E6224">
        <v>0.57639249999999997</v>
      </c>
      <c r="F6224" t="s">
        <v>84</v>
      </c>
      <c r="G6224">
        <v>-179.51990000000001</v>
      </c>
      <c r="H6224" s="1">
        <v>-6.8697200000000002E-6</v>
      </c>
      <c r="I6224">
        <v>134.50749999999999</v>
      </c>
      <c r="J6224">
        <v>-186.95259999999999</v>
      </c>
      <c r="K6224">
        <v>1.117756</v>
      </c>
      <c r="L6224">
        <v>109.4282</v>
      </c>
      <c r="M6224">
        <v>3.063283E-2</v>
      </c>
      <c r="N6224">
        <v>-1.418847E-2</v>
      </c>
      <c r="O6224">
        <v>0.99943000000000004</v>
      </c>
      <c r="P6224">
        <v>0.1014231</v>
      </c>
      <c r="Q6224">
        <v>0.19432749999999999</v>
      </c>
      <c r="R6224">
        <v>0.97567930000000003</v>
      </c>
      <c r="S6224">
        <v>0.88136289999999995</v>
      </c>
      <c r="T6224">
        <v>-0.13233719999999999</v>
      </c>
      <c r="U6224">
        <v>3.0129700000000001</v>
      </c>
      <c r="V6224">
        <v>7.3175409999999996E-2</v>
      </c>
      <c r="W6224">
        <v>0.2076007</v>
      </c>
      <c r="X6224">
        <v>0.97547289999999998</v>
      </c>
      <c r="Y6224">
        <v>0.25101259999999997</v>
      </c>
      <c r="Z6224">
        <v>-2.8145679999999999E-2</v>
      </c>
      <c r="AA6224">
        <v>0.9675745</v>
      </c>
      <c r="AB6224">
        <v>38</v>
      </c>
      <c r="AC6224">
        <v>7.4326999999999801</v>
      </c>
      <c r="AD6224">
        <v>-1.1177628697199999</v>
      </c>
      <c r="AE6224">
        <v>25.0792999999999</v>
      </c>
      <c r="AF6224">
        <v>6.6487431462047901</v>
      </c>
      <c r="AG6224">
        <v>-1.1177628697199999</v>
      </c>
      <c r="AH6224">
        <v>25.249130130063801</v>
      </c>
      <c r="AI6224">
        <v>92.451335790357405</v>
      </c>
      <c r="AJ6224">
        <v>75.247449353819206</v>
      </c>
      <c r="AK6224">
        <v>26.133766502018499</v>
      </c>
      <c r="AL6224">
        <v>78.018216346160997</v>
      </c>
      <c r="AM6224">
        <v>85.709973912593497</v>
      </c>
      <c r="AN6224">
        <v>1.0000000349517799</v>
      </c>
    </row>
    <row r="6225" spans="1:40" x14ac:dyDescent="0.25">
      <c r="A6225" t="str">
        <f>"20190303170658842"</f>
        <v>20190303170658842</v>
      </c>
      <c r="B6225" t="str">
        <f>"1551604018830969"</f>
        <v>1551604018830969</v>
      </c>
      <c r="C6225" t="s">
        <v>40</v>
      </c>
      <c r="D6225">
        <v>5.4938520000000004</v>
      </c>
      <c r="E6225">
        <v>0.57611669999999904</v>
      </c>
      <c r="F6225" t="s">
        <v>84</v>
      </c>
      <c r="G6225">
        <v>-179.5624</v>
      </c>
      <c r="H6225" s="1">
        <v>-6.8333999999999997E-6</v>
      </c>
      <c r="I6225">
        <v>134.3279</v>
      </c>
      <c r="J6225">
        <v>-186.9385</v>
      </c>
      <c r="K6225">
        <v>1.117523</v>
      </c>
      <c r="L6225">
        <v>109.7811</v>
      </c>
      <c r="M6225">
        <v>3.4347639999999999E-2</v>
      </c>
      <c r="N6225">
        <v>-1.4197110000000001E-2</v>
      </c>
      <c r="O6225">
        <v>0.99930909999999995</v>
      </c>
      <c r="P6225">
        <v>0.1073802</v>
      </c>
      <c r="Q6225">
        <v>0.1935316</v>
      </c>
      <c r="R6225">
        <v>0.97519999999999996</v>
      </c>
      <c r="S6225">
        <v>0.89302060000000005</v>
      </c>
      <c r="T6225">
        <v>-0.13506879999999999</v>
      </c>
      <c r="U6225">
        <v>3.0088499999999998</v>
      </c>
      <c r="V6225">
        <v>7.5621770000000005E-2</v>
      </c>
      <c r="W6225">
        <v>0.2067502</v>
      </c>
      <c r="X6225">
        <v>0.97546690000000003</v>
      </c>
      <c r="Y6225">
        <v>0.25121169999999998</v>
      </c>
      <c r="Z6225">
        <v>-2.9041129999999998E-2</v>
      </c>
      <c r="AA6225">
        <v>0.96749640000000003</v>
      </c>
      <c r="AB6225">
        <v>38</v>
      </c>
      <c r="AC6225">
        <v>7.3761000000000001</v>
      </c>
      <c r="AD6225">
        <v>-1.1175298333999999</v>
      </c>
      <c r="AE6225">
        <v>24.546800000000001</v>
      </c>
      <c r="AF6225">
        <v>6.5161499219170702</v>
      </c>
      <c r="AG6225">
        <v>-1.1175298333999999</v>
      </c>
      <c r="AH6225">
        <v>24.7386618501999</v>
      </c>
      <c r="AI6225">
        <v>92.501287742151405</v>
      </c>
      <c r="AJ6225">
        <v>75.243494222304193</v>
      </c>
      <c r="AK6225">
        <v>25.606844258361399</v>
      </c>
      <c r="AL6225">
        <v>78.068026507694498</v>
      </c>
      <c r="AM6225">
        <v>85.567087428463495</v>
      </c>
      <c r="AN6225">
        <v>0.999999985146791</v>
      </c>
    </row>
    <row r="6226" spans="1:40" x14ac:dyDescent="0.25">
      <c r="A6226" t="str">
        <f>"20190303170658867"</f>
        <v>20190303170658867</v>
      </c>
      <c r="B6226" t="str">
        <f>"1551604018861225"</f>
        <v>1551604018861225</v>
      </c>
      <c r="C6226" t="s">
        <v>40</v>
      </c>
      <c r="D6226">
        <v>5.5297159999999996</v>
      </c>
      <c r="E6226">
        <v>0.57610859999999997</v>
      </c>
      <c r="F6226" t="s">
        <v>84</v>
      </c>
      <c r="G6226">
        <v>-179.703</v>
      </c>
      <c r="H6226" s="1">
        <v>-6.7057190000000003E-6</v>
      </c>
      <c r="I6226">
        <v>133.7124</v>
      </c>
      <c r="J6226">
        <v>-186.9205</v>
      </c>
      <c r="K6226">
        <v>1.1172569999999999</v>
      </c>
      <c r="L6226">
        <v>110.18510000000001</v>
      </c>
      <c r="M6226">
        <v>3.886858E-2</v>
      </c>
      <c r="N6226">
        <v>-1.420748E-2</v>
      </c>
      <c r="O6226">
        <v>0.99914329999999996</v>
      </c>
      <c r="P6226">
        <v>0.1137944</v>
      </c>
      <c r="Q6226">
        <v>0.1914718</v>
      </c>
      <c r="R6226">
        <v>0.9748791</v>
      </c>
      <c r="S6226">
        <v>0.90827939999999996</v>
      </c>
      <c r="T6226">
        <v>-0.14028470000000001</v>
      </c>
      <c r="U6226">
        <v>3.0041199999999999</v>
      </c>
      <c r="V6226">
        <v>7.7728930000000002E-2</v>
      </c>
      <c r="W6226">
        <v>0.20463780000000001</v>
      </c>
      <c r="X6226">
        <v>0.97574669999999997</v>
      </c>
      <c r="Y6226">
        <v>0.25173909999999999</v>
      </c>
      <c r="Z6226">
        <v>-3.072683E-2</v>
      </c>
      <c r="AA6226">
        <v>0.96730720000000003</v>
      </c>
      <c r="AB6226">
        <v>38</v>
      </c>
      <c r="AC6226">
        <v>7.2175000000000002</v>
      </c>
      <c r="AD6226">
        <v>-1.117263705719</v>
      </c>
      <c r="AE6226">
        <v>23.5273</v>
      </c>
      <c r="AF6226">
        <v>6.2845265195662403</v>
      </c>
      <c r="AG6226">
        <v>-1.117263705719</v>
      </c>
      <c r="AH6226">
        <v>23.741146119055198</v>
      </c>
      <c r="AI6226">
        <v>92.604779044301196</v>
      </c>
      <c r="AJ6226">
        <v>75.173282120092196</v>
      </c>
      <c r="AK6226">
        <v>24.584254530279701</v>
      </c>
      <c r="AL6226">
        <v>78.191703197386602</v>
      </c>
      <c r="AM6226">
        <v>85.445380636442295</v>
      </c>
      <c r="AN6226">
        <v>1.0000000191543299</v>
      </c>
    </row>
    <row r="6227" spans="1:40" x14ac:dyDescent="0.25">
      <c r="A6227" t="str">
        <f>"20190303170658889"</f>
        <v>20190303170658889</v>
      </c>
      <c r="B6227" t="str">
        <f>"1551604018880745"</f>
        <v>1551604018880745</v>
      </c>
      <c r="C6227" t="s">
        <v>40</v>
      </c>
      <c r="D6227">
        <v>5.5046179999999998</v>
      </c>
      <c r="E6227">
        <v>0.57602600000000004</v>
      </c>
      <c r="F6227" t="s">
        <v>84</v>
      </c>
      <c r="G6227">
        <v>-179.8563</v>
      </c>
      <c r="H6227" s="1">
        <v>-6.5417729999999899E-6</v>
      </c>
      <c r="I6227">
        <v>132.97059999999999</v>
      </c>
      <c r="J6227">
        <v>-186.9007</v>
      </c>
      <c r="K6227">
        <v>1.117005</v>
      </c>
      <c r="L6227">
        <v>110.5834</v>
      </c>
      <c r="M6227">
        <v>4.3565319999999998E-2</v>
      </c>
      <c r="N6227">
        <v>-1.4217870000000001E-2</v>
      </c>
      <c r="O6227">
        <v>0.99894939999999999</v>
      </c>
      <c r="P6227">
        <v>0.1204355</v>
      </c>
      <c r="Q6227">
        <v>0.1904595</v>
      </c>
      <c r="R6227">
        <v>0.97427949999999996</v>
      </c>
      <c r="S6227">
        <v>0.9293671</v>
      </c>
      <c r="T6227">
        <v>-0.1469878</v>
      </c>
      <c r="U6227">
        <v>2.997681</v>
      </c>
      <c r="V6227">
        <v>7.9898659999999996E-2</v>
      </c>
      <c r="W6227">
        <v>0.20356969999999999</v>
      </c>
      <c r="X6227">
        <v>0.97579490000000002</v>
      </c>
      <c r="Y6227">
        <v>0.2539595</v>
      </c>
      <c r="Z6227">
        <v>-3.2889040000000001E-2</v>
      </c>
      <c r="AA6227">
        <v>0.9666555</v>
      </c>
      <c r="AB6227">
        <v>38</v>
      </c>
      <c r="AC6227">
        <v>7.0443999999999898</v>
      </c>
      <c r="AD6227">
        <v>-1.117011541773</v>
      </c>
      <c r="AE6227">
        <v>22.3872</v>
      </c>
      <c r="AF6227">
        <v>6.04860491589851</v>
      </c>
      <c r="AG6227">
        <v>-1.117011541773</v>
      </c>
      <c r="AH6227">
        <v>22.621620140188998</v>
      </c>
      <c r="AI6227">
        <v>92.731070087822999</v>
      </c>
      <c r="AJ6227">
        <v>75.030346653196403</v>
      </c>
      <c r="AK6227">
        <v>23.442931428899598</v>
      </c>
      <c r="AL6227">
        <v>78.254217178853807</v>
      </c>
      <c r="AM6227">
        <v>85.319030335508302</v>
      </c>
      <c r="AN6227">
        <v>1.0000000527469399</v>
      </c>
    </row>
    <row r="6228" spans="1:40" x14ac:dyDescent="0.25">
      <c r="A6228" t="str">
        <f>"20190303170658912"</f>
        <v>20190303170658912</v>
      </c>
      <c r="B6228" t="str">
        <f>"1551604018901240"</f>
        <v>1551604018901240</v>
      </c>
      <c r="C6228" t="s">
        <v>40</v>
      </c>
      <c r="D6228">
        <v>5.5265639999999996</v>
      </c>
      <c r="E6228">
        <v>0.57587849999999996</v>
      </c>
      <c r="F6228" t="s">
        <v>84</v>
      </c>
      <c r="G6228">
        <v>-179.8475</v>
      </c>
      <c r="H6228" s="1">
        <v>-6.4712909999999997E-6</v>
      </c>
      <c r="I6228">
        <v>132.78479999999999</v>
      </c>
      <c r="J6228">
        <v>-186.87989999999999</v>
      </c>
      <c r="K6228">
        <v>1.1167879999999999</v>
      </c>
      <c r="L6228">
        <v>110.96380000000001</v>
      </c>
      <c r="M6228">
        <v>4.8232999999999998E-2</v>
      </c>
      <c r="N6228">
        <v>-1.4227129999999999E-2</v>
      </c>
      <c r="O6228">
        <v>0.99873480000000003</v>
      </c>
      <c r="P6228">
        <v>0.1277684</v>
      </c>
      <c r="Q6228">
        <v>0.19114120000000001</v>
      </c>
      <c r="R6228">
        <v>0.9732113</v>
      </c>
      <c r="S6228">
        <v>0.95027159999999999</v>
      </c>
      <c r="T6228">
        <v>-0.1504933</v>
      </c>
      <c r="U6228">
        <v>2.9911650000000001</v>
      </c>
      <c r="V6228">
        <v>8.2810099999999998E-2</v>
      </c>
      <c r="W6228">
        <v>0.20418639999999999</v>
      </c>
      <c r="X6228">
        <v>0.97542320000000005</v>
      </c>
      <c r="Y6228">
        <v>0.25616889999999998</v>
      </c>
      <c r="Z6228">
        <v>-3.403196E-2</v>
      </c>
      <c r="AA6228">
        <v>0.96603280000000002</v>
      </c>
      <c r="AB6228">
        <v>38</v>
      </c>
      <c r="AC6228">
        <v>7.0323999999999902</v>
      </c>
      <c r="AD6228">
        <v>-1.1167944712909901</v>
      </c>
      <c r="AE6228">
        <v>21.820999999999898</v>
      </c>
      <c r="AF6228">
        <v>5.95747801030614</v>
      </c>
      <c r="AG6228">
        <v>-1.1167944712909901</v>
      </c>
      <c r="AH6228">
        <v>22.082425986307001</v>
      </c>
      <c r="AI6228">
        <v>92.795428092467304</v>
      </c>
      <c r="AJ6228">
        <v>74.901977911025</v>
      </c>
      <c r="AK6228">
        <v>22.899177093841399</v>
      </c>
      <c r="AL6228">
        <v>78.218124274553304</v>
      </c>
      <c r="AM6228">
        <v>85.147419791448698</v>
      </c>
      <c r="AN6228">
        <v>1.0000000088526</v>
      </c>
    </row>
    <row r="6229" spans="1:40" x14ac:dyDescent="0.25">
      <c r="A6229" t="str">
        <f>"20190303170658932"</f>
        <v>20190303170658932</v>
      </c>
      <c r="B6229" t="str">
        <f>"1551604018920760"</f>
        <v>1551604018920760</v>
      </c>
      <c r="C6229" t="s">
        <v>40</v>
      </c>
      <c r="D6229">
        <v>5.5477499999999997</v>
      </c>
      <c r="E6229">
        <v>0.57575849999999995</v>
      </c>
      <c r="F6229" t="s">
        <v>84</v>
      </c>
      <c r="G6229">
        <v>-179.70529999999999</v>
      </c>
      <c r="H6229" s="1">
        <v>-6.4737530000000004E-6</v>
      </c>
      <c r="I6229">
        <v>133.04490000000001</v>
      </c>
      <c r="J6229">
        <v>-186.8603</v>
      </c>
      <c r="K6229">
        <v>1.116619</v>
      </c>
      <c r="L6229">
        <v>111.29559999999999</v>
      </c>
      <c r="M6229">
        <v>5.2447340000000002E-2</v>
      </c>
      <c r="N6229">
        <v>-1.4234500000000001E-2</v>
      </c>
      <c r="O6229">
        <v>0.99852220000000003</v>
      </c>
      <c r="P6229">
        <v>0.13528789999999999</v>
      </c>
      <c r="Q6229">
        <v>0.1912016</v>
      </c>
      <c r="R6229">
        <v>0.97218269999999996</v>
      </c>
      <c r="S6229">
        <v>0.96984859999999995</v>
      </c>
      <c r="T6229">
        <v>-0.15096560000000001</v>
      </c>
      <c r="U6229">
        <v>2.9848789999999998</v>
      </c>
      <c r="V6229">
        <v>8.6328059999999998E-2</v>
      </c>
      <c r="W6229">
        <v>0.20417850000000001</v>
      </c>
      <c r="X6229">
        <v>0.97511979999999998</v>
      </c>
      <c r="Y6229">
        <v>0.2584149</v>
      </c>
      <c r="Z6229">
        <v>-3.4206319999999998E-2</v>
      </c>
      <c r="AA6229">
        <v>0.96542819999999996</v>
      </c>
      <c r="AB6229">
        <v>38</v>
      </c>
      <c r="AC6229">
        <v>7.1550000000000002</v>
      </c>
      <c r="AD6229">
        <v>-1.1166254737529999</v>
      </c>
      <c r="AE6229">
        <v>21.749300000000002</v>
      </c>
      <c r="AF6229">
        <v>5.9900947377980103</v>
      </c>
      <c r="AG6229">
        <v>-1.1166254737529999</v>
      </c>
      <c r="AH6229">
        <v>22.0422322887792</v>
      </c>
      <c r="AI6229">
        <v>92.7987040808421</v>
      </c>
      <c r="AJ6229">
        <v>74.796725431835796</v>
      </c>
      <c r="AK6229">
        <v>22.868932893533302</v>
      </c>
      <c r="AL6229">
        <v>78.218586654889094</v>
      </c>
      <c r="AM6229">
        <v>84.940753355632395</v>
      </c>
      <c r="AN6229">
        <v>1.0000000090788199</v>
      </c>
    </row>
    <row r="6230" spans="1:40" x14ac:dyDescent="0.25">
      <c r="A6230" t="str">
        <f>"20190303170658955"</f>
        <v>20190303170658955</v>
      </c>
      <c r="B6230" t="str">
        <f>"1551604018941257"</f>
        <v>1551604018941257</v>
      </c>
      <c r="C6230" t="s">
        <v>40</v>
      </c>
      <c r="D6230">
        <v>5.5465790000000004</v>
      </c>
      <c r="E6230">
        <v>0.5755458</v>
      </c>
      <c r="F6230" t="s">
        <v>84</v>
      </c>
      <c r="G6230">
        <v>-179.6079</v>
      </c>
      <c r="H6230" s="1">
        <v>-6.4317039999999999E-6</v>
      </c>
      <c r="I6230">
        <v>133.09819999999999</v>
      </c>
      <c r="J6230">
        <v>-186.83510000000001</v>
      </c>
      <c r="K6230">
        <v>1.11643</v>
      </c>
      <c r="L6230">
        <v>111.688</v>
      </c>
      <c r="M6230">
        <v>5.7601310000000003E-2</v>
      </c>
      <c r="N6230">
        <v>-1.42434E-2</v>
      </c>
      <c r="O6230">
        <v>0.99823799999999996</v>
      </c>
      <c r="P6230">
        <v>0.14131050000000001</v>
      </c>
      <c r="Q6230">
        <v>0.1900027</v>
      </c>
      <c r="R6230">
        <v>0.9715608</v>
      </c>
      <c r="S6230">
        <v>0.99060060000000005</v>
      </c>
      <c r="T6230">
        <v>-0.1525185</v>
      </c>
      <c r="U6230">
        <v>2.9779819999999999</v>
      </c>
      <c r="V6230">
        <v>8.7408620000000006E-2</v>
      </c>
      <c r="W6230">
        <v>0.20293900000000001</v>
      </c>
      <c r="X6230">
        <v>0.97528230000000005</v>
      </c>
      <c r="Y6230">
        <v>0.26014730000000003</v>
      </c>
      <c r="Z6230">
        <v>-3.4730799999999999E-2</v>
      </c>
      <c r="AA6230">
        <v>0.96494409999999997</v>
      </c>
      <c r="AB6230">
        <v>38</v>
      </c>
      <c r="AC6230">
        <v>7.2272000000000096</v>
      </c>
      <c r="AD6230">
        <v>-1.1164364317039901</v>
      </c>
      <c r="AE6230">
        <v>21.4102</v>
      </c>
      <c r="AF6230">
        <v>5.9672513630443902</v>
      </c>
      <c r="AG6230">
        <v>-1.1164364317039901</v>
      </c>
      <c r="AH6230">
        <v>21.737921527117798</v>
      </c>
      <c r="AI6230">
        <v>92.8353583135317</v>
      </c>
      <c r="AJ6230">
        <v>74.649915501818299</v>
      </c>
      <c r="AK6230">
        <v>22.5697087144456</v>
      </c>
      <c r="AL6230">
        <v>78.291123805040499</v>
      </c>
      <c r="AM6230">
        <v>84.878610985888798</v>
      </c>
      <c r="AN6230">
        <v>1.0000000346322899</v>
      </c>
    </row>
    <row r="6231" spans="1:40" x14ac:dyDescent="0.25">
      <c r="A6231" t="str">
        <f>"20190303170658978"</f>
        <v>20190303170658978</v>
      </c>
      <c r="B6231" t="str">
        <f>"1551604018971512"</f>
        <v>1551604018971512</v>
      </c>
      <c r="C6231" t="s">
        <v>40</v>
      </c>
      <c r="D6231">
        <v>5.5592480000000002</v>
      </c>
      <c r="E6231">
        <v>0.57548509999999997</v>
      </c>
      <c r="F6231" t="s">
        <v>84</v>
      </c>
      <c r="G6231">
        <v>-179.61850000000001</v>
      </c>
      <c r="H6231" s="1">
        <v>-6.38537299999999E-6</v>
      </c>
      <c r="I6231">
        <v>132.94669999999999</v>
      </c>
      <c r="J6231">
        <v>-186.80709999999999</v>
      </c>
      <c r="K6231">
        <v>1.1162179999999999</v>
      </c>
      <c r="L6231">
        <v>112.0889</v>
      </c>
      <c r="M6231">
        <v>6.3050930000000005E-2</v>
      </c>
      <c r="N6231">
        <v>-1.4253500000000001E-2</v>
      </c>
      <c r="O6231">
        <v>0.99790849999999998</v>
      </c>
      <c r="P6231">
        <v>0.1470069</v>
      </c>
      <c r="Q6231">
        <v>0.1876391</v>
      </c>
      <c r="R6231">
        <v>0.9711748</v>
      </c>
      <c r="S6231">
        <v>1.008759</v>
      </c>
      <c r="T6231">
        <v>-0.15605939999999999</v>
      </c>
      <c r="U6231">
        <v>2.971619</v>
      </c>
      <c r="V6231">
        <v>8.7844259999999993E-2</v>
      </c>
      <c r="W6231">
        <v>0.2005459</v>
      </c>
      <c r="X6231">
        <v>0.97573799999999999</v>
      </c>
      <c r="Y6231">
        <v>0.26077539999999999</v>
      </c>
      <c r="Z6231">
        <v>-3.5892090000000001E-2</v>
      </c>
      <c r="AA6231">
        <v>0.96473209999999998</v>
      </c>
      <c r="AB6231">
        <v>38</v>
      </c>
      <c r="AC6231">
        <v>7.1885999999999797</v>
      </c>
      <c r="AD6231">
        <v>-1.1162243853729901</v>
      </c>
      <c r="AE6231">
        <v>20.857800000000001</v>
      </c>
      <c r="AF6231">
        <v>5.8440964686433903</v>
      </c>
      <c r="AG6231">
        <v>-1.1162243853729901</v>
      </c>
      <c r="AH6231">
        <v>21.215276323250201</v>
      </c>
      <c r="AI6231">
        <v>92.903829466870405</v>
      </c>
      <c r="AJ6231">
        <v>74.598906091351694</v>
      </c>
      <c r="AK6231">
        <v>22.033777930377099</v>
      </c>
      <c r="AL6231">
        <v>78.431115925066706</v>
      </c>
      <c r="AM6231">
        <v>84.855613804075801</v>
      </c>
      <c r="AN6231">
        <v>0.99999995833287703</v>
      </c>
    </row>
    <row r="6232" spans="1:40" x14ac:dyDescent="0.25">
      <c r="A6232" t="str">
        <f>"20190303170659000"</f>
        <v>20190303170659000</v>
      </c>
      <c r="B6232" t="str">
        <f>"1551604018991033"</f>
        <v>1551604018991033</v>
      </c>
      <c r="C6232" t="s">
        <v>40</v>
      </c>
      <c r="D6232">
        <v>5.5443959999999999</v>
      </c>
      <c r="E6232">
        <v>0.5754901</v>
      </c>
      <c r="F6232" t="s">
        <v>84</v>
      </c>
      <c r="G6232">
        <v>-179.7568</v>
      </c>
      <c r="H6232" s="1">
        <v>-6.2884419999999997E-6</v>
      </c>
      <c r="I6232">
        <v>132.42339999999999</v>
      </c>
      <c r="J6232">
        <v>-186.77930000000001</v>
      </c>
      <c r="K6232">
        <v>1.116026</v>
      </c>
      <c r="L6232">
        <v>112.4588</v>
      </c>
      <c r="M6232">
        <v>6.8245600000000003E-2</v>
      </c>
      <c r="N6232">
        <v>-1.4263680000000001E-2</v>
      </c>
      <c r="O6232">
        <v>0.99756659999999997</v>
      </c>
      <c r="P6232">
        <v>0.15333849999999999</v>
      </c>
      <c r="Q6232">
        <v>0.18630379999999999</v>
      </c>
      <c r="R6232">
        <v>0.97045250000000005</v>
      </c>
      <c r="S6232">
        <v>1.0279849999999999</v>
      </c>
      <c r="T6232">
        <v>-0.162751799999999</v>
      </c>
      <c r="U6232">
        <v>2.96489</v>
      </c>
      <c r="V6232">
        <v>8.9185319999999998E-2</v>
      </c>
      <c r="W6232">
        <v>0.19916900000000001</v>
      </c>
      <c r="X6232">
        <v>0.97589840000000005</v>
      </c>
      <c r="Y6232">
        <v>0.26198060000000001</v>
      </c>
      <c r="Z6232">
        <v>-3.8058979999999999E-2</v>
      </c>
      <c r="AA6232">
        <v>0.96432240000000002</v>
      </c>
      <c r="AB6232">
        <v>38</v>
      </c>
      <c r="AC6232">
        <v>7.0225</v>
      </c>
      <c r="AD6232">
        <v>-1.116032288442</v>
      </c>
      <c r="AE6232">
        <v>19.964599999999901</v>
      </c>
      <c r="AF6232">
        <v>5.6278393951495103</v>
      </c>
      <c r="AG6232">
        <v>-1.116032288442</v>
      </c>
      <c r="AH6232">
        <v>20.3407836467109</v>
      </c>
      <c r="AI6232">
        <v>93.026984463392395</v>
      </c>
      <c r="AJ6232">
        <v>74.534425187136193</v>
      </c>
      <c r="AK6232">
        <v>21.134464357743799</v>
      </c>
      <c r="AL6232">
        <v>78.511631364505106</v>
      </c>
      <c r="AM6232">
        <v>84.7783625448252</v>
      </c>
      <c r="AN6232">
        <v>0.99999999949353102</v>
      </c>
    </row>
    <row r="6233" spans="1:40" x14ac:dyDescent="0.25">
      <c r="A6233" t="str">
        <f>"20190303170659021"</f>
        <v>20190303170659021</v>
      </c>
      <c r="B6233" t="str">
        <f>"1551604019011529"</f>
        <v>1551604019011529</v>
      </c>
      <c r="C6233" t="s">
        <v>40</v>
      </c>
      <c r="D6233">
        <v>5.5369330000000003</v>
      </c>
      <c r="E6233">
        <v>0.59842819999999997</v>
      </c>
      <c r="F6233" t="s">
        <v>84</v>
      </c>
      <c r="G6233">
        <v>-179.82749999999999</v>
      </c>
      <c r="H6233" s="1">
        <v>-6.2248129999999998E-6</v>
      </c>
      <c r="I6233">
        <v>132.1155</v>
      </c>
      <c r="J6233">
        <v>-186.7499</v>
      </c>
      <c r="K6233">
        <v>1.1158539999999999</v>
      </c>
      <c r="L6233">
        <v>112.8211</v>
      </c>
      <c r="M6233">
        <v>7.348565E-2</v>
      </c>
      <c r="N6233">
        <v>-1.4274210000000001E-2</v>
      </c>
      <c r="O6233">
        <v>0.99719409999999997</v>
      </c>
      <c r="P6233">
        <v>0.16044929999999999</v>
      </c>
      <c r="Q6233">
        <v>0.1859991</v>
      </c>
      <c r="R6233">
        <v>0.96936080000000002</v>
      </c>
      <c r="S6233">
        <v>1.046219</v>
      </c>
      <c r="T6233">
        <v>-0.1679592</v>
      </c>
      <c r="U6233">
        <v>2.9582670000000002</v>
      </c>
      <c r="V6233">
        <v>9.1294570000000005E-2</v>
      </c>
      <c r="W6233">
        <v>0.19881009999999999</v>
      </c>
      <c r="X6233">
        <v>0.97577659999999999</v>
      </c>
      <c r="Y6233">
        <v>0.26284639999999998</v>
      </c>
      <c r="Z6233">
        <v>-3.9752320000000001E-2</v>
      </c>
      <c r="AA6233">
        <v>0.96401840000000005</v>
      </c>
      <c r="AB6233">
        <v>38</v>
      </c>
      <c r="AC6233">
        <v>6.9223999999999997</v>
      </c>
      <c r="AD6233">
        <v>-1.1158602248130001</v>
      </c>
      <c r="AE6233">
        <v>19.2944</v>
      </c>
      <c r="AF6233">
        <v>5.4694664229753203</v>
      </c>
      <c r="AG6233">
        <v>-1.1158602248130001</v>
      </c>
      <c r="AH6233">
        <v>19.692617083117799</v>
      </c>
      <c r="AI6233">
        <v>93.125084955895503</v>
      </c>
      <c r="AJ6233">
        <v>74.477793258359398</v>
      </c>
      <c r="AK6233">
        <v>20.468497125477398</v>
      </c>
      <c r="AL6233">
        <v>78.532615194500906</v>
      </c>
      <c r="AM6233">
        <v>84.6549134540751</v>
      </c>
      <c r="AN6233">
        <v>1.00000006374052</v>
      </c>
    </row>
    <row r="6234" spans="1:40" x14ac:dyDescent="0.25">
      <c r="A6234" t="str">
        <f>"20190303170659042"</f>
        <v>20190303170659042</v>
      </c>
      <c r="B6234" t="str">
        <f>"1551604019031048"</f>
        <v>1551604019031048</v>
      </c>
      <c r="C6234" t="s">
        <v>40</v>
      </c>
      <c r="D6234">
        <v>5.5129429999999999</v>
      </c>
      <c r="E6234">
        <v>0.60269240000000002</v>
      </c>
      <c r="F6234" t="s">
        <v>84</v>
      </c>
      <c r="G6234">
        <v>-177.69710000000001</v>
      </c>
      <c r="H6234" s="1">
        <v>-5.5468720000000003E-6</v>
      </c>
      <c r="I6234">
        <v>133.98269999999999</v>
      </c>
      <c r="J6234">
        <v>-186.71870000000001</v>
      </c>
      <c r="K6234">
        <v>1.1156740000000001</v>
      </c>
      <c r="L6234">
        <v>113.18170000000001</v>
      </c>
      <c r="M6234">
        <v>7.8858460000000005E-2</v>
      </c>
      <c r="N6234">
        <v>-1.428515E-2</v>
      </c>
      <c r="O6234">
        <v>0.99678350000000004</v>
      </c>
      <c r="P6234">
        <v>0.1664206</v>
      </c>
      <c r="Q6234">
        <v>0.18566340000000001</v>
      </c>
      <c r="R6234">
        <v>0.96841790000000005</v>
      </c>
      <c r="S6234">
        <v>1.2481990000000001</v>
      </c>
      <c r="T6234">
        <v>-0.15385450000000001</v>
      </c>
      <c r="U6234">
        <v>2.9177550000000001</v>
      </c>
      <c r="V6234">
        <v>9.2125769999999996E-2</v>
      </c>
      <c r="W6234">
        <v>0.19843669999999999</v>
      </c>
      <c r="X6234">
        <v>0.97577440000000004</v>
      </c>
      <c r="Y6234">
        <v>0.31920539999999997</v>
      </c>
      <c r="Z6234">
        <v>-3.4855520000000001E-2</v>
      </c>
      <c r="AA6234">
        <v>0.94704440000000001</v>
      </c>
      <c r="AB6234">
        <v>38</v>
      </c>
      <c r="AC6234">
        <v>9.0215999999999994</v>
      </c>
      <c r="AD6234">
        <v>-1.115679546872</v>
      </c>
      <c r="AE6234">
        <v>20.800999999999899</v>
      </c>
      <c r="AF6234">
        <v>7.3352361238783601</v>
      </c>
      <c r="AG6234">
        <v>-1.115679546872</v>
      </c>
      <c r="AH6234">
        <v>21.395904037627101</v>
      </c>
      <c r="AI6234">
        <v>92.823898336551096</v>
      </c>
      <c r="AJ6234">
        <v>71.076559455773804</v>
      </c>
      <c r="AK6234">
        <v>22.645863627420098</v>
      </c>
      <c r="AL6234">
        <v>78.554443399100805</v>
      </c>
      <c r="AM6234">
        <v>84.606522215396197</v>
      </c>
      <c r="AN6234">
        <v>0.99999998055017103</v>
      </c>
    </row>
    <row r="6235" spans="1:40" x14ac:dyDescent="0.25">
      <c r="A6235" t="str">
        <f>"20190303170659067"</f>
        <v>20190303170659067</v>
      </c>
      <c r="B6235" t="str">
        <f>"1551604019061305"</f>
        <v>1551604019061305</v>
      </c>
      <c r="C6235" t="s">
        <v>40</v>
      </c>
      <c r="D6235">
        <v>5.5003060000000001</v>
      </c>
      <c r="E6235">
        <v>0.60413430000000001</v>
      </c>
      <c r="F6235" t="s">
        <v>84</v>
      </c>
      <c r="G6235">
        <v>-176.80779999999999</v>
      </c>
      <c r="H6235" s="1">
        <v>-5.4405099999999997E-6</v>
      </c>
      <c r="I6235">
        <v>135.30099999999999</v>
      </c>
      <c r="J6235">
        <v>-186.6815</v>
      </c>
      <c r="K6235">
        <v>1.11548</v>
      </c>
      <c r="L6235">
        <v>113.5801</v>
      </c>
      <c r="M6235">
        <v>8.4997779999999995E-2</v>
      </c>
      <c r="N6235">
        <v>-1.429835E-2</v>
      </c>
      <c r="O6235">
        <v>0.99627849999999996</v>
      </c>
      <c r="P6235">
        <v>0.17127709999999999</v>
      </c>
      <c r="Q6235">
        <v>0.1846266</v>
      </c>
      <c r="R6235">
        <v>0.96776910000000005</v>
      </c>
      <c r="S6235">
        <v>1.300476</v>
      </c>
      <c r="T6235">
        <v>-0.146396</v>
      </c>
      <c r="U6235">
        <v>2.9024200000000002</v>
      </c>
      <c r="V6235">
        <v>9.1067140000000005E-2</v>
      </c>
      <c r="W6235">
        <v>0.1973907</v>
      </c>
      <c r="X6235">
        <v>0.97608589999999995</v>
      </c>
      <c r="Y6235">
        <v>0.32949129999999999</v>
      </c>
      <c r="Z6235">
        <v>-3.2448039999999997E-2</v>
      </c>
      <c r="AA6235">
        <v>0.94360089999999996</v>
      </c>
      <c r="AB6235">
        <v>38</v>
      </c>
      <c r="AC6235">
        <v>9.8737000000000101</v>
      </c>
      <c r="AD6235">
        <v>-1.1154854405100001</v>
      </c>
      <c r="AE6235">
        <v>21.7209</v>
      </c>
      <c r="AF6235">
        <v>7.9741147847442102</v>
      </c>
      <c r="AG6235">
        <v>-1.1154854405100001</v>
      </c>
      <c r="AH6235">
        <v>22.432575906634298</v>
      </c>
      <c r="AI6235">
        <v>92.682572380029598</v>
      </c>
      <c r="AJ6235">
        <v>70.431210168852999</v>
      </c>
      <c r="AK6235">
        <v>23.833826301607001</v>
      </c>
      <c r="AL6235">
        <v>78.615584392231895</v>
      </c>
      <c r="AM6235">
        <v>84.669831932560299</v>
      </c>
      <c r="AN6235">
        <v>0.99999999830653896</v>
      </c>
    </row>
    <row r="6236" spans="1:40" x14ac:dyDescent="0.25">
      <c r="A6236" t="str">
        <f>"20190303170659090"</f>
        <v>20190303170659090</v>
      </c>
      <c r="B6236" t="str">
        <f>"1551604019080824"</f>
        <v>1551604019080824</v>
      </c>
      <c r="C6236" t="s">
        <v>40</v>
      </c>
      <c r="D6236">
        <v>5.6375820000000001</v>
      </c>
      <c r="E6236">
        <v>0.60521879999999995</v>
      </c>
      <c r="F6236" t="s">
        <v>84</v>
      </c>
      <c r="G6236">
        <v>-176.55340000000001</v>
      </c>
      <c r="H6236" s="1">
        <v>-5.3970979999999999E-6</v>
      </c>
      <c r="I6236">
        <v>135.6439</v>
      </c>
      <c r="J6236">
        <v>-186.64189999999999</v>
      </c>
      <c r="K6236">
        <v>1.1152820000000001</v>
      </c>
      <c r="L6236">
        <v>113.9768</v>
      </c>
      <c r="M6236">
        <v>9.1299359999999996E-2</v>
      </c>
      <c r="N6236">
        <v>-1.431227E-2</v>
      </c>
      <c r="O6236">
        <v>0.99572059999999996</v>
      </c>
      <c r="P6236">
        <v>0.17836840000000001</v>
      </c>
      <c r="Q6236">
        <v>0.1835782</v>
      </c>
      <c r="R6236">
        <v>0.96668699999999996</v>
      </c>
      <c r="S6236">
        <v>1.3279110000000001</v>
      </c>
      <c r="T6236">
        <v>-0.14625239999999901</v>
      </c>
      <c r="U6236">
        <v>2.8928069999999999</v>
      </c>
      <c r="V6236">
        <v>9.2106110000000005E-2</v>
      </c>
      <c r="W6236">
        <v>0.19630320000000001</v>
      </c>
      <c r="X6236">
        <v>0.97620770000000001</v>
      </c>
      <c r="Y6236">
        <v>0.33210410000000001</v>
      </c>
      <c r="Z6236">
        <v>-3.2405860000000002E-2</v>
      </c>
      <c r="AA6236">
        <v>0.94268589999999997</v>
      </c>
      <c r="AB6236">
        <v>38</v>
      </c>
      <c r="AC6236">
        <v>10.0884999999999</v>
      </c>
      <c r="AD6236">
        <v>-1.115287397098</v>
      </c>
      <c r="AE6236">
        <v>21.667100000000001</v>
      </c>
      <c r="AF6236">
        <v>8.0504319153389297</v>
      </c>
      <c r="AG6236">
        <v>-1.115287397098</v>
      </c>
      <c r="AH6236">
        <v>22.448874596144801</v>
      </c>
      <c r="AI6236">
        <v>92.677491268237802</v>
      </c>
      <c r="AJ6236">
        <v>70.271565981003704</v>
      </c>
      <c r="AK6236">
        <v>23.874783572528301</v>
      </c>
      <c r="AL6236">
        <v>78.679136775574904</v>
      </c>
      <c r="AM6236">
        <v>84.610045764259695</v>
      </c>
      <c r="AN6236">
        <v>0.99999997768443005</v>
      </c>
    </row>
    <row r="6237" spans="1:40" x14ac:dyDescent="0.25">
      <c r="A6237" t="str">
        <f>"20190303170659114"</f>
        <v>20190303170659114</v>
      </c>
      <c r="B6237" t="str">
        <f>"1551604019101321"</f>
        <v>1551604019101321</v>
      </c>
      <c r="C6237" t="s">
        <v>40</v>
      </c>
      <c r="D6237">
        <v>5.4504140000000003</v>
      </c>
      <c r="E6237">
        <v>0.60605469999999995</v>
      </c>
      <c r="F6237" t="s">
        <v>84</v>
      </c>
      <c r="G6237">
        <v>-176.56450000000001</v>
      </c>
      <c r="H6237" s="1">
        <v>-5.2970689999999999E-6</v>
      </c>
      <c r="I6237">
        <v>135.3603</v>
      </c>
      <c r="J6237">
        <v>-186.6009</v>
      </c>
      <c r="K6237">
        <v>1.1151150000000001</v>
      </c>
      <c r="L6237">
        <v>114.3629</v>
      </c>
      <c r="M6237">
        <v>9.7591860000000002E-2</v>
      </c>
      <c r="N6237">
        <v>-1.432566E-2</v>
      </c>
      <c r="O6237">
        <v>0.99512339999999999</v>
      </c>
      <c r="P6237">
        <v>0.18599760000000001</v>
      </c>
      <c r="Q6237">
        <v>0.1830223</v>
      </c>
      <c r="R6237">
        <v>0.96535369999999998</v>
      </c>
      <c r="S6237">
        <v>1.35791</v>
      </c>
      <c r="T6237">
        <v>-0.15028259999999999</v>
      </c>
      <c r="U6237">
        <v>2.8813780000000002</v>
      </c>
      <c r="V6237">
        <v>9.3709829999999994E-2</v>
      </c>
      <c r="W6237">
        <v>0.19570100000000001</v>
      </c>
      <c r="X6237">
        <v>0.97617600000000004</v>
      </c>
      <c r="Y6237">
        <v>0.33559709999999998</v>
      </c>
      <c r="Z6237">
        <v>-3.3693750000000001E-2</v>
      </c>
      <c r="AA6237">
        <v>0.94140290000000004</v>
      </c>
      <c r="AB6237">
        <v>38</v>
      </c>
      <c r="AC6237">
        <v>10.036399999999899</v>
      </c>
      <c r="AD6237">
        <v>-1.115120297069</v>
      </c>
      <c r="AE6237">
        <v>20.997399999999999</v>
      </c>
      <c r="AF6237">
        <v>7.9209105153867103</v>
      </c>
      <c r="AG6237">
        <v>-1.115120297069</v>
      </c>
      <c r="AH6237">
        <v>21.826608998048201</v>
      </c>
      <c r="AI6237">
        <v>92.749535561009694</v>
      </c>
      <c r="AJ6237">
        <v>70.054086334793396</v>
      </c>
      <c r="AK6237">
        <v>23.246186289870799</v>
      </c>
      <c r="AL6237">
        <v>78.714323017428995</v>
      </c>
      <c r="AM6237">
        <v>84.516587868392904</v>
      </c>
      <c r="AN6237">
        <v>0.99999999830781405</v>
      </c>
    </row>
    <row r="6238" spans="1:40" x14ac:dyDescent="0.25">
      <c r="A6238" t="str">
        <f>"20190303170659132"</f>
        <v>20190303170659132</v>
      </c>
      <c r="B6238" t="str">
        <f>"1551604019120841"</f>
        <v>1551604019120841</v>
      </c>
      <c r="C6238" t="s">
        <v>40</v>
      </c>
      <c r="D6238">
        <v>5.4770329999999996</v>
      </c>
      <c r="E6238">
        <v>0.60614169999999901</v>
      </c>
      <c r="F6238" t="s">
        <v>84</v>
      </c>
      <c r="G6238">
        <v>-176.84540000000001</v>
      </c>
      <c r="H6238" s="1">
        <v>-5.191117E-6</v>
      </c>
      <c r="I6238">
        <v>134.5763</v>
      </c>
      <c r="J6238">
        <v>-186.56370000000001</v>
      </c>
      <c r="K6238">
        <v>1.114981</v>
      </c>
      <c r="L6238">
        <v>114.69280000000001</v>
      </c>
      <c r="M6238">
        <v>0.10310039999999999</v>
      </c>
      <c r="N6238">
        <v>-1.433654E-2</v>
      </c>
      <c r="O6238">
        <v>0.9945676</v>
      </c>
      <c r="P6238">
        <v>0.19245599999999999</v>
      </c>
      <c r="Q6238">
        <v>0.18227460000000001</v>
      </c>
      <c r="R6238">
        <v>0.96422850000000004</v>
      </c>
      <c r="S6238">
        <v>1.3854979999999999</v>
      </c>
      <c r="T6238">
        <v>-0.15837129999999999</v>
      </c>
      <c r="U6238">
        <v>2.870743</v>
      </c>
      <c r="V6238">
        <v>9.488191E-2</v>
      </c>
      <c r="W6238">
        <v>0.1949176</v>
      </c>
      <c r="X6238">
        <v>0.97621950000000002</v>
      </c>
      <c r="Y6238">
        <v>0.33904240000000002</v>
      </c>
      <c r="Z6238">
        <v>-3.6263749999999997E-2</v>
      </c>
      <c r="AA6238">
        <v>0.94007189999999996</v>
      </c>
      <c r="AB6238">
        <v>38</v>
      </c>
      <c r="AC6238">
        <v>9.7182999999999993</v>
      </c>
      <c r="AD6238">
        <v>-1.114986191117</v>
      </c>
      <c r="AE6238">
        <v>19.883500000000002</v>
      </c>
      <c r="AF6238">
        <v>7.59700996328068</v>
      </c>
      <c r="AG6238">
        <v>-1.114986191117</v>
      </c>
      <c r="AH6238">
        <v>20.7269730721709</v>
      </c>
      <c r="AI6238">
        <v>92.891446933170101</v>
      </c>
      <c r="AJ6238">
        <v>69.870715004043902</v>
      </c>
      <c r="AK6238">
        <v>22.103510294138001</v>
      </c>
      <c r="AL6238">
        <v>78.760089715959595</v>
      </c>
      <c r="AM6238">
        <v>84.448675502448296</v>
      </c>
      <c r="AN6238">
        <v>0.99999997990762801</v>
      </c>
    </row>
    <row r="6239" spans="1:40" x14ac:dyDescent="0.25">
      <c r="A6239" t="str">
        <f>"20190303170659155"</f>
        <v>20190303170659155</v>
      </c>
      <c r="B6239" t="str">
        <f>"1551604019141337"</f>
        <v>1551604019141337</v>
      </c>
      <c r="C6239" t="s">
        <v>40</v>
      </c>
      <c r="D6239">
        <v>5.634601</v>
      </c>
      <c r="E6239">
        <v>0.60645769999999899</v>
      </c>
      <c r="F6239" t="s">
        <v>84</v>
      </c>
      <c r="G6239">
        <v>-176.6609</v>
      </c>
      <c r="H6239" s="1">
        <v>-5.1703670000000002E-6</v>
      </c>
      <c r="I6239">
        <v>134.85319999999999</v>
      </c>
      <c r="J6239">
        <v>-186.51910000000001</v>
      </c>
      <c r="K6239">
        <v>1.1148129999999901</v>
      </c>
      <c r="L6239">
        <v>115.0682</v>
      </c>
      <c r="M6239">
        <v>0.1095295</v>
      </c>
      <c r="N6239">
        <v>-1.434933E-2</v>
      </c>
      <c r="O6239">
        <v>0.99387999999999999</v>
      </c>
      <c r="P6239">
        <v>0.1991462</v>
      </c>
      <c r="Q6239">
        <v>0.1807935</v>
      </c>
      <c r="R6239">
        <v>0.96314820000000001</v>
      </c>
      <c r="S6239">
        <v>1.405197</v>
      </c>
      <c r="T6239">
        <v>-0.15821440000000001</v>
      </c>
      <c r="U6239">
        <v>2.8607330000000002</v>
      </c>
      <c r="V6239">
        <v>9.5370109999999994E-2</v>
      </c>
      <c r="W6239">
        <v>0.19340959999999999</v>
      </c>
      <c r="X6239">
        <v>0.9764718</v>
      </c>
      <c r="Y6239">
        <v>0.33947569999999999</v>
      </c>
      <c r="Z6239">
        <v>-3.6256770000000001E-2</v>
      </c>
      <c r="AA6239">
        <v>0.93991579999999997</v>
      </c>
      <c r="AB6239">
        <v>38</v>
      </c>
      <c r="AC6239">
        <v>9.8582000000000001</v>
      </c>
      <c r="AD6239">
        <v>-1.1148181703669999</v>
      </c>
      <c r="AE6239">
        <v>19.784999999999901</v>
      </c>
      <c r="AF6239">
        <v>7.6122505453859999</v>
      </c>
      <c r="AG6239">
        <v>-1.1148181703669999</v>
      </c>
      <c r="AH6239">
        <v>20.693182112837199</v>
      </c>
      <c r="AI6239">
        <v>92.894476333351705</v>
      </c>
      <c r="AJ6239">
        <v>69.803311862752096</v>
      </c>
      <c r="AK6239">
        <v>22.077068733728101</v>
      </c>
      <c r="AL6239">
        <v>78.848167669960105</v>
      </c>
      <c r="AM6239">
        <v>84.421724411050306</v>
      </c>
      <c r="AN6239">
        <v>0.99999995372440498</v>
      </c>
    </row>
    <row r="6240" spans="1:40" x14ac:dyDescent="0.25">
      <c r="A6240" t="str">
        <f>"20190303170659178"</f>
        <v>20190303170659178</v>
      </c>
      <c r="B6240" t="str">
        <f>"1551604019171593"</f>
        <v>1551604019171593</v>
      </c>
      <c r="C6240" t="s">
        <v>40</v>
      </c>
      <c r="D6240">
        <v>5.4483579999999998</v>
      </c>
      <c r="E6240">
        <v>0.60696289999999997</v>
      </c>
      <c r="F6240" t="s">
        <v>84</v>
      </c>
      <c r="G6240">
        <v>-176.74539999999999</v>
      </c>
      <c r="H6240" s="1">
        <v>-5.1209210000000003E-6</v>
      </c>
      <c r="I6240">
        <v>134.57089999999999</v>
      </c>
      <c r="J6240">
        <v>-186.47030000000001</v>
      </c>
      <c r="K6240">
        <v>1.114633</v>
      </c>
      <c r="L6240">
        <v>115.4558</v>
      </c>
      <c r="M6240">
        <v>0.1163541</v>
      </c>
      <c r="N6240">
        <v>-1.4364119999999999E-2</v>
      </c>
      <c r="O6240">
        <v>0.99310390000000004</v>
      </c>
      <c r="P6240">
        <v>0.20691329999999999</v>
      </c>
      <c r="Q6240">
        <v>0.17922289999999999</v>
      </c>
      <c r="R6240">
        <v>0.96180350000000003</v>
      </c>
      <c r="S6240">
        <v>1.4282840000000001</v>
      </c>
      <c r="T6240">
        <v>-0.1629149</v>
      </c>
      <c r="U6240">
        <v>2.8500519999999998</v>
      </c>
      <c r="V6240">
        <v>9.656853E-2</v>
      </c>
      <c r="W6240">
        <v>0.191799</v>
      </c>
      <c r="X6240">
        <v>0.97667170000000003</v>
      </c>
      <c r="Y6240">
        <v>0.34048390000000001</v>
      </c>
      <c r="Z6240">
        <v>-3.7774519999999999E-2</v>
      </c>
      <c r="AA6240">
        <v>0.93949130000000003</v>
      </c>
      <c r="AB6240">
        <v>38</v>
      </c>
      <c r="AC6240">
        <v>9.7249000000000194</v>
      </c>
      <c r="AD6240">
        <v>-1.1146381209209999</v>
      </c>
      <c r="AE6240">
        <v>19.115100000000002</v>
      </c>
      <c r="AF6240">
        <v>7.4144555370462903</v>
      </c>
      <c r="AG6240">
        <v>-1.1146381209209999</v>
      </c>
      <c r="AH6240">
        <v>20.062696043279399</v>
      </c>
      <c r="AI6240">
        <v>92.983149188408106</v>
      </c>
      <c r="AJ6240">
        <v>69.717488871879198</v>
      </c>
      <c r="AK6240">
        <v>21.417944382607502</v>
      </c>
      <c r="AL6240">
        <v>78.942209272816498</v>
      </c>
      <c r="AM6240">
        <v>84.353226782323006</v>
      </c>
      <c r="AN6240">
        <v>0.99999997348412495</v>
      </c>
    </row>
    <row r="6241" spans="1:40" x14ac:dyDescent="0.25">
      <c r="A6241" t="str">
        <f>"20190303170659191"</f>
        <v>20190303170659191</v>
      </c>
      <c r="B6241" t="str">
        <f>"1551604019181354"</f>
        <v>1551604019181354</v>
      </c>
      <c r="C6241" t="s">
        <v>40</v>
      </c>
      <c r="D6241">
        <v>5.4480089999999999</v>
      </c>
      <c r="E6241">
        <v>0.60703929999999995</v>
      </c>
      <c r="F6241" t="s">
        <v>84</v>
      </c>
      <c r="G6241">
        <v>-177.01990000000001</v>
      </c>
      <c r="H6241" s="1">
        <v>-5.0512960000000001E-6</v>
      </c>
      <c r="I6241">
        <v>133.89410000000001</v>
      </c>
      <c r="J6241">
        <v>-186.44210000000001</v>
      </c>
      <c r="K6241">
        <v>1.114527</v>
      </c>
      <c r="L6241">
        <v>115.66930000000001</v>
      </c>
      <c r="M6241">
        <v>0.1202083</v>
      </c>
      <c r="N6241">
        <v>-1.4373240000000001E-2</v>
      </c>
      <c r="O6241">
        <v>0.99264459999999999</v>
      </c>
      <c r="P6241">
        <v>0.2119915</v>
      </c>
      <c r="Q6241">
        <v>0.1789915</v>
      </c>
      <c r="R6241">
        <v>0.96074009999999999</v>
      </c>
      <c r="S6241">
        <v>1.4546809999999999</v>
      </c>
      <c r="T6241">
        <v>-0.17157329999999901</v>
      </c>
      <c r="U6241">
        <v>2.838165</v>
      </c>
      <c r="V6241">
        <v>9.7977980000000006E-2</v>
      </c>
      <c r="W6241">
        <v>0.19153039999999999</v>
      </c>
      <c r="X6241">
        <v>0.97658409999999995</v>
      </c>
      <c r="Y6241">
        <v>0.34529310000000002</v>
      </c>
      <c r="Z6241">
        <v>-4.0536290000000003E-2</v>
      </c>
      <c r="AA6241">
        <v>0.93761899999999998</v>
      </c>
      <c r="AB6241">
        <v>38</v>
      </c>
      <c r="AC6241">
        <v>9.4222000000000001</v>
      </c>
      <c r="AD6241">
        <v>-1.114532051296</v>
      </c>
      <c r="AE6241">
        <v>18.224799999999998</v>
      </c>
      <c r="AF6241">
        <v>7.1417877611170804</v>
      </c>
      <c r="AG6241">
        <v>-1.114532051296</v>
      </c>
      <c r="AH6241">
        <v>19.168793555474601</v>
      </c>
      <c r="AI6241">
        <v>93.118640912170093</v>
      </c>
      <c r="AJ6241">
        <v>69.5659311106525</v>
      </c>
      <c r="AK6241">
        <v>20.486335945957102</v>
      </c>
      <c r="AL6241">
        <v>78.957890386965801</v>
      </c>
      <c r="AM6241">
        <v>84.270844060754399</v>
      </c>
      <c r="AN6241">
        <v>1.00000004153092</v>
      </c>
    </row>
    <row r="6242" spans="1:40" x14ac:dyDescent="0.25">
      <c r="A6242" t="str">
        <f>"20190303170659210"</f>
        <v>20190303170659210</v>
      </c>
      <c r="B6242" t="str">
        <f>"1551604019200873"</f>
        <v>1551604019200873</v>
      </c>
      <c r="C6242" t="s">
        <v>40</v>
      </c>
      <c r="D6242">
        <v>5.4803699999999997</v>
      </c>
      <c r="E6242">
        <v>0.60701119999999897</v>
      </c>
      <c r="F6242" t="s">
        <v>84</v>
      </c>
      <c r="G6242">
        <v>-176.98519999999999</v>
      </c>
      <c r="H6242" s="1">
        <v>-5.0229359999999999E-6</v>
      </c>
      <c r="I6242">
        <v>133.8817</v>
      </c>
      <c r="J6242">
        <v>-186.39680000000001</v>
      </c>
      <c r="K6242">
        <v>1.1143620000000001</v>
      </c>
      <c r="L6242">
        <v>115.9999</v>
      </c>
      <c r="M6242">
        <v>0.12629939999999901</v>
      </c>
      <c r="N6242">
        <v>-1.438831E-2</v>
      </c>
      <c r="O6242">
        <v>0.99188779999999999</v>
      </c>
      <c r="P6242">
        <v>0.2212393</v>
      </c>
      <c r="Q6242">
        <v>0.17805409999999999</v>
      </c>
      <c r="R6242">
        <v>0.9588274</v>
      </c>
      <c r="S6242">
        <v>1.4697880000000001</v>
      </c>
      <c r="T6242">
        <v>-0.1732204</v>
      </c>
      <c r="U6242">
        <v>2.8305660000000001</v>
      </c>
      <c r="V6242">
        <v>0.1014404</v>
      </c>
      <c r="W6242">
        <v>0.1905124</v>
      </c>
      <c r="X6242">
        <v>0.97642960000000001</v>
      </c>
      <c r="Y6242">
        <v>0.34449269999999999</v>
      </c>
      <c r="Z6242">
        <v>-4.1081109999999997E-2</v>
      </c>
      <c r="AA6242">
        <v>0.93788970000000005</v>
      </c>
      <c r="AB6242">
        <v>37</v>
      </c>
      <c r="AC6242">
        <v>9.4116000000000195</v>
      </c>
      <c r="AD6242">
        <v>-1.1143670229359901</v>
      </c>
      <c r="AE6242">
        <v>17.881799999999998</v>
      </c>
      <c r="AF6242">
        <v>7.0560648107512796</v>
      </c>
      <c r="AG6242">
        <v>-1.1143670229359901</v>
      </c>
      <c r="AH6242">
        <v>18.869991820929499</v>
      </c>
      <c r="AI6242">
        <v>93.166051156780895</v>
      </c>
      <c r="AJ6242">
        <v>69.497698469393896</v>
      </c>
      <c r="AK6242">
        <v>20.176879238308299</v>
      </c>
      <c r="AL6242">
        <v>79.017310625901303</v>
      </c>
      <c r="AM6242">
        <v>84.068869639914297</v>
      </c>
      <c r="AN6242">
        <v>0.99999994653103796</v>
      </c>
    </row>
    <row r="6243" spans="1:40" x14ac:dyDescent="0.25">
      <c r="A6243" t="str">
        <f>"20190303170659225"</f>
        <v>20190303170659225</v>
      </c>
      <c r="B6243" t="str">
        <f>"1551604019211609"</f>
        <v>1551604019211609</v>
      </c>
      <c r="C6243" t="s">
        <v>40</v>
      </c>
      <c r="D6243">
        <v>5.4615489999999998</v>
      </c>
      <c r="E6243">
        <v>0.60700189999999998</v>
      </c>
      <c r="F6243" t="s">
        <v>84</v>
      </c>
      <c r="G6243">
        <v>-176.8724</v>
      </c>
      <c r="H6243" s="1">
        <v>-4.9611669999999998E-6</v>
      </c>
      <c r="I6243">
        <v>133.92169999999999</v>
      </c>
      <c r="J6243">
        <v>-186.3638</v>
      </c>
      <c r="K6243">
        <v>1.114242</v>
      </c>
      <c r="L6243">
        <v>116.2324</v>
      </c>
      <c r="M6243">
        <v>0.13066810000000001</v>
      </c>
      <c r="N6243">
        <v>-1.439942E-2</v>
      </c>
      <c r="O6243">
        <v>0.99132160000000002</v>
      </c>
      <c r="P6243">
        <v>0.2264726</v>
      </c>
      <c r="Q6243">
        <v>0.17743519999999999</v>
      </c>
      <c r="R6243">
        <v>0.95771969999999995</v>
      </c>
      <c r="S6243">
        <v>1.4965520000000001</v>
      </c>
      <c r="T6243">
        <v>-0.17509849999999999</v>
      </c>
      <c r="U6243">
        <v>2.8160249999999998</v>
      </c>
      <c r="V6243">
        <v>0.10250380000000001</v>
      </c>
      <c r="W6243">
        <v>0.18985840000000001</v>
      </c>
      <c r="X6243">
        <v>0.97644600000000004</v>
      </c>
      <c r="Y6243">
        <v>0.34929320000000003</v>
      </c>
      <c r="Z6243">
        <v>-4.1727750000000001E-2</v>
      </c>
      <c r="AA6243">
        <v>0.93608389999999997</v>
      </c>
      <c r="AB6243">
        <v>37</v>
      </c>
      <c r="AC6243">
        <v>9.4914000000000005</v>
      </c>
      <c r="AD6243">
        <v>-1.1142469611669901</v>
      </c>
      <c r="AE6243">
        <v>17.6892999999999</v>
      </c>
      <c r="AF6243">
        <v>7.0765372900782504</v>
      </c>
      <c r="AG6243">
        <v>-1.1142469611669901</v>
      </c>
      <c r="AH6243">
        <v>18.720282147242099</v>
      </c>
      <c r="AI6243">
        <v>93.186694341630499</v>
      </c>
      <c r="AJ6243">
        <v>69.292683100909201</v>
      </c>
      <c r="AK6243">
        <v>20.044148522216901</v>
      </c>
      <c r="AL6243">
        <v>79.055479474565104</v>
      </c>
      <c r="AM6243">
        <v>84.007243669517294</v>
      </c>
      <c r="AN6243">
        <v>1.00000001599049</v>
      </c>
    </row>
    <row r="6244" spans="1:40" x14ac:dyDescent="0.25">
      <c r="A6244" t="str">
        <f>"20190303170659244"</f>
        <v>20190303170659244</v>
      </c>
      <c r="B6244" t="str">
        <f>"1551604019231130"</f>
        <v>1551604019231130</v>
      </c>
      <c r="C6244" t="s">
        <v>40</v>
      </c>
      <c r="D6244">
        <v>5.4568719999999997</v>
      </c>
      <c r="E6244">
        <v>0.60697209999999902</v>
      </c>
      <c r="F6244" t="s">
        <v>84</v>
      </c>
      <c r="G6244">
        <v>-176.8058</v>
      </c>
      <c r="H6244" s="1">
        <v>-4.9381199999999999E-6</v>
      </c>
      <c r="I6244">
        <v>133.98070000000001</v>
      </c>
      <c r="J6244">
        <v>-186.31610000000001</v>
      </c>
      <c r="K6244">
        <v>1.1140650000000001</v>
      </c>
      <c r="L6244">
        <v>116.55370000000001</v>
      </c>
      <c r="M6244">
        <v>0.13685359999999999</v>
      </c>
      <c r="N6244">
        <v>-1.4416190000000001E-2</v>
      </c>
      <c r="O6244">
        <v>0.99048639999999999</v>
      </c>
      <c r="P6244">
        <v>0.2333307</v>
      </c>
      <c r="Q6244">
        <v>0.17645329999999901</v>
      </c>
      <c r="R6244">
        <v>0.95625360000000004</v>
      </c>
      <c r="S6244">
        <v>1.5119629999999999</v>
      </c>
      <c r="T6244">
        <v>-0.1762611</v>
      </c>
      <c r="U6244">
        <v>2.8075709999999998</v>
      </c>
      <c r="V6244">
        <v>0.1034451</v>
      </c>
      <c r="W6244">
        <v>0.18883820000000001</v>
      </c>
      <c r="X6244">
        <v>0.97654459999999998</v>
      </c>
      <c r="Y6244">
        <v>0.34859590000000001</v>
      </c>
      <c r="Z6244">
        <v>-4.212337E-2</v>
      </c>
      <c r="AA6244">
        <v>0.93632610000000005</v>
      </c>
      <c r="AB6244">
        <v>37</v>
      </c>
      <c r="AC6244">
        <v>9.5103000000000009</v>
      </c>
      <c r="AD6244">
        <v>-1.1140699381200001</v>
      </c>
      <c r="AE6244">
        <v>17.427</v>
      </c>
      <c r="AF6244">
        <v>7.0135207808627102</v>
      </c>
      <c r="AG6244">
        <v>-1.1140699381200001</v>
      </c>
      <c r="AH6244">
        <v>18.5063781892142</v>
      </c>
      <c r="AI6244">
        <v>93.221912743081504</v>
      </c>
      <c r="AJ6244">
        <v>69.244365355909395</v>
      </c>
      <c r="AK6244">
        <v>19.822125497858199</v>
      </c>
      <c r="AL6244">
        <v>79.115009961655403</v>
      </c>
      <c r="AM6244">
        <v>83.953223777838204</v>
      </c>
      <c r="AN6244">
        <v>1.0000000551412001</v>
      </c>
    </row>
    <row r="6245" spans="1:40" x14ac:dyDescent="0.25">
      <c r="A6245" t="str">
        <f>"20190303170659267"</f>
        <v>20190303170659267</v>
      </c>
      <c r="B6245" t="str">
        <f>"1551604019261385"</f>
        <v>1551604019261385</v>
      </c>
      <c r="C6245" t="s">
        <v>40</v>
      </c>
      <c r="D6245">
        <v>5.4486589999999904</v>
      </c>
      <c r="E6245">
        <v>0.60688140000000002</v>
      </c>
      <c r="F6245" t="s">
        <v>84</v>
      </c>
      <c r="G6245">
        <v>-176.70169999999999</v>
      </c>
      <c r="H6245" s="1">
        <v>-4.9109379999999996E-6</v>
      </c>
      <c r="I6245">
        <v>134.09620000000001</v>
      </c>
      <c r="J6245">
        <v>-186.2551</v>
      </c>
      <c r="K6245">
        <v>1.1138520000000001</v>
      </c>
      <c r="L6245">
        <v>116.944</v>
      </c>
      <c r="M6245">
        <v>0.14459359999999999</v>
      </c>
      <c r="N6245">
        <v>-1.44372999999999E-2</v>
      </c>
      <c r="O6245">
        <v>0.98938579999999998</v>
      </c>
      <c r="P6245">
        <v>0.2427571</v>
      </c>
      <c r="Q6245">
        <v>0.1757012</v>
      </c>
      <c r="R6245">
        <v>0.95404299999999997</v>
      </c>
      <c r="S6245">
        <v>1.53244</v>
      </c>
      <c r="T6245">
        <v>-0.17757200000000001</v>
      </c>
      <c r="U6245">
        <v>2.7960970000000001</v>
      </c>
      <c r="V6245">
        <v>0.1055136</v>
      </c>
      <c r="W6245">
        <v>0.1880201</v>
      </c>
      <c r="X6245">
        <v>0.97648109999999999</v>
      </c>
      <c r="Y6245">
        <v>0.34815089999999999</v>
      </c>
      <c r="Z6245">
        <v>-4.2574059999999997E-2</v>
      </c>
      <c r="AA6245">
        <v>0.93647130000000001</v>
      </c>
      <c r="AB6245">
        <v>37</v>
      </c>
      <c r="AC6245">
        <v>9.5533999999999999</v>
      </c>
      <c r="AD6245">
        <v>-1.1138569109379901</v>
      </c>
      <c r="AE6245">
        <v>17.152200000000001</v>
      </c>
      <c r="AF6245">
        <v>6.9502562211959704</v>
      </c>
      <c r="AG6245">
        <v>-1.1138569109379901</v>
      </c>
      <c r="AH6245">
        <v>18.2945327659566</v>
      </c>
      <c r="AI6245">
        <v>93.257516529867203</v>
      </c>
      <c r="AJ6245">
        <v>69.197769057289705</v>
      </c>
      <c r="AK6245">
        <v>19.601955715769201</v>
      </c>
      <c r="AL6245">
        <v>79.162738096593301</v>
      </c>
      <c r="AM6245">
        <v>83.832836425211894</v>
      </c>
      <c r="AN6245">
        <v>1.00000000822309</v>
      </c>
    </row>
    <row r="6246" spans="1:40" x14ac:dyDescent="0.25">
      <c r="A6246" t="str">
        <f>"20190303170659279"</f>
        <v>20190303170659279</v>
      </c>
      <c r="B6246" t="str">
        <f>"1551604019271147"</f>
        <v>1551604019271147</v>
      </c>
      <c r="C6246" t="s">
        <v>40</v>
      </c>
      <c r="D6246">
        <v>5.4724259999999996</v>
      </c>
      <c r="E6246">
        <v>0.60685690000000003</v>
      </c>
      <c r="F6246" t="s">
        <v>84</v>
      </c>
      <c r="G6246">
        <v>-176.5557</v>
      </c>
      <c r="H6246" s="1">
        <v>-4.8662400000000004E-6</v>
      </c>
      <c r="I6246">
        <v>134.24090000000001</v>
      </c>
      <c r="J6246">
        <v>-186.2208</v>
      </c>
      <c r="K6246">
        <v>1.1137440000000001</v>
      </c>
      <c r="L6246">
        <v>117.1549</v>
      </c>
      <c r="M6246">
        <v>0.148863299999999</v>
      </c>
      <c r="N6246">
        <v>-1.444867E-2</v>
      </c>
      <c r="O6246">
        <v>0.98875219999999997</v>
      </c>
      <c r="P6246">
        <v>0.2488205</v>
      </c>
      <c r="Q6246">
        <v>0.17554029999999901</v>
      </c>
      <c r="R6246">
        <v>0.9525093</v>
      </c>
      <c r="S6246">
        <v>1.5593109999999999</v>
      </c>
      <c r="T6246">
        <v>-0.17906759999999999</v>
      </c>
      <c r="U6246">
        <v>2.780716</v>
      </c>
      <c r="V6246">
        <v>0.1075569</v>
      </c>
      <c r="W6246">
        <v>0.1878051</v>
      </c>
      <c r="X6246">
        <v>0.97629949999999999</v>
      </c>
      <c r="Y6246">
        <v>0.3531784</v>
      </c>
      <c r="Z6246">
        <v>-4.3102080000000001E-2</v>
      </c>
      <c r="AA6246">
        <v>0.93456260000000002</v>
      </c>
      <c r="AB6246">
        <v>37</v>
      </c>
      <c r="AC6246">
        <v>9.66509999999999</v>
      </c>
      <c r="AD6246">
        <v>-1.1137488662399999</v>
      </c>
      <c r="AE6246">
        <v>17.085999999999999</v>
      </c>
      <c r="AF6246">
        <v>6.9911381834711204</v>
      </c>
      <c r="AG6246">
        <v>-1.1137488662399999</v>
      </c>
      <c r="AH6246">
        <v>18.275683177705801</v>
      </c>
      <c r="AI6246">
        <v>93.257707898378698</v>
      </c>
      <c r="AJ6246">
        <v>69.066262100343593</v>
      </c>
      <c r="AK6246">
        <v>19.5989041849109</v>
      </c>
      <c r="AL6246">
        <v>79.175279784754395</v>
      </c>
      <c r="AM6246">
        <v>83.7131947428432</v>
      </c>
      <c r="AN6246">
        <v>0.99999997801193397</v>
      </c>
    </row>
    <row r="6247" spans="1:40" x14ac:dyDescent="0.25">
      <c r="A6247" t="str">
        <f>"20190303170659293"</f>
        <v>20190303170659293</v>
      </c>
      <c r="B6247" t="str">
        <f>"1551604019280905"</f>
        <v>1551604019280905</v>
      </c>
      <c r="C6247" t="s">
        <v>40</v>
      </c>
      <c r="D6247">
        <v>5.4385199999999996</v>
      </c>
      <c r="E6247">
        <v>0.60685279999999997</v>
      </c>
      <c r="F6247" t="s">
        <v>84</v>
      </c>
      <c r="G6247">
        <v>-176.4563</v>
      </c>
      <c r="H6247" s="1">
        <v>-4.8284369999999998E-6</v>
      </c>
      <c r="I6247">
        <v>134.31989999999999</v>
      </c>
      <c r="J6247">
        <v>-186.1842</v>
      </c>
      <c r="K6247">
        <v>1.113626</v>
      </c>
      <c r="L6247">
        <v>117.373</v>
      </c>
      <c r="M6247">
        <v>0.15336749999999999</v>
      </c>
      <c r="N6247">
        <v>-1.4460880000000001E-2</v>
      </c>
      <c r="O6247">
        <v>0.98806340000000004</v>
      </c>
      <c r="P6247">
        <v>0.25491049999999998</v>
      </c>
      <c r="Q6247">
        <v>0.17516689999999999</v>
      </c>
      <c r="R6247">
        <v>0.95096650000000005</v>
      </c>
      <c r="S6247">
        <v>1.576279</v>
      </c>
      <c r="T6247">
        <v>-0.17979239999999999</v>
      </c>
      <c r="U6247">
        <v>2.7709350000000001</v>
      </c>
      <c r="V6247">
        <v>0.10939400000000001</v>
      </c>
      <c r="W6247">
        <v>0.1873803</v>
      </c>
      <c r="X6247">
        <v>0.97617699999999996</v>
      </c>
      <c r="Y6247">
        <v>0.35464950000000001</v>
      </c>
      <c r="Z6247">
        <v>-4.3361749999999998E-2</v>
      </c>
      <c r="AA6247">
        <v>0.93399330000000003</v>
      </c>
      <c r="AB6247">
        <v>37</v>
      </c>
      <c r="AC6247">
        <v>9.7279</v>
      </c>
      <c r="AD6247">
        <v>-1.113630828437</v>
      </c>
      <c r="AE6247">
        <v>16.946899999999999</v>
      </c>
      <c r="AF6247">
        <v>6.9907059919459096</v>
      </c>
      <c r="AG6247">
        <v>-1.113630828437</v>
      </c>
      <c r="AH6247">
        <v>18.179416177615099</v>
      </c>
      <c r="AI6247">
        <v>93.272388604747803</v>
      </c>
      <c r="AJ6247">
        <v>68.966270099115505</v>
      </c>
      <c r="AK6247">
        <v>19.5090060343116</v>
      </c>
      <c r="AL6247">
        <v>79.200058957799001</v>
      </c>
      <c r="AM6247">
        <v>83.605900560098704</v>
      </c>
      <c r="AN6247">
        <v>0.99999997969654397</v>
      </c>
    </row>
    <row r="6248" spans="1:40" x14ac:dyDescent="0.25">
      <c r="A6248" t="str">
        <f>"20190303170659314"</f>
        <v>20190303170659314</v>
      </c>
      <c r="B6248" t="str">
        <f>"1551604019301400"</f>
        <v>1551604019301400</v>
      </c>
      <c r="C6248" t="s">
        <v>40</v>
      </c>
      <c r="D6248">
        <v>5.4594509999999996</v>
      </c>
      <c r="E6248">
        <v>0.60681459999999998</v>
      </c>
      <c r="F6248" t="s">
        <v>84</v>
      </c>
      <c r="G6248">
        <v>-176.37970000000001</v>
      </c>
      <c r="H6248" s="1">
        <v>-4.790747E-6</v>
      </c>
      <c r="I6248">
        <v>134.35830000000001</v>
      </c>
      <c r="J6248">
        <v>-186.12710000000001</v>
      </c>
      <c r="K6248">
        <v>1.1134500000000001</v>
      </c>
      <c r="L6248">
        <v>117.70189999999999</v>
      </c>
      <c r="M6248">
        <v>0.1603012</v>
      </c>
      <c r="N6248">
        <v>-1.447961E-2</v>
      </c>
      <c r="O6248">
        <v>0.98696200000000001</v>
      </c>
      <c r="P6248">
        <v>0.26434279999999999</v>
      </c>
      <c r="Q6248">
        <v>0.173877</v>
      </c>
      <c r="R6248">
        <v>0.9486251</v>
      </c>
      <c r="S6248">
        <v>1.5936429999999999</v>
      </c>
      <c r="T6248">
        <v>-0.18101200000000001</v>
      </c>
      <c r="U6248">
        <v>2.760834</v>
      </c>
      <c r="V6248">
        <v>0.1122609</v>
      </c>
      <c r="W6248">
        <v>0.1860096</v>
      </c>
      <c r="X6248">
        <v>0.97611369999999997</v>
      </c>
      <c r="Y6248">
        <v>0.35396149999999998</v>
      </c>
      <c r="Z6248">
        <v>-4.3773100000000002E-2</v>
      </c>
      <c r="AA6248">
        <v>0.93423500000000004</v>
      </c>
      <c r="AB6248">
        <v>37</v>
      </c>
      <c r="AC6248">
        <v>9.7474000000000007</v>
      </c>
      <c r="AD6248">
        <v>-1.113454790747</v>
      </c>
      <c r="AE6248">
        <v>16.656400000000001</v>
      </c>
      <c r="AF6248">
        <v>6.9279394473446398</v>
      </c>
      <c r="AG6248">
        <v>-1.113454790747</v>
      </c>
      <c r="AH6248">
        <v>17.943909429364801</v>
      </c>
      <c r="AI6248">
        <v>93.3130009921896</v>
      </c>
      <c r="AJ6248">
        <v>68.8889921160347</v>
      </c>
      <c r="AK6248">
        <v>19.267070669054998</v>
      </c>
      <c r="AL6248">
        <v>79.280000234047606</v>
      </c>
      <c r="AM6248">
        <v>83.439350313197806</v>
      </c>
      <c r="AN6248">
        <v>1.00000001814432</v>
      </c>
    </row>
    <row r="6249" spans="1:40" x14ac:dyDescent="0.25">
      <c r="A6249" t="str">
        <f>"20190303170659335"</f>
        <v>20190303170659335</v>
      </c>
      <c r="B6249" t="str">
        <f>"1551604019320921"</f>
        <v>1551604019320921</v>
      </c>
      <c r="C6249" t="s">
        <v>40</v>
      </c>
      <c r="D6249">
        <v>5.4677800000000003</v>
      </c>
      <c r="E6249">
        <v>0.60679700000000003</v>
      </c>
      <c r="F6249" t="s">
        <v>84</v>
      </c>
      <c r="G6249">
        <v>-176.30940000000001</v>
      </c>
      <c r="H6249" s="1">
        <v>-4.7297190000000001E-6</v>
      </c>
      <c r="I6249">
        <v>134.32380000000001</v>
      </c>
      <c r="J6249">
        <v>-186.0617</v>
      </c>
      <c r="K6249">
        <v>1.113246</v>
      </c>
      <c r="L6249">
        <v>118.062</v>
      </c>
      <c r="M6249">
        <v>0.1681126</v>
      </c>
      <c r="N6249">
        <v>-1.4502289999999999E-2</v>
      </c>
      <c r="O6249">
        <v>0.98566109999999896</v>
      </c>
      <c r="P6249">
        <v>0.27311809999999997</v>
      </c>
      <c r="Q6249">
        <v>0.17348920000000001</v>
      </c>
      <c r="R6249">
        <v>0.94620720000000003</v>
      </c>
      <c r="S6249">
        <v>1.6210020000000001</v>
      </c>
      <c r="T6249">
        <v>-0.18384429999999999</v>
      </c>
      <c r="U6249">
        <v>2.7444609999999998</v>
      </c>
      <c r="V6249">
        <v>0.1136477</v>
      </c>
      <c r="W6249">
        <v>0.18556310000000001</v>
      </c>
      <c r="X6249">
        <v>0.97603819999999997</v>
      </c>
      <c r="Y6249">
        <v>0.35587459999999999</v>
      </c>
      <c r="Z6249">
        <v>-4.4716980000000003E-2</v>
      </c>
      <c r="AA6249">
        <v>0.9334633</v>
      </c>
      <c r="AB6249">
        <v>37</v>
      </c>
      <c r="AC6249">
        <v>9.7522999999999893</v>
      </c>
      <c r="AD6249">
        <v>-1.113250729719</v>
      </c>
      <c r="AE6249">
        <v>16.261799999999901</v>
      </c>
      <c r="AF6249">
        <v>6.8557421227812698</v>
      </c>
      <c r="AG6249">
        <v>-1.113250729719</v>
      </c>
      <c r="AH6249">
        <v>17.6092701945473</v>
      </c>
      <c r="AI6249">
        <v>93.371526391833996</v>
      </c>
      <c r="AJ6249">
        <v>68.727756139151694</v>
      </c>
      <c r="AK6249">
        <v>18.929525192827001</v>
      </c>
      <c r="AL6249">
        <v>79.3060360540711</v>
      </c>
      <c r="AM6249">
        <v>83.358514660223904</v>
      </c>
      <c r="AN6249">
        <v>1.00000001582807</v>
      </c>
    </row>
    <row r="6250" spans="1:40" x14ac:dyDescent="0.25">
      <c r="A6250" t="str">
        <f>"20190303170659358"</f>
        <v>20190303170659358</v>
      </c>
      <c r="B6250" t="str">
        <f>"1551604019351178"</f>
        <v>1551604019351178</v>
      </c>
      <c r="C6250" t="s">
        <v>40</v>
      </c>
      <c r="D6250">
        <v>5.4974040000000004</v>
      </c>
      <c r="E6250">
        <v>0.60673679999999997</v>
      </c>
      <c r="F6250" t="s">
        <v>84</v>
      </c>
      <c r="G6250">
        <v>-176.07499999999999</v>
      </c>
      <c r="H6250" s="1">
        <v>-4.6777250000000002E-6</v>
      </c>
      <c r="I6250">
        <v>134.60830000000001</v>
      </c>
      <c r="J6250">
        <v>-185.9897</v>
      </c>
      <c r="K6250">
        <v>1.113024</v>
      </c>
      <c r="L6250">
        <v>118.43989999999999</v>
      </c>
      <c r="M6250">
        <v>0.17655779999999999</v>
      </c>
      <c r="N6250">
        <v>-1.452882E-2</v>
      </c>
      <c r="O6250">
        <v>0.98418300000000003</v>
      </c>
      <c r="P6250">
        <v>0.28436650000000002</v>
      </c>
      <c r="Q6250">
        <v>0.1742754</v>
      </c>
      <c r="R6250">
        <v>0.94274259999999999</v>
      </c>
      <c r="S6250">
        <v>1.64700299999999</v>
      </c>
      <c r="T6250">
        <v>-0.1835966</v>
      </c>
      <c r="U6250">
        <v>2.7288060000000001</v>
      </c>
      <c r="V6250">
        <v>0.1170506</v>
      </c>
      <c r="W6250">
        <v>0.18624250000000001</v>
      </c>
      <c r="X6250">
        <v>0.97550650000000005</v>
      </c>
      <c r="Y6250">
        <v>0.35675200000000001</v>
      </c>
      <c r="Z6250">
        <v>-4.4669769999999998E-2</v>
      </c>
      <c r="AA6250">
        <v>0.93313060000000003</v>
      </c>
      <c r="AB6250">
        <v>37</v>
      </c>
      <c r="AC6250">
        <v>9.9146999999999998</v>
      </c>
      <c r="AD6250">
        <v>-1.113028677725</v>
      </c>
      <c r="AE6250">
        <v>16.168399999999998</v>
      </c>
      <c r="AF6250">
        <v>6.8802561482863602</v>
      </c>
      <c r="AG6250">
        <v>-1.113028677725</v>
      </c>
      <c r="AH6250">
        <v>17.604419474174399</v>
      </c>
      <c r="AI6250">
        <v>93.370074429532593</v>
      </c>
      <c r="AJ6250">
        <v>68.653174123290498</v>
      </c>
      <c r="AK6250">
        <v>18.933894013809201</v>
      </c>
      <c r="AL6250">
        <v>79.266418760291302</v>
      </c>
      <c r="AM6250">
        <v>83.157816016422004</v>
      </c>
      <c r="AN6250">
        <v>1.00000002165442</v>
      </c>
    </row>
    <row r="6251" spans="1:40" x14ac:dyDescent="0.25">
      <c r="A6251" t="str">
        <f>"20190303170659379"</f>
        <v>20190303170659379</v>
      </c>
      <c r="B6251" t="str">
        <f>"1551604019370697"</f>
        <v>1551604019370697</v>
      </c>
      <c r="C6251" t="s">
        <v>40</v>
      </c>
      <c r="D6251">
        <v>5.5008339999999896</v>
      </c>
      <c r="E6251">
        <v>0.60665839999999904</v>
      </c>
      <c r="F6251" t="s">
        <v>84</v>
      </c>
      <c r="G6251">
        <v>-175.6241</v>
      </c>
      <c r="H6251" s="1">
        <v>-4.5782620000000001E-6</v>
      </c>
      <c r="I6251">
        <v>135.1567</v>
      </c>
      <c r="J6251">
        <v>-185.91829999999999</v>
      </c>
      <c r="K6251">
        <v>1.1127990000000001</v>
      </c>
      <c r="L6251">
        <v>118.7974</v>
      </c>
      <c r="M6251">
        <v>0.18479029999999999</v>
      </c>
      <c r="N6251">
        <v>-1.455528E-2</v>
      </c>
      <c r="O6251">
        <v>0.98267020000000005</v>
      </c>
      <c r="P6251">
        <v>0.29624270000000003</v>
      </c>
      <c r="Q6251">
        <v>0.1745477</v>
      </c>
      <c r="R6251">
        <v>0.93902790000000003</v>
      </c>
      <c r="S6251">
        <v>1.6797029999999999</v>
      </c>
      <c r="T6251">
        <v>-0.18036099999999999</v>
      </c>
      <c r="U6251">
        <v>2.7088779999999999</v>
      </c>
      <c r="V6251">
        <v>0.12132</v>
      </c>
      <c r="W6251">
        <v>0.1863881</v>
      </c>
      <c r="X6251">
        <v>0.97495690000000002</v>
      </c>
      <c r="Y6251">
        <v>0.36016520000000002</v>
      </c>
      <c r="Z6251">
        <v>-4.3684760000000003E-2</v>
      </c>
      <c r="AA6251">
        <v>0.93186519999999995</v>
      </c>
      <c r="AB6251">
        <v>37</v>
      </c>
      <c r="AC6251">
        <v>10.294199999999901</v>
      </c>
      <c r="AD6251">
        <v>-1.1128035782619901</v>
      </c>
      <c r="AE6251">
        <v>16.359300000000001</v>
      </c>
      <c r="AF6251">
        <v>7.0700803342456799</v>
      </c>
      <c r="AG6251">
        <v>-1.1128035782619901</v>
      </c>
      <c r="AH6251">
        <v>17.920569471439201</v>
      </c>
      <c r="AI6251">
        <v>93.305933555227497</v>
      </c>
      <c r="AJ6251">
        <v>68.469615668379703</v>
      </c>
      <c r="AK6251">
        <v>19.296921462170101</v>
      </c>
      <c r="AL6251">
        <v>79.2579277086773</v>
      </c>
      <c r="AM6251">
        <v>82.906788293923697</v>
      </c>
      <c r="AN6251">
        <v>1.0000000115396099</v>
      </c>
    </row>
    <row r="6252" spans="1:40" x14ac:dyDescent="0.25">
      <c r="A6252" t="str">
        <f>"20190303170659400"</f>
        <v>20190303170659400</v>
      </c>
      <c r="B6252" t="str">
        <f>"1551604019391193"</f>
        <v>1551604019391193</v>
      </c>
      <c r="C6252" t="s">
        <v>40</v>
      </c>
      <c r="D6252">
        <v>5.4674069999999997</v>
      </c>
      <c r="E6252">
        <v>0.60654129999999995</v>
      </c>
      <c r="F6252" t="s">
        <v>84</v>
      </c>
      <c r="G6252">
        <v>-175.36519999999999</v>
      </c>
      <c r="H6252" s="1">
        <v>-4.479783E-6</v>
      </c>
      <c r="I6252">
        <v>135.36259999999999</v>
      </c>
      <c r="J6252">
        <v>-185.84639999999999</v>
      </c>
      <c r="K6252">
        <v>1.1125750000000001</v>
      </c>
      <c r="L6252">
        <v>119.1417</v>
      </c>
      <c r="M6252">
        <v>0.19296269999999999</v>
      </c>
      <c r="N6252">
        <v>-1.4582110000000001E-2</v>
      </c>
      <c r="O6252">
        <v>0.98109780000000002</v>
      </c>
      <c r="P6252">
        <v>0.30862329999999999</v>
      </c>
      <c r="Q6252">
        <v>0.17463480000000001</v>
      </c>
      <c r="R6252">
        <v>0.93501570000000001</v>
      </c>
      <c r="S6252">
        <v>1.7125090000000001</v>
      </c>
      <c r="T6252">
        <v>-0.1805795</v>
      </c>
      <c r="U6252">
        <v>2.68811</v>
      </c>
      <c r="V6252">
        <v>0.1262016</v>
      </c>
      <c r="W6252">
        <v>0.18633050000000001</v>
      </c>
      <c r="X6252">
        <v>0.97434799999999999</v>
      </c>
      <c r="Y6252">
        <v>0.36374620000000002</v>
      </c>
      <c r="Z6252">
        <v>-4.3800840000000001E-2</v>
      </c>
      <c r="AA6252">
        <v>0.93046770000000001</v>
      </c>
      <c r="AB6252">
        <v>37</v>
      </c>
      <c r="AC6252">
        <v>10.481199999999999</v>
      </c>
      <c r="AD6252">
        <v>-1.112579479783</v>
      </c>
      <c r="AE6252">
        <v>16.220899999999901</v>
      </c>
      <c r="AF6252">
        <v>7.1301500162589804</v>
      </c>
      <c r="AG6252">
        <v>-1.112579479783</v>
      </c>
      <c r="AH6252">
        <v>17.8793376539919</v>
      </c>
      <c r="AI6252">
        <v>93.308041202628402</v>
      </c>
      <c r="AJ6252">
        <v>68.258245514811904</v>
      </c>
      <c r="AK6252">
        <v>19.280756917160801</v>
      </c>
      <c r="AL6252">
        <v>79.261286253738504</v>
      </c>
      <c r="AM6252">
        <v>82.619900387727</v>
      </c>
      <c r="AN6252">
        <v>0.99999996208840403</v>
      </c>
    </row>
    <row r="6253" spans="1:40" x14ac:dyDescent="0.25">
      <c r="A6253" t="str">
        <f>"20190303170659423"</f>
        <v>20190303170659423</v>
      </c>
      <c r="B6253" t="str">
        <f>"1551604019410713"</f>
        <v>1551604019410713</v>
      </c>
      <c r="C6253" t="s">
        <v>40</v>
      </c>
      <c r="D6253">
        <v>5.4978049999999996</v>
      </c>
      <c r="E6253">
        <v>0.60648419999999903</v>
      </c>
      <c r="F6253" t="s">
        <v>84</v>
      </c>
      <c r="G6253">
        <v>-175.09110000000001</v>
      </c>
      <c r="H6253" s="1">
        <v>-4.3663589999999997E-6</v>
      </c>
      <c r="I6253">
        <v>135.5564</v>
      </c>
      <c r="J6253">
        <v>-185.768</v>
      </c>
      <c r="K6253">
        <v>1.1123369999999999</v>
      </c>
      <c r="L6253">
        <v>119.50109999999999</v>
      </c>
      <c r="M6253">
        <v>0.20175009999999999</v>
      </c>
      <c r="N6253">
        <v>-1.461236E-2</v>
      </c>
      <c r="O6253">
        <v>0.97932799999999998</v>
      </c>
      <c r="P6253">
        <v>0.32067020000000002</v>
      </c>
      <c r="Q6253">
        <v>0.17432120000000001</v>
      </c>
      <c r="R6253">
        <v>0.9310117</v>
      </c>
      <c r="S6253">
        <v>1.746658</v>
      </c>
      <c r="T6253">
        <v>-0.18068239999999999</v>
      </c>
      <c r="U6253">
        <v>2.6657259999999998</v>
      </c>
      <c r="V6253">
        <v>0.13014680000000001</v>
      </c>
      <c r="W6253">
        <v>0.1858863</v>
      </c>
      <c r="X6253">
        <v>0.97391380000000005</v>
      </c>
      <c r="Y6253">
        <v>0.367311</v>
      </c>
      <c r="Z6253">
        <v>-4.3882110000000002E-2</v>
      </c>
      <c r="AA6253">
        <v>0.92906239999999995</v>
      </c>
      <c r="AB6253">
        <v>37</v>
      </c>
      <c r="AC6253">
        <v>10.6768999999999</v>
      </c>
      <c r="AD6253">
        <v>-1.112341366359</v>
      </c>
      <c r="AE6253">
        <v>16.055299999999999</v>
      </c>
      <c r="AF6253">
        <v>7.1938572687725699</v>
      </c>
      <c r="AG6253">
        <v>-1.112341366359</v>
      </c>
      <c r="AH6253">
        <v>17.8200718818361</v>
      </c>
      <c r="AI6253">
        <v>93.312706118911706</v>
      </c>
      <c r="AJ6253">
        <v>68.016362587313495</v>
      </c>
      <c r="AK6253">
        <v>19.249515515788701</v>
      </c>
      <c r="AL6253">
        <v>79.287189980584898</v>
      </c>
      <c r="AM6253">
        <v>82.388500444673895</v>
      </c>
      <c r="AN6253">
        <v>0.99999999795418504</v>
      </c>
    </row>
    <row r="6254" spans="1:40" x14ac:dyDescent="0.25">
      <c r="A6254" t="str">
        <f>"20190303170659437"</f>
        <v>20190303170659437</v>
      </c>
      <c r="B6254" t="str">
        <f>"1551604019431209"</f>
        <v>1551604019431209</v>
      </c>
      <c r="C6254" t="s">
        <v>40</v>
      </c>
      <c r="D6254">
        <v>5.4798619999999998</v>
      </c>
      <c r="E6254">
        <v>0.6064387</v>
      </c>
      <c r="F6254" t="s">
        <v>84</v>
      </c>
      <c r="G6254">
        <v>-174.8322</v>
      </c>
      <c r="H6254" s="1">
        <v>-4.2837570000000003E-6</v>
      </c>
      <c r="I6254">
        <v>135.72499999999999</v>
      </c>
      <c r="J6254">
        <v>-185.71770000000001</v>
      </c>
      <c r="K6254">
        <v>1.112177</v>
      </c>
      <c r="L6254">
        <v>119.7218</v>
      </c>
      <c r="M6254">
        <v>0.2073229</v>
      </c>
      <c r="N6254">
        <v>-1.4633409999999999E-2</v>
      </c>
      <c r="O6254">
        <v>0.97816309999999995</v>
      </c>
      <c r="P6254">
        <v>0.32727889999999998</v>
      </c>
      <c r="Q6254">
        <v>0.17432429999999999</v>
      </c>
      <c r="R6254">
        <v>0.9287086</v>
      </c>
      <c r="S6254">
        <v>1.781296</v>
      </c>
      <c r="T6254">
        <v>-0.18118580000000001</v>
      </c>
      <c r="U6254">
        <v>2.6426699999999999</v>
      </c>
      <c r="V6254">
        <v>0.13159680000000001</v>
      </c>
      <c r="W6254">
        <v>0.1858292</v>
      </c>
      <c r="X6254">
        <v>0.97372979999999998</v>
      </c>
      <c r="Y6254">
        <v>0.37412699999999999</v>
      </c>
      <c r="Z6254">
        <v>-4.4106149999999997E-2</v>
      </c>
      <c r="AA6254">
        <v>0.92632809999999999</v>
      </c>
      <c r="AB6254">
        <v>37</v>
      </c>
      <c r="AC6254">
        <v>10.8855</v>
      </c>
      <c r="AD6254">
        <v>-1.112181283757</v>
      </c>
      <c r="AE6254">
        <v>16.0031999999999</v>
      </c>
      <c r="AF6254">
        <v>7.3066225854283999</v>
      </c>
      <c r="AG6254">
        <v>-1.112181283757</v>
      </c>
      <c r="AH6254">
        <v>17.853517643085201</v>
      </c>
      <c r="AI6254">
        <v>93.299647614525895</v>
      </c>
      <c r="AJ6254">
        <v>67.742974562288097</v>
      </c>
      <c r="AK6254">
        <v>19.322830358045</v>
      </c>
      <c r="AL6254">
        <v>79.290519240193802</v>
      </c>
      <c r="AM6254">
        <v>82.303272647953705</v>
      </c>
      <c r="AN6254">
        <v>0.99999996637545896</v>
      </c>
    </row>
    <row r="6255" spans="1:40" x14ac:dyDescent="0.25">
      <c r="A6255" t="str">
        <f>"20190303170659449"</f>
        <v>20190303170659449</v>
      </c>
      <c r="B6255" t="str">
        <f>"1551604019440969"</f>
        <v>1551604019440969</v>
      </c>
      <c r="C6255" t="s">
        <v>40</v>
      </c>
      <c r="D6255">
        <v>5.4843199999999896</v>
      </c>
      <c r="E6255">
        <v>0.60639009999999904</v>
      </c>
      <c r="F6255" t="s">
        <v>84</v>
      </c>
      <c r="G6255">
        <v>-174.64519999999999</v>
      </c>
      <c r="H6255" s="1">
        <v>-4.2665050000000001E-6</v>
      </c>
      <c r="I6255">
        <v>135.8981</v>
      </c>
      <c r="J6255">
        <v>-185.6651</v>
      </c>
      <c r="K6255">
        <v>1.1120129999999999</v>
      </c>
      <c r="L6255">
        <v>119.94750000000001</v>
      </c>
      <c r="M6255">
        <v>0.21311279999999999</v>
      </c>
      <c r="N6255">
        <v>-1.4655410000000001E-2</v>
      </c>
      <c r="O6255">
        <v>0.9769177</v>
      </c>
      <c r="P6255">
        <v>0.33415070000000002</v>
      </c>
      <c r="Q6255">
        <v>0.174516</v>
      </c>
      <c r="R6255">
        <v>0.92622210000000005</v>
      </c>
      <c r="S6255">
        <v>1.800125</v>
      </c>
      <c r="T6255">
        <v>-0.18081469999999999</v>
      </c>
      <c r="U6255">
        <v>2.629883</v>
      </c>
      <c r="V6255">
        <v>0.13313259999999999</v>
      </c>
      <c r="W6255">
        <v>0.18595519999999999</v>
      </c>
      <c r="X6255">
        <v>0.97349699999999995</v>
      </c>
      <c r="Y6255">
        <v>0.37525259999999999</v>
      </c>
      <c r="Z6255">
        <v>-4.4004889999999998E-2</v>
      </c>
      <c r="AA6255">
        <v>0.92587750000000002</v>
      </c>
      <c r="AB6255">
        <v>37</v>
      </c>
      <c r="AC6255">
        <v>11.0199</v>
      </c>
      <c r="AD6255">
        <v>-1.1120172665050001</v>
      </c>
      <c r="AE6255">
        <v>15.9505999999999</v>
      </c>
      <c r="AF6255">
        <v>7.3428912029186204</v>
      </c>
      <c r="AG6255">
        <v>-1.1120172665050001</v>
      </c>
      <c r="AH6255">
        <v>17.8740250680356</v>
      </c>
      <c r="AI6255">
        <v>93.293585639671093</v>
      </c>
      <c r="AJ6255">
        <v>67.666478619140705</v>
      </c>
      <c r="AK6255">
        <v>19.355500658770602</v>
      </c>
      <c r="AL6255">
        <v>79.283172460995701</v>
      </c>
      <c r="AM6255">
        <v>82.212704428460398</v>
      </c>
      <c r="AN6255">
        <v>1.0000000172993999</v>
      </c>
    </row>
    <row r="6256" spans="1:40" x14ac:dyDescent="0.25">
      <c r="A6256" t="str">
        <f>"20190303170659462"</f>
        <v>20190303170659462</v>
      </c>
      <c r="B6256" t="str">
        <f>"1551604019450729"</f>
        <v>1551604019450729</v>
      </c>
      <c r="C6256" t="s">
        <v>40</v>
      </c>
      <c r="D6256">
        <v>5.5080989999999996</v>
      </c>
      <c r="E6256">
        <v>0.60633440000000005</v>
      </c>
      <c r="F6256" t="s">
        <v>84</v>
      </c>
      <c r="G6256">
        <v>-174.3998</v>
      </c>
      <c r="H6256" s="1">
        <v>-4.2495179999999998E-6</v>
      </c>
      <c r="I6256">
        <v>136.14009999999999</v>
      </c>
      <c r="J6256">
        <v>-185.6164</v>
      </c>
      <c r="K6256">
        <v>1.1118619999999999</v>
      </c>
      <c r="L6256">
        <v>120.1524</v>
      </c>
      <c r="M6256">
        <v>0.21844330000000001</v>
      </c>
      <c r="N6256">
        <v>-1.4675590000000001E-2</v>
      </c>
      <c r="O6256">
        <v>0.97573929999999998</v>
      </c>
      <c r="P6256">
        <v>0.34032119999999999</v>
      </c>
      <c r="Q6256">
        <v>0.1745389</v>
      </c>
      <c r="R6256">
        <v>0.92396840000000002</v>
      </c>
      <c r="S6256">
        <v>1.8200989999999999</v>
      </c>
      <c r="T6256">
        <v>-0.17966489999999999</v>
      </c>
      <c r="U6256">
        <v>2.6161799999999999</v>
      </c>
      <c r="V6256">
        <v>0.13438349999999999</v>
      </c>
      <c r="W6256">
        <v>0.18592059999999999</v>
      </c>
      <c r="X6256">
        <v>0.97333170000000002</v>
      </c>
      <c r="Y6256">
        <v>0.3772373</v>
      </c>
      <c r="Z6256">
        <v>-4.3660770000000002E-2</v>
      </c>
      <c r="AA6256">
        <v>0.92508690000000005</v>
      </c>
      <c r="AB6256">
        <v>37</v>
      </c>
      <c r="AC6256">
        <v>11.2166</v>
      </c>
      <c r="AD6256">
        <v>-1.1118662495180001</v>
      </c>
      <c r="AE6256">
        <v>15.987699999999901</v>
      </c>
      <c r="AF6256">
        <v>7.4287959259252601</v>
      </c>
      <c r="AG6256">
        <v>-1.1118662495180001</v>
      </c>
      <c r="AH6256">
        <v>17.993641481966101</v>
      </c>
      <c r="AI6256">
        <v>93.268947676343899</v>
      </c>
      <c r="AJ6256">
        <v>67.566387869233694</v>
      </c>
      <c r="AK6256">
        <v>19.4985740311283</v>
      </c>
      <c r="AL6256">
        <v>79.285189852597497</v>
      </c>
      <c r="AM6256">
        <v>82.139127974113194</v>
      </c>
      <c r="AN6256">
        <v>0.99999999640074999</v>
      </c>
    </row>
    <row r="6257" spans="1:40" x14ac:dyDescent="0.25">
      <c r="A6257" t="str">
        <f>"20190303170659479"</f>
        <v>20190303170659479</v>
      </c>
      <c r="B6257" t="str">
        <f>"1551604019471225"</f>
        <v>1551604019471225</v>
      </c>
      <c r="C6257" t="s">
        <v>40</v>
      </c>
      <c r="D6257">
        <v>5.4993439999999998</v>
      </c>
      <c r="E6257">
        <v>0.60620160000000001</v>
      </c>
      <c r="F6257" t="s">
        <v>84</v>
      </c>
      <c r="G6257">
        <v>-174.24199999999999</v>
      </c>
      <c r="H6257" s="1">
        <v>-4.2303019999999996E-6</v>
      </c>
      <c r="I6257">
        <v>136.2739</v>
      </c>
      <c r="J6257">
        <v>-185.5513</v>
      </c>
      <c r="K6257">
        <v>1.1116600000000001</v>
      </c>
      <c r="L6257">
        <v>120.4156</v>
      </c>
      <c r="M6257">
        <v>0.22549279999999999</v>
      </c>
      <c r="N6257">
        <v>-1.4704699999999999E-2</v>
      </c>
      <c r="O6257">
        <v>0.97413380000000005</v>
      </c>
      <c r="P6257">
        <v>0.35015420000000003</v>
      </c>
      <c r="Q6257">
        <v>0.17468989999999901</v>
      </c>
      <c r="R6257">
        <v>0.92025840000000003</v>
      </c>
      <c r="S6257">
        <v>1.83728</v>
      </c>
      <c r="T6257">
        <v>-0.17959649999999999</v>
      </c>
      <c r="U6257">
        <v>2.6040649999999999</v>
      </c>
      <c r="V6257">
        <v>0.1378317</v>
      </c>
      <c r="W6257">
        <v>0.18595200000000001</v>
      </c>
      <c r="X6257">
        <v>0.97284340000000002</v>
      </c>
      <c r="Y6257">
        <v>0.37664500000000001</v>
      </c>
      <c r="Z6257">
        <v>-4.3639099999999903E-2</v>
      </c>
      <c r="AA6257">
        <v>0.92532919999999996</v>
      </c>
      <c r="AB6257">
        <v>37</v>
      </c>
      <c r="AC6257">
        <v>11.309299999999901</v>
      </c>
      <c r="AD6257">
        <v>-1.1116642303019999</v>
      </c>
      <c r="AE6257">
        <v>15.8583</v>
      </c>
      <c r="AF6257">
        <v>7.4174824829664603</v>
      </c>
      <c r="AG6257">
        <v>-1.1116642303019999</v>
      </c>
      <c r="AH6257">
        <v>17.941776064664602</v>
      </c>
      <c r="AI6257">
        <v>93.277132831118607</v>
      </c>
      <c r="AJ6257">
        <v>67.538837998251196</v>
      </c>
      <c r="AK6257">
        <v>19.446392264392401</v>
      </c>
      <c r="AL6257">
        <v>79.283358900267004</v>
      </c>
      <c r="AM6257">
        <v>81.936048392537202</v>
      </c>
      <c r="AN6257">
        <v>1.0000000023762201</v>
      </c>
    </row>
    <row r="6258" spans="1:40" x14ac:dyDescent="0.25">
      <c r="A6258" t="str">
        <f>"20190303170659492"</f>
        <v>20190303170659492</v>
      </c>
      <c r="B6258" t="str">
        <f>"1551604019480985"</f>
        <v>1551604019480985</v>
      </c>
      <c r="C6258" t="s">
        <v>40</v>
      </c>
      <c r="D6258">
        <v>5.5087419999999998</v>
      </c>
      <c r="E6258">
        <v>0.60614309999999905</v>
      </c>
      <c r="F6258" t="s">
        <v>84</v>
      </c>
      <c r="G6258">
        <v>-174.04040000000001</v>
      </c>
      <c r="H6258" s="1">
        <v>-4.1811340000000002E-6</v>
      </c>
      <c r="I6258">
        <v>136.37989999999999</v>
      </c>
      <c r="J6258">
        <v>-185.49590000000001</v>
      </c>
      <c r="K6258">
        <v>1.11148799999999</v>
      </c>
      <c r="L6258">
        <v>120.63339999999999</v>
      </c>
      <c r="M6258">
        <v>0.23145080000000001</v>
      </c>
      <c r="N6258">
        <v>-1.472969E-2</v>
      </c>
      <c r="O6258">
        <v>0.97273509999999996</v>
      </c>
      <c r="P6258">
        <v>0.35719810000000002</v>
      </c>
      <c r="Q6258">
        <v>0.1750005</v>
      </c>
      <c r="R6258">
        <v>0.91748810000000003</v>
      </c>
      <c r="S6258">
        <v>1.863861</v>
      </c>
      <c r="T6258">
        <v>-0.180002</v>
      </c>
      <c r="U6258">
        <v>2.584946</v>
      </c>
      <c r="V6258">
        <v>0.13943559999999999</v>
      </c>
      <c r="W6258">
        <v>0.18619189999999999</v>
      </c>
      <c r="X6258">
        <v>0.97256889999999996</v>
      </c>
      <c r="Y6258">
        <v>0.38047320000000001</v>
      </c>
      <c r="Z6258">
        <v>-4.380738E-2</v>
      </c>
      <c r="AA6258">
        <v>0.92375379999999996</v>
      </c>
      <c r="AB6258">
        <v>37</v>
      </c>
      <c r="AC6258">
        <v>11.455500000000001</v>
      </c>
      <c r="AD6258">
        <v>-1.11149218113399</v>
      </c>
      <c r="AE6258">
        <v>15.7464999999999</v>
      </c>
      <c r="AF6258">
        <v>7.4750857737624097</v>
      </c>
      <c r="AG6258">
        <v>-1.11149218113399</v>
      </c>
      <c r="AH6258">
        <v>17.912147514132698</v>
      </c>
      <c r="AI6258">
        <v>93.277513762548594</v>
      </c>
      <c r="AJ6258">
        <v>67.348278345733604</v>
      </c>
      <c r="AK6258">
        <v>19.441125244231099</v>
      </c>
      <c r="AL6258">
        <v>79.269369171365497</v>
      </c>
      <c r="AM6258">
        <v>81.841195401696694</v>
      </c>
      <c r="AN6258">
        <v>0.99999998771008902</v>
      </c>
    </row>
    <row r="6259" spans="1:40" x14ac:dyDescent="0.25">
      <c r="A6259" t="str">
        <f>"20190303170659508"</f>
        <v>20190303170659508</v>
      </c>
      <c r="B6259" t="str">
        <f>"1551604019501483"</f>
        <v>1551604019501483</v>
      </c>
      <c r="C6259" t="s">
        <v>40</v>
      </c>
      <c r="D6259">
        <v>5.4927039999999998</v>
      </c>
      <c r="E6259">
        <v>0.60603850000000004</v>
      </c>
      <c r="F6259" t="s">
        <v>84</v>
      </c>
      <c r="G6259">
        <v>-173.7868</v>
      </c>
      <c r="H6259" s="1">
        <v>-4.1563710000000004E-6</v>
      </c>
      <c r="I6259">
        <v>136.61099999999999</v>
      </c>
      <c r="J6259">
        <v>-185.43129999999999</v>
      </c>
      <c r="K6259">
        <v>1.1112899999999999</v>
      </c>
      <c r="L6259">
        <v>120.8813</v>
      </c>
      <c r="M6259">
        <v>0.23835880000000001</v>
      </c>
      <c r="N6259">
        <v>-1.4758830000000001E-2</v>
      </c>
      <c r="O6259">
        <v>0.97106499999999996</v>
      </c>
      <c r="P6259">
        <v>0.36557719999999999</v>
      </c>
      <c r="Q6259">
        <v>0.1749098</v>
      </c>
      <c r="R6259">
        <v>0.91419910000000004</v>
      </c>
      <c r="S6259">
        <v>1.8837889999999999</v>
      </c>
      <c r="T6259">
        <v>-0.17881859999999999</v>
      </c>
      <c r="U6259">
        <v>2.5705110000000002</v>
      </c>
      <c r="V6259">
        <v>0.141508299999999</v>
      </c>
      <c r="W6259">
        <v>0.18601290000000001</v>
      </c>
      <c r="X6259">
        <v>0.97230369999999999</v>
      </c>
      <c r="Y6259">
        <v>0.38104389999999999</v>
      </c>
      <c r="Z6259">
        <v>-4.343615E-2</v>
      </c>
      <c r="AA6259">
        <v>0.92353609999999997</v>
      </c>
      <c r="AB6259">
        <v>37</v>
      </c>
      <c r="AC6259">
        <v>11.644499999999899</v>
      </c>
      <c r="AD6259">
        <v>-1.1112941563709999</v>
      </c>
      <c r="AE6259">
        <v>15.7296999999999</v>
      </c>
      <c r="AF6259">
        <v>7.5347827846072901</v>
      </c>
      <c r="AG6259">
        <v>-1.1112941563709999</v>
      </c>
      <c r="AH6259">
        <v>17.994077805227501</v>
      </c>
      <c r="AI6259">
        <v>93.260401545508699</v>
      </c>
      <c r="AJ6259">
        <v>67.279144709608801</v>
      </c>
      <c r="AK6259">
        <v>19.539569145039501</v>
      </c>
      <c r="AL6259">
        <v>79.2798069680033</v>
      </c>
      <c r="AM6259">
        <v>81.719357528057103</v>
      </c>
      <c r="AN6259">
        <v>0.999999941484493</v>
      </c>
    </row>
    <row r="6260" spans="1:40" x14ac:dyDescent="0.25">
      <c r="A6260" t="str">
        <f>"20190303170659523"</f>
        <v>20190303170659523</v>
      </c>
      <c r="B6260" t="str">
        <f>"1551604019511241"</f>
        <v>1551604019511241</v>
      </c>
      <c r="C6260" t="s">
        <v>40</v>
      </c>
      <c r="D6260">
        <v>5.4965400000000004</v>
      </c>
      <c r="E6260">
        <v>0.60603850000000004</v>
      </c>
      <c r="F6260" t="s">
        <v>84</v>
      </c>
      <c r="G6260">
        <v>-173.59870000000001</v>
      </c>
      <c r="H6260" s="1">
        <v>-4.1146759999999999E-6</v>
      </c>
      <c r="I6260">
        <v>136.721</v>
      </c>
      <c r="J6260">
        <v>-185.3613</v>
      </c>
      <c r="K6260">
        <v>1.111081</v>
      </c>
      <c r="L6260">
        <v>121.1421</v>
      </c>
      <c r="M6260">
        <v>0.24578469999999999</v>
      </c>
      <c r="N6260">
        <v>-1.479105E-2</v>
      </c>
      <c r="O6260">
        <v>0.96921159999999995</v>
      </c>
      <c r="P6260">
        <v>0.37799339999999998</v>
      </c>
      <c r="Q6260">
        <v>0.1748265</v>
      </c>
      <c r="R6260">
        <v>0.90915159999999995</v>
      </c>
      <c r="S6260">
        <v>1.907257</v>
      </c>
      <c r="T6260">
        <v>-0.17912529999999999</v>
      </c>
      <c r="U6260">
        <v>2.553131</v>
      </c>
      <c r="V6260">
        <v>0.1474085</v>
      </c>
      <c r="W6260">
        <v>0.1857374</v>
      </c>
      <c r="X6260">
        <v>0.97147950000000005</v>
      </c>
      <c r="Y6260">
        <v>0.3824264</v>
      </c>
      <c r="Z6260">
        <v>-4.3545649999999998E-2</v>
      </c>
      <c r="AA6260">
        <v>0.92295930000000004</v>
      </c>
      <c r="AB6260">
        <v>37</v>
      </c>
      <c r="AC6260">
        <v>11.7625999999999</v>
      </c>
      <c r="AD6260">
        <v>-1.1110851146759999</v>
      </c>
      <c r="AE6260">
        <v>15.578900000000001</v>
      </c>
      <c r="AF6260">
        <v>7.5477691279772499</v>
      </c>
      <c r="AG6260">
        <v>-1.1110851146759999</v>
      </c>
      <c r="AH6260">
        <v>17.934184996305099</v>
      </c>
      <c r="AI6260">
        <v>93.268181022134698</v>
      </c>
      <c r="AJ6260">
        <v>67.175753891691897</v>
      </c>
      <c r="AK6260">
        <v>19.4894412547666</v>
      </c>
      <c r="AL6260">
        <v>79.295872908272798</v>
      </c>
      <c r="AM6260">
        <v>81.371977512319006</v>
      </c>
      <c r="AN6260">
        <v>1.00000003327562</v>
      </c>
    </row>
    <row r="6261" spans="1:40" x14ac:dyDescent="0.25">
      <c r="A6261" t="str">
        <f>"20190303170659557"</f>
        <v>20190303170659557</v>
      </c>
      <c r="B6261" t="str">
        <f>"1551604019551257"</f>
        <v>1551604019551257</v>
      </c>
      <c r="C6261" t="s">
        <v>40</v>
      </c>
      <c r="D6261">
        <v>5.5160960000000001</v>
      </c>
      <c r="E6261">
        <v>0.60128890000000002</v>
      </c>
      <c r="F6261" t="s">
        <v>84</v>
      </c>
      <c r="G6261">
        <v>-173.09620000000001</v>
      </c>
      <c r="H6261" s="1">
        <v>-4.0257439999999998E-6</v>
      </c>
      <c r="I6261">
        <v>137.07380000000001</v>
      </c>
      <c r="J6261">
        <v>-185.2099</v>
      </c>
      <c r="K6261">
        <v>1.1106469999999999</v>
      </c>
      <c r="L6261">
        <v>121.6758</v>
      </c>
      <c r="M6261">
        <v>0.26158169999999997</v>
      </c>
      <c r="N6261">
        <v>-1.486318E-2</v>
      </c>
      <c r="O6261">
        <v>0.96506689999999995</v>
      </c>
      <c r="P6261">
        <v>0.39508959999999999</v>
      </c>
      <c r="Q6261">
        <v>0.1763769</v>
      </c>
      <c r="R6261">
        <v>0.90155169999999996</v>
      </c>
      <c r="S6261">
        <v>1.9441379999999999</v>
      </c>
      <c r="T6261">
        <v>-0.176119</v>
      </c>
      <c r="U6261">
        <v>2.5253450000000002</v>
      </c>
      <c r="V6261">
        <v>0.1502</v>
      </c>
      <c r="W6261">
        <v>0.1871302</v>
      </c>
      <c r="X6261">
        <v>0.97078439999999999</v>
      </c>
      <c r="Y6261">
        <v>0.38073839999999998</v>
      </c>
      <c r="Z6261">
        <v>-4.2555570000000001E-2</v>
      </c>
      <c r="AA6261">
        <v>0.92370300000000005</v>
      </c>
      <c r="AB6261">
        <v>37</v>
      </c>
      <c r="AC6261">
        <v>12.1136999999999</v>
      </c>
      <c r="AD6261">
        <v>-1.1106510257440001</v>
      </c>
      <c r="AE6261">
        <v>15.398</v>
      </c>
      <c r="AF6261">
        <v>7.6389929420023899</v>
      </c>
      <c r="AG6261">
        <v>-1.1106510257440001</v>
      </c>
      <c r="AH6261">
        <v>17.9730539722425</v>
      </c>
      <c r="AI6261">
        <v>93.254999656997498</v>
      </c>
      <c r="AJ6261">
        <v>66.973306422716803</v>
      </c>
      <c r="AK6261">
        <v>19.560634651209298</v>
      </c>
      <c r="AL6261">
        <v>79.214647454308405</v>
      </c>
      <c r="AM6261">
        <v>81.2049204126793</v>
      </c>
      <c r="AN6261">
        <v>1.0000000515176899</v>
      </c>
    </row>
    <row r="6262" spans="1:40" x14ac:dyDescent="0.25">
      <c r="A6262" t="str">
        <f>"20190303170659579"</f>
        <v>20190303170659579</v>
      </c>
      <c r="B6262" t="str">
        <f>"1551604019570777"</f>
        <v>1551604019570777</v>
      </c>
      <c r="C6262" t="s">
        <v>40</v>
      </c>
      <c r="D6262">
        <v>5.5015109999999998</v>
      </c>
      <c r="E6262">
        <v>0.60101660000000001</v>
      </c>
      <c r="F6262" t="s">
        <v>84</v>
      </c>
      <c r="G6262">
        <v>-174.50799999999899</v>
      </c>
      <c r="H6262" s="1">
        <v>-4.0034259999999999E-6</v>
      </c>
      <c r="I6262">
        <v>135.36510000000001</v>
      </c>
      <c r="J6262">
        <v>-185.10249999999999</v>
      </c>
      <c r="K6262">
        <v>1.110365</v>
      </c>
      <c r="L6262">
        <v>122.0361</v>
      </c>
      <c r="M6262">
        <v>0.2726171</v>
      </c>
      <c r="N6262">
        <v>-1.491254E-2</v>
      </c>
      <c r="O6262">
        <v>0.96200699999999995</v>
      </c>
      <c r="P6262">
        <v>0.4063544</v>
      </c>
      <c r="Q6262">
        <v>0.1787096</v>
      </c>
      <c r="R6262">
        <v>0.89606859999999999</v>
      </c>
      <c r="S6262">
        <v>1.960785</v>
      </c>
      <c r="T6262">
        <v>-0.20349159999999999</v>
      </c>
      <c r="U6262">
        <v>2.5081329999999999</v>
      </c>
      <c r="V6262">
        <v>0.15156439999999999</v>
      </c>
      <c r="W6262">
        <v>0.18936639999999999</v>
      </c>
      <c r="X6262">
        <v>0.97013839999999996</v>
      </c>
      <c r="Y6262">
        <v>0.37674299999999999</v>
      </c>
      <c r="Z6262">
        <v>-5.1250669999999998E-2</v>
      </c>
      <c r="AA6262">
        <v>0.92489889999999997</v>
      </c>
      <c r="AB6262">
        <v>37</v>
      </c>
      <c r="AC6262">
        <v>10.5945</v>
      </c>
      <c r="AD6262">
        <v>-1.1103690034260001</v>
      </c>
      <c r="AE6262">
        <v>13.329000000000001</v>
      </c>
      <c r="AF6262">
        <v>6.5312232194795499</v>
      </c>
      <c r="AG6262">
        <v>-1.1103690034260001</v>
      </c>
      <c r="AH6262">
        <v>15.646040947174299</v>
      </c>
      <c r="AI6262">
        <v>93.747010530141495</v>
      </c>
      <c r="AJ6262">
        <v>67.3425786992007</v>
      </c>
      <c r="AK6262">
        <v>16.990832627834699</v>
      </c>
      <c r="AL6262">
        <v>79.084189190870006</v>
      </c>
      <c r="AM6262">
        <v>81.120478036160307</v>
      </c>
      <c r="AN6262">
        <v>0.99999995797543895</v>
      </c>
    </row>
    <row r="6263" spans="1:40" x14ac:dyDescent="0.25">
      <c r="A6263" t="str">
        <f>"20190303170659601"</f>
        <v>20190303170659601</v>
      </c>
      <c r="B6263" t="str">
        <f>"1551604019591273"</f>
        <v>1551604019591273</v>
      </c>
      <c r="C6263" t="s">
        <v>40</v>
      </c>
      <c r="D6263">
        <v>5.5077870000000004</v>
      </c>
      <c r="E6263">
        <v>0.60048979999999996</v>
      </c>
      <c r="F6263" t="s">
        <v>84</v>
      </c>
      <c r="G6263">
        <v>-174.03970000000001</v>
      </c>
      <c r="H6263" s="1">
        <v>-3.9802280000000004E-6</v>
      </c>
      <c r="I6263">
        <v>135.85120000000001</v>
      </c>
      <c r="J6263">
        <v>-184.99940000000001</v>
      </c>
      <c r="K6263">
        <v>1.110096</v>
      </c>
      <c r="L6263">
        <v>122.3673</v>
      </c>
      <c r="M6263">
        <v>0.2830704</v>
      </c>
      <c r="N6263">
        <v>-1.4959139999999999E-2</v>
      </c>
      <c r="O6263">
        <v>0.95898249999999996</v>
      </c>
      <c r="P6263">
        <v>0.41905100000000001</v>
      </c>
      <c r="Q6263">
        <v>0.1794936</v>
      </c>
      <c r="R6263">
        <v>0.89004399999999995</v>
      </c>
      <c r="S6263">
        <v>1.990143</v>
      </c>
      <c r="T6263">
        <v>-0.1997505</v>
      </c>
      <c r="U6263">
        <v>2.4852910000000001</v>
      </c>
      <c r="V6263">
        <v>0.15499379999999999</v>
      </c>
      <c r="W6263">
        <v>0.19000030000000001</v>
      </c>
      <c r="X6263">
        <v>0.96947249999999996</v>
      </c>
      <c r="Y6263">
        <v>0.37751079999999998</v>
      </c>
      <c r="Z6263">
        <v>-5.0039149999999998E-2</v>
      </c>
      <c r="AA6263">
        <v>0.92465220000000004</v>
      </c>
      <c r="AB6263">
        <v>37</v>
      </c>
      <c r="AC6263">
        <v>10.9596999999999</v>
      </c>
      <c r="AD6263">
        <v>-1.110099980228</v>
      </c>
      <c r="AE6263">
        <v>13.4839</v>
      </c>
      <c r="AF6263">
        <v>6.6668059526795096</v>
      </c>
      <c r="AG6263">
        <v>-1.110099980228</v>
      </c>
      <c r="AH6263">
        <v>15.9698041669803</v>
      </c>
      <c r="AI6263">
        <v>93.670333276876505</v>
      </c>
      <c r="AJ6263">
        <v>67.341258009171298</v>
      </c>
      <c r="AK6263">
        <v>17.341086145581698</v>
      </c>
      <c r="AL6263">
        <v>79.047198960382701</v>
      </c>
      <c r="AM6263">
        <v>80.916741912417507</v>
      </c>
      <c r="AN6263">
        <v>1.00000006014738</v>
      </c>
    </row>
    <row r="6264" spans="1:40" x14ac:dyDescent="0.25">
      <c r="A6264" t="str">
        <f>"20190303170659623"</f>
        <v>20190303170659623</v>
      </c>
      <c r="B6264" t="str">
        <f>"1551604019610793"</f>
        <v>1551604019610793</v>
      </c>
      <c r="C6264" t="s">
        <v>40</v>
      </c>
      <c r="D6264">
        <v>5.4970019999999904</v>
      </c>
      <c r="E6264">
        <v>0.60007180000000004</v>
      </c>
      <c r="F6264" t="s">
        <v>84</v>
      </c>
      <c r="G6264">
        <v>-173.7988</v>
      </c>
      <c r="H6264" s="1">
        <v>-3.9240089999999997E-6</v>
      </c>
      <c r="I6264">
        <v>135.9846</v>
      </c>
      <c r="J6264">
        <v>-184.88499999999999</v>
      </c>
      <c r="K6264">
        <v>1.109799</v>
      </c>
      <c r="L6264">
        <v>122.7206</v>
      </c>
      <c r="M6264">
        <v>0.29454390000000003</v>
      </c>
      <c r="N6264">
        <v>-1.501255E-2</v>
      </c>
      <c r="O6264">
        <v>0.95552000000000004</v>
      </c>
      <c r="P6264">
        <v>0.43245319999999998</v>
      </c>
      <c r="Q6264">
        <v>0.17899219999999999</v>
      </c>
      <c r="R6264">
        <v>0.88371149999999998</v>
      </c>
      <c r="S6264">
        <v>2.0224609999999998</v>
      </c>
      <c r="T6264">
        <v>-0.2004476</v>
      </c>
      <c r="U6264">
        <v>2.458847</v>
      </c>
      <c r="V6264">
        <v>0.15812590000000001</v>
      </c>
      <c r="W6264">
        <v>0.1893523</v>
      </c>
      <c r="X6264">
        <v>0.96909330000000005</v>
      </c>
      <c r="Y6264">
        <v>0.37853300000000001</v>
      </c>
      <c r="Z6264">
        <v>-5.0238360000000003E-2</v>
      </c>
      <c r="AA6264">
        <v>0.92422340000000003</v>
      </c>
      <c r="AB6264">
        <v>37</v>
      </c>
      <c r="AC6264">
        <v>11.0861999999999</v>
      </c>
      <c r="AD6264">
        <v>-1.1098029240089999</v>
      </c>
      <c r="AE6264">
        <v>13.2639999999999</v>
      </c>
      <c r="AF6264">
        <v>6.6595618059539801</v>
      </c>
      <c r="AG6264">
        <v>-1.1098029240089999</v>
      </c>
      <c r="AH6264">
        <v>15.8757545839487</v>
      </c>
      <c r="AI6264">
        <v>93.688388882573193</v>
      </c>
      <c r="AJ6264">
        <v>67.242924386633703</v>
      </c>
      <c r="AK6264">
        <v>17.2516958467052</v>
      </c>
      <c r="AL6264">
        <v>79.085011957423504</v>
      </c>
      <c r="AM6264">
        <v>80.732777850625894</v>
      </c>
      <c r="AN6264">
        <v>0.99999995893549398</v>
      </c>
    </row>
    <row r="6265" spans="1:40" x14ac:dyDescent="0.25">
      <c r="A6265" t="str">
        <f>"20190303170659644"</f>
        <v>20190303170659644</v>
      </c>
      <c r="B6265" t="str">
        <f>"1551604019631289"</f>
        <v>1551604019631289</v>
      </c>
      <c r="C6265" t="s">
        <v>40</v>
      </c>
      <c r="D6265">
        <v>5.4958619999999998</v>
      </c>
      <c r="E6265">
        <v>0.59983629999999999</v>
      </c>
      <c r="F6265" t="s">
        <v>84</v>
      </c>
      <c r="G6265">
        <v>-173.5779</v>
      </c>
      <c r="H6265" s="1">
        <v>-3.8561199999999999E-6</v>
      </c>
      <c r="I6265">
        <v>136.06389999999999</v>
      </c>
      <c r="J6265">
        <v>-184.76840000000001</v>
      </c>
      <c r="K6265">
        <v>1.1095010000000001</v>
      </c>
      <c r="L6265">
        <v>123.06489999999999</v>
      </c>
      <c r="M6265">
        <v>0.3060853</v>
      </c>
      <c r="N6265">
        <v>-1.507096E-2</v>
      </c>
      <c r="O6265">
        <v>0.95188479999999998</v>
      </c>
      <c r="P6265">
        <v>0.44491510000000001</v>
      </c>
      <c r="Q6265">
        <v>0.17885479999999901</v>
      </c>
      <c r="R6265">
        <v>0.87753150000000002</v>
      </c>
      <c r="S6265">
        <v>2.0579830000000001</v>
      </c>
      <c r="T6265">
        <v>-0.2019929</v>
      </c>
      <c r="U6265">
        <v>2.4285890000000001</v>
      </c>
      <c r="V6265">
        <v>0.1602422</v>
      </c>
      <c r="W6265">
        <v>0.18909799999999999</v>
      </c>
      <c r="X6265">
        <v>0.96879530000000003</v>
      </c>
      <c r="Y6265">
        <v>0.38085980000000003</v>
      </c>
      <c r="Z6265">
        <v>-5.0719130000000001E-2</v>
      </c>
      <c r="AA6265">
        <v>0.92324070000000003</v>
      </c>
      <c r="AB6265">
        <v>37</v>
      </c>
      <c r="AC6265">
        <v>11.1905</v>
      </c>
      <c r="AD6265">
        <v>-1.10950485612</v>
      </c>
      <c r="AE6265">
        <v>12.998999999999899</v>
      </c>
      <c r="AF6265">
        <v>6.6462127999291196</v>
      </c>
      <c r="AG6265">
        <v>-1.10950485612</v>
      </c>
      <c r="AH6265">
        <v>15.734754881184299</v>
      </c>
      <c r="AI6265">
        <v>93.716492404890104</v>
      </c>
      <c r="AJ6265">
        <v>67.1012603799457</v>
      </c>
      <c r="AK6265">
        <v>17.116823793526901</v>
      </c>
      <c r="AL6265">
        <v>79.099850524129593</v>
      </c>
      <c r="AM6265">
        <v>80.608106411577495</v>
      </c>
      <c r="AN6265">
        <v>0.99999997478346403</v>
      </c>
    </row>
    <row r="6266" spans="1:40" x14ac:dyDescent="0.25">
      <c r="A6266" t="str">
        <f>"20190303170659668"</f>
        <v>20190303170659668</v>
      </c>
      <c r="B6266" t="str">
        <f>"1551604019661545"</f>
        <v>1551604019661545</v>
      </c>
      <c r="C6266" t="s">
        <v>40</v>
      </c>
      <c r="D6266">
        <v>5.4859999999999998</v>
      </c>
      <c r="E6266">
        <v>0.59500810000000004</v>
      </c>
      <c r="F6266" t="s">
        <v>84</v>
      </c>
      <c r="G6266">
        <v>-173.2499</v>
      </c>
      <c r="H6266" s="1">
        <v>-3.7888550000000001E-6</v>
      </c>
      <c r="I6266">
        <v>136.27000000000001</v>
      </c>
      <c r="J6266">
        <v>-184.63669999999999</v>
      </c>
      <c r="K6266">
        <v>1.10917</v>
      </c>
      <c r="L6266">
        <v>123.4371</v>
      </c>
      <c r="M6266">
        <v>0.31893300000000002</v>
      </c>
      <c r="N6266">
        <v>-1.513833E-2</v>
      </c>
      <c r="O6266">
        <v>0.94765639999999995</v>
      </c>
      <c r="P6266">
        <v>0.45796979999999998</v>
      </c>
      <c r="Q6266">
        <v>0.1810264</v>
      </c>
      <c r="R6266">
        <v>0.87034089999999997</v>
      </c>
      <c r="S6266">
        <v>2.0924839999999998</v>
      </c>
      <c r="T6266">
        <v>-0.2015554</v>
      </c>
      <c r="U6266">
        <v>2.3988649999999998</v>
      </c>
      <c r="V6266">
        <v>0.16196269999999999</v>
      </c>
      <c r="W6266">
        <v>0.19115509999999999</v>
      </c>
      <c r="X6266">
        <v>0.96810529999999995</v>
      </c>
      <c r="Y6266">
        <v>0.38156790000000002</v>
      </c>
      <c r="Z6266">
        <v>-5.0527959999999997E-2</v>
      </c>
      <c r="AA6266">
        <v>0.92295870000000002</v>
      </c>
      <c r="AB6266">
        <v>37</v>
      </c>
      <c r="AC6266">
        <v>11.3867999999999</v>
      </c>
      <c r="AD6266">
        <v>-1.109173788855</v>
      </c>
      <c r="AE6266">
        <v>12.8329</v>
      </c>
      <c r="AF6266">
        <v>6.6708238336412498</v>
      </c>
      <c r="AG6266">
        <v>-1.109173788855</v>
      </c>
      <c r="AH6266">
        <v>15.728873258784301</v>
      </c>
      <c r="AI6266">
        <v>93.714480871697901</v>
      </c>
      <c r="AJ6266">
        <v>67.017554883181703</v>
      </c>
      <c r="AK6266">
        <v>17.120969922999699</v>
      </c>
      <c r="AL6266">
        <v>78.979798151383505</v>
      </c>
      <c r="AM6266">
        <v>80.502450638210604</v>
      </c>
      <c r="AN6266">
        <v>1.0000000301676899</v>
      </c>
    </row>
    <row r="6267" spans="1:40" x14ac:dyDescent="0.25">
      <c r="A6267" t="str">
        <f>"20190303170659689"</f>
        <v>20190303170659689</v>
      </c>
      <c r="B6267" t="str">
        <f>"1551604019681065"</f>
        <v>1551604019681065</v>
      </c>
      <c r="C6267" t="s">
        <v>40</v>
      </c>
      <c r="D6267">
        <v>5.4714910000000003</v>
      </c>
      <c r="E6267">
        <v>0.59412699999999996</v>
      </c>
      <c r="F6267" t="s">
        <v>84</v>
      </c>
      <c r="G6267">
        <v>-174.02189999999999</v>
      </c>
      <c r="H6267" s="1">
        <v>-3.8508060000000002E-6</v>
      </c>
      <c r="I6267">
        <v>135.53110000000001</v>
      </c>
      <c r="J6267">
        <v>-184.51589999999999</v>
      </c>
      <c r="K6267">
        <v>1.1089</v>
      </c>
      <c r="L6267">
        <v>123.7654</v>
      </c>
      <c r="M6267">
        <v>0.33053490000000002</v>
      </c>
      <c r="N6267">
        <v>-1.519798E-2</v>
      </c>
      <c r="O6267">
        <v>0.94367140000000005</v>
      </c>
      <c r="P6267">
        <v>0.46982289999999999</v>
      </c>
      <c r="Q6267">
        <v>0.1834962</v>
      </c>
      <c r="R6267">
        <v>0.86347879999999999</v>
      </c>
      <c r="S6267">
        <v>2.0969090000000001</v>
      </c>
      <c r="T6267">
        <v>-0.21911169999999999</v>
      </c>
      <c r="U6267">
        <v>2.3890989999999999</v>
      </c>
      <c r="V6267">
        <v>0.16369300000000001</v>
      </c>
      <c r="W6267">
        <v>0.19351860000000001</v>
      </c>
      <c r="X6267">
        <v>0.96734439999999999</v>
      </c>
      <c r="Y6267">
        <v>0.37283579999999999</v>
      </c>
      <c r="Z6267">
        <v>-5.5962949999999997E-2</v>
      </c>
      <c r="AA6267">
        <v>0.92620820000000004</v>
      </c>
      <c r="AB6267">
        <v>37</v>
      </c>
      <c r="AC6267">
        <v>10.494</v>
      </c>
      <c r="AD6267">
        <v>-1.1089038508059901</v>
      </c>
      <c r="AE6267">
        <v>11.765700000000001</v>
      </c>
      <c r="AF6267">
        <v>5.9849985381537802</v>
      </c>
      <c r="AG6267">
        <v>-1.1089038508059901</v>
      </c>
      <c r="AH6267">
        <v>14.5015282046094</v>
      </c>
      <c r="AI6267">
        <v>94.043208785378098</v>
      </c>
      <c r="AJ6267">
        <v>67.573324915033496</v>
      </c>
      <c r="AK6267">
        <v>15.7271801516075</v>
      </c>
      <c r="AL6267">
        <v>78.841802889321997</v>
      </c>
      <c r="AM6267">
        <v>80.395454394672598</v>
      </c>
      <c r="AN6267">
        <v>1.00000001750315</v>
      </c>
    </row>
    <row r="6268" spans="1:40" x14ac:dyDescent="0.25">
      <c r="A6268" t="str">
        <f>"20190303170659713"</f>
        <v>20190303170659713</v>
      </c>
      <c r="B6268" t="str">
        <f>"1551604019701561"</f>
        <v>1551604019701561</v>
      </c>
      <c r="C6268" t="s">
        <v>40</v>
      </c>
      <c r="D6268">
        <v>5.4642269999999904</v>
      </c>
      <c r="E6268">
        <v>0.59338930000000001</v>
      </c>
      <c r="F6268" t="s">
        <v>84</v>
      </c>
      <c r="G6268">
        <v>-173.6498</v>
      </c>
      <c r="H6268" s="1">
        <v>-3.8127930000000002E-6</v>
      </c>
      <c r="I6268">
        <v>135.8657</v>
      </c>
      <c r="J6268">
        <v>-184.37979999999999</v>
      </c>
      <c r="K6268">
        <v>1.1086180000000001</v>
      </c>
      <c r="L6268">
        <v>124.1203</v>
      </c>
      <c r="M6268">
        <v>0.34338030000000003</v>
      </c>
      <c r="N6268">
        <v>-1.526013E-2</v>
      </c>
      <c r="O6268">
        <v>0.93907240000000003</v>
      </c>
      <c r="P6268">
        <v>0.48311500000000002</v>
      </c>
      <c r="Q6268">
        <v>0.18400279999999999</v>
      </c>
      <c r="R6268">
        <v>0.85600399999999999</v>
      </c>
      <c r="S6268">
        <v>2.123672</v>
      </c>
      <c r="T6268">
        <v>-0.21672449999999999</v>
      </c>
      <c r="U6268">
        <v>2.3648989999999999</v>
      </c>
      <c r="V6268">
        <v>0.1656386</v>
      </c>
      <c r="W6268">
        <v>0.19391340000000001</v>
      </c>
      <c r="X6268">
        <v>0.96693399999999996</v>
      </c>
      <c r="Y6268">
        <v>0.37072470000000002</v>
      </c>
      <c r="Z6268">
        <v>-5.5093929999999999E-2</v>
      </c>
      <c r="AA6268">
        <v>0.92710729999999997</v>
      </c>
      <c r="AB6268">
        <v>37</v>
      </c>
      <c r="AC6268">
        <v>10.729999999999899</v>
      </c>
      <c r="AD6268">
        <v>-1.1086218127930001</v>
      </c>
      <c r="AE6268">
        <v>11.7454</v>
      </c>
      <c r="AF6268">
        <v>6.0146039010891803</v>
      </c>
      <c r="AG6268">
        <v>-1.1086218127930001</v>
      </c>
      <c r="AH6268">
        <v>14.6448477837759</v>
      </c>
      <c r="AI6268">
        <v>94.005589368920695</v>
      </c>
      <c r="AJ6268">
        <v>67.672161443295593</v>
      </c>
      <c r="AK6268">
        <v>15.8706039274114</v>
      </c>
      <c r="AL6268">
        <v>78.818745067928205</v>
      </c>
      <c r="AM6268">
        <v>80.2794163762739</v>
      </c>
      <c r="AN6268">
        <v>0.99999995643275896</v>
      </c>
    </row>
    <row r="6269" spans="1:40" x14ac:dyDescent="0.25">
      <c r="A6269" t="str">
        <f>"20190303170659736"</f>
        <v>20190303170659736</v>
      </c>
      <c r="B6269" t="str">
        <f>"1551604019730842"</f>
        <v>1551604019730842</v>
      </c>
      <c r="C6269" t="s">
        <v>40</v>
      </c>
      <c r="D6269">
        <v>5.4453180000000003</v>
      </c>
      <c r="E6269">
        <v>0.59281439999999996</v>
      </c>
      <c r="F6269" t="s">
        <v>84</v>
      </c>
      <c r="G6269">
        <v>-173.29</v>
      </c>
      <c r="H6269" s="1">
        <v>-3.7513410000000001E-6</v>
      </c>
      <c r="I6269">
        <v>136.12430000000001</v>
      </c>
      <c r="J6269">
        <v>-184.2362</v>
      </c>
      <c r="K6269">
        <v>1.1083289999999999</v>
      </c>
      <c r="L6269">
        <v>124.47969999999999</v>
      </c>
      <c r="M6269">
        <v>0.35669699999999999</v>
      </c>
      <c r="N6269">
        <v>-1.532215E-2</v>
      </c>
      <c r="O6269">
        <v>0.93409450000000005</v>
      </c>
      <c r="P6269">
        <v>0.49749009999999999</v>
      </c>
      <c r="Q6269">
        <v>0.18246100000000001</v>
      </c>
      <c r="R6269">
        <v>0.84806349999999997</v>
      </c>
      <c r="S6269">
        <v>2.1562809999999999</v>
      </c>
      <c r="T6269">
        <v>-0.21555840000000001</v>
      </c>
      <c r="U6269">
        <v>2.3340299999999998</v>
      </c>
      <c r="V6269">
        <v>0.16817969999999999</v>
      </c>
      <c r="W6269">
        <v>0.1922432</v>
      </c>
      <c r="X6269">
        <v>0.96682889999999999</v>
      </c>
      <c r="Y6269">
        <v>0.37063580000000002</v>
      </c>
      <c r="Z6269">
        <v>-5.4642450000000002E-2</v>
      </c>
      <c r="AA6269">
        <v>0.92716949999999998</v>
      </c>
      <c r="AB6269">
        <v>36</v>
      </c>
      <c r="AC6269">
        <v>10.946199999999999</v>
      </c>
      <c r="AD6269">
        <v>-1.108332751341</v>
      </c>
      <c r="AE6269">
        <v>11.644600000000001</v>
      </c>
      <c r="AF6269">
        <v>6.0428414252711899</v>
      </c>
      <c r="AG6269">
        <v>-1.108332751341</v>
      </c>
      <c r="AH6269">
        <v>14.712609518217899</v>
      </c>
      <c r="AI6269">
        <v>93.986125516367494</v>
      </c>
      <c r="AJ6269">
        <v>67.670802083346103</v>
      </c>
      <c r="AK6269">
        <v>15.943814249238599</v>
      </c>
      <c r="AL6269">
        <v>78.916276079729101</v>
      </c>
      <c r="AM6269">
        <v>80.132148546118202</v>
      </c>
      <c r="AN6269">
        <v>0.99999999065677003</v>
      </c>
    </row>
    <row r="6270" spans="1:40" x14ac:dyDescent="0.25">
      <c r="A6270" t="str">
        <f>"20190303170659758"</f>
        <v>20190303170659758</v>
      </c>
      <c r="B6270" t="str">
        <f>"1551604019751337"</f>
        <v>1551604019751337</v>
      </c>
      <c r="C6270" t="s">
        <v>40</v>
      </c>
      <c r="D6270">
        <v>5.4640469999999999</v>
      </c>
      <c r="E6270">
        <v>0.58808919999999998</v>
      </c>
      <c r="F6270" t="s">
        <v>84</v>
      </c>
      <c r="G6270">
        <v>-173.2766</v>
      </c>
      <c r="H6270" s="1">
        <v>-3.6859799999999998E-6</v>
      </c>
      <c r="I6270">
        <v>135.9676</v>
      </c>
      <c r="J6270">
        <v>-184.0977</v>
      </c>
      <c r="K6270">
        <v>1.10806</v>
      </c>
      <c r="L6270">
        <v>124.8125</v>
      </c>
      <c r="M6270">
        <v>0.36930970000000002</v>
      </c>
      <c r="N6270">
        <v>-1.538132E-2</v>
      </c>
      <c r="O6270">
        <v>0.92917910000000004</v>
      </c>
      <c r="P6270">
        <v>0.51074109999999995</v>
      </c>
      <c r="Q6270">
        <v>0.1817348</v>
      </c>
      <c r="R6270">
        <v>0.84030720000000003</v>
      </c>
      <c r="S6270">
        <v>2.1930079999999998</v>
      </c>
      <c r="T6270">
        <v>-0.2217778</v>
      </c>
      <c r="U6270">
        <v>2.298737</v>
      </c>
      <c r="V6270">
        <v>0.17031250000000001</v>
      </c>
      <c r="W6270">
        <v>0.19140360000000001</v>
      </c>
      <c r="X6270">
        <v>0.96662210000000004</v>
      </c>
      <c r="Y6270">
        <v>0.37284230000000002</v>
      </c>
      <c r="Z6270">
        <v>-5.653482E-2</v>
      </c>
      <c r="AA6270">
        <v>0.92617079999999996</v>
      </c>
      <c r="AB6270">
        <v>36</v>
      </c>
      <c r="AC6270">
        <v>10.821099999999999</v>
      </c>
      <c r="AD6270">
        <v>-1.1080636859799999</v>
      </c>
      <c r="AE6270">
        <v>11.155099999999999</v>
      </c>
      <c r="AF6270">
        <v>5.9057342191609496</v>
      </c>
      <c r="AG6270">
        <v>-1.1080636859799999</v>
      </c>
      <c r="AH6270">
        <v>14.290477684046101</v>
      </c>
      <c r="AI6270">
        <v>94.098830423048994</v>
      </c>
      <c r="AJ6270">
        <v>67.546473632250894</v>
      </c>
      <c r="AK6270">
        <v>15.502362859828001</v>
      </c>
      <c r="AL6270">
        <v>78.965291804569503</v>
      </c>
      <c r="AM6270">
        <v>80.007419219492704</v>
      </c>
      <c r="AN6270">
        <v>0.99999998497880904</v>
      </c>
    </row>
    <row r="6271" spans="1:40" x14ac:dyDescent="0.25">
      <c r="A6271" t="str">
        <f>"20190303170659779"</f>
        <v>20190303170659779</v>
      </c>
      <c r="B6271" t="str">
        <f>"1551604019770857"</f>
        <v>1551604019770857</v>
      </c>
      <c r="C6271" t="s">
        <v>40</v>
      </c>
      <c r="D6271">
        <v>5.486332</v>
      </c>
      <c r="E6271">
        <v>0.5880592</v>
      </c>
      <c r="F6271" t="s">
        <v>84</v>
      </c>
      <c r="G6271">
        <v>-174.49719999999999</v>
      </c>
      <c r="H6271" s="1">
        <v>-3.786567E-6</v>
      </c>
      <c r="I6271">
        <v>134.80629999999999</v>
      </c>
      <c r="J6271">
        <v>-183.95779999999999</v>
      </c>
      <c r="K6271">
        <v>1.1078110000000001</v>
      </c>
      <c r="L6271">
        <v>125.1362</v>
      </c>
      <c r="M6271">
        <v>0.3818397</v>
      </c>
      <c r="N6271">
        <v>-1.5441099999999999E-2</v>
      </c>
      <c r="O6271">
        <v>0.92409960000000002</v>
      </c>
      <c r="P6271">
        <v>0.52319499999999997</v>
      </c>
      <c r="Q6271">
        <v>0.18420249999999999</v>
      </c>
      <c r="R6271">
        <v>0.83206749999999996</v>
      </c>
      <c r="S6271">
        <v>2.1985929999999998</v>
      </c>
      <c r="T6271">
        <v>-0.25375589999999998</v>
      </c>
      <c r="U6271">
        <v>2.2886660000000001</v>
      </c>
      <c r="V6271">
        <v>0.17203840000000001</v>
      </c>
      <c r="W6271">
        <v>0.19376560000000001</v>
      </c>
      <c r="X6271">
        <v>0.96584559999999997</v>
      </c>
      <c r="Y6271">
        <v>0.36302430000000002</v>
      </c>
      <c r="Z6271">
        <v>-6.6281090000000001E-2</v>
      </c>
      <c r="AA6271">
        <v>0.92941929999999995</v>
      </c>
      <c r="AB6271">
        <v>36</v>
      </c>
      <c r="AC6271">
        <v>9.4605999999999995</v>
      </c>
      <c r="AD6271">
        <v>-1.1078147865670001</v>
      </c>
      <c r="AE6271">
        <v>9.6700999999999908</v>
      </c>
      <c r="AF6271">
        <v>5.0170671624428902</v>
      </c>
      <c r="AG6271">
        <v>-1.1078147865670001</v>
      </c>
      <c r="AH6271">
        <v>12.4664664797131</v>
      </c>
      <c r="AI6271">
        <v>94.712696972674493</v>
      </c>
      <c r="AJ6271">
        <v>68.077926513642097</v>
      </c>
      <c r="AK6271">
        <v>13.4837310490683</v>
      </c>
      <c r="AL6271">
        <v>78.827377836060194</v>
      </c>
      <c r="AM6271">
        <v>79.900282020747596</v>
      </c>
      <c r="AN6271">
        <v>1.0000000209286399</v>
      </c>
    </row>
    <row r="6272" spans="1:40" x14ac:dyDescent="0.25">
      <c r="A6272" t="str">
        <f>"20190303170659802"</f>
        <v>20190303170659802</v>
      </c>
      <c r="B6272" t="str">
        <f>"1551604019791353"</f>
        <v>1551604019791353</v>
      </c>
      <c r="C6272" t="s">
        <v>40</v>
      </c>
      <c r="D6272">
        <v>5.5073040000000004</v>
      </c>
      <c r="E6272">
        <v>0.61260029999999999</v>
      </c>
      <c r="F6272" t="s">
        <v>84</v>
      </c>
      <c r="G6272">
        <v>-174.02760000000001</v>
      </c>
      <c r="H6272" s="1">
        <v>-3.7202380000000002E-6</v>
      </c>
      <c r="I6272">
        <v>135.18029999999999</v>
      </c>
      <c r="J6272">
        <v>-183.8056</v>
      </c>
      <c r="K6272">
        <v>1.1075619999999999</v>
      </c>
      <c r="L6272">
        <v>125.4752</v>
      </c>
      <c r="M6272">
        <v>0.39522790000000002</v>
      </c>
      <c r="N6272">
        <v>-1.5505710000000001E-2</v>
      </c>
      <c r="O6272">
        <v>0.9184523</v>
      </c>
      <c r="P6272">
        <v>0.53535949999999999</v>
      </c>
      <c r="Q6272">
        <v>0.18722939999999999</v>
      </c>
      <c r="R6272">
        <v>0.82361119999999899</v>
      </c>
      <c r="S6272">
        <v>2.231735</v>
      </c>
      <c r="T6272">
        <v>-0.24897520000000001</v>
      </c>
      <c r="U6272">
        <v>2.257339</v>
      </c>
      <c r="V6272">
        <v>0.17267969999999999</v>
      </c>
      <c r="W6272">
        <v>0.19672120000000001</v>
      </c>
      <c r="X6272">
        <v>0.96513340000000003</v>
      </c>
      <c r="Y6272">
        <v>0.3629231</v>
      </c>
      <c r="Z6272">
        <v>-6.4600500000000005E-2</v>
      </c>
      <c r="AA6272">
        <v>0.92957710000000005</v>
      </c>
      <c r="AB6272">
        <v>36</v>
      </c>
      <c r="AC6272">
        <v>9.7779999999999898</v>
      </c>
      <c r="AD6272">
        <v>-1.107565720238</v>
      </c>
      <c r="AE6272">
        <v>9.7050999999999803</v>
      </c>
      <c r="AF6272">
        <v>5.1124756235146602</v>
      </c>
      <c r="AG6272">
        <v>-1.107565720238</v>
      </c>
      <c r="AH6272">
        <v>12.697677789515399</v>
      </c>
      <c r="AI6272">
        <v>94.625927621925896</v>
      </c>
      <c r="AJ6272">
        <v>68.068767741544406</v>
      </c>
      <c r="AK6272">
        <v>13.732994213645901</v>
      </c>
      <c r="AL6272">
        <v>78.654711061450996</v>
      </c>
      <c r="AM6272">
        <v>79.856088216074298</v>
      </c>
      <c r="AN6272">
        <v>0.99999999455854505</v>
      </c>
    </row>
    <row r="6273" spans="1:40" x14ac:dyDescent="0.25">
      <c r="A6273" t="str">
        <f>"20190303170659824"</f>
        <v>20190303170659824</v>
      </c>
      <c r="B6273" t="str">
        <f>"1551604019810875"</f>
        <v>1551604019810875</v>
      </c>
      <c r="C6273" t="s">
        <v>40</v>
      </c>
      <c r="D6273">
        <v>5.711792</v>
      </c>
      <c r="E6273">
        <v>0.62588969999999999</v>
      </c>
      <c r="F6273" t="s">
        <v>41</v>
      </c>
      <c r="G6273">
        <v>-165.56</v>
      </c>
      <c r="H6273" s="1">
        <v>-2.5281450000000002E-6</v>
      </c>
      <c r="I6273">
        <v>141.30330000000001</v>
      </c>
      <c r="J6273">
        <v>-183.65110000000001</v>
      </c>
      <c r="K6273">
        <v>1.1073109999999999</v>
      </c>
      <c r="L6273">
        <v>125.8056</v>
      </c>
      <c r="M6273">
        <v>0.40856629999999999</v>
      </c>
      <c r="N6273">
        <v>-1.557129E-2</v>
      </c>
      <c r="O6273">
        <v>0.91259579999999996</v>
      </c>
      <c r="P6273">
        <v>0.54886939999999995</v>
      </c>
      <c r="Q6273">
        <v>0.18817249999999999</v>
      </c>
      <c r="R6273">
        <v>0.81445290000000004</v>
      </c>
      <c r="S6273">
        <v>2.4223180000000002</v>
      </c>
      <c r="T6273">
        <v>-0.14704220000000001</v>
      </c>
      <c r="U6273">
        <v>2.1013639999999998</v>
      </c>
      <c r="V6273">
        <v>0.17478170000000001</v>
      </c>
      <c r="W6273">
        <v>0.19754910000000001</v>
      </c>
      <c r="X6273">
        <v>0.96458580000000005</v>
      </c>
      <c r="Y6273">
        <v>0.4210661</v>
      </c>
      <c r="Z6273">
        <v>-3.3147709999999997E-2</v>
      </c>
      <c r="AA6273">
        <v>0.90642400000000001</v>
      </c>
      <c r="AB6273">
        <v>36</v>
      </c>
      <c r="AC6273">
        <v>18.091100000000001</v>
      </c>
      <c r="AD6273">
        <v>-1.1073135281449999</v>
      </c>
      <c r="AE6273">
        <v>15.4977</v>
      </c>
      <c r="AF6273">
        <v>10.157310933237699</v>
      </c>
      <c r="AG6273">
        <v>-1.1073135281449999</v>
      </c>
      <c r="AH6273">
        <v>21.490725391911699</v>
      </c>
      <c r="AI6273">
        <v>92.6671448932007</v>
      </c>
      <c r="AJ6273">
        <v>64.702851315017199</v>
      </c>
      <c r="AK6273">
        <v>23.795974166119802</v>
      </c>
      <c r="AL6273">
        <v>78.606326779784695</v>
      </c>
      <c r="AM6273">
        <v>79.729514766326204</v>
      </c>
      <c r="AN6273">
        <v>1.00000002756366</v>
      </c>
    </row>
    <row r="6274" spans="1:40" x14ac:dyDescent="0.25">
      <c r="A6274" t="str">
        <f>"20190303170659848"</f>
        <v>20190303170659848</v>
      </c>
      <c r="B6274" t="str">
        <f>"1551604019841636"</f>
        <v>1551604019841636</v>
      </c>
      <c r="C6274" t="s">
        <v>40</v>
      </c>
      <c r="D6274">
        <v>5.6485609999999999</v>
      </c>
      <c r="E6274">
        <v>0.63622270000000003</v>
      </c>
      <c r="F6274" t="s">
        <v>41</v>
      </c>
      <c r="G6274">
        <v>-158.48580000000001</v>
      </c>
      <c r="H6274" s="1">
        <v>-2.2166429999999998E-6</v>
      </c>
      <c r="I6274">
        <v>145.57210000000001</v>
      </c>
      <c r="J6274">
        <v>-183.4742</v>
      </c>
      <c r="K6274">
        <v>1.107022</v>
      </c>
      <c r="L6274">
        <v>126.1682</v>
      </c>
      <c r="M6274">
        <v>0.42353079999999999</v>
      </c>
      <c r="N6274">
        <v>-1.564625E-2</v>
      </c>
      <c r="O6274">
        <v>0.90574659999999996</v>
      </c>
      <c r="P6274">
        <v>0.56452579999999997</v>
      </c>
      <c r="Q6274">
        <v>0.1863069</v>
      </c>
      <c r="R6274">
        <v>0.80411460000000001</v>
      </c>
      <c r="S6274">
        <v>2.541687</v>
      </c>
      <c r="T6274">
        <v>-0.1118382</v>
      </c>
      <c r="U6274">
        <v>1.9964139999999999</v>
      </c>
      <c r="V6274">
        <v>0.17746319999999999</v>
      </c>
      <c r="W6274">
        <v>0.1955518</v>
      </c>
      <c r="X6274">
        <v>0.96450309999999995</v>
      </c>
      <c r="Y6274">
        <v>0.4503781</v>
      </c>
      <c r="Z6274">
        <v>-2.2223420000000001E-2</v>
      </c>
      <c r="AA6274">
        <v>0.8925613</v>
      </c>
      <c r="AB6274">
        <v>36</v>
      </c>
      <c r="AC6274">
        <v>24.988399999999899</v>
      </c>
      <c r="AD6274">
        <v>-1.107024216643</v>
      </c>
      <c r="AE6274">
        <v>19.4039</v>
      </c>
      <c r="AF6274">
        <v>14.3991437012149</v>
      </c>
      <c r="AG6274">
        <v>-1.107024216643</v>
      </c>
      <c r="AH6274">
        <v>28.127382019114201</v>
      </c>
      <c r="AI6274">
        <v>92.0064641563729</v>
      </c>
      <c r="AJ6274">
        <v>62.890904015481098</v>
      </c>
      <c r="AK6274">
        <v>31.6181982597627</v>
      </c>
      <c r="AL6274">
        <v>78.723039556184901</v>
      </c>
      <c r="AM6274">
        <v>79.574500052866</v>
      </c>
      <c r="AN6274">
        <v>0.99999996187354401</v>
      </c>
    </row>
    <row r="6275" spans="1:40" x14ac:dyDescent="0.25">
      <c r="A6275" t="str">
        <f>"20190303170659869"</f>
        <v>20190303170659869</v>
      </c>
      <c r="B6275" t="str">
        <f>"1551604019861156"</f>
        <v>1551604019861156</v>
      </c>
      <c r="C6275" t="s">
        <v>40</v>
      </c>
      <c r="D6275">
        <v>5.6614170000000001</v>
      </c>
      <c r="E6275">
        <v>0.63868269999999905</v>
      </c>
      <c r="F6275" t="s">
        <v>41</v>
      </c>
      <c r="G6275">
        <v>-152.0188</v>
      </c>
      <c r="H6275" s="1">
        <v>-5.2071410000000002E-6</v>
      </c>
      <c r="I6275">
        <v>148.73830000000001</v>
      </c>
      <c r="J6275">
        <v>-183.31899999999999</v>
      </c>
      <c r="K6275">
        <v>1.1067800000000001</v>
      </c>
      <c r="L6275">
        <v>126.4747</v>
      </c>
      <c r="M6275">
        <v>0.43640079999999998</v>
      </c>
      <c r="N6275">
        <v>-1.5710140000000001E-2</v>
      </c>
      <c r="O6275">
        <v>0.89961519999999995</v>
      </c>
      <c r="P6275">
        <v>0.57800779999999996</v>
      </c>
      <c r="Q6275">
        <v>0.18475440000000001</v>
      </c>
      <c r="R6275">
        <v>0.79484140000000003</v>
      </c>
      <c r="S6275">
        <v>2.6432950000000002</v>
      </c>
      <c r="T6275">
        <v>-9.302676E-2</v>
      </c>
      <c r="U6275">
        <v>1.8966369999999999</v>
      </c>
      <c r="V6275">
        <v>0.17988100000000001</v>
      </c>
      <c r="W6275">
        <v>0.193884</v>
      </c>
      <c r="X6275">
        <v>0.96439189999999997</v>
      </c>
      <c r="Y6275">
        <v>0.4763191</v>
      </c>
      <c r="Z6275">
        <v>-1.6485909999999999E-2</v>
      </c>
      <c r="AA6275">
        <v>0.87911790000000001</v>
      </c>
      <c r="AB6275">
        <v>36</v>
      </c>
      <c r="AC6275">
        <v>31.3002</v>
      </c>
      <c r="AD6275">
        <v>-1.10678520714099</v>
      </c>
      <c r="AE6275">
        <v>22.2636</v>
      </c>
      <c r="AF6275">
        <v>18.429257860827398</v>
      </c>
      <c r="AG6275">
        <v>-1.10678520714099</v>
      </c>
      <c r="AH6275">
        <v>33.6643128632629</v>
      </c>
      <c r="AI6275">
        <v>91.651868721832301</v>
      </c>
      <c r="AJ6275">
        <v>61.301853039504202</v>
      </c>
      <c r="AK6275">
        <v>38.394641284315497</v>
      </c>
      <c r="AL6275">
        <v>78.820462171522195</v>
      </c>
      <c r="AM6275">
        <v>79.434446639609504</v>
      </c>
      <c r="AN6275">
        <v>0.99999995820130405</v>
      </c>
    </row>
    <row r="6276" spans="1:40" x14ac:dyDescent="0.25">
      <c r="A6276" t="str">
        <f>"20190303170659891"</f>
        <v>20190303170659891</v>
      </c>
      <c r="B6276" t="str">
        <f>"1551604019880675"</f>
        <v>1551604019880675</v>
      </c>
      <c r="C6276" t="s">
        <v>40</v>
      </c>
      <c r="D6276">
        <v>5.6490580000000001</v>
      </c>
      <c r="E6276">
        <v>0.63979949999999997</v>
      </c>
      <c r="F6276" t="s">
        <v>41</v>
      </c>
      <c r="G6276">
        <v>-151.7868</v>
      </c>
      <c r="H6276" s="1">
        <v>-5.1668329999999997E-6</v>
      </c>
      <c r="I6276">
        <v>148.066</v>
      </c>
      <c r="J6276">
        <v>-183.15549999999999</v>
      </c>
      <c r="K6276">
        <v>1.1065609999999999</v>
      </c>
      <c r="L6276">
        <v>126.7859</v>
      </c>
      <c r="M6276">
        <v>0.44968829999999999</v>
      </c>
      <c r="N6276">
        <v>-1.5773740000000001E-2</v>
      </c>
      <c r="O6276">
        <v>0.89304629999999996</v>
      </c>
      <c r="P6276">
        <v>0.59115240000000002</v>
      </c>
      <c r="Q6276">
        <v>0.1858071</v>
      </c>
      <c r="R6276">
        <v>0.78486590000000001</v>
      </c>
      <c r="S6276">
        <v>2.6887050000000001</v>
      </c>
      <c r="T6276">
        <v>-9.4374059999999996E-2</v>
      </c>
      <c r="U6276">
        <v>1.841064</v>
      </c>
      <c r="V6276">
        <v>0.18188699999999999</v>
      </c>
      <c r="W6276">
        <v>0.19482920000000001</v>
      </c>
      <c r="X6276">
        <v>0.96382500000000004</v>
      </c>
      <c r="Y6276">
        <v>0.48258770000000001</v>
      </c>
      <c r="Z6276">
        <v>-1.6947E-2</v>
      </c>
      <c r="AA6276">
        <v>0.87568369999999995</v>
      </c>
      <c r="AB6276">
        <v>36</v>
      </c>
      <c r="AC6276">
        <v>31.368699999999901</v>
      </c>
      <c r="AD6276">
        <v>-1.106566166833</v>
      </c>
      <c r="AE6276">
        <v>21.280100000000001</v>
      </c>
      <c r="AF6276">
        <v>18.430876822118101</v>
      </c>
      <c r="AG6276">
        <v>-1.106566166833</v>
      </c>
      <c r="AH6276">
        <v>33.086174226076899</v>
      </c>
      <c r="AI6276">
        <v>91.673564812268694</v>
      </c>
      <c r="AJ6276">
        <v>60.8797113763287</v>
      </c>
      <c r="AK6276">
        <v>37.889531984863403</v>
      </c>
      <c r="AL6276">
        <v>78.765253486284095</v>
      </c>
      <c r="AM6276">
        <v>79.313180325411594</v>
      </c>
      <c r="AN6276">
        <v>0.99999996428331905</v>
      </c>
    </row>
    <row r="6277" spans="1:40" x14ac:dyDescent="0.25">
      <c r="A6277" t="str">
        <f>"20190303170659914"</f>
        <v>20190303170659914</v>
      </c>
      <c r="B6277" t="str">
        <f>"1551604019901171"</f>
        <v>1551604019901171</v>
      </c>
      <c r="C6277" t="s">
        <v>40</v>
      </c>
      <c r="D6277">
        <v>5.6838089999999903</v>
      </c>
      <c r="E6277">
        <v>0.64081489999999997</v>
      </c>
      <c r="F6277" t="s">
        <v>41</v>
      </c>
      <c r="G6277">
        <v>-148.76310000000001</v>
      </c>
      <c r="H6277" s="1">
        <v>-3.0241270000000001E-6</v>
      </c>
      <c r="I6277">
        <v>149.37020000000001</v>
      </c>
      <c r="J6277">
        <v>-182.97710000000001</v>
      </c>
      <c r="K6277">
        <v>1.1063350000000001</v>
      </c>
      <c r="L6277">
        <v>127.11320000000001</v>
      </c>
      <c r="M6277">
        <v>0.4639027</v>
      </c>
      <c r="N6277">
        <v>-1.5840170000000001E-2</v>
      </c>
      <c r="O6277">
        <v>0.88574459999999999</v>
      </c>
      <c r="P6277">
        <v>0.6046416</v>
      </c>
      <c r="Q6277">
        <v>0.1878446</v>
      </c>
      <c r="R6277">
        <v>0.77403029999999995</v>
      </c>
      <c r="S6277">
        <v>2.7258610000000001</v>
      </c>
      <c r="T6277">
        <v>-8.7703470000000006E-2</v>
      </c>
      <c r="U6277">
        <v>1.7899779999999901</v>
      </c>
      <c r="V6277">
        <v>0.18356790000000001</v>
      </c>
      <c r="W6277">
        <v>0.19676660000000001</v>
      </c>
      <c r="X6277">
        <v>0.96311250000000004</v>
      </c>
      <c r="Y6277">
        <v>0.48557860000000003</v>
      </c>
      <c r="Z6277">
        <v>-1.4923489999999999E-2</v>
      </c>
      <c r="AA6277">
        <v>0.874065599999999</v>
      </c>
      <c r="AB6277">
        <v>36</v>
      </c>
      <c r="AC6277">
        <v>34.213999999999999</v>
      </c>
      <c r="AD6277">
        <v>-1.106338024127</v>
      </c>
      <c r="AE6277">
        <v>22.257000000000001</v>
      </c>
      <c r="AF6277">
        <v>19.967619030323998</v>
      </c>
      <c r="AG6277">
        <v>-1.106338024127</v>
      </c>
      <c r="AH6277">
        <v>35.564318673952997</v>
      </c>
      <c r="AI6277">
        <v>91.553778542549196</v>
      </c>
      <c r="AJ6277">
        <v>60.687927992678198</v>
      </c>
      <c r="AK6277">
        <v>40.801354834199699</v>
      </c>
      <c r="AL6277">
        <v>78.652057790447998</v>
      </c>
      <c r="AM6277">
        <v>79.208933950361299</v>
      </c>
      <c r="AN6277">
        <v>0.99999997822110898</v>
      </c>
    </row>
    <row r="6278" spans="1:40" x14ac:dyDescent="0.25">
      <c r="A6278" t="str">
        <f>"20190303170659936"</f>
        <v>20190303170659936</v>
      </c>
      <c r="B6278" t="str">
        <f>"1551604019920692"</f>
        <v>1551604019920692</v>
      </c>
      <c r="C6278" t="s">
        <v>40</v>
      </c>
      <c r="D6278">
        <v>5.6776910000000003</v>
      </c>
      <c r="E6278">
        <v>0.64163879999999995</v>
      </c>
      <c r="F6278" t="s">
        <v>41</v>
      </c>
      <c r="G6278">
        <v>-147.16370000000001</v>
      </c>
      <c r="H6278">
        <v>6.1341850000000003E-2</v>
      </c>
      <c r="I6278">
        <v>149.6276</v>
      </c>
      <c r="J6278">
        <v>-182.7945</v>
      </c>
      <c r="K6278">
        <v>1.1060989999999999</v>
      </c>
      <c r="L6278">
        <v>127.4359</v>
      </c>
      <c r="M6278">
        <v>0.47815980000000002</v>
      </c>
      <c r="N6278">
        <v>-1.590743E-2</v>
      </c>
      <c r="O6278">
        <v>0.87812880000000004</v>
      </c>
      <c r="P6278">
        <v>0.61855269999999996</v>
      </c>
      <c r="Q6278">
        <v>0.18744079999999999</v>
      </c>
      <c r="R6278">
        <v>0.76305859999999903</v>
      </c>
      <c r="S6278">
        <v>2.7630309999999998</v>
      </c>
      <c r="T6278">
        <v>-8.062184E-2</v>
      </c>
      <c r="U6278">
        <v>1.7370000000000001</v>
      </c>
      <c r="V6278">
        <v>0.18548149999999999</v>
      </c>
      <c r="W6278">
        <v>0.19626109999999999</v>
      </c>
      <c r="X6278">
        <v>0.96284899999999995</v>
      </c>
      <c r="Y6278">
        <v>0.48880180000000001</v>
      </c>
      <c r="Z6278">
        <v>-1.278992E-2</v>
      </c>
      <c r="AA6278">
        <v>0.87230110000000005</v>
      </c>
      <c r="AB6278">
        <v>36</v>
      </c>
      <c r="AC6278">
        <v>35.630799999999901</v>
      </c>
      <c r="AD6278">
        <v>-1.0447571499999999</v>
      </c>
      <c r="AE6278">
        <v>22.191700000000001</v>
      </c>
      <c r="AF6278">
        <v>20.667066574576999</v>
      </c>
      <c r="AG6278">
        <v>-1.0447571499999999</v>
      </c>
      <c r="AH6278">
        <v>36.506394077363403</v>
      </c>
      <c r="AI6278">
        <v>91.426629101774907</v>
      </c>
      <c r="AJ6278">
        <v>60.4848525510332</v>
      </c>
      <c r="AK6278">
        <v>41.963507561120601</v>
      </c>
      <c r="AL6278">
        <v>78.681597054523806</v>
      </c>
      <c r="AM6278">
        <v>79.096212613640205</v>
      </c>
      <c r="AN6278">
        <v>1.00000000150823</v>
      </c>
    </row>
    <row r="6279" spans="1:40" x14ac:dyDescent="0.25">
      <c r="A6279" t="str">
        <f>"20190303170659958"</f>
        <v>20190303170659958</v>
      </c>
      <c r="B6279" t="str">
        <f>"1551604019951454"</f>
        <v>1551604019951454</v>
      </c>
      <c r="C6279" t="s">
        <v>40</v>
      </c>
      <c r="D6279">
        <v>5.4809640000000002</v>
      </c>
      <c r="E6279">
        <v>0.64189669999999999</v>
      </c>
      <c r="F6279" t="s">
        <v>41</v>
      </c>
      <c r="G6279">
        <v>-145.91589999999999</v>
      </c>
      <c r="H6279">
        <v>4.7585099999999996E-3</v>
      </c>
      <c r="I6279">
        <v>149.61619999999999</v>
      </c>
      <c r="J6279">
        <v>-182.6123</v>
      </c>
      <c r="K6279">
        <v>1.105866</v>
      </c>
      <c r="L6279">
        <v>127.746</v>
      </c>
      <c r="M6279">
        <v>0.49209000000000003</v>
      </c>
      <c r="N6279">
        <v>-1.597457E-2</v>
      </c>
      <c r="O6279">
        <v>0.87039769999999905</v>
      </c>
      <c r="P6279">
        <v>0.63226400000000005</v>
      </c>
      <c r="Q6279">
        <v>0.18568689999999999</v>
      </c>
      <c r="R6279">
        <v>0.7521719</v>
      </c>
      <c r="S6279">
        <v>2.7987820000000001</v>
      </c>
      <c r="T6279">
        <v>-8.358264E-2</v>
      </c>
      <c r="U6279">
        <v>1.6833039999999999</v>
      </c>
      <c r="V6279">
        <v>0.1873987</v>
      </c>
      <c r="W6279">
        <v>0.19441020000000001</v>
      </c>
      <c r="X6279">
        <v>0.96285330000000002</v>
      </c>
      <c r="Y6279">
        <v>0.49210710000000002</v>
      </c>
      <c r="Z6279">
        <v>-1.374888E-2</v>
      </c>
      <c r="AA6279">
        <v>0.87042609999999998</v>
      </c>
      <c r="AB6279">
        <v>36</v>
      </c>
      <c r="AC6279">
        <v>36.696399999999997</v>
      </c>
      <c r="AD6279">
        <v>-1.10110749</v>
      </c>
      <c r="AE6279">
        <v>21.870199999999901</v>
      </c>
      <c r="AF6279">
        <v>21.1669963077339</v>
      </c>
      <c r="AG6279">
        <v>-1.10110749</v>
      </c>
      <c r="AH6279">
        <v>37.073807833807997</v>
      </c>
      <c r="AI6279">
        <v>91.477478721878796</v>
      </c>
      <c r="AJ6279">
        <v>60.276136501190898</v>
      </c>
      <c r="AK6279">
        <v>42.705051196483602</v>
      </c>
      <c r="AL6279">
        <v>78.789729246284907</v>
      </c>
      <c r="AM6279">
        <v>78.986297708884393</v>
      </c>
      <c r="AN6279">
        <v>1.0000000379733001</v>
      </c>
    </row>
    <row r="6280" spans="1:40" x14ac:dyDescent="0.25">
      <c r="A6280" t="str">
        <f>"20190303170659979"</f>
        <v>20190303170659979</v>
      </c>
      <c r="B6280" t="str">
        <f>"1551604019970975"</f>
        <v>1551604019970975</v>
      </c>
      <c r="C6280" t="s">
        <v>40</v>
      </c>
      <c r="D6280">
        <v>5.5016400000000001</v>
      </c>
      <c r="E6280">
        <v>0.64149820000000002</v>
      </c>
      <c r="F6280" t="s">
        <v>41</v>
      </c>
      <c r="G6280">
        <v>-147.14689999999999</v>
      </c>
      <c r="H6280" s="1">
        <v>-3.3672640000000002E-6</v>
      </c>
      <c r="I6280">
        <v>148.20400000000001</v>
      </c>
      <c r="J6280">
        <v>-182.4272</v>
      </c>
      <c r="K6280">
        <v>1.1056490000000001</v>
      </c>
      <c r="L6280">
        <v>128.04990000000001</v>
      </c>
      <c r="M6280">
        <v>0.50595950000000001</v>
      </c>
      <c r="N6280">
        <v>-1.6042689999999998E-2</v>
      </c>
      <c r="O6280">
        <v>0.86240810000000001</v>
      </c>
      <c r="P6280">
        <v>0.64506039999999998</v>
      </c>
      <c r="Q6280">
        <v>0.18438189999999999</v>
      </c>
      <c r="R6280">
        <v>0.74155269999999995</v>
      </c>
      <c r="S6280">
        <v>2.829224</v>
      </c>
      <c r="T6280">
        <v>-8.8219640000000002E-2</v>
      </c>
      <c r="U6280">
        <v>1.6320190000000001</v>
      </c>
      <c r="V6280">
        <v>0.18837409999999999</v>
      </c>
      <c r="W6280">
        <v>0.19304560000000001</v>
      </c>
      <c r="X6280">
        <v>0.9629375</v>
      </c>
      <c r="Y6280">
        <v>0.49403979999999997</v>
      </c>
      <c r="Z6280">
        <v>-1.521108E-2</v>
      </c>
      <c r="AA6280">
        <v>0.86930620000000003</v>
      </c>
      <c r="AB6280">
        <v>36</v>
      </c>
      <c r="AC6280">
        <v>35.280299999999997</v>
      </c>
      <c r="AD6280">
        <v>-1.105652367264</v>
      </c>
      <c r="AE6280">
        <v>20.1541</v>
      </c>
      <c r="AF6280">
        <v>20.216490476279802</v>
      </c>
      <c r="AG6280">
        <v>-1.105652367264</v>
      </c>
      <c r="AH6280">
        <v>35.2099219880836</v>
      </c>
      <c r="AI6280">
        <v>91.559899676534002</v>
      </c>
      <c r="AJ6280">
        <v>60.136838487960198</v>
      </c>
      <c r="AK6280">
        <v>40.6160997726479</v>
      </c>
      <c r="AL6280">
        <v>78.869424645231405</v>
      </c>
      <c r="AM6280">
        <v>78.931328407716904</v>
      </c>
      <c r="AN6280">
        <v>1.0000000170682</v>
      </c>
    </row>
    <row r="6281" spans="1:40" x14ac:dyDescent="0.25">
      <c r="A6281" t="str">
        <f>"20190303170700003"</f>
        <v>20190303170700003</v>
      </c>
      <c r="B6281" t="str">
        <f>"1551604019991471"</f>
        <v>1551604019991471</v>
      </c>
      <c r="C6281" t="s">
        <v>40</v>
      </c>
      <c r="D6281">
        <v>5.502796</v>
      </c>
      <c r="E6281">
        <v>0.64094879999999999</v>
      </c>
      <c r="F6281" t="s">
        <v>41</v>
      </c>
      <c r="G6281">
        <v>-146.39850000000001</v>
      </c>
      <c r="H6281" s="1">
        <v>-3.5968200000000001E-6</v>
      </c>
      <c r="I6281">
        <v>148.0624</v>
      </c>
      <c r="J6281">
        <v>-182.233</v>
      </c>
      <c r="K6281">
        <v>1.1054489999999999</v>
      </c>
      <c r="L6281">
        <v>128.35740000000001</v>
      </c>
      <c r="M6281">
        <v>0.5202175</v>
      </c>
      <c r="N6281">
        <v>-1.6113780000000001E-2</v>
      </c>
      <c r="O6281">
        <v>0.85388180000000002</v>
      </c>
      <c r="P6281">
        <v>0.65740600000000005</v>
      </c>
      <c r="Q6281">
        <v>0.18572089999999999</v>
      </c>
      <c r="R6281">
        <v>0.73029119999999903</v>
      </c>
      <c r="S6281">
        <v>2.8536069999999998</v>
      </c>
      <c r="T6281">
        <v>-8.7571620000000003E-2</v>
      </c>
      <c r="U6281">
        <v>1.5850679999999999</v>
      </c>
      <c r="V6281">
        <v>0.18884960000000001</v>
      </c>
      <c r="W6281">
        <v>0.1943414</v>
      </c>
      <c r="X6281">
        <v>0.96258359999999998</v>
      </c>
      <c r="Y6281">
        <v>0.49367329999999998</v>
      </c>
      <c r="Z6281">
        <v>-1.504289E-2</v>
      </c>
      <c r="AA6281">
        <v>0.86951730000000005</v>
      </c>
      <c r="AB6281">
        <v>36</v>
      </c>
      <c r="AC6281">
        <v>35.834499999999899</v>
      </c>
      <c r="AD6281">
        <v>-1.10545259682</v>
      </c>
      <c r="AE6281">
        <v>19.704999999999899</v>
      </c>
      <c r="AF6281">
        <v>20.335324328200301</v>
      </c>
      <c r="AG6281">
        <v>-1.10545259682</v>
      </c>
      <c r="AH6281">
        <v>35.446179272699297</v>
      </c>
      <c r="AI6281">
        <v>91.549545046384594</v>
      </c>
      <c r="AJ6281">
        <v>60.157287561744099</v>
      </c>
      <c r="AK6281">
        <v>40.880057069544897</v>
      </c>
      <c r="AL6281">
        <v>78.793747059867599</v>
      </c>
      <c r="AM6281">
        <v>78.900102832100302</v>
      </c>
      <c r="AN6281">
        <v>0.99999996908153899</v>
      </c>
    </row>
    <row r="6282" spans="1:40" x14ac:dyDescent="0.25">
      <c r="A6282" t="str">
        <f>"20190303170700025"</f>
        <v>20190303170700025</v>
      </c>
      <c r="B6282" t="str">
        <f>"1551604020010991"</f>
        <v>1551604020010991</v>
      </c>
      <c r="C6282" t="s">
        <v>40</v>
      </c>
      <c r="D6282">
        <v>5.5133729999999996</v>
      </c>
      <c r="E6282">
        <v>0.64017939999999995</v>
      </c>
      <c r="F6282" t="s">
        <v>41</v>
      </c>
      <c r="G6282">
        <v>-142.47219999999999</v>
      </c>
      <c r="H6282">
        <v>4.9767700000000002E-3</v>
      </c>
      <c r="I6282">
        <v>149.61619999999999</v>
      </c>
      <c r="J6282">
        <v>-182.0308</v>
      </c>
      <c r="K6282">
        <v>1.1052500000000001</v>
      </c>
      <c r="L6282">
        <v>128.6651</v>
      </c>
      <c r="M6282">
        <v>0.53473149999999903</v>
      </c>
      <c r="N6282">
        <v>-1.6187569999999998E-2</v>
      </c>
      <c r="O6282">
        <v>0.84486689999999998</v>
      </c>
      <c r="P6282">
        <v>0.67019439999999997</v>
      </c>
      <c r="Q6282">
        <v>0.18839549999999999</v>
      </c>
      <c r="R6282">
        <v>0.71787639999999997</v>
      </c>
      <c r="S6282">
        <v>2.877075</v>
      </c>
      <c r="T6282">
        <v>-7.9629779999999997E-2</v>
      </c>
      <c r="U6282">
        <v>1.538284</v>
      </c>
      <c r="V6282">
        <v>0.18996540000000001</v>
      </c>
      <c r="W6282">
        <v>0.1969456</v>
      </c>
      <c r="X6282">
        <v>0.96183450000000004</v>
      </c>
      <c r="Y6282">
        <v>0.49279010000000001</v>
      </c>
      <c r="Z6282">
        <v>-1.2662440000000001E-2</v>
      </c>
      <c r="AA6282">
        <v>0.8700561</v>
      </c>
      <c r="AB6282">
        <v>36</v>
      </c>
      <c r="AC6282">
        <v>39.558599999999998</v>
      </c>
      <c r="AD6282">
        <v>-1.10027323</v>
      </c>
      <c r="AE6282">
        <v>20.9511</v>
      </c>
      <c r="AF6282">
        <v>22.208034590161599</v>
      </c>
      <c r="AG6282">
        <v>-1.10027323</v>
      </c>
      <c r="AH6282">
        <v>38.835751760643099</v>
      </c>
      <c r="AI6282">
        <v>91.408858390509295</v>
      </c>
      <c r="AJ6282">
        <v>60.237130876533001</v>
      </c>
      <c r="AK6282">
        <v>44.7506761552578</v>
      </c>
      <c r="AL6282">
        <v>78.641597567570699</v>
      </c>
      <c r="AM6282">
        <v>78.8276868041917</v>
      </c>
      <c r="AN6282">
        <v>1.00000001397338</v>
      </c>
    </row>
    <row r="6283" spans="1:40" x14ac:dyDescent="0.25">
      <c r="A6283" t="str">
        <f>"20190303170700048"</f>
        <v>20190303170700048</v>
      </c>
      <c r="B6283" t="str">
        <f>"1551604020040778"</f>
        <v>1551604020040778</v>
      </c>
      <c r="C6283" t="s">
        <v>40</v>
      </c>
      <c r="D6283">
        <v>5.5014699999999896</v>
      </c>
      <c r="E6283">
        <v>0.63920219999999905</v>
      </c>
      <c r="F6283" t="s">
        <v>41</v>
      </c>
      <c r="G6283">
        <v>-140.1806</v>
      </c>
      <c r="H6283">
        <v>7.9985459999999994E-2</v>
      </c>
      <c r="I6283">
        <v>150.18119999999999</v>
      </c>
      <c r="J6283">
        <v>-181.8193</v>
      </c>
      <c r="K6283">
        <v>1.105046</v>
      </c>
      <c r="L6283">
        <v>128.97489999999999</v>
      </c>
      <c r="M6283">
        <v>0.54958260000000003</v>
      </c>
      <c r="N6283">
        <v>-1.6263929999999999E-2</v>
      </c>
      <c r="O6283">
        <v>0.8352811</v>
      </c>
      <c r="P6283">
        <v>0.683535</v>
      </c>
      <c r="Q6283">
        <v>0.18873670000000001</v>
      </c>
      <c r="R6283">
        <v>0.70509460000000002</v>
      </c>
      <c r="S6283">
        <v>2.899521</v>
      </c>
      <c r="T6283">
        <v>-7.1033600000000002E-2</v>
      </c>
      <c r="U6283">
        <v>1.490707</v>
      </c>
      <c r="V6283">
        <v>0.19115799999999999</v>
      </c>
      <c r="W6283">
        <v>0.19722239999999999</v>
      </c>
      <c r="X6283">
        <v>0.96154150000000005</v>
      </c>
      <c r="Y6283">
        <v>0.49146519999999999</v>
      </c>
      <c r="Z6283">
        <v>-1.010579E-2</v>
      </c>
      <c r="AA6283">
        <v>0.87083860000000002</v>
      </c>
      <c r="AB6283">
        <v>36</v>
      </c>
      <c r="AC6283">
        <v>41.6387</v>
      </c>
      <c r="AD6283">
        <v>-1.0250605399999999</v>
      </c>
      <c r="AE6283">
        <v>21.206299999999999</v>
      </c>
      <c r="AF6283">
        <v>23.117339368637801</v>
      </c>
      <c r="AG6283">
        <v>-1.0250605399999999</v>
      </c>
      <c r="AH6283">
        <v>40.582966077421901</v>
      </c>
      <c r="AI6283">
        <v>91.257291327388103</v>
      </c>
      <c r="AJ6283">
        <v>60.332794502904001</v>
      </c>
      <c r="AK6283">
        <v>46.716584466724598</v>
      </c>
      <c r="AL6283">
        <v>78.625421300792894</v>
      </c>
      <c r="AM6283">
        <v>78.755989789832796</v>
      </c>
      <c r="AN6283">
        <v>1.0000000561239999</v>
      </c>
    </row>
    <row r="6284" spans="1:40" x14ac:dyDescent="0.25">
      <c r="A6284" t="str">
        <f>"20190303170700070"</f>
        <v>20190303170700070</v>
      </c>
      <c r="B6284" t="str">
        <f>"1551604020061273"</f>
        <v>1551604020061273</v>
      </c>
      <c r="C6284" t="s">
        <v>40</v>
      </c>
      <c r="D6284">
        <v>5.5492429999999997</v>
      </c>
      <c r="E6284">
        <v>0.62538329999999998</v>
      </c>
      <c r="F6284" t="s">
        <v>41</v>
      </c>
      <c r="G6284">
        <v>-138.38120000000001</v>
      </c>
      <c r="H6284">
        <v>7.9986420000000003E-2</v>
      </c>
      <c r="I6284">
        <v>150.41849999999999</v>
      </c>
      <c r="J6284">
        <v>-181.61760000000001</v>
      </c>
      <c r="K6284">
        <v>1.1048610000000001</v>
      </c>
      <c r="L6284">
        <v>129.25989999999999</v>
      </c>
      <c r="M6284">
        <v>0.56341889999999994</v>
      </c>
      <c r="N6284">
        <v>-1.6334580000000001E-2</v>
      </c>
      <c r="O6284">
        <v>0.82600989999999996</v>
      </c>
      <c r="P6284">
        <v>0.69609480000000001</v>
      </c>
      <c r="Q6284">
        <v>0.1877095</v>
      </c>
      <c r="R6284">
        <v>0.69297710000000001</v>
      </c>
      <c r="S6284">
        <v>2.9206850000000002</v>
      </c>
      <c r="T6284">
        <v>-6.8922880000000006E-2</v>
      </c>
      <c r="U6284">
        <v>1.441818</v>
      </c>
      <c r="V6284">
        <v>0.19231219999999999</v>
      </c>
      <c r="W6284">
        <v>0.19614000000000001</v>
      </c>
      <c r="X6284">
        <v>0.96153270000000002</v>
      </c>
      <c r="Y6284">
        <v>0.49117830000000001</v>
      </c>
      <c r="Z6284">
        <v>-9.5304900000000008E-3</v>
      </c>
      <c r="AA6284">
        <v>0.87100689999999903</v>
      </c>
      <c r="AB6284">
        <v>36</v>
      </c>
      <c r="AC6284">
        <v>43.236400000000003</v>
      </c>
      <c r="AD6284">
        <v>-1.0248745800000001</v>
      </c>
      <c r="AE6284">
        <v>21.1586</v>
      </c>
      <c r="AF6284">
        <v>23.784931614087899</v>
      </c>
      <c r="AG6284">
        <v>-1.0248745800000001</v>
      </c>
      <c r="AH6284">
        <v>41.824040440982998</v>
      </c>
      <c r="AI6284">
        <v>91.220266494685404</v>
      </c>
      <c r="AJ6284">
        <v>60.373524481835197</v>
      </c>
      <c r="AK6284">
        <v>48.125083881491101</v>
      </c>
      <c r="AL6284">
        <v>78.688673173915802</v>
      </c>
      <c r="AM6284">
        <v>78.689743230291597</v>
      </c>
      <c r="AN6284">
        <v>1.00000000751906</v>
      </c>
    </row>
    <row r="6285" spans="1:40" x14ac:dyDescent="0.25">
      <c r="A6285" t="str">
        <f>"20190303170700081"</f>
        <v>20190303170700081</v>
      </c>
      <c r="B6285" t="str">
        <f>"1551604020071034"</f>
        <v>1551604020071034</v>
      </c>
      <c r="C6285" t="s">
        <v>40</v>
      </c>
      <c r="D6285">
        <v>5.5050990000000004</v>
      </c>
      <c r="E6285">
        <v>0.62529480000000004</v>
      </c>
      <c r="F6285" t="s">
        <v>41</v>
      </c>
      <c r="G6285">
        <v>-141.82499999999999</v>
      </c>
      <c r="H6285">
        <v>6.144848E-2</v>
      </c>
      <c r="I6285">
        <v>149.6277</v>
      </c>
      <c r="J6285">
        <v>-181.49629999999999</v>
      </c>
      <c r="K6285">
        <v>1.1047579999999999</v>
      </c>
      <c r="L6285">
        <v>129.42740000000001</v>
      </c>
      <c r="M6285">
        <v>0.57160540000000004</v>
      </c>
      <c r="N6285">
        <v>-1.6374949999999999E-2</v>
      </c>
      <c r="O6285">
        <v>0.82036520000000002</v>
      </c>
      <c r="P6285">
        <v>0.70308009999999999</v>
      </c>
      <c r="Q6285">
        <v>0.18722749999999999</v>
      </c>
      <c r="R6285">
        <v>0.68602069999999904</v>
      </c>
      <c r="S6285">
        <v>2.8684229999999999</v>
      </c>
      <c r="T6285">
        <v>-7.5213790000000003E-2</v>
      </c>
      <c r="U6285">
        <v>1.4682010000000001</v>
      </c>
      <c r="V6285">
        <v>0.19244649999999999</v>
      </c>
      <c r="W6285">
        <v>0.19564809999999999</v>
      </c>
      <c r="X6285">
        <v>0.96160599999999996</v>
      </c>
      <c r="Y6285">
        <v>0.46970109999999898</v>
      </c>
      <c r="Z6285">
        <v>-1.137645E-2</v>
      </c>
      <c r="AA6285">
        <v>0.88275219999999899</v>
      </c>
      <c r="AB6285">
        <v>36</v>
      </c>
      <c r="AC6285">
        <v>39.671300000000002</v>
      </c>
      <c r="AD6285">
        <v>-1.04330952</v>
      </c>
      <c r="AE6285">
        <v>20.200299999999999</v>
      </c>
      <c r="AF6285">
        <v>20.9896418054389</v>
      </c>
      <c r="AG6285">
        <v>-1.04330952</v>
      </c>
      <c r="AH6285">
        <v>39.231669647522601</v>
      </c>
      <c r="AI6285">
        <v>91.343252767761399</v>
      </c>
      <c r="AJ6285">
        <v>61.852425628344598</v>
      </c>
      <c r="AK6285">
        <v>44.5059261358249</v>
      </c>
      <c r="AL6285">
        <v>78.7174133507298</v>
      </c>
      <c r="AM6285">
        <v>78.6828890489532</v>
      </c>
      <c r="AN6285">
        <v>0.99999996681592895</v>
      </c>
    </row>
    <row r="6286" spans="1:40" x14ac:dyDescent="0.25">
      <c r="A6286" t="str">
        <f>"20190303170700094"</f>
        <v>20190303170700094</v>
      </c>
      <c r="B6286" t="str">
        <f>"1551604020080794"</f>
        <v>1551604020080794</v>
      </c>
      <c r="C6286" t="s">
        <v>40</v>
      </c>
      <c r="D6286">
        <v>5.5251929999999998</v>
      </c>
      <c r="E6286">
        <v>0.62479779999999996</v>
      </c>
      <c r="F6286" t="s">
        <v>41</v>
      </c>
      <c r="G6286">
        <v>-141.0103</v>
      </c>
      <c r="H6286">
        <v>7.5544009999999995E-2</v>
      </c>
      <c r="I6286">
        <v>149.64179999999999</v>
      </c>
      <c r="J6286">
        <v>-181.3802</v>
      </c>
      <c r="K6286">
        <v>1.1046670000000001</v>
      </c>
      <c r="L6286">
        <v>129.5829</v>
      </c>
      <c r="M6286">
        <v>0.57931330000000003</v>
      </c>
      <c r="N6286">
        <v>-1.6412510000000002E-2</v>
      </c>
      <c r="O6286">
        <v>0.81493970000000004</v>
      </c>
      <c r="P6286">
        <v>0.70961839999999998</v>
      </c>
      <c r="Q6286">
        <v>0.187107</v>
      </c>
      <c r="R6286">
        <v>0.67928840000000001</v>
      </c>
      <c r="S6286">
        <v>2.8822779999999999</v>
      </c>
      <c r="T6286">
        <v>-7.3271749999999997E-2</v>
      </c>
      <c r="U6286">
        <v>1.4391020000000001</v>
      </c>
      <c r="V6286">
        <v>0.19261159999999999</v>
      </c>
      <c r="W6286">
        <v>0.1955172</v>
      </c>
      <c r="X6286">
        <v>0.9615996</v>
      </c>
      <c r="Y6286">
        <v>0.47021390000000002</v>
      </c>
      <c r="Z6286">
        <v>-1.082399E-2</v>
      </c>
      <c r="AA6286">
        <v>0.88248609999999905</v>
      </c>
      <c r="AB6286">
        <v>36</v>
      </c>
      <c r="AC6286">
        <v>40.369900000000001</v>
      </c>
      <c r="AD6286">
        <v>-1.0291229900000001</v>
      </c>
      <c r="AE6286">
        <v>20.058899999999898</v>
      </c>
      <c r="AF6286">
        <v>21.2704274738145</v>
      </c>
      <c r="AG6286">
        <v>-1.0291229900000001</v>
      </c>
      <c r="AH6286">
        <v>39.7182662870161</v>
      </c>
      <c r="AI6286">
        <v>91.308486973472</v>
      </c>
      <c r="AJ6286">
        <v>61.829497817557296</v>
      </c>
      <c r="AK6286">
        <v>45.066959692147798</v>
      </c>
      <c r="AL6286">
        <v>78.725061415800099</v>
      </c>
      <c r="AM6286">
        <v>78.673357530767802</v>
      </c>
      <c r="AN6286">
        <v>0.99999999733528</v>
      </c>
    </row>
    <row r="6287" spans="1:40" x14ac:dyDescent="0.25">
      <c r="A6287" t="str">
        <f>"20190303170700108"</f>
        <v>20190303170700108</v>
      </c>
      <c r="B6287" t="str">
        <f>"1551604020101290"</f>
        <v>1551604020101290</v>
      </c>
      <c r="C6287" t="s">
        <v>40</v>
      </c>
      <c r="D6287">
        <v>5.5425639999999996</v>
      </c>
      <c r="E6287">
        <v>0.62410659999999996</v>
      </c>
      <c r="F6287" t="s">
        <v>41</v>
      </c>
      <c r="G6287">
        <v>-140.34</v>
      </c>
      <c r="H6287">
        <v>7.6565439999999998E-2</v>
      </c>
      <c r="I6287">
        <v>149.64279999999999</v>
      </c>
      <c r="J6287">
        <v>-181.25059999999999</v>
      </c>
      <c r="K6287">
        <v>1.1045659999999999</v>
      </c>
      <c r="L6287">
        <v>129.75409999999999</v>
      </c>
      <c r="M6287">
        <v>0.58781490000000003</v>
      </c>
      <c r="N6287">
        <v>-1.6452720000000001E-2</v>
      </c>
      <c r="O6287">
        <v>0.80882810000000005</v>
      </c>
      <c r="P6287">
        <v>0.71680569999999999</v>
      </c>
      <c r="Q6287">
        <v>0.18790119999999999</v>
      </c>
      <c r="R6287">
        <v>0.67147800000000002</v>
      </c>
      <c r="S6287">
        <v>2.8930660000000001</v>
      </c>
      <c r="T6287">
        <v>-7.2474360000000002E-2</v>
      </c>
      <c r="U6287">
        <v>1.414093</v>
      </c>
      <c r="V6287">
        <v>0.19298270000000001</v>
      </c>
      <c r="W6287">
        <v>0.1962892</v>
      </c>
      <c r="X6287">
        <v>0.96136790000000005</v>
      </c>
      <c r="Y6287">
        <v>0.46842739999999999</v>
      </c>
      <c r="Z6287">
        <v>-1.0590169999999999E-2</v>
      </c>
      <c r="AA6287">
        <v>0.88343850000000002</v>
      </c>
      <c r="AB6287">
        <v>36</v>
      </c>
      <c r="AC6287">
        <v>40.910599999999903</v>
      </c>
      <c r="AD6287">
        <v>-1.02800056</v>
      </c>
      <c r="AE6287">
        <v>19.8887</v>
      </c>
      <c r="AF6287">
        <v>21.390741575854499</v>
      </c>
      <c r="AG6287">
        <v>-1.02800056</v>
      </c>
      <c r="AH6287">
        <v>40.119344493897998</v>
      </c>
      <c r="AI6287">
        <v>91.295264777125098</v>
      </c>
      <c r="AJ6287">
        <v>61.934453968024599</v>
      </c>
      <c r="AK6287">
        <v>45.477273587325101</v>
      </c>
      <c r="AL6287">
        <v>78.679955155057698</v>
      </c>
      <c r="AM6287">
        <v>78.649436504782997</v>
      </c>
      <c r="AN6287">
        <v>1.0000000058431699</v>
      </c>
    </row>
    <row r="6288" spans="1:40" x14ac:dyDescent="0.25">
      <c r="A6288" t="str">
        <f>"20190303170700121"</f>
        <v>20190303170700121</v>
      </c>
      <c r="B6288" t="str">
        <f>"1551604020111050"</f>
        <v>1551604020111050</v>
      </c>
      <c r="C6288" t="s">
        <v>40</v>
      </c>
      <c r="D6288">
        <v>5.525944</v>
      </c>
      <c r="E6288">
        <v>0.62337670000000001</v>
      </c>
      <c r="F6288" t="s">
        <v>41</v>
      </c>
      <c r="G6288">
        <v>-139.6276</v>
      </c>
      <c r="H6288">
        <v>5.9378229999999997E-2</v>
      </c>
      <c r="I6288">
        <v>149.62559999999999</v>
      </c>
      <c r="J6288">
        <v>-181.1104</v>
      </c>
      <c r="K6288">
        <v>1.1044620000000001</v>
      </c>
      <c r="L6288">
        <v>129.93530000000001</v>
      </c>
      <c r="M6288">
        <v>0.59688660000000004</v>
      </c>
      <c r="N6288">
        <v>-1.649482E-2</v>
      </c>
      <c r="O6288">
        <v>0.80215599999999998</v>
      </c>
      <c r="P6288">
        <v>0.72453239999999997</v>
      </c>
      <c r="Q6288">
        <v>0.1893147</v>
      </c>
      <c r="R6288">
        <v>0.66273130000000002</v>
      </c>
      <c r="S6288">
        <v>2.905106</v>
      </c>
      <c r="T6288">
        <v>-7.2949410000000006E-2</v>
      </c>
      <c r="U6288">
        <v>1.3869479999999901</v>
      </c>
      <c r="V6288">
        <v>0.19363320000000001</v>
      </c>
      <c r="W6288">
        <v>0.19766600000000001</v>
      </c>
      <c r="X6288">
        <v>0.96095489999999995</v>
      </c>
      <c r="Y6288">
        <v>0.46661799999999998</v>
      </c>
      <c r="Z6288">
        <v>-1.073146E-2</v>
      </c>
      <c r="AA6288">
        <v>0.88439389999999996</v>
      </c>
      <c r="AB6288">
        <v>35</v>
      </c>
      <c r="AC6288">
        <v>41.482799999999997</v>
      </c>
      <c r="AD6288">
        <v>-1.04508377</v>
      </c>
      <c r="AE6288">
        <v>19.690299999999901</v>
      </c>
      <c r="AF6288">
        <v>21.5145855212299</v>
      </c>
      <c r="AG6288">
        <v>-1.04508377</v>
      </c>
      <c r="AH6288">
        <v>40.539739955818099</v>
      </c>
      <c r="AI6288">
        <v>91.304468617082094</v>
      </c>
      <c r="AJ6288">
        <v>62.044947262546899</v>
      </c>
      <c r="AK6288">
        <v>45.906863385794402</v>
      </c>
      <c r="AL6288">
        <v>78.599493759037998</v>
      </c>
      <c r="AM6288">
        <v>78.607408140471193</v>
      </c>
      <c r="AN6288">
        <v>0.99999999176612497</v>
      </c>
    </row>
    <row r="6289" spans="1:40" x14ac:dyDescent="0.25">
      <c r="A6289" t="str">
        <f>"20190303170700137"</f>
        <v>20190303170700137</v>
      </c>
      <c r="B6289" t="str">
        <f>"1551604020120810"</f>
        <v>1551604020120810</v>
      </c>
      <c r="C6289" t="s">
        <v>40</v>
      </c>
      <c r="D6289">
        <v>5.6478510000000002</v>
      </c>
      <c r="E6289">
        <v>0.62391249999999998</v>
      </c>
      <c r="F6289" t="s">
        <v>41</v>
      </c>
      <c r="G6289">
        <v>-138.27430000000001</v>
      </c>
      <c r="H6289">
        <v>7.9986360000000006E-2</v>
      </c>
      <c r="I6289">
        <v>149.85910000000001</v>
      </c>
      <c r="J6289">
        <v>-180.9511</v>
      </c>
      <c r="K6289">
        <v>1.1043540000000001</v>
      </c>
      <c r="L6289">
        <v>130.1352</v>
      </c>
      <c r="M6289">
        <v>0.60700580000000004</v>
      </c>
      <c r="N6289">
        <v>-1.6542609999999999E-2</v>
      </c>
      <c r="O6289">
        <v>0.79452519999999904</v>
      </c>
      <c r="P6289">
        <v>0.73314869999999899</v>
      </c>
      <c r="Q6289">
        <v>0.19127720000000001</v>
      </c>
      <c r="R6289">
        <v>0.65261480000000005</v>
      </c>
      <c r="S6289">
        <v>2.9175719999999998</v>
      </c>
      <c r="T6289">
        <v>-6.977701E-2</v>
      </c>
      <c r="U6289">
        <v>1.35701</v>
      </c>
      <c r="V6289">
        <v>0.1945163</v>
      </c>
      <c r="W6289">
        <v>0.19958300000000001</v>
      </c>
      <c r="X6289">
        <v>0.96038009999999996</v>
      </c>
      <c r="Y6289">
        <v>0.46432069999999998</v>
      </c>
      <c r="Z6289">
        <v>-9.7984479999999995E-3</v>
      </c>
      <c r="AA6289">
        <v>0.88561299999999898</v>
      </c>
      <c r="AB6289">
        <v>35</v>
      </c>
      <c r="AC6289">
        <v>42.676799999999901</v>
      </c>
      <c r="AD6289">
        <v>-1.0243676399999999</v>
      </c>
      <c r="AE6289">
        <v>19.7239</v>
      </c>
      <c r="AF6289">
        <v>21.927863484565101</v>
      </c>
      <c r="AG6289">
        <v>-1.0243676399999999</v>
      </c>
      <c r="AH6289">
        <v>41.562159807287401</v>
      </c>
      <c r="AI6289">
        <v>91.248780605726296</v>
      </c>
      <c r="AJ6289">
        <v>62.184229030794803</v>
      </c>
      <c r="AK6289">
        <v>47.003123873909701</v>
      </c>
      <c r="AL6289">
        <v>78.487424350508803</v>
      </c>
      <c r="AM6289">
        <v>78.550149788436002</v>
      </c>
      <c r="AN6289">
        <v>0.99999995066534797</v>
      </c>
    </row>
    <row r="6290" spans="1:40" x14ac:dyDescent="0.25">
      <c r="A6290" t="str">
        <f>"20190303170700152"</f>
        <v>20190303170700152</v>
      </c>
      <c r="B6290" t="str">
        <f>"1551604020140836"</f>
        <v>1551604020140836</v>
      </c>
      <c r="C6290" t="s">
        <v>40</v>
      </c>
      <c r="D6290">
        <v>5.6517520000000001</v>
      </c>
      <c r="E6290">
        <v>0.64852650000000001</v>
      </c>
      <c r="F6290" t="s">
        <v>41</v>
      </c>
      <c r="G6290">
        <v>-135.07409999999999</v>
      </c>
      <c r="H6290">
        <v>7.998545E-2</v>
      </c>
      <c r="I6290">
        <v>150.6815</v>
      </c>
      <c r="J6290">
        <v>-180.79949999999999</v>
      </c>
      <c r="K6290">
        <v>1.104252</v>
      </c>
      <c r="L6290">
        <v>130.321</v>
      </c>
      <c r="M6290">
        <v>0.6164731</v>
      </c>
      <c r="N6290">
        <v>-1.6587089999999999E-2</v>
      </c>
      <c r="O6290">
        <v>0.78720129999999999</v>
      </c>
      <c r="P6290">
        <v>0.74114539999999995</v>
      </c>
      <c r="Q6290">
        <v>0.19154199999999999</v>
      </c>
      <c r="R6290">
        <v>0.64344009999999996</v>
      </c>
      <c r="S6290">
        <v>2.9378199999999999</v>
      </c>
      <c r="T6290">
        <v>-6.5597299999999997E-2</v>
      </c>
      <c r="U6290">
        <v>1.31572</v>
      </c>
      <c r="V6290">
        <v>0.1949794</v>
      </c>
      <c r="W6290">
        <v>0.199825</v>
      </c>
      <c r="X6290">
        <v>0.96023590000000003</v>
      </c>
      <c r="Y6290">
        <v>0.46638200000000002</v>
      </c>
      <c r="Z6290">
        <v>-8.6228190000000003E-3</v>
      </c>
      <c r="AA6290">
        <v>0.88454149999999998</v>
      </c>
      <c r="AB6290">
        <v>35</v>
      </c>
      <c r="AC6290">
        <v>45.7254</v>
      </c>
      <c r="AD6290">
        <v>-1.0242665500000001</v>
      </c>
      <c r="AE6290">
        <v>20.360499999999998</v>
      </c>
      <c r="AF6290">
        <v>23.4368040805989</v>
      </c>
      <c r="AG6290">
        <v>-1.0242665500000001</v>
      </c>
      <c r="AH6290">
        <v>44.203862423917997</v>
      </c>
      <c r="AI6290">
        <v>91.172793439608</v>
      </c>
      <c r="AJ6290">
        <v>62.0675496113492</v>
      </c>
      <c r="AK6290">
        <v>50.043125009040899</v>
      </c>
      <c r="AL6290">
        <v>78.473274188444407</v>
      </c>
      <c r="AM6290">
        <v>78.521935014850499</v>
      </c>
      <c r="AN6290">
        <v>0.99999999034908504</v>
      </c>
    </row>
    <row r="6291" spans="1:40" x14ac:dyDescent="0.25">
      <c r="A6291" t="str">
        <f>"20190303170700165"</f>
        <v>20190303170700165</v>
      </c>
      <c r="B6291" t="str">
        <f>"1551604020161331"</f>
        <v>1551604020161331</v>
      </c>
      <c r="C6291" t="s">
        <v>40</v>
      </c>
      <c r="D6291">
        <v>5.6139330000000003</v>
      </c>
      <c r="E6291">
        <v>0.65880130000000003</v>
      </c>
      <c r="F6291" t="s">
        <v>41</v>
      </c>
      <c r="G6291">
        <v>-129.35489999999999</v>
      </c>
      <c r="H6291" s="1">
        <v>-2.7924370000000001E-6</v>
      </c>
      <c r="I6291">
        <v>149.1996</v>
      </c>
      <c r="J6291">
        <v>-180.6721</v>
      </c>
      <c r="K6291">
        <v>1.1041669999999999</v>
      </c>
      <c r="L6291">
        <v>130.47460000000001</v>
      </c>
      <c r="M6291">
        <v>0.62432430000000005</v>
      </c>
      <c r="N6291">
        <v>-1.662346E-2</v>
      </c>
      <c r="O6291">
        <v>0.78098840000000003</v>
      </c>
      <c r="P6291">
        <v>0.74755509999999903</v>
      </c>
      <c r="Q6291">
        <v>0.1911688</v>
      </c>
      <c r="R6291">
        <v>0.6360941</v>
      </c>
      <c r="S6291">
        <v>3.0827330000000002</v>
      </c>
      <c r="T6291">
        <v>-6.6170569999999998E-2</v>
      </c>
      <c r="U6291">
        <v>1.1312709999999999</v>
      </c>
      <c r="V6291">
        <v>0.1949409</v>
      </c>
      <c r="W6291">
        <v>0.19945309999999999</v>
      </c>
      <c r="X6291">
        <v>0.96032110000000004</v>
      </c>
      <c r="Y6291">
        <v>0.51800740000000001</v>
      </c>
      <c r="Z6291">
        <v>-9.1642949999999994E-3</v>
      </c>
      <c r="AA6291">
        <v>0.85532710000000001</v>
      </c>
      <c r="AB6291">
        <v>35</v>
      </c>
      <c r="AC6291">
        <v>51.3172</v>
      </c>
      <c r="AD6291">
        <v>-1.104169792437</v>
      </c>
      <c r="AE6291">
        <v>18.724999999999898</v>
      </c>
      <c r="AF6291">
        <v>28.379992722310099</v>
      </c>
      <c r="AG6291">
        <v>-1.104169792437</v>
      </c>
      <c r="AH6291">
        <v>46.649970692414897</v>
      </c>
      <c r="AI6291">
        <v>91.158434369431802</v>
      </c>
      <c r="AJ6291">
        <v>58.685326715564798</v>
      </c>
      <c r="AK6291">
        <v>54.615592493829801</v>
      </c>
      <c r="AL6291">
        <v>78.495020994490801</v>
      </c>
      <c r="AM6291">
        <v>78.525132434278802</v>
      </c>
      <c r="AN6291">
        <v>1.0000000543488099</v>
      </c>
    </row>
    <row r="6292" spans="1:40" x14ac:dyDescent="0.25">
      <c r="A6292" t="str">
        <f>"20190303170700177"</f>
        <v>20190303170700177</v>
      </c>
      <c r="B6292" t="str">
        <f>"1551604020171092"</f>
        <v>1551604020171092</v>
      </c>
      <c r="C6292" t="s">
        <v>40</v>
      </c>
      <c r="D6292">
        <v>5.5898029999999999</v>
      </c>
      <c r="E6292">
        <v>0.66081639999999997</v>
      </c>
      <c r="F6292" t="s">
        <v>113</v>
      </c>
      <c r="G6292">
        <v>-96.45393</v>
      </c>
      <c r="H6292">
        <v>0.1820621</v>
      </c>
      <c r="I6292">
        <v>158.155</v>
      </c>
      <c r="J6292">
        <v>-180.52789999999999</v>
      </c>
      <c r="K6292">
        <v>1.1040829999999999</v>
      </c>
      <c r="L6292">
        <v>130.64349999999999</v>
      </c>
      <c r="M6292">
        <v>0.63305330000000004</v>
      </c>
      <c r="N6292">
        <v>-1.6664200000000001E-2</v>
      </c>
      <c r="O6292">
        <v>0.77392879999999997</v>
      </c>
      <c r="P6292">
        <v>0.75457379999999996</v>
      </c>
      <c r="Q6292">
        <v>0.19112380000000001</v>
      </c>
      <c r="R6292">
        <v>0.62776609999999999</v>
      </c>
      <c r="S6292">
        <v>3.1429290000000001</v>
      </c>
      <c r="T6292">
        <v>-3.4411789999999998E-2</v>
      </c>
      <c r="U6292">
        <v>1.033005</v>
      </c>
      <c r="V6292">
        <v>0.194856</v>
      </c>
      <c r="W6292">
        <v>0.19941249999999999</v>
      </c>
      <c r="X6292">
        <v>0.9603467</v>
      </c>
      <c r="Y6292">
        <v>0.53755310000000001</v>
      </c>
      <c r="Z6292">
        <v>-1.502056E-4</v>
      </c>
      <c r="AA6292">
        <v>0.84322989999999998</v>
      </c>
      <c r="AB6292">
        <v>35</v>
      </c>
      <c r="AC6292">
        <v>84.073969999999903</v>
      </c>
      <c r="AD6292">
        <v>-0.92202090000000003</v>
      </c>
      <c r="AE6292">
        <v>27.511500000000002</v>
      </c>
      <c r="AF6292">
        <v>47.652462489442101</v>
      </c>
      <c r="AG6292">
        <v>-0.92202090000000003</v>
      </c>
      <c r="AH6292">
        <v>74.517500725993997</v>
      </c>
      <c r="AI6292">
        <v>90.597233184066397</v>
      </c>
      <c r="AJ6292">
        <v>57.401892202466598</v>
      </c>
      <c r="AK6292">
        <v>88.456007248214902</v>
      </c>
      <c r="AL6292">
        <v>78.497394199570493</v>
      </c>
      <c r="AM6292">
        <v>78.530295102122494</v>
      </c>
      <c r="AN6292">
        <v>0.999999995046569</v>
      </c>
    </row>
    <row r="6293" spans="1:40" x14ac:dyDescent="0.25">
      <c r="A6293" t="str">
        <f>"20190303170700192"</f>
        <v>20190303170700192</v>
      </c>
      <c r="B6293" t="str">
        <f>"1551604020180851"</f>
        <v>1551604020180851</v>
      </c>
      <c r="C6293" t="s">
        <v>40</v>
      </c>
      <c r="D6293">
        <v>5.6112729999999997</v>
      </c>
      <c r="E6293">
        <v>0.66207079999999996</v>
      </c>
      <c r="F6293" t="s">
        <v>113</v>
      </c>
      <c r="G6293">
        <v>-93.964209999999994</v>
      </c>
      <c r="H6293">
        <v>0.41092489999999998</v>
      </c>
      <c r="I6293">
        <v>157.56739999999999</v>
      </c>
      <c r="J6293">
        <v>-180.38659999999999</v>
      </c>
      <c r="K6293">
        <v>1.1040049999999999</v>
      </c>
      <c r="L6293">
        <v>130.80539999999999</v>
      </c>
      <c r="M6293">
        <v>0.64147339999999997</v>
      </c>
      <c r="N6293">
        <v>-1.6702809999999998E-2</v>
      </c>
      <c r="O6293">
        <v>0.76696350000000002</v>
      </c>
      <c r="P6293">
        <v>0.76119569999999903</v>
      </c>
      <c r="Q6293">
        <v>0.1910906</v>
      </c>
      <c r="R6293">
        <v>0.61973029999999996</v>
      </c>
      <c r="S6293">
        <v>3.1635589999999998</v>
      </c>
      <c r="T6293">
        <v>-2.5331969999999999E-2</v>
      </c>
      <c r="U6293">
        <v>0.98396300000000003</v>
      </c>
      <c r="V6293">
        <v>0.1945868</v>
      </c>
      <c r="W6293">
        <v>0.19939229999999999</v>
      </c>
      <c r="X6293">
        <v>0.96040550000000002</v>
      </c>
      <c r="Y6293">
        <v>0.54183149999999902</v>
      </c>
      <c r="Z6293">
        <v>2.3478140000000002E-3</v>
      </c>
      <c r="AA6293">
        <v>0.8404838</v>
      </c>
      <c r="AB6293">
        <v>35</v>
      </c>
      <c r="AC6293">
        <v>86.422389999999993</v>
      </c>
      <c r="AD6293">
        <v>-0.69308009999999998</v>
      </c>
      <c r="AE6293">
        <v>26.761999999999901</v>
      </c>
      <c r="AF6293">
        <v>49.119674667846198</v>
      </c>
      <c r="AG6293">
        <v>-0.69308009999999998</v>
      </c>
      <c r="AH6293">
        <v>75.969277095112105</v>
      </c>
      <c r="AI6293">
        <v>90.438947727072602</v>
      </c>
      <c r="AJ6293">
        <v>57.114386798703102</v>
      </c>
      <c r="AK6293">
        <v>90.468524149861096</v>
      </c>
      <c r="AL6293">
        <v>78.498575563717907</v>
      </c>
      <c r="AM6293">
        <v>78.5464045121482</v>
      </c>
      <c r="AN6293">
        <v>1.00000001823188</v>
      </c>
    </row>
    <row r="6294" spans="1:40" x14ac:dyDescent="0.25">
      <c r="A6294" t="str">
        <f>"20190303170700206"</f>
        <v>20190303170700206</v>
      </c>
      <c r="B6294" t="str">
        <f>"1551604020201348"</f>
        <v>1551604020201348</v>
      </c>
      <c r="C6294" t="s">
        <v>40</v>
      </c>
      <c r="D6294">
        <v>5.6132519999999904</v>
      </c>
      <c r="E6294">
        <v>0.66326799999999997</v>
      </c>
      <c r="F6294" t="s">
        <v>113</v>
      </c>
      <c r="G6294">
        <v>-87.960890000000006</v>
      </c>
      <c r="H6294">
        <v>0.55417439999999996</v>
      </c>
      <c r="I6294">
        <v>158.15520000000001</v>
      </c>
      <c r="J6294">
        <v>-180.2423</v>
      </c>
      <c r="K6294">
        <v>1.103923</v>
      </c>
      <c r="L6294">
        <v>130.96799999999999</v>
      </c>
      <c r="M6294">
        <v>0.64994479999999999</v>
      </c>
      <c r="N6294">
        <v>-1.6740720000000001E-2</v>
      </c>
      <c r="O6294">
        <v>0.75979699999999994</v>
      </c>
      <c r="P6294">
        <v>0.76798820000000001</v>
      </c>
      <c r="Q6294">
        <v>0.19141259999999999</v>
      </c>
      <c r="R6294">
        <v>0.61119190000000001</v>
      </c>
      <c r="S6294">
        <v>3.17984</v>
      </c>
      <c r="T6294">
        <v>-1.8916369999999998E-2</v>
      </c>
      <c r="U6294">
        <v>0.94094849999999997</v>
      </c>
      <c r="V6294">
        <v>0.19464429999999999</v>
      </c>
      <c r="W6294">
        <v>0.19971240000000001</v>
      </c>
      <c r="X6294">
        <v>0.96032729999999999</v>
      </c>
      <c r="Y6294">
        <v>0.54413599999999995</v>
      </c>
      <c r="Z6294">
        <v>4.0689209999999996E-3</v>
      </c>
      <c r="AA6294">
        <v>0.83898709999999899</v>
      </c>
      <c r="AB6294">
        <v>35</v>
      </c>
      <c r="AC6294">
        <v>92.281409999999994</v>
      </c>
      <c r="AD6294">
        <v>-0.54974859999999903</v>
      </c>
      <c r="AE6294">
        <v>27.187200000000001</v>
      </c>
      <c r="AF6294">
        <v>52.450597495176602</v>
      </c>
      <c r="AG6294">
        <v>-0.54974859999999903</v>
      </c>
      <c r="AH6294">
        <v>80.643244480779899</v>
      </c>
      <c r="AI6294">
        <v>90.327422069368893</v>
      </c>
      <c r="AJ6294">
        <v>56.959908622001002</v>
      </c>
      <c r="AK6294">
        <v>96.201352804994698</v>
      </c>
      <c r="AL6294">
        <v>78.479858344720697</v>
      </c>
      <c r="AM6294">
        <v>78.542201217099304</v>
      </c>
      <c r="AN6294">
        <v>0.99999998468076901</v>
      </c>
    </row>
    <row r="6295" spans="1:40" x14ac:dyDescent="0.25">
      <c r="A6295" t="str">
        <f>"20190303170700215"</f>
        <v>20190303170700215</v>
      </c>
      <c r="B6295" t="str">
        <f>"1551604020201348"</f>
        <v>1551604020201348</v>
      </c>
      <c r="C6295" t="s">
        <v>40</v>
      </c>
      <c r="D6295">
        <v>5.6132519999999904</v>
      </c>
      <c r="E6295">
        <v>0.66326799999999997</v>
      </c>
      <c r="F6295" t="s">
        <v>113</v>
      </c>
      <c r="G6295">
        <v>-85.569109999999995</v>
      </c>
      <c r="H6295">
        <v>0.71447179999999999</v>
      </c>
      <c r="I6295">
        <v>157.5675</v>
      </c>
      <c r="J6295">
        <v>-180.12180000000001</v>
      </c>
      <c r="K6295">
        <v>1.1038589999999999</v>
      </c>
      <c r="L6295">
        <v>131.1001</v>
      </c>
      <c r="M6295">
        <v>0.65689719999999996</v>
      </c>
      <c r="N6295">
        <v>-1.6771299999999999E-2</v>
      </c>
      <c r="O6295">
        <v>0.75379359999999995</v>
      </c>
      <c r="P6295">
        <v>0.77371699999999999</v>
      </c>
      <c r="Q6295">
        <v>0.19172610000000001</v>
      </c>
      <c r="R6295">
        <v>0.60382369999999996</v>
      </c>
      <c r="S6295">
        <v>3.1951749999999999</v>
      </c>
      <c r="T6295">
        <v>-1.314366E-2</v>
      </c>
      <c r="U6295">
        <v>0.89772030000000003</v>
      </c>
      <c r="V6295">
        <v>0.19498599999999999</v>
      </c>
      <c r="W6295">
        <v>0.20001240000000001</v>
      </c>
      <c r="X6295">
        <v>0.96019549999999998</v>
      </c>
      <c r="Y6295">
        <v>0.54799619999999905</v>
      </c>
      <c r="Z6295">
        <v>5.5931699999999997E-3</v>
      </c>
      <c r="AA6295">
        <v>0.83646209999999899</v>
      </c>
      <c r="AB6295">
        <v>35</v>
      </c>
      <c r="AC6295">
        <v>94.552689999999998</v>
      </c>
      <c r="AD6295">
        <v>-0.38938719999999899</v>
      </c>
      <c r="AE6295">
        <v>26.467400000000001</v>
      </c>
      <c r="AF6295">
        <v>53.893584206137</v>
      </c>
      <c r="AG6295">
        <v>-0.38938719999999899</v>
      </c>
      <c r="AH6295">
        <v>82.072606835549706</v>
      </c>
      <c r="AI6295">
        <v>90.227223788612704</v>
      </c>
      <c r="AJ6295">
        <v>56.708799553461802</v>
      </c>
      <c r="AK6295">
        <v>98.186469708194707</v>
      </c>
      <c r="AL6295">
        <v>78.462315255049504</v>
      </c>
      <c r="AM6295">
        <v>78.521086664633003</v>
      </c>
      <c r="AN6295">
        <v>0.99999994928500302</v>
      </c>
    </row>
    <row r="6296" spans="1:40" x14ac:dyDescent="0.25">
      <c r="A6296" t="str">
        <f>"20190303170700228"</f>
        <v>20190303170700228</v>
      </c>
      <c r="B6296" t="str">
        <f>"1551604020220868"</f>
        <v>1551604020220868</v>
      </c>
      <c r="C6296" t="s">
        <v>40</v>
      </c>
      <c r="D6296">
        <v>5.6434220000000002</v>
      </c>
      <c r="E6296">
        <v>0.66322340000000002</v>
      </c>
      <c r="F6296" t="s">
        <v>113</v>
      </c>
      <c r="G6296">
        <v>-80.296619999999905</v>
      </c>
      <c r="H6296">
        <v>0.6662865</v>
      </c>
      <c r="I6296">
        <v>158.15520000000001</v>
      </c>
      <c r="J6296">
        <v>-179.99599999999899</v>
      </c>
      <c r="K6296">
        <v>1.1037950000000001</v>
      </c>
      <c r="L6296">
        <v>131.23599999999999</v>
      </c>
      <c r="M6296">
        <v>0.66405939999999997</v>
      </c>
      <c r="N6296">
        <v>-1.6801900000000002E-2</v>
      </c>
      <c r="O6296">
        <v>0.74749109999999996</v>
      </c>
      <c r="P6296">
        <v>0.77967109999999995</v>
      </c>
      <c r="Q6296">
        <v>0.19208639999999999</v>
      </c>
      <c r="R6296">
        <v>0.59599979999999997</v>
      </c>
      <c r="S6296">
        <v>3.2033230000000001</v>
      </c>
      <c r="T6296">
        <v>-1.4041299999999901E-2</v>
      </c>
      <c r="U6296">
        <v>0.86817929999999999</v>
      </c>
      <c r="V6296">
        <v>0.19547629999999999</v>
      </c>
      <c r="W6296">
        <v>0.20035249999999999</v>
      </c>
      <c r="X6296">
        <v>0.96002500000000002</v>
      </c>
      <c r="Y6296">
        <v>0.5477398</v>
      </c>
      <c r="Z6296">
        <v>5.2314670000000001E-3</v>
      </c>
      <c r="AA6296">
        <v>0.83663240000000005</v>
      </c>
      <c r="AB6296">
        <v>35</v>
      </c>
      <c r="AC6296">
        <v>99.699380000000005</v>
      </c>
      <c r="AD6296">
        <v>-0.43750850000000002</v>
      </c>
      <c r="AE6296">
        <v>26.9192</v>
      </c>
      <c r="AF6296">
        <v>56.655428446892103</v>
      </c>
      <c r="AG6296">
        <v>-0.43750850000000002</v>
      </c>
      <c r="AH6296">
        <v>86.338805362680702</v>
      </c>
      <c r="AI6296">
        <v>90.242740275724202</v>
      </c>
      <c r="AJ6296">
        <v>56.727158841289203</v>
      </c>
      <c r="AK6296">
        <v>103.268670455483</v>
      </c>
      <c r="AL6296">
        <v>78.4424276126758</v>
      </c>
      <c r="AM6296">
        <v>78.491002361242806</v>
      </c>
      <c r="AN6296">
        <v>1.00000005437146</v>
      </c>
    </row>
    <row r="6297" spans="1:40" x14ac:dyDescent="0.25">
      <c r="A6297" t="str">
        <f>"20190303170700238"</f>
        <v>20190303170700238</v>
      </c>
      <c r="B6297" t="str">
        <f>"1551604020231605"</f>
        <v>1551604020231605</v>
      </c>
      <c r="C6297" t="s">
        <v>40</v>
      </c>
      <c r="D6297">
        <v>5.6783239999999999</v>
      </c>
      <c r="E6297">
        <v>0.66300769999999998</v>
      </c>
      <c r="F6297" t="s">
        <v>113</v>
      </c>
      <c r="G6297">
        <v>-76.764560000000003</v>
      </c>
      <c r="H6297">
        <v>0.64969540000000003</v>
      </c>
      <c r="I6297">
        <v>158.15520000000001</v>
      </c>
      <c r="J6297">
        <v>-179.8647</v>
      </c>
      <c r="K6297">
        <v>1.1037330000000001</v>
      </c>
      <c r="L6297">
        <v>131.37530000000001</v>
      </c>
      <c r="M6297">
        <v>0.67142930000000001</v>
      </c>
      <c r="N6297">
        <v>-1.6832590000000001E-2</v>
      </c>
      <c r="O6297">
        <v>0.74087740000000002</v>
      </c>
      <c r="P6297">
        <v>0.78562100000000001</v>
      </c>
      <c r="Q6297">
        <v>0.1925703</v>
      </c>
      <c r="R6297">
        <v>0.58797650000000001</v>
      </c>
      <c r="S6297">
        <v>3.2111510000000001</v>
      </c>
      <c r="T6297">
        <v>-1.4125230000000001E-2</v>
      </c>
      <c r="U6297">
        <v>0.83735659999999901</v>
      </c>
      <c r="V6297">
        <v>0.19577259999999999</v>
      </c>
      <c r="W6297">
        <v>0.20082430000000001</v>
      </c>
      <c r="X6297">
        <v>0.959866</v>
      </c>
      <c r="Y6297">
        <v>0.54747119999999905</v>
      </c>
      <c r="Z6297">
        <v>5.0969159999999999E-3</v>
      </c>
      <c r="AA6297">
        <v>0.83680900000000003</v>
      </c>
      <c r="AB6297">
        <v>35</v>
      </c>
      <c r="AC6297">
        <v>103.10014</v>
      </c>
      <c r="AD6297">
        <v>-0.45403759999999999</v>
      </c>
      <c r="AE6297">
        <v>26.779900000000001</v>
      </c>
      <c r="AF6297">
        <v>58.410969724355503</v>
      </c>
      <c r="AG6297">
        <v>-0.45403759999999999</v>
      </c>
      <c r="AH6297">
        <v>89.076081182556507</v>
      </c>
      <c r="AI6297">
        <v>90.244220983160503</v>
      </c>
      <c r="AJ6297">
        <v>56.745442397932401</v>
      </c>
      <c r="AK6297">
        <v>106.520400736775</v>
      </c>
      <c r="AL6297">
        <v>78.414834300253901</v>
      </c>
      <c r="AM6297">
        <v>78.472165560207898</v>
      </c>
      <c r="AN6297">
        <v>1.00000002416862</v>
      </c>
    </row>
    <row r="6298" spans="1:40" x14ac:dyDescent="0.25">
      <c r="A6298" t="str">
        <f>"20190303170700250"</f>
        <v>20190303170700250</v>
      </c>
      <c r="B6298" t="str">
        <f>"1551604020240893"</f>
        <v>1551604020240893</v>
      </c>
      <c r="C6298" t="s">
        <v>40</v>
      </c>
      <c r="D6298">
        <v>5.6676060000000001</v>
      </c>
      <c r="E6298">
        <v>0.66281279999999998</v>
      </c>
      <c r="F6298" t="s">
        <v>113</v>
      </c>
      <c r="G6298">
        <v>-75.31053</v>
      </c>
      <c r="H6298">
        <v>0.65869809999999995</v>
      </c>
      <c r="I6298">
        <v>157.5675</v>
      </c>
      <c r="J6298">
        <v>-179.74160000000001</v>
      </c>
      <c r="K6298">
        <v>1.1036809999999999</v>
      </c>
      <c r="L6298">
        <v>131.50280000000001</v>
      </c>
      <c r="M6298">
        <v>0.6782243</v>
      </c>
      <c r="N6298">
        <v>-1.6859909999999999E-2</v>
      </c>
      <c r="O6298">
        <v>0.73466149999999997</v>
      </c>
      <c r="P6298">
        <v>0.79088840000000005</v>
      </c>
      <c r="Q6298">
        <v>0.19330030000000001</v>
      </c>
      <c r="R6298">
        <v>0.58062959999999997</v>
      </c>
      <c r="S6298">
        <v>3.2185519999999999</v>
      </c>
      <c r="T6298">
        <v>-1.3699650000000001E-2</v>
      </c>
      <c r="U6298">
        <v>0.8062897</v>
      </c>
      <c r="V6298">
        <v>0.1958029</v>
      </c>
      <c r="W6298">
        <v>0.20155390000000001</v>
      </c>
      <c r="X6298">
        <v>0.95970679999999997</v>
      </c>
      <c r="Y6298">
        <v>0.54781650000000004</v>
      </c>
      <c r="Z6298">
        <v>5.106897E-3</v>
      </c>
      <c r="AA6298">
        <v>0.83658299999999997</v>
      </c>
      <c r="AB6298">
        <v>35</v>
      </c>
      <c r="AC6298">
        <v>104.431069999999</v>
      </c>
      <c r="AD6298">
        <v>-0.44498290000000001</v>
      </c>
      <c r="AE6298">
        <v>26.064699999999899</v>
      </c>
      <c r="AF6298">
        <v>59.051158593696599</v>
      </c>
      <c r="AG6298">
        <v>-0.44498290000000001</v>
      </c>
      <c r="AH6298">
        <v>89.987674860322201</v>
      </c>
      <c r="AI6298">
        <v>90.236874776215203</v>
      </c>
      <c r="AJ6298">
        <v>56.726559778775098</v>
      </c>
      <c r="AK6298">
        <v>107.633725977531</v>
      </c>
      <c r="AL6298">
        <v>78.372157766190398</v>
      </c>
      <c r="AM6298">
        <v>78.468567808756802</v>
      </c>
      <c r="AN6298">
        <v>0.99999994610992804</v>
      </c>
    </row>
    <row r="6299" spans="1:40" x14ac:dyDescent="0.25">
      <c r="A6299" t="str">
        <f>"20190303170700262"</f>
        <v>20190303170700262</v>
      </c>
      <c r="B6299" t="str">
        <f>"1551604020251631"</f>
        <v>1551604020251631</v>
      </c>
      <c r="C6299" t="s">
        <v>40</v>
      </c>
      <c r="D6299">
        <v>5.633737</v>
      </c>
      <c r="E6299">
        <v>0.66237440000000003</v>
      </c>
      <c r="F6299" t="s">
        <v>114</v>
      </c>
      <c r="G6299">
        <v>-58.458599999999997</v>
      </c>
      <c r="H6299">
        <v>0.66393819999999903</v>
      </c>
      <c r="I6299">
        <v>160.75</v>
      </c>
      <c r="J6299">
        <v>-179.60749999999999</v>
      </c>
      <c r="K6299">
        <v>1.1036269999999999</v>
      </c>
      <c r="L6299">
        <v>131.6404</v>
      </c>
      <c r="M6299">
        <v>0.68554090000000001</v>
      </c>
      <c r="N6299">
        <v>-1.688831E-2</v>
      </c>
      <c r="O6299">
        <v>0.72783819999999999</v>
      </c>
      <c r="P6299">
        <v>0.79663009999999901</v>
      </c>
      <c r="Q6299">
        <v>0.19380159999999999</v>
      </c>
      <c r="R6299">
        <v>0.57255690000000004</v>
      </c>
      <c r="S6299">
        <v>3.225082</v>
      </c>
      <c r="T6299">
        <v>-1.16924E-2</v>
      </c>
      <c r="U6299">
        <v>0.77772519999999901</v>
      </c>
      <c r="V6299">
        <v>0.19592039999999999</v>
      </c>
      <c r="W6299">
        <v>0.20205129999999999</v>
      </c>
      <c r="X6299">
        <v>0.9595783</v>
      </c>
      <c r="Y6299">
        <v>0.54683110000000001</v>
      </c>
      <c r="Z6299">
        <v>5.5616009999999898E-3</v>
      </c>
      <c r="AA6299">
        <v>0.83722450000000004</v>
      </c>
      <c r="AB6299">
        <v>35</v>
      </c>
      <c r="AC6299">
        <v>121.1489</v>
      </c>
      <c r="AD6299">
        <v>-0.43968879999999999</v>
      </c>
      <c r="AE6299">
        <v>29.1096</v>
      </c>
      <c r="AF6299">
        <v>68.229857640189195</v>
      </c>
      <c r="AG6299">
        <v>-0.43968879999999999</v>
      </c>
      <c r="AH6299">
        <v>104.25317580059701</v>
      </c>
      <c r="AI6299">
        <v>90.202191960022205</v>
      </c>
      <c r="AJ6299">
        <v>56.796732741875097</v>
      </c>
      <c r="AK6299">
        <v>124.59627387828</v>
      </c>
      <c r="AL6299">
        <v>78.343061098147004</v>
      </c>
      <c r="AM6299">
        <v>78.460329727528901</v>
      </c>
      <c r="AN6299">
        <v>1.0000000223993599</v>
      </c>
    </row>
    <row r="6300" spans="1:40" x14ac:dyDescent="0.25">
      <c r="A6300" t="str">
        <f>"20190303170700275"</f>
        <v>20190303170700275</v>
      </c>
      <c r="B6300" t="str">
        <f>"1551604020261390"</f>
        <v>1551604020261390</v>
      </c>
      <c r="C6300" t="s">
        <v>40</v>
      </c>
      <c r="D6300">
        <v>5.6697189999999997</v>
      </c>
      <c r="E6300">
        <v>0.66196339999999998</v>
      </c>
      <c r="F6300" t="s">
        <v>114</v>
      </c>
      <c r="G6300">
        <v>-53.774270000000001</v>
      </c>
      <c r="H6300">
        <v>0.71952919999999998</v>
      </c>
      <c r="I6300">
        <v>160.75</v>
      </c>
      <c r="J6300">
        <v>-179.47120000000001</v>
      </c>
      <c r="K6300">
        <v>1.1035710000000001</v>
      </c>
      <c r="L6300">
        <v>131.7757</v>
      </c>
      <c r="M6300">
        <v>0.69282480000000002</v>
      </c>
      <c r="N6300">
        <v>-1.69155E-2</v>
      </c>
      <c r="O6300">
        <v>0.72090759999999998</v>
      </c>
      <c r="P6300">
        <v>0.80199200000000004</v>
      </c>
      <c r="Q6300">
        <v>0.1943172</v>
      </c>
      <c r="R6300">
        <v>0.56484499999999904</v>
      </c>
      <c r="S6300">
        <v>3.231033</v>
      </c>
      <c r="T6300">
        <v>-9.8614689999999994E-3</v>
      </c>
      <c r="U6300">
        <v>0.7474518</v>
      </c>
      <c r="V6300">
        <v>0.19548460000000001</v>
      </c>
      <c r="W6300">
        <v>0.20258880000000001</v>
      </c>
      <c r="X6300">
        <v>0.95955380000000001</v>
      </c>
      <c r="Y6300">
        <v>0.54619229999999996</v>
      </c>
      <c r="Z6300">
        <v>5.9551459999999997E-3</v>
      </c>
      <c r="AA6300">
        <v>0.83763869999999896</v>
      </c>
      <c r="AB6300">
        <v>35</v>
      </c>
      <c r="AC6300">
        <v>125.69692999999999</v>
      </c>
      <c r="AD6300">
        <v>-0.38404179999999899</v>
      </c>
      <c r="AE6300">
        <v>28.974299999999999</v>
      </c>
      <c r="AF6300">
        <v>70.551223824353002</v>
      </c>
      <c r="AG6300">
        <v>-0.38404179999999899</v>
      </c>
      <c r="AH6300">
        <v>107.98823137969499</v>
      </c>
      <c r="AI6300">
        <v>90.170583533165797</v>
      </c>
      <c r="AJ6300">
        <v>56.842480447618101</v>
      </c>
      <c r="AK6300">
        <v>128.99256097826901</v>
      </c>
      <c r="AL6300">
        <v>78.311613693007004</v>
      </c>
      <c r="AM6300">
        <v>78.485025792745105</v>
      </c>
      <c r="AN6300">
        <v>0.99999997290851905</v>
      </c>
    </row>
    <row r="6301" spans="1:40" x14ac:dyDescent="0.25">
      <c r="A6301" t="str">
        <f>"20190303170700288"</f>
        <v>20190303170700288</v>
      </c>
      <c r="B6301" t="str">
        <f>"1551604020280910"</f>
        <v>1551604020280910</v>
      </c>
      <c r="C6301" t="s">
        <v>40</v>
      </c>
      <c r="D6301">
        <v>5.6420750000000002</v>
      </c>
      <c r="E6301">
        <v>0.66094589999999998</v>
      </c>
      <c r="F6301" t="s">
        <v>114</v>
      </c>
      <c r="G6301">
        <v>-48.992640000000002</v>
      </c>
      <c r="H6301">
        <v>0.77246959999999998</v>
      </c>
      <c r="I6301">
        <v>160.75</v>
      </c>
      <c r="J6301">
        <v>-179.31819999999999</v>
      </c>
      <c r="K6301">
        <v>1.103515</v>
      </c>
      <c r="L6301">
        <v>131.9254</v>
      </c>
      <c r="M6301">
        <v>0.70087980000000005</v>
      </c>
      <c r="N6301">
        <v>-1.6944190000000001E-2</v>
      </c>
      <c r="O6301">
        <v>0.713078199999999</v>
      </c>
      <c r="P6301">
        <v>0.80815309999999996</v>
      </c>
      <c r="Q6301">
        <v>0.1947653</v>
      </c>
      <c r="R6301">
        <v>0.55583719999999903</v>
      </c>
      <c r="S6301">
        <v>3.2364959999999998</v>
      </c>
      <c r="T6301">
        <v>-8.2119700000000007E-3</v>
      </c>
      <c r="U6301">
        <v>0.71870419999999902</v>
      </c>
      <c r="V6301">
        <v>0.1954089</v>
      </c>
      <c r="W6301">
        <v>0.20304259999999999</v>
      </c>
      <c r="X6301">
        <v>0.95947329999999997</v>
      </c>
      <c r="Y6301">
        <v>0.54416619999999905</v>
      </c>
      <c r="Z6301">
        <v>6.2883280000000001E-3</v>
      </c>
      <c r="AA6301">
        <v>0.83895390000000003</v>
      </c>
      <c r="AB6301">
        <v>35</v>
      </c>
      <c r="AC6301">
        <v>130.32556</v>
      </c>
      <c r="AD6301">
        <v>-0.33104539999999999</v>
      </c>
      <c r="AE6301">
        <v>28.8246</v>
      </c>
      <c r="AF6301">
        <v>72.739726882044195</v>
      </c>
      <c r="AG6301">
        <v>-0.33104539999999999</v>
      </c>
      <c r="AH6301">
        <v>111.912117786716</v>
      </c>
      <c r="AI6301">
        <v>90.142105744015197</v>
      </c>
      <c r="AJ6301">
        <v>56.9772660581162</v>
      </c>
      <c r="AK6301">
        <v>133.47471507906999</v>
      </c>
      <c r="AL6301">
        <v>78.285061040240706</v>
      </c>
      <c r="AM6301">
        <v>78.488425881020007</v>
      </c>
      <c r="AN6301">
        <v>0.99999997451342904</v>
      </c>
    </row>
    <row r="6302" spans="1:40" x14ac:dyDescent="0.25">
      <c r="A6302" t="str">
        <f>"20190303170700304"</f>
        <v>20190303170700304</v>
      </c>
      <c r="B6302" t="str">
        <f>"1551604020291646"</f>
        <v>1551604020291646</v>
      </c>
      <c r="C6302" t="s">
        <v>40</v>
      </c>
      <c r="D6302">
        <v>5.6953500000000004</v>
      </c>
      <c r="E6302">
        <v>0.66044099999999994</v>
      </c>
      <c r="F6302" t="s">
        <v>51</v>
      </c>
      <c r="G6302">
        <v>330.58850000000001</v>
      </c>
      <c r="H6302">
        <v>-0.1</v>
      </c>
      <c r="I6302">
        <v>240.3484</v>
      </c>
      <c r="J6302">
        <v>-179.137</v>
      </c>
      <c r="K6302">
        <v>1.1034489999999999</v>
      </c>
      <c r="L6302">
        <v>132.09889999999999</v>
      </c>
      <c r="M6302">
        <v>0.71023570000000003</v>
      </c>
      <c r="N6302">
        <v>-1.697562E-2</v>
      </c>
      <c r="O6302">
        <v>0.70375929999999998</v>
      </c>
      <c r="P6302">
        <v>0.8156928</v>
      </c>
      <c r="Q6302">
        <v>0.19488169999999999</v>
      </c>
      <c r="R6302">
        <v>0.54467109999999996</v>
      </c>
      <c r="S6302">
        <v>3.2401580000000001</v>
      </c>
      <c r="T6302">
        <v>-7.6476340000000004E-3</v>
      </c>
      <c r="U6302">
        <v>0.68896480000000004</v>
      </c>
      <c r="V6302">
        <v>0.1959486</v>
      </c>
      <c r="W6302">
        <v>0.2031374</v>
      </c>
      <c r="X6302">
        <v>0.95934319999999895</v>
      </c>
      <c r="Y6302">
        <v>0.54063559999999999</v>
      </c>
      <c r="Z6302">
        <v>6.3003540000000002E-3</v>
      </c>
      <c r="AA6302">
        <v>0.84123329999999996</v>
      </c>
      <c r="AB6302">
        <v>35</v>
      </c>
      <c r="AC6302">
        <v>509.72550000000001</v>
      </c>
      <c r="AD6302">
        <v>-1.203449</v>
      </c>
      <c r="AE6302">
        <v>108.2495</v>
      </c>
      <c r="AF6302">
        <v>281.880505974291</v>
      </c>
      <c r="AG6302">
        <v>-1.203449</v>
      </c>
      <c r="AH6302">
        <v>438.26763900196801</v>
      </c>
      <c r="AI6302">
        <v>90.132323362379097</v>
      </c>
      <c r="AJ6302">
        <v>57.252100313342602</v>
      </c>
      <c r="AK6302">
        <v>521.09173024926997</v>
      </c>
      <c r="AL6302">
        <v>78.279514292195003</v>
      </c>
      <c r="AM6302">
        <v>78.455960885115005</v>
      </c>
      <c r="AN6302">
        <v>1.0000000162534699</v>
      </c>
    </row>
    <row r="6303" spans="1:40" x14ac:dyDescent="0.25">
      <c r="A6303" t="str">
        <f>"20190303170700326"</f>
        <v>20190303170700326</v>
      </c>
      <c r="B6303" t="str">
        <f>"1551604020311166"</f>
        <v>1551604020311166</v>
      </c>
      <c r="C6303" t="s">
        <v>40</v>
      </c>
      <c r="D6303">
        <v>5.6627960000000002</v>
      </c>
      <c r="E6303">
        <v>0.6594544</v>
      </c>
      <c r="F6303" t="s">
        <v>51</v>
      </c>
      <c r="G6303">
        <v>205.9632</v>
      </c>
      <c r="H6303">
        <v>-0.1</v>
      </c>
      <c r="I6303">
        <v>209.04900000000001</v>
      </c>
      <c r="J6303">
        <v>-178.87440000000001</v>
      </c>
      <c r="K6303">
        <v>1.103362</v>
      </c>
      <c r="L6303">
        <v>132.34119999999999</v>
      </c>
      <c r="M6303">
        <v>0.72341309999999903</v>
      </c>
      <c r="N6303">
        <v>-1.7015969999999998E-2</v>
      </c>
      <c r="O6303">
        <v>0.69020579999999998</v>
      </c>
      <c r="P6303">
        <v>0.82612559999999902</v>
      </c>
      <c r="Q6303">
        <v>0.1942316</v>
      </c>
      <c r="R6303">
        <v>0.5289526</v>
      </c>
      <c r="S6303">
        <v>3.2470400000000001</v>
      </c>
      <c r="T6303">
        <v>-1.0147089999999999E-2</v>
      </c>
      <c r="U6303">
        <v>0.64881899999999904</v>
      </c>
      <c r="V6303">
        <v>0.1962981</v>
      </c>
      <c r="W6303">
        <v>0.20247860000000001</v>
      </c>
      <c r="X6303">
        <v>0.95941100000000001</v>
      </c>
      <c r="Y6303">
        <v>0.53506480000000001</v>
      </c>
      <c r="Z6303">
        <v>5.4160719999999897E-3</v>
      </c>
      <c r="AA6303">
        <v>0.84479359999999903</v>
      </c>
      <c r="AB6303">
        <v>35</v>
      </c>
      <c r="AC6303">
        <v>384.83760000000001</v>
      </c>
      <c r="AD6303">
        <v>-1.203362</v>
      </c>
      <c r="AE6303">
        <v>76.707800000000006</v>
      </c>
      <c r="AF6303">
        <v>210.154155915172</v>
      </c>
      <c r="AG6303">
        <v>-1.203362</v>
      </c>
      <c r="AH6303">
        <v>331.38557540549101</v>
      </c>
      <c r="AI6303">
        <v>90.175704853494906</v>
      </c>
      <c r="AJ6303">
        <v>57.618433774798604</v>
      </c>
      <c r="AK6303">
        <v>392.40618868125603</v>
      </c>
      <c r="AL6303">
        <v>78.318061601148798</v>
      </c>
      <c r="AM6303">
        <v>78.436719946980702</v>
      </c>
      <c r="AN6303">
        <v>0.99999999722128496</v>
      </c>
    </row>
    <row r="6304" spans="1:40" x14ac:dyDescent="0.25">
      <c r="A6304" t="str">
        <f>"20190303170700350"</f>
        <v>20190303170700350</v>
      </c>
      <c r="B6304" t="str">
        <f>"1551604020340951"</f>
        <v>1551604020340951</v>
      </c>
      <c r="C6304" t="s">
        <v>40</v>
      </c>
      <c r="D6304">
        <v>5.6524409999999996</v>
      </c>
      <c r="E6304">
        <v>0.64746319999999902</v>
      </c>
      <c r="F6304" t="s">
        <v>51</v>
      </c>
      <c r="G6304">
        <v>68.587069999999997</v>
      </c>
      <c r="H6304">
        <v>-0.1</v>
      </c>
      <c r="I6304">
        <v>177.49700000000001</v>
      </c>
      <c r="J6304">
        <v>-178.5993</v>
      </c>
      <c r="K6304">
        <v>1.1032839999999999</v>
      </c>
      <c r="L6304">
        <v>132.5855</v>
      </c>
      <c r="M6304">
        <v>0.73676960000000002</v>
      </c>
      <c r="N6304">
        <v>-1.705251E-2</v>
      </c>
      <c r="O6304">
        <v>0.6759288</v>
      </c>
      <c r="P6304">
        <v>0.83585659999999895</v>
      </c>
      <c r="Q6304">
        <v>0.19399069999999999</v>
      </c>
      <c r="R6304">
        <v>0.5135286</v>
      </c>
      <c r="S6304">
        <v>3.2548520000000001</v>
      </c>
      <c r="T6304">
        <v>-1.582778E-2</v>
      </c>
      <c r="U6304">
        <v>0.59393309999999999</v>
      </c>
      <c r="V6304">
        <v>0.195405</v>
      </c>
      <c r="W6304">
        <v>0.20228380000000001</v>
      </c>
      <c r="X6304">
        <v>0.9596344</v>
      </c>
      <c r="Y6304">
        <v>0.53268519999999997</v>
      </c>
      <c r="Z6304">
        <v>3.6508220000000002E-3</v>
      </c>
      <c r="AA6304">
        <v>0.84630569999999905</v>
      </c>
      <c r="AB6304">
        <v>35</v>
      </c>
      <c r="AC6304">
        <v>247.18637000000001</v>
      </c>
      <c r="AD6304">
        <v>-1.203284</v>
      </c>
      <c r="AE6304">
        <v>44.911499999999997</v>
      </c>
      <c r="AF6304">
        <v>134.00737197483701</v>
      </c>
      <c r="AG6304">
        <v>-1.203284</v>
      </c>
      <c r="AH6304">
        <v>212.50240685058901</v>
      </c>
      <c r="AI6304">
        <v>90.2744228716561</v>
      </c>
      <c r="AJ6304">
        <v>57.763822045777502</v>
      </c>
      <c r="AK6304">
        <v>251.23036550799401</v>
      </c>
      <c r="AL6304">
        <v>78.3294588793093</v>
      </c>
      <c r="AM6304">
        <v>78.490530409613697</v>
      </c>
      <c r="AN6304">
        <v>1.0000000157153901</v>
      </c>
    </row>
    <row r="6305" spans="1:40" x14ac:dyDescent="0.25">
      <c r="A6305" t="str">
        <f>"20190303170700371"</f>
        <v>20190303170700371</v>
      </c>
      <c r="B6305" t="str">
        <f>"1551604020361448"</f>
        <v>1551604020361448</v>
      </c>
      <c r="C6305" t="s">
        <v>40</v>
      </c>
      <c r="D6305">
        <v>5.6506449999999999</v>
      </c>
      <c r="E6305">
        <v>0.64725889999999997</v>
      </c>
      <c r="F6305" t="s">
        <v>41</v>
      </c>
      <c r="G6305">
        <v>-89.705600000000004</v>
      </c>
      <c r="H6305">
        <v>2.435205E-2</v>
      </c>
      <c r="I6305">
        <v>149.6164</v>
      </c>
      <c r="J6305">
        <v>-178.33969999999999</v>
      </c>
      <c r="K6305">
        <v>1.103232</v>
      </c>
      <c r="L6305">
        <v>132.8075</v>
      </c>
      <c r="M6305">
        <v>0.74896960000000001</v>
      </c>
      <c r="N6305">
        <v>-1.7082139999999999E-2</v>
      </c>
      <c r="O6305">
        <v>0.66238419999999998</v>
      </c>
      <c r="P6305">
        <v>0.84439330000000001</v>
      </c>
      <c r="Q6305">
        <v>0.19417909999999999</v>
      </c>
      <c r="R6305">
        <v>0.49929390000000001</v>
      </c>
      <c r="S6305">
        <v>3.219284</v>
      </c>
      <c r="T6305">
        <v>-3.9073469999999999E-2</v>
      </c>
      <c r="U6305">
        <v>0.61677550000000003</v>
      </c>
      <c r="V6305">
        <v>0.1941717</v>
      </c>
      <c r="W6305">
        <v>0.20253270000000001</v>
      </c>
      <c r="X6305">
        <v>0.95983220000000002</v>
      </c>
      <c r="Y6305">
        <v>0.50960559999999999</v>
      </c>
      <c r="Z6305">
        <v>-2.531564E-3</v>
      </c>
      <c r="AA6305">
        <v>0.86040439999999996</v>
      </c>
      <c r="AB6305">
        <v>35</v>
      </c>
      <c r="AC6305">
        <v>88.634099999999904</v>
      </c>
      <c r="AD6305">
        <v>-1.0788799499999999</v>
      </c>
      <c r="AE6305">
        <v>16.808899999999898</v>
      </c>
      <c r="AF6305">
        <v>46.120604470603503</v>
      </c>
      <c r="AG6305">
        <v>-1.0788799499999999</v>
      </c>
      <c r="AH6305">
        <v>77.5184183321566</v>
      </c>
      <c r="AI6305">
        <v>90.685273327586501</v>
      </c>
      <c r="AJ6305">
        <v>59.248912632150599</v>
      </c>
      <c r="AK6305">
        <v>90.207423859677903</v>
      </c>
      <c r="AL6305">
        <v>78.314896326354599</v>
      </c>
      <c r="AM6305">
        <v>78.563546930468107</v>
      </c>
      <c r="AN6305">
        <v>0.99999999790351002</v>
      </c>
    </row>
    <row r="6306" spans="1:40" x14ac:dyDescent="0.25">
      <c r="A6306" t="str">
        <f>"20190303170700393"</f>
        <v>20190303170700393</v>
      </c>
      <c r="B6306" t="str">
        <f>"1551604020380968"</f>
        <v>1551604020380968</v>
      </c>
      <c r="C6306" t="s">
        <v>40</v>
      </c>
      <c r="D6306">
        <v>5.6368099999999997</v>
      </c>
      <c r="E6306">
        <v>0.64493269999999903</v>
      </c>
      <c r="F6306" t="s">
        <v>41</v>
      </c>
      <c r="G6306">
        <v>-96.57105</v>
      </c>
      <c r="H6306" s="1">
        <v>-3.3633329999999999E-6</v>
      </c>
      <c r="I6306">
        <v>147.07740000000001</v>
      </c>
      <c r="J6306">
        <v>-178.0745</v>
      </c>
      <c r="K6306">
        <v>1.1031759999999999</v>
      </c>
      <c r="L6306">
        <v>133.02619999999999</v>
      </c>
      <c r="M6306">
        <v>0.76103659999999995</v>
      </c>
      <c r="N6306">
        <v>-1.7108169999999999E-2</v>
      </c>
      <c r="O6306">
        <v>0.64848329999999998</v>
      </c>
      <c r="P6306">
        <v>0.85341119999999904</v>
      </c>
      <c r="Q6306">
        <v>0.19508039999999999</v>
      </c>
      <c r="R6306">
        <v>0.4833559</v>
      </c>
      <c r="S6306">
        <v>3.2295989999999999</v>
      </c>
      <c r="T6306">
        <v>-4.3574210000000002E-2</v>
      </c>
      <c r="U6306">
        <v>0.5636139</v>
      </c>
      <c r="V6306">
        <v>0.19444910000000001</v>
      </c>
      <c r="W6306">
        <v>0.2034222</v>
      </c>
      <c r="X6306">
        <v>0.95958790000000005</v>
      </c>
      <c r="Y6306">
        <v>0.50796909999999995</v>
      </c>
      <c r="Z6306">
        <v>-3.838798E-3</v>
      </c>
      <c r="AA6306">
        <v>0.86136669999999904</v>
      </c>
      <c r="AB6306">
        <v>35</v>
      </c>
      <c r="AC6306">
        <v>81.503450000000001</v>
      </c>
      <c r="AD6306">
        <v>-1.103179363333</v>
      </c>
      <c r="AE6306">
        <v>14.0512</v>
      </c>
      <c r="AF6306">
        <v>42.158819479823499</v>
      </c>
      <c r="AG6306">
        <v>-1.103179363333</v>
      </c>
      <c r="AH6306">
        <v>71.136834083494094</v>
      </c>
      <c r="AI6306">
        <v>90.764336004276899</v>
      </c>
      <c r="AJ6306">
        <v>59.347151234193902</v>
      </c>
      <c r="AK6306">
        <v>82.698441509272698</v>
      </c>
      <c r="AL6306">
        <v>78.262848181809204</v>
      </c>
      <c r="AM6306">
        <v>78.544801289129794</v>
      </c>
      <c r="AN6306">
        <v>0.99999999088503</v>
      </c>
    </row>
    <row r="6307" spans="1:40" x14ac:dyDescent="0.25">
      <c r="A6307" t="str">
        <f>"20190303170700407"</f>
        <v>20190303170700407</v>
      </c>
      <c r="B6307" t="str">
        <f>"1551604020391704"</f>
        <v>1551604020391704</v>
      </c>
      <c r="C6307" t="s">
        <v>40</v>
      </c>
      <c r="D6307">
        <v>5.8128890000000002</v>
      </c>
      <c r="E6307">
        <v>0.64466290000000004</v>
      </c>
      <c r="F6307" t="s">
        <v>41</v>
      </c>
      <c r="G6307">
        <v>-101.2801</v>
      </c>
      <c r="H6307" s="1">
        <v>-5.2468259999999998E-6</v>
      </c>
      <c r="I6307">
        <v>145.4067</v>
      </c>
      <c r="J6307">
        <v>-177.9033</v>
      </c>
      <c r="K6307">
        <v>1.1031439999999999</v>
      </c>
      <c r="L6307">
        <v>133.16329999999999</v>
      </c>
      <c r="M6307">
        <v>0.76861800000000002</v>
      </c>
      <c r="N6307">
        <v>-1.7123070000000001E-2</v>
      </c>
      <c r="O6307">
        <v>0.63947889999999996</v>
      </c>
      <c r="P6307">
        <v>0.85929299999999997</v>
      </c>
      <c r="Q6307">
        <v>0.19517190000000001</v>
      </c>
      <c r="R6307">
        <v>0.47278249999999999</v>
      </c>
      <c r="S6307">
        <v>3.2309109999999999</v>
      </c>
      <c r="T6307">
        <v>-4.6413299999999998E-2</v>
      </c>
      <c r="U6307">
        <v>0.52087399999999995</v>
      </c>
      <c r="V6307">
        <v>0.19500600000000001</v>
      </c>
      <c r="W6307">
        <v>0.20348939999999999</v>
      </c>
      <c r="X6307">
        <v>0.9594606</v>
      </c>
      <c r="Y6307">
        <v>0.50896260000000004</v>
      </c>
      <c r="Z6307">
        <v>-4.701279E-3</v>
      </c>
      <c r="AA6307">
        <v>0.86077579999999998</v>
      </c>
      <c r="AB6307">
        <v>35</v>
      </c>
      <c r="AC6307">
        <v>76.623199999999997</v>
      </c>
      <c r="AD6307">
        <v>-1.103149246826</v>
      </c>
      <c r="AE6307">
        <v>12.243399999999999</v>
      </c>
      <c r="AF6307">
        <v>39.586224143305103</v>
      </c>
      <c r="AG6307">
        <v>-1.103149246826</v>
      </c>
      <c r="AH6307">
        <v>66.719662327086894</v>
      </c>
      <c r="AI6307">
        <v>90.814667757564393</v>
      </c>
      <c r="AJ6307">
        <v>59.318423928796001</v>
      </c>
      <c r="AK6307">
        <v>77.5873663763971</v>
      </c>
      <c r="AL6307">
        <v>78.258915278806199</v>
      </c>
      <c r="AM6307">
        <v>78.511381066976</v>
      </c>
      <c r="AN6307">
        <v>0.99999995945035902</v>
      </c>
    </row>
    <row r="6308" spans="1:40" x14ac:dyDescent="0.25">
      <c r="A6308" t="str">
        <f>"20190303170700419"</f>
        <v>20190303170700419</v>
      </c>
      <c r="B6308" t="str">
        <f>"1551604020411224"</f>
        <v>1551604020411224</v>
      </c>
      <c r="C6308" t="s">
        <v>40</v>
      </c>
      <c r="D6308">
        <v>5.4724510000000004</v>
      </c>
      <c r="E6308">
        <v>0.64315840000000002</v>
      </c>
      <c r="F6308" t="s">
        <v>41</v>
      </c>
      <c r="G6308">
        <v>-107.7024</v>
      </c>
      <c r="H6308" s="1">
        <v>-2.1434730000000002E-6</v>
      </c>
      <c r="I6308">
        <v>143.66380000000001</v>
      </c>
      <c r="J6308">
        <v>-177.74080000000001</v>
      </c>
      <c r="K6308">
        <v>1.103119</v>
      </c>
      <c r="L6308">
        <v>133.2902</v>
      </c>
      <c r="M6308">
        <v>0.77566400000000002</v>
      </c>
      <c r="N6308">
        <v>-1.71358E-2</v>
      </c>
      <c r="O6308">
        <v>0.63091339999999996</v>
      </c>
      <c r="P6308">
        <v>0.86449709999999902</v>
      </c>
      <c r="Q6308">
        <v>0.195661</v>
      </c>
      <c r="R6308">
        <v>0.46299210000000002</v>
      </c>
      <c r="S6308">
        <v>3.23645</v>
      </c>
      <c r="T6308">
        <v>-5.0858019999999997E-2</v>
      </c>
      <c r="U6308">
        <v>0.48410029999999998</v>
      </c>
      <c r="V6308">
        <v>0.19522439999999999</v>
      </c>
      <c r="W6308">
        <v>0.20396929999999999</v>
      </c>
      <c r="X6308">
        <v>0.95931429999999995</v>
      </c>
      <c r="Y6308">
        <v>0.50918409999999903</v>
      </c>
      <c r="Z6308">
        <v>-5.9306910000000001E-3</v>
      </c>
      <c r="AA6308">
        <v>0.86063719999999999</v>
      </c>
      <c r="AB6308">
        <v>35</v>
      </c>
      <c r="AC6308">
        <v>70.038399999999996</v>
      </c>
      <c r="AD6308">
        <v>-1.1031211434729999</v>
      </c>
      <c r="AE6308">
        <v>10.3736</v>
      </c>
      <c r="AF6308">
        <v>36.138272145318098</v>
      </c>
      <c r="AG6308">
        <v>-1.1031211434729999</v>
      </c>
      <c r="AH6308">
        <v>60.8652731139886</v>
      </c>
      <c r="AI6308">
        <v>90.892827829405107</v>
      </c>
      <c r="AJ6308">
        <v>59.300614146923699</v>
      </c>
      <c r="AK6308">
        <v>70.793877285727802</v>
      </c>
      <c r="AL6308">
        <v>78.230830299664106</v>
      </c>
      <c r="AM6308">
        <v>78.497149655661602</v>
      </c>
      <c r="AN6308">
        <v>0.99999998394116896</v>
      </c>
    </row>
    <row r="6309" spans="1:40" x14ac:dyDescent="0.25">
      <c r="A6309" t="str">
        <f>"20190303170700430"</f>
        <v>20190303170700430</v>
      </c>
      <c r="B6309" t="str">
        <f>"1551604020420984"</f>
        <v>1551604020420984</v>
      </c>
      <c r="C6309" t="s">
        <v>40</v>
      </c>
      <c r="D6309">
        <v>5.4722980000000003</v>
      </c>
      <c r="E6309">
        <v>0.64283669999999904</v>
      </c>
      <c r="F6309" t="s">
        <v>41</v>
      </c>
      <c r="G6309">
        <v>-85.587680000000006</v>
      </c>
      <c r="H6309" s="1">
        <v>-3.559548E-6</v>
      </c>
      <c r="I6309">
        <v>146.297</v>
      </c>
      <c r="J6309">
        <v>-177.6052</v>
      </c>
      <c r="K6309">
        <v>1.103102</v>
      </c>
      <c r="L6309">
        <v>133.39359999999999</v>
      </c>
      <c r="M6309">
        <v>0.78143050000000003</v>
      </c>
      <c r="N6309">
        <v>-1.7145500000000001E-2</v>
      </c>
      <c r="O6309">
        <v>0.62375659999999999</v>
      </c>
      <c r="P6309">
        <v>0.86878199999999906</v>
      </c>
      <c r="Q6309">
        <v>0.1955923</v>
      </c>
      <c r="R6309">
        <v>0.45493040000000001</v>
      </c>
      <c r="S6309">
        <v>3.2344819999999999</v>
      </c>
      <c r="T6309">
        <v>-3.8718460000000003E-2</v>
      </c>
      <c r="U6309">
        <v>0.45652769999999998</v>
      </c>
      <c r="V6309">
        <v>0.19534580000000001</v>
      </c>
      <c r="W6309">
        <v>0.20389699999999999</v>
      </c>
      <c r="X6309">
        <v>0.95930499999999996</v>
      </c>
      <c r="Y6309">
        <v>0.50840810000000003</v>
      </c>
      <c r="Z6309">
        <v>-2.8895169999999999E-3</v>
      </c>
      <c r="AA6309">
        <v>0.86111139999999997</v>
      </c>
      <c r="AB6309">
        <v>35</v>
      </c>
      <c r="AC6309">
        <v>92.017520000000005</v>
      </c>
      <c r="AD6309">
        <v>-1.1031055595479999</v>
      </c>
      <c r="AE6309">
        <v>12.9034</v>
      </c>
      <c r="AF6309">
        <v>47.313715123424103</v>
      </c>
      <c r="AG6309">
        <v>-1.1031055595479999</v>
      </c>
      <c r="AH6309">
        <v>79.954367675502397</v>
      </c>
      <c r="AI6309">
        <v>90.680270252710997</v>
      </c>
      <c r="AJ6309">
        <v>59.384694021110299</v>
      </c>
      <c r="AK6309">
        <v>92.911276985334098</v>
      </c>
      <c r="AL6309">
        <v>78.235062205615705</v>
      </c>
      <c r="AM6309">
        <v>78.490078854809994</v>
      </c>
      <c r="AN6309">
        <v>1.0000000256058099</v>
      </c>
    </row>
    <row r="6310" spans="1:40" x14ac:dyDescent="0.25">
      <c r="A6310" t="str">
        <f>"20190303170700442"</f>
        <v>20190303170700442</v>
      </c>
      <c r="B6310" t="str">
        <f>"1551604020431721"</f>
        <v>1551604020431721</v>
      </c>
      <c r="C6310" t="s">
        <v>40</v>
      </c>
      <c r="D6310">
        <v>5.4813799999999997</v>
      </c>
      <c r="E6310">
        <v>0.64185609999999904</v>
      </c>
      <c r="F6310" t="s">
        <v>41</v>
      </c>
      <c r="G6310">
        <v>-79.694519999999997</v>
      </c>
      <c r="H6310" s="1">
        <v>-1.901916E-6</v>
      </c>
      <c r="I6310">
        <v>146.33840000000001</v>
      </c>
      <c r="J6310">
        <v>-177.4496</v>
      </c>
      <c r="K6310">
        <v>1.103089</v>
      </c>
      <c r="L6310">
        <v>133.51079999999999</v>
      </c>
      <c r="M6310">
        <v>0.78794090000000006</v>
      </c>
      <c r="N6310">
        <v>-1.715593E-2</v>
      </c>
      <c r="O6310">
        <v>0.61551180000000005</v>
      </c>
      <c r="P6310">
        <v>0.87343499999999996</v>
      </c>
      <c r="Q6310">
        <v>0.19512399999999999</v>
      </c>
      <c r="R6310">
        <v>0.4461367</v>
      </c>
      <c r="S6310">
        <v>3.2372130000000001</v>
      </c>
      <c r="T6310">
        <v>-3.6471839999999998E-2</v>
      </c>
      <c r="U6310">
        <v>0.42799379999999998</v>
      </c>
      <c r="V6310">
        <v>0.19500429999999999</v>
      </c>
      <c r="W6310">
        <v>0.20344699999999999</v>
      </c>
      <c r="X6310">
        <v>0.95947000000000005</v>
      </c>
      <c r="Y6310">
        <v>0.50691529999999996</v>
      </c>
      <c r="Z6310">
        <v>-2.3917029999999998E-3</v>
      </c>
      <c r="AA6310">
        <v>0.86199249999999905</v>
      </c>
      <c r="AB6310">
        <v>35</v>
      </c>
      <c r="AC6310">
        <v>97.755080000000007</v>
      </c>
      <c r="AD6310">
        <v>-1.103090901916</v>
      </c>
      <c r="AE6310">
        <v>12.8276</v>
      </c>
      <c r="AF6310">
        <v>50.0631175487581</v>
      </c>
      <c r="AG6310">
        <v>-1.103090901916</v>
      </c>
      <c r="AH6310">
        <v>84.922635890959</v>
      </c>
      <c r="AI6310">
        <v>90.641096739279703</v>
      </c>
      <c r="AJ6310">
        <v>59.480037684408799</v>
      </c>
      <c r="AK6310">
        <v>98.586949617619595</v>
      </c>
      <c r="AL6310">
        <v>78.261397243006599</v>
      </c>
      <c r="AM6310">
        <v>78.511588119374906</v>
      </c>
      <c r="AN6310">
        <v>1.00000001986374</v>
      </c>
    </row>
    <row r="6311" spans="1:40" x14ac:dyDescent="0.25">
      <c r="A6311" t="str">
        <f>"20190303170700454"</f>
        <v>20190303170700454</v>
      </c>
      <c r="B6311" t="str">
        <f>"1551604020441010"</f>
        <v>1551604020441010</v>
      </c>
      <c r="C6311" t="s">
        <v>40</v>
      </c>
      <c r="D6311">
        <v>5.3922600000000003</v>
      </c>
      <c r="E6311">
        <v>0.64100279999999998</v>
      </c>
      <c r="F6311" t="s">
        <v>41</v>
      </c>
      <c r="G6311">
        <v>-74.461669999999998</v>
      </c>
      <c r="H6311" s="1">
        <v>-3.9372259999999996E-6</v>
      </c>
      <c r="I6311">
        <v>146.26599999999999</v>
      </c>
      <c r="J6311">
        <v>-177.30539999999999</v>
      </c>
      <c r="K6311">
        <v>1.1030770000000001</v>
      </c>
      <c r="L6311">
        <v>133.6157</v>
      </c>
      <c r="M6311">
        <v>0.79384180000000004</v>
      </c>
      <c r="N6311">
        <v>-1.7164499999999999E-2</v>
      </c>
      <c r="O6311">
        <v>0.60788199999999903</v>
      </c>
      <c r="P6311">
        <v>0.87726039999999905</v>
      </c>
      <c r="Q6311">
        <v>0.1950952</v>
      </c>
      <c r="R6311">
        <v>0.43857950000000001</v>
      </c>
      <c r="S6311">
        <v>3.237625</v>
      </c>
      <c r="T6311">
        <v>-3.4677859999999998E-2</v>
      </c>
      <c r="U6311">
        <v>0.4009857</v>
      </c>
      <c r="V6311">
        <v>0.1940393</v>
      </c>
      <c r="W6311">
        <v>0.2034647</v>
      </c>
      <c r="X6311">
        <v>0.95966180000000001</v>
      </c>
      <c r="Y6311">
        <v>0.50569109999999995</v>
      </c>
      <c r="Z6311">
        <v>-2.0181159999999999E-3</v>
      </c>
      <c r="AA6311">
        <v>0.86271229999999999</v>
      </c>
      <c r="AB6311">
        <v>35</v>
      </c>
      <c r="AC6311">
        <v>102.84372999999999</v>
      </c>
      <c r="AD6311">
        <v>-1.103080937226</v>
      </c>
      <c r="AE6311">
        <v>12.6502999999999</v>
      </c>
      <c r="AF6311">
        <v>52.476301380107998</v>
      </c>
      <c r="AG6311">
        <v>-1.103080937226</v>
      </c>
      <c r="AH6311">
        <v>89.334581895169407</v>
      </c>
      <c r="AI6311">
        <v>90.609991964971798</v>
      </c>
      <c r="AJ6311">
        <v>59.569466918774097</v>
      </c>
      <c r="AK6311">
        <v>103.61296500185</v>
      </c>
      <c r="AL6311">
        <v>78.260360637826196</v>
      </c>
      <c r="AM6311">
        <v>78.569163911834494</v>
      </c>
      <c r="AN6311">
        <v>0.99999995223490801</v>
      </c>
    </row>
    <row r="6312" spans="1:40" x14ac:dyDescent="0.25">
      <c r="A6312" t="str">
        <f>"20190303170700467"</f>
        <v>20190303170700467</v>
      </c>
      <c r="B6312" t="str">
        <f>"1551604020451746"</f>
        <v>1551604020451746</v>
      </c>
      <c r="C6312" t="s">
        <v>40</v>
      </c>
      <c r="D6312">
        <v>5.4520439999999999</v>
      </c>
      <c r="E6312">
        <v>0.64017329999999995</v>
      </c>
      <c r="F6312" t="s">
        <v>41</v>
      </c>
      <c r="G6312">
        <v>-59.20185</v>
      </c>
      <c r="H6312" s="1">
        <v>-2.3950049999999999E-6</v>
      </c>
      <c r="I6312">
        <v>147.3973</v>
      </c>
      <c r="J6312">
        <v>-177.14850000000001</v>
      </c>
      <c r="K6312">
        <v>1.1030599999999999</v>
      </c>
      <c r="L6312">
        <v>133.7286</v>
      </c>
      <c r="M6312">
        <v>0.80015429999999999</v>
      </c>
      <c r="N6312">
        <v>-1.7173259999999999E-2</v>
      </c>
      <c r="O6312">
        <v>0.59954830000000003</v>
      </c>
      <c r="P6312">
        <v>0.88122489999999998</v>
      </c>
      <c r="Q6312">
        <v>0.19521289999999999</v>
      </c>
      <c r="R6312">
        <v>0.43050529999999998</v>
      </c>
      <c r="S6312">
        <v>3.2375639999999999</v>
      </c>
      <c r="T6312">
        <v>-3.0238629999999999E-2</v>
      </c>
      <c r="U6312">
        <v>0.37779239999999997</v>
      </c>
      <c r="V6312">
        <v>0.19281139999999999</v>
      </c>
      <c r="W6312">
        <v>0.20364019999999999</v>
      </c>
      <c r="X6312">
        <v>0.95987210000000001</v>
      </c>
      <c r="Y6312">
        <v>0.50276359999999998</v>
      </c>
      <c r="Z6312">
        <v>-9.7348400000000005E-4</v>
      </c>
      <c r="AA6312">
        <v>0.86442350000000001</v>
      </c>
      <c r="AB6312">
        <v>35</v>
      </c>
      <c r="AC6312">
        <v>117.94665000000001</v>
      </c>
      <c r="AD6312">
        <v>-1.103062395005</v>
      </c>
      <c r="AE6312">
        <v>13.668699999999999</v>
      </c>
      <c r="AF6312">
        <v>59.781302128091099</v>
      </c>
      <c r="AG6312">
        <v>-1.103062395005</v>
      </c>
      <c r="AH6312">
        <v>102.576841165464</v>
      </c>
      <c r="AI6312">
        <v>90.532310655768498</v>
      </c>
      <c r="AJ6312">
        <v>59.766568204074296</v>
      </c>
      <c r="AK6312">
        <v>118.730910778374</v>
      </c>
      <c r="AL6312">
        <v>78.250090867609202</v>
      </c>
      <c r="AM6312">
        <v>78.642036917995696</v>
      </c>
      <c r="AN6312">
        <v>1.0000000076922</v>
      </c>
    </row>
    <row r="6313" spans="1:40" x14ac:dyDescent="0.25">
      <c r="A6313" t="str">
        <f>"20190303170700482"</f>
        <v>20190303170700482</v>
      </c>
      <c r="B6313" t="str">
        <f>"1551604020471265"</f>
        <v>1551604020471265</v>
      </c>
      <c r="C6313" t="s">
        <v>40</v>
      </c>
      <c r="D6313">
        <v>5.4527150000000004</v>
      </c>
      <c r="E6313">
        <v>0.62972939999999999</v>
      </c>
      <c r="F6313" t="s">
        <v>51</v>
      </c>
      <c r="G6313">
        <v>-35.302120000000002</v>
      </c>
      <c r="H6313">
        <v>-0.1</v>
      </c>
      <c r="I6313">
        <v>149.18180000000001</v>
      </c>
      <c r="J6313">
        <v>-176.93989999999999</v>
      </c>
      <c r="K6313">
        <v>1.1030409999999999</v>
      </c>
      <c r="L6313">
        <v>133.87479999999999</v>
      </c>
      <c r="M6313">
        <v>0.80835619999999997</v>
      </c>
      <c r="N6313">
        <v>-1.7183799999999999E-2</v>
      </c>
      <c r="O6313">
        <v>0.58844289999999999</v>
      </c>
      <c r="P6313">
        <v>0.88634400000000002</v>
      </c>
      <c r="Q6313">
        <v>0.1963646</v>
      </c>
      <c r="R6313">
        <v>0.41932730000000001</v>
      </c>
      <c r="S6313">
        <v>3.2380979999999999</v>
      </c>
      <c r="T6313">
        <v>-2.7463669999999999E-2</v>
      </c>
      <c r="U6313">
        <v>0.35276790000000002</v>
      </c>
      <c r="V6313">
        <v>0.19160170000000001</v>
      </c>
      <c r="W6313">
        <v>0.20484730000000001</v>
      </c>
      <c r="X6313">
        <v>0.95985750000000003</v>
      </c>
      <c r="Y6313">
        <v>0.4974343</v>
      </c>
      <c r="Z6313">
        <v>-3.6566559999999998E-4</v>
      </c>
      <c r="AA6313">
        <v>0.86750159999999998</v>
      </c>
      <c r="AB6313">
        <v>34</v>
      </c>
      <c r="AC6313">
        <v>141.63777999999999</v>
      </c>
      <c r="AD6313">
        <v>-1.203041</v>
      </c>
      <c r="AE6313">
        <v>15.307</v>
      </c>
      <c r="AF6313">
        <v>70.977654218202701</v>
      </c>
      <c r="AG6313">
        <v>-1.203041</v>
      </c>
      <c r="AH6313">
        <v>123.51049861576099</v>
      </c>
      <c r="AI6313">
        <v>90.483863801022395</v>
      </c>
      <c r="AJ6313">
        <v>60.1153530060488</v>
      </c>
      <c r="AK6313">
        <v>142.45742512863399</v>
      </c>
      <c r="AL6313">
        <v>78.1794400038508</v>
      </c>
      <c r="AM6313">
        <v>78.711294182638994</v>
      </c>
      <c r="AN6313">
        <v>1.0000000240332101</v>
      </c>
    </row>
    <row r="6314" spans="1:40" x14ac:dyDescent="0.25">
      <c r="A6314" t="str">
        <f>"20190303170700499"</f>
        <v>20190303170700499</v>
      </c>
      <c r="B6314" t="str">
        <f>"1551604020491762"</f>
        <v>1551604020491762</v>
      </c>
      <c r="C6314" t="s">
        <v>40</v>
      </c>
      <c r="D6314">
        <v>5.4495829999999996</v>
      </c>
      <c r="E6314">
        <v>0.62921850000000001</v>
      </c>
      <c r="F6314" t="s">
        <v>41</v>
      </c>
      <c r="G6314">
        <v>-51.601280000000003</v>
      </c>
      <c r="H6314" s="1">
        <v>-5.4046459999999999E-6</v>
      </c>
      <c r="I6314">
        <v>149.05109999999999</v>
      </c>
      <c r="J6314">
        <v>-176.7225</v>
      </c>
      <c r="K6314">
        <v>1.103024</v>
      </c>
      <c r="L6314">
        <v>134.02189999999999</v>
      </c>
      <c r="M6314">
        <v>0.81666349999999999</v>
      </c>
      <c r="N6314">
        <v>-1.7193380000000001E-2</v>
      </c>
      <c r="O6314">
        <v>0.57685799999999998</v>
      </c>
      <c r="P6314">
        <v>0.89194249999999997</v>
      </c>
      <c r="Q6314">
        <v>0.1968454</v>
      </c>
      <c r="R6314">
        <v>0.4070511</v>
      </c>
      <c r="S6314">
        <v>3.207214</v>
      </c>
      <c r="T6314">
        <v>-2.8225179999999999E-2</v>
      </c>
      <c r="U6314">
        <v>0.38833620000000002</v>
      </c>
      <c r="V6314">
        <v>0.1911339</v>
      </c>
      <c r="W6314">
        <v>0.20535139999999999</v>
      </c>
      <c r="X6314">
        <v>0.959843</v>
      </c>
      <c r="Y6314">
        <v>0.4745066</v>
      </c>
      <c r="Z6314">
        <v>-4.6621029999999999E-4</v>
      </c>
      <c r="AA6314">
        <v>0.88025189999999998</v>
      </c>
      <c r="AB6314">
        <v>34</v>
      </c>
      <c r="AC6314">
        <v>125.12121999999999</v>
      </c>
      <c r="AD6314">
        <v>-1.1030294046460001</v>
      </c>
      <c r="AE6314">
        <v>15.029199999999999</v>
      </c>
      <c r="AF6314">
        <v>59.907643021472701</v>
      </c>
      <c r="AG6314">
        <v>-1.1030294046460001</v>
      </c>
      <c r="AH6314">
        <v>110.859540800096</v>
      </c>
      <c r="AI6314">
        <v>90.5015223486796</v>
      </c>
      <c r="AJ6314">
        <v>61.613553693871097</v>
      </c>
      <c r="AK6314">
        <v>126.015793266812</v>
      </c>
      <c r="AL6314">
        <v>78.149929259783093</v>
      </c>
      <c r="AM6314">
        <v>78.737984792856295</v>
      </c>
      <c r="AN6314">
        <v>0.99999997493008397</v>
      </c>
    </row>
    <row r="6315" spans="1:40" x14ac:dyDescent="0.25">
      <c r="A6315" t="str">
        <f>"20190303170700512"</f>
        <v>20190303170700512</v>
      </c>
      <c r="B6315" t="str">
        <f>"1551604020501523"</f>
        <v>1551604020501523</v>
      </c>
      <c r="C6315" t="s">
        <v>40</v>
      </c>
      <c r="D6315">
        <v>5.3838330000000001</v>
      </c>
      <c r="E6315">
        <v>0.62818809999999903</v>
      </c>
      <c r="F6315" t="s">
        <v>41</v>
      </c>
      <c r="G6315">
        <v>-73.092190000000002</v>
      </c>
      <c r="H6315" s="1">
        <v>-4.2335430000000003E-6</v>
      </c>
      <c r="I6315">
        <v>145.3092</v>
      </c>
      <c r="J6315">
        <v>-176.56479999999999</v>
      </c>
      <c r="K6315">
        <v>1.1030169999999999</v>
      </c>
      <c r="L6315">
        <v>134.1258</v>
      </c>
      <c r="M6315">
        <v>0.82254760000000005</v>
      </c>
      <c r="N6315">
        <v>-1.719967E-2</v>
      </c>
      <c r="O6315">
        <v>0.56843619999999995</v>
      </c>
      <c r="P6315">
        <v>0.89600999999999997</v>
      </c>
      <c r="Q6315">
        <v>0.19665479999999999</v>
      </c>
      <c r="R6315">
        <v>0.39811170000000001</v>
      </c>
      <c r="S6315">
        <v>3.2113649999999998</v>
      </c>
      <c r="T6315">
        <v>-3.4181360000000001E-2</v>
      </c>
      <c r="U6315">
        <v>0.34977720000000001</v>
      </c>
      <c r="V6315">
        <v>0.1908889</v>
      </c>
      <c r="W6315">
        <v>0.20517450000000001</v>
      </c>
      <c r="X6315">
        <v>0.95992960000000005</v>
      </c>
      <c r="Y6315">
        <v>0.47602220000000001</v>
      </c>
      <c r="Z6315">
        <v>-2.0261010000000002E-3</v>
      </c>
      <c r="AA6315">
        <v>0.87943090000000002</v>
      </c>
      <c r="AB6315">
        <v>34</v>
      </c>
      <c r="AC6315">
        <v>103.47261</v>
      </c>
      <c r="AD6315">
        <v>-1.1030212335430001</v>
      </c>
      <c r="AE6315">
        <v>11.183400000000001</v>
      </c>
      <c r="AF6315">
        <v>49.620463378890904</v>
      </c>
      <c r="AG6315">
        <v>-1.1030212335430001</v>
      </c>
      <c r="AH6315">
        <v>91.471450016226697</v>
      </c>
      <c r="AI6315">
        <v>90.607283837191403</v>
      </c>
      <c r="AJ6315">
        <v>61.521523089258203</v>
      </c>
      <c r="AK6315">
        <v>104.069367298204</v>
      </c>
      <c r="AL6315">
        <v>78.160285606475398</v>
      </c>
      <c r="AM6315">
        <v>78.753041302139493</v>
      </c>
      <c r="AN6315">
        <v>0.99999999227480996</v>
      </c>
    </row>
    <row r="6316" spans="1:40" x14ac:dyDescent="0.25">
      <c r="A6316" t="str">
        <f>"20190303170700529"</f>
        <v>20190303170700529</v>
      </c>
      <c r="B6316" t="str">
        <f>"1551604020521042"</f>
        <v>1551604020521042</v>
      </c>
      <c r="C6316" t="s">
        <v>40</v>
      </c>
      <c r="D6316">
        <v>5.3441409999999996</v>
      </c>
      <c r="E6316">
        <v>0.62686709999999901</v>
      </c>
      <c r="F6316" t="s">
        <v>41</v>
      </c>
      <c r="G6316">
        <v>-71.480669999999904</v>
      </c>
      <c r="H6316" s="1">
        <v>-4.6865940000000004E-6</v>
      </c>
      <c r="I6316">
        <v>144.77170000000001</v>
      </c>
      <c r="J6316">
        <v>-176.321</v>
      </c>
      <c r="K6316">
        <v>1.1030059999999999</v>
      </c>
      <c r="L6316">
        <v>134.28229999999999</v>
      </c>
      <c r="M6316">
        <v>0.83141669999999901</v>
      </c>
      <c r="N6316">
        <v>-1.720843E-2</v>
      </c>
      <c r="O6316">
        <v>0.55538299999999996</v>
      </c>
      <c r="P6316">
        <v>0.90209079999999997</v>
      </c>
      <c r="Q6316">
        <v>0.19662789999999999</v>
      </c>
      <c r="R6316">
        <v>0.3841485</v>
      </c>
      <c r="S6316">
        <v>3.2110289999999999</v>
      </c>
      <c r="T6316">
        <v>-3.370476E-2</v>
      </c>
      <c r="U6316">
        <v>0.32530209999999998</v>
      </c>
      <c r="V6316">
        <v>0.1906535</v>
      </c>
      <c r="W6316">
        <v>0.20516239999999999</v>
      </c>
      <c r="X6316">
        <v>0.95997900000000003</v>
      </c>
      <c r="Y6316">
        <v>0.46874739999999998</v>
      </c>
      <c r="Z6316">
        <v>-1.9651740000000001E-3</v>
      </c>
      <c r="AA6316">
        <v>0.88333009999999901</v>
      </c>
      <c r="AB6316">
        <v>34</v>
      </c>
      <c r="AC6316">
        <v>104.84032999999999</v>
      </c>
      <c r="AD6316">
        <v>-1.1030106865939999</v>
      </c>
      <c r="AE6316">
        <v>10.4894</v>
      </c>
      <c r="AF6316">
        <v>49.507377370608197</v>
      </c>
      <c r="AG6316">
        <v>-1.1030106865939999</v>
      </c>
      <c r="AH6316">
        <v>92.995209702129003</v>
      </c>
      <c r="AI6316">
        <v>90.599850201758002</v>
      </c>
      <c r="AJ6316">
        <v>61.970733675841103</v>
      </c>
      <c r="AK6316">
        <v>105.35799008254401</v>
      </c>
      <c r="AL6316">
        <v>78.160994334620597</v>
      </c>
      <c r="AM6316">
        <v>78.767121259126597</v>
      </c>
      <c r="AN6316">
        <v>1.0000000239385001</v>
      </c>
    </row>
    <row r="6317" spans="1:40" x14ac:dyDescent="0.25">
      <c r="A6317" t="str">
        <f>"20190303170700546"</f>
        <v>20190303170700546</v>
      </c>
      <c r="B6317" t="str">
        <f>"1551604020531778"</f>
        <v>1551604020531778</v>
      </c>
      <c r="C6317" t="s">
        <v>40</v>
      </c>
      <c r="D6317">
        <v>5.3780890000000001</v>
      </c>
      <c r="E6317">
        <v>0.62686709999999901</v>
      </c>
      <c r="F6317" t="s">
        <v>41</v>
      </c>
      <c r="G6317">
        <v>-52.210659999999997</v>
      </c>
      <c r="H6317" s="1">
        <v>-4.5270290000000002E-6</v>
      </c>
      <c r="I6317">
        <v>145.27260000000001</v>
      </c>
      <c r="J6317">
        <v>-176.10939999999999</v>
      </c>
      <c r="K6317">
        <v>1.1029910000000001</v>
      </c>
      <c r="L6317">
        <v>134.41399999999999</v>
      </c>
      <c r="M6317">
        <v>0.83889269999999905</v>
      </c>
      <c r="N6317">
        <v>-1.72150999999999E-2</v>
      </c>
      <c r="O6317">
        <v>0.54402459999999997</v>
      </c>
      <c r="P6317">
        <v>0.90715279999999998</v>
      </c>
      <c r="Q6317">
        <v>0.19576160000000001</v>
      </c>
      <c r="R6317">
        <v>0.37249339999999997</v>
      </c>
      <c r="S6317">
        <v>3.2107239999999999</v>
      </c>
      <c r="T6317">
        <v>-2.8534770000000001E-2</v>
      </c>
      <c r="U6317">
        <v>0.28431699999999999</v>
      </c>
      <c r="V6317">
        <v>0.19003410000000001</v>
      </c>
      <c r="W6317">
        <v>0.20433009999999999</v>
      </c>
      <c r="X6317">
        <v>0.9602792</v>
      </c>
      <c r="Y6317">
        <v>0.4679064</v>
      </c>
      <c r="Z6317">
        <v>-8.8286769999999998E-4</v>
      </c>
      <c r="AA6317">
        <v>0.88377759999999905</v>
      </c>
      <c r="AB6317">
        <v>34</v>
      </c>
      <c r="AC6317">
        <v>123.89873999999899</v>
      </c>
      <c r="AD6317">
        <v>-1.1029955270289999</v>
      </c>
      <c r="AE6317">
        <v>10.858599999999999</v>
      </c>
      <c r="AF6317">
        <v>58.298814566212698</v>
      </c>
      <c r="AG6317">
        <v>-1.1029955270289999</v>
      </c>
      <c r="AH6317">
        <v>109.852729945494</v>
      </c>
      <c r="AI6317">
        <v>90.508148610067707</v>
      </c>
      <c r="AJ6317">
        <v>62.045119630506598</v>
      </c>
      <c r="AK6317">
        <v>124.36876881048499</v>
      </c>
      <c r="AL6317">
        <v>78.209712789699296</v>
      </c>
      <c r="AM6317">
        <v>78.8061034200867</v>
      </c>
      <c r="AN6317">
        <v>0.99999994544072801</v>
      </c>
    </row>
    <row r="6318" spans="1:40" x14ac:dyDescent="0.25">
      <c r="A6318" t="str">
        <f>"20190303170700560"</f>
        <v>20190303170700560</v>
      </c>
      <c r="B6318" t="str">
        <f>"1551604020551807"</f>
        <v>1551604020551807</v>
      </c>
      <c r="C6318" t="s">
        <v>40</v>
      </c>
      <c r="D6318">
        <v>5.371162</v>
      </c>
      <c r="E6318">
        <v>0.61719789999999997</v>
      </c>
      <c r="F6318" t="s">
        <v>41</v>
      </c>
      <c r="G6318">
        <v>-55.294089999999997</v>
      </c>
      <c r="H6318" s="1">
        <v>-3.032354E-6</v>
      </c>
      <c r="I6318">
        <v>143.49209999999999</v>
      </c>
      <c r="J6318">
        <v>-175.91399999999999</v>
      </c>
      <c r="K6318">
        <v>1.1029819999999999</v>
      </c>
      <c r="L6318">
        <v>134.5318</v>
      </c>
      <c r="M6318">
        <v>0.8456108</v>
      </c>
      <c r="N6318">
        <v>-1.7220530000000001E-2</v>
      </c>
      <c r="O6318">
        <v>0.53352200000000005</v>
      </c>
      <c r="P6318">
        <v>0.91166700000000001</v>
      </c>
      <c r="Q6318">
        <v>0.19456090000000001</v>
      </c>
      <c r="R6318">
        <v>0.3619522</v>
      </c>
      <c r="S6318">
        <v>3.2142029999999999</v>
      </c>
      <c r="T6318">
        <v>-2.934432E-2</v>
      </c>
      <c r="U6318">
        <v>0.24151610000000001</v>
      </c>
      <c r="V6318">
        <v>0.18927820000000001</v>
      </c>
      <c r="W6318">
        <v>0.20317060000000001</v>
      </c>
      <c r="X6318">
        <v>0.96067449999999999</v>
      </c>
      <c r="Y6318">
        <v>0.46866010000000002</v>
      </c>
      <c r="Z6318">
        <v>-1.2093500000000001E-3</v>
      </c>
      <c r="AA6318">
        <v>0.88337779999999999</v>
      </c>
      <c r="AB6318">
        <v>34</v>
      </c>
      <c r="AC6318">
        <v>120.61991</v>
      </c>
      <c r="AD6318">
        <v>-1.10298503235399</v>
      </c>
      <c r="AE6318">
        <v>8.9602999999999895</v>
      </c>
      <c r="AF6318">
        <v>56.780150623002697</v>
      </c>
      <c r="AG6318">
        <v>-1.10298503235399</v>
      </c>
      <c r="AH6318">
        <v>106.78497699226899</v>
      </c>
      <c r="AI6318">
        <v>90.522519293535595</v>
      </c>
      <c r="AJ6318">
        <v>61.999342780908499</v>
      </c>
      <c r="AK6318">
        <v>120.947233916249</v>
      </c>
      <c r="AL6318">
        <v>78.277571513458398</v>
      </c>
      <c r="AM6318">
        <v>78.853984868308899</v>
      </c>
      <c r="AN6318">
        <v>1.00000001232492</v>
      </c>
    </row>
    <row r="6319" spans="1:40" x14ac:dyDescent="0.25">
      <c r="A6319" t="str">
        <f>"20190303170700577"</f>
        <v>20190303170700577</v>
      </c>
      <c r="B6319" t="str">
        <f>"1551604020571324"</f>
        <v>1551604020571324</v>
      </c>
      <c r="C6319" t="s">
        <v>40</v>
      </c>
      <c r="D6319">
        <v>5.3298030000000001</v>
      </c>
      <c r="E6319">
        <v>0.61482199999999998</v>
      </c>
      <c r="F6319" t="s">
        <v>41</v>
      </c>
      <c r="G6319">
        <v>-57.392229999999998</v>
      </c>
      <c r="H6319" s="1">
        <v>-2.464166E-6</v>
      </c>
      <c r="I6319">
        <v>144.73949999999999</v>
      </c>
      <c r="J6319">
        <v>-175.702</v>
      </c>
      <c r="K6319">
        <v>1.102973</v>
      </c>
      <c r="L6319">
        <v>134.65549999999999</v>
      </c>
      <c r="M6319">
        <v>0.85270179999999995</v>
      </c>
      <c r="N6319">
        <v>-1.7225750000000001E-2</v>
      </c>
      <c r="O6319">
        <v>0.52211390000000002</v>
      </c>
      <c r="P6319">
        <v>0.91656040000000005</v>
      </c>
      <c r="Q6319">
        <v>0.19436200000000001</v>
      </c>
      <c r="R6319">
        <v>0.34948610000000002</v>
      </c>
      <c r="S6319">
        <v>3.1879879999999998</v>
      </c>
      <c r="T6319">
        <v>-2.9667969999999998E-2</v>
      </c>
      <c r="U6319">
        <v>0.2745667</v>
      </c>
      <c r="V6319">
        <v>0.1894892</v>
      </c>
      <c r="W6319">
        <v>0.20296600000000001</v>
      </c>
      <c r="X6319">
        <v>0.96067610000000003</v>
      </c>
      <c r="Y6319">
        <v>0.4470171</v>
      </c>
      <c r="Z6319">
        <v>-1.1788440000000001E-3</v>
      </c>
      <c r="AA6319">
        <v>0.894524599999999</v>
      </c>
      <c r="AB6319">
        <v>34</v>
      </c>
      <c r="AC6319">
        <v>118.30977</v>
      </c>
      <c r="AD6319">
        <v>-1.1029754641659999</v>
      </c>
      <c r="AE6319">
        <v>10.084</v>
      </c>
      <c r="AF6319">
        <v>53.175832391555097</v>
      </c>
      <c r="AG6319">
        <v>-1.1029754641659999</v>
      </c>
      <c r="AH6319">
        <v>106.15454200387499</v>
      </c>
      <c r="AI6319">
        <v>90.532256558887894</v>
      </c>
      <c r="AJ6319">
        <v>63.392406665070901</v>
      </c>
      <c r="AK6319">
        <v>118.733619895385</v>
      </c>
      <c r="AL6319">
        <v>78.289543072368105</v>
      </c>
      <c r="AM6319">
        <v>78.841889456841201</v>
      </c>
      <c r="AN6319">
        <v>0.99999996159192395</v>
      </c>
    </row>
    <row r="6320" spans="1:40" x14ac:dyDescent="0.25">
      <c r="A6320" t="str">
        <f>"20190303170700590"</f>
        <v>20190303170700590</v>
      </c>
      <c r="B6320" t="str">
        <f>"1551604020581086"</f>
        <v>1551604020581086</v>
      </c>
      <c r="C6320" t="s">
        <v>40</v>
      </c>
      <c r="D6320">
        <v>5.3130879999999996</v>
      </c>
      <c r="E6320">
        <v>0.61390419999999901</v>
      </c>
      <c r="F6320" t="s">
        <v>41</v>
      </c>
      <c r="G6320">
        <v>-80.003150000000005</v>
      </c>
      <c r="H6320" s="1">
        <v>-4.723561E-6</v>
      </c>
      <c r="I6320">
        <v>142.1455</v>
      </c>
      <c r="J6320">
        <v>-175.49639999999999</v>
      </c>
      <c r="K6320">
        <v>1.1029690000000001</v>
      </c>
      <c r="L6320">
        <v>134.77209999999999</v>
      </c>
      <c r="M6320">
        <v>0.85939750000000004</v>
      </c>
      <c r="N6320">
        <v>-1.7230249999999999E-2</v>
      </c>
      <c r="O6320">
        <v>0.51101770000000002</v>
      </c>
      <c r="P6320">
        <v>0.92083280000000001</v>
      </c>
      <c r="Q6320">
        <v>0.19470390000000001</v>
      </c>
      <c r="R6320">
        <v>0.33787209999999901</v>
      </c>
      <c r="S6320">
        <v>3.1858369999999998</v>
      </c>
      <c r="T6320">
        <v>-3.671837E-2</v>
      </c>
      <c r="U6320">
        <v>0.24934390000000001</v>
      </c>
      <c r="V6320">
        <v>0.18915899999999999</v>
      </c>
      <c r="W6320">
        <v>0.2033256</v>
      </c>
      <c r="X6320">
        <v>0.9606652</v>
      </c>
      <c r="Y6320">
        <v>0.44239109999999998</v>
      </c>
      <c r="Z6320">
        <v>-2.8239480000000002E-3</v>
      </c>
      <c r="AA6320">
        <v>0.8968178</v>
      </c>
      <c r="AB6320">
        <v>34</v>
      </c>
      <c r="AC6320">
        <v>95.493250000000003</v>
      </c>
      <c r="AD6320">
        <v>-1.102973723561</v>
      </c>
      <c r="AE6320">
        <v>7.3734000000000002</v>
      </c>
      <c r="AF6320">
        <v>42.462731896114803</v>
      </c>
      <c r="AG6320">
        <v>-1.102973723561</v>
      </c>
      <c r="AH6320">
        <v>85.835957528861996</v>
      </c>
      <c r="AI6320">
        <v>90.659876604177796</v>
      </c>
      <c r="AJ6320">
        <v>63.678567194564003</v>
      </c>
      <c r="AK6320">
        <v>95.771142605759906</v>
      </c>
      <c r="AL6320">
        <v>78.268501519594494</v>
      </c>
      <c r="AM6320">
        <v>78.860723458046905</v>
      </c>
      <c r="AN6320">
        <v>1.0000000266936899</v>
      </c>
    </row>
    <row r="6321" spans="1:40" x14ac:dyDescent="0.25">
      <c r="A6321" t="str">
        <f>"20190303170700605"</f>
        <v>20190303170700605</v>
      </c>
      <c r="B6321" t="str">
        <f>"1551604020590844"</f>
        <v>1551604020590844</v>
      </c>
      <c r="C6321" t="s">
        <v>40</v>
      </c>
      <c r="D6321">
        <v>5.3277049999999999</v>
      </c>
      <c r="E6321">
        <v>0.61306139999999998</v>
      </c>
      <c r="F6321" t="s">
        <v>41</v>
      </c>
      <c r="G6321">
        <v>-77.117919999999998</v>
      </c>
      <c r="H6321" s="1">
        <v>-1.7113839999999901E-6</v>
      </c>
      <c r="I6321">
        <v>141.46799999999999</v>
      </c>
      <c r="J6321">
        <v>-175.309</v>
      </c>
      <c r="K6321">
        <v>1.102959</v>
      </c>
      <c r="L6321">
        <v>134.8758</v>
      </c>
      <c r="M6321">
        <v>0.86534339999999998</v>
      </c>
      <c r="N6321">
        <v>-1.7233979999999999E-2</v>
      </c>
      <c r="O6321">
        <v>0.50088310000000003</v>
      </c>
      <c r="P6321">
        <v>0.92480050000000003</v>
      </c>
      <c r="Q6321">
        <v>0.19509969999999999</v>
      </c>
      <c r="R6321">
        <v>0.3266194</v>
      </c>
      <c r="S6321">
        <v>3.1859280000000001</v>
      </c>
      <c r="T6321">
        <v>-3.5719040000000001E-2</v>
      </c>
      <c r="U6321">
        <v>0.2168427</v>
      </c>
      <c r="V6321">
        <v>0.18955959999999999</v>
      </c>
      <c r="W6321">
        <v>0.20370559999999999</v>
      </c>
      <c r="X6321">
        <v>0.96050570000000002</v>
      </c>
      <c r="Y6321">
        <v>0.4409554</v>
      </c>
      <c r="Z6321">
        <v>-2.685958E-3</v>
      </c>
      <c r="AA6321">
        <v>0.89752500000000002</v>
      </c>
      <c r="AB6321">
        <v>34</v>
      </c>
      <c r="AC6321">
        <v>98.191079999999999</v>
      </c>
      <c r="AD6321">
        <v>-1.1029607113840001</v>
      </c>
      <c r="AE6321">
        <v>6.5921999999999903</v>
      </c>
      <c r="AF6321">
        <v>43.478730581286896</v>
      </c>
      <c r="AG6321">
        <v>-1.1029607113840001</v>
      </c>
      <c r="AH6321">
        <v>88.272944287185297</v>
      </c>
      <c r="AI6321">
        <v>90.642200219813006</v>
      </c>
      <c r="AJ6321">
        <v>63.777504730029797</v>
      </c>
      <c r="AK6321">
        <v>98.405941021970406</v>
      </c>
      <c r="AL6321">
        <v>78.246263484857295</v>
      </c>
      <c r="AM6321">
        <v>78.835917517019396</v>
      </c>
      <c r="AN6321">
        <v>1.0000000065779999</v>
      </c>
    </row>
    <row r="6322" spans="1:40" x14ac:dyDescent="0.25">
      <c r="A6322" t="str">
        <f>"20190303170700621"</f>
        <v>20190303170700621</v>
      </c>
      <c r="B6322" t="str">
        <f>"1551604020611341"</f>
        <v>1551604020611341</v>
      </c>
      <c r="C6322" t="s">
        <v>40</v>
      </c>
      <c r="D6322">
        <v>5.310041</v>
      </c>
      <c r="E6322">
        <v>0.60428999999999999</v>
      </c>
      <c r="F6322" t="s">
        <v>41</v>
      </c>
      <c r="G6322">
        <v>-77.509730000000005</v>
      </c>
      <c r="H6322" s="1">
        <v>-1.304495E-6</v>
      </c>
      <c r="I6322">
        <v>140.57050000000001</v>
      </c>
      <c r="J6322">
        <v>-175.08349999999999</v>
      </c>
      <c r="K6322">
        <v>1.1029610000000001</v>
      </c>
      <c r="L6322">
        <v>134.99619999999999</v>
      </c>
      <c r="M6322">
        <v>0.87229639999999997</v>
      </c>
      <c r="N6322">
        <v>-1.7237869999999999E-2</v>
      </c>
      <c r="O6322">
        <v>0.48867369999999999</v>
      </c>
      <c r="P6322">
        <v>0.92926140000000002</v>
      </c>
      <c r="Q6322">
        <v>0.19500190000000001</v>
      </c>
      <c r="R6322">
        <v>0.31376340000000003</v>
      </c>
      <c r="S6322">
        <v>3.1860050000000002</v>
      </c>
      <c r="T6322">
        <v>-3.5931110000000002E-2</v>
      </c>
      <c r="U6322">
        <v>0.1855164</v>
      </c>
      <c r="V6322">
        <v>0.18938679999999999</v>
      </c>
      <c r="W6322">
        <v>0.20362060000000001</v>
      </c>
      <c r="X6322">
        <v>0.96055780000000002</v>
      </c>
      <c r="Y6322">
        <v>0.43713049999999998</v>
      </c>
      <c r="Z6322">
        <v>-2.7994320000000001E-3</v>
      </c>
      <c r="AA6322">
        <v>0.89939369999999996</v>
      </c>
      <c r="AB6322">
        <v>34</v>
      </c>
      <c r="AC6322">
        <v>97.573769999999897</v>
      </c>
      <c r="AD6322">
        <v>-1.1029623044949901</v>
      </c>
      <c r="AE6322">
        <v>5.5743000000000196</v>
      </c>
      <c r="AF6322">
        <v>42.820199916778002</v>
      </c>
      <c r="AG6322">
        <v>-1.1029623044949901</v>
      </c>
      <c r="AH6322">
        <v>87.839121720555397</v>
      </c>
      <c r="AI6322">
        <v>90.646665257057606</v>
      </c>
      <c r="AJ6322">
        <v>64.011489463449607</v>
      </c>
      <c r="AK6322">
        <v>97.726646066446605</v>
      </c>
      <c r="AL6322">
        <v>78.251237781549094</v>
      </c>
      <c r="AM6322">
        <v>78.846429067395405</v>
      </c>
      <c r="AN6322">
        <v>0.99999999794971905</v>
      </c>
    </row>
    <row r="6323" spans="1:40" x14ac:dyDescent="0.25">
      <c r="A6323" t="str">
        <f>"20190303170700634"</f>
        <v>20190303170700634</v>
      </c>
      <c r="B6323" t="str">
        <f>"1551604020621101"</f>
        <v>1551604020621101</v>
      </c>
      <c r="C6323" t="s">
        <v>40</v>
      </c>
      <c r="D6323">
        <v>5.3010440000000001</v>
      </c>
      <c r="E6323">
        <v>0.60384569999999904</v>
      </c>
      <c r="F6323" t="s">
        <v>41</v>
      </c>
      <c r="G6323">
        <v>-94.227689999999996</v>
      </c>
      <c r="H6323" s="1">
        <v>-2.644559E-6</v>
      </c>
      <c r="I6323">
        <v>140.3152</v>
      </c>
      <c r="J6323">
        <v>-174.90379999999999</v>
      </c>
      <c r="K6323">
        <v>1.1029629999999999</v>
      </c>
      <c r="L6323">
        <v>135.08879999999999</v>
      </c>
      <c r="M6323">
        <v>0.87768009999999996</v>
      </c>
      <c r="N6323">
        <v>-1.7240510000000001E-2</v>
      </c>
      <c r="O6323">
        <v>0.4789369</v>
      </c>
      <c r="P6323">
        <v>0.93286000000000002</v>
      </c>
      <c r="Q6323">
        <v>0.19437460000000001</v>
      </c>
      <c r="R6323">
        <v>0.30329990000000001</v>
      </c>
      <c r="S6323">
        <v>3.1670989999999999</v>
      </c>
      <c r="T6323">
        <v>-4.320276E-2</v>
      </c>
      <c r="U6323">
        <v>0.20834349999999999</v>
      </c>
      <c r="V6323">
        <v>0.18952830000000001</v>
      </c>
      <c r="W6323">
        <v>0.20299220000000001</v>
      </c>
      <c r="X6323">
        <v>0.96066289999999999</v>
      </c>
      <c r="Y6323">
        <v>0.42026730000000001</v>
      </c>
      <c r="Z6323">
        <v>-4.2288610000000004E-3</v>
      </c>
      <c r="AA6323">
        <v>0.90739049999999999</v>
      </c>
      <c r="AB6323">
        <v>34</v>
      </c>
      <c r="AC6323">
        <v>80.676109999999994</v>
      </c>
      <c r="AD6323">
        <v>-1.1029656445589999</v>
      </c>
      <c r="AE6323">
        <v>5.2264000000000097</v>
      </c>
      <c r="AF6323">
        <v>34.050380266901499</v>
      </c>
      <c r="AG6323">
        <v>-1.1029656445589999</v>
      </c>
      <c r="AH6323">
        <v>73.308179612339401</v>
      </c>
      <c r="AI6323">
        <v>90.7817792374086</v>
      </c>
      <c r="AJ6323">
        <v>65.085947518927597</v>
      </c>
      <c r="AK6323">
        <v>80.837702389471005</v>
      </c>
      <c r="AL6323">
        <v>78.288010567562395</v>
      </c>
      <c r="AM6323">
        <v>78.839495337292504</v>
      </c>
      <c r="AN6323">
        <v>1.0000000085990699</v>
      </c>
    </row>
    <row r="6324" spans="1:40" x14ac:dyDescent="0.25">
      <c r="A6324" t="str">
        <f>"20190303170700647"</f>
        <v>20190303170700647</v>
      </c>
      <c r="B6324" t="str">
        <f>"1551604020641127"</f>
        <v>1551604020641127</v>
      </c>
      <c r="C6324" t="s">
        <v>40</v>
      </c>
      <c r="D6324">
        <v>5.3317459999999999</v>
      </c>
      <c r="E6324">
        <v>0.5976243</v>
      </c>
      <c r="F6324" t="s">
        <v>41</v>
      </c>
      <c r="G6324">
        <v>-99.85154</v>
      </c>
      <c r="H6324" s="1">
        <v>-1.340752E-7</v>
      </c>
      <c r="I6324">
        <v>139.2499</v>
      </c>
      <c r="J6324">
        <v>-174.72040000000001</v>
      </c>
      <c r="K6324">
        <v>1.1029709999999999</v>
      </c>
      <c r="L6324">
        <v>135.18129999999999</v>
      </c>
      <c r="M6324">
        <v>0.88304450000000001</v>
      </c>
      <c r="N6324">
        <v>-1.7243000000000001E-2</v>
      </c>
      <c r="O6324">
        <v>0.46897230000000001</v>
      </c>
      <c r="P6324">
        <v>0.93629810000000002</v>
      </c>
      <c r="Q6324">
        <v>0.19405720000000001</v>
      </c>
      <c r="R6324">
        <v>0.2927245</v>
      </c>
      <c r="S6324">
        <v>3.168488</v>
      </c>
      <c r="T6324">
        <v>-4.6563859999999999E-2</v>
      </c>
      <c r="U6324">
        <v>0.17567439999999901</v>
      </c>
      <c r="V6324">
        <v>0.18954119999999999</v>
      </c>
      <c r="W6324">
        <v>0.2026789</v>
      </c>
      <c r="X6324">
        <v>0.96072650000000004</v>
      </c>
      <c r="Y6324">
        <v>0.4193366</v>
      </c>
      <c r="Z6324">
        <v>-4.9901529999999998E-3</v>
      </c>
      <c r="AA6324">
        <v>0.90781710000000004</v>
      </c>
      <c r="AB6324">
        <v>34</v>
      </c>
      <c r="AC6324">
        <v>74.868859999999998</v>
      </c>
      <c r="AD6324">
        <v>-1.1029711340752</v>
      </c>
      <c r="AE6324">
        <v>4.0686</v>
      </c>
      <c r="AF6324">
        <v>31.516534389861199</v>
      </c>
      <c r="AG6324">
        <v>-1.1029711340752</v>
      </c>
      <c r="AH6324">
        <v>68.015994167538096</v>
      </c>
      <c r="AI6324">
        <v>90.842961741066603</v>
      </c>
      <c r="AJ6324">
        <v>65.138434244634198</v>
      </c>
      <c r="AK6324">
        <v>74.971220797506604</v>
      </c>
      <c r="AL6324">
        <v>78.306342364519793</v>
      </c>
      <c r="AM6324">
        <v>78.839475107415595</v>
      </c>
      <c r="AN6324">
        <v>1.00000000540245</v>
      </c>
    </row>
    <row r="6325" spans="1:40" x14ac:dyDescent="0.25">
      <c r="A6325" t="str">
        <f>"20190303170700660"</f>
        <v>20190303170700660</v>
      </c>
      <c r="B6325" t="str">
        <f>"1551604020650886"</f>
        <v>1551604020650886</v>
      </c>
      <c r="C6325" t="s">
        <v>40</v>
      </c>
      <c r="D6325">
        <v>5.2889140000000001</v>
      </c>
      <c r="E6325">
        <v>0.59689440000000005</v>
      </c>
      <c r="F6325" t="s">
        <v>41</v>
      </c>
      <c r="G6325">
        <v>-114.22239999999999</v>
      </c>
      <c r="H6325" s="1">
        <v>-2.6118379999999999E-6</v>
      </c>
      <c r="I6325">
        <v>138.76519999999999</v>
      </c>
      <c r="J6325">
        <v>-174.53799999999899</v>
      </c>
      <c r="K6325">
        <v>1.10297</v>
      </c>
      <c r="L6325">
        <v>135.27070000000001</v>
      </c>
      <c r="M6325">
        <v>0.888243</v>
      </c>
      <c r="N6325">
        <v>-1.7245110000000001E-2</v>
      </c>
      <c r="O6325">
        <v>0.45905010000000002</v>
      </c>
      <c r="P6325">
        <v>0.93976130000000002</v>
      </c>
      <c r="Q6325">
        <v>0.19353609999999999</v>
      </c>
      <c r="R6325">
        <v>0.28176699999999999</v>
      </c>
      <c r="S6325">
        <v>3.157578</v>
      </c>
      <c r="T6325">
        <v>-5.7567599999999997E-2</v>
      </c>
      <c r="U6325">
        <v>0.18705749999999999</v>
      </c>
      <c r="V6325">
        <v>0.1900269</v>
      </c>
      <c r="W6325">
        <v>0.20214099999999999</v>
      </c>
      <c r="X6325">
        <v>0.96074389999999998</v>
      </c>
      <c r="Y6325">
        <v>0.4056555</v>
      </c>
      <c r="Z6325">
        <v>-7.1111869999999997E-3</v>
      </c>
      <c r="AA6325">
        <v>0.91399839999999999</v>
      </c>
      <c r="AB6325">
        <v>34</v>
      </c>
      <c r="AC6325">
        <v>60.315599999999897</v>
      </c>
      <c r="AD6325">
        <v>-1.1029726118379899</v>
      </c>
      <c r="AE6325">
        <v>3.49449999999998</v>
      </c>
      <c r="AF6325">
        <v>24.579381308557199</v>
      </c>
      <c r="AG6325">
        <v>-1.1029726118379899</v>
      </c>
      <c r="AH6325">
        <v>55.168879513388603</v>
      </c>
      <c r="AI6325">
        <v>91.046228340856899</v>
      </c>
      <c r="AJ6325">
        <v>65.985601930084002</v>
      </c>
      <c r="AK6325">
        <v>60.406686723050001</v>
      </c>
      <c r="AL6325">
        <v>78.337813402736799</v>
      </c>
      <c r="AM6325">
        <v>78.811794357880999</v>
      </c>
      <c r="AN6325">
        <v>1.0000000239958999</v>
      </c>
    </row>
    <row r="6326" spans="1:40" x14ac:dyDescent="0.25">
      <c r="A6326" t="str">
        <f>"20190303170700677"</f>
        <v>20190303170700677</v>
      </c>
      <c r="B6326" t="str">
        <f>"1551604020671383"</f>
        <v>1551604020671383</v>
      </c>
      <c r="C6326" t="s">
        <v>40</v>
      </c>
      <c r="D6326">
        <v>5.3393449999999998</v>
      </c>
      <c r="E6326">
        <v>0.59575859999999903</v>
      </c>
      <c r="F6326" t="s">
        <v>41</v>
      </c>
      <c r="G6326">
        <v>-117.8985</v>
      </c>
      <c r="H6326" s="1">
        <v>-1.1613129999999999E-6</v>
      </c>
      <c r="I6326">
        <v>138.0521</v>
      </c>
      <c r="J6326">
        <v>-174.30170000000001</v>
      </c>
      <c r="K6326">
        <v>1.102975</v>
      </c>
      <c r="L6326">
        <v>135.38220000000001</v>
      </c>
      <c r="M6326">
        <v>0.89477669999999998</v>
      </c>
      <c r="N6326">
        <v>-1.7247160000000001E-2</v>
      </c>
      <c r="O6326">
        <v>0.44618079999999999</v>
      </c>
      <c r="P6326">
        <v>0.94390669999999999</v>
      </c>
      <c r="Q6326">
        <v>0.19340589999999999</v>
      </c>
      <c r="R6326">
        <v>0.267646299999999</v>
      </c>
      <c r="S6326">
        <v>3.1584469999999998</v>
      </c>
      <c r="T6326">
        <v>-6.1506030000000003E-2</v>
      </c>
      <c r="U6326">
        <v>0.15510560000000001</v>
      </c>
      <c r="V6326">
        <v>0.19056619999999999</v>
      </c>
      <c r="W6326">
        <v>0.20199149999999999</v>
      </c>
      <c r="X6326">
        <v>0.96066850000000004</v>
      </c>
      <c r="Y6326">
        <v>0.40167910000000001</v>
      </c>
      <c r="Z6326">
        <v>-7.8679240000000001E-3</v>
      </c>
      <c r="AA6326">
        <v>0.91574670000000002</v>
      </c>
      <c r="AB6326">
        <v>34</v>
      </c>
      <c r="AC6326">
        <v>56.403199999999998</v>
      </c>
      <c r="AD6326">
        <v>-1.102976161313</v>
      </c>
      <c r="AE6326">
        <v>2.6698999999999802</v>
      </c>
      <c r="AF6326">
        <v>22.7717591415878</v>
      </c>
      <c r="AG6326">
        <v>-1.102976161313</v>
      </c>
      <c r="AH6326">
        <v>51.647503336075701</v>
      </c>
      <c r="AI6326">
        <v>91.119462123481199</v>
      </c>
      <c r="AJ6326">
        <v>66.206969368565396</v>
      </c>
      <c r="AK6326">
        <v>56.455594688789397</v>
      </c>
      <c r="AL6326">
        <v>78.346559310968402</v>
      </c>
      <c r="AM6326">
        <v>78.779988133309104</v>
      </c>
      <c r="AN6326">
        <v>1.0000000047734601</v>
      </c>
    </row>
    <row r="6327" spans="1:40" x14ac:dyDescent="0.25">
      <c r="A6327" t="str">
        <f>"20190303170700690"</f>
        <v>20190303170700690</v>
      </c>
      <c r="B6327" t="str">
        <f>"1551604020681142"</f>
        <v>1551604020681142</v>
      </c>
      <c r="C6327" t="s">
        <v>40</v>
      </c>
      <c r="D6327">
        <v>5.3373920000000004</v>
      </c>
      <c r="E6327">
        <v>0.58812399999999998</v>
      </c>
      <c r="F6327" t="s">
        <v>41</v>
      </c>
      <c r="G6327">
        <v>-121.55710000000001</v>
      </c>
      <c r="H6327" s="1">
        <v>-4.007418E-6</v>
      </c>
      <c r="I6327">
        <v>137.34370000000001</v>
      </c>
      <c r="J6327">
        <v>-174.11879999999999</v>
      </c>
      <c r="K6327">
        <v>1.102978</v>
      </c>
      <c r="L6327">
        <v>135.4657</v>
      </c>
      <c r="M6327">
        <v>0.89968289999999995</v>
      </c>
      <c r="N6327">
        <v>-1.7248349999999999E-2</v>
      </c>
      <c r="O6327">
        <v>0.43620320000000001</v>
      </c>
      <c r="P6327">
        <v>0.94714770000000004</v>
      </c>
      <c r="Q6327">
        <v>0.19297909999999999</v>
      </c>
      <c r="R6327">
        <v>0.25626270000000001</v>
      </c>
      <c r="S6327">
        <v>3.1585079999999999</v>
      </c>
      <c r="T6327">
        <v>-6.6049699999999906E-2</v>
      </c>
      <c r="U6327">
        <v>0.1174622</v>
      </c>
      <c r="V6327">
        <v>0.19146730000000001</v>
      </c>
      <c r="W6327">
        <v>0.20152870000000001</v>
      </c>
      <c r="X6327">
        <v>0.96058650000000001</v>
      </c>
      <c r="Y6327">
        <v>0.4023718</v>
      </c>
      <c r="Z6327">
        <v>-8.8011549999999997E-3</v>
      </c>
      <c r="AA6327">
        <v>0.91543399999999997</v>
      </c>
      <c r="AB6327">
        <v>34</v>
      </c>
      <c r="AC6327">
        <v>52.561699999999902</v>
      </c>
      <c r="AD6327">
        <v>-1.1029820074179999</v>
      </c>
      <c r="AE6327">
        <v>1.8780000000000101</v>
      </c>
      <c r="AF6327">
        <v>21.2317990468277</v>
      </c>
      <c r="AG6327">
        <v>-1.1029820074179999</v>
      </c>
      <c r="AH6327">
        <v>48.094057488083301</v>
      </c>
      <c r="AI6327">
        <v>91.201909786637799</v>
      </c>
      <c r="AJ6327">
        <v>66.180263753781503</v>
      </c>
      <c r="AK6327">
        <v>52.5836878294079</v>
      </c>
      <c r="AL6327">
        <v>78.373632314404503</v>
      </c>
      <c r="AM6327">
        <v>78.727351536990199</v>
      </c>
      <c r="AN6327">
        <v>0.99999998393761402</v>
      </c>
    </row>
    <row r="6328" spans="1:40" x14ac:dyDescent="0.25">
      <c r="A6328" t="str">
        <f>"20190303170700703"</f>
        <v>20190303170700703</v>
      </c>
      <c r="B6328" t="str">
        <f>"1551604020690903"</f>
        <v>1551604020690903</v>
      </c>
      <c r="C6328" t="s">
        <v>40</v>
      </c>
      <c r="D6328">
        <v>5.3418570000000001</v>
      </c>
      <c r="E6328">
        <v>0.58684780000000003</v>
      </c>
      <c r="F6328" t="s">
        <v>41</v>
      </c>
      <c r="G6328">
        <v>-131.4263</v>
      </c>
      <c r="H6328" s="1">
        <v>-4.0600500000000002E-6</v>
      </c>
      <c r="I6328">
        <v>137.36320000000001</v>
      </c>
      <c r="J6328">
        <v>-173.94149999999999</v>
      </c>
      <c r="K6328">
        <v>1.1029880000000001</v>
      </c>
      <c r="L6328">
        <v>135.54509999999999</v>
      </c>
      <c r="M6328">
        <v>0.90431810000000001</v>
      </c>
      <c r="N6328">
        <v>-1.724933E-2</v>
      </c>
      <c r="O6328">
        <v>0.42651060000000002</v>
      </c>
      <c r="P6328">
        <v>0.94993090000000002</v>
      </c>
      <c r="Q6328">
        <v>0.19286610000000001</v>
      </c>
      <c r="R6328">
        <v>0.2458331</v>
      </c>
      <c r="S6328">
        <v>3.1461329999999998</v>
      </c>
      <c r="T6328">
        <v>-8.1281899999999893E-2</v>
      </c>
      <c r="U6328">
        <v>0.1398315</v>
      </c>
      <c r="V6328">
        <v>0.19170870000000001</v>
      </c>
      <c r="W6328">
        <v>0.20141010000000001</v>
      </c>
      <c r="X6328">
        <v>0.96056319999999995</v>
      </c>
      <c r="Y6328">
        <v>0.3857757</v>
      </c>
      <c r="Z6328">
        <v>-1.146431E-2</v>
      </c>
      <c r="AA6328">
        <v>0.92252140000000005</v>
      </c>
      <c r="AB6328">
        <v>34</v>
      </c>
      <c r="AC6328">
        <v>42.515199999999901</v>
      </c>
      <c r="AD6328">
        <v>-1.1029920600499901</v>
      </c>
      <c r="AE6328">
        <v>1.81810000000001</v>
      </c>
      <c r="AF6328">
        <v>16.480423737366799</v>
      </c>
      <c r="AG6328">
        <v>-1.1029920600499901</v>
      </c>
      <c r="AH6328">
        <v>39.202201710752902</v>
      </c>
      <c r="AI6328">
        <v>91.485758998866501</v>
      </c>
      <c r="AJ6328">
        <v>67.198341196833297</v>
      </c>
      <c r="AK6328">
        <v>42.539788163768002</v>
      </c>
      <c r="AL6328">
        <v>78.380569539348997</v>
      </c>
      <c r="AM6328">
        <v>78.713236953808305</v>
      </c>
      <c r="AN6328">
        <v>0.99999995761596805</v>
      </c>
    </row>
    <row r="6329" spans="1:40" x14ac:dyDescent="0.25">
      <c r="A6329" t="str">
        <f>"20190303170700717"</f>
        <v>20190303170700717</v>
      </c>
      <c r="B6329" t="str">
        <f>"1551604020711398"</f>
        <v>1551604020711398</v>
      </c>
      <c r="C6329" t="s">
        <v>40</v>
      </c>
      <c r="D6329">
        <v>5.3432769999999996</v>
      </c>
      <c r="E6329">
        <v>0.58461160000000001</v>
      </c>
      <c r="F6329" t="s">
        <v>41</v>
      </c>
      <c r="G6329">
        <v>-131.8725</v>
      </c>
      <c r="H6329" s="1">
        <v>-3.9169609999999999E-6</v>
      </c>
      <c r="I6329">
        <v>137.0908</v>
      </c>
      <c r="J6329">
        <v>-173.73740000000001</v>
      </c>
      <c r="K6329">
        <v>1.1030059999999999</v>
      </c>
      <c r="L6329">
        <v>135.63220000000001</v>
      </c>
      <c r="M6329">
        <v>0.90949329999999995</v>
      </c>
      <c r="N6329">
        <v>-1.7249279999999999E-2</v>
      </c>
      <c r="O6329">
        <v>0.41536050000000002</v>
      </c>
      <c r="P6329">
        <v>0.95287949999999999</v>
      </c>
      <c r="Q6329">
        <v>0.19261590000000001</v>
      </c>
      <c r="R6329">
        <v>0.23434969999999999</v>
      </c>
      <c r="S6329">
        <v>3.1449739999999999</v>
      </c>
      <c r="T6329">
        <v>-8.2456829999999995E-2</v>
      </c>
      <c r="U6329">
        <v>0.1155548</v>
      </c>
      <c r="V6329">
        <v>0.19149669999999999</v>
      </c>
      <c r="W6329">
        <v>0.20117560000000001</v>
      </c>
      <c r="X6329">
        <v>0.96065469999999997</v>
      </c>
      <c r="Y6329">
        <v>0.38151970000000002</v>
      </c>
      <c r="Z6329">
        <v>-1.155259E-2</v>
      </c>
      <c r="AA6329">
        <v>0.92428849999999996</v>
      </c>
      <c r="AB6329">
        <v>34</v>
      </c>
      <c r="AC6329">
        <v>41.864899999999999</v>
      </c>
      <c r="AD6329">
        <v>-1.1030099169609999</v>
      </c>
      <c r="AE6329">
        <v>1.4585999999999899</v>
      </c>
      <c r="AF6329">
        <v>16.053699128857598</v>
      </c>
      <c r="AG6329">
        <v>-1.1030099169609999</v>
      </c>
      <c r="AH6329">
        <v>38.660643769752497</v>
      </c>
      <c r="AI6329">
        <v>91.509346962601398</v>
      </c>
      <c r="AJ6329">
        <v>67.449499958514707</v>
      </c>
      <c r="AK6329">
        <v>41.875807613567297</v>
      </c>
      <c r="AL6329">
        <v>78.394287020741203</v>
      </c>
      <c r="AM6329">
        <v>78.726444845516397</v>
      </c>
      <c r="AN6329">
        <v>1.0000000303891601</v>
      </c>
    </row>
    <row r="6330" spans="1:40" x14ac:dyDescent="0.25">
      <c r="A6330" t="str">
        <f>"20190303170700740"</f>
        <v>20190303170700740</v>
      </c>
      <c r="B6330" t="str">
        <f>"1551604020730918"</f>
        <v>1551604020730918</v>
      </c>
      <c r="C6330" t="s">
        <v>40</v>
      </c>
      <c r="D6330">
        <v>5.3606540000000003</v>
      </c>
      <c r="E6330">
        <v>0.58256730000000001</v>
      </c>
      <c r="F6330" t="s">
        <v>41</v>
      </c>
      <c r="G6330">
        <v>-133.66909999999999</v>
      </c>
      <c r="H6330" s="1">
        <v>-3.1912270000000002E-6</v>
      </c>
      <c r="I6330">
        <v>136.83709999999999</v>
      </c>
      <c r="J6330">
        <v>-173.41839999999999</v>
      </c>
      <c r="K6330">
        <v>1.103029</v>
      </c>
      <c r="L6330">
        <v>135.7637</v>
      </c>
      <c r="M6330">
        <v>0.91727230000000004</v>
      </c>
      <c r="N6330">
        <v>-1.724767E-2</v>
      </c>
      <c r="O6330">
        <v>0.39788709999999999</v>
      </c>
      <c r="P6330">
        <v>0.95694020000000002</v>
      </c>
      <c r="Q6330">
        <v>0.1914641</v>
      </c>
      <c r="R6330">
        <v>0.21819079999999999</v>
      </c>
      <c r="S6330">
        <v>3.1425930000000002</v>
      </c>
      <c r="T6330">
        <v>-8.6509820000000001E-2</v>
      </c>
      <c r="U6330">
        <v>9.4497680000000001E-2</v>
      </c>
      <c r="V6330">
        <v>0.1894025</v>
      </c>
      <c r="W6330">
        <v>0.200132</v>
      </c>
      <c r="X6330">
        <v>0.96128760000000002</v>
      </c>
      <c r="Y6330">
        <v>0.36995430000000001</v>
      </c>
      <c r="Z6330">
        <v>-1.195965E-2</v>
      </c>
      <c r="AA6330">
        <v>0.92897300000000005</v>
      </c>
      <c r="AB6330">
        <v>34</v>
      </c>
      <c r="AC6330">
        <v>39.749299999999998</v>
      </c>
      <c r="AD6330">
        <v>-1.103032191227</v>
      </c>
      <c r="AE6330">
        <v>1.0733999999999899</v>
      </c>
      <c r="AF6330">
        <v>14.821934101636799</v>
      </c>
      <c r="AG6330">
        <v>-1.103032191227</v>
      </c>
      <c r="AH6330">
        <v>36.865142794833297</v>
      </c>
      <c r="AI6330">
        <v>91.5901773693178</v>
      </c>
      <c r="AJ6330">
        <v>68.097000691199199</v>
      </c>
      <c r="AK6330">
        <v>39.748524045700002</v>
      </c>
      <c r="AL6330">
        <v>78.455321712557406</v>
      </c>
      <c r="AM6330">
        <v>78.853783872839799</v>
      </c>
      <c r="AN6330">
        <v>0.999999987172005</v>
      </c>
    </row>
    <row r="6331" spans="1:40" x14ac:dyDescent="0.25">
      <c r="A6331" t="str">
        <f>"20190303170700761"</f>
        <v>20190303170700761</v>
      </c>
      <c r="B6331" t="str">
        <f>"1551604020750945"</f>
        <v>1551604020750945</v>
      </c>
      <c r="C6331" t="s">
        <v>40</v>
      </c>
      <c r="D6331">
        <v>5.345135</v>
      </c>
      <c r="E6331">
        <v>0.57505919999999999</v>
      </c>
      <c r="F6331" t="s">
        <v>41</v>
      </c>
      <c r="G6331">
        <v>-134.30950000000001</v>
      </c>
      <c r="H6331" s="1">
        <v>-2.9861690000000001E-6</v>
      </c>
      <c r="I6331">
        <v>136.44409999999999</v>
      </c>
      <c r="J6331">
        <v>-173.1053</v>
      </c>
      <c r="K6331">
        <v>1.103059</v>
      </c>
      <c r="L6331">
        <v>135.88560000000001</v>
      </c>
      <c r="M6331">
        <v>0.92452829999999997</v>
      </c>
      <c r="N6331">
        <v>-1.7243640000000001E-2</v>
      </c>
      <c r="O6331">
        <v>0.38072329999999999</v>
      </c>
      <c r="P6331">
        <v>0.96058169999999998</v>
      </c>
      <c r="Q6331">
        <v>0.1913483</v>
      </c>
      <c r="R6331">
        <v>0.2016647</v>
      </c>
      <c r="S6331">
        <v>3.1402130000000001</v>
      </c>
      <c r="T6331">
        <v>-8.8567019999999996E-2</v>
      </c>
      <c r="U6331">
        <v>5.4641719999999998E-2</v>
      </c>
      <c r="V6331">
        <v>0.18804209999999999</v>
      </c>
      <c r="W6331">
        <v>0.20008809999999999</v>
      </c>
      <c r="X6331">
        <v>0.96156379999999997</v>
      </c>
      <c r="Y6331">
        <v>0.36438809999999999</v>
      </c>
      <c r="Z6331">
        <v>-1.2097999999999999E-2</v>
      </c>
      <c r="AA6331">
        <v>0.93116860000000001</v>
      </c>
      <c r="AB6331">
        <v>34</v>
      </c>
      <c r="AC6331">
        <v>38.7957999999999</v>
      </c>
      <c r="AD6331">
        <v>-1.1030619861689901</v>
      </c>
      <c r="AE6331">
        <v>0.55849999999998001</v>
      </c>
      <c r="AF6331">
        <v>14.2447213630332</v>
      </c>
      <c r="AG6331">
        <v>-1.1030619861689901</v>
      </c>
      <c r="AH6331">
        <v>36.056669130425703</v>
      </c>
      <c r="AI6331">
        <v>91.6297709074626</v>
      </c>
      <c r="AJ6331">
        <v>68.442767681145398</v>
      </c>
      <c r="AK6331">
        <v>38.7841748814743</v>
      </c>
      <c r="AL6331">
        <v>78.457889193828095</v>
      </c>
      <c r="AM6331">
        <v>78.934959546381506</v>
      </c>
      <c r="AN6331">
        <v>1.00000001030223</v>
      </c>
    </row>
    <row r="6332" spans="1:40" x14ac:dyDescent="0.25">
      <c r="A6332" t="str">
        <f>"20190303170700784"</f>
        <v>20190303170700784</v>
      </c>
      <c r="B6332" t="str">
        <f>"1551604020771440"</f>
        <v>1551604020771440</v>
      </c>
      <c r="C6332" t="s">
        <v>40</v>
      </c>
      <c r="D6332">
        <v>5.3926879999999997</v>
      </c>
      <c r="E6332">
        <v>0.57319969999999998</v>
      </c>
      <c r="F6332" t="s">
        <v>41</v>
      </c>
      <c r="G6332">
        <v>-139.33629999999999</v>
      </c>
      <c r="H6332" s="1">
        <v>-1.033319E-6</v>
      </c>
      <c r="I6332">
        <v>136.5291</v>
      </c>
      <c r="J6332">
        <v>-172.7878</v>
      </c>
      <c r="K6332">
        <v>1.1031010000000001</v>
      </c>
      <c r="L6332">
        <v>136.00239999999999</v>
      </c>
      <c r="M6332">
        <v>0.93151019999999896</v>
      </c>
      <c r="N6332">
        <v>-1.723618E-2</v>
      </c>
      <c r="O6332">
        <v>0.36330669999999998</v>
      </c>
      <c r="P6332">
        <v>0.96379879999999996</v>
      </c>
      <c r="Q6332">
        <v>0.19259950000000001</v>
      </c>
      <c r="R6332">
        <v>0.1843841</v>
      </c>
      <c r="S6332">
        <v>3.1309659999999999</v>
      </c>
      <c r="T6332">
        <v>-0.1022725</v>
      </c>
      <c r="U6332">
        <v>5.9661869999999999E-2</v>
      </c>
      <c r="V6332">
        <v>0.18720510000000001</v>
      </c>
      <c r="W6332">
        <v>0.20138439999999999</v>
      </c>
      <c r="X6332">
        <v>0.96145650000000005</v>
      </c>
      <c r="Y6332">
        <v>0.34523120000000002</v>
      </c>
      <c r="Z6332">
        <v>-1.3879030000000001E-2</v>
      </c>
      <c r="AA6332">
        <v>0.93841509999999995</v>
      </c>
      <c r="AB6332">
        <v>34</v>
      </c>
      <c r="AC6332">
        <v>33.451500000000003</v>
      </c>
      <c r="AD6332">
        <v>-1.103102033319</v>
      </c>
      <c r="AE6332">
        <v>0.52670000000000505</v>
      </c>
      <c r="AF6332">
        <v>11.6515927418352</v>
      </c>
      <c r="AG6332">
        <v>-1.103102033319</v>
      </c>
      <c r="AH6332">
        <v>31.3223713414725</v>
      </c>
      <c r="AI6332">
        <v>91.8905280883518</v>
      </c>
      <c r="AJ6332">
        <v>69.595328257346594</v>
      </c>
      <c r="AK6332">
        <v>33.437514769650498</v>
      </c>
      <c r="AL6332">
        <v>78.382073504982202</v>
      </c>
      <c r="AM6332">
        <v>78.981804435398701</v>
      </c>
      <c r="AN6332">
        <v>1.00000001371081</v>
      </c>
    </row>
    <row r="6333" spans="1:40" x14ac:dyDescent="0.25">
      <c r="A6333" t="str">
        <f>"20190303170700806"</f>
        <v>20190303170700806</v>
      </c>
      <c r="B6333" t="str">
        <f>"1551604020801697"</f>
        <v>1551604020801697</v>
      </c>
      <c r="C6333" t="s">
        <v>40</v>
      </c>
      <c r="D6333">
        <v>5.368493</v>
      </c>
      <c r="E6333">
        <v>0.56339450000000002</v>
      </c>
      <c r="F6333" t="s">
        <v>41</v>
      </c>
      <c r="G6333">
        <v>-139.24959999999999</v>
      </c>
      <c r="H6333" s="1">
        <v>-1.142497E-6</v>
      </c>
      <c r="I6333">
        <v>136.22970000000001</v>
      </c>
      <c r="J6333">
        <v>-172.4573</v>
      </c>
      <c r="K6333">
        <v>1.103159</v>
      </c>
      <c r="L6333">
        <v>136.1163</v>
      </c>
      <c r="M6333">
        <v>0.93837150000000003</v>
      </c>
      <c r="N6333">
        <v>-1.722272E-2</v>
      </c>
      <c r="O6333">
        <v>0.34519899999999998</v>
      </c>
      <c r="P6333">
        <v>0.96697739999999999</v>
      </c>
      <c r="Q6333">
        <v>0.19319230000000001</v>
      </c>
      <c r="R6333">
        <v>0.16622729999999999</v>
      </c>
      <c r="S6333">
        <v>3.129181</v>
      </c>
      <c r="T6333">
        <v>-0.1029215</v>
      </c>
      <c r="U6333">
        <v>2.1209720000000001E-2</v>
      </c>
      <c r="V6333">
        <v>0.1866225</v>
      </c>
      <c r="W6333">
        <v>0.2020121</v>
      </c>
      <c r="X6333">
        <v>0.96143809999999996</v>
      </c>
      <c r="Y6333">
        <v>0.33856890000000001</v>
      </c>
      <c r="Z6333">
        <v>-1.360978E-2</v>
      </c>
      <c r="AA6333">
        <v>0.94084319999999999</v>
      </c>
      <c r="AB6333">
        <v>34</v>
      </c>
      <c r="AC6333">
        <v>33.207700000000003</v>
      </c>
      <c r="AD6333">
        <v>-1.1031601424969999</v>
      </c>
      <c r="AE6333">
        <v>0.11340000000001201</v>
      </c>
      <c r="AF6333">
        <v>11.3460170098008</v>
      </c>
      <c r="AG6333">
        <v>-1.1031601424969999</v>
      </c>
      <c r="AH6333">
        <v>31.1705340875356</v>
      </c>
      <c r="AI6333">
        <v>91.904753750560403</v>
      </c>
      <c r="AJ6333">
        <v>69.998587225430995</v>
      </c>
      <c r="AK6333">
        <v>33.189625782598199</v>
      </c>
      <c r="AL6333">
        <v>78.345354508875701</v>
      </c>
      <c r="AM6333">
        <v>79.015053649309905</v>
      </c>
      <c r="AN6333">
        <v>1.0000000330921299</v>
      </c>
    </row>
    <row r="6334" spans="1:40" x14ac:dyDescent="0.25">
      <c r="A6334" t="str">
        <f>"20190303170700829"</f>
        <v>20190303170700829</v>
      </c>
      <c r="B6334" t="str">
        <f>"1551604020821217"</f>
        <v>1551604020821217</v>
      </c>
      <c r="C6334" t="s">
        <v>40</v>
      </c>
      <c r="D6334">
        <v>5.3561670000000001</v>
      </c>
      <c r="E6334">
        <v>0.56087730000000002</v>
      </c>
      <c r="F6334" t="s">
        <v>41</v>
      </c>
      <c r="G6334">
        <v>-143.47200000000001</v>
      </c>
      <c r="H6334" s="1">
        <v>-3.3358549999999999E-6</v>
      </c>
      <c r="I6334">
        <v>136.4982</v>
      </c>
      <c r="J6334">
        <v>-172.12860000000001</v>
      </c>
      <c r="K6334">
        <v>1.1032169999999999</v>
      </c>
      <c r="L6334">
        <v>136.2225</v>
      </c>
      <c r="M6334">
        <v>0.94479650000000004</v>
      </c>
      <c r="N6334">
        <v>-1.7202849999999999E-2</v>
      </c>
      <c r="O6334">
        <v>0.32720569999999999</v>
      </c>
      <c r="P6334">
        <v>0.97003950000000005</v>
      </c>
      <c r="Q6334">
        <v>0.19169949999999999</v>
      </c>
      <c r="R6334">
        <v>0.14924760000000001</v>
      </c>
      <c r="S6334">
        <v>3.1190950000000002</v>
      </c>
      <c r="T6334">
        <v>-0.11871080000000001</v>
      </c>
      <c r="U6334">
        <v>4.110718E-2</v>
      </c>
      <c r="V6334">
        <v>0.18510689999999999</v>
      </c>
      <c r="W6334">
        <v>0.2005991</v>
      </c>
      <c r="X6334">
        <v>0.96202670000000001</v>
      </c>
      <c r="Y6334">
        <v>0.31438169999999999</v>
      </c>
      <c r="Z6334">
        <v>-1.524065E-2</v>
      </c>
      <c r="AA6334">
        <v>0.94917430000000003</v>
      </c>
      <c r="AB6334">
        <v>33</v>
      </c>
      <c r="AC6334">
        <v>28.656600000000001</v>
      </c>
      <c r="AD6334">
        <v>-1.1032203358549999</v>
      </c>
      <c r="AE6334">
        <v>0.2757</v>
      </c>
      <c r="AF6334">
        <v>9.1039802806262493</v>
      </c>
      <c r="AG6334">
        <v>-1.1032203358549999</v>
      </c>
      <c r="AH6334">
        <v>27.1286838466091</v>
      </c>
      <c r="AI6334">
        <v>92.207843199925094</v>
      </c>
      <c r="AJ6334">
        <v>71.449018086695403</v>
      </c>
      <c r="AK6334">
        <v>28.636777739626101</v>
      </c>
      <c r="AL6334">
        <v>78.428004669780904</v>
      </c>
      <c r="AM6334">
        <v>79.108628332579102</v>
      </c>
      <c r="AN6334">
        <v>0.999999967430654</v>
      </c>
    </row>
    <row r="6335" spans="1:40" x14ac:dyDescent="0.25">
      <c r="A6335" t="str">
        <f>"20190303170700851"</f>
        <v>20190303170700851</v>
      </c>
      <c r="B6335" t="str">
        <f>"1551604020841243"</f>
        <v>1551604020841243</v>
      </c>
      <c r="C6335" t="s">
        <v>40</v>
      </c>
      <c r="D6335">
        <v>5.3446089999999904</v>
      </c>
      <c r="E6335">
        <v>0.55945529999999999</v>
      </c>
      <c r="F6335" t="s">
        <v>41</v>
      </c>
      <c r="G6335">
        <v>-145.05609999999999</v>
      </c>
      <c r="H6335" s="1">
        <v>-2.6980080000000001E-6</v>
      </c>
      <c r="I6335">
        <v>136.26300000000001</v>
      </c>
      <c r="J6335">
        <v>-171.80930000000001</v>
      </c>
      <c r="K6335">
        <v>1.103283</v>
      </c>
      <c r="L6335">
        <v>136.3192</v>
      </c>
      <c r="M6335">
        <v>0.95065789999999994</v>
      </c>
      <c r="N6335">
        <v>-1.7178659999999998E-2</v>
      </c>
      <c r="O6335">
        <v>0.30976520000000002</v>
      </c>
      <c r="P6335">
        <v>0.97268429999999995</v>
      </c>
      <c r="Q6335">
        <v>0.18964639999999999</v>
      </c>
      <c r="R6335">
        <v>0.13386310000000001</v>
      </c>
      <c r="S6335">
        <v>3.1170499999999999</v>
      </c>
      <c r="T6335">
        <v>-0.12702140000000001</v>
      </c>
      <c r="U6335">
        <v>4.6691889999999998E-3</v>
      </c>
      <c r="V6335">
        <v>0.18263840000000001</v>
      </c>
      <c r="W6335">
        <v>0.19867080000000001</v>
      </c>
      <c r="X6335">
        <v>0.96289829999999998</v>
      </c>
      <c r="Y6335">
        <v>0.3079462</v>
      </c>
      <c r="Z6335">
        <v>-1.5988769999999999E-2</v>
      </c>
      <c r="AA6335">
        <v>0.95126940000000004</v>
      </c>
      <c r="AB6335">
        <v>33</v>
      </c>
      <c r="AC6335">
        <v>26.7532</v>
      </c>
      <c r="AD6335">
        <v>-1.1032856980079999</v>
      </c>
      <c r="AE6335">
        <v>-5.61999999999898E-2</v>
      </c>
      <c r="AF6335">
        <v>8.3277054029799604</v>
      </c>
      <c r="AG6335">
        <v>-1.1032856980079999</v>
      </c>
      <c r="AH6335">
        <v>25.3763257602272</v>
      </c>
      <c r="AI6335">
        <v>92.365511374272003</v>
      </c>
      <c r="AJ6335">
        <v>71.831804313213098</v>
      </c>
      <c r="AK6335">
        <v>26.730615887020299</v>
      </c>
      <c r="AL6335">
        <v>78.5407582528848</v>
      </c>
      <c r="AM6335">
        <v>79.259968116903096</v>
      </c>
      <c r="AN6335">
        <v>1.0000000040350401</v>
      </c>
    </row>
    <row r="6336" spans="1:40" x14ac:dyDescent="0.25">
      <c r="A6336" t="str">
        <f>"20190303170700873"</f>
        <v>20190303170700873</v>
      </c>
      <c r="B6336" t="str">
        <f>"1551604020861739"</f>
        <v>1551604020861739</v>
      </c>
      <c r="C6336" t="s">
        <v>40</v>
      </c>
      <c r="D6336">
        <v>5.3333339999999998</v>
      </c>
      <c r="E6336">
        <v>0.54997790000000002</v>
      </c>
      <c r="F6336" t="s">
        <v>41</v>
      </c>
      <c r="G6336">
        <v>-146.3262</v>
      </c>
      <c r="H6336" s="1">
        <v>-2.1942239999999999E-6</v>
      </c>
      <c r="I6336">
        <v>136.03139999999999</v>
      </c>
      <c r="J6336">
        <v>-171.48390000000001</v>
      </c>
      <c r="K6336">
        <v>1.1033550000000001</v>
      </c>
      <c r="L6336">
        <v>136.41120000000001</v>
      </c>
      <c r="M6336">
        <v>0.95624489999999995</v>
      </c>
      <c r="N6336">
        <v>-1.7147829999999999E-2</v>
      </c>
      <c r="O6336">
        <v>0.2920643</v>
      </c>
      <c r="P6336">
        <v>0.97513110000000003</v>
      </c>
      <c r="Q6336">
        <v>0.18796060000000001</v>
      </c>
      <c r="R6336">
        <v>0.1174318</v>
      </c>
      <c r="S6336">
        <v>3.115402</v>
      </c>
      <c r="T6336">
        <v>-0.13488049999999999</v>
      </c>
      <c r="U6336">
        <v>-3.5186769999999999E-2</v>
      </c>
      <c r="V6336">
        <v>0.18098520000000001</v>
      </c>
      <c r="W6336">
        <v>0.19707230000000001</v>
      </c>
      <c r="X6336">
        <v>0.96353869999999997</v>
      </c>
      <c r="Y6336">
        <v>0.30240280000000003</v>
      </c>
      <c r="Z6336">
        <v>-1.6579690000000001E-2</v>
      </c>
      <c r="AA6336">
        <v>0.95303599999999999</v>
      </c>
      <c r="AB6336">
        <v>33</v>
      </c>
      <c r="AC6336">
        <v>25.157699999999998</v>
      </c>
      <c r="AD6336">
        <v>-1.1033571942239999</v>
      </c>
      <c r="AE6336">
        <v>-0.37980000000001701</v>
      </c>
      <c r="AF6336">
        <v>7.6971800309354101</v>
      </c>
      <c r="AG6336">
        <v>-1.1033571942239999</v>
      </c>
      <c r="AH6336">
        <v>23.903550951694399</v>
      </c>
      <c r="AI6336">
        <v>92.515784780314206</v>
      </c>
      <c r="AJ6336">
        <v>72.150927555799001</v>
      </c>
      <c r="AK6336">
        <v>25.1365018573971</v>
      </c>
      <c r="AL6336">
        <v>78.634192688178302</v>
      </c>
      <c r="AM6336">
        <v>79.3618663432988</v>
      </c>
      <c r="AN6336">
        <v>0.99999998022200898</v>
      </c>
    </row>
    <row r="6337" spans="1:40" x14ac:dyDescent="0.25">
      <c r="A6337" t="str">
        <f>"20190303170700895"</f>
        <v>20190303170700895</v>
      </c>
      <c r="B6337" t="str">
        <f>"1551604020891018"</f>
        <v>1551604020891018</v>
      </c>
      <c r="C6337" t="s">
        <v>40</v>
      </c>
      <c r="D6337">
        <v>5.301418</v>
      </c>
      <c r="E6337">
        <v>0.54678839999999995</v>
      </c>
      <c r="F6337" t="s">
        <v>41</v>
      </c>
      <c r="G6337">
        <v>-146.9529</v>
      </c>
      <c r="H6337" s="1">
        <v>-1.9028349999999999E-6</v>
      </c>
      <c r="I6337">
        <v>136.30950000000001</v>
      </c>
      <c r="J6337">
        <v>-171.14920000000001</v>
      </c>
      <c r="K6337">
        <v>1.1034660000000001</v>
      </c>
      <c r="L6337">
        <v>136.4991</v>
      </c>
      <c r="M6337">
        <v>0.96158730000000003</v>
      </c>
      <c r="N6337">
        <v>-1.7106819999999998E-2</v>
      </c>
      <c r="O6337">
        <v>0.2739663</v>
      </c>
      <c r="P6337">
        <v>0.97713139999999998</v>
      </c>
      <c r="Q6337">
        <v>0.18713189999999999</v>
      </c>
      <c r="R6337">
        <v>0.1009755</v>
      </c>
      <c r="S6337">
        <v>3.1049959999999999</v>
      </c>
      <c r="T6337">
        <v>-0.13965610000000001</v>
      </c>
      <c r="U6337">
        <v>-1.286316E-2</v>
      </c>
      <c r="V6337">
        <v>0.17899039999999999</v>
      </c>
      <c r="W6337">
        <v>0.1963453</v>
      </c>
      <c r="X6337">
        <v>0.96405960000000002</v>
      </c>
      <c r="Y6337">
        <v>0.27750190000000002</v>
      </c>
      <c r="Z6337">
        <v>-1.6080069999999998E-2</v>
      </c>
      <c r="AA6337">
        <v>0.96059050000000001</v>
      </c>
      <c r="AB6337">
        <v>33</v>
      </c>
      <c r="AC6337">
        <v>24.196300000000001</v>
      </c>
      <c r="AD6337">
        <v>-1.1034679028350001</v>
      </c>
      <c r="AE6337">
        <v>-0.189599999999984</v>
      </c>
      <c r="AF6337">
        <v>6.7981456177730202</v>
      </c>
      <c r="AG6337">
        <v>-1.1034679028350001</v>
      </c>
      <c r="AH6337">
        <v>23.170118494680199</v>
      </c>
      <c r="AI6337">
        <v>92.616497070299104</v>
      </c>
      <c r="AJ6337">
        <v>73.648236626413606</v>
      </c>
      <c r="AK6337">
        <v>24.172025490441602</v>
      </c>
      <c r="AL6337">
        <v>78.6766767320985</v>
      </c>
      <c r="AM6337">
        <v>79.482044566375706</v>
      </c>
      <c r="AN6337">
        <v>0.99999997623820402</v>
      </c>
    </row>
    <row r="6338" spans="1:40" x14ac:dyDescent="0.25">
      <c r="A6338" t="str">
        <f>"20190303170700918"</f>
        <v>20190303170700918</v>
      </c>
      <c r="B6338" t="str">
        <f>"1551604020911515"</f>
        <v>1551604020911515</v>
      </c>
      <c r="C6338" t="s">
        <v>40</v>
      </c>
      <c r="D6338">
        <v>5.3111139999999999</v>
      </c>
      <c r="E6338">
        <v>0.54514750000000001</v>
      </c>
      <c r="F6338" t="s">
        <v>41</v>
      </c>
      <c r="G6338">
        <v>-148.33580000000001</v>
      </c>
      <c r="H6338" s="1">
        <v>-1.458181E-6</v>
      </c>
      <c r="I6338">
        <v>136.21190000000001</v>
      </c>
      <c r="J6338">
        <v>-170.815</v>
      </c>
      <c r="K6338">
        <v>1.103613</v>
      </c>
      <c r="L6338">
        <v>136.58029999999999</v>
      </c>
      <c r="M6338">
        <v>0.96651149999999997</v>
      </c>
      <c r="N6338">
        <v>-1.7054429999999999E-2</v>
      </c>
      <c r="O6338">
        <v>0.2560558</v>
      </c>
      <c r="P6338">
        <v>0.97890370000000004</v>
      </c>
      <c r="Q6338">
        <v>0.18593219999999999</v>
      </c>
      <c r="R6338">
        <v>8.4716050000000001E-2</v>
      </c>
      <c r="S6338">
        <v>3.1029819999999999</v>
      </c>
      <c r="T6338">
        <v>-0.1500889</v>
      </c>
      <c r="U6338">
        <v>-3.90625E-2</v>
      </c>
      <c r="V6338">
        <v>0.17703969999999999</v>
      </c>
      <c r="W6338">
        <v>0.19524639999999999</v>
      </c>
      <c r="X6338">
        <v>0.96464280000000002</v>
      </c>
      <c r="Y6338">
        <v>0.2676984</v>
      </c>
      <c r="Z6338">
        <v>-1.663179E-2</v>
      </c>
      <c r="AA6338">
        <v>0.96335919999999997</v>
      </c>
      <c r="AB6338">
        <v>33</v>
      </c>
      <c r="AC6338">
        <v>22.479199999999899</v>
      </c>
      <c r="AD6338">
        <v>-1.1036144581809999</v>
      </c>
      <c r="AE6338">
        <v>-0.36839999999997902</v>
      </c>
      <c r="AF6338">
        <v>6.0981871249079802</v>
      </c>
      <c r="AG6338">
        <v>-1.1036144581809999</v>
      </c>
      <c r="AH6338">
        <v>21.5832136554953</v>
      </c>
      <c r="AI6338">
        <v>92.817058999218105</v>
      </c>
      <c r="AJ6338">
        <v>74.222729516950096</v>
      </c>
      <c r="AK6338">
        <v>22.455310347030601</v>
      </c>
      <c r="AL6338">
        <v>78.740881728619101</v>
      </c>
      <c r="AM6338">
        <v>79.600309369991606</v>
      </c>
      <c r="AN6338">
        <v>0.99999997184044398</v>
      </c>
    </row>
    <row r="6339" spans="1:40" x14ac:dyDescent="0.25">
      <c r="A6339" t="str">
        <f>"20190303170700940"</f>
        <v>20190303170700940</v>
      </c>
      <c r="B6339" t="str">
        <f>"1551604020931034"</f>
        <v>1551604020931034</v>
      </c>
      <c r="C6339" t="s">
        <v>40</v>
      </c>
      <c r="D6339">
        <v>5.2637879999999999</v>
      </c>
      <c r="E6339">
        <v>0.53828750000000003</v>
      </c>
      <c r="F6339" t="s">
        <v>41</v>
      </c>
      <c r="G6339">
        <v>-148.37180000000001</v>
      </c>
      <c r="H6339" s="1">
        <v>-1.4984699999999999E-6</v>
      </c>
      <c r="I6339">
        <v>136.0145</v>
      </c>
      <c r="J6339">
        <v>-170.48939999999999</v>
      </c>
      <c r="K6339">
        <v>1.1037870000000001</v>
      </c>
      <c r="L6339">
        <v>136.65309999999999</v>
      </c>
      <c r="M6339">
        <v>0.97091749999999999</v>
      </c>
      <c r="N6339">
        <v>-1.699113E-2</v>
      </c>
      <c r="O6339">
        <v>0.23881050000000001</v>
      </c>
      <c r="P6339">
        <v>0.98040590000000005</v>
      </c>
      <c r="Q6339">
        <v>0.18454509999999999</v>
      </c>
      <c r="R6339">
        <v>6.890085E-2</v>
      </c>
      <c r="S6339">
        <v>3.1003720000000001</v>
      </c>
      <c r="T6339">
        <v>-0.15245649999999999</v>
      </c>
      <c r="U6339">
        <v>-7.8155520000000006E-2</v>
      </c>
      <c r="V6339">
        <v>0.17535490000000001</v>
      </c>
      <c r="W6339">
        <v>0.19394990000000001</v>
      </c>
      <c r="X6339">
        <v>0.96521190000000001</v>
      </c>
      <c r="Y6339">
        <v>0.26269480000000001</v>
      </c>
      <c r="Z6339">
        <v>-1.62624E-2</v>
      </c>
      <c r="AA6339">
        <v>0.96474190000000004</v>
      </c>
      <c r="AB6339">
        <v>33</v>
      </c>
      <c r="AC6339">
        <v>22.1175999999999</v>
      </c>
      <c r="AD6339">
        <v>-1.1037884984699999</v>
      </c>
      <c r="AE6339">
        <v>-0.63859999999999595</v>
      </c>
      <c r="AF6339">
        <v>5.8881428028592397</v>
      </c>
      <c r="AG6339">
        <v>-1.1037884984699999</v>
      </c>
      <c r="AH6339">
        <v>21.272004639299499</v>
      </c>
      <c r="AI6339">
        <v>92.862907333692206</v>
      </c>
      <c r="AJ6339">
        <v>74.527781680338407</v>
      </c>
      <c r="AK6339">
        <v>22.099474113439801</v>
      </c>
      <c r="AL6339">
        <v>78.816613321323004</v>
      </c>
      <c r="AM6339">
        <v>79.703093313470902</v>
      </c>
      <c r="AN6339">
        <v>0.99999995828281396</v>
      </c>
    </row>
    <row r="6340" spans="1:40" x14ac:dyDescent="0.25">
      <c r="A6340" t="str">
        <f>"20190303170700963"</f>
        <v>20190303170700963</v>
      </c>
      <c r="B6340" t="str">
        <f>"1551604020951531"</f>
        <v>1551604020951531</v>
      </c>
      <c r="C6340" t="s">
        <v>40</v>
      </c>
      <c r="D6340">
        <v>5.2978759999999996</v>
      </c>
      <c r="E6340">
        <v>0.53699269999999999</v>
      </c>
      <c r="F6340" t="s">
        <v>41</v>
      </c>
      <c r="G6340">
        <v>-153.72620000000001</v>
      </c>
      <c r="H6340" s="1">
        <v>-3.2688240000000002E-6</v>
      </c>
      <c r="I6340">
        <v>136.26140000000001</v>
      </c>
      <c r="J6340">
        <v>-170.1592</v>
      </c>
      <c r="K6340">
        <v>1.104006</v>
      </c>
      <c r="L6340">
        <v>136.721</v>
      </c>
      <c r="M6340">
        <v>0.97499420000000003</v>
      </c>
      <c r="N6340">
        <v>-1.691426E-2</v>
      </c>
      <c r="O6340">
        <v>0.22158620000000001</v>
      </c>
      <c r="P6340">
        <v>0.98155729999999997</v>
      </c>
      <c r="Q6340">
        <v>0.1840784</v>
      </c>
      <c r="R6340">
        <v>5.1583579999999997E-2</v>
      </c>
      <c r="S6340">
        <v>3.1034999999999999</v>
      </c>
      <c r="T6340">
        <v>-0.20435349999999999</v>
      </c>
      <c r="U6340">
        <v>-7.2525019999999996E-2</v>
      </c>
      <c r="V6340">
        <v>0.17519889999999999</v>
      </c>
      <c r="W6340">
        <v>0.19350790000000001</v>
      </c>
      <c r="X6340">
        <v>0.96532899999999999</v>
      </c>
      <c r="Y6340">
        <v>0.2434181</v>
      </c>
      <c r="Z6340">
        <v>-2.079071E-2</v>
      </c>
      <c r="AA6340">
        <v>0.96969859999999997</v>
      </c>
      <c r="AB6340">
        <v>33</v>
      </c>
      <c r="AC6340">
        <v>16.4329999999999</v>
      </c>
      <c r="AD6340">
        <v>-1.104009268824</v>
      </c>
      <c r="AE6340">
        <v>-0.45959999999999401</v>
      </c>
      <c r="AF6340">
        <v>4.0716550206886604</v>
      </c>
      <c r="AG6340">
        <v>-1.104009268824</v>
      </c>
      <c r="AH6340">
        <v>15.851027276009599</v>
      </c>
      <c r="AI6340">
        <v>93.859272657673102</v>
      </c>
      <c r="AJ6340">
        <v>75.593886208262703</v>
      </c>
      <c r="AK6340">
        <v>16.402813075138901</v>
      </c>
      <c r="AL6340">
        <v>78.842427794924106</v>
      </c>
      <c r="AM6340">
        <v>79.7132793196688</v>
      </c>
      <c r="AN6340">
        <v>1.0000000200823</v>
      </c>
    </row>
    <row r="6341" spans="1:40" x14ac:dyDescent="0.25">
      <c r="A6341" t="str">
        <f>"20190303170700986"</f>
        <v>20190303170700986</v>
      </c>
      <c r="B6341" t="str">
        <f>"1551604020971560"</f>
        <v>1551604020971560</v>
      </c>
      <c r="C6341" t="s">
        <v>40</v>
      </c>
      <c r="D6341">
        <v>5.270365</v>
      </c>
      <c r="E6341">
        <v>0.53647299999999998</v>
      </c>
      <c r="F6341" t="s">
        <v>41</v>
      </c>
      <c r="G6341">
        <v>-153.52799999999999</v>
      </c>
      <c r="H6341" s="1">
        <v>-3.381333E-6</v>
      </c>
      <c r="I6341">
        <v>136.10640000000001</v>
      </c>
      <c r="J6341">
        <v>-169.82429999999999</v>
      </c>
      <c r="K6341">
        <v>1.1042799999999999</v>
      </c>
      <c r="L6341">
        <v>136.7834</v>
      </c>
      <c r="M6341">
        <v>0.97872749999999997</v>
      </c>
      <c r="N6341">
        <v>-1.682173E-2</v>
      </c>
      <c r="O6341">
        <v>0.20447380000000001</v>
      </c>
      <c r="P6341">
        <v>0.98241279999999997</v>
      </c>
      <c r="Q6341">
        <v>0.1836074</v>
      </c>
      <c r="R6341">
        <v>3.3969869999999999E-2</v>
      </c>
      <c r="S6341">
        <v>3.1009980000000001</v>
      </c>
      <c r="T6341">
        <v>-0.20584959999999999</v>
      </c>
      <c r="U6341">
        <v>-0.1145935</v>
      </c>
      <c r="V6341">
        <v>0.17547099999999999</v>
      </c>
      <c r="W6341">
        <v>0.19304840000000001</v>
      </c>
      <c r="X6341">
        <v>0.96537150000000005</v>
      </c>
      <c r="Y6341">
        <v>0.23960490000000001</v>
      </c>
      <c r="Z6341">
        <v>-2.000333E-2</v>
      </c>
      <c r="AA6341">
        <v>0.97066439999999998</v>
      </c>
      <c r="AB6341">
        <v>33</v>
      </c>
      <c r="AC6341">
        <v>16.296299999999999</v>
      </c>
      <c r="AD6341">
        <v>-1.104283381333</v>
      </c>
      <c r="AE6341">
        <v>-0.67699999999999205</v>
      </c>
      <c r="AF6341">
        <v>3.9770995889248102</v>
      </c>
      <c r="AG6341">
        <v>-1.104283381333</v>
      </c>
      <c r="AH6341">
        <v>15.7412891921206</v>
      </c>
      <c r="AI6341">
        <v>93.890967334197597</v>
      </c>
      <c r="AJ6341">
        <v>75.820728339962699</v>
      </c>
      <c r="AK6341">
        <v>16.2734430393967</v>
      </c>
      <c r="AL6341">
        <v>78.869260326769094</v>
      </c>
      <c r="AM6341">
        <v>79.698088822428304</v>
      </c>
      <c r="AN6341">
        <v>0.999999944797903</v>
      </c>
    </row>
    <row r="6342" spans="1:40" x14ac:dyDescent="0.25">
      <c r="A6342" t="str">
        <f>"20190303170701007"</f>
        <v>20190303170701007</v>
      </c>
      <c r="B6342" t="str">
        <f>"1551604021000840"</f>
        <v>1551604021000840</v>
      </c>
      <c r="C6342" t="s">
        <v>40</v>
      </c>
      <c r="D6342">
        <v>5.2916980000000002</v>
      </c>
      <c r="E6342">
        <v>0.52828450000000005</v>
      </c>
      <c r="F6342" t="s">
        <v>41</v>
      </c>
      <c r="G6342">
        <v>-153.35380000000001</v>
      </c>
      <c r="H6342" s="1">
        <v>-3.4900769999999998E-6</v>
      </c>
      <c r="I6342">
        <v>135.91480000000001</v>
      </c>
      <c r="J6342">
        <v>-169.48169999999999</v>
      </c>
      <c r="K6342">
        <v>1.1046069999999999</v>
      </c>
      <c r="L6342">
        <v>136.84110000000001</v>
      </c>
      <c r="M6342">
        <v>0.98214599999999996</v>
      </c>
      <c r="N6342">
        <v>-1.671479E-2</v>
      </c>
      <c r="O6342">
        <v>0.1873766</v>
      </c>
      <c r="P6342">
        <v>0.98327390000000003</v>
      </c>
      <c r="Q6342">
        <v>0.18130689999999999</v>
      </c>
      <c r="R6342">
        <v>1.732974E-2</v>
      </c>
      <c r="S6342">
        <v>3.09816</v>
      </c>
      <c r="T6342">
        <v>-0.20771870000000001</v>
      </c>
      <c r="U6342">
        <v>-0.16337589999999999</v>
      </c>
      <c r="V6342">
        <v>0.17481629999999901</v>
      </c>
      <c r="W6342">
        <v>0.1908106</v>
      </c>
      <c r="X6342">
        <v>0.96593510000000005</v>
      </c>
      <c r="Y6342">
        <v>0.23796999999999999</v>
      </c>
      <c r="Z6342">
        <v>-1.931805E-2</v>
      </c>
      <c r="AA6342">
        <v>0.97108039999999995</v>
      </c>
      <c r="AB6342">
        <v>33</v>
      </c>
      <c r="AC6342">
        <v>16.127899999999901</v>
      </c>
      <c r="AD6342">
        <v>-1.104610490077</v>
      </c>
      <c r="AE6342">
        <v>-0.92629999999999701</v>
      </c>
      <c r="AF6342">
        <v>3.9140018826980101</v>
      </c>
      <c r="AG6342">
        <v>-1.104610490077</v>
      </c>
      <c r="AH6342">
        <v>15.595655145734201</v>
      </c>
      <c r="AI6342">
        <v>93.929912376239002</v>
      </c>
      <c r="AJ6342">
        <v>75.911597977632198</v>
      </c>
      <c r="AK6342">
        <v>16.1171968560671</v>
      </c>
      <c r="AL6342">
        <v>78.999906570650197</v>
      </c>
      <c r="AM6342">
        <v>79.741569449980901</v>
      </c>
      <c r="AN6342">
        <v>1.0000000206150299</v>
      </c>
    </row>
    <row r="6343" spans="1:40" x14ac:dyDescent="0.25">
      <c r="A6343" t="str">
        <f>"20190303170701029"</f>
        <v>20190303170701029</v>
      </c>
      <c r="B6343" t="str">
        <f>"1551604021021336"</f>
        <v>1551604021021336</v>
      </c>
      <c r="C6343" t="s">
        <v>40</v>
      </c>
      <c r="D6343">
        <v>5.2689820000000003</v>
      </c>
      <c r="E6343">
        <v>0.52657489999999996</v>
      </c>
      <c r="F6343" t="s">
        <v>41</v>
      </c>
      <c r="G6343">
        <v>-153.0326</v>
      </c>
      <c r="H6343" s="1">
        <v>-3.6063749999999998E-6</v>
      </c>
      <c r="I6343">
        <v>136.0359</v>
      </c>
      <c r="J6343">
        <v>-169.1661</v>
      </c>
      <c r="K6343">
        <v>1.1049279999999999</v>
      </c>
      <c r="L6343">
        <v>136.88910000000001</v>
      </c>
      <c r="M6343">
        <v>0.98496099999999998</v>
      </c>
      <c r="N6343">
        <v>-1.6611250000000001E-2</v>
      </c>
      <c r="O6343">
        <v>0.17197660000000001</v>
      </c>
      <c r="P6343">
        <v>0.98389360000000003</v>
      </c>
      <c r="Q6343">
        <v>0.1787136</v>
      </c>
      <c r="R6343">
        <v>3.8488440000000001E-3</v>
      </c>
      <c r="S6343">
        <v>3.09198</v>
      </c>
      <c r="T6343">
        <v>-0.20763670000000001</v>
      </c>
      <c r="U6343">
        <v>-0.15133669999999999</v>
      </c>
      <c r="V6343">
        <v>0.17276229999999901</v>
      </c>
      <c r="W6343">
        <v>0.18833530000000001</v>
      </c>
      <c r="X6343">
        <v>0.96679009999999999</v>
      </c>
      <c r="Y6343">
        <v>0.21912110000000001</v>
      </c>
      <c r="Z6343">
        <v>-1.7805599999999901E-2</v>
      </c>
      <c r="AA6343">
        <v>0.97553520000000005</v>
      </c>
      <c r="AB6343">
        <v>33</v>
      </c>
      <c r="AC6343">
        <v>16.133499999999898</v>
      </c>
      <c r="AD6343">
        <v>-1.1049316063750001</v>
      </c>
      <c r="AE6343">
        <v>-0.85320000000001495</v>
      </c>
      <c r="AF6343">
        <v>3.5986199090818101</v>
      </c>
      <c r="AG6343">
        <v>-1.1049316063750001</v>
      </c>
      <c r="AH6343">
        <v>15.673001777206901</v>
      </c>
      <c r="AI6343">
        <v>93.930678587979997</v>
      </c>
      <c r="AJ6343">
        <v>77.068661481134399</v>
      </c>
      <c r="AK6343">
        <v>16.118744486253799</v>
      </c>
      <c r="AL6343">
        <v>79.144350394375905</v>
      </c>
      <c r="AM6343">
        <v>79.868367057192899</v>
      </c>
      <c r="AN6343">
        <v>1.00000004749269</v>
      </c>
    </row>
    <row r="6344" spans="1:40" x14ac:dyDescent="0.25">
      <c r="A6344" t="str">
        <f>"20190303170701052"</f>
        <v>20190303170701052</v>
      </c>
      <c r="B6344" t="str">
        <f>"1551604021040857"</f>
        <v>1551604021040857</v>
      </c>
      <c r="C6344" t="s">
        <v>40</v>
      </c>
      <c r="D6344">
        <v>5.2793989999999997</v>
      </c>
      <c r="E6344">
        <v>0.52579799999999999</v>
      </c>
      <c r="F6344" t="s">
        <v>41</v>
      </c>
      <c r="G6344">
        <v>-153.46360000000001</v>
      </c>
      <c r="H6344" s="1">
        <v>-3.4341770000000001E-6</v>
      </c>
      <c r="I6344">
        <v>135.96440000000001</v>
      </c>
      <c r="J6344">
        <v>-168.82679999999999</v>
      </c>
      <c r="K6344">
        <v>1.105294</v>
      </c>
      <c r="L6344">
        <v>136.93530000000001</v>
      </c>
      <c r="M6344">
        <v>0.98764470000000004</v>
      </c>
      <c r="N6344">
        <v>-1.650006E-2</v>
      </c>
      <c r="O6344">
        <v>0.15583929999999999</v>
      </c>
      <c r="P6344">
        <v>0.98387550000000001</v>
      </c>
      <c r="Q6344">
        <v>0.17852309999999999</v>
      </c>
      <c r="R6344">
        <v>-1.0888510000000001E-2</v>
      </c>
      <c r="S6344">
        <v>3.0893099999999998</v>
      </c>
      <c r="T6344">
        <v>-0.2173831</v>
      </c>
      <c r="U6344">
        <v>-0.1819153</v>
      </c>
      <c r="V6344">
        <v>0.17125279999999901</v>
      </c>
      <c r="W6344">
        <v>0.18824160000000001</v>
      </c>
      <c r="X6344">
        <v>0.96707679999999996</v>
      </c>
      <c r="Y6344">
        <v>0.21278440000000001</v>
      </c>
      <c r="Z6344">
        <v>-1.7580390000000001E-2</v>
      </c>
      <c r="AA6344">
        <v>0.97694099999999995</v>
      </c>
      <c r="AB6344">
        <v>33</v>
      </c>
      <c r="AC6344">
        <v>15.3631999999999</v>
      </c>
      <c r="AD6344">
        <v>-1.1052974341769899</v>
      </c>
      <c r="AE6344">
        <v>-0.97089999999999999</v>
      </c>
      <c r="AF6344">
        <v>3.3363505029323499</v>
      </c>
      <c r="AG6344">
        <v>-1.1052974341769899</v>
      </c>
      <c r="AH6344">
        <v>14.9470641712256</v>
      </c>
      <c r="AI6344">
        <v>94.127959923258601</v>
      </c>
      <c r="AJ6344">
        <v>77.417211855047896</v>
      </c>
      <c r="AK6344">
        <v>15.354727103897099</v>
      </c>
      <c r="AL6344">
        <v>79.149816032703797</v>
      </c>
      <c r="AM6344">
        <v>79.957998385044107</v>
      </c>
      <c r="AN6344">
        <v>0.99999997928831896</v>
      </c>
    </row>
    <row r="6345" spans="1:40" x14ac:dyDescent="0.25">
      <c r="A6345" t="str">
        <f>"20190303170701074"</f>
        <v>20190303170701074</v>
      </c>
      <c r="B6345" t="str">
        <f>"1551604021061352"</f>
        <v>1551604021061352</v>
      </c>
      <c r="C6345" t="s">
        <v>40</v>
      </c>
      <c r="D6345">
        <v>5.2987270000000004</v>
      </c>
      <c r="E6345">
        <v>0.51531850000000001</v>
      </c>
      <c r="F6345" t="s">
        <v>41</v>
      </c>
      <c r="G6345">
        <v>-153.1337</v>
      </c>
      <c r="H6345" s="1">
        <v>-3.6041599999999999E-6</v>
      </c>
      <c r="I6345">
        <v>135.8039</v>
      </c>
      <c r="J6345">
        <v>-168.4984</v>
      </c>
      <c r="K6345">
        <v>1.105669</v>
      </c>
      <c r="L6345">
        <v>136.97479999999999</v>
      </c>
      <c r="M6345">
        <v>0.98991810000000002</v>
      </c>
      <c r="N6345">
        <v>-1.6389669999999999E-2</v>
      </c>
      <c r="O6345">
        <v>0.14069010000000001</v>
      </c>
      <c r="P6345">
        <v>0.98334829999999995</v>
      </c>
      <c r="Q6345">
        <v>0.180064</v>
      </c>
      <c r="R6345">
        <v>-2.4567840000000001E-2</v>
      </c>
      <c r="S6345">
        <v>3.0861510000000001</v>
      </c>
      <c r="T6345">
        <v>-0.21736430000000001</v>
      </c>
      <c r="U6345">
        <v>-0.2224884</v>
      </c>
      <c r="V6345">
        <v>0.16972139999999999</v>
      </c>
      <c r="W6345">
        <v>0.18988089999999999</v>
      </c>
      <c r="X6345">
        <v>0.96702630000000001</v>
      </c>
      <c r="Y6345">
        <v>0.2106905</v>
      </c>
      <c r="Z6345">
        <v>-1.6700670000000001E-2</v>
      </c>
      <c r="AA6345">
        <v>0.97741009999999995</v>
      </c>
      <c r="AB6345">
        <v>33</v>
      </c>
      <c r="AC6345">
        <v>15.364699999999999</v>
      </c>
      <c r="AD6345">
        <v>-1.10567260416</v>
      </c>
      <c r="AE6345">
        <v>-1.1708999999999801</v>
      </c>
      <c r="AF6345">
        <v>3.3041901145752299</v>
      </c>
      <c r="AG6345">
        <v>-1.10567260416</v>
      </c>
      <c r="AH6345">
        <v>14.970005700988301</v>
      </c>
      <c r="AI6345">
        <v>94.125215030501906</v>
      </c>
      <c r="AJ6345">
        <v>77.553200767943196</v>
      </c>
      <c r="AK6345">
        <v>15.370141668458</v>
      </c>
      <c r="AL6345">
        <v>79.054166117042797</v>
      </c>
      <c r="AM6345">
        <v>80.045484060791495</v>
      </c>
      <c r="AN6345">
        <v>0.99999998734722995</v>
      </c>
    </row>
    <row r="6346" spans="1:40" x14ac:dyDescent="0.25">
      <c r="A6346" t="str">
        <f>"20190303170701097"</f>
        <v>20190303170701097</v>
      </c>
      <c r="B6346" t="str">
        <f>"1551604021091608"</f>
        <v>1551604021091608</v>
      </c>
      <c r="C6346" t="s">
        <v>40</v>
      </c>
      <c r="D6346">
        <v>5.3500249999999996</v>
      </c>
      <c r="E6346">
        <v>0.51393230000000001</v>
      </c>
      <c r="F6346" t="s">
        <v>41</v>
      </c>
      <c r="G6346">
        <v>-151.91550000000001</v>
      </c>
      <c r="H6346" s="1">
        <v>-4.0898439999999997E-6</v>
      </c>
      <c r="I6346">
        <v>136.0121</v>
      </c>
      <c r="J6346">
        <v>-168.15020000000001</v>
      </c>
      <c r="K6346">
        <v>1.106109</v>
      </c>
      <c r="L6346">
        <v>137.01159999999999</v>
      </c>
      <c r="M6346">
        <v>0.99200239999999995</v>
      </c>
      <c r="N6346">
        <v>-1.6266619999999999E-2</v>
      </c>
      <c r="O6346">
        <v>0.12516679999999999</v>
      </c>
      <c r="P6346">
        <v>0.98296459999999997</v>
      </c>
      <c r="Q6346">
        <v>0.17977270000000001</v>
      </c>
      <c r="R6346">
        <v>-3.8243039999999999E-2</v>
      </c>
      <c r="S6346">
        <v>3.0839690000000002</v>
      </c>
      <c r="T6346">
        <v>-0.20562420000000001</v>
      </c>
      <c r="U6346">
        <v>-0.17903139999999901</v>
      </c>
      <c r="V6346">
        <v>0.16781219999999999</v>
      </c>
      <c r="W6346">
        <v>0.18971470000000001</v>
      </c>
      <c r="X6346">
        <v>0.96739209999999998</v>
      </c>
      <c r="Y6346">
        <v>0.1818129</v>
      </c>
      <c r="Z6346">
        <v>-1.381697E-2</v>
      </c>
      <c r="AA6346">
        <v>0.98323609999999995</v>
      </c>
      <c r="AB6346">
        <v>33</v>
      </c>
      <c r="AC6346">
        <v>16.2347</v>
      </c>
      <c r="AD6346">
        <v>-1.1061130898439999</v>
      </c>
      <c r="AE6346">
        <v>-0.99949999999998296</v>
      </c>
      <c r="AF6346">
        <v>3.0100318269220399</v>
      </c>
      <c r="AG6346">
        <v>-1.1061130898439999</v>
      </c>
      <c r="AH6346">
        <v>15.908302564593001</v>
      </c>
      <c r="AI6346">
        <v>93.908281686887804</v>
      </c>
      <c r="AJ6346">
        <v>79.285649668374305</v>
      </c>
      <c r="AK6346">
        <v>16.228304540316099</v>
      </c>
      <c r="AL6346">
        <v>79.063865536196005</v>
      </c>
      <c r="AM6346">
        <v>80.158909368237104</v>
      </c>
      <c r="AN6346">
        <v>1.00000003850366</v>
      </c>
    </row>
    <row r="6347" spans="1:40" x14ac:dyDescent="0.25">
      <c r="A6347" t="str">
        <f>"20190303170701118"</f>
        <v>20190303170701118</v>
      </c>
      <c r="B6347" t="str">
        <f>"1551604021111131"</f>
        <v>1551604021111131</v>
      </c>
      <c r="C6347" t="s">
        <v>40</v>
      </c>
      <c r="D6347">
        <v>5.3122210000000001</v>
      </c>
      <c r="E6347">
        <v>0.51237259999999996</v>
      </c>
      <c r="F6347" t="s">
        <v>41</v>
      </c>
      <c r="G6347">
        <v>-150.9624</v>
      </c>
      <c r="H6347" s="1">
        <v>-4.5289750000000001E-6</v>
      </c>
      <c r="I6347">
        <v>135.84139999999999</v>
      </c>
      <c r="J6347">
        <v>-167.82679999999999</v>
      </c>
      <c r="K6347">
        <v>1.1065640000000001</v>
      </c>
      <c r="L6347">
        <v>137.04089999999999</v>
      </c>
      <c r="M6347">
        <v>0.99365610000000004</v>
      </c>
      <c r="N6347">
        <v>-1.6147290000000002E-2</v>
      </c>
      <c r="O6347">
        <v>0.1112968</v>
      </c>
      <c r="P6347">
        <v>0.9828192</v>
      </c>
      <c r="Q6347">
        <v>0.1778564</v>
      </c>
      <c r="R6347">
        <v>-4.933336E-2</v>
      </c>
      <c r="S6347">
        <v>3.0800779999999999</v>
      </c>
      <c r="T6347">
        <v>-0.1982169</v>
      </c>
      <c r="U6347">
        <v>-0.20968629999999999</v>
      </c>
      <c r="V6347">
        <v>0.16497400000000001</v>
      </c>
      <c r="W6347">
        <v>0.1879643</v>
      </c>
      <c r="X6347">
        <v>0.96822149999999996</v>
      </c>
      <c r="Y6347">
        <v>0.1779657</v>
      </c>
      <c r="Z6347">
        <v>-1.25019E-2</v>
      </c>
      <c r="AA6347">
        <v>0.98395730000000003</v>
      </c>
      <c r="AB6347">
        <v>33</v>
      </c>
      <c r="AC6347">
        <v>16.8643999999999</v>
      </c>
      <c r="AD6347">
        <v>-1.10656852897499</v>
      </c>
      <c r="AE6347">
        <v>-1.1995</v>
      </c>
      <c r="AF6347">
        <v>3.0561523909478998</v>
      </c>
      <c r="AG6347">
        <v>-1.10656852897499</v>
      </c>
      <c r="AH6347">
        <v>16.555161708713701</v>
      </c>
      <c r="AI6347">
        <v>93.760680425439105</v>
      </c>
      <c r="AJ6347">
        <v>79.540710591855799</v>
      </c>
      <c r="AK6347">
        <v>16.8712163327863</v>
      </c>
      <c r="AL6347">
        <v>79.165992445594696</v>
      </c>
      <c r="AM6347">
        <v>80.330310910311297</v>
      </c>
      <c r="AN6347">
        <v>0.99999993590636704</v>
      </c>
    </row>
    <row r="6348" spans="1:40" x14ac:dyDescent="0.25">
      <c r="A6348" t="str">
        <f>"20190303170701141"</f>
        <v>20190303170701141</v>
      </c>
      <c r="B6348" t="str">
        <f>"1551604021131624"</f>
        <v>1551604021131624</v>
      </c>
      <c r="C6348" t="s">
        <v>40</v>
      </c>
      <c r="D6348">
        <v>5.3162539999999998</v>
      </c>
      <c r="E6348">
        <v>0.51071579999999905</v>
      </c>
      <c r="F6348" t="s">
        <v>41</v>
      </c>
      <c r="G6348">
        <v>-150.90960000000001</v>
      </c>
      <c r="H6348" s="1">
        <v>-4.5659190000000001E-6</v>
      </c>
      <c r="I6348">
        <v>135.761</v>
      </c>
      <c r="J6348">
        <v>-167.49299999999999</v>
      </c>
      <c r="K6348">
        <v>1.1070739999999999</v>
      </c>
      <c r="L6348">
        <v>137.0669</v>
      </c>
      <c r="M6348">
        <v>0.99510069999999995</v>
      </c>
      <c r="N6348">
        <v>-1.6021239999999999E-2</v>
      </c>
      <c r="O6348">
        <v>9.7559999999999994E-2</v>
      </c>
      <c r="P6348">
        <v>0.98273330000000003</v>
      </c>
      <c r="Q6348">
        <v>0.17522370000000001</v>
      </c>
      <c r="R6348">
        <v>-5.943437E-2</v>
      </c>
      <c r="S6348">
        <v>3.0771790000000001</v>
      </c>
      <c r="T6348">
        <v>-0.20128080000000001</v>
      </c>
      <c r="U6348">
        <v>-0.23281859999999999</v>
      </c>
      <c r="V6348">
        <v>0.1612731</v>
      </c>
      <c r="W6348">
        <v>0.18553729999999999</v>
      </c>
      <c r="X6348">
        <v>0.96931259999999997</v>
      </c>
      <c r="Y6348">
        <v>0.17180500000000001</v>
      </c>
      <c r="Z6348">
        <v>-1.178888E-2</v>
      </c>
      <c r="AA6348">
        <v>0.98506050000000001</v>
      </c>
      <c r="AB6348">
        <v>33</v>
      </c>
      <c r="AC6348">
        <v>16.583399999999902</v>
      </c>
      <c r="AD6348">
        <v>-1.1070785659189999</v>
      </c>
      <c r="AE6348">
        <v>-1.3059000000000001</v>
      </c>
      <c r="AF6348">
        <v>2.9048866300954801</v>
      </c>
      <c r="AG6348">
        <v>-1.1070785659189999</v>
      </c>
      <c r="AH6348">
        <v>16.304634557736399</v>
      </c>
      <c r="AI6348">
        <v>93.8243601614721</v>
      </c>
      <c r="AJ6348">
        <v>79.897994323201303</v>
      </c>
      <c r="AK6348">
        <v>16.598346223228301</v>
      </c>
      <c r="AL6348">
        <v>79.307540340102705</v>
      </c>
      <c r="AM6348">
        <v>80.553724428457897</v>
      </c>
      <c r="AN6348">
        <v>1.00000000949682</v>
      </c>
    </row>
    <row r="6349" spans="1:40" x14ac:dyDescent="0.25">
      <c r="A6349" t="str">
        <f>"20190303170701164"</f>
        <v>20190303170701164</v>
      </c>
      <c r="B6349" t="str">
        <f>"1551604021151144"</f>
        <v>1551604021151144</v>
      </c>
      <c r="C6349" t="s">
        <v>40</v>
      </c>
      <c r="D6349">
        <v>5.3496620000000004</v>
      </c>
      <c r="E6349">
        <v>0.50915790000000005</v>
      </c>
      <c r="F6349" t="s">
        <v>41</v>
      </c>
      <c r="G6349">
        <v>-152.54339999999999</v>
      </c>
      <c r="H6349" s="1">
        <v>-3.8498E-6</v>
      </c>
      <c r="I6349">
        <v>135.8467</v>
      </c>
      <c r="J6349">
        <v>-167.1559</v>
      </c>
      <c r="K6349">
        <v>1.107631</v>
      </c>
      <c r="L6349">
        <v>137.08850000000001</v>
      </c>
      <c r="M6349">
        <v>0.9963109</v>
      </c>
      <c r="N6349">
        <v>-1.5892440000000001E-2</v>
      </c>
      <c r="O6349">
        <v>8.4333729999999996E-2</v>
      </c>
      <c r="P6349">
        <v>0.98206660000000001</v>
      </c>
      <c r="Q6349">
        <v>0.17525569999999999</v>
      </c>
      <c r="R6349">
        <v>-6.9504659999999996E-2</v>
      </c>
      <c r="S6349">
        <v>3.0781559999999999</v>
      </c>
      <c r="T6349">
        <v>-0.22795019999999999</v>
      </c>
      <c r="U6349">
        <v>-0.25123600000000001</v>
      </c>
      <c r="V6349">
        <v>0.158082</v>
      </c>
      <c r="W6349">
        <v>0.18575430000000001</v>
      </c>
      <c r="X6349">
        <v>0.96979660000000001</v>
      </c>
      <c r="Y6349">
        <v>0.16443740000000001</v>
      </c>
      <c r="Z6349">
        <v>-1.227078E-2</v>
      </c>
      <c r="AA6349">
        <v>0.98631120000000005</v>
      </c>
      <c r="AB6349">
        <v>33</v>
      </c>
      <c r="AC6349">
        <v>14.612500000000001</v>
      </c>
      <c r="AD6349">
        <v>-1.1076348497999999</v>
      </c>
      <c r="AE6349">
        <v>-1.24180000000001</v>
      </c>
      <c r="AF6349">
        <v>2.4558478070591199</v>
      </c>
      <c r="AG6349">
        <v>-1.1076348497999999</v>
      </c>
      <c r="AH6349">
        <v>14.373696894124199</v>
      </c>
      <c r="AI6349">
        <v>94.343795288604895</v>
      </c>
      <c r="AJ6349">
        <v>80.304234000624803</v>
      </c>
      <c r="AK6349">
        <v>14.623994181347401</v>
      </c>
      <c r="AL6349">
        <v>79.294887230599002</v>
      </c>
      <c r="AM6349">
        <v>80.741908469565601</v>
      </c>
      <c r="AN6349">
        <v>1.00000001203202</v>
      </c>
    </row>
    <row r="6350" spans="1:40" x14ac:dyDescent="0.25">
      <c r="A6350" t="str">
        <f>"20190303170701187"</f>
        <v>20190303170701187</v>
      </c>
      <c r="B6350" t="str">
        <f>"1551604021181400"</f>
        <v>1551604021181400</v>
      </c>
      <c r="C6350" t="s">
        <v>40</v>
      </c>
      <c r="D6350">
        <v>5.5244109999999997</v>
      </c>
      <c r="E6350">
        <v>0.5071251</v>
      </c>
      <c r="F6350" t="s">
        <v>41</v>
      </c>
      <c r="G6350">
        <v>-152.27330000000001</v>
      </c>
      <c r="H6350" s="1">
        <v>-3.9764249999999998E-6</v>
      </c>
      <c r="I6350">
        <v>135.78620000000001</v>
      </c>
      <c r="J6350">
        <v>-166.8271</v>
      </c>
      <c r="K6350">
        <v>1.1081970000000001</v>
      </c>
      <c r="L6350">
        <v>137.10550000000001</v>
      </c>
      <c r="M6350">
        <v>0.99727370000000004</v>
      </c>
      <c r="N6350">
        <v>-1.5766390000000002E-2</v>
      </c>
      <c r="O6350">
        <v>7.2088100000000002E-2</v>
      </c>
      <c r="P6350">
        <v>0.98121440000000004</v>
      </c>
      <c r="Q6350">
        <v>0.1759686</v>
      </c>
      <c r="R6350">
        <v>-7.9079739999999996E-2</v>
      </c>
      <c r="S6350">
        <v>3.0765989999999999</v>
      </c>
      <c r="T6350">
        <v>-0.22897400000000001</v>
      </c>
      <c r="U6350">
        <v>-0.26921079999999997</v>
      </c>
      <c r="V6350">
        <v>0.155382299999999</v>
      </c>
      <c r="W6350">
        <v>0.18663360000000001</v>
      </c>
      <c r="X6350">
        <v>0.97006400000000004</v>
      </c>
      <c r="Y6350">
        <v>0.15811520000000001</v>
      </c>
      <c r="Z6350">
        <v>-1.1330669999999999E-2</v>
      </c>
      <c r="AA6350">
        <v>0.9873556</v>
      </c>
      <c r="AB6350">
        <v>33</v>
      </c>
      <c r="AC6350">
        <v>14.553799999999899</v>
      </c>
      <c r="AD6350">
        <v>-1.10820097642499</v>
      </c>
      <c r="AE6350">
        <v>-1.3192999999999899</v>
      </c>
      <c r="AF6350">
        <v>2.3516290345876398</v>
      </c>
      <c r="AG6350">
        <v>-1.10820097642499</v>
      </c>
      <c r="AH6350">
        <v>14.338350519629699</v>
      </c>
      <c r="AI6350">
        <v>94.361521895502406</v>
      </c>
      <c r="AJ6350">
        <v>80.685858060252201</v>
      </c>
      <c r="AK6350">
        <v>14.5721159803314</v>
      </c>
      <c r="AL6350">
        <v>79.243609827355101</v>
      </c>
      <c r="AM6350">
        <v>80.8998144829919</v>
      </c>
      <c r="AN6350">
        <v>0.99999996194912399</v>
      </c>
    </row>
    <row r="6351" spans="1:40" x14ac:dyDescent="0.25">
      <c r="A6351" t="str">
        <f>"20190303170701208"</f>
        <v>20190303170701208</v>
      </c>
      <c r="B6351" t="str">
        <f>"1551604021200920"</f>
        <v>1551604021200920</v>
      </c>
      <c r="C6351" t="s">
        <v>40</v>
      </c>
      <c r="D6351">
        <v>5.3697299999999997</v>
      </c>
      <c r="E6351">
        <v>0.50553609999999904</v>
      </c>
      <c r="F6351" t="s">
        <v>41</v>
      </c>
      <c r="G6351">
        <v>-151.32499999999999</v>
      </c>
      <c r="H6351" s="1">
        <v>-4.4005840000000003E-6</v>
      </c>
      <c r="I6351">
        <v>135.6884</v>
      </c>
      <c r="J6351">
        <v>-166.49440000000001</v>
      </c>
      <c r="K6351">
        <v>1.1087450000000001</v>
      </c>
      <c r="L6351">
        <v>137.11879999999999</v>
      </c>
      <c r="M6351">
        <v>0.99806099999999998</v>
      </c>
      <c r="N6351">
        <v>-1.5643529999999999E-2</v>
      </c>
      <c r="O6351">
        <v>6.0246800000000003E-2</v>
      </c>
      <c r="P6351">
        <v>0.98055289999999995</v>
      </c>
      <c r="Q6351">
        <v>0.17504510000000001</v>
      </c>
      <c r="R6351">
        <v>-8.8744069999999994E-2</v>
      </c>
      <c r="S6351">
        <v>3.0742029999999998</v>
      </c>
      <c r="T6351">
        <v>-0.21976519999999999</v>
      </c>
      <c r="U6351">
        <v>-0.28102110000000002</v>
      </c>
      <c r="V6351">
        <v>0.15315860000000001</v>
      </c>
      <c r="W6351">
        <v>0.18585779999999999</v>
      </c>
      <c r="X6351">
        <v>0.9705665</v>
      </c>
      <c r="Y6351">
        <v>0.15031369999999999</v>
      </c>
      <c r="Z6351">
        <v>-9.8888410000000006E-3</v>
      </c>
      <c r="AA6351">
        <v>0.98858889999999999</v>
      </c>
      <c r="AB6351">
        <v>33</v>
      </c>
      <c r="AC6351">
        <v>15.1694</v>
      </c>
      <c r="AD6351">
        <v>-1.108749400584</v>
      </c>
      <c r="AE6351">
        <v>-1.4303999999999899</v>
      </c>
      <c r="AF6351">
        <v>2.3294854612773901</v>
      </c>
      <c r="AG6351">
        <v>-1.108749400584</v>
      </c>
      <c r="AH6351">
        <v>14.9763473275951</v>
      </c>
      <c r="AI6351">
        <v>94.183946221572498</v>
      </c>
      <c r="AJ6351">
        <v>81.158815101814298</v>
      </c>
      <c r="AK6351">
        <v>15.1969341323954</v>
      </c>
      <c r="AL6351">
        <v>79.288851944104096</v>
      </c>
      <c r="AM6351">
        <v>81.032484770840398</v>
      </c>
      <c r="AN6351">
        <v>1.00000000474852</v>
      </c>
    </row>
    <row r="6352" spans="1:40" x14ac:dyDescent="0.25">
      <c r="A6352" t="str">
        <f>"20190303170701230"</f>
        <v>20190303170701230</v>
      </c>
      <c r="B6352" t="str">
        <f>"1551604021221417"</f>
        <v>1551604021221417</v>
      </c>
      <c r="C6352" t="s">
        <v>40</v>
      </c>
      <c r="D6352">
        <v>5.3074050000000002</v>
      </c>
      <c r="E6352">
        <v>0.50396450000000004</v>
      </c>
      <c r="F6352" t="s">
        <v>41</v>
      </c>
      <c r="G6352">
        <v>-151.04429999999999</v>
      </c>
      <c r="H6352" s="1">
        <v>-4.5332979999999998E-6</v>
      </c>
      <c r="I6352">
        <v>135.619</v>
      </c>
      <c r="J6352">
        <v>-166.16800000000001</v>
      </c>
      <c r="K6352">
        <v>1.1092869999999999</v>
      </c>
      <c r="L6352">
        <v>137.1284</v>
      </c>
      <c r="M6352">
        <v>0.99866880000000002</v>
      </c>
      <c r="N6352">
        <v>-1.553043E-2</v>
      </c>
      <c r="O6352">
        <v>4.9188089999999997E-2</v>
      </c>
      <c r="P6352">
        <v>0.98021499999999995</v>
      </c>
      <c r="Q6352">
        <v>0.17337459999999999</v>
      </c>
      <c r="R6352">
        <v>-9.5499089999999995E-2</v>
      </c>
      <c r="S6352">
        <v>3.071869</v>
      </c>
      <c r="T6352">
        <v>-0.2204467</v>
      </c>
      <c r="U6352">
        <v>-0.29820249999999998</v>
      </c>
      <c r="V6352">
        <v>0.1488141</v>
      </c>
      <c r="W6352">
        <v>0.18439949999999999</v>
      </c>
      <c r="X6352">
        <v>0.9715201</v>
      </c>
      <c r="Y6352">
        <v>0.1449406</v>
      </c>
      <c r="Z6352">
        <v>-9.0687930000000003E-3</v>
      </c>
      <c r="AA6352">
        <v>0.98939880000000002</v>
      </c>
      <c r="AB6352">
        <v>33</v>
      </c>
      <c r="AC6352">
        <v>15.123699999999999</v>
      </c>
      <c r="AD6352">
        <v>-1.109291533298</v>
      </c>
      <c r="AE6352">
        <v>-1.5093999999999901</v>
      </c>
      <c r="AF6352">
        <v>2.2396378897082698</v>
      </c>
      <c r="AG6352">
        <v>-1.109291533298</v>
      </c>
      <c r="AH6352">
        <v>14.9514909805889</v>
      </c>
      <c r="AI6352">
        <v>94.196504983360498</v>
      </c>
      <c r="AJ6352">
        <v>81.480799499099405</v>
      </c>
      <c r="AK6352">
        <v>15.158944162622101</v>
      </c>
      <c r="AL6352">
        <v>79.373876665854596</v>
      </c>
      <c r="AM6352">
        <v>81.291319752560199</v>
      </c>
      <c r="AN6352">
        <v>1.0000000583315301</v>
      </c>
    </row>
    <row r="6353" spans="1:40" x14ac:dyDescent="0.25">
      <c r="A6353" t="str">
        <f>"20190303170701276"</f>
        <v>20190303170701276</v>
      </c>
      <c r="B6353" t="str">
        <f>"1551604021271192"</f>
        <v>1551604021271192</v>
      </c>
      <c r="C6353" t="s">
        <v>40</v>
      </c>
      <c r="D6353">
        <v>5.4305379999999897</v>
      </c>
      <c r="E6353">
        <v>0.50121579999999999</v>
      </c>
      <c r="F6353" t="s">
        <v>41</v>
      </c>
      <c r="G6353">
        <v>-150.89250000000001</v>
      </c>
      <c r="H6353" s="1">
        <v>-4.6016930000000004E-6</v>
      </c>
      <c r="I6353">
        <v>135.60050000000001</v>
      </c>
      <c r="J6353">
        <v>-165.50579999999999</v>
      </c>
      <c r="K6353">
        <v>1.1104750000000001</v>
      </c>
      <c r="L6353">
        <v>137.13800000000001</v>
      </c>
      <c r="M6353">
        <v>0.99947399999999997</v>
      </c>
      <c r="N6353">
        <v>-1.530134E-2</v>
      </c>
      <c r="O6353">
        <v>2.8595820000000001E-2</v>
      </c>
      <c r="P6353">
        <v>0.97839120000000002</v>
      </c>
      <c r="Q6353">
        <v>0.17528579999999999</v>
      </c>
      <c r="R6353">
        <v>-0.1096626</v>
      </c>
      <c r="S6353">
        <v>3.070068</v>
      </c>
      <c r="T6353">
        <v>-0.222945</v>
      </c>
      <c r="U6353">
        <v>-0.3070679</v>
      </c>
      <c r="V6353">
        <v>0.142343</v>
      </c>
      <c r="W6353">
        <v>0.1866575</v>
      </c>
      <c r="X6353">
        <v>0.97205839999999999</v>
      </c>
      <c r="Y6353">
        <v>0.12748989999999999</v>
      </c>
      <c r="Z6353">
        <v>-7.224271E-3</v>
      </c>
      <c r="AA6353">
        <v>0.99181350000000001</v>
      </c>
      <c r="AB6353">
        <v>33</v>
      </c>
      <c r="AC6353">
        <v>14.613299999999899</v>
      </c>
      <c r="AD6353">
        <v>-1.1104796016930001</v>
      </c>
      <c r="AE6353">
        <v>-1.5374999999999901</v>
      </c>
      <c r="AF6353">
        <v>1.9436980381106299</v>
      </c>
      <c r="AG6353">
        <v>-1.1104796016930001</v>
      </c>
      <c r="AH6353">
        <v>14.4806464206952</v>
      </c>
      <c r="AI6353">
        <v>94.346438743207798</v>
      </c>
      <c r="AJ6353">
        <v>82.355036831001797</v>
      </c>
      <c r="AK6353">
        <v>14.652653267252401</v>
      </c>
      <c r="AL6353">
        <v>79.242216840951698</v>
      </c>
      <c r="AM6353">
        <v>81.669124309779505</v>
      </c>
      <c r="AN6353">
        <v>1.0000000424829001</v>
      </c>
    </row>
    <row r="6354" spans="1:40" x14ac:dyDescent="0.25">
      <c r="A6354" t="str">
        <f>"20190303170701299"</f>
        <v>20190303170701299</v>
      </c>
      <c r="B6354" t="str">
        <f>"1551604021291689"</f>
        <v>1551604021291689</v>
      </c>
      <c r="C6354" t="s">
        <v>40</v>
      </c>
      <c r="D6354">
        <v>5.5886199999999997</v>
      </c>
      <c r="E6354">
        <v>0.48123389999999999</v>
      </c>
      <c r="F6354" t="s">
        <v>41</v>
      </c>
      <c r="G6354">
        <v>-149.50110000000001</v>
      </c>
      <c r="H6354" s="1">
        <v>-1.2703599999999999E-6</v>
      </c>
      <c r="I6354">
        <v>135.42740000000001</v>
      </c>
      <c r="J6354">
        <v>-165.15260000000001</v>
      </c>
      <c r="K6354">
        <v>1.1111819999999999</v>
      </c>
      <c r="L6354">
        <v>137.13839999999999</v>
      </c>
      <c r="M6354">
        <v>0.99971049999999995</v>
      </c>
      <c r="N6354">
        <v>-1.517836E-2</v>
      </c>
      <c r="O6354">
        <v>1.8671400000000001E-2</v>
      </c>
      <c r="P6354">
        <v>0.97758750000000005</v>
      </c>
      <c r="Q6354">
        <v>0.17532039999999999</v>
      </c>
      <c r="R6354">
        <v>-0.1165591</v>
      </c>
      <c r="S6354">
        <v>3.0676269999999999</v>
      </c>
      <c r="T6354">
        <v>-0.21284520000000001</v>
      </c>
      <c r="U6354">
        <v>-0.32786559999999998</v>
      </c>
      <c r="V6354">
        <v>0.1392282</v>
      </c>
      <c r="W6354">
        <v>0.1868795</v>
      </c>
      <c r="X6354">
        <v>0.97246670000000002</v>
      </c>
      <c r="Y6354">
        <v>0.1244347</v>
      </c>
      <c r="Z6354">
        <v>-6.2562479999999998E-3</v>
      </c>
      <c r="AA6354">
        <v>0.99220810000000004</v>
      </c>
      <c r="AB6354">
        <v>33</v>
      </c>
      <c r="AC6354">
        <v>15.6515</v>
      </c>
      <c r="AD6354">
        <v>-1.11118327036</v>
      </c>
      <c r="AE6354">
        <v>-1.7109999999999801</v>
      </c>
      <c r="AF6354">
        <v>1.9930437563749099</v>
      </c>
      <c r="AG6354">
        <v>-1.11118327036</v>
      </c>
      <c r="AH6354">
        <v>15.5394215270224</v>
      </c>
      <c r="AI6354">
        <v>94.056988904873293</v>
      </c>
      <c r="AJ6354">
        <v>82.691301386004298</v>
      </c>
      <c r="AK6354">
        <v>15.706068033395301</v>
      </c>
      <c r="AL6354">
        <v>79.229268464658801</v>
      </c>
      <c r="AM6354">
        <v>81.852323299094607</v>
      </c>
      <c r="AN6354">
        <v>0.99999996090218901</v>
      </c>
    </row>
    <row r="6355" spans="1:40" x14ac:dyDescent="0.25">
      <c r="A6355" t="str">
        <f>"20190303170701320"</f>
        <v>20190303170701320</v>
      </c>
      <c r="B6355" t="str">
        <f>"1551604021311208"</f>
        <v>1551604021311208</v>
      </c>
      <c r="C6355" t="s">
        <v>40</v>
      </c>
      <c r="D6355">
        <v>5.4316810000000002</v>
      </c>
      <c r="E6355">
        <v>0.48097259999999997</v>
      </c>
      <c r="F6355" t="s">
        <v>41</v>
      </c>
      <c r="G6355">
        <v>-148.14179999999999</v>
      </c>
      <c r="H6355" s="1">
        <v>-1.5563149999999901E-6</v>
      </c>
      <c r="I6355">
        <v>136.09119999999999</v>
      </c>
      <c r="J6355">
        <v>-164.83439999999999</v>
      </c>
      <c r="K6355">
        <v>1.1118650000000001</v>
      </c>
      <c r="L6355">
        <v>137.13630000000001</v>
      </c>
      <c r="M6355">
        <v>0.9998321</v>
      </c>
      <c r="N6355">
        <v>-1.506876E-2</v>
      </c>
      <c r="O6355">
        <v>1.0427769999999999E-2</v>
      </c>
      <c r="P6355">
        <v>0.97745360000000003</v>
      </c>
      <c r="Q6355">
        <v>0.1729097</v>
      </c>
      <c r="R6355">
        <v>-0.12118810000000001</v>
      </c>
      <c r="S6355">
        <v>3.0822910000000001</v>
      </c>
      <c r="T6355">
        <v>-0.20134270000000001</v>
      </c>
      <c r="U6355">
        <v>-0.18974299999999999</v>
      </c>
      <c r="V6355">
        <v>0.1354553</v>
      </c>
      <c r="W6355">
        <v>0.18467510000000001</v>
      </c>
      <c r="X6355">
        <v>0.97342030000000002</v>
      </c>
      <c r="Y6355">
        <v>7.1648169999999997E-2</v>
      </c>
      <c r="Z6355">
        <v>-3.3994839999999999E-3</v>
      </c>
      <c r="AA6355">
        <v>0.99742419999999998</v>
      </c>
      <c r="AB6355">
        <v>33</v>
      </c>
      <c r="AC6355">
        <v>16.692599999999999</v>
      </c>
      <c r="AD6355">
        <v>-1.1118665563150001</v>
      </c>
      <c r="AE6355">
        <v>-1.0451000000000099</v>
      </c>
      <c r="AF6355">
        <v>1.2137654671021501</v>
      </c>
      <c r="AG6355">
        <v>-1.1118665563150001</v>
      </c>
      <c r="AH6355">
        <v>16.607399009467301</v>
      </c>
      <c r="AI6355">
        <v>93.820081920086395</v>
      </c>
      <c r="AJ6355">
        <v>85.819922761329593</v>
      </c>
      <c r="AK6355">
        <v>16.688773942619001</v>
      </c>
      <c r="AL6355">
        <v>79.357809984554194</v>
      </c>
      <c r="AM6355">
        <v>82.0779371961506</v>
      </c>
      <c r="AN6355">
        <v>1.0000000556550901</v>
      </c>
    </row>
    <row r="6356" spans="1:40" x14ac:dyDescent="0.25">
      <c r="A6356" t="str">
        <f>"20190303170701343"</f>
        <v>20190303170701343</v>
      </c>
      <c r="B6356" t="str">
        <f>"1551604021331705"</f>
        <v>1551604021331705</v>
      </c>
      <c r="C6356" t="s">
        <v>40</v>
      </c>
      <c r="D6356">
        <v>5.5814430000000002</v>
      </c>
      <c r="E6356">
        <v>0.48026170000000001</v>
      </c>
      <c r="F6356" t="s">
        <v>41</v>
      </c>
      <c r="G6356">
        <v>-148.54320000000001</v>
      </c>
      <c r="H6356" s="1">
        <v>-1.4250319999999999E-6</v>
      </c>
      <c r="I6356">
        <v>136.0712</v>
      </c>
      <c r="J6356">
        <v>-164.50540000000001</v>
      </c>
      <c r="K6356">
        <v>1.112622</v>
      </c>
      <c r="L6356">
        <v>137.1319</v>
      </c>
      <c r="M6356">
        <v>0.99988469999999996</v>
      </c>
      <c r="N6356">
        <v>-1.4957379999999999E-2</v>
      </c>
      <c r="O6356">
        <v>2.6419410000000001E-3</v>
      </c>
      <c r="P6356">
        <v>0.97734989999999999</v>
      </c>
      <c r="Q6356">
        <v>0.17135610000000001</v>
      </c>
      <c r="R6356">
        <v>-0.124195</v>
      </c>
      <c r="S6356">
        <v>3.0814360000000001</v>
      </c>
      <c r="T6356">
        <v>-0.2103071</v>
      </c>
      <c r="U6356">
        <v>-0.2014465</v>
      </c>
      <c r="V6356">
        <v>0.1304949</v>
      </c>
      <c r="W6356">
        <v>0.18336040000000001</v>
      </c>
      <c r="X6356">
        <v>0.97434600000000005</v>
      </c>
      <c r="Y6356">
        <v>6.767629E-2</v>
      </c>
      <c r="Z6356">
        <v>-2.9521970000000002E-3</v>
      </c>
      <c r="AA6356">
        <v>0.99770300000000001</v>
      </c>
      <c r="AB6356">
        <v>33</v>
      </c>
      <c r="AC6356">
        <v>15.9621999999999</v>
      </c>
      <c r="AD6356">
        <v>-1.112623425032</v>
      </c>
      <c r="AE6356">
        <v>-1.06069999999999</v>
      </c>
      <c r="AF6356">
        <v>1.09756303067271</v>
      </c>
      <c r="AG6356">
        <v>-1.112623425032</v>
      </c>
      <c r="AH6356">
        <v>15.882514167496</v>
      </c>
      <c r="AI6356">
        <v>93.997711938776703</v>
      </c>
      <c r="AJ6356">
        <v>86.046853122067503</v>
      </c>
      <c r="AK6356">
        <v>15.9592240341735</v>
      </c>
      <c r="AL6356">
        <v>79.434445306165799</v>
      </c>
      <c r="AM6356">
        <v>82.371727161471</v>
      </c>
      <c r="AN6356">
        <v>1.00000004146508</v>
      </c>
    </row>
    <row r="6357" spans="1:40" x14ac:dyDescent="0.25">
      <c r="A6357" t="str">
        <f>"20190303170701370"</f>
        <v>20190303170701370</v>
      </c>
      <c r="B6357" t="str">
        <f>"1551604021360984"</f>
        <v>1551604021360984</v>
      </c>
      <c r="C6357" t="s">
        <v>40</v>
      </c>
      <c r="D6357">
        <v>5.4672099999999997</v>
      </c>
      <c r="E6357">
        <v>0.4787768</v>
      </c>
      <c r="F6357" t="s">
        <v>41</v>
      </c>
      <c r="G6357">
        <v>-148.89439999999999</v>
      </c>
      <c r="H6357" s="1">
        <v>-1.3010689999999999E-6</v>
      </c>
      <c r="I6357">
        <v>136.08799999999999</v>
      </c>
      <c r="J6357">
        <v>-164.1206</v>
      </c>
      <c r="K6357">
        <v>1.113564</v>
      </c>
      <c r="L6357">
        <v>137.12430000000001</v>
      </c>
      <c r="M6357">
        <v>0.99987599999999999</v>
      </c>
      <c r="N6357">
        <v>-1.4828900000000001E-2</v>
      </c>
      <c r="O6357">
        <v>-5.3020659999999898E-3</v>
      </c>
      <c r="P6357">
        <v>0.97653230000000002</v>
      </c>
      <c r="Q6357">
        <v>0.1726753</v>
      </c>
      <c r="R6357">
        <v>-0.1287171</v>
      </c>
      <c r="S6357">
        <v>3.0818479999999999</v>
      </c>
      <c r="T6357">
        <v>-0.21964819999999999</v>
      </c>
      <c r="U6357">
        <v>-0.2060852</v>
      </c>
      <c r="V6357">
        <v>0.1268677</v>
      </c>
      <c r="W6357">
        <v>0.18490519999999999</v>
      </c>
      <c r="X6357">
        <v>0.97453310000000004</v>
      </c>
      <c r="Y6357">
        <v>6.1251220000000002E-2</v>
      </c>
      <c r="Z6357">
        <v>-2.334413E-3</v>
      </c>
      <c r="AA6357">
        <v>0.99811970000000005</v>
      </c>
      <c r="AB6357">
        <v>33</v>
      </c>
      <c r="AC6357">
        <v>15.2262</v>
      </c>
      <c r="AD6357">
        <v>-1.1135653010690001</v>
      </c>
      <c r="AE6357">
        <v>-1.03630000000001</v>
      </c>
      <c r="AF6357">
        <v>0.95048581304737101</v>
      </c>
      <c r="AG6357">
        <v>-1.1135653010690001</v>
      </c>
      <c r="AH6357">
        <v>15.1508175254703</v>
      </c>
      <c r="AI6357">
        <v>94.1953882659122</v>
      </c>
      <c r="AJ6357">
        <v>86.410256433135402</v>
      </c>
      <c r="AK6357">
        <v>15.221390299530601</v>
      </c>
      <c r="AL6357">
        <v>79.344395186053504</v>
      </c>
      <c r="AM6357">
        <v>82.5827739179975</v>
      </c>
      <c r="AN6357">
        <v>1.0000000546429599</v>
      </c>
    </row>
    <row r="6358" spans="1:40" x14ac:dyDescent="0.25">
      <c r="A6358" t="str">
        <f>"20190303170701454"</f>
        <v>20190303170701454</v>
      </c>
      <c r="B6358" t="str">
        <f>"1551604021441016"</f>
        <v>1551604021441016</v>
      </c>
      <c r="C6358" t="s">
        <v>40</v>
      </c>
      <c r="D6358">
        <v>5.5187819999999999</v>
      </c>
      <c r="E6358">
        <v>0.47284310000000002</v>
      </c>
      <c r="F6358" t="s">
        <v>41</v>
      </c>
      <c r="G6358">
        <v>-147.86859999999999</v>
      </c>
      <c r="H6358" s="1">
        <v>-1.6632239999999901E-6</v>
      </c>
      <c r="I6358">
        <v>136.03880000000001</v>
      </c>
      <c r="J6358">
        <v>-162.8783</v>
      </c>
      <c r="K6358">
        <v>1.116404</v>
      </c>
      <c r="L6358">
        <v>137.0883</v>
      </c>
      <c r="M6358">
        <v>0.9996138</v>
      </c>
      <c r="N6358">
        <v>-1.4469249999999999E-2</v>
      </c>
      <c r="O6358">
        <v>-2.3725980000000001E-2</v>
      </c>
      <c r="P6358">
        <v>0.97632319999999995</v>
      </c>
      <c r="Q6358">
        <v>0.16768849999999999</v>
      </c>
      <c r="R6358">
        <v>-0.1366513</v>
      </c>
      <c r="S6358">
        <v>3.082306</v>
      </c>
      <c r="T6358">
        <v>-0.21119499999999999</v>
      </c>
      <c r="U6358">
        <v>-0.20585629999999999</v>
      </c>
      <c r="V6358">
        <v>0.11545809999999999</v>
      </c>
      <c r="W6358">
        <v>0.18057010000000001</v>
      </c>
      <c r="X6358">
        <v>0.97676189999999996</v>
      </c>
      <c r="Y6358">
        <v>4.2856699999999998E-2</v>
      </c>
      <c r="Z6358">
        <v>-4.9692469999999996E-4</v>
      </c>
      <c r="AA6358">
        <v>0.99908110000000006</v>
      </c>
      <c r="AB6358">
        <v>33</v>
      </c>
      <c r="AC6358">
        <v>15.0097</v>
      </c>
      <c r="AD6358">
        <v>-1.116405663224</v>
      </c>
      <c r="AE6358">
        <v>-1.0494999999999901</v>
      </c>
      <c r="AF6358">
        <v>0.68925283033212803</v>
      </c>
      <c r="AG6358">
        <v>-1.116405663224</v>
      </c>
      <c r="AH6358">
        <v>14.948083035180099</v>
      </c>
      <c r="AI6358">
        <v>94.266719909965104</v>
      </c>
      <c r="AJ6358">
        <v>87.359974109978097</v>
      </c>
      <c r="AK6358">
        <v>15.0055528887022</v>
      </c>
      <c r="AL6358">
        <v>79.597031430776795</v>
      </c>
      <c r="AM6358">
        <v>83.258636317448193</v>
      </c>
      <c r="AN6358">
        <v>0.99999997158061404</v>
      </c>
    </row>
    <row r="6359" spans="1:40" x14ac:dyDescent="0.25">
      <c r="A6359" t="str">
        <f>"20190303170701477"</f>
        <v>20190303170701477</v>
      </c>
      <c r="B6359" t="str">
        <f>"1551604021471272"</f>
        <v>1551604021471272</v>
      </c>
      <c r="C6359" t="s">
        <v>40</v>
      </c>
      <c r="D6359">
        <v>5.350028</v>
      </c>
      <c r="E6359">
        <v>0.4713234</v>
      </c>
      <c r="F6359" t="s">
        <v>41</v>
      </c>
      <c r="G6359">
        <v>-145.9539</v>
      </c>
      <c r="H6359" s="1">
        <v>-2.3406149999999999E-6</v>
      </c>
      <c r="I6359">
        <v>136.10669999999999</v>
      </c>
      <c r="J6359">
        <v>-162.5428</v>
      </c>
      <c r="K6359">
        <v>1.1171610000000001</v>
      </c>
      <c r="L6359">
        <v>137.07679999999999</v>
      </c>
      <c r="M6359">
        <v>0.99953899999999996</v>
      </c>
      <c r="N6359">
        <v>-1.4384879999999999E-2</v>
      </c>
      <c r="O6359">
        <v>-2.6743969999999999E-2</v>
      </c>
      <c r="P6359">
        <v>0.97627359999999996</v>
      </c>
      <c r="Q6359">
        <v>0.1670431</v>
      </c>
      <c r="R6359">
        <v>-0.137793</v>
      </c>
      <c r="S6359">
        <v>3.0826720000000001</v>
      </c>
      <c r="T6359">
        <v>-0.20334579999999999</v>
      </c>
      <c r="U6359">
        <v>-0.17878720000000001</v>
      </c>
      <c r="V6359">
        <v>0.1133078</v>
      </c>
      <c r="W6359">
        <v>0.18007339999999999</v>
      </c>
      <c r="X6359">
        <v>0.97710540000000001</v>
      </c>
      <c r="Y6359">
        <v>3.1130809999999998E-2</v>
      </c>
      <c r="Z6359">
        <v>1.26878E-4</v>
      </c>
      <c r="AA6359">
        <v>0.9995153</v>
      </c>
      <c r="AB6359">
        <v>32</v>
      </c>
      <c r="AC6359">
        <v>16.588899999999899</v>
      </c>
      <c r="AD6359">
        <v>-1.1171633406149999</v>
      </c>
      <c r="AE6359">
        <v>-0.97010000000000196</v>
      </c>
      <c r="AF6359">
        <v>0.52368712944388496</v>
      </c>
      <c r="AG6359">
        <v>-1.1171633406149999</v>
      </c>
      <c r="AH6359">
        <v>16.534181638663899</v>
      </c>
      <c r="AI6359">
        <v>93.863491370192804</v>
      </c>
      <c r="AJ6359">
        <v>88.185877262570799</v>
      </c>
      <c r="AK6359">
        <v>16.580152731488699</v>
      </c>
      <c r="AL6359">
        <v>79.625965084623601</v>
      </c>
      <c r="AM6359">
        <v>83.385369732352899</v>
      </c>
      <c r="AN6359">
        <v>1.0000000248187699</v>
      </c>
    </row>
    <row r="6360" spans="1:40" x14ac:dyDescent="0.25">
      <c r="A6360" t="str">
        <f>"20190303170701499"</f>
        <v>20190303170701499</v>
      </c>
      <c r="B6360" t="str">
        <f>"1551604021490792"</f>
        <v>1551604021490792</v>
      </c>
      <c r="C6360" t="s">
        <v>40</v>
      </c>
      <c r="D6360">
        <v>5.4583019999999998</v>
      </c>
      <c r="E6360">
        <v>0.47063139999999998</v>
      </c>
      <c r="F6360" t="s">
        <v>41</v>
      </c>
      <c r="G6360">
        <v>-146.24520000000001</v>
      </c>
      <c r="H6360" s="1">
        <v>-2.2002390000000001E-6</v>
      </c>
      <c r="I6360">
        <v>136.1935</v>
      </c>
      <c r="J6360">
        <v>-162.2252</v>
      </c>
      <c r="K6360">
        <v>1.1178980000000001</v>
      </c>
      <c r="L6360">
        <v>137.06559999999999</v>
      </c>
      <c r="M6360">
        <v>0.99948130000000002</v>
      </c>
      <c r="N6360">
        <v>-1.4312299999999899E-2</v>
      </c>
      <c r="O6360">
        <v>-2.8852760000000002E-2</v>
      </c>
      <c r="P6360">
        <v>0.97643380000000002</v>
      </c>
      <c r="Q6360">
        <v>0.16591500000000001</v>
      </c>
      <c r="R6360">
        <v>-0.13802039999999999</v>
      </c>
      <c r="S6360">
        <v>3.08548</v>
      </c>
      <c r="T6360">
        <v>-0.2115022</v>
      </c>
      <c r="U6360">
        <v>-0.16722110000000001</v>
      </c>
      <c r="V6360">
        <v>0.11113919999999999</v>
      </c>
      <c r="W6360">
        <v>0.17909259999999999</v>
      </c>
      <c r="X6360">
        <v>0.97753460000000003</v>
      </c>
      <c r="Y6360">
        <v>2.5251510000000001E-2</v>
      </c>
      <c r="Z6360">
        <v>5.1610540000000002E-4</v>
      </c>
      <c r="AA6360">
        <v>0.99968100000000004</v>
      </c>
      <c r="AB6360">
        <v>32</v>
      </c>
      <c r="AC6360">
        <v>15.979999999999899</v>
      </c>
      <c r="AD6360">
        <v>-1.1179002002389999</v>
      </c>
      <c r="AE6360">
        <v>-0.872099999999989</v>
      </c>
      <c r="AF6360">
        <v>0.40862871802325001</v>
      </c>
      <c r="AG6360">
        <v>-1.1179002002389999</v>
      </c>
      <c r="AH6360">
        <v>15.920827683145699</v>
      </c>
      <c r="AI6360">
        <v>94.015182369338902</v>
      </c>
      <c r="AJ6360">
        <v>88.529752201376695</v>
      </c>
      <c r="AK6360">
        <v>15.965257041567099</v>
      </c>
      <c r="AL6360">
        <v>79.683089079952595</v>
      </c>
      <c r="AM6360">
        <v>83.513701915066207</v>
      </c>
      <c r="AN6360">
        <v>0.99999998767428</v>
      </c>
    </row>
    <row r="6361" spans="1:40" x14ac:dyDescent="0.25">
      <c r="A6361" t="str">
        <f>"20190303170701521"</f>
        <v>20190303170701521</v>
      </c>
      <c r="B6361" t="str">
        <f>"1551604021511289"</f>
        <v>1551604021511289</v>
      </c>
      <c r="C6361" t="s">
        <v>40</v>
      </c>
      <c r="D6361">
        <v>5.4655259999999997</v>
      </c>
      <c r="E6361">
        <v>0.47017589999999998</v>
      </c>
      <c r="F6361" t="s">
        <v>41</v>
      </c>
      <c r="G6361">
        <v>-146.20500000000001</v>
      </c>
      <c r="H6361" s="1">
        <v>-2.212169E-6</v>
      </c>
      <c r="I6361">
        <v>136.22329999999999</v>
      </c>
      <c r="J6361">
        <v>-161.90860000000001</v>
      </c>
      <c r="K6361">
        <v>1.1186210000000001</v>
      </c>
      <c r="L6361">
        <v>137.05449999999999</v>
      </c>
      <c r="M6361">
        <v>0.99944089999999997</v>
      </c>
      <c r="N6361">
        <v>-1.424747E-2</v>
      </c>
      <c r="O6361">
        <v>-3.0251799999999999E-2</v>
      </c>
      <c r="P6361">
        <v>0.97723040000000005</v>
      </c>
      <c r="Q6361">
        <v>0.16279460000000001</v>
      </c>
      <c r="R6361">
        <v>-0.13608439999999999</v>
      </c>
      <c r="S6361">
        <v>3.0860750000000001</v>
      </c>
      <c r="T6361">
        <v>-0.21534929999999999</v>
      </c>
      <c r="U6361">
        <v>-0.16224669999999999</v>
      </c>
      <c r="V6361">
        <v>0.10748050000000001</v>
      </c>
      <c r="W6361">
        <v>0.1761325</v>
      </c>
      <c r="X6361">
        <v>0.97848109999999999</v>
      </c>
      <c r="Y6361">
        <v>2.2245549999999999E-2</v>
      </c>
      <c r="Z6361">
        <v>7.4236889999999996E-4</v>
      </c>
      <c r="AA6361">
        <v>0.99975230000000004</v>
      </c>
      <c r="AB6361">
        <v>32</v>
      </c>
      <c r="AC6361">
        <v>15.7035999999999</v>
      </c>
      <c r="AD6361">
        <v>-1.1186232121689901</v>
      </c>
      <c r="AE6361">
        <v>-0.83119999999999505</v>
      </c>
      <c r="AF6361">
        <v>0.35391832362138398</v>
      </c>
      <c r="AG6361">
        <v>-1.1186232121689901</v>
      </c>
      <c r="AH6361">
        <v>15.6424077511895</v>
      </c>
      <c r="AI6361">
        <v>94.089341782640403</v>
      </c>
      <c r="AJ6361">
        <v>88.703871718222601</v>
      </c>
      <c r="AK6361">
        <v>15.686347450094001</v>
      </c>
      <c r="AL6361">
        <v>79.855430549343296</v>
      </c>
      <c r="AM6361">
        <v>83.731520095742894</v>
      </c>
      <c r="AN6361">
        <v>0.99999998924685396</v>
      </c>
    </row>
    <row r="6362" spans="1:40" x14ac:dyDescent="0.25">
      <c r="A6362" t="str">
        <f>"20190303170701566"</f>
        <v>20190303170701566</v>
      </c>
      <c r="B6362" t="str">
        <f>"1551604021551304"</f>
        <v>1551604021551304</v>
      </c>
      <c r="C6362" t="s">
        <v>40</v>
      </c>
      <c r="D6362">
        <v>5.463832</v>
      </c>
      <c r="E6362">
        <v>0.46971950000000001</v>
      </c>
      <c r="F6362" t="s">
        <v>41</v>
      </c>
      <c r="G6362">
        <v>-146.57509999999999</v>
      </c>
      <c r="H6362" s="1">
        <v>-2.0412839999999998E-6</v>
      </c>
      <c r="I6362">
        <v>136.29179999999999</v>
      </c>
      <c r="J6362">
        <v>-161.25700000000001</v>
      </c>
      <c r="K6362">
        <v>1.1199600000000001</v>
      </c>
      <c r="L6362">
        <v>137.03270000000001</v>
      </c>
      <c r="M6362">
        <v>0.999417</v>
      </c>
      <c r="N6362">
        <v>-1.4135109999999999E-2</v>
      </c>
      <c r="O6362">
        <v>-3.1077420000000001E-2</v>
      </c>
      <c r="P6362">
        <v>0.97823879999999996</v>
      </c>
      <c r="Q6362">
        <v>0.16284219999999999</v>
      </c>
      <c r="R6362">
        <v>-0.1285742</v>
      </c>
      <c r="S6362">
        <v>3.0860289999999999</v>
      </c>
      <c r="T6362">
        <v>-0.225134</v>
      </c>
      <c r="U6362">
        <v>-0.15350339999999901</v>
      </c>
      <c r="V6362">
        <v>9.8568489999999995E-2</v>
      </c>
      <c r="W6362">
        <v>0.17644699999999999</v>
      </c>
      <c r="X6362">
        <v>0.97936239999999997</v>
      </c>
      <c r="Y6362">
        <v>1.8608420000000001E-2</v>
      </c>
      <c r="Z6362">
        <v>1.014105E-3</v>
      </c>
      <c r="AA6362">
        <v>0.99982629999999995</v>
      </c>
      <c r="AB6362">
        <v>32</v>
      </c>
      <c r="AC6362">
        <v>14.681900000000001</v>
      </c>
      <c r="AD6362">
        <v>-1.1199620412839999</v>
      </c>
      <c r="AE6362">
        <v>-0.74090000000001</v>
      </c>
      <c r="AF6362">
        <v>0.28258074846521503</v>
      </c>
      <c r="AG6362">
        <v>-1.1199620412839999</v>
      </c>
      <c r="AH6362">
        <v>14.6130185598581</v>
      </c>
      <c r="AI6362">
        <v>94.381844412643005</v>
      </c>
      <c r="AJ6362">
        <v>88.8921750482492</v>
      </c>
      <c r="AK6362">
        <v>14.658597418719101</v>
      </c>
      <c r="AL6362">
        <v>79.837124438532001</v>
      </c>
      <c r="AM6362">
        <v>84.252786819268195</v>
      </c>
      <c r="AN6362">
        <v>1.0000000007818199</v>
      </c>
    </row>
    <row r="6363" spans="1:40" x14ac:dyDescent="0.25">
      <c r="A6363" t="str">
        <f>"20190303170701593"</f>
        <v>20190303170701593</v>
      </c>
      <c r="B6363" t="str">
        <f>"1551604021581560"</f>
        <v>1551604021581560</v>
      </c>
      <c r="C6363" t="s">
        <v>40</v>
      </c>
      <c r="D6363">
        <v>5.4972789999999998</v>
      </c>
      <c r="E6363">
        <v>0.46931630000000002</v>
      </c>
      <c r="F6363" t="s">
        <v>41</v>
      </c>
      <c r="G6363">
        <v>-145.6532</v>
      </c>
      <c r="H6363" s="1">
        <v>-2.4183389999999998E-6</v>
      </c>
      <c r="I6363">
        <v>136.39570000000001</v>
      </c>
      <c r="J6363">
        <v>-160.87880000000001</v>
      </c>
      <c r="K6363">
        <v>1.120584</v>
      </c>
      <c r="L6363">
        <v>137.02090000000001</v>
      </c>
      <c r="M6363">
        <v>0.99943419999999905</v>
      </c>
      <c r="N6363">
        <v>-1.407974E-2</v>
      </c>
      <c r="O6363">
        <v>-3.0545739999999998E-2</v>
      </c>
      <c r="P6363">
        <v>0.97850349999999997</v>
      </c>
      <c r="Q6363">
        <v>0.16436149999999999</v>
      </c>
      <c r="R6363">
        <v>-0.1245637</v>
      </c>
      <c r="S6363">
        <v>3.0870820000000001</v>
      </c>
      <c r="T6363">
        <v>-0.2215742</v>
      </c>
      <c r="U6363">
        <v>-0.12600710000000001</v>
      </c>
      <c r="V6363">
        <v>9.4816899999999996E-2</v>
      </c>
      <c r="W6363">
        <v>0.17806129999999901</v>
      </c>
      <c r="X6363">
        <v>0.97944059999999999</v>
      </c>
      <c r="Y6363">
        <v>1.026031E-2</v>
      </c>
      <c r="Z6363">
        <v>1.3185320000000001E-3</v>
      </c>
      <c r="AA6363">
        <v>0.99994649999999996</v>
      </c>
      <c r="AB6363">
        <v>32</v>
      </c>
      <c r="AC6363">
        <v>15.2256</v>
      </c>
      <c r="AD6363">
        <v>-1.120586418339</v>
      </c>
      <c r="AE6363">
        <v>-0.62520000000000597</v>
      </c>
      <c r="AF6363">
        <v>0.15892546482481101</v>
      </c>
      <c r="AG6363">
        <v>-1.120586418339</v>
      </c>
      <c r="AH6363">
        <v>15.1556362723446</v>
      </c>
      <c r="AI6363">
        <v>94.228442942453</v>
      </c>
      <c r="AJ6363">
        <v>89.399205385335407</v>
      </c>
      <c r="AK6363">
        <v>15.197838071381801</v>
      </c>
      <c r="AL6363">
        <v>79.743143460035498</v>
      </c>
      <c r="AM6363">
        <v>84.470586389412702</v>
      </c>
      <c r="AN6363">
        <v>0.99999998000582901</v>
      </c>
    </row>
    <row r="6364" spans="1:40" x14ac:dyDescent="0.25">
      <c r="A6364" t="str">
        <f>"20190303170701610"</f>
        <v>20190303170701610</v>
      </c>
      <c r="B6364" t="str">
        <f>"1551604021601081"</f>
        <v>1551604021601081</v>
      </c>
      <c r="C6364" t="s">
        <v>40</v>
      </c>
      <c r="D6364">
        <v>5.5271970000000001</v>
      </c>
      <c r="E6364">
        <v>0.46927200000000002</v>
      </c>
      <c r="F6364" t="s">
        <v>41</v>
      </c>
      <c r="G6364">
        <v>-144.63839999999999</v>
      </c>
      <c r="H6364" s="1">
        <v>-2.844643E-6</v>
      </c>
      <c r="I6364">
        <v>136.44659999999999</v>
      </c>
      <c r="J6364">
        <v>-160.61080000000001</v>
      </c>
      <c r="K6364">
        <v>1.1209769999999999</v>
      </c>
      <c r="L6364">
        <v>137.01310000000001</v>
      </c>
      <c r="M6364">
        <v>0.99945629999999996</v>
      </c>
      <c r="N6364">
        <v>-1.404299E-2</v>
      </c>
      <c r="O6364">
        <v>-2.9833410000000001E-2</v>
      </c>
      <c r="P6364">
        <v>0.9789426</v>
      </c>
      <c r="Q6364">
        <v>0.16516910000000001</v>
      </c>
      <c r="R6364">
        <v>-0.119960999999999</v>
      </c>
      <c r="S6364">
        <v>3.0878139999999998</v>
      </c>
      <c r="T6364">
        <v>-0.21305950000000001</v>
      </c>
      <c r="U6364">
        <v>-0.109191899999999</v>
      </c>
      <c r="V6364">
        <v>9.0743260000000006E-2</v>
      </c>
      <c r="W6364">
        <v>0.17892230000000001</v>
      </c>
      <c r="X6364">
        <v>0.97966960000000003</v>
      </c>
      <c r="Y6364">
        <v>5.5357440000000004E-3</v>
      </c>
      <c r="Z6364">
        <v>1.4067420000000001E-3</v>
      </c>
      <c r="AA6364">
        <v>0.99998370000000003</v>
      </c>
      <c r="AB6364">
        <v>32</v>
      </c>
      <c r="AC6364">
        <v>15.9724</v>
      </c>
      <c r="AD6364">
        <v>-1.1209798446429999</v>
      </c>
      <c r="AE6364">
        <v>-0.56650000000001899</v>
      </c>
      <c r="AF6364">
        <v>8.9250617565070703E-2</v>
      </c>
      <c r="AG6364">
        <v>-1.1209798446429999</v>
      </c>
      <c r="AH6364">
        <v>15.9039539356608</v>
      </c>
      <c r="AI6364">
        <v>94.031724585143095</v>
      </c>
      <c r="AJ6364">
        <v>89.678468005780701</v>
      </c>
      <c r="AK6364">
        <v>15.943660566897799</v>
      </c>
      <c r="AL6364">
        <v>79.693007153158305</v>
      </c>
      <c r="AM6364">
        <v>84.707998722169194</v>
      </c>
      <c r="AN6364">
        <v>1.0000000269184299</v>
      </c>
    </row>
    <row r="6365" spans="1:40" x14ac:dyDescent="0.25">
      <c r="A6365" t="str">
        <f>"20190303170701633"</f>
        <v>20190303170701633</v>
      </c>
      <c r="B6365" t="str">
        <f>"1551604021621577"</f>
        <v>1551604021621577</v>
      </c>
      <c r="C6365" t="s">
        <v>40</v>
      </c>
      <c r="D6365">
        <v>5.6471280000000004</v>
      </c>
      <c r="E6365">
        <v>0.46912389999999998</v>
      </c>
      <c r="F6365" t="s">
        <v>41</v>
      </c>
      <c r="G6365">
        <v>-144.14609999999999</v>
      </c>
      <c r="H6365" s="1">
        <v>-3.0455709999999999E-6</v>
      </c>
      <c r="I6365">
        <v>136.5044</v>
      </c>
      <c r="J6365">
        <v>-160.292</v>
      </c>
      <c r="K6365">
        <v>1.1213919999999999</v>
      </c>
      <c r="L6365">
        <v>137.0043</v>
      </c>
      <c r="M6365">
        <v>0.99949180000000004</v>
      </c>
      <c r="N6365">
        <v>-1.4003639999999999E-2</v>
      </c>
      <c r="O6365">
        <v>-2.863682E-2</v>
      </c>
      <c r="P6365">
        <v>0.97963429999999996</v>
      </c>
      <c r="Q6365">
        <v>0.16496739999999999</v>
      </c>
      <c r="R6365">
        <v>-0.1144674</v>
      </c>
      <c r="S6365">
        <v>3.0883029999999998</v>
      </c>
      <c r="T6365">
        <v>-0.21026339999999999</v>
      </c>
      <c r="U6365">
        <v>-9.5397949999999995E-2</v>
      </c>
      <c r="V6365">
        <v>8.6234340000000007E-2</v>
      </c>
      <c r="W6365">
        <v>0.1787726</v>
      </c>
      <c r="X6365">
        <v>0.98010410000000003</v>
      </c>
      <c r="Y6365">
        <v>2.2721400000000002E-3</v>
      </c>
      <c r="Z6365">
        <v>1.452734E-3</v>
      </c>
      <c r="AA6365">
        <v>0.99999640000000001</v>
      </c>
      <c r="AB6365">
        <v>32</v>
      </c>
      <c r="AC6365">
        <v>16.145900000000001</v>
      </c>
      <c r="AD6365">
        <v>-1.121395045571</v>
      </c>
      <c r="AE6365">
        <v>-0.49989999999999601</v>
      </c>
      <c r="AF6365">
        <v>3.7103563831966502E-2</v>
      </c>
      <c r="AG6365">
        <v>-1.121395045571</v>
      </c>
      <c r="AH6365">
        <v>16.0761195944695</v>
      </c>
      <c r="AI6365">
        <v>93.990211971930904</v>
      </c>
      <c r="AJ6365">
        <v>89.867762004054697</v>
      </c>
      <c r="AK6365">
        <v>16.115226487343101</v>
      </c>
      <c r="AL6365">
        <v>79.701724872669303</v>
      </c>
      <c r="AM6365">
        <v>84.971786168691693</v>
      </c>
      <c r="AN6365">
        <v>1.0000000253714001</v>
      </c>
    </row>
    <row r="6366" spans="1:40" x14ac:dyDescent="0.25">
      <c r="A6366" t="str">
        <f>"20190303170701655"</f>
        <v>20190303170701655</v>
      </c>
      <c r="B6366" t="str">
        <f>"1551604021641097"</f>
        <v>1551604021641097</v>
      </c>
      <c r="C6366" t="s">
        <v>40</v>
      </c>
      <c r="D6366">
        <v>5.5429529999999998</v>
      </c>
      <c r="E6366">
        <v>0.4692385</v>
      </c>
      <c r="F6366" t="s">
        <v>41</v>
      </c>
      <c r="G6366">
        <v>-143.9999</v>
      </c>
      <c r="H6366" s="1">
        <v>-3.09273E-6</v>
      </c>
      <c r="I6366">
        <v>136.59219999999999</v>
      </c>
      <c r="J6366">
        <v>-159.97450000000001</v>
      </c>
      <c r="K6366">
        <v>1.121769</v>
      </c>
      <c r="L6366">
        <v>136.99639999999999</v>
      </c>
      <c r="M6366">
        <v>0.99953420000000004</v>
      </c>
      <c r="N6366">
        <v>-1.3970099999999999E-2</v>
      </c>
      <c r="O6366">
        <v>-2.7132369999999999E-2</v>
      </c>
      <c r="P6366">
        <v>0.98021190000000002</v>
      </c>
      <c r="Q6366">
        <v>0.16506399999999999</v>
      </c>
      <c r="R6366">
        <v>-0.1092646</v>
      </c>
      <c r="S6366">
        <v>3.0890499999999999</v>
      </c>
      <c r="T6366">
        <v>-0.21262120000000001</v>
      </c>
      <c r="U6366">
        <v>-7.8125E-2</v>
      </c>
      <c r="V6366">
        <v>8.2336000000000006E-2</v>
      </c>
      <c r="W6366">
        <v>0.1789115</v>
      </c>
      <c r="X6366">
        <v>0.98041389999999995</v>
      </c>
      <c r="Y6366">
        <v>-1.8069270000000001E-3</v>
      </c>
      <c r="Z6366">
        <v>1.560737E-3</v>
      </c>
      <c r="AA6366">
        <v>0.99999709999999997</v>
      </c>
      <c r="AB6366">
        <v>32</v>
      </c>
      <c r="AC6366">
        <v>15.974600000000001</v>
      </c>
      <c r="AD6366">
        <v>-1.1217720927299999</v>
      </c>
      <c r="AE6366">
        <v>-0.404200000000003</v>
      </c>
      <c r="AF6366">
        <v>-2.9275635404943399E-2</v>
      </c>
      <c r="AG6366">
        <v>-1.1217720927299999</v>
      </c>
      <c r="AH6366">
        <v>15.9013239322286</v>
      </c>
      <c r="AI6366">
        <v>94.0352861914199</v>
      </c>
      <c r="AJ6366">
        <v>90.105486088027902</v>
      </c>
      <c r="AK6366">
        <v>15.940869878664801</v>
      </c>
      <c r="AL6366">
        <v>79.6936355918087</v>
      </c>
      <c r="AM6366">
        <v>85.199515753198597</v>
      </c>
      <c r="AN6366">
        <v>0.99999997852072897</v>
      </c>
    </row>
    <row r="6367" spans="1:40" x14ac:dyDescent="0.25">
      <c r="A6367" t="str">
        <f>"20190303170701678"</f>
        <v>20190303170701678</v>
      </c>
      <c r="B6367" t="str">
        <f>"1551604021671352"</f>
        <v>1551604021671352</v>
      </c>
      <c r="C6367" t="s">
        <v>40</v>
      </c>
      <c r="D6367">
        <v>5.6963749999999997</v>
      </c>
      <c r="E6367">
        <v>0.46936620000000001</v>
      </c>
      <c r="F6367" t="s">
        <v>41</v>
      </c>
      <c r="G6367">
        <v>-143.74969999999999</v>
      </c>
      <c r="H6367" s="1">
        <v>-3.1879049999999999E-6</v>
      </c>
      <c r="I6367">
        <v>136.6609</v>
      </c>
      <c r="J6367">
        <v>-159.64660000000001</v>
      </c>
      <c r="K6367">
        <v>1.122115</v>
      </c>
      <c r="L6367">
        <v>136.989</v>
      </c>
      <c r="M6367">
        <v>0.99958259999999999</v>
      </c>
      <c r="N6367">
        <v>-1.394047E-2</v>
      </c>
      <c r="O6367">
        <v>-2.5309330000000001E-2</v>
      </c>
      <c r="P6367">
        <v>0.98064680000000004</v>
      </c>
      <c r="Q6367">
        <v>0.16591549999999999</v>
      </c>
      <c r="R6367">
        <v>-0.1039432</v>
      </c>
      <c r="S6367">
        <v>3.0894010000000001</v>
      </c>
      <c r="T6367">
        <v>-0.2135978</v>
      </c>
      <c r="U6367">
        <v>-6.3873289999999999E-2</v>
      </c>
      <c r="V6367">
        <v>7.8644270000000002E-2</v>
      </c>
      <c r="W6367">
        <v>0.17979719999999999</v>
      </c>
      <c r="X6367">
        <v>0.98055499999999995</v>
      </c>
      <c r="Y6367">
        <v>-4.5908030000000001E-3</v>
      </c>
      <c r="Z6367">
        <v>1.5853589999999999E-3</v>
      </c>
      <c r="AA6367">
        <v>0.99998819999999999</v>
      </c>
      <c r="AB6367">
        <v>32</v>
      </c>
      <c r="AC6367">
        <v>15.8969</v>
      </c>
      <c r="AD6367">
        <v>-1.122118187905</v>
      </c>
      <c r="AE6367">
        <v>-0.328100000000006</v>
      </c>
      <c r="AF6367">
        <v>-7.4015425898638701E-2</v>
      </c>
      <c r="AG6367">
        <v>-1.122118187905</v>
      </c>
      <c r="AH6367">
        <v>15.821314473181999</v>
      </c>
      <c r="AI6367">
        <v>94.056834676028103</v>
      </c>
      <c r="AJ6367">
        <v>90.268039712699505</v>
      </c>
      <c r="AK6367">
        <v>15.8612300648537</v>
      </c>
      <c r="AL6367">
        <v>79.642052820923197</v>
      </c>
      <c r="AM6367">
        <v>85.414474395541006</v>
      </c>
      <c r="AN6367">
        <v>1.0000000311783299</v>
      </c>
    </row>
    <row r="6368" spans="1:40" x14ac:dyDescent="0.25">
      <c r="A6368" t="str">
        <f>"20190303170701699"</f>
        <v>20190303170701699</v>
      </c>
      <c r="B6368" t="str">
        <f>"1551604021690872"</f>
        <v>1551604021690872</v>
      </c>
      <c r="C6368" t="s">
        <v>40</v>
      </c>
      <c r="D6368">
        <v>5.422269</v>
      </c>
      <c r="E6368">
        <v>0.46942450000000002</v>
      </c>
      <c r="F6368" t="s">
        <v>41</v>
      </c>
      <c r="G6368">
        <v>-143.3177</v>
      </c>
      <c r="H6368" s="1">
        <v>-3.3587160000000001E-6</v>
      </c>
      <c r="I6368">
        <v>136.74250000000001</v>
      </c>
      <c r="J6368">
        <v>-159.3312</v>
      </c>
      <c r="K6368">
        <v>1.1224130000000001</v>
      </c>
      <c r="L6368">
        <v>136.9828</v>
      </c>
      <c r="M6368">
        <v>0.99963100000000005</v>
      </c>
      <c r="N6368">
        <v>-1.391567E-2</v>
      </c>
      <c r="O6368">
        <v>-2.3332240000000001E-2</v>
      </c>
      <c r="P6368">
        <v>0.9809272</v>
      </c>
      <c r="Q6368">
        <v>0.1672795</v>
      </c>
      <c r="R6368">
        <v>-9.8993940000000002E-2</v>
      </c>
      <c r="S6368">
        <v>3.090195</v>
      </c>
      <c r="T6368">
        <v>-0.21235809999999999</v>
      </c>
      <c r="U6368">
        <v>-4.6646119999999999E-2</v>
      </c>
      <c r="V6368">
        <v>7.5502600000000003E-2</v>
      </c>
      <c r="W6368">
        <v>0.1811826</v>
      </c>
      <c r="X6368">
        <v>0.9805469</v>
      </c>
      <c r="Y6368">
        <v>-8.1846030000000004E-3</v>
      </c>
      <c r="Z6368">
        <v>1.6147290000000001E-3</v>
      </c>
      <c r="AA6368">
        <v>0.9999652</v>
      </c>
      <c r="AB6368">
        <v>32</v>
      </c>
      <c r="AC6368">
        <v>16.013499999999901</v>
      </c>
      <c r="AD6368">
        <v>-1.1224163587160001</v>
      </c>
      <c r="AE6368">
        <v>-0.24029999999998999</v>
      </c>
      <c r="AF6368">
        <v>-0.132780218820367</v>
      </c>
      <c r="AG6368">
        <v>-1.1224163587160001</v>
      </c>
      <c r="AH6368">
        <v>15.936470806195</v>
      </c>
      <c r="AI6368">
        <v>94.028588238133807</v>
      </c>
      <c r="AJ6368">
        <v>90.477368559118602</v>
      </c>
      <c r="AK6368">
        <v>15.976499955419801</v>
      </c>
      <c r="AL6368">
        <v>79.561349517471598</v>
      </c>
      <c r="AM6368">
        <v>85.596884841185499</v>
      </c>
      <c r="AN6368">
        <v>1.0000000001245599</v>
      </c>
    </row>
    <row r="6369" spans="1:40" x14ac:dyDescent="0.25">
      <c r="A6369" t="str">
        <f>"20190303170701722"</f>
        <v>20190303170701722</v>
      </c>
      <c r="B6369" t="str">
        <f>"1551604021711369"</f>
        <v>1551604021711369</v>
      </c>
      <c r="C6369" t="s">
        <v>40</v>
      </c>
      <c r="D6369">
        <v>5.5346149999999996</v>
      </c>
      <c r="E6369">
        <v>0.46963199999999999</v>
      </c>
      <c r="F6369" t="s">
        <v>41</v>
      </c>
      <c r="G6369">
        <v>-142.79820000000001</v>
      </c>
      <c r="H6369" s="1">
        <v>-3.568814E-6</v>
      </c>
      <c r="I6369">
        <v>136.81460000000001</v>
      </c>
      <c r="J6369">
        <v>-159.0181</v>
      </c>
      <c r="K6369">
        <v>1.1226499999999999</v>
      </c>
      <c r="L6369">
        <v>136.97749999999999</v>
      </c>
      <c r="M6369">
        <v>0.99967899999999998</v>
      </c>
      <c r="N6369">
        <v>-1.3894E-2</v>
      </c>
      <c r="O6369">
        <v>-2.1186940000000001E-2</v>
      </c>
      <c r="P6369">
        <v>0.98156429999999995</v>
      </c>
      <c r="Q6369">
        <v>0.16672690000000001</v>
      </c>
      <c r="R6369">
        <v>-9.3454140000000005E-2</v>
      </c>
      <c r="S6369">
        <v>3.0909420000000001</v>
      </c>
      <c r="T6369">
        <v>-0.20984230000000001</v>
      </c>
      <c r="U6369">
        <v>-3.143311E-2</v>
      </c>
      <c r="V6369">
        <v>7.19582E-2</v>
      </c>
      <c r="W6369">
        <v>0.1806442</v>
      </c>
      <c r="X6369">
        <v>0.98091269999999997</v>
      </c>
      <c r="Y6369">
        <v>-1.0960040000000001E-2</v>
      </c>
      <c r="Z6369">
        <v>1.5902749999999999E-3</v>
      </c>
      <c r="AA6369">
        <v>0.99993869999999896</v>
      </c>
      <c r="AB6369">
        <v>32</v>
      </c>
      <c r="AC6369">
        <v>16.2198999999999</v>
      </c>
      <c r="AD6369">
        <v>-1.122653568814</v>
      </c>
      <c r="AE6369">
        <v>-0.16289999999997901</v>
      </c>
      <c r="AF6369">
        <v>-0.179957760754171</v>
      </c>
      <c r="AG6369">
        <v>-1.122653568814</v>
      </c>
      <c r="AH6369">
        <v>16.142385278167701</v>
      </c>
      <c r="AI6369">
        <v>93.978094119138404</v>
      </c>
      <c r="AJ6369">
        <v>90.6387155856264</v>
      </c>
      <c r="AK6369">
        <v>16.1823773995057</v>
      </c>
      <c r="AL6369">
        <v>79.592715309137603</v>
      </c>
      <c r="AM6369">
        <v>85.804387881267601</v>
      </c>
      <c r="AN6369">
        <v>1.0000000172810799</v>
      </c>
    </row>
    <row r="6370" spans="1:40" x14ac:dyDescent="0.25">
      <c r="A6370" t="str">
        <f>"20190303170701756"</f>
        <v>20190303170701756</v>
      </c>
      <c r="B6370" t="str">
        <f>"1551604021741625"</f>
        <v>1551604021741625</v>
      </c>
      <c r="C6370" t="s">
        <v>40</v>
      </c>
      <c r="D6370">
        <v>5.702458</v>
      </c>
      <c r="E6370">
        <v>0.47004820000000003</v>
      </c>
      <c r="F6370" t="s">
        <v>41</v>
      </c>
      <c r="G6370">
        <v>-142.83459999999999</v>
      </c>
      <c r="H6370" s="1">
        <v>-3.5400060000000002E-6</v>
      </c>
      <c r="I6370">
        <v>136.88890000000001</v>
      </c>
      <c r="J6370">
        <v>-158.53280000000001</v>
      </c>
      <c r="K6370">
        <v>1.1228880000000001</v>
      </c>
      <c r="L6370">
        <v>136.97110000000001</v>
      </c>
      <c r="M6370">
        <v>0.99974909999999995</v>
      </c>
      <c r="N6370">
        <v>-1.3865479999999999E-2</v>
      </c>
      <c r="O6370">
        <v>-1.7595719999999999E-2</v>
      </c>
      <c r="P6370">
        <v>0.98249540000000002</v>
      </c>
      <c r="Q6370">
        <v>0.16433299999999901</v>
      </c>
      <c r="R6370">
        <v>-8.7734350000000003E-2</v>
      </c>
      <c r="S6370">
        <v>3.0911409999999999</v>
      </c>
      <c r="T6370">
        <v>-0.21443300000000001</v>
      </c>
      <c r="U6370">
        <v>-1.6922E-2</v>
      </c>
      <c r="V6370">
        <v>6.9656739999999995E-2</v>
      </c>
      <c r="W6370">
        <v>0.17826400000000001</v>
      </c>
      <c r="X6370">
        <v>0.98151409999999994</v>
      </c>
      <c r="Y6370">
        <v>-1.2061860000000001E-2</v>
      </c>
      <c r="Z6370">
        <v>1.4769290000000001E-3</v>
      </c>
      <c r="AA6370">
        <v>0.99992610000000004</v>
      </c>
      <c r="AB6370">
        <v>32</v>
      </c>
      <c r="AC6370">
        <v>15.6982</v>
      </c>
      <c r="AD6370">
        <v>-1.12289154000599</v>
      </c>
      <c r="AE6370">
        <v>-8.2200000000000203E-2</v>
      </c>
      <c r="AF6370">
        <v>-0.19307256342699999</v>
      </c>
      <c r="AG6370">
        <v>-1.12289154000599</v>
      </c>
      <c r="AH6370">
        <v>15.617311376044301</v>
      </c>
      <c r="AI6370">
        <v>94.112201485120394</v>
      </c>
      <c r="AJ6370">
        <v>90.708296020743305</v>
      </c>
      <c r="AK6370">
        <v>15.6588178685905</v>
      </c>
      <c r="AL6370">
        <v>79.731341208656303</v>
      </c>
      <c r="AM6370">
        <v>85.940601323603403</v>
      </c>
      <c r="AN6370">
        <v>1.00000002181111</v>
      </c>
    </row>
    <row r="6371" spans="1:40" x14ac:dyDescent="0.25">
      <c r="A6371" t="str">
        <f>"20190303170701800"</f>
        <v>20190303170701800</v>
      </c>
      <c r="B6371" t="str">
        <f>"1551604021791401"</f>
        <v>1551604021791401</v>
      </c>
      <c r="C6371" t="s">
        <v>40</v>
      </c>
      <c r="D6371">
        <v>5.5908340000000001</v>
      </c>
      <c r="E6371">
        <v>0.47056419999999999</v>
      </c>
      <c r="F6371" t="s">
        <v>41</v>
      </c>
      <c r="G6371">
        <v>-143.18219999999999</v>
      </c>
      <c r="H6371" s="1">
        <v>-3.3816689999999999E-6</v>
      </c>
      <c r="I6371">
        <v>136.941</v>
      </c>
      <c r="J6371">
        <v>-157.89449999999999</v>
      </c>
      <c r="K6371">
        <v>1.123075</v>
      </c>
      <c r="L6371">
        <v>136.96559999999999</v>
      </c>
      <c r="M6371">
        <v>0.99982420000000005</v>
      </c>
      <c r="N6371">
        <v>-1.383494E-2</v>
      </c>
      <c r="O6371">
        <v>-1.266198E-2</v>
      </c>
      <c r="P6371">
        <v>0.98296190000000006</v>
      </c>
      <c r="Q6371">
        <v>0.16545170000000001</v>
      </c>
      <c r="R6371">
        <v>-8.0074019999999996E-2</v>
      </c>
      <c r="S6371">
        <v>3.0907589999999998</v>
      </c>
      <c r="T6371">
        <v>-0.22608719999999999</v>
      </c>
      <c r="U6371">
        <v>-6.0577390000000004E-3</v>
      </c>
      <c r="V6371">
        <v>6.6767800000000002E-2</v>
      </c>
      <c r="W6371">
        <v>0.17936750000000001</v>
      </c>
      <c r="X6371">
        <v>0.98151379999999999</v>
      </c>
      <c r="Y6371">
        <v>-1.06473E-2</v>
      </c>
      <c r="Z6371">
        <v>1.2126330000000001E-3</v>
      </c>
      <c r="AA6371">
        <v>0.99994260000000001</v>
      </c>
      <c r="AB6371">
        <v>32</v>
      </c>
      <c r="AC6371">
        <v>14.712300000000001</v>
      </c>
      <c r="AD6371">
        <v>-1.123078381669</v>
      </c>
      <c r="AE6371">
        <v>-2.4599999999992399E-2</v>
      </c>
      <c r="AF6371">
        <v>-0.160769803268031</v>
      </c>
      <c r="AG6371">
        <v>-1.123078381669</v>
      </c>
      <c r="AH6371">
        <v>14.626202475798101</v>
      </c>
      <c r="AI6371">
        <v>94.390597513948407</v>
      </c>
      <c r="AJ6371">
        <v>90.629764305639</v>
      </c>
      <c r="AK6371">
        <v>14.670138064928301</v>
      </c>
      <c r="AL6371">
        <v>79.6670792432285</v>
      </c>
      <c r="AM6371">
        <v>86.1084309846525</v>
      </c>
      <c r="AN6371">
        <v>0.99999998938176404</v>
      </c>
    </row>
    <row r="6372" spans="1:40" x14ac:dyDescent="0.25">
      <c r="A6372" t="str">
        <f>"20190303170701823"</f>
        <v>20190303170701823</v>
      </c>
      <c r="B6372" t="str">
        <f>"1551604021810922"</f>
        <v>1551604021810922</v>
      </c>
      <c r="C6372" t="s">
        <v>40</v>
      </c>
      <c r="D6372">
        <v>5.6243100000000004</v>
      </c>
      <c r="E6372">
        <v>0.47763470000000002</v>
      </c>
      <c r="F6372" t="s">
        <v>41</v>
      </c>
      <c r="G6372">
        <v>-142.52529999999999</v>
      </c>
      <c r="H6372" s="1">
        <v>-3.6470509999999999E-6</v>
      </c>
      <c r="I6372">
        <v>137.0334</v>
      </c>
      <c r="J6372">
        <v>-157.57490000000001</v>
      </c>
      <c r="K6372">
        <v>1.123124</v>
      </c>
      <c r="L6372">
        <v>136.964</v>
      </c>
      <c r="M6372">
        <v>0.99985279999999999</v>
      </c>
      <c r="N6372">
        <v>-1.3822350000000001E-2</v>
      </c>
      <c r="O6372">
        <v>-1.017093E-2</v>
      </c>
      <c r="P6372">
        <v>0.9831529</v>
      </c>
      <c r="Q6372">
        <v>0.16589519999999999</v>
      </c>
      <c r="R6372">
        <v>-7.6741889999999993E-2</v>
      </c>
      <c r="S6372">
        <v>3.0911249999999999</v>
      </c>
      <c r="T6372">
        <v>-0.22587940000000001</v>
      </c>
      <c r="U6372">
        <v>1.365662E-2</v>
      </c>
      <c r="V6372">
        <v>6.5864290000000006E-2</v>
      </c>
      <c r="W6372">
        <v>0.1798014</v>
      </c>
      <c r="X6372">
        <v>0.98149540000000002</v>
      </c>
      <c r="Y6372">
        <v>-1.4525639999999999E-2</v>
      </c>
      <c r="Z6372">
        <v>1.2323499999999999E-3</v>
      </c>
      <c r="AA6372">
        <v>0.9998937</v>
      </c>
      <c r="AB6372">
        <v>32</v>
      </c>
      <c r="AC6372">
        <v>15.0496</v>
      </c>
      <c r="AD6372">
        <v>-1.1231276470510001</v>
      </c>
      <c r="AE6372">
        <v>6.9400000000001599E-2</v>
      </c>
      <c r="AF6372">
        <v>-0.22124726445943599</v>
      </c>
      <c r="AG6372">
        <v>-1.1231276470510001</v>
      </c>
      <c r="AH6372">
        <v>14.964772462682699</v>
      </c>
      <c r="AI6372">
        <v>94.291616580878895</v>
      </c>
      <c r="AJ6372">
        <v>90.847029984036297</v>
      </c>
      <c r="AK6372">
        <v>15.0084902946122</v>
      </c>
      <c r="AL6372">
        <v>79.641807176200103</v>
      </c>
      <c r="AM6372">
        <v>86.160861863823101</v>
      </c>
      <c r="AN6372">
        <v>0.99999993418015898</v>
      </c>
    </row>
    <row r="6373" spans="1:40" x14ac:dyDescent="0.25">
      <c r="A6373" t="str">
        <f>"20190303170701845"</f>
        <v>20190303170701845</v>
      </c>
      <c r="B6373" t="str">
        <f>"1551604021831417"</f>
        <v>1551604021831417</v>
      </c>
      <c r="C6373" t="s">
        <v>40</v>
      </c>
      <c r="D6373">
        <v>5.6912289999999999</v>
      </c>
      <c r="E6373">
        <v>0.47759119999999999</v>
      </c>
      <c r="F6373" t="s">
        <v>41</v>
      </c>
      <c r="G6373">
        <v>-144.57650000000001</v>
      </c>
      <c r="H6373" s="1">
        <v>-2.8031049999999998E-6</v>
      </c>
      <c r="I6373">
        <v>136.8305</v>
      </c>
      <c r="J6373">
        <v>-157.2628</v>
      </c>
      <c r="K6373">
        <v>1.1231370000000001</v>
      </c>
      <c r="L6373">
        <v>136.9633</v>
      </c>
      <c r="M6373">
        <v>0.99987459999999995</v>
      </c>
      <c r="N6373">
        <v>-1.3811769999999999E-2</v>
      </c>
      <c r="O6373">
        <v>-7.7545879999999998E-3</v>
      </c>
      <c r="P6373">
        <v>0.98370800000000003</v>
      </c>
      <c r="Q6373">
        <v>0.16389329999999999</v>
      </c>
      <c r="R6373">
        <v>-7.3875399999999994E-2</v>
      </c>
      <c r="S6373">
        <v>3.0940249999999998</v>
      </c>
      <c r="T6373">
        <v>-0.26733889999999999</v>
      </c>
      <c r="U6373">
        <v>-3.17688E-2</v>
      </c>
      <c r="V6373">
        <v>6.5370529999999996E-2</v>
      </c>
      <c r="W6373">
        <v>0.177795799999999</v>
      </c>
      <c r="X6373">
        <v>0.98189380000000004</v>
      </c>
      <c r="Y6373">
        <v>2.5215110000000002E-3</v>
      </c>
      <c r="Z6373">
        <v>4.3563579999999997E-4</v>
      </c>
      <c r="AA6373">
        <v>0.99999669999999896</v>
      </c>
      <c r="AB6373">
        <v>32</v>
      </c>
      <c r="AC6373">
        <v>12.6862999999999</v>
      </c>
      <c r="AD6373">
        <v>-1.1231398031049999</v>
      </c>
      <c r="AE6373">
        <v>-0.132800000000003</v>
      </c>
      <c r="AF6373">
        <v>3.4142026185141998E-2</v>
      </c>
      <c r="AG6373">
        <v>-1.1231398031049999</v>
      </c>
      <c r="AH6373">
        <v>12.588293876628301</v>
      </c>
      <c r="AI6373">
        <v>95.0984663998684</v>
      </c>
      <c r="AJ6373">
        <v>89.8446025150823</v>
      </c>
      <c r="AK6373">
        <v>12.6383444888809</v>
      </c>
      <c r="AL6373">
        <v>79.758602816135607</v>
      </c>
      <c r="AM6373">
        <v>86.191098865712803</v>
      </c>
      <c r="AN6373">
        <v>1.00000004358427</v>
      </c>
    </row>
    <row r="6374" spans="1:40" x14ac:dyDescent="0.25">
      <c r="A6374" t="str">
        <f>"20190303170701868"</f>
        <v>20190303170701868</v>
      </c>
      <c r="B6374" t="str">
        <f>"1551604021861673"</f>
        <v>1551604021861673</v>
      </c>
      <c r="C6374" t="s">
        <v>40</v>
      </c>
      <c r="D6374">
        <v>5.6866379999999896</v>
      </c>
      <c r="E6374">
        <v>0.44974039999999998</v>
      </c>
      <c r="F6374" t="s">
        <v>42</v>
      </c>
      <c r="G6374">
        <v>-156.27500000000001</v>
      </c>
      <c r="H6374">
        <v>1.037447</v>
      </c>
      <c r="I6374">
        <v>136.9554</v>
      </c>
      <c r="J6374">
        <v>-156.93520000000001</v>
      </c>
      <c r="K6374">
        <v>1.1231359999999999</v>
      </c>
      <c r="L6374">
        <v>136.96350000000001</v>
      </c>
      <c r="M6374">
        <v>0.99989090000000003</v>
      </c>
      <c r="N6374">
        <v>-1.3802E-2</v>
      </c>
      <c r="O6374">
        <v>-5.2495950000000001E-3</v>
      </c>
      <c r="P6374">
        <v>0.98436650000000003</v>
      </c>
      <c r="Q6374">
        <v>0.16132739999999901</v>
      </c>
      <c r="R6374">
        <v>-7.0683010000000004E-2</v>
      </c>
      <c r="S6374">
        <v>3.0925750000000001</v>
      </c>
      <c r="T6374">
        <v>-0.26845239999999998</v>
      </c>
      <c r="U6374">
        <v>-2.445984E-2</v>
      </c>
      <c r="V6374">
        <v>6.4648810000000001E-2</v>
      </c>
      <c r="W6374">
        <v>0.17522470000000001</v>
      </c>
      <c r="X6374">
        <v>0.98240360000000004</v>
      </c>
      <c r="Y6374">
        <v>2.661283E-3</v>
      </c>
      <c r="Z6374">
        <v>2.4878889999999999E-4</v>
      </c>
      <c r="AA6374">
        <v>0.99999640000000001</v>
      </c>
      <c r="AB6374">
        <v>32</v>
      </c>
      <c r="AC6374">
        <v>0.66020000000000301</v>
      </c>
      <c r="AD6374">
        <v>-8.5689000000000098E-2</v>
      </c>
      <c r="AE6374">
        <v>-8.1000000000130898E-3</v>
      </c>
      <c r="AF6374">
        <v>4.5570189637535296E-3</v>
      </c>
      <c r="AG6374">
        <v>-8.5689000000000098E-2</v>
      </c>
      <c r="AH6374">
        <v>0.64929695843657598</v>
      </c>
      <c r="AI6374">
        <v>97.517808898317199</v>
      </c>
      <c r="AJ6374">
        <v>89.597882504326904</v>
      </c>
      <c r="AK6374">
        <v>0.65494267793282901</v>
      </c>
      <c r="AL6374">
        <v>79.908265466613202</v>
      </c>
      <c r="AM6374">
        <v>86.234978270636205</v>
      </c>
      <c r="AN6374">
        <v>0.99999999870873302</v>
      </c>
    </row>
    <row r="6375" spans="1:40" x14ac:dyDescent="0.25">
      <c r="A6375" t="str">
        <f>"20190303170701889"</f>
        <v>20190303170701889</v>
      </c>
      <c r="B6375" t="str">
        <f>"1551604021881193"</f>
        <v>1551604021881193</v>
      </c>
      <c r="C6375" t="s">
        <v>40</v>
      </c>
      <c r="D6375">
        <v>5.6697360000000003</v>
      </c>
      <c r="E6375">
        <v>0.44704509999999997</v>
      </c>
      <c r="F6375" t="s">
        <v>41</v>
      </c>
      <c r="G6375">
        <v>-133.11009999999999</v>
      </c>
      <c r="H6375" s="1">
        <v>-3.1301470000000001E-6</v>
      </c>
      <c r="I6375">
        <v>138.5334</v>
      </c>
      <c r="J6375">
        <v>-156.6234</v>
      </c>
      <c r="K6375">
        <v>1.123138</v>
      </c>
      <c r="L6375">
        <v>136.96430000000001</v>
      </c>
      <c r="M6375">
        <v>0.99990080000000003</v>
      </c>
      <c r="N6375">
        <v>-1.3793740000000001E-2</v>
      </c>
      <c r="O6375">
        <v>-2.892539E-3</v>
      </c>
      <c r="P6375">
        <v>0.98439880000000002</v>
      </c>
      <c r="Q6375">
        <v>0.1620867</v>
      </c>
      <c r="R6375">
        <v>-6.8462780000000001E-2</v>
      </c>
      <c r="S6375">
        <v>3.0860750000000001</v>
      </c>
      <c r="T6375">
        <v>-0.1454802</v>
      </c>
      <c r="U6375">
        <v>0.2033539</v>
      </c>
      <c r="V6375">
        <v>6.4746059999999994E-2</v>
      </c>
      <c r="W6375">
        <v>0.17597479999999999</v>
      </c>
      <c r="X6375">
        <v>0.98226309999999994</v>
      </c>
      <c r="Y6375">
        <v>-6.8538039999999995E-2</v>
      </c>
      <c r="Z6375">
        <v>2.1826940000000002E-3</v>
      </c>
      <c r="AA6375">
        <v>0.99764609999999998</v>
      </c>
      <c r="AB6375">
        <v>32</v>
      </c>
      <c r="AC6375">
        <v>23.513300000000001</v>
      </c>
      <c r="AD6375">
        <v>-1.123141130147</v>
      </c>
      <c r="AE6375">
        <v>1.5690999999999899</v>
      </c>
      <c r="AF6375">
        <v>-1.6334027686480901</v>
      </c>
      <c r="AG6375">
        <v>-1.123141130147</v>
      </c>
      <c r="AH6375">
        <v>23.4553837155281</v>
      </c>
      <c r="AI6375">
        <v>92.734852439343001</v>
      </c>
      <c r="AJ6375">
        <v>93.983573221476206</v>
      </c>
      <c r="AK6375">
        <v>23.538999040857998</v>
      </c>
      <c r="AL6375">
        <v>79.864609471702195</v>
      </c>
      <c r="AM6375">
        <v>86.228793156174206</v>
      </c>
      <c r="AN6375">
        <v>0.99999999007108598</v>
      </c>
    </row>
    <row r="6376" spans="1:40" x14ac:dyDescent="0.25">
      <c r="A6376" t="str">
        <f>"20190303170701912"</f>
        <v>20190303170701912</v>
      </c>
      <c r="B6376" t="str">
        <f>"1551604021901689"</f>
        <v>1551604021901689</v>
      </c>
      <c r="C6376" t="s">
        <v>40</v>
      </c>
      <c r="D6376">
        <v>5.6709519999999998</v>
      </c>
      <c r="E6376">
        <v>0.4462026</v>
      </c>
      <c r="F6376" t="s">
        <v>41</v>
      </c>
      <c r="G6376">
        <v>-128.1232</v>
      </c>
      <c r="H6376" s="1">
        <v>-8.7894059999999996E-7</v>
      </c>
      <c r="I6376">
        <v>139.10059999999999</v>
      </c>
      <c r="J6376">
        <v>-156.30869999999999</v>
      </c>
      <c r="K6376">
        <v>1.1231370000000001</v>
      </c>
      <c r="L6376">
        <v>136.9659</v>
      </c>
      <c r="M6376">
        <v>0.99990489999999999</v>
      </c>
      <c r="N6376">
        <v>-1.3786380000000001E-2</v>
      </c>
      <c r="O6376">
        <v>-5.4536820000000003E-4</v>
      </c>
      <c r="P6376">
        <v>0.98438840000000005</v>
      </c>
      <c r="Q6376">
        <v>0.16378679999999901</v>
      </c>
      <c r="R6376">
        <v>-6.444735E-2</v>
      </c>
      <c r="S6376">
        <v>3.083618</v>
      </c>
      <c r="T6376">
        <v>-0.1215191</v>
      </c>
      <c r="U6376">
        <v>0.23114009999999999</v>
      </c>
      <c r="V6376">
        <v>6.3038040000000004E-2</v>
      </c>
      <c r="W6376">
        <v>0.17765500000000001</v>
      </c>
      <c r="X6376">
        <v>0.98207180000000005</v>
      </c>
      <c r="Y6376">
        <v>-7.5212989999999993E-2</v>
      </c>
      <c r="Z6376">
        <v>2.0127729999999998E-3</v>
      </c>
      <c r="AA6376">
        <v>0.99716539999999998</v>
      </c>
      <c r="AB6376">
        <v>32</v>
      </c>
      <c r="AC6376">
        <v>28.185499999999902</v>
      </c>
      <c r="AD6376">
        <v>-1.1231378789405999</v>
      </c>
      <c r="AE6376">
        <v>2.1346999999999801</v>
      </c>
      <c r="AF6376">
        <v>-2.1466834066889602</v>
      </c>
      <c r="AG6376">
        <v>-1.1231378789405999</v>
      </c>
      <c r="AH6376">
        <v>28.139903863992298</v>
      </c>
      <c r="AI6376">
        <v>92.278997955588906</v>
      </c>
      <c r="AJ6376">
        <v>94.362421956331204</v>
      </c>
      <c r="AK6376">
        <v>28.244006051167599</v>
      </c>
      <c r="AL6376">
        <v>79.766800706853402</v>
      </c>
      <c r="AM6376">
        <v>86.327289516184294</v>
      </c>
      <c r="AN6376">
        <v>1.00000005693363</v>
      </c>
    </row>
    <row r="6377" spans="1:40" x14ac:dyDescent="0.25">
      <c r="A6377" t="str">
        <f>"20190303170701933"</f>
        <v>20190303170701933</v>
      </c>
      <c r="B6377" t="str">
        <f>"1551604021921209"</f>
        <v>1551604021921209</v>
      </c>
      <c r="C6377" t="s">
        <v>40</v>
      </c>
      <c r="D6377">
        <v>5.6702269999999997</v>
      </c>
      <c r="E6377">
        <v>0.4464554</v>
      </c>
      <c r="F6377" t="s">
        <v>41</v>
      </c>
      <c r="G6377">
        <v>-124.8828</v>
      </c>
      <c r="H6377" s="1">
        <v>-2.1951840000000002E-6</v>
      </c>
      <c r="I6377">
        <v>139.51689999999999</v>
      </c>
      <c r="J6377">
        <v>-155.99440000000001</v>
      </c>
      <c r="K6377">
        <v>1.1231370000000001</v>
      </c>
      <c r="L6377">
        <v>136.96809999999999</v>
      </c>
      <c r="M6377">
        <v>0.9999036</v>
      </c>
      <c r="N6377">
        <v>-1.3779700000000001E-2</v>
      </c>
      <c r="O6377">
        <v>1.7634409999999999E-3</v>
      </c>
      <c r="P6377">
        <v>0.98430779999999995</v>
      </c>
      <c r="Q6377">
        <v>0.16569410000000001</v>
      </c>
      <c r="R6377">
        <v>-6.0694919999999999E-2</v>
      </c>
      <c r="S6377">
        <v>3.0822910000000001</v>
      </c>
      <c r="T6377">
        <v>-0.1101587</v>
      </c>
      <c r="U6377">
        <v>0.25021359999999998</v>
      </c>
      <c r="V6377">
        <v>6.1557489999999999E-2</v>
      </c>
      <c r="W6377">
        <v>0.17954200000000001</v>
      </c>
      <c r="X6377">
        <v>0.98182250000000004</v>
      </c>
      <c r="Y6377">
        <v>-7.9084509999999997E-2</v>
      </c>
      <c r="Z6377">
        <v>1.917839E-3</v>
      </c>
      <c r="AA6377">
        <v>0.99686600000000003</v>
      </c>
      <c r="AB6377">
        <v>32</v>
      </c>
      <c r="AC6377">
        <v>31.111599999999999</v>
      </c>
      <c r="AD6377">
        <v>-1.123139195184</v>
      </c>
      <c r="AE6377">
        <v>2.5488</v>
      </c>
      <c r="AF6377">
        <v>-2.4907030322067301</v>
      </c>
      <c r="AG6377">
        <v>-1.123139195184</v>
      </c>
      <c r="AH6377">
        <v>31.075817634316</v>
      </c>
      <c r="AI6377">
        <v>92.063266829854896</v>
      </c>
      <c r="AJ6377">
        <v>94.582417359248794</v>
      </c>
      <c r="AK6377">
        <v>31.195696576413599</v>
      </c>
      <c r="AL6377">
        <v>79.656916651741597</v>
      </c>
      <c r="AM6377">
        <v>86.412412839100696</v>
      </c>
      <c r="AN6377">
        <v>1.0000000379226699</v>
      </c>
    </row>
    <row r="6378" spans="1:40" x14ac:dyDescent="0.25">
      <c r="A6378" t="str">
        <f>"20190303170701957"</f>
        <v>20190303170701957</v>
      </c>
      <c r="B6378" t="str">
        <f>"1551604021951464"</f>
        <v>1551604021951464</v>
      </c>
      <c r="C6378" t="s">
        <v>40</v>
      </c>
      <c r="D6378">
        <v>5.7087130000000004</v>
      </c>
      <c r="E6378">
        <v>0.44696930000000001</v>
      </c>
      <c r="F6378" t="s">
        <v>41</v>
      </c>
      <c r="G6378">
        <v>-120.3395</v>
      </c>
      <c r="H6378" s="1">
        <v>-4.2201789999999999E-6</v>
      </c>
      <c r="I6378">
        <v>139.96789999999999</v>
      </c>
      <c r="J6378">
        <v>-155.66579999999999</v>
      </c>
      <c r="K6378">
        <v>1.1231169999999999</v>
      </c>
      <c r="L6378">
        <v>136.97120000000001</v>
      </c>
      <c r="M6378">
        <v>0.99989660000000002</v>
      </c>
      <c r="N6378">
        <v>-1.377331E-2</v>
      </c>
      <c r="O6378">
        <v>4.1351540000000003E-3</v>
      </c>
      <c r="P6378">
        <v>0.98438530000000002</v>
      </c>
      <c r="Q6378">
        <v>0.16592680000000001</v>
      </c>
      <c r="R6378">
        <v>-5.8771329999999997E-2</v>
      </c>
      <c r="S6378">
        <v>3.080139</v>
      </c>
      <c r="T6378">
        <v>-9.7025390000000003E-2</v>
      </c>
      <c r="U6378">
        <v>0.25913999999999998</v>
      </c>
      <c r="V6378">
        <v>6.1979329999999999E-2</v>
      </c>
      <c r="W6378">
        <v>0.1797657</v>
      </c>
      <c r="X6378">
        <v>0.98175500000000004</v>
      </c>
      <c r="Y6378">
        <v>-7.9658820000000005E-2</v>
      </c>
      <c r="Z6378">
        <v>1.72875E-3</v>
      </c>
      <c r="AA6378">
        <v>0.9968207</v>
      </c>
      <c r="AB6378">
        <v>32</v>
      </c>
      <c r="AC6378">
        <v>35.326299999999897</v>
      </c>
      <c r="AD6378">
        <v>-1.123121220179</v>
      </c>
      <c r="AE6378">
        <v>2.9966999999999699</v>
      </c>
      <c r="AF6378">
        <v>-2.8477229679220399</v>
      </c>
      <c r="AG6378">
        <v>-1.123121220179</v>
      </c>
      <c r="AH6378">
        <v>35.302962291069598</v>
      </c>
      <c r="AI6378">
        <v>91.816285989469193</v>
      </c>
      <c r="AJ6378">
        <v>94.611793988744097</v>
      </c>
      <c r="AK6378">
        <v>35.435435285910202</v>
      </c>
      <c r="AL6378">
        <v>79.643887332239302</v>
      </c>
      <c r="AM6378">
        <v>86.387645067680197</v>
      </c>
      <c r="AN6378">
        <v>1.00000001213436</v>
      </c>
    </row>
    <row r="6379" spans="1:40" x14ac:dyDescent="0.25">
      <c r="A6379" t="str">
        <f>"20190303170701980"</f>
        <v>20190303170701980</v>
      </c>
      <c r="B6379" t="str">
        <f>"1551604021970984"</f>
        <v>1551604021970984</v>
      </c>
      <c r="C6379" t="s">
        <v>40</v>
      </c>
      <c r="D6379">
        <v>5.6617709999999999</v>
      </c>
      <c r="E6379">
        <v>0.44730389999999998</v>
      </c>
      <c r="F6379" t="s">
        <v>41</v>
      </c>
      <c r="G6379">
        <v>-118.9182</v>
      </c>
      <c r="H6379" s="1">
        <v>-5.6755790000000004E-7</v>
      </c>
      <c r="I6379">
        <v>140.07169999999999</v>
      </c>
      <c r="J6379">
        <v>-155.3416</v>
      </c>
      <c r="K6379">
        <v>1.1230929999999999</v>
      </c>
      <c r="L6379">
        <v>136.97499999999999</v>
      </c>
      <c r="M6379">
        <v>0.99988469999999996</v>
      </c>
      <c r="N6379">
        <v>-1.376748E-2</v>
      </c>
      <c r="O6379">
        <v>6.4275759999999999E-3</v>
      </c>
      <c r="P6379">
        <v>0.98430329999999999</v>
      </c>
      <c r="Q6379">
        <v>0.1668722</v>
      </c>
      <c r="R6379">
        <v>-5.7455140000000002E-2</v>
      </c>
      <c r="S6379">
        <v>3.0789789999999999</v>
      </c>
      <c r="T6379">
        <v>-9.4102859999999997E-2</v>
      </c>
      <c r="U6379">
        <v>0.25978089999999998</v>
      </c>
      <c r="V6379">
        <v>6.2929570000000004E-2</v>
      </c>
      <c r="W6379">
        <v>0.18070140000000001</v>
      </c>
      <c r="X6379">
        <v>0.98152269999999997</v>
      </c>
      <c r="Y6379">
        <v>-7.7615130000000004E-2</v>
      </c>
      <c r="Z6379">
        <v>1.6114289999999999E-3</v>
      </c>
      <c r="AA6379">
        <v>0.99698209999999998</v>
      </c>
      <c r="AB6379">
        <v>32</v>
      </c>
      <c r="AC6379">
        <v>36.423400000000001</v>
      </c>
      <c r="AD6379">
        <v>-1.1230935675578999</v>
      </c>
      <c r="AE6379">
        <v>3.09669999999999</v>
      </c>
      <c r="AF6379">
        <v>-2.85980021745653</v>
      </c>
      <c r="AG6379">
        <v>-1.1230935675578999</v>
      </c>
      <c r="AH6379">
        <v>36.408186582511398</v>
      </c>
      <c r="AI6379">
        <v>91.7614366462915</v>
      </c>
      <c r="AJ6379">
        <v>94.491262961170307</v>
      </c>
      <c r="AK6379">
        <v>36.537594976574702</v>
      </c>
      <c r="AL6379">
        <v>79.589382642569106</v>
      </c>
      <c r="AM6379">
        <v>86.331546397907701</v>
      </c>
      <c r="AN6379">
        <v>0.99999996867881702</v>
      </c>
    </row>
    <row r="6380" spans="1:40" x14ac:dyDescent="0.25">
      <c r="A6380" t="str">
        <f>"20190303170702024"</f>
        <v>20190303170702024</v>
      </c>
      <c r="B6380" t="str">
        <f>"1551604022011001"</f>
        <v>1551604022011001</v>
      </c>
      <c r="C6380" t="s">
        <v>40</v>
      </c>
      <c r="D6380">
        <v>5.725492</v>
      </c>
      <c r="E6380">
        <v>0.44766489999999998</v>
      </c>
      <c r="F6380" t="s">
        <v>41</v>
      </c>
      <c r="G6380">
        <v>-116.8939</v>
      </c>
      <c r="H6380" s="1">
        <v>-1.4773790000000001E-6</v>
      </c>
      <c r="I6380">
        <v>140.22730000000001</v>
      </c>
      <c r="J6380">
        <v>-154.7252</v>
      </c>
      <c r="K6380">
        <v>1.1230329999999999</v>
      </c>
      <c r="L6380">
        <v>136.98410000000001</v>
      </c>
      <c r="M6380">
        <v>0.99984910000000005</v>
      </c>
      <c r="N6380">
        <v>-1.3757159999999999E-2</v>
      </c>
      <c r="O6380">
        <v>1.061373E-2</v>
      </c>
      <c r="P6380">
        <v>0.98402940000000005</v>
      </c>
      <c r="Q6380">
        <v>0.16987360000000001</v>
      </c>
      <c r="R6380">
        <v>-5.3190630000000003E-2</v>
      </c>
      <c r="S6380">
        <v>3.0783079999999998</v>
      </c>
      <c r="T6380">
        <v>-8.9920399999999998E-2</v>
      </c>
      <c r="U6380">
        <v>0.26039119999999999</v>
      </c>
      <c r="V6380">
        <v>6.2807340000000003E-2</v>
      </c>
      <c r="W6380">
        <v>0.18367069999999999</v>
      </c>
      <c r="X6380">
        <v>0.9809793</v>
      </c>
      <c r="Y6380">
        <v>-7.366164E-2</v>
      </c>
      <c r="Z6380">
        <v>1.4178750000000001E-3</v>
      </c>
      <c r="AA6380">
        <v>0.99728229999999995</v>
      </c>
      <c r="AB6380">
        <v>32</v>
      </c>
      <c r="AC6380">
        <v>37.831299999999999</v>
      </c>
      <c r="AD6380">
        <v>-1.123034477379</v>
      </c>
      <c r="AE6380">
        <v>3.2431999999999999</v>
      </c>
      <c r="AF6380">
        <v>-2.83896460942201</v>
      </c>
      <c r="AG6380">
        <v>-1.123034477379</v>
      </c>
      <c r="AH6380">
        <v>37.830500644530197</v>
      </c>
      <c r="AI6380">
        <v>91.695615405862</v>
      </c>
      <c r="AJ6380">
        <v>94.291679087922205</v>
      </c>
      <c r="AK6380">
        <v>37.9534939828566</v>
      </c>
      <c r="AL6380">
        <v>79.416359225468597</v>
      </c>
      <c r="AM6380">
        <v>86.336629713393506</v>
      </c>
      <c r="AN6380">
        <v>1.0000000375124201</v>
      </c>
    </row>
    <row r="6381" spans="1:40" x14ac:dyDescent="0.25">
      <c r="A6381" t="str">
        <f>"20190303170702047"</f>
        <v>20190303170702047</v>
      </c>
      <c r="B6381" t="str">
        <f>"1551604022031496"</f>
        <v>1551604022031496</v>
      </c>
      <c r="C6381" t="s">
        <v>40</v>
      </c>
      <c r="D6381">
        <v>5.7126859999999997</v>
      </c>
      <c r="E6381">
        <v>0.44789620000000002</v>
      </c>
      <c r="F6381" t="s">
        <v>41</v>
      </c>
      <c r="G6381">
        <v>-113.7927</v>
      </c>
      <c r="H6381" s="1">
        <v>-2.9023670000000001E-6</v>
      </c>
      <c r="I6381">
        <v>140.58269999999999</v>
      </c>
      <c r="J6381">
        <v>-154.40280000000001</v>
      </c>
      <c r="K6381">
        <v>1.1229910000000001</v>
      </c>
      <c r="L6381">
        <v>136.9898</v>
      </c>
      <c r="M6381">
        <v>0.99982479999999996</v>
      </c>
      <c r="N6381">
        <v>-1.375211E-2</v>
      </c>
      <c r="O6381">
        <v>1.271391E-2</v>
      </c>
      <c r="P6381">
        <v>0.98413470000000003</v>
      </c>
      <c r="Q6381">
        <v>0.17000170000000001</v>
      </c>
      <c r="R6381">
        <v>-5.0780440000000003E-2</v>
      </c>
      <c r="S6381">
        <v>3.077896</v>
      </c>
      <c r="T6381">
        <v>-8.4445950000000006E-2</v>
      </c>
      <c r="U6381">
        <v>0.27059939999999999</v>
      </c>
      <c r="V6381">
        <v>6.2486180000000002E-2</v>
      </c>
      <c r="W6381">
        <v>0.18378510000000001</v>
      </c>
      <c r="X6381">
        <v>0.98097840000000003</v>
      </c>
      <c r="Y6381">
        <v>-7.4864959999999994E-2</v>
      </c>
      <c r="Z6381">
        <v>1.367271E-3</v>
      </c>
      <c r="AA6381">
        <v>0.99719270000000004</v>
      </c>
      <c r="AB6381">
        <v>32</v>
      </c>
      <c r="AC6381">
        <v>40.610100000000003</v>
      </c>
      <c r="AD6381">
        <v>-1.1229939023669999</v>
      </c>
      <c r="AE6381">
        <v>3.5928999999999802</v>
      </c>
      <c r="AF6381">
        <v>-3.0739153219788999</v>
      </c>
      <c r="AG6381">
        <v>-1.1229939023669999</v>
      </c>
      <c r="AH6381">
        <v>40.621679361246002</v>
      </c>
      <c r="AI6381">
        <v>91.579036972784493</v>
      </c>
      <c r="AJ6381">
        <v>94.327427022934501</v>
      </c>
      <c r="AK6381">
        <v>40.753293177844299</v>
      </c>
      <c r="AL6381">
        <v>79.409691248542799</v>
      </c>
      <c r="AM6381">
        <v>86.355308090034498</v>
      </c>
      <c r="AN6381">
        <v>1.0000000534697699</v>
      </c>
    </row>
    <row r="6382" spans="1:40" x14ac:dyDescent="0.25">
      <c r="A6382" t="str">
        <f>"20190303170702068"</f>
        <v>20190303170702068</v>
      </c>
      <c r="B6382" t="str">
        <f>"1551604022060778"</f>
        <v>1551604022060778</v>
      </c>
      <c r="C6382" t="s">
        <v>40</v>
      </c>
      <c r="D6382">
        <v>5.7343270000000004</v>
      </c>
      <c r="E6382">
        <v>0.44834669999999999</v>
      </c>
      <c r="F6382" t="s">
        <v>41</v>
      </c>
      <c r="G6382">
        <v>-113.06010000000001</v>
      </c>
      <c r="H6382" s="1">
        <v>-3.2471760000000002E-6</v>
      </c>
      <c r="I6382">
        <v>140.69749999999999</v>
      </c>
      <c r="J6382">
        <v>-154.09030000000001</v>
      </c>
      <c r="K6382">
        <v>1.1229469999999999</v>
      </c>
      <c r="L6382">
        <v>136.99600000000001</v>
      </c>
      <c r="M6382">
        <v>0.99979739999999995</v>
      </c>
      <c r="N6382">
        <v>-1.374766E-2</v>
      </c>
      <c r="O6382">
        <v>1.470373E-2</v>
      </c>
      <c r="P6382">
        <v>0.98418830000000002</v>
      </c>
      <c r="Q6382">
        <v>0.1701715</v>
      </c>
      <c r="R6382">
        <v>-4.9145429999999997E-2</v>
      </c>
      <c r="S6382">
        <v>3.0770420000000001</v>
      </c>
      <c r="T6382">
        <v>-8.3581920000000004E-2</v>
      </c>
      <c r="U6382">
        <v>0.27595520000000001</v>
      </c>
      <c r="V6382">
        <v>6.2827699999999903E-2</v>
      </c>
      <c r="W6382">
        <v>0.183944</v>
      </c>
      <c r="X6382">
        <v>0.98092679999999999</v>
      </c>
      <c r="Y6382">
        <v>-7.4627589999999994E-2</v>
      </c>
      <c r="Z6382">
        <v>1.3288309999999999E-3</v>
      </c>
      <c r="AA6382">
        <v>0.99721059999999995</v>
      </c>
      <c r="AB6382">
        <v>32</v>
      </c>
      <c r="AC6382">
        <v>41.030200000000001</v>
      </c>
      <c r="AD6382">
        <v>-1.122950247176</v>
      </c>
      <c r="AE6382">
        <v>3.7014999999999798</v>
      </c>
      <c r="AF6382">
        <v>-3.0954458399446501</v>
      </c>
      <c r="AG6382">
        <v>-1.122950247176</v>
      </c>
      <c r="AH6382">
        <v>41.0496943092473</v>
      </c>
      <c r="AI6382">
        <v>91.562551267819998</v>
      </c>
      <c r="AJ6382">
        <v>94.312357585832203</v>
      </c>
      <c r="AK6382">
        <v>41.181551756682403</v>
      </c>
      <c r="AL6382">
        <v>79.400429017221896</v>
      </c>
      <c r="AM6382">
        <v>86.335249813485603</v>
      </c>
      <c r="AN6382">
        <v>1.0000000509907601</v>
      </c>
    </row>
    <row r="6383" spans="1:40" x14ac:dyDescent="0.25">
      <c r="A6383" t="str">
        <f>"20190303170702090"</f>
        <v>20190303170702090</v>
      </c>
      <c r="B6383" t="str">
        <f>"1551604022081273"</f>
        <v>1551604022081273</v>
      </c>
      <c r="C6383" t="s">
        <v>40</v>
      </c>
      <c r="D6383">
        <v>5.7367189999999999</v>
      </c>
      <c r="E6383">
        <v>0.44862010000000002</v>
      </c>
      <c r="F6383" t="s">
        <v>41</v>
      </c>
      <c r="G6383">
        <v>-112.9961</v>
      </c>
      <c r="H6383" s="1">
        <v>-3.272792E-6</v>
      </c>
      <c r="I6383">
        <v>140.69049999999999</v>
      </c>
      <c r="J6383">
        <v>-153.78270000000001</v>
      </c>
      <c r="K6383">
        <v>1.1229020000000001</v>
      </c>
      <c r="L6383">
        <v>137.0025</v>
      </c>
      <c r="M6383">
        <v>0.99976779999999998</v>
      </c>
      <c r="N6383">
        <v>-1.3743440000000001E-2</v>
      </c>
      <c r="O6383">
        <v>1.659969E-2</v>
      </c>
      <c r="P6383">
        <v>0.98399890000000001</v>
      </c>
      <c r="Q6383">
        <v>0.17163779999999901</v>
      </c>
      <c r="R6383">
        <v>-4.7819680000000003E-2</v>
      </c>
      <c r="S6383">
        <v>3.0765530000000001</v>
      </c>
      <c r="T6383">
        <v>-8.4070439999999996E-2</v>
      </c>
      <c r="U6383">
        <v>0.27659610000000001</v>
      </c>
      <c r="V6383">
        <v>6.337856E-2</v>
      </c>
      <c r="W6383">
        <v>0.18539720000000001</v>
      </c>
      <c r="X6383">
        <v>0.98061770000000004</v>
      </c>
      <c r="Y6383">
        <v>-7.2957289999999994E-2</v>
      </c>
      <c r="Z6383">
        <v>1.2723539999999901E-3</v>
      </c>
      <c r="AA6383">
        <v>0.99733419999999895</v>
      </c>
      <c r="AB6383">
        <v>32</v>
      </c>
      <c r="AC6383">
        <v>40.7866</v>
      </c>
      <c r="AD6383">
        <v>-1.1229052727919999</v>
      </c>
      <c r="AE6383">
        <v>3.6879999999999802</v>
      </c>
      <c r="AF6383">
        <v>-3.0081213475745101</v>
      </c>
      <c r="AG6383">
        <v>-1.1229052727919999</v>
      </c>
      <c r="AH6383">
        <v>40.811521634450102</v>
      </c>
      <c r="AI6383">
        <v>91.571800679685893</v>
      </c>
      <c r="AJ6383">
        <v>94.215514244171899</v>
      </c>
      <c r="AK6383">
        <v>40.9376355987078</v>
      </c>
      <c r="AL6383">
        <v>79.315709303245001</v>
      </c>
      <c r="AM6383">
        <v>86.3020447429505</v>
      </c>
      <c r="AN6383">
        <v>1.0000000185944</v>
      </c>
    </row>
    <row r="6384" spans="1:40" x14ac:dyDescent="0.25">
      <c r="A6384" t="str">
        <f>"20190303170702113"</f>
        <v>20190303170702113</v>
      </c>
      <c r="B6384" t="str">
        <f>"1551604022101769"</f>
        <v>1551604022101769</v>
      </c>
      <c r="C6384" t="s">
        <v>40</v>
      </c>
      <c r="D6384">
        <v>5.7473720000000004</v>
      </c>
      <c r="E6384">
        <v>0.4488722</v>
      </c>
      <c r="F6384" t="s">
        <v>41</v>
      </c>
      <c r="G6384">
        <v>-110.1039</v>
      </c>
      <c r="H6384" s="1">
        <v>-4.4790959999999999E-6</v>
      </c>
      <c r="I6384">
        <v>140.9606</v>
      </c>
      <c r="J6384">
        <v>-153.46090000000001</v>
      </c>
      <c r="K6384">
        <v>1.122849</v>
      </c>
      <c r="L6384">
        <v>137.01</v>
      </c>
      <c r="M6384">
        <v>0.99973449999999997</v>
      </c>
      <c r="N6384">
        <v>-1.3738810000000001E-2</v>
      </c>
      <c r="O6384">
        <v>1.8508569999999998E-2</v>
      </c>
      <c r="P6384">
        <v>0.98366089999999995</v>
      </c>
      <c r="Q6384">
        <v>0.1739272</v>
      </c>
      <c r="R6384">
        <v>-4.6486880000000001E-2</v>
      </c>
      <c r="S6384">
        <v>3.0761259999999999</v>
      </c>
      <c r="T6384">
        <v>-7.9081890000000002E-2</v>
      </c>
      <c r="U6384">
        <v>0.27874759999999998</v>
      </c>
      <c r="V6384">
        <v>6.3932920000000004E-2</v>
      </c>
      <c r="W6384">
        <v>0.18766930000000001</v>
      </c>
      <c r="X6384">
        <v>0.98014939999999995</v>
      </c>
      <c r="Y6384">
        <v>-7.1761560000000002E-2</v>
      </c>
      <c r="Z6384">
        <v>1.1936799999999999E-3</v>
      </c>
      <c r="AA6384">
        <v>0.99742109999999995</v>
      </c>
      <c r="AB6384">
        <v>32</v>
      </c>
      <c r="AC6384">
        <v>43.356999999999999</v>
      </c>
      <c r="AD6384">
        <v>-1.1228534790960001</v>
      </c>
      <c r="AE6384">
        <v>3.9506000000000001</v>
      </c>
      <c r="AF6384">
        <v>-3.1452793174332299</v>
      </c>
      <c r="AG6384">
        <v>-1.1228534790960001</v>
      </c>
      <c r="AH6384">
        <v>43.393833908035603</v>
      </c>
      <c r="AI6384">
        <v>91.478371126423596</v>
      </c>
      <c r="AJ6384">
        <v>94.145672675998497</v>
      </c>
      <c r="AK6384">
        <v>43.522159909158603</v>
      </c>
      <c r="AL6384">
        <v>79.183201812745196</v>
      </c>
      <c r="AM6384">
        <v>86.268013171057405</v>
      </c>
      <c r="AN6384">
        <v>1.00000001537128</v>
      </c>
    </row>
    <row r="6385" spans="1:40" x14ac:dyDescent="0.25">
      <c r="A6385" t="str">
        <f>"20190303170702135"</f>
        <v>20190303170702135</v>
      </c>
      <c r="B6385" t="str">
        <f>"1551604022121290"</f>
        <v>1551604022121290</v>
      </c>
      <c r="C6385" t="s">
        <v>40</v>
      </c>
      <c r="D6385">
        <v>5.6843399999999997</v>
      </c>
      <c r="E6385">
        <v>0.44910600000000001</v>
      </c>
      <c r="F6385" t="s">
        <v>41</v>
      </c>
      <c r="G6385">
        <v>-105.807</v>
      </c>
      <c r="H6385" s="1">
        <v>-2.4269769999999998E-6</v>
      </c>
      <c r="I6385">
        <v>141.36189999999999</v>
      </c>
      <c r="J6385">
        <v>-153.14410000000001</v>
      </c>
      <c r="K6385">
        <v>1.1227879999999999</v>
      </c>
      <c r="L6385">
        <v>137.0179</v>
      </c>
      <c r="M6385">
        <v>0.99969940000000002</v>
      </c>
      <c r="N6385">
        <v>-1.373421E-2</v>
      </c>
      <c r="O6385">
        <v>2.0314720000000001E-2</v>
      </c>
      <c r="P6385">
        <v>0.98374709999999999</v>
      </c>
      <c r="Q6385">
        <v>0.17397979999999999</v>
      </c>
      <c r="R6385">
        <v>-4.441755E-2</v>
      </c>
      <c r="S6385">
        <v>3.0759120000000002</v>
      </c>
      <c r="T6385">
        <v>-7.247663E-2</v>
      </c>
      <c r="U6385">
        <v>0.28089899999999901</v>
      </c>
      <c r="V6385">
        <v>6.3670009999999999E-2</v>
      </c>
      <c r="W6385">
        <v>0.18770680000000001</v>
      </c>
      <c r="X6385">
        <v>0.98015929999999996</v>
      </c>
      <c r="Y6385">
        <v>-7.0662639999999999E-2</v>
      </c>
      <c r="Z6385">
        <v>1.1180700000000001E-3</v>
      </c>
      <c r="AA6385">
        <v>0.99749960000000004</v>
      </c>
      <c r="AB6385">
        <v>32</v>
      </c>
      <c r="AC6385">
        <v>47.3371</v>
      </c>
      <c r="AD6385">
        <v>-1.1227904269769999</v>
      </c>
      <c r="AE6385">
        <v>4.3439999999999896</v>
      </c>
      <c r="AF6385">
        <v>-3.3794874410341702</v>
      </c>
      <c r="AG6385">
        <v>-1.1227904269769999</v>
      </c>
      <c r="AH6385">
        <v>47.389146739890897</v>
      </c>
      <c r="AI6385">
        <v>91.353817365825293</v>
      </c>
      <c r="AJ6385">
        <v>94.0790589211785</v>
      </c>
      <c r="AK6385">
        <v>47.522761098677101</v>
      </c>
      <c r="AL6385">
        <v>79.181013994193606</v>
      </c>
      <c r="AM6385">
        <v>86.283354472054697</v>
      </c>
      <c r="AN6385">
        <v>0.99999998315806404</v>
      </c>
    </row>
    <row r="6386" spans="1:40" x14ac:dyDescent="0.25">
      <c r="A6386" t="str">
        <f>"20190303170702159"</f>
        <v>20190303170702159</v>
      </c>
      <c r="B6386" t="str">
        <f>"1551604022151544"</f>
        <v>1551604022151544</v>
      </c>
      <c r="C6386" t="s">
        <v>40</v>
      </c>
      <c r="D6386">
        <v>5.7282820000000001</v>
      </c>
      <c r="E6386">
        <v>0.44935999999999998</v>
      </c>
      <c r="F6386" t="s">
        <v>41</v>
      </c>
      <c r="G6386">
        <v>-105.8961</v>
      </c>
      <c r="H6386" s="1">
        <v>-2.3965549999999999E-6</v>
      </c>
      <c r="I6386">
        <v>141.4058</v>
      </c>
      <c r="J6386">
        <v>-152.82490000000001</v>
      </c>
      <c r="K6386">
        <v>1.122736</v>
      </c>
      <c r="L6386">
        <v>137.02619999999999</v>
      </c>
      <c r="M6386">
        <v>0.99966250000000001</v>
      </c>
      <c r="N6386">
        <v>-1.3729720000000001E-2</v>
      </c>
      <c r="O6386">
        <v>2.2062640000000001E-2</v>
      </c>
      <c r="P6386">
        <v>0.98390699999999998</v>
      </c>
      <c r="Q6386">
        <v>0.17370250000000001</v>
      </c>
      <c r="R6386">
        <v>-4.1888050000000003E-2</v>
      </c>
      <c r="S6386">
        <v>3.0753780000000002</v>
      </c>
      <c r="T6386">
        <v>-7.3082569999999999E-2</v>
      </c>
      <c r="U6386">
        <v>0.28561399999999998</v>
      </c>
      <c r="V6386">
        <v>6.2894549999999994E-2</v>
      </c>
      <c r="W6386">
        <v>0.1874131</v>
      </c>
      <c r="X6386">
        <v>0.98026559999999996</v>
      </c>
      <c r="Y6386">
        <v>-7.0450449999999998E-2</v>
      </c>
      <c r="Z6386">
        <v>1.099399E-3</v>
      </c>
      <c r="AA6386">
        <v>0.99751469999999998</v>
      </c>
      <c r="AB6386">
        <v>32</v>
      </c>
      <c r="AC6386">
        <v>46.928800000000003</v>
      </c>
      <c r="AD6386">
        <v>-1.122738396555</v>
      </c>
      <c r="AE6386">
        <v>4.3796000000000097</v>
      </c>
      <c r="AF6386">
        <v>-3.3411672603262201</v>
      </c>
      <c r="AG6386">
        <v>-1.122738396555</v>
      </c>
      <c r="AH6386">
        <v>46.987347532166602</v>
      </c>
      <c r="AI6386">
        <v>91.365346438727997</v>
      </c>
      <c r="AJ6386">
        <v>94.067331232359905</v>
      </c>
      <c r="AK6386">
        <v>47.119367231290198</v>
      </c>
      <c r="AL6386">
        <v>79.198146208759994</v>
      </c>
      <c r="AM6386">
        <v>86.328893312458305</v>
      </c>
      <c r="AN6386">
        <v>1.0000000205073301</v>
      </c>
    </row>
    <row r="6387" spans="1:40" x14ac:dyDescent="0.25">
      <c r="A6387" t="str">
        <f>"20190303170702184"</f>
        <v>20190303170702184</v>
      </c>
      <c r="B6387" t="str">
        <f>"1551604022171064"</f>
        <v>1551604022171064</v>
      </c>
      <c r="C6387" t="s">
        <v>40</v>
      </c>
      <c r="D6387">
        <v>5.7314369999999997</v>
      </c>
      <c r="E6387">
        <v>0.44957530000000001</v>
      </c>
      <c r="F6387" t="s">
        <v>41</v>
      </c>
      <c r="G6387">
        <v>-107.252</v>
      </c>
      <c r="H6387" s="1">
        <v>-1.74215999999999E-6</v>
      </c>
      <c r="I6387">
        <v>141.3552</v>
      </c>
      <c r="J6387">
        <v>-152.46459999999999</v>
      </c>
      <c r="K6387">
        <v>1.122684</v>
      </c>
      <c r="L6387">
        <v>137.03630000000001</v>
      </c>
      <c r="M6387">
        <v>0.99961889999999998</v>
      </c>
      <c r="N6387">
        <v>-1.3724989999999999E-2</v>
      </c>
      <c r="O6387">
        <v>2.395181E-2</v>
      </c>
      <c r="P6387">
        <v>0.98362859999999996</v>
      </c>
      <c r="Q6387">
        <v>0.17557410000000001</v>
      </c>
      <c r="R6387">
        <v>-4.0601459999999999E-2</v>
      </c>
      <c r="S6387">
        <v>3.074875</v>
      </c>
      <c r="T6387">
        <v>-7.5752849999999997E-2</v>
      </c>
      <c r="U6387">
        <v>0.2920837</v>
      </c>
      <c r="V6387">
        <v>6.3485150000000004E-2</v>
      </c>
      <c r="W6387">
        <v>0.18926519999999999</v>
      </c>
      <c r="X6387">
        <v>0.97987159999999995</v>
      </c>
      <c r="Y6387">
        <v>-7.0659150000000004E-2</v>
      </c>
      <c r="Z6387">
        <v>1.094076E-3</v>
      </c>
      <c r="AA6387">
        <v>0.99749989999999999</v>
      </c>
      <c r="AB6387">
        <v>32</v>
      </c>
      <c r="AC6387">
        <v>45.212599999999902</v>
      </c>
      <c r="AD6387">
        <v>-1.1226857421600001</v>
      </c>
      <c r="AE6387">
        <v>4.3188999999999798</v>
      </c>
      <c r="AF6387">
        <v>-3.2326599169686898</v>
      </c>
      <c r="AG6387">
        <v>-1.1226857421600001</v>
      </c>
      <c r="AH6387">
        <v>45.275417919829202</v>
      </c>
      <c r="AI6387">
        <v>91.416855763581097</v>
      </c>
      <c r="AJ6387">
        <v>94.083981866345994</v>
      </c>
      <c r="AK6387">
        <v>45.404559035735801</v>
      </c>
      <c r="AL6387">
        <v>79.090094955311201</v>
      </c>
      <c r="AM6387">
        <v>86.293030244227097</v>
      </c>
      <c r="AN6387">
        <v>1.0000000163440601</v>
      </c>
    </row>
    <row r="6388" spans="1:40" x14ac:dyDescent="0.25">
      <c r="A6388" t="str">
        <f>"20190303170702204"</f>
        <v>20190303170702204</v>
      </c>
      <c r="B6388" t="str">
        <f>"1551604022191560"</f>
        <v>1551604022191560</v>
      </c>
      <c r="C6388" t="s">
        <v>40</v>
      </c>
      <c r="D6388">
        <v>5.722912</v>
      </c>
      <c r="E6388">
        <v>0.44981719999999997</v>
      </c>
      <c r="F6388" t="s">
        <v>41</v>
      </c>
      <c r="G6388">
        <v>-104.2145</v>
      </c>
      <c r="H6388" s="1">
        <v>-3.2577959999999999E-6</v>
      </c>
      <c r="I6388">
        <v>141.6551</v>
      </c>
      <c r="J6388">
        <v>-152.191</v>
      </c>
      <c r="K6388">
        <v>1.122636</v>
      </c>
      <c r="L6388">
        <v>137.04429999999999</v>
      </c>
      <c r="M6388">
        <v>0.9995851</v>
      </c>
      <c r="N6388">
        <v>-1.3721529999999999E-2</v>
      </c>
      <c r="O6388">
        <v>2.5328079999999999E-2</v>
      </c>
      <c r="P6388">
        <v>0.98311630000000005</v>
      </c>
      <c r="Q6388">
        <v>0.17861859999999999</v>
      </c>
      <c r="R6388">
        <v>-3.9722220000000003E-2</v>
      </c>
      <c r="S6388">
        <v>3.0748289999999998</v>
      </c>
      <c r="T6388">
        <v>-7.1545360000000002E-2</v>
      </c>
      <c r="U6388">
        <v>0.29434199999999999</v>
      </c>
      <c r="V6388">
        <v>6.3957959999999994E-2</v>
      </c>
      <c r="W6388">
        <v>0.19229280000000001</v>
      </c>
      <c r="X6388">
        <v>0.97925119999999999</v>
      </c>
      <c r="Y6388">
        <v>-7.0016140000000004E-2</v>
      </c>
      <c r="Z6388">
        <v>1.0533789999999999E-3</v>
      </c>
      <c r="AA6388">
        <v>0.99754529999999997</v>
      </c>
      <c r="AB6388">
        <v>32</v>
      </c>
      <c r="AC6388">
        <v>47.976500000000001</v>
      </c>
      <c r="AD6388">
        <v>-1.122639257796</v>
      </c>
      <c r="AE6388">
        <v>4.61080000000001</v>
      </c>
      <c r="AF6388">
        <v>-3.3922131963039202</v>
      </c>
      <c r="AG6388">
        <v>-1.122639257796</v>
      </c>
      <c r="AH6388">
        <v>48.051829627453998</v>
      </c>
      <c r="AI6388">
        <v>91.335041685260606</v>
      </c>
      <c r="AJ6388">
        <v>94.038089506118894</v>
      </c>
      <c r="AK6388">
        <v>48.1844970900205</v>
      </c>
      <c r="AL6388">
        <v>78.913380588239804</v>
      </c>
      <c r="AM6388">
        <v>86.263140898081403</v>
      </c>
      <c r="AN6388">
        <v>1.00000002714032</v>
      </c>
    </row>
    <row r="6389" spans="1:40" x14ac:dyDescent="0.25">
      <c r="A6389" t="str">
        <f>"20190303170702227"</f>
        <v>20190303170702227</v>
      </c>
      <c r="B6389" t="str">
        <f>"1551604022221818"</f>
        <v>1551604022221818</v>
      </c>
      <c r="C6389" t="s">
        <v>40</v>
      </c>
      <c r="D6389">
        <v>5.614547</v>
      </c>
      <c r="E6389">
        <v>0.45015850000000002</v>
      </c>
      <c r="F6389" t="s">
        <v>41</v>
      </c>
      <c r="G6389">
        <v>-97.227689999999996</v>
      </c>
      <c r="H6389" s="1">
        <v>-1.890249E-6</v>
      </c>
      <c r="I6389">
        <v>142.31720000000001</v>
      </c>
      <c r="J6389">
        <v>-151.87540000000001</v>
      </c>
      <c r="K6389">
        <v>1.122584</v>
      </c>
      <c r="L6389">
        <v>137.054</v>
      </c>
      <c r="M6389">
        <v>0.99954489999999996</v>
      </c>
      <c r="N6389">
        <v>-1.3717679999999999E-2</v>
      </c>
      <c r="O6389">
        <v>2.6869000000000001E-2</v>
      </c>
      <c r="P6389">
        <v>0.9827439</v>
      </c>
      <c r="Q6389">
        <v>0.18084349999999999</v>
      </c>
      <c r="R6389">
        <v>-3.8862090000000002E-2</v>
      </c>
      <c r="S6389">
        <v>3.0748289999999998</v>
      </c>
      <c r="T6389">
        <v>-6.2803979999999995E-2</v>
      </c>
      <c r="U6389">
        <v>0.29498289999999999</v>
      </c>
      <c r="V6389">
        <v>6.4615740000000005E-2</v>
      </c>
      <c r="W6389">
        <v>0.19450229999999999</v>
      </c>
      <c r="X6389">
        <v>0.97877150000000002</v>
      </c>
      <c r="Y6389">
        <v>-6.8689879999999995E-2</v>
      </c>
      <c r="Z6389">
        <v>9.927661E-4</v>
      </c>
      <c r="AA6389">
        <v>0.99763760000000001</v>
      </c>
      <c r="AB6389">
        <v>31</v>
      </c>
      <c r="AC6389">
        <v>54.647709999999996</v>
      </c>
      <c r="AD6389">
        <v>-1.122585890249</v>
      </c>
      <c r="AE6389">
        <v>5.2632000000000101</v>
      </c>
      <c r="AF6389">
        <v>-3.7912468958219598</v>
      </c>
      <c r="AG6389">
        <v>-1.122585890249</v>
      </c>
      <c r="AH6389">
        <v>54.746516885577101</v>
      </c>
      <c r="AI6389">
        <v>91.171888438952195</v>
      </c>
      <c r="AJ6389">
        <v>93.961461120084806</v>
      </c>
      <c r="AK6389">
        <v>54.889114250540104</v>
      </c>
      <c r="AL6389">
        <v>78.784349113564502</v>
      </c>
      <c r="AM6389">
        <v>86.222974611364904</v>
      </c>
      <c r="AN6389">
        <v>0.99999999388664296</v>
      </c>
    </row>
    <row r="6390" spans="1:40" x14ac:dyDescent="0.25">
      <c r="A6390" t="str">
        <f>"20190303170702247"</f>
        <v>20190303170702247</v>
      </c>
      <c r="B6390" t="str">
        <f>"1551604022241337"</f>
        <v>1551604022241337</v>
      </c>
      <c r="C6390" t="s">
        <v>40</v>
      </c>
      <c r="D6390">
        <v>5.6426259999999999</v>
      </c>
      <c r="E6390">
        <v>0.45035160000000002</v>
      </c>
      <c r="F6390" t="s">
        <v>41</v>
      </c>
      <c r="G6390">
        <v>-91.754099999999994</v>
      </c>
      <c r="H6390" s="1">
        <v>-4.247594E-6</v>
      </c>
      <c r="I6390">
        <v>142.82130000000001</v>
      </c>
      <c r="J6390">
        <v>-151.58019999999999</v>
      </c>
      <c r="K6390">
        <v>1.1225400000000001</v>
      </c>
      <c r="L6390">
        <v>137.0635</v>
      </c>
      <c r="M6390">
        <v>0.99950600000000001</v>
      </c>
      <c r="N6390">
        <v>-1.371434E-2</v>
      </c>
      <c r="O6390">
        <v>2.8276969999999998E-2</v>
      </c>
      <c r="P6390">
        <v>0.98278690000000002</v>
      </c>
      <c r="Q6390">
        <v>0.1809172</v>
      </c>
      <c r="R6390">
        <v>-3.7404640000000003E-2</v>
      </c>
      <c r="S6390">
        <v>3.0748899999999999</v>
      </c>
      <c r="T6390">
        <v>-5.7414529999999998E-2</v>
      </c>
      <c r="U6390">
        <v>0.2949677</v>
      </c>
      <c r="V6390">
        <v>6.4558450000000003E-2</v>
      </c>
      <c r="W6390">
        <v>0.19456689999999999</v>
      </c>
      <c r="X6390">
        <v>0.97876240000000003</v>
      </c>
      <c r="Y6390">
        <v>-6.7281060000000004E-2</v>
      </c>
      <c r="Z6390">
        <v>9.4973829999999999E-4</v>
      </c>
      <c r="AA6390">
        <v>0.9977336</v>
      </c>
      <c r="AB6390">
        <v>31</v>
      </c>
      <c r="AC6390">
        <v>59.826099999999997</v>
      </c>
      <c r="AD6390">
        <v>-1.122544247594</v>
      </c>
      <c r="AE6390">
        <v>5.7577999999999996</v>
      </c>
      <c r="AF6390">
        <v>-4.0622201061113303</v>
      </c>
      <c r="AG6390">
        <v>-1.122544247594</v>
      </c>
      <c r="AH6390">
        <v>59.944090424174703</v>
      </c>
      <c r="AI6390">
        <v>91.070370837576903</v>
      </c>
      <c r="AJ6390">
        <v>93.876825191743706</v>
      </c>
      <c r="AK6390">
        <v>60.092060328798297</v>
      </c>
      <c r="AL6390">
        <v>78.780575262895596</v>
      </c>
      <c r="AM6390">
        <v>86.226278755704996</v>
      </c>
      <c r="AN6390">
        <v>0.99999995384788498</v>
      </c>
    </row>
    <row r="6391" spans="1:40" x14ac:dyDescent="0.25">
      <c r="A6391" t="str">
        <f>"20190303170702269"</f>
        <v>20190303170702269</v>
      </c>
      <c r="B6391" t="str">
        <f>"1551604022260857"</f>
        <v>1551604022260857</v>
      </c>
      <c r="C6391" t="s">
        <v>40</v>
      </c>
      <c r="D6391">
        <v>5.6817320000000002</v>
      </c>
      <c r="E6391">
        <v>0.45056659999999998</v>
      </c>
      <c r="F6391" t="s">
        <v>41</v>
      </c>
      <c r="G6391">
        <v>-91.729740000000007</v>
      </c>
      <c r="H6391" s="1">
        <v>-4.2656100000000001E-6</v>
      </c>
      <c r="I6391">
        <v>142.87610000000001</v>
      </c>
      <c r="J6391">
        <v>-151.268</v>
      </c>
      <c r="K6391">
        <v>1.122503</v>
      </c>
      <c r="L6391">
        <v>137.07390000000001</v>
      </c>
      <c r="M6391">
        <v>0.99946360000000001</v>
      </c>
      <c r="N6391">
        <v>-1.371108E-2</v>
      </c>
      <c r="O6391">
        <v>2.9740369999999999E-2</v>
      </c>
      <c r="P6391">
        <v>0.98305140000000002</v>
      </c>
      <c r="Q6391">
        <v>0.1798845</v>
      </c>
      <c r="R6391">
        <v>-3.5381030000000001E-2</v>
      </c>
      <c r="S6391">
        <v>3.0745239999999998</v>
      </c>
      <c r="T6391">
        <v>-5.7665229999999998E-2</v>
      </c>
      <c r="U6391">
        <v>0.29859920000000001</v>
      </c>
      <c r="V6391">
        <v>6.3997449999999997E-2</v>
      </c>
      <c r="W6391">
        <v>0.19352749999999999</v>
      </c>
      <c r="X6391">
        <v>0.97900529999999997</v>
      </c>
      <c r="Y6391">
        <v>-6.6999119999999995E-2</v>
      </c>
      <c r="Z6391">
        <v>9.380988E-4</v>
      </c>
      <c r="AA6391">
        <v>0.99775259999999999</v>
      </c>
      <c r="AB6391">
        <v>31</v>
      </c>
      <c r="AC6391">
        <v>59.538260000000001</v>
      </c>
      <c r="AD6391">
        <v>-1.1225072656099999</v>
      </c>
      <c r="AE6391">
        <v>5.8021999999999903</v>
      </c>
      <c r="AF6391">
        <v>-4.02735850516813</v>
      </c>
      <c r="AG6391">
        <v>-1.1225072656099999</v>
      </c>
      <c r="AH6391">
        <v>59.663486299400198</v>
      </c>
      <c r="AI6391">
        <v>91.075387536985502</v>
      </c>
      <c r="AJ6391">
        <v>93.861677366786594</v>
      </c>
      <c r="AK6391">
        <v>59.809792145510798</v>
      </c>
      <c r="AL6391">
        <v>78.841282618613903</v>
      </c>
      <c r="AM6391">
        <v>86.259903655299595</v>
      </c>
      <c r="AN6391">
        <v>0.99999997214542002</v>
      </c>
    </row>
    <row r="6392" spans="1:40" x14ac:dyDescent="0.25">
      <c r="A6392" t="str">
        <f>"20190303170702292"</f>
        <v>20190303170702292</v>
      </c>
      <c r="B6392" t="str">
        <f>"1551604022281354"</f>
        <v>1551604022281354</v>
      </c>
      <c r="C6392" t="s">
        <v>40</v>
      </c>
      <c r="D6392">
        <v>5.688625</v>
      </c>
      <c r="E6392">
        <v>0.45076539999999998</v>
      </c>
      <c r="F6392" t="s">
        <v>41</v>
      </c>
      <c r="G6392">
        <v>-95.351110000000006</v>
      </c>
      <c r="H6392" s="1">
        <v>-2.7710510000000002E-6</v>
      </c>
      <c r="I6392">
        <v>142.6019</v>
      </c>
      <c r="J6392">
        <v>-150.95230000000001</v>
      </c>
      <c r="K6392">
        <v>1.1224769999999999</v>
      </c>
      <c r="L6392">
        <v>137.0849</v>
      </c>
      <c r="M6392">
        <v>0.99941919999999995</v>
      </c>
      <c r="N6392">
        <v>-1.3708059999999999E-2</v>
      </c>
      <c r="O6392">
        <v>3.1204800000000001E-2</v>
      </c>
      <c r="P6392">
        <v>0.9832457</v>
      </c>
      <c r="Q6392">
        <v>0.17905199999999999</v>
      </c>
      <c r="R6392">
        <v>-3.4184689999999997E-2</v>
      </c>
      <c r="S6392">
        <v>3.073944</v>
      </c>
      <c r="T6392">
        <v>-6.1707970000000001E-2</v>
      </c>
      <c r="U6392">
        <v>0.303894</v>
      </c>
      <c r="V6392">
        <v>6.4259839999999999E-2</v>
      </c>
      <c r="W6392">
        <v>0.1926909</v>
      </c>
      <c r="X6392">
        <v>0.97915319999999995</v>
      </c>
      <c r="Y6392">
        <v>-6.7255419999999996E-2</v>
      </c>
      <c r="Z6392">
        <v>9.3796350000000005E-4</v>
      </c>
      <c r="AA6392">
        <v>0.99773529999999999</v>
      </c>
      <c r="AB6392">
        <v>31</v>
      </c>
      <c r="AC6392">
        <v>55.601190000000003</v>
      </c>
      <c r="AD6392">
        <v>-1.1224797710509999</v>
      </c>
      <c r="AE6392">
        <v>5.5169999999999897</v>
      </c>
      <c r="AF6392">
        <v>-3.7776014865619998</v>
      </c>
      <c r="AG6392">
        <v>-1.1224797710509999</v>
      </c>
      <c r="AH6392">
        <v>55.723791583412599</v>
      </c>
      <c r="AI6392">
        <v>91.151347384424398</v>
      </c>
      <c r="AJ6392">
        <v>93.878235169305299</v>
      </c>
      <c r="AK6392">
        <v>55.862967896982497</v>
      </c>
      <c r="AL6392">
        <v>78.890136691979293</v>
      </c>
      <c r="AM6392">
        <v>86.2451786487525</v>
      </c>
      <c r="AN6392">
        <v>1.0000000495249299</v>
      </c>
    </row>
    <row r="6393" spans="1:40" x14ac:dyDescent="0.25">
      <c r="A6393" t="str">
        <f>"20190303170702314"</f>
        <v>20190303170702314</v>
      </c>
      <c r="B6393" t="str">
        <f>"1551604022300873"</f>
        <v>1551604022300873</v>
      </c>
      <c r="C6393" t="s">
        <v>40</v>
      </c>
      <c r="D6393">
        <v>5.6461620000000003</v>
      </c>
      <c r="E6393">
        <v>0.45099159999999999</v>
      </c>
      <c r="F6393" t="s">
        <v>41</v>
      </c>
      <c r="G6393">
        <v>-98.664000000000001</v>
      </c>
      <c r="H6393" s="1">
        <v>-1.2714659999999999E-6</v>
      </c>
      <c r="I6393">
        <v>142.3074</v>
      </c>
      <c r="J6393">
        <v>-150.6362</v>
      </c>
      <c r="K6393">
        <v>1.122466</v>
      </c>
      <c r="L6393">
        <v>137.09639999999999</v>
      </c>
      <c r="M6393">
        <v>0.9993725</v>
      </c>
      <c r="N6393">
        <v>-1.370498E-2</v>
      </c>
      <c r="O6393">
        <v>3.266297E-2</v>
      </c>
      <c r="P6393">
        <v>0.982985</v>
      </c>
      <c r="Q6393">
        <v>0.18042900000000001</v>
      </c>
      <c r="R6393">
        <v>-3.4437410000000002E-2</v>
      </c>
      <c r="S6393">
        <v>3.0737920000000001</v>
      </c>
      <c r="T6393">
        <v>-6.5985440000000006E-2</v>
      </c>
      <c r="U6393">
        <v>0.30700680000000002</v>
      </c>
      <c r="V6393">
        <v>6.5940780000000004E-2</v>
      </c>
      <c r="W6393">
        <v>0.19406219999999999</v>
      </c>
      <c r="X6393">
        <v>0.97877049999999999</v>
      </c>
      <c r="Y6393">
        <v>-6.6802959999999995E-2</v>
      </c>
      <c r="Z6393">
        <v>9.2197929999999996E-4</v>
      </c>
      <c r="AA6393">
        <v>0.99776580000000004</v>
      </c>
      <c r="AB6393">
        <v>31</v>
      </c>
      <c r="AC6393">
        <v>51.972200000000001</v>
      </c>
      <c r="AD6393">
        <v>-1.122467271466</v>
      </c>
      <c r="AE6393">
        <v>5.2110000000000101</v>
      </c>
      <c r="AF6393">
        <v>-3.50887280390593</v>
      </c>
      <c r="AG6393">
        <v>-1.122467271466</v>
      </c>
      <c r="AH6393">
        <v>52.090630485721199</v>
      </c>
      <c r="AI6393">
        <v>91.2316483457098</v>
      </c>
      <c r="AJ6393">
        <v>93.853674793331606</v>
      </c>
      <c r="AK6393">
        <v>52.220742100524099</v>
      </c>
      <c r="AL6393">
        <v>78.810054948721699</v>
      </c>
      <c r="AM6393">
        <v>86.145748384079397</v>
      </c>
      <c r="AN6393">
        <v>1.00000000780304</v>
      </c>
    </row>
    <row r="6394" spans="1:40" x14ac:dyDescent="0.25">
      <c r="A6394" t="str">
        <f>"20190303170702336"</f>
        <v>20190303170702336</v>
      </c>
      <c r="B6394" t="str">
        <f>"1551604022331130"</f>
        <v>1551604022331130</v>
      </c>
      <c r="C6394" t="s">
        <v>40</v>
      </c>
      <c r="D6394">
        <v>5.648047</v>
      </c>
      <c r="E6394">
        <v>0.45116489999999998</v>
      </c>
      <c r="F6394" t="s">
        <v>41</v>
      </c>
      <c r="G6394">
        <v>-96.3018</v>
      </c>
      <c r="H6394" s="1">
        <v>-2.3338640000000001E-6</v>
      </c>
      <c r="I6394">
        <v>142.49160000000001</v>
      </c>
      <c r="J6394">
        <v>-150.32299999999901</v>
      </c>
      <c r="K6394">
        <v>1.122465</v>
      </c>
      <c r="L6394">
        <v>137.10810000000001</v>
      </c>
      <c r="M6394">
        <v>0.9993244</v>
      </c>
      <c r="N6394">
        <v>-1.3702020000000001E-2</v>
      </c>
      <c r="O6394">
        <v>3.4104929999999999E-2</v>
      </c>
      <c r="P6394">
        <v>0.98261279999999995</v>
      </c>
      <c r="Q6394">
        <v>0.182421</v>
      </c>
      <c r="R6394">
        <v>-3.4565680000000001E-2</v>
      </c>
      <c r="S6394">
        <v>3.074265</v>
      </c>
      <c r="T6394">
        <v>-6.3509700000000002E-2</v>
      </c>
      <c r="U6394">
        <v>0.30526730000000002</v>
      </c>
      <c r="V6394">
        <v>6.7472879999999999E-2</v>
      </c>
      <c r="W6394">
        <v>0.196047</v>
      </c>
      <c r="X6394">
        <v>0.97827039999999998</v>
      </c>
      <c r="Y6394">
        <v>-6.4791000000000001E-2</v>
      </c>
      <c r="Z6394">
        <v>8.7667820000000005E-4</v>
      </c>
      <c r="AA6394">
        <v>0.99789850000000002</v>
      </c>
      <c r="AB6394">
        <v>31</v>
      </c>
      <c r="AC6394">
        <v>54.021199999999901</v>
      </c>
      <c r="AD6394">
        <v>-1.1224673338639899</v>
      </c>
      <c r="AE6394">
        <v>5.38349999999999</v>
      </c>
      <c r="AF6394">
        <v>-3.53629378535835</v>
      </c>
      <c r="AG6394">
        <v>-1.1224673338639899</v>
      </c>
      <c r="AH6394">
        <v>54.150240045937501</v>
      </c>
      <c r="AI6394">
        <v>91.184976985492895</v>
      </c>
      <c r="AJ6394">
        <v>93.736408341258496</v>
      </c>
      <c r="AK6394">
        <v>54.277194139754599</v>
      </c>
      <c r="AL6394">
        <v>78.694107045343799</v>
      </c>
      <c r="AM6394">
        <v>86.054466596752206</v>
      </c>
      <c r="AN6394">
        <v>0.99999999563032704</v>
      </c>
    </row>
    <row r="6395" spans="1:40" x14ac:dyDescent="0.25">
      <c r="A6395" t="str">
        <f>"20190303170702359"</f>
        <v>20190303170702359</v>
      </c>
      <c r="B6395" t="str">
        <f>"1551604022351625"</f>
        <v>1551604022351625</v>
      </c>
      <c r="C6395" t="s">
        <v>40</v>
      </c>
      <c r="D6395">
        <v>5.6389279999999999</v>
      </c>
      <c r="E6395">
        <v>0.45921190000000001</v>
      </c>
      <c r="F6395" t="s">
        <v>41</v>
      </c>
      <c r="G6395">
        <v>-91.742180000000005</v>
      </c>
      <c r="H6395" s="1">
        <v>-4.2678830000000004E-6</v>
      </c>
      <c r="I6395">
        <v>142.9128</v>
      </c>
      <c r="J6395">
        <v>-150.00790000000001</v>
      </c>
      <c r="K6395">
        <v>1.122466</v>
      </c>
      <c r="L6395">
        <v>137.12049999999999</v>
      </c>
      <c r="M6395">
        <v>0.99927379999999999</v>
      </c>
      <c r="N6395">
        <v>-1.369919E-2</v>
      </c>
      <c r="O6395">
        <v>3.5554919999999997E-2</v>
      </c>
      <c r="P6395">
        <v>0.98237750000000001</v>
      </c>
      <c r="Q6395">
        <v>0.18389320000000001</v>
      </c>
      <c r="R6395">
        <v>-3.3435949999999999E-2</v>
      </c>
      <c r="S6395">
        <v>3.0747529999999998</v>
      </c>
      <c r="T6395">
        <v>-5.8915380000000003E-2</v>
      </c>
      <c r="U6395">
        <v>0.3046722</v>
      </c>
      <c r="V6395">
        <v>6.7759070000000005E-2</v>
      </c>
      <c r="W6395">
        <v>0.19751170000000001</v>
      </c>
      <c r="X6395">
        <v>0.97795589999999999</v>
      </c>
      <c r="Y6395">
        <v>-6.3138910000000006E-2</v>
      </c>
      <c r="Z6395">
        <v>8.4403979999999896E-4</v>
      </c>
      <c r="AA6395">
        <v>0.99800440000000001</v>
      </c>
      <c r="AB6395">
        <v>31</v>
      </c>
      <c r="AC6395">
        <v>58.265719999999902</v>
      </c>
      <c r="AD6395">
        <v>-1.1224702678830001</v>
      </c>
      <c r="AE6395">
        <v>5.7923000000000098</v>
      </c>
      <c r="AF6395">
        <v>-3.7154440845188499</v>
      </c>
      <c r="AG6395">
        <v>-1.1224702678830001</v>
      </c>
      <c r="AH6395">
        <v>58.413370481818703</v>
      </c>
      <c r="AI6395">
        <v>91.098639563961598</v>
      </c>
      <c r="AJ6395">
        <v>93.639455729857204</v>
      </c>
      <c r="AK6395">
        <v>58.542175525800801</v>
      </c>
      <c r="AL6395">
        <v>78.608511848450604</v>
      </c>
      <c r="AM6395">
        <v>86.036514442224501</v>
      </c>
      <c r="AN6395">
        <v>0.99999995277448095</v>
      </c>
    </row>
    <row r="6396" spans="1:40" x14ac:dyDescent="0.25">
      <c r="A6396" t="str">
        <f>"20190303170702385"</f>
        <v>20190303170702385</v>
      </c>
      <c r="B6396" t="str">
        <f>"1551604022371145"</f>
        <v>1551604022371145</v>
      </c>
      <c r="C6396" t="s">
        <v>40</v>
      </c>
      <c r="D6396">
        <v>5.5762450000000001</v>
      </c>
      <c r="E6396">
        <v>0.45899450000000003</v>
      </c>
      <c r="F6396" t="s">
        <v>41</v>
      </c>
      <c r="G6396">
        <v>-107.47920000000001</v>
      </c>
      <c r="H6396" s="1">
        <v>-1.40992E-6</v>
      </c>
      <c r="I6396">
        <v>140.5103</v>
      </c>
      <c r="J6396">
        <v>-149.6566</v>
      </c>
      <c r="K6396">
        <v>1.1224670000000001</v>
      </c>
      <c r="L6396">
        <v>137.13470000000001</v>
      </c>
      <c r="M6396">
        <v>0.99921510000000002</v>
      </c>
      <c r="N6396">
        <v>-1.3696150000000001E-2</v>
      </c>
      <c r="O6396">
        <v>3.7172249999999997E-2</v>
      </c>
      <c r="P6396">
        <v>0.98230620000000002</v>
      </c>
      <c r="Q6396">
        <v>0.18451799999999999</v>
      </c>
      <c r="R6396">
        <v>-3.2058169999999997E-2</v>
      </c>
      <c r="S6396">
        <v>3.0773470000000001</v>
      </c>
      <c r="T6396">
        <v>-8.1220979999999998E-2</v>
      </c>
      <c r="U6396">
        <v>0.245285</v>
      </c>
      <c r="V6396">
        <v>6.7968840000000003E-2</v>
      </c>
      <c r="W6396">
        <v>0.1981311</v>
      </c>
      <c r="X6396">
        <v>0.97781609999999997</v>
      </c>
      <c r="Y6396">
        <v>-4.2322230000000002E-2</v>
      </c>
      <c r="Z6396">
        <v>3.776319E-4</v>
      </c>
      <c r="AA6396">
        <v>0.99910399999999999</v>
      </c>
      <c r="AB6396">
        <v>31</v>
      </c>
      <c r="AC6396">
        <v>42.177399999999899</v>
      </c>
      <c r="AD6396">
        <v>-1.12246840992</v>
      </c>
      <c r="AE6396">
        <v>3.3755999999999902</v>
      </c>
      <c r="AF6396">
        <v>-1.80402123302817</v>
      </c>
      <c r="AG6396">
        <v>-1.12246840992</v>
      </c>
      <c r="AH6396">
        <v>42.244005969799097</v>
      </c>
      <c r="AI6396">
        <v>91.520666658916795</v>
      </c>
      <c r="AJ6396">
        <v>92.445318214820006</v>
      </c>
      <c r="AK6396">
        <v>42.2974049832482</v>
      </c>
      <c r="AL6396">
        <v>78.572308041190098</v>
      </c>
      <c r="AM6396">
        <v>86.023716894149004</v>
      </c>
      <c r="AN6396">
        <v>1.0000000107086799</v>
      </c>
    </row>
    <row r="6397" spans="1:40" x14ac:dyDescent="0.25">
      <c r="A6397" t="str">
        <f>"20190303170702408"</f>
        <v>20190303170702408</v>
      </c>
      <c r="B6397" t="str">
        <f>"1551604022401401"</f>
        <v>1551604022401401</v>
      </c>
      <c r="C6397" t="s">
        <v>40</v>
      </c>
      <c r="D6397">
        <v>5.7152580000000004</v>
      </c>
      <c r="E6397">
        <v>0.45836379999999999</v>
      </c>
      <c r="F6397" t="s">
        <v>41</v>
      </c>
      <c r="G6397">
        <v>-105.348</v>
      </c>
      <c r="H6397" s="1">
        <v>-2.4860750000000002E-6</v>
      </c>
      <c r="I6397">
        <v>140.76859999999999</v>
      </c>
      <c r="J6397">
        <v>-149.34030000000001</v>
      </c>
      <c r="K6397">
        <v>1.122466</v>
      </c>
      <c r="L6397">
        <v>137.148</v>
      </c>
      <c r="M6397">
        <v>0.99915980000000004</v>
      </c>
      <c r="N6397">
        <v>-1.369359E-2</v>
      </c>
      <c r="O6397">
        <v>3.8629950000000003E-2</v>
      </c>
      <c r="P6397">
        <v>0.98226619999999998</v>
      </c>
      <c r="Q6397">
        <v>0.1846672</v>
      </c>
      <c r="R6397">
        <v>-3.2422079999999999E-2</v>
      </c>
      <c r="S6397">
        <v>3.0769350000000002</v>
      </c>
      <c r="T6397">
        <v>-7.7947970000000005E-2</v>
      </c>
      <c r="U6397">
        <v>0.25234990000000002</v>
      </c>
      <c r="V6397">
        <v>6.9763220000000001E-2</v>
      </c>
      <c r="W6397">
        <v>0.1982797</v>
      </c>
      <c r="X6397">
        <v>0.97765959999999996</v>
      </c>
      <c r="Y6397">
        <v>-4.3155020000000002E-2</v>
      </c>
      <c r="Z6397">
        <v>3.9381779999999998E-4</v>
      </c>
      <c r="AA6397">
        <v>0.99906830000000002</v>
      </c>
      <c r="AB6397">
        <v>31</v>
      </c>
      <c r="AC6397">
        <v>43.9923</v>
      </c>
      <c r="AD6397">
        <v>-1.122468486075</v>
      </c>
      <c r="AE6397">
        <v>3.6205999999999898</v>
      </c>
      <c r="AF6397">
        <v>-1.9170777363623299</v>
      </c>
      <c r="AG6397">
        <v>-1.122468486075</v>
      </c>
      <c r="AH6397">
        <v>44.070836021914801</v>
      </c>
      <c r="AI6397">
        <v>91.457609826121001</v>
      </c>
      <c r="AJ6397">
        <v>92.490791419978507</v>
      </c>
      <c r="AK6397">
        <v>44.126791297577803</v>
      </c>
      <c r="AL6397">
        <v>78.563621659271007</v>
      </c>
      <c r="AM6397">
        <v>85.918441945954996</v>
      </c>
      <c r="AN6397">
        <v>1.0000000198845</v>
      </c>
    </row>
    <row r="6398" spans="1:40" x14ac:dyDescent="0.25">
      <c r="A6398" t="str">
        <f>"20190303170702432"</f>
        <v>20190303170702432</v>
      </c>
      <c r="B6398" t="str">
        <f>"1551604022420921"</f>
        <v>1551604022420921</v>
      </c>
      <c r="C6398" t="s">
        <v>40</v>
      </c>
      <c r="D6398">
        <v>5.6313399999999998</v>
      </c>
      <c r="E6398">
        <v>0.45825169999999998</v>
      </c>
      <c r="F6398" t="s">
        <v>41</v>
      </c>
      <c r="G6398">
        <v>-109.8336</v>
      </c>
      <c r="H6398" s="1">
        <v>-2.8439400000000003E-7</v>
      </c>
      <c r="I6398">
        <v>140.46299999999999</v>
      </c>
      <c r="J6398">
        <v>-148.98929999999999</v>
      </c>
      <c r="K6398">
        <v>1.122463</v>
      </c>
      <c r="L6398">
        <v>137.1634</v>
      </c>
      <c r="M6398">
        <v>0.99909599999999998</v>
      </c>
      <c r="N6398">
        <v>-1.3690809999999999E-2</v>
      </c>
      <c r="O6398">
        <v>4.0249229999999997E-2</v>
      </c>
      <c r="P6398">
        <v>0.9820991</v>
      </c>
      <c r="Q6398">
        <v>0.18530279999999999</v>
      </c>
      <c r="R6398">
        <v>-3.3830970000000002E-2</v>
      </c>
      <c r="S6398">
        <v>3.079132</v>
      </c>
      <c r="T6398">
        <v>-8.7484359999999997E-2</v>
      </c>
      <c r="U6398">
        <v>0.25836179999999997</v>
      </c>
      <c r="V6398">
        <v>7.2753109999999996E-2</v>
      </c>
      <c r="W6398">
        <v>0.19891619999999999</v>
      </c>
      <c r="X6398">
        <v>0.97731230000000002</v>
      </c>
      <c r="Y6398">
        <v>-4.341221E-2</v>
      </c>
      <c r="Z6398">
        <v>3.2308249999999999E-4</v>
      </c>
      <c r="AA6398">
        <v>0.99905719999999998</v>
      </c>
      <c r="AB6398">
        <v>31</v>
      </c>
      <c r="AC6398">
        <v>39.155699999999896</v>
      </c>
      <c r="AD6398">
        <v>-1.1224632843939999</v>
      </c>
      <c r="AE6398">
        <v>3.2995999999999901</v>
      </c>
      <c r="AF6398">
        <v>-1.7193884528647601</v>
      </c>
      <c r="AG6398">
        <v>-1.1224632843939999</v>
      </c>
      <c r="AH6398">
        <v>39.224777108686801</v>
      </c>
      <c r="AI6398">
        <v>91.637567386035798</v>
      </c>
      <c r="AJ6398">
        <v>92.509910457222404</v>
      </c>
      <c r="AK6398">
        <v>39.278484692039903</v>
      </c>
      <c r="AL6398">
        <v>78.526411489089497</v>
      </c>
      <c r="AM6398">
        <v>85.742638586117295</v>
      </c>
      <c r="AN6398">
        <v>1.0000000006842</v>
      </c>
    </row>
    <row r="6399" spans="1:40" x14ac:dyDescent="0.25">
      <c r="A6399" t="str">
        <f>"20190303170702450"</f>
        <v>20190303170702450</v>
      </c>
      <c r="B6399" t="str">
        <f>"1551604022441417"</f>
        <v>1551604022441417</v>
      </c>
      <c r="C6399" t="s">
        <v>40</v>
      </c>
      <c r="D6399">
        <v>5.7074199999999999</v>
      </c>
      <c r="E6399">
        <v>0.45810489999999998</v>
      </c>
      <c r="F6399" t="s">
        <v>41</v>
      </c>
      <c r="G6399">
        <v>-109.8733</v>
      </c>
      <c r="H6399" s="1">
        <v>-2.5295720000000002E-7</v>
      </c>
      <c r="I6399">
        <v>140.4153</v>
      </c>
      <c r="J6399">
        <v>-148.7473</v>
      </c>
      <c r="K6399">
        <v>1.1224639999999999</v>
      </c>
      <c r="L6399">
        <v>137.17420000000001</v>
      </c>
      <c r="M6399">
        <v>0.99905029999999995</v>
      </c>
      <c r="N6399">
        <v>-1.368895E-2</v>
      </c>
      <c r="O6399">
        <v>4.1366800000000002E-2</v>
      </c>
      <c r="P6399">
        <v>0.98190100000000002</v>
      </c>
      <c r="Q6399">
        <v>0.18601819999999999</v>
      </c>
      <c r="R6399">
        <v>-3.560485E-2</v>
      </c>
      <c r="S6399">
        <v>3.0801850000000002</v>
      </c>
      <c r="T6399">
        <v>-8.8388090000000002E-2</v>
      </c>
      <c r="U6399">
        <v>0.256073</v>
      </c>
      <c r="V6399">
        <v>7.5612369999999998E-2</v>
      </c>
      <c r="W6399">
        <v>0.19963249999999999</v>
      </c>
      <c r="X6399">
        <v>0.97694919999999996</v>
      </c>
      <c r="Y6399">
        <v>-4.152989E-2</v>
      </c>
      <c r="Z6399">
        <v>2.6117829999999998E-4</v>
      </c>
      <c r="AA6399">
        <v>0.99913719999999995</v>
      </c>
      <c r="AB6399">
        <v>31</v>
      </c>
      <c r="AC6399">
        <v>38.874000000000002</v>
      </c>
      <c r="AD6399">
        <v>-1.1224642529572</v>
      </c>
      <c r="AE6399">
        <v>3.2410999999999799</v>
      </c>
      <c r="AF6399">
        <v>-1.6287330439629499</v>
      </c>
      <c r="AG6399">
        <v>-1.1224642529572</v>
      </c>
      <c r="AH6399">
        <v>38.942561651743603</v>
      </c>
      <c r="AI6399">
        <v>91.649571352876904</v>
      </c>
      <c r="AJ6399">
        <v>92.394941922923707</v>
      </c>
      <c r="AK6399">
        <v>38.992766064072903</v>
      </c>
      <c r="AL6399">
        <v>78.4845311506065</v>
      </c>
      <c r="AM6399">
        <v>85.574334630089993</v>
      </c>
      <c r="AN6399">
        <v>1.0000000524669499</v>
      </c>
    </row>
    <row r="6400" spans="1:40" x14ac:dyDescent="0.25">
      <c r="A6400" t="str">
        <f>"20190303170702470"</f>
        <v>20190303170702470</v>
      </c>
      <c r="B6400" t="str">
        <f>"1551604022460937"</f>
        <v>1551604022460937</v>
      </c>
      <c r="C6400" t="s">
        <v>40</v>
      </c>
      <c r="D6400">
        <v>5.6337159999999997</v>
      </c>
      <c r="E6400">
        <v>0.45816050000000003</v>
      </c>
      <c r="F6400" t="s">
        <v>41</v>
      </c>
      <c r="G6400">
        <v>-109.32380000000001</v>
      </c>
      <c r="H6400" s="1">
        <v>-5.1253989999999996E-7</v>
      </c>
      <c r="I6400">
        <v>140.41460000000001</v>
      </c>
      <c r="J6400">
        <v>-148.46619999999999</v>
      </c>
      <c r="K6400">
        <v>1.1224639999999999</v>
      </c>
      <c r="L6400">
        <v>137.18719999999999</v>
      </c>
      <c r="M6400">
        <v>0.99899570000000004</v>
      </c>
      <c r="N6400">
        <v>-1.368695E-2</v>
      </c>
      <c r="O6400">
        <v>4.2665149999999999E-2</v>
      </c>
      <c r="P6400">
        <v>0.98169130000000004</v>
      </c>
      <c r="Q6400">
        <v>0.1869576</v>
      </c>
      <c r="R6400">
        <v>-3.6455229999999998E-2</v>
      </c>
      <c r="S6400">
        <v>3.0811000000000002</v>
      </c>
      <c r="T6400">
        <v>-8.7725040000000004E-2</v>
      </c>
      <c r="U6400">
        <v>0.25325009999999998</v>
      </c>
      <c r="V6400">
        <v>7.7724550000000003E-2</v>
      </c>
      <c r="W6400">
        <v>0.2005711</v>
      </c>
      <c r="X6400">
        <v>0.97659110000000005</v>
      </c>
      <c r="Y6400">
        <v>-3.9299260000000003E-2</v>
      </c>
      <c r="Z6400">
        <v>1.995612E-4</v>
      </c>
      <c r="AA6400">
        <v>0.99922750000000005</v>
      </c>
      <c r="AB6400">
        <v>31</v>
      </c>
      <c r="AC6400">
        <v>39.142399999999903</v>
      </c>
      <c r="AD6400">
        <v>-1.1224645125399</v>
      </c>
      <c r="AE6400">
        <v>3.22740000000001</v>
      </c>
      <c r="AF6400">
        <v>-1.5530194192386599</v>
      </c>
      <c r="AG6400">
        <v>-1.1224645125399</v>
      </c>
      <c r="AH6400">
        <v>39.212433614206802</v>
      </c>
      <c r="AI6400">
        <v>91.638372752759395</v>
      </c>
      <c r="AJ6400">
        <v>92.268030034670403</v>
      </c>
      <c r="AK6400">
        <v>39.2592249776663</v>
      </c>
      <c r="AL6400">
        <v>78.429642899113006</v>
      </c>
      <c r="AM6400">
        <v>85.449557549161</v>
      </c>
      <c r="AN6400">
        <v>1.00000002421356</v>
      </c>
    </row>
    <row r="6401" spans="1:40" x14ac:dyDescent="0.25">
      <c r="A6401" t="str">
        <f>"20190303170702492"</f>
        <v>20190303170702492</v>
      </c>
      <c r="B6401" t="str">
        <f>"1551604022481433"</f>
        <v>1551604022481433</v>
      </c>
      <c r="C6401" t="s">
        <v>40</v>
      </c>
      <c r="D6401">
        <v>5.6443789999999998</v>
      </c>
      <c r="E6401">
        <v>0.45824359999999997</v>
      </c>
      <c r="F6401" t="s">
        <v>41</v>
      </c>
      <c r="G6401">
        <v>-108.6433</v>
      </c>
      <c r="H6401" s="1">
        <v>-8.3905599999999999E-7</v>
      </c>
      <c r="I6401">
        <v>140.43289999999999</v>
      </c>
      <c r="J6401">
        <v>-148.15860000000001</v>
      </c>
      <c r="K6401">
        <v>1.122487</v>
      </c>
      <c r="L6401">
        <v>137.20189999999999</v>
      </c>
      <c r="M6401">
        <v>0.99893330000000002</v>
      </c>
      <c r="N6401">
        <v>-1.3766240000000001E-2</v>
      </c>
      <c r="O6401">
        <v>4.4078440000000003E-2</v>
      </c>
      <c r="P6401">
        <v>0.98165009999999997</v>
      </c>
      <c r="Q6401">
        <v>0.1870684</v>
      </c>
      <c r="R6401">
        <v>-3.699831E-2</v>
      </c>
      <c r="S6401">
        <v>3.0818020000000002</v>
      </c>
      <c r="T6401">
        <v>-8.6865070000000003E-2</v>
      </c>
      <c r="U6401">
        <v>0.25117489999999998</v>
      </c>
      <c r="V6401">
        <v>7.9652780000000006E-2</v>
      </c>
      <c r="W6401">
        <v>0.2007613</v>
      </c>
      <c r="X6401">
        <v>0.97639659999999995</v>
      </c>
      <c r="Y6401">
        <v>-3.720002E-2</v>
      </c>
      <c r="Z6401">
        <v>1.467819E-4</v>
      </c>
      <c r="AA6401">
        <v>0.99930779999999997</v>
      </c>
      <c r="AB6401">
        <v>31</v>
      </c>
      <c r="AC6401">
        <v>39.515300000000003</v>
      </c>
      <c r="AD6401">
        <v>-1.122487839056</v>
      </c>
      <c r="AE6401">
        <v>3.2309999999999901</v>
      </c>
      <c r="AF6401">
        <v>-1.4847312919587501</v>
      </c>
      <c r="AG6401">
        <v>-1.122487839056</v>
      </c>
      <c r="AH6401">
        <v>39.587585640120302</v>
      </c>
      <c r="AI6401">
        <v>91.623019909431406</v>
      </c>
      <c r="AJ6401">
        <v>92.147869904233005</v>
      </c>
      <c r="AK6401">
        <v>39.631317701686498</v>
      </c>
      <c r="AL6401">
        <v>78.418518608072603</v>
      </c>
      <c r="AM6401">
        <v>85.336234922072805</v>
      </c>
      <c r="AN6401">
        <v>0.99999999271548901</v>
      </c>
    </row>
    <row r="6402" spans="1:40" x14ac:dyDescent="0.25">
      <c r="A6402" t="str">
        <f>"20190303170702515"</f>
        <v>20190303170702515</v>
      </c>
      <c r="B6402" t="str">
        <f>"1551604022500953"</f>
        <v>1551604022500953</v>
      </c>
      <c r="C6402" t="s">
        <v>40</v>
      </c>
      <c r="D6402">
        <v>5.7092720000000003</v>
      </c>
      <c r="E6402">
        <v>0.45833950000000001</v>
      </c>
      <c r="F6402" t="s">
        <v>41</v>
      </c>
      <c r="G6402">
        <v>-107.687</v>
      </c>
      <c r="H6402" s="1">
        <v>-1.3035309999999999E-6</v>
      </c>
      <c r="I6402">
        <v>140.4796</v>
      </c>
      <c r="J6402">
        <v>-147.8432</v>
      </c>
      <c r="K6402">
        <v>1.1225449999999999</v>
      </c>
      <c r="L6402">
        <v>137.21729999999999</v>
      </c>
      <c r="M6402">
        <v>0.99886459999999999</v>
      </c>
      <c r="N6402">
        <v>-1.4064109999999999E-2</v>
      </c>
      <c r="O6402">
        <v>4.5517040000000002E-2</v>
      </c>
      <c r="P6402">
        <v>0.98169059999999997</v>
      </c>
      <c r="Q6402">
        <v>0.18688859999999999</v>
      </c>
      <c r="R6402">
        <v>-3.6826989999999997E-2</v>
      </c>
      <c r="S6402">
        <v>3.081772</v>
      </c>
      <c r="T6402">
        <v>-8.5473660000000007E-2</v>
      </c>
      <c r="U6402">
        <v>0.249588</v>
      </c>
      <c r="V6402">
        <v>8.0900079999999999E-2</v>
      </c>
      <c r="W6402">
        <v>0.20087189999999999</v>
      </c>
      <c r="X6402">
        <v>0.97627129999999995</v>
      </c>
      <c r="Y6402">
        <v>-3.5251390000000001E-2</v>
      </c>
      <c r="Z6402">
        <v>1.166666E-4</v>
      </c>
      <c r="AA6402">
        <v>0.9993784</v>
      </c>
      <c r="AB6402">
        <v>31</v>
      </c>
      <c r="AC6402">
        <v>40.156199999999899</v>
      </c>
      <c r="AD6402">
        <v>-1.1225463035309999</v>
      </c>
      <c r="AE6402">
        <v>3.26230000000001</v>
      </c>
      <c r="AF6402">
        <v>-1.42983606136147</v>
      </c>
      <c r="AG6402">
        <v>-1.1225463035309999</v>
      </c>
      <c r="AH6402">
        <v>40.231844102773202</v>
      </c>
      <c r="AI6402">
        <v>91.597240568895003</v>
      </c>
      <c r="AJ6402">
        <v>92.035430080489107</v>
      </c>
      <c r="AK6402">
        <v>40.272891891144198</v>
      </c>
      <c r="AL6402">
        <v>78.412049972663098</v>
      </c>
      <c r="AM6402">
        <v>85.262928607304502</v>
      </c>
      <c r="AN6402">
        <v>0.99999999717865296</v>
      </c>
    </row>
    <row r="6403" spans="1:40" x14ac:dyDescent="0.25">
      <c r="A6403" t="str">
        <f>"20190303170702538"</f>
        <v>20190303170702538</v>
      </c>
      <c r="B6403" t="str">
        <f>"1551604022531209"</f>
        <v>1551604022531209</v>
      </c>
      <c r="C6403" t="s">
        <v>40</v>
      </c>
      <c r="D6403">
        <v>5.6542700000000004</v>
      </c>
      <c r="E6403">
        <v>0.45804869999999998</v>
      </c>
      <c r="F6403" t="s">
        <v>41</v>
      </c>
      <c r="G6403">
        <v>-107.9443</v>
      </c>
      <c r="H6403" s="1">
        <v>-1.176964E-6</v>
      </c>
      <c r="I6403">
        <v>140.46100000000001</v>
      </c>
      <c r="J6403">
        <v>-147.53110000000001</v>
      </c>
      <c r="K6403">
        <v>1.1226290000000001</v>
      </c>
      <c r="L6403">
        <v>137.233</v>
      </c>
      <c r="M6403">
        <v>0.99879229999999997</v>
      </c>
      <c r="N6403">
        <v>-1.4497329999999999E-2</v>
      </c>
      <c r="O6403">
        <v>4.6943909999999998E-2</v>
      </c>
      <c r="P6403">
        <v>0.98181890000000005</v>
      </c>
      <c r="Q6403">
        <v>0.1860484</v>
      </c>
      <c r="R6403">
        <v>-3.7652249999999998E-2</v>
      </c>
      <c r="S6403">
        <v>3.0818479999999999</v>
      </c>
      <c r="T6403">
        <v>-8.6707229999999996E-2</v>
      </c>
      <c r="U6403">
        <v>0.25054929999999997</v>
      </c>
      <c r="V6403">
        <v>8.3136249999999995E-2</v>
      </c>
      <c r="W6403">
        <v>0.20045850000000001</v>
      </c>
      <c r="X6403">
        <v>0.97616840000000005</v>
      </c>
      <c r="Y6403">
        <v>-3.4131199999999903E-2</v>
      </c>
      <c r="Z6403" s="1">
        <v>8.9743579999999998E-5</v>
      </c>
      <c r="AA6403">
        <v>0.99941740000000001</v>
      </c>
      <c r="AB6403">
        <v>31</v>
      </c>
      <c r="AC6403">
        <v>39.586799999999997</v>
      </c>
      <c r="AD6403">
        <v>-1.1226301769639999</v>
      </c>
      <c r="AE6403">
        <v>3.2280000000000002</v>
      </c>
      <c r="AF6403">
        <v>-1.36479559711038</v>
      </c>
      <c r="AG6403">
        <v>-1.1226301769639999</v>
      </c>
      <c r="AH6403">
        <v>39.663011377695703</v>
      </c>
      <c r="AI6403">
        <v>91.620320418045196</v>
      </c>
      <c r="AJ6403">
        <v>91.9707577458271</v>
      </c>
      <c r="AK6403">
        <v>39.702360598374298</v>
      </c>
      <c r="AL6403">
        <v>78.436227811639597</v>
      </c>
      <c r="AM6403">
        <v>85.132100629411099</v>
      </c>
      <c r="AN6403">
        <v>0.99999999572243603</v>
      </c>
    </row>
    <row r="6404" spans="1:40" x14ac:dyDescent="0.25">
      <c r="A6404" t="str">
        <f>"20190303170702559"</f>
        <v>20190303170702559</v>
      </c>
      <c r="B6404" t="str">
        <f>"1551604022551705"</f>
        <v>1551604022551705</v>
      </c>
      <c r="C6404" t="s">
        <v>40</v>
      </c>
      <c r="D6404">
        <v>5.6688340000000004</v>
      </c>
      <c r="E6404">
        <v>0.45789530000000001</v>
      </c>
      <c r="F6404" t="s">
        <v>41</v>
      </c>
      <c r="G6404">
        <v>-109.6957</v>
      </c>
      <c r="H6404" s="1">
        <v>-3.1445229999999999E-7</v>
      </c>
      <c r="I6404">
        <v>140.33090000000001</v>
      </c>
      <c r="J6404">
        <v>-147.2379</v>
      </c>
      <c r="K6404">
        <v>1.122717</v>
      </c>
      <c r="L6404">
        <v>137.2482</v>
      </c>
      <c r="M6404">
        <v>0.99872209999999995</v>
      </c>
      <c r="N6404">
        <v>-1.4942179999999999E-2</v>
      </c>
      <c r="O6404">
        <v>4.8281039999999997E-2</v>
      </c>
      <c r="P6404">
        <v>0.98189749999999998</v>
      </c>
      <c r="Q6404">
        <v>0.1855357</v>
      </c>
      <c r="R6404">
        <v>-3.8127630000000003E-2</v>
      </c>
      <c r="S6404">
        <v>3.0825499999999999</v>
      </c>
      <c r="T6404">
        <v>-9.1463569999999994E-2</v>
      </c>
      <c r="U6404">
        <v>0.2523956</v>
      </c>
      <c r="V6404">
        <v>8.4927130000000003E-2</v>
      </c>
      <c r="W6404">
        <v>0.20038429999999999</v>
      </c>
      <c r="X6404">
        <v>0.97602949999999999</v>
      </c>
      <c r="Y6404">
        <v>-3.3368389999999998E-2</v>
      </c>
      <c r="Z6404" s="1">
        <v>3.5928939999999997E-5</v>
      </c>
      <c r="AA6404">
        <v>0.99944310000000003</v>
      </c>
      <c r="AB6404">
        <v>31</v>
      </c>
      <c r="AC6404">
        <v>37.542200000000001</v>
      </c>
      <c r="AD6404">
        <v>-1.1227173144522999</v>
      </c>
      <c r="AE6404">
        <v>3.0827000000000102</v>
      </c>
      <c r="AF6404">
        <v>-1.26520149058026</v>
      </c>
      <c r="AG6404">
        <v>-1.1227173144522999</v>
      </c>
      <c r="AH6404">
        <v>37.613846549890098</v>
      </c>
      <c r="AI6404">
        <v>91.708720296055802</v>
      </c>
      <c r="AJ6404">
        <v>91.926508232672006</v>
      </c>
      <c r="AK6404">
        <v>37.651861590877701</v>
      </c>
      <c r="AL6404">
        <v>78.440567665833399</v>
      </c>
      <c r="AM6404">
        <v>85.027054882426398</v>
      </c>
      <c r="AN6404">
        <v>1.00000003498338</v>
      </c>
    </row>
    <row r="6405" spans="1:40" x14ac:dyDescent="0.25">
      <c r="A6405" t="str">
        <f>"20190303170702582"</f>
        <v>20190303170702582</v>
      </c>
      <c r="B6405" t="str">
        <f>"1551604022571225"</f>
        <v>1551604022571225</v>
      </c>
      <c r="C6405" t="s">
        <v>40</v>
      </c>
      <c r="D6405">
        <v>5.6608099999999997</v>
      </c>
      <c r="E6405">
        <v>0.4578933</v>
      </c>
      <c r="F6405" t="s">
        <v>41</v>
      </c>
      <c r="G6405">
        <v>-110.4242</v>
      </c>
      <c r="H6405" s="1">
        <v>-4.2482869999999999E-6</v>
      </c>
      <c r="I6405">
        <v>140.27369999999999</v>
      </c>
      <c r="J6405">
        <v>-146.92080000000001</v>
      </c>
      <c r="K6405">
        <v>1.122814</v>
      </c>
      <c r="L6405">
        <v>137.26509999999999</v>
      </c>
      <c r="M6405">
        <v>0.99864419999999998</v>
      </c>
      <c r="N6405">
        <v>-1.5431479999999999E-2</v>
      </c>
      <c r="O6405">
        <v>4.9714649999999999E-2</v>
      </c>
      <c r="P6405">
        <v>0.98187670000000005</v>
      </c>
      <c r="Q6405">
        <v>0.18579119999999999</v>
      </c>
      <c r="R6405">
        <v>-3.7408700000000003E-2</v>
      </c>
      <c r="S6405">
        <v>3.082932</v>
      </c>
      <c r="T6405">
        <v>-9.4021080000000007E-2</v>
      </c>
      <c r="U6405">
        <v>0.25337219999999999</v>
      </c>
      <c r="V6405">
        <v>8.5609469999999993E-2</v>
      </c>
      <c r="W6405">
        <v>0.20111809999999999</v>
      </c>
      <c r="X6405">
        <v>0.97581890000000004</v>
      </c>
      <c r="Y6405">
        <v>-3.2237630000000003E-2</v>
      </c>
      <c r="Z6405" s="1">
        <v>-5.6581049999999996E-6</v>
      </c>
      <c r="AA6405">
        <v>0.99948020000000004</v>
      </c>
      <c r="AB6405">
        <v>31</v>
      </c>
      <c r="AC6405">
        <v>36.496600000000001</v>
      </c>
      <c r="AD6405">
        <v>-1.1228182482869999</v>
      </c>
      <c r="AE6405">
        <v>3.0085999999999999</v>
      </c>
      <c r="AF6405">
        <v>-1.1891291238181301</v>
      </c>
      <c r="AG6405">
        <v>-1.1228182482869999</v>
      </c>
      <c r="AH6405">
        <v>36.566672899770403</v>
      </c>
      <c r="AI6405">
        <v>91.757846056105507</v>
      </c>
      <c r="AJ6405">
        <v>91.862572473379302</v>
      </c>
      <c r="AK6405">
        <v>36.603228216246201</v>
      </c>
      <c r="AL6405">
        <v>78.397649894510707</v>
      </c>
      <c r="AM6405">
        <v>84.986226609367506</v>
      </c>
      <c r="AN6405">
        <v>0.99999999854925004</v>
      </c>
    </row>
    <row r="6406" spans="1:40" x14ac:dyDescent="0.25">
      <c r="A6406" t="str">
        <f>"20190303170702605"</f>
        <v>20190303170702605</v>
      </c>
      <c r="B6406" t="str">
        <f>"1551604022591721"</f>
        <v>1551604022591721</v>
      </c>
      <c r="C6406" t="s">
        <v>40</v>
      </c>
      <c r="D6406">
        <v>5.6533749999999996</v>
      </c>
      <c r="E6406">
        <v>0.45782709999999999</v>
      </c>
      <c r="F6406" t="s">
        <v>41</v>
      </c>
      <c r="G6406">
        <v>-109.14360000000001</v>
      </c>
      <c r="H6406" s="1">
        <v>-5.9523990000000004E-7</v>
      </c>
      <c r="I6406">
        <v>140.40539999999999</v>
      </c>
      <c r="J6406">
        <v>-146.62309999999999</v>
      </c>
      <c r="K6406">
        <v>1.1228910000000001</v>
      </c>
      <c r="L6406">
        <v>137.28139999999999</v>
      </c>
      <c r="M6406">
        <v>0.99856959999999995</v>
      </c>
      <c r="N6406">
        <v>-1.5881929999999999E-2</v>
      </c>
      <c r="O6406">
        <v>5.1054530000000001E-2</v>
      </c>
      <c r="P6406">
        <v>0.9819428</v>
      </c>
      <c r="Q6406">
        <v>0.1860038</v>
      </c>
      <c r="R6406">
        <v>-3.4514030000000001E-2</v>
      </c>
      <c r="S6406">
        <v>3.0824889999999998</v>
      </c>
      <c r="T6406">
        <v>-9.1617939999999995E-2</v>
      </c>
      <c r="U6406">
        <v>0.25624079999999999</v>
      </c>
      <c r="V6406">
        <v>8.4032999999999997E-2</v>
      </c>
      <c r="W6406">
        <v>0.2017678</v>
      </c>
      <c r="X6406">
        <v>0.97582179999999996</v>
      </c>
      <c r="Y6406">
        <v>-3.1832020000000003E-2</v>
      </c>
      <c r="Z6406" s="1">
        <v>2.2358159999999999E-5</v>
      </c>
      <c r="AA6406">
        <v>0.99949319999999997</v>
      </c>
      <c r="AB6406">
        <v>31</v>
      </c>
      <c r="AC6406">
        <v>37.479499999999902</v>
      </c>
      <c r="AD6406">
        <v>-1.1228915952398999</v>
      </c>
      <c r="AE6406">
        <v>3.1239999999999899</v>
      </c>
      <c r="AF6406">
        <v>-1.2051110189356</v>
      </c>
      <c r="AG6406">
        <v>-1.1228915952398999</v>
      </c>
      <c r="AH6406">
        <v>37.556645224729699</v>
      </c>
      <c r="AI6406">
        <v>91.711673708482806</v>
      </c>
      <c r="AJ6406">
        <v>91.837866284243603</v>
      </c>
      <c r="AK6406">
        <v>37.592749016782903</v>
      </c>
      <c r="AL6406">
        <v>78.359645623138107</v>
      </c>
      <c r="AM6406">
        <v>85.078110376885903</v>
      </c>
      <c r="AN6406">
        <v>0.999999987780539</v>
      </c>
    </row>
    <row r="6407" spans="1:40" x14ac:dyDescent="0.25">
      <c r="A6407" t="str">
        <f>"20190303170702627"</f>
        <v>20190303170702627</v>
      </c>
      <c r="B6407" t="str">
        <f>"1551604022621001"</f>
        <v>1551604022621001</v>
      </c>
      <c r="C6407" t="s">
        <v>40</v>
      </c>
      <c r="D6407">
        <v>5.6225860000000001</v>
      </c>
      <c r="E6407">
        <v>0.45772249999999998</v>
      </c>
      <c r="F6407" t="s">
        <v>41</v>
      </c>
      <c r="G6407">
        <v>-108.4016</v>
      </c>
      <c r="H6407" s="1">
        <v>-9.9255370000000001E-7</v>
      </c>
      <c r="I6407">
        <v>140.58029999999999</v>
      </c>
      <c r="J6407">
        <v>-146.31880000000001</v>
      </c>
      <c r="K6407">
        <v>1.1229469999999999</v>
      </c>
      <c r="L6407">
        <v>137.29859999999999</v>
      </c>
      <c r="M6407">
        <v>0.99849100000000002</v>
      </c>
      <c r="N6407">
        <v>-1.6333779999999999E-2</v>
      </c>
      <c r="O6407">
        <v>5.2430640000000001E-2</v>
      </c>
      <c r="P6407">
        <v>0.98197579999999995</v>
      </c>
      <c r="Q6407">
        <v>0.18624640000000001</v>
      </c>
      <c r="R6407">
        <v>-3.2188620000000001E-2</v>
      </c>
      <c r="S6407">
        <v>3.0816650000000001</v>
      </c>
      <c r="T6407">
        <v>-9.0534809999999993E-2</v>
      </c>
      <c r="U6407">
        <v>0.26597599999999999</v>
      </c>
      <c r="V6407">
        <v>8.3063170000000006E-2</v>
      </c>
      <c r="W6407">
        <v>0.2024473</v>
      </c>
      <c r="X6407">
        <v>0.97576410000000002</v>
      </c>
      <c r="Y6407">
        <v>-3.3609739999999999E-2</v>
      </c>
      <c r="Z6407" s="1">
        <v>8.7591860000000001E-5</v>
      </c>
      <c r="AA6407">
        <v>0.99943499999999996</v>
      </c>
      <c r="AB6407">
        <v>30</v>
      </c>
      <c r="AC6407">
        <v>37.917200000000001</v>
      </c>
      <c r="AD6407">
        <v>-1.12294799255369</v>
      </c>
      <c r="AE6407">
        <v>3.2816999999999998</v>
      </c>
      <c r="AF6407">
        <v>-1.2877756663162301</v>
      </c>
      <c r="AG6407">
        <v>-1.12294799255369</v>
      </c>
      <c r="AH6407">
        <v>38.004032809294202</v>
      </c>
      <c r="AI6407">
        <v>91.691520258074902</v>
      </c>
      <c r="AJ6407">
        <v>91.940738515345302</v>
      </c>
      <c r="AK6407">
        <v>38.0424222169231</v>
      </c>
      <c r="AL6407">
        <v>78.319892789698599</v>
      </c>
      <c r="AM6407">
        <v>85.134353629517605</v>
      </c>
      <c r="AN6407">
        <v>0.99999998916827404</v>
      </c>
    </row>
    <row r="6408" spans="1:40" x14ac:dyDescent="0.25">
      <c r="A6408" t="str">
        <f>"20190303170702649"</f>
        <v>20190303170702649</v>
      </c>
      <c r="B6408" t="str">
        <f>"1551604022641497"</f>
        <v>1551604022641497</v>
      </c>
      <c r="C6408" t="s">
        <v>40</v>
      </c>
      <c r="D6408">
        <v>5.679608</v>
      </c>
      <c r="E6408">
        <v>0.45751799999999998</v>
      </c>
      <c r="F6408" t="s">
        <v>41</v>
      </c>
      <c r="G6408">
        <v>-107.7025</v>
      </c>
      <c r="H6408" s="1">
        <v>-1.3686269999999901E-6</v>
      </c>
      <c r="I6408">
        <v>140.7517</v>
      </c>
      <c r="J6408">
        <v>-146.0275</v>
      </c>
      <c r="K6408">
        <v>1.122986</v>
      </c>
      <c r="L6408">
        <v>137.31540000000001</v>
      </c>
      <c r="M6408">
        <v>0.99841340000000001</v>
      </c>
      <c r="N6408">
        <v>-1.676281E-2</v>
      </c>
      <c r="O6408">
        <v>5.3756440000000003E-2</v>
      </c>
      <c r="P6408">
        <v>0.98209080000000004</v>
      </c>
      <c r="Q6408">
        <v>0.1858293</v>
      </c>
      <c r="R6408">
        <v>-3.1067979999999999E-2</v>
      </c>
      <c r="S6408">
        <v>3.08107</v>
      </c>
      <c r="T6408">
        <v>-8.9596389999999998E-2</v>
      </c>
      <c r="U6408">
        <v>0.2755127</v>
      </c>
      <c r="V6408">
        <v>8.3256960000000005E-2</v>
      </c>
      <c r="W6408">
        <v>0.20244819999999999</v>
      </c>
      <c r="X6408">
        <v>0.97574740000000004</v>
      </c>
      <c r="Y6408">
        <v>-3.5367179999999998E-2</v>
      </c>
      <c r="Z6408">
        <v>1.521235E-4</v>
      </c>
      <c r="AA6408">
        <v>0.9993744</v>
      </c>
      <c r="AB6408">
        <v>30</v>
      </c>
      <c r="AC6408">
        <v>38.325000000000003</v>
      </c>
      <c r="AD6408">
        <v>-1.122987368627</v>
      </c>
      <c r="AE6408">
        <v>3.4362999999999801</v>
      </c>
      <c r="AF6408">
        <v>-1.36965837313563</v>
      </c>
      <c r="AG6408">
        <v>-1.122987368627</v>
      </c>
      <c r="AH6408">
        <v>38.421593357269501</v>
      </c>
      <c r="AI6408">
        <v>91.673103826274001</v>
      </c>
      <c r="AJ6408">
        <v>92.041623488366696</v>
      </c>
      <c r="AK6408">
        <v>38.462395931618403</v>
      </c>
      <c r="AL6408">
        <v>78.319840164777105</v>
      </c>
      <c r="AM6408">
        <v>85.122973485405595</v>
      </c>
      <c r="AN6408">
        <v>0.99999999183921995</v>
      </c>
    </row>
    <row r="6409" spans="1:40" x14ac:dyDescent="0.25">
      <c r="A6409" t="str">
        <f>"20190303170702671"</f>
        <v>20190303170702671</v>
      </c>
      <c r="B6409" t="str">
        <f>"1551604022661018"</f>
        <v>1551604022661018</v>
      </c>
      <c r="C6409" t="s">
        <v>40</v>
      </c>
      <c r="D6409">
        <v>5.6084259999999997</v>
      </c>
      <c r="E6409">
        <v>0.45738960000000001</v>
      </c>
      <c r="F6409" t="s">
        <v>41</v>
      </c>
      <c r="G6409">
        <v>-108.2912</v>
      </c>
      <c r="H6409" s="1">
        <v>-1.0943630000000001E-6</v>
      </c>
      <c r="I6409">
        <v>140.76679999999999</v>
      </c>
      <c r="J6409">
        <v>-145.73009999999999</v>
      </c>
      <c r="K6409">
        <v>1.1230249999999999</v>
      </c>
      <c r="L6409">
        <v>137.3329</v>
      </c>
      <c r="M6409">
        <v>0.99833209999999994</v>
      </c>
      <c r="N6409">
        <v>-1.7188809999999999E-2</v>
      </c>
      <c r="O6409">
        <v>5.5115490000000003E-2</v>
      </c>
      <c r="P6409">
        <v>0.98208549999999994</v>
      </c>
      <c r="Q6409">
        <v>0.1859452</v>
      </c>
      <c r="R6409">
        <v>-3.0545249999999999E-2</v>
      </c>
      <c r="S6409">
        <v>3.080994</v>
      </c>
      <c r="T6409">
        <v>-9.1686610000000002E-2</v>
      </c>
      <c r="U6409">
        <v>0.28179929999999997</v>
      </c>
      <c r="V6409">
        <v>8.4073159999999994E-2</v>
      </c>
      <c r="W6409">
        <v>0.2029773</v>
      </c>
      <c r="X6409">
        <v>0.97556750000000003</v>
      </c>
      <c r="Y6409">
        <v>-3.602988E-2</v>
      </c>
      <c r="Z6409">
        <v>1.568924E-4</v>
      </c>
      <c r="AA6409">
        <v>0.99935070000000004</v>
      </c>
      <c r="AB6409">
        <v>30</v>
      </c>
      <c r="AC6409">
        <v>37.438899999999897</v>
      </c>
      <c r="AD6409">
        <v>-1.1230260943629999</v>
      </c>
      <c r="AE6409">
        <v>3.4338999999999902</v>
      </c>
      <c r="AF6409">
        <v>-1.36369404373478</v>
      </c>
      <c r="AG6409">
        <v>-1.1230260943629999</v>
      </c>
      <c r="AH6409">
        <v>37.537770814177499</v>
      </c>
      <c r="AI6409">
        <v>91.712490841007195</v>
      </c>
      <c r="AJ6409">
        <v>92.080559551754007</v>
      </c>
      <c r="AK6409">
        <v>37.579317273618202</v>
      </c>
      <c r="AL6409">
        <v>78.288882486882201</v>
      </c>
      <c r="AM6409">
        <v>85.074492452709507</v>
      </c>
      <c r="AN6409">
        <v>1.00000001380196</v>
      </c>
    </row>
    <row r="6410" spans="1:40" x14ac:dyDescent="0.25">
      <c r="A6410" t="str">
        <f>"20190303170702694"</f>
        <v>20190303170702694</v>
      </c>
      <c r="B6410" t="str">
        <f>"1551604022681514"</f>
        <v>1551604022681514</v>
      </c>
      <c r="C6410" t="s">
        <v>40</v>
      </c>
      <c r="D6410">
        <v>5.5599589999999903</v>
      </c>
      <c r="E6410">
        <v>0.4572677</v>
      </c>
      <c r="F6410" t="s">
        <v>41</v>
      </c>
      <c r="G6410">
        <v>-108.43089999999999</v>
      </c>
      <c r="H6410" s="1">
        <v>-1.034683E-6</v>
      </c>
      <c r="I6410">
        <v>140.79079999999999</v>
      </c>
      <c r="J6410">
        <v>-145.43459999999999</v>
      </c>
      <c r="K6410">
        <v>1.1230549999999999</v>
      </c>
      <c r="L6410">
        <v>137.35079999999999</v>
      </c>
      <c r="M6410">
        <v>0.99824919999999995</v>
      </c>
      <c r="N6410">
        <v>-1.761596E-2</v>
      </c>
      <c r="O6410">
        <v>5.646404E-2</v>
      </c>
      <c r="P6410">
        <v>0.98211059999999994</v>
      </c>
      <c r="Q6410">
        <v>0.18588170000000001</v>
      </c>
      <c r="R6410">
        <v>-3.0117080000000001E-2</v>
      </c>
      <c r="S6410">
        <v>3.0811920000000002</v>
      </c>
      <c r="T6410">
        <v>-9.277022E-2</v>
      </c>
      <c r="U6410">
        <v>0.28564450000000002</v>
      </c>
      <c r="V6410">
        <v>8.4975980000000007E-2</v>
      </c>
      <c r="W6410">
        <v>0.2033288</v>
      </c>
      <c r="X6410">
        <v>0.97541610000000001</v>
      </c>
      <c r="Y6410">
        <v>-3.5909730000000001E-2</v>
      </c>
      <c r="Z6410">
        <v>1.557486E-4</v>
      </c>
      <c r="AA6410">
        <v>0.99935499999999999</v>
      </c>
      <c r="AB6410">
        <v>30</v>
      </c>
      <c r="AC6410">
        <v>37.003700000000002</v>
      </c>
      <c r="AD6410">
        <v>-1.1230560346830001</v>
      </c>
      <c r="AE6410">
        <v>3.4399999999999902</v>
      </c>
      <c r="AF6410">
        <v>-1.34358056107618</v>
      </c>
      <c r="AG6410">
        <v>-1.1230560346830001</v>
      </c>
      <c r="AH6410">
        <v>37.105028587221803</v>
      </c>
      <c r="AI6410">
        <v>91.732504471492803</v>
      </c>
      <c r="AJ6410">
        <v>92.073785668972505</v>
      </c>
      <c r="AK6410">
        <v>37.146327006040401</v>
      </c>
      <c r="AL6410">
        <v>78.2683144568025</v>
      </c>
      <c r="AM6410">
        <v>85.021095454165206</v>
      </c>
      <c r="AN6410">
        <v>1.0000000431128</v>
      </c>
    </row>
    <row r="6411" spans="1:40" x14ac:dyDescent="0.25">
      <c r="A6411" t="str">
        <f>"20190303170702716"</f>
        <v>20190303170702716</v>
      </c>
      <c r="B6411" t="str">
        <f>"1551604022711770"</f>
        <v>1551604022711770</v>
      </c>
      <c r="C6411" t="s">
        <v>40</v>
      </c>
      <c r="D6411">
        <v>5.6530149999999999</v>
      </c>
      <c r="E6411">
        <v>0.45716499999999999</v>
      </c>
      <c r="F6411" t="s">
        <v>41</v>
      </c>
      <c r="G6411">
        <v>-108.6671</v>
      </c>
      <c r="H6411" s="1">
        <v>-9.2358229999999999E-7</v>
      </c>
      <c r="I6411">
        <v>140.7929</v>
      </c>
      <c r="J6411">
        <v>-145.12710000000001</v>
      </c>
      <c r="K6411">
        <v>1.123068</v>
      </c>
      <c r="L6411">
        <v>137.3698</v>
      </c>
      <c r="M6411">
        <v>0.99816130000000003</v>
      </c>
      <c r="N6411">
        <v>-1.8045350000000002E-2</v>
      </c>
      <c r="O6411">
        <v>5.7865029999999998E-2</v>
      </c>
      <c r="P6411">
        <v>0.98222129999999996</v>
      </c>
      <c r="Q6411">
        <v>0.1854208</v>
      </c>
      <c r="R6411">
        <v>-2.9332449999999999E-2</v>
      </c>
      <c r="S6411">
        <v>3.0812840000000001</v>
      </c>
      <c r="T6411">
        <v>-9.4117279999999998E-2</v>
      </c>
      <c r="U6411">
        <v>0.28846739999999998</v>
      </c>
      <c r="V6411">
        <v>8.5580299999999998E-2</v>
      </c>
      <c r="W6411">
        <v>0.20328679999999999</v>
      </c>
      <c r="X6411">
        <v>0.97537200000000002</v>
      </c>
      <c r="Y6411">
        <v>-3.5411249999999998E-2</v>
      </c>
      <c r="Z6411">
        <v>1.416202E-4</v>
      </c>
      <c r="AA6411">
        <v>0.99937279999999995</v>
      </c>
      <c r="AB6411">
        <v>30</v>
      </c>
      <c r="AC6411">
        <v>36.46</v>
      </c>
      <c r="AD6411">
        <v>-1.1230689235822999</v>
      </c>
      <c r="AE6411">
        <v>3.4230999999999998</v>
      </c>
      <c r="AF6411">
        <v>-1.30603148011383</v>
      </c>
      <c r="AG6411">
        <v>-1.1230689235822999</v>
      </c>
      <c r="AH6411">
        <v>36.5626104388027</v>
      </c>
      <c r="AI6411">
        <v>91.758241799420901</v>
      </c>
      <c r="AJ6411">
        <v>92.0457590072877</v>
      </c>
      <c r="AK6411">
        <v>36.603162214948199</v>
      </c>
      <c r="AL6411">
        <v>78.270771989607695</v>
      </c>
      <c r="AM6411">
        <v>84.985641518384199</v>
      </c>
      <c r="AN6411">
        <v>1.00000002459316</v>
      </c>
    </row>
    <row r="6412" spans="1:40" x14ac:dyDescent="0.25">
      <c r="A6412" t="str">
        <f>"20190303170702739"</f>
        <v>20190303170702739</v>
      </c>
      <c r="B6412" t="str">
        <f>"1551604022731289"</f>
        <v>1551604022731289</v>
      </c>
      <c r="C6412" t="s">
        <v>40</v>
      </c>
      <c r="D6412">
        <v>5.7040290000000002</v>
      </c>
      <c r="E6412">
        <v>0.4571443</v>
      </c>
      <c r="F6412" t="s">
        <v>41</v>
      </c>
      <c r="G6412">
        <v>-109.5543</v>
      </c>
      <c r="H6412" s="1">
        <v>-4.9135659999999998E-7</v>
      </c>
      <c r="I6412">
        <v>140.74449999999999</v>
      </c>
      <c r="J6412">
        <v>-144.8306</v>
      </c>
      <c r="K6412">
        <v>1.123078</v>
      </c>
      <c r="L6412">
        <v>137.38849999999999</v>
      </c>
      <c r="M6412">
        <v>0.9980753</v>
      </c>
      <c r="N6412">
        <v>-1.842703E-2</v>
      </c>
      <c r="O6412">
        <v>5.9213599999999998E-2</v>
      </c>
      <c r="P6412">
        <v>0.98241780000000001</v>
      </c>
      <c r="Q6412">
        <v>0.18451819999999999</v>
      </c>
      <c r="R6412">
        <v>-2.8429820000000001E-2</v>
      </c>
      <c r="S6412">
        <v>3.0813899999999999</v>
      </c>
      <c r="T6412">
        <v>-9.7282530000000006E-2</v>
      </c>
      <c r="U6412">
        <v>0.29232789999999997</v>
      </c>
      <c r="V6412">
        <v>8.6021230000000004E-2</v>
      </c>
      <c r="W6412">
        <v>0.20275779999999999</v>
      </c>
      <c r="X6412">
        <v>0.97544330000000001</v>
      </c>
      <c r="Y6412">
        <v>-3.5297429999999998E-2</v>
      </c>
      <c r="Z6412">
        <v>1.091531E-4</v>
      </c>
      <c r="AA6412">
        <v>0.99937679999999995</v>
      </c>
      <c r="AB6412">
        <v>30</v>
      </c>
      <c r="AC6412">
        <v>35.276299999999999</v>
      </c>
      <c r="AD6412">
        <v>-1.1230784913566001</v>
      </c>
      <c r="AE6412">
        <v>3.3559999999999901</v>
      </c>
      <c r="AF6412">
        <v>-1.2596527177730901</v>
      </c>
      <c r="AG6412">
        <v>-1.1230784913566001</v>
      </c>
      <c r="AH6412">
        <v>35.377599380230997</v>
      </c>
      <c r="AI6412">
        <v>91.817120045734001</v>
      </c>
      <c r="AJ6412">
        <v>92.039208680439401</v>
      </c>
      <c r="AK6412">
        <v>35.417828394401297</v>
      </c>
      <c r="AL6412">
        <v>78.301725864994793</v>
      </c>
      <c r="AM6412">
        <v>84.960305590089007</v>
      </c>
      <c r="AN6412">
        <v>1.00000000449322</v>
      </c>
    </row>
    <row r="6413" spans="1:40" x14ac:dyDescent="0.25">
      <c r="A6413" t="str">
        <f>"20190303170702760"</f>
        <v>20190303170702760</v>
      </c>
      <c r="B6413" t="str">
        <f>"1551604022751317"</f>
        <v>1551604022751317</v>
      </c>
      <c r="C6413" t="s">
        <v>40</v>
      </c>
      <c r="D6413">
        <v>5.7507739999999998</v>
      </c>
      <c r="E6413">
        <v>0.45713239999999999</v>
      </c>
      <c r="F6413" t="s">
        <v>41</v>
      </c>
      <c r="G6413">
        <v>-110.3579</v>
      </c>
      <c r="H6413" s="1">
        <v>-4.3480879999999996E-6</v>
      </c>
      <c r="I6413">
        <v>140.70920000000001</v>
      </c>
      <c r="J6413">
        <v>-144.55420000000001</v>
      </c>
      <c r="K6413">
        <v>1.123086</v>
      </c>
      <c r="L6413">
        <v>137.40629999999999</v>
      </c>
      <c r="M6413">
        <v>0.99799389999999999</v>
      </c>
      <c r="N6413">
        <v>-1.8752439999999999E-2</v>
      </c>
      <c r="O6413">
        <v>6.0471070000000002E-2</v>
      </c>
      <c r="P6413">
        <v>0.98263789999999995</v>
      </c>
      <c r="Q6413">
        <v>0.18332200000000001</v>
      </c>
      <c r="R6413">
        <v>-2.8565179999999999E-2</v>
      </c>
      <c r="S6413">
        <v>3.0811000000000002</v>
      </c>
      <c r="T6413">
        <v>-0.1003786</v>
      </c>
      <c r="U6413">
        <v>0.29679870000000003</v>
      </c>
      <c r="V6413">
        <v>8.7411390000000005E-2</v>
      </c>
      <c r="W6413">
        <v>0.20188220000000001</v>
      </c>
      <c r="X6413">
        <v>0.97550130000000002</v>
      </c>
      <c r="Y6413">
        <v>-3.5482619999999999E-2</v>
      </c>
      <c r="Z6413" s="1">
        <v>8.0130279999999999E-5</v>
      </c>
      <c r="AA6413">
        <v>0.99937030000000004</v>
      </c>
      <c r="AB6413">
        <v>30</v>
      </c>
      <c r="AC6413">
        <v>34.196300000000001</v>
      </c>
      <c r="AD6413">
        <v>-1.1230903480879999</v>
      </c>
      <c r="AE6413">
        <v>3.3029000000000202</v>
      </c>
      <c r="AF6413">
        <v>-1.2272915473452599</v>
      </c>
      <c r="AG6413">
        <v>-1.1230903480879999</v>
      </c>
      <c r="AH6413">
        <v>34.296810518444403</v>
      </c>
      <c r="AI6413">
        <v>91.874350238368393</v>
      </c>
      <c r="AJ6413">
        <v>92.049421883721095</v>
      </c>
      <c r="AK6413">
        <v>34.337134245743798</v>
      </c>
      <c r="AL6413">
        <v>78.352953176491695</v>
      </c>
      <c r="AM6413">
        <v>84.8795932259777</v>
      </c>
      <c r="AN6413">
        <v>0.99999998004013002</v>
      </c>
    </row>
    <row r="6414" spans="1:40" x14ac:dyDescent="0.25">
      <c r="A6414" t="str">
        <f>"20190303170702784"</f>
        <v>20190303170702784</v>
      </c>
      <c r="B6414" t="str">
        <f>"1551604022771812"</f>
        <v>1551604022771812</v>
      </c>
      <c r="C6414" t="s">
        <v>40</v>
      </c>
      <c r="D6414">
        <v>5.7278070000000003</v>
      </c>
      <c r="E6414">
        <v>0.45713399999999998</v>
      </c>
      <c r="F6414" t="s">
        <v>41</v>
      </c>
      <c r="G6414">
        <v>-111.6202</v>
      </c>
      <c r="H6414" s="1">
        <v>-3.8357530000000004E-6</v>
      </c>
      <c r="I6414">
        <v>140.58799999999999</v>
      </c>
      <c r="J6414">
        <v>-144.25229999999999</v>
      </c>
      <c r="K6414">
        <v>1.123097</v>
      </c>
      <c r="L6414">
        <v>137.4263</v>
      </c>
      <c r="M6414">
        <v>0.9979034</v>
      </c>
      <c r="N6414">
        <v>-1.9074569999999999E-2</v>
      </c>
      <c r="O6414">
        <v>6.1847819999999998E-2</v>
      </c>
      <c r="P6414">
        <v>0.98285509999999998</v>
      </c>
      <c r="Q6414">
        <v>0.1821053</v>
      </c>
      <c r="R6414">
        <v>-2.8874210000000001E-2</v>
      </c>
      <c r="S6414">
        <v>3.0812680000000001</v>
      </c>
      <c r="T6414">
        <v>-0.1050748</v>
      </c>
      <c r="U6414">
        <v>0.2976685</v>
      </c>
      <c r="V6414">
        <v>8.9093430000000001E-2</v>
      </c>
      <c r="W6414">
        <v>0.2009831</v>
      </c>
      <c r="X6414">
        <v>0.97553480000000004</v>
      </c>
      <c r="Y6414">
        <v>-3.4377499999999998E-2</v>
      </c>
      <c r="Z6414" s="1">
        <v>-9.1835389999999994E-6</v>
      </c>
      <c r="AA6414">
        <v>0.99940890000000004</v>
      </c>
      <c r="AB6414">
        <v>29</v>
      </c>
      <c r="AC6414">
        <v>32.632099999999902</v>
      </c>
      <c r="AD6414">
        <v>-1.1231008357529999</v>
      </c>
      <c r="AE6414">
        <v>3.16169999999999</v>
      </c>
      <c r="AF6414">
        <v>-1.1357209089515601</v>
      </c>
      <c r="AG6414">
        <v>-1.1231008357529999</v>
      </c>
      <c r="AH6414">
        <v>32.726780441590002</v>
      </c>
      <c r="AI6414">
        <v>91.964294268381494</v>
      </c>
      <c r="AJ6414">
        <v>91.987543857773801</v>
      </c>
      <c r="AK6414">
        <v>32.765734778001502</v>
      </c>
      <c r="AL6414">
        <v>78.405546026300499</v>
      </c>
      <c r="AM6414">
        <v>84.781779366074602</v>
      </c>
      <c r="AN6414">
        <v>0.999999995882907</v>
      </c>
    </row>
    <row r="6415" spans="1:40" x14ac:dyDescent="0.25">
      <c r="A6415" t="str">
        <f>"20190303170702805"</f>
        <v>20190303170702805</v>
      </c>
      <c r="B6415" t="str">
        <f>"1551604022791333"</f>
        <v>1551604022791333</v>
      </c>
      <c r="C6415" t="s">
        <v>40</v>
      </c>
      <c r="D6415">
        <v>5.7420849999999897</v>
      </c>
      <c r="E6415">
        <v>0.45710089999999998</v>
      </c>
      <c r="F6415" t="s">
        <v>41</v>
      </c>
      <c r="G6415">
        <v>-112.6348</v>
      </c>
      <c r="H6415" s="1">
        <v>-3.371644E-6</v>
      </c>
      <c r="I6415">
        <v>140.4796</v>
      </c>
      <c r="J6415">
        <v>-143.96799999999999</v>
      </c>
      <c r="K6415">
        <v>1.1230979999999999</v>
      </c>
      <c r="L6415">
        <v>137.44540000000001</v>
      </c>
      <c r="M6415">
        <v>0.99781679999999995</v>
      </c>
      <c r="N6415">
        <v>-1.9344690000000001E-2</v>
      </c>
      <c r="O6415">
        <v>6.3147900000000007E-2</v>
      </c>
      <c r="P6415">
        <v>0.98300609999999999</v>
      </c>
      <c r="Q6415">
        <v>0.18119250000000001</v>
      </c>
      <c r="R6415">
        <v>-2.9469410000000001E-2</v>
      </c>
      <c r="S6415">
        <v>3.0813600000000001</v>
      </c>
      <c r="T6415">
        <v>-0.1094546</v>
      </c>
      <c r="U6415">
        <v>0.29757689999999998</v>
      </c>
      <c r="V6415">
        <v>9.0981679999999995E-2</v>
      </c>
      <c r="W6415">
        <v>0.20033570000000001</v>
      </c>
      <c r="X6415">
        <v>0.97549370000000002</v>
      </c>
      <c r="Y6415">
        <v>-3.3043040000000003E-2</v>
      </c>
      <c r="Z6415">
        <v>-1.083086E-4</v>
      </c>
      <c r="AA6415">
        <v>0.99945390000000001</v>
      </c>
      <c r="AB6415">
        <v>29</v>
      </c>
      <c r="AC6415">
        <v>31.333199999999898</v>
      </c>
      <c r="AD6415">
        <v>-1.1231013716439999</v>
      </c>
      <c r="AE6415">
        <v>3.03419999999999</v>
      </c>
      <c r="AF6415">
        <v>-1.04781244971762</v>
      </c>
      <c r="AG6415">
        <v>-1.1231013716439999</v>
      </c>
      <c r="AH6415">
        <v>31.4222847026506</v>
      </c>
      <c r="AI6415">
        <v>92.045869247811595</v>
      </c>
      <c r="AJ6415">
        <v>91.909886378720103</v>
      </c>
      <c r="AK6415">
        <v>31.459803615966798</v>
      </c>
      <c r="AL6415">
        <v>78.443409566762895</v>
      </c>
      <c r="AM6415">
        <v>84.671590942360098</v>
      </c>
      <c r="AN6415">
        <v>1.0000000087648999</v>
      </c>
    </row>
    <row r="6416" spans="1:40" x14ac:dyDescent="0.25">
      <c r="A6416" t="str">
        <f>"20190303170702851"</f>
        <v>20190303170702851</v>
      </c>
      <c r="B6416" t="str">
        <f>"1551604022841109"</f>
        <v>1551604022841109</v>
      </c>
      <c r="C6416" t="s">
        <v>40</v>
      </c>
      <c r="D6416">
        <v>5.7228899999999996</v>
      </c>
      <c r="E6416">
        <v>0.45705970000000001</v>
      </c>
      <c r="F6416" t="s">
        <v>41</v>
      </c>
      <c r="G6416">
        <v>-113.3389</v>
      </c>
      <c r="H6416" s="1">
        <v>-3.0450819999999998E-6</v>
      </c>
      <c r="I6416">
        <v>140.38749999999999</v>
      </c>
      <c r="J6416">
        <v>-143.39070000000001</v>
      </c>
      <c r="K6416">
        <v>1.123105</v>
      </c>
      <c r="L6416">
        <v>137.4854</v>
      </c>
      <c r="M6416">
        <v>0.99763630000000003</v>
      </c>
      <c r="N6416">
        <v>-1.983644E-2</v>
      </c>
      <c r="O6416">
        <v>6.5790870000000001E-2</v>
      </c>
      <c r="P6416">
        <v>0.98298719999999995</v>
      </c>
      <c r="Q6416">
        <v>0.1810582</v>
      </c>
      <c r="R6416">
        <v>-3.0897129999999998E-2</v>
      </c>
      <c r="S6416">
        <v>3.0815730000000001</v>
      </c>
      <c r="T6416">
        <v>-0.11299430000000001</v>
      </c>
      <c r="U6416">
        <v>0.29600520000000002</v>
      </c>
      <c r="V6416">
        <v>9.5012780000000005E-2</v>
      </c>
      <c r="W6416">
        <v>0.2006772</v>
      </c>
      <c r="X6416">
        <v>0.97503910000000005</v>
      </c>
      <c r="Y6416">
        <v>-2.9885289999999998E-2</v>
      </c>
      <c r="Z6416">
        <v>-2.5538939999999999E-4</v>
      </c>
      <c r="AA6416">
        <v>0.99955329999999998</v>
      </c>
      <c r="AB6416">
        <v>29</v>
      </c>
      <c r="AC6416">
        <v>30.0518</v>
      </c>
      <c r="AD6416">
        <v>-1.1231080450819999</v>
      </c>
      <c r="AE6416">
        <v>2.9020999999999901</v>
      </c>
      <c r="AF6416">
        <v>-0.91701791034129898</v>
      </c>
      <c r="AG6416">
        <v>-1.1231080450819999</v>
      </c>
      <c r="AH6416">
        <v>30.135932526183701</v>
      </c>
      <c r="AI6416">
        <v>92.133328834424205</v>
      </c>
      <c r="AJ6416">
        <v>91.742937542863004</v>
      </c>
      <c r="AK6416">
        <v>30.1707925443053</v>
      </c>
      <c r="AL6416">
        <v>78.423437448770898</v>
      </c>
      <c r="AM6416">
        <v>84.4343790076896</v>
      </c>
      <c r="AN6416">
        <v>1.00000000674598</v>
      </c>
    </row>
    <row r="6417" spans="1:40" x14ac:dyDescent="0.25">
      <c r="A6417" t="str">
        <f>"20190303170702872"</f>
        <v>20190303170702872</v>
      </c>
      <c r="B6417" t="str">
        <f>"1551604022861137"</f>
        <v>1551604022861137</v>
      </c>
      <c r="C6417" t="s">
        <v>40</v>
      </c>
      <c r="D6417">
        <v>5.7472269999999996</v>
      </c>
      <c r="E6417">
        <v>0.45697260000000001</v>
      </c>
      <c r="F6417" t="s">
        <v>41</v>
      </c>
      <c r="G6417">
        <v>-113.01049999999999</v>
      </c>
      <c r="H6417" s="1">
        <v>-3.1831620000000001E-6</v>
      </c>
      <c r="I6417">
        <v>140.37690000000001</v>
      </c>
      <c r="J6417">
        <v>-143.12119999999999</v>
      </c>
      <c r="K6417">
        <v>1.123116</v>
      </c>
      <c r="L6417">
        <v>137.50460000000001</v>
      </c>
      <c r="M6417">
        <v>0.99755059999999995</v>
      </c>
      <c r="N6417">
        <v>-2.0043249999999999E-2</v>
      </c>
      <c r="O6417">
        <v>6.7016419999999993E-2</v>
      </c>
      <c r="P6417">
        <v>0.9828424</v>
      </c>
      <c r="Q6417">
        <v>0.18182780000000001</v>
      </c>
      <c r="R6417">
        <v>-3.0980089999999998E-2</v>
      </c>
      <c r="S6417">
        <v>3.082138</v>
      </c>
      <c r="T6417">
        <v>-0.1139416</v>
      </c>
      <c r="U6417">
        <v>0.29335020000000001</v>
      </c>
      <c r="V6417">
        <v>9.6294260000000007E-2</v>
      </c>
      <c r="W6417">
        <v>0.20164260000000001</v>
      </c>
      <c r="X6417">
        <v>0.97471419999999998</v>
      </c>
      <c r="Y6417">
        <v>-2.778825E-2</v>
      </c>
      <c r="Z6417">
        <v>-3.3415920000000001E-4</v>
      </c>
      <c r="AA6417">
        <v>0.9996138</v>
      </c>
      <c r="AB6417">
        <v>29</v>
      </c>
      <c r="AC6417">
        <v>30.110699999999898</v>
      </c>
      <c r="AD6417">
        <v>-1.123119183162</v>
      </c>
      <c r="AE6417">
        <v>2.8722999999999899</v>
      </c>
      <c r="AF6417">
        <v>-0.84635658191935004</v>
      </c>
      <c r="AG6417">
        <v>-1.123119183162</v>
      </c>
      <c r="AH6417">
        <v>30.1938811132346</v>
      </c>
      <c r="AI6417">
        <v>92.129408412444604</v>
      </c>
      <c r="AJ6417">
        <v>91.605622189719895</v>
      </c>
      <c r="AK6417">
        <v>30.226613651606598</v>
      </c>
      <c r="AL6417">
        <v>78.366970290043099</v>
      </c>
      <c r="AM6417">
        <v>84.357925889675002</v>
      </c>
      <c r="AN6417">
        <v>1.00000004716267</v>
      </c>
    </row>
    <row r="6418" spans="1:40" x14ac:dyDescent="0.25">
      <c r="A6418" t="str">
        <f>"20190303170702895"</f>
        <v>20190303170702895</v>
      </c>
      <c r="B6418" t="str">
        <f>"1551604022881633"</f>
        <v>1551604022881633</v>
      </c>
      <c r="C6418" t="s">
        <v>40</v>
      </c>
      <c r="D6418">
        <v>5.8177890000000003</v>
      </c>
      <c r="E6418">
        <v>0.45697749999999998</v>
      </c>
      <c r="F6418" t="s">
        <v>41</v>
      </c>
      <c r="G6418">
        <v>-112.1429</v>
      </c>
      <c r="H6418" s="1">
        <v>-3.57868E-6</v>
      </c>
      <c r="I6418">
        <v>140.46449999999999</v>
      </c>
      <c r="J6418">
        <v>-142.83629999999999</v>
      </c>
      <c r="K6418">
        <v>1.1231070000000001</v>
      </c>
      <c r="L6418">
        <v>137.52529999999999</v>
      </c>
      <c r="M6418">
        <v>0.99745989999999995</v>
      </c>
      <c r="N6418">
        <v>-2.0248869999999999E-2</v>
      </c>
      <c r="O6418">
        <v>6.8292439999999996E-2</v>
      </c>
      <c r="P6418">
        <v>0.98315260000000004</v>
      </c>
      <c r="Q6418">
        <v>0.18015139999999999</v>
      </c>
      <c r="R6418">
        <v>-3.093369E-2</v>
      </c>
      <c r="S6418">
        <v>3.0823360000000002</v>
      </c>
      <c r="T6418">
        <v>-0.1117501</v>
      </c>
      <c r="U6418">
        <v>0.29450989999999999</v>
      </c>
      <c r="V6418">
        <v>9.7536510000000007E-2</v>
      </c>
      <c r="W6418">
        <v>0.2001675</v>
      </c>
      <c r="X6418">
        <v>0.97489459999999994</v>
      </c>
      <c r="Y6418">
        <v>-2.6876779999999999E-2</v>
      </c>
      <c r="Z6418">
        <v>-3.2563850000000001E-4</v>
      </c>
      <c r="AA6418">
        <v>0.99963869999999999</v>
      </c>
      <c r="AB6418">
        <v>28</v>
      </c>
      <c r="AC6418">
        <v>30.6934</v>
      </c>
      <c r="AD6418">
        <v>-1.12311057867999</v>
      </c>
      <c r="AE6418">
        <v>2.9392</v>
      </c>
      <c r="AF6418">
        <v>-0.83467086284274805</v>
      </c>
      <c r="AG6418">
        <v>-1.12311057867999</v>
      </c>
      <c r="AH6418">
        <v>30.781638711349299</v>
      </c>
      <c r="AI6418">
        <v>92.088821572552902</v>
      </c>
      <c r="AJ6418">
        <v>91.553244204018696</v>
      </c>
      <c r="AK6418">
        <v>30.813427829069301</v>
      </c>
      <c r="AL6418">
        <v>78.453245152522499</v>
      </c>
      <c r="AM6418">
        <v>84.286669066113305</v>
      </c>
      <c r="AN6418">
        <v>0.99999993997419301</v>
      </c>
    </row>
    <row r="6419" spans="1:40" x14ac:dyDescent="0.25">
      <c r="A6419" t="str">
        <f>"20190303170702918"</f>
        <v>20190303170702918</v>
      </c>
      <c r="B6419" t="str">
        <f>"1551604022910913"</f>
        <v>1551604022910913</v>
      </c>
      <c r="C6419" t="s">
        <v>40</v>
      </c>
      <c r="D6419">
        <v>5.8398760000000003</v>
      </c>
      <c r="E6419">
        <v>0.45698100000000003</v>
      </c>
      <c r="F6419" t="s">
        <v>41</v>
      </c>
      <c r="G6419">
        <v>-113.13460000000001</v>
      </c>
      <c r="H6419" s="1">
        <v>-3.1263379999999998E-6</v>
      </c>
      <c r="I6419">
        <v>140.36340000000001</v>
      </c>
      <c r="J6419">
        <v>-142.54929999999999</v>
      </c>
      <c r="K6419">
        <v>1.1230739999999999</v>
      </c>
      <c r="L6419">
        <v>137.54650000000001</v>
      </c>
      <c r="M6419">
        <v>0.99736979999999997</v>
      </c>
      <c r="N6419">
        <v>-2.0444210000000001E-2</v>
      </c>
      <c r="O6419">
        <v>6.9539699999999996E-2</v>
      </c>
      <c r="P6419">
        <v>0.9835564</v>
      </c>
      <c r="Q6419">
        <v>0.17783460000000001</v>
      </c>
      <c r="R6419">
        <v>-3.1493939999999998E-2</v>
      </c>
      <c r="S6419">
        <v>3.0820159999999999</v>
      </c>
      <c r="T6419">
        <v>-0.11654009999999999</v>
      </c>
      <c r="U6419">
        <v>0.2944946</v>
      </c>
      <c r="V6419">
        <v>9.9370479999999997E-2</v>
      </c>
      <c r="W6419">
        <v>0.1980423</v>
      </c>
      <c r="X6419">
        <v>0.97514350000000005</v>
      </c>
      <c r="Y6419">
        <v>-2.5632410000000001E-2</v>
      </c>
      <c r="Z6419">
        <v>-4.5229150000000002E-4</v>
      </c>
      <c r="AA6419">
        <v>0.99967130000000004</v>
      </c>
      <c r="AB6419">
        <v>28</v>
      </c>
      <c r="AC6419">
        <v>29.4146999999999</v>
      </c>
      <c r="AD6419">
        <v>-1.1230771263379999</v>
      </c>
      <c r="AE6419">
        <v>2.8169</v>
      </c>
      <c r="AF6419">
        <v>-0.76305893339702602</v>
      </c>
      <c r="AG6419">
        <v>-1.1230771263379999</v>
      </c>
      <c r="AH6419">
        <v>29.496781074321198</v>
      </c>
      <c r="AI6419">
        <v>92.179730142579103</v>
      </c>
      <c r="AJ6419">
        <v>91.4818670374096</v>
      </c>
      <c r="AK6419">
        <v>29.528014747252801</v>
      </c>
      <c r="AL6419">
        <v>78.577499162818498</v>
      </c>
      <c r="AM6419">
        <v>84.181447884338397</v>
      </c>
      <c r="AN6419">
        <v>1.0000000452384801</v>
      </c>
    </row>
    <row r="6420" spans="1:40" x14ac:dyDescent="0.25">
      <c r="A6420" t="str">
        <f>"20190303170702940"</f>
        <v>20190303170702940</v>
      </c>
      <c r="B6420" t="str">
        <f>"1551604022931410"</f>
        <v>1551604022931410</v>
      </c>
      <c r="C6420" t="s">
        <v>40</v>
      </c>
      <c r="D6420">
        <v>5.76776</v>
      </c>
      <c r="E6420">
        <v>0.45697589999999999</v>
      </c>
      <c r="F6420" t="s">
        <v>41</v>
      </c>
      <c r="G6420">
        <v>-114.3609</v>
      </c>
      <c r="H6420" s="1">
        <v>-2.5630599999999998E-6</v>
      </c>
      <c r="I6420">
        <v>140.2236</v>
      </c>
      <c r="J6420">
        <v>-142.28</v>
      </c>
      <c r="K6420">
        <v>1.1230260000000001</v>
      </c>
      <c r="L6420">
        <v>137.56659999999999</v>
      </c>
      <c r="M6420">
        <v>0.99728810000000001</v>
      </c>
      <c r="N6420">
        <v>-2.0619950000000001E-2</v>
      </c>
      <c r="O6420">
        <v>7.0649920000000005E-2</v>
      </c>
      <c r="P6420">
        <v>0.98358730000000005</v>
      </c>
      <c r="Q6420">
        <v>0.17742160000000001</v>
      </c>
      <c r="R6420">
        <v>-3.282964E-2</v>
      </c>
      <c r="S6420">
        <v>3.0817109999999999</v>
      </c>
      <c r="T6420">
        <v>-0.12278070000000001</v>
      </c>
      <c r="U6420">
        <v>0.29267880000000002</v>
      </c>
      <c r="V6420">
        <v>0.1018206</v>
      </c>
      <c r="W6420">
        <v>0.19778979999999999</v>
      </c>
      <c r="X6420">
        <v>0.97494190000000003</v>
      </c>
      <c r="Y6420">
        <v>-2.3946829999999999E-2</v>
      </c>
      <c r="Z6420">
        <v>-6.2434480000000004E-4</v>
      </c>
      <c r="AA6420">
        <v>0.99971310000000002</v>
      </c>
      <c r="AB6420">
        <v>28</v>
      </c>
      <c r="AC6420">
        <v>27.9191</v>
      </c>
      <c r="AD6420">
        <v>-1.1230285630600001</v>
      </c>
      <c r="AE6420">
        <v>2.6570000000000098</v>
      </c>
      <c r="AF6420">
        <v>-0.67637173917163296</v>
      </c>
      <c r="AG6420">
        <v>-1.1230285630600001</v>
      </c>
      <c r="AH6420">
        <v>27.992177169998602</v>
      </c>
      <c r="AI6420">
        <v>92.296768921597405</v>
      </c>
      <c r="AJ6420">
        <v>91.3841619563688</v>
      </c>
      <c r="AK6420">
        <v>28.0228595007646</v>
      </c>
      <c r="AL6420">
        <v>78.592257473426102</v>
      </c>
      <c r="AM6420">
        <v>84.037780214645693</v>
      </c>
      <c r="AN6420">
        <v>0.99999997397200402</v>
      </c>
    </row>
    <row r="6421" spans="1:40" x14ac:dyDescent="0.25">
      <c r="A6421" t="str">
        <f>"20190303170702962"</f>
        <v>20190303170702962</v>
      </c>
      <c r="B6421" t="str">
        <f>"1551604022951436"</f>
        <v>1551604022951436</v>
      </c>
      <c r="C6421" t="s">
        <v>40</v>
      </c>
      <c r="D6421">
        <v>5.8267790000000002</v>
      </c>
      <c r="E6421">
        <v>0.45699709999999899</v>
      </c>
      <c r="F6421" t="s">
        <v>41</v>
      </c>
      <c r="G6421">
        <v>-114.1067</v>
      </c>
      <c r="H6421" s="1">
        <v>-2.6719159999999998E-6</v>
      </c>
      <c r="I6421">
        <v>140.22280000000001</v>
      </c>
      <c r="J6421">
        <v>-142.0102</v>
      </c>
      <c r="K6421">
        <v>1.12297</v>
      </c>
      <c r="L6421">
        <v>137.58699999999999</v>
      </c>
      <c r="M6421">
        <v>0.99721190000000004</v>
      </c>
      <c r="N6421">
        <v>-2.079723E-2</v>
      </c>
      <c r="O6421">
        <v>7.1666250000000001E-2</v>
      </c>
      <c r="P6421">
        <v>0.98365910000000001</v>
      </c>
      <c r="Q6421">
        <v>0.17704049999999999</v>
      </c>
      <c r="R6421">
        <v>-3.2736290000000001E-2</v>
      </c>
      <c r="S6421">
        <v>3.0819399999999999</v>
      </c>
      <c r="T6421">
        <v>-0.1228503</v>
      </c>
      <c r="U6421">
        <v>0.29057309999999997</v>
      </c>
      <c r="V6421">
        <v>0.1027675</v>
      </c>
      <c r="W6421">
        <v>0.19756460000000001</v>
      </c>
      <c r="X6421">
        <v>0.97488830000000004</v>
      </c>
      <c r="Y6421">
        <v>-2.2245640000000001E-2</v>
      </c>
      <c r="Z6421">
        <v>-6.8156100000000002E-4</v>
      </c>
      <c r="AA6421">
        <v>0.99975230000000004</v>
      </c>
      <c r="AB6421">
        <v>28</v>
      </c>
      <c r="AC6421">
        <v>27.903499999999902</v>
      </c>
      <c r="AD6421">
        <v>-1.122972671916</v>
      </c>
      <c r="AE6421">
        <v>2.6357999999999802</v>
      </c>
      <c r="AF6421">
        <v>-0.62783999557092096</v>
      </c>
      <c r="AG6421">
        <v>-1.122972671916</v>
      </c>
      <c r="AH6421">
        <v>27.975748352522601</v>
      </c>
      <c r="AI6421">
        <v>92.298093997305799</v>
      </c>
      <c r="AJ6421">
        <v>91.285632972199906</v>
      </c>
      <c r="AK6421">
        <v>28.0053163982409</v>
      </c>
      <c r="AL6421">
        <v>78.605421259503004</v>
      </c>
      <c r="AM6421">
        <v>83.982409960709106</v>
      </c>
      <c r="AN6421">
        <v>1.0000000638531401</v>
      </c>
    </row>
    <row r="6422" spans="1:40" x14ac:dyDescent="0.25">
      <c r="A6422" t="str">
        <f>"20190303170702985"</f>
        <v>20190303170702985</v>
      </c>
      <c r="B6422" t="str">
        <f>"1551604022970956"</f>
        <v>1551604022970956</v>
      </c>
      <c r="C6422" t="s">
        <v>40</v>
      </c>
      <c r="D6422">
        <v>5.8064970000000002</v>
      </c>
      <c r="E6422">
        <v>0.4569686</v>
      </c>
      <c r="F6422" t="s">
        <v>41</v>
      </c>
      <c r="G6422">
        <v>-113.7427</v>
      </c>
      <c r="H6422" s="1">
        <v>-2.840211E-6</v>
      </c>
      <c r="I6422">
        <v>140.26849999999999</v>
      </c>
      <c r="J6422">
        <v>-141.73330000000001</v>
      </c>
      <c r="K6422">
        <v>1.1228769999999999</v>
      </c>
      <c r="L6422">
        <v>137.60810000000001</v>
      </c>
      <c r="M6422">
        <v>0.99714369999999997</v>
      </c>
      <c r="N6422">
        <v>-2.0983000000000002E-2</v>
      </c>
      <c r="O6422">
        <v>7.2555079999999994E-2</v>
      </c>
      <c r="P6422">
        <v>0.98410770000000003</v>
      </c>
      <c r="Q6422">
        <v>0.17483979999999999</v>
      </c>
      <c r="R6422">
        <v>-3.103699E-2</v>
      </c>
      <c r="S6422">
        <v>3.0816189999999999</v>
      </c>
      <c r="T6422">
        <v>-0.12242219999999999</v>
      </c>
      <c r="U6422">
        <v>0.29232789999999997</v>
      </c>
      <c r="V6422">
        <v>0.10203569999999999</v>
      </c>
      <c r="W6422">
        <v>0.19552559999999999</v>
      </c>
      <c r="X6422">
        <v>0.97537609999999997</v>
      </c>
      <c r="Y6422">
        <v>-2.1928340000000001E-2</v>
      </c>
      <c r="Z6422">
        <v>-6.8404329999999995E-4</v>
      </c>
      <c r="AA6422">
        <v>0.99975930000000002</v>
      </c>
      <c r="AB6422">
        <v>28</v>
      </c>
      <c r="AC6422">
        <v>27.990600000000001</v>
      </c>
      <c r="AD6422">
        <v>-1.1228798402110001</v>
      </c>
      <c r="AE6422">
        <v>2.6603999999999801</v>
      </c>
      <c r="AF6422">
        <v>-0.62108723337707195</v>
      </c>
      <c r="AG6422">
        <v>-1.1228798402110001</v>
      </c>
      <c r="AH6422">
        <v>28.065102333111199</v>
      </c>
      <c r="AI6422">
        <v>92.290611844926602</v>
      </c>
      <c r="AJ6422">
        <v>91.267761974916993</v>
      </c>
      <c r="AK6422">
        <v>28.094422532862701</v>
      </c>
      <c r="AL6422">
        <v>78.724571151206703</v>
      </c>
      <c r="AM6422">
        <v>84.027916298766002</v>
      </c>
      <c r="AN6422">
        <v>1.00000004039052</v>
      </c>
    </row>
    <row r="6423" spans="1:40" x14ac:dyDescent="0.25">
      <c r="A6423" t="str">
        <f>"20190303170703007"</f>
        <v>20190303170703007</v>
      </c>
      <c r="B6423" t="str">
        <f>"1551604023001211"</f>
        <v>1551604023001211</v>
      </c>
      <c r="C6423" t="s">
        <v>40</v>
      </c>
      <c r="D6423">
        <v>6.4065300000000001</v>
      </c>
      <c r="E6423">
        <v>0.4570362</v>
      </c>
      <c r="F6423" t="s">
        <v>41</v>
      </c>
      <c r="G6423">
        <v>-114.9727</v>
      </c>
      <c r="H6423" s="1">
        <v>-2.2910970000000001E-6</v>
      </c>
      <c r="I6423">
        <v>140.18790000000001</v>
      </c>
      <c r="J6423">
        <v>-141.45830000000001</v>
      </c>
      <c r="K6423">
        <v>1.122752</v>
      </c>
      <c r="L6423">
        <v>137.62899999999999</v>
      </c>
      <c r="M6423">
        <v>0.9970909</v>
      </c>
      <c r="N6423">
        <v>-2.1160100000000001E-2</v>
      </c>
      <c r="O6423">
        <v>7.3225760000000001E-2</v>
      </c>
      <c r="P6423">
        <v>0.98462000000000005</v>
      </c>
      <c r="Q6423">
        <v>0.17209669999999999</v>
      </c>
      <c r="R6423">
        <v>-3.0108099999999902E-2</v>
      </c>
      <c r="S6423">
        <v>3.080765</v>
      </c>
      <c r="T6423">
        <v>-0.12926940000000001</v>
      </c>
      <c r="U6423">
        <v>0.29699710000000001</v>
      </c>
      <c r="V6423">
        <v>0.101881</v>
      </c>
      <c r="W6423">
        <v>0.19292860000000001</v>
      </c>
      <c r="X6423">
        <v>0.97590920000000003</v>
      </c>
      <c r="Y6423">
        <v>-2.2782529999999999E-2</v>
      </c>
      <c r="Z6423">
        <v>-7.9278759999999997E-4</v>
      </c>
      <c r="AA6423">
        <v>0.99974010000000002</v>
      </c>
      <c r="AB6423">
        <v>27</v>
      </c>
      <c r="AC6423">
        <v>26.485600000000002</v>
      </c>
      <c r="AD6423">
        <v>-1.1227542910970001</v>
      </c>
      <c r="AE6423">
        <v>2.5589000000000199</v>
      </c>
      <c r="AF6423">
        <v>-0.61107681707277794</v>
      </c>
      <c r="AG6423">
        <v>-1.1227542910970001</v>
      </c>
      <c r="AH6423">
        <v>26.554606461035899</v>
      </c>
      <c r="AI6423">
        <v>92.420438593789598</v>
      </c>
      <c r="AJ6423">
        <v>91.318262588372605</v>
      </c>
      <c r="AK6423">
        <v>26.585355299018101</v>
      </c>
      <c r="AL6423">
        <v>78.876256208102504</v>
      </c>
      <c r="AM6423">
        <v>84.040139445397401</v>
      </c>
      <c r="AN6423">
        <v>0.99999997475179903</v>
      </c>
    </row>
    <row r="6424" spans="1:40" x14ac:dyDescent="0.25">
      <c r="A6424" t="str">
        <f>"20190303170703029"</f>
        <v>20190303170703029</v>
      </c>
      <c r="B6424" t="str">
        <f>"1551604023021707"</f>
        <v>1551604023021707</v>
      </c>
      <c r="C6424" t="s">
        <v>40</v>
      </c>
      <c r="D6424">
        <v>5.806711</v>
      </c>
      <c r="E6424">
        <v>0.49309950000000002</v>
      </c>
      <c r="F6424" t="s">
        <v>41</v>
      </c>
      <c r="G6424">
        <v>-116.35469999999999</v>
      </c>
      <c r="H6424" s="1">
        <v>-1.6663240000000001E-6</v>
      </c>
      <c r="I6424">
        <v>140.06799999999899</v>
      </c>
      <c r="J6424">
        <v>-141.18620000000001</v>
      </c>
      <c r="K6424">
        <v>1.122617</v>
      </c>
      <c r="L6424">
        <v>137.6497</v>
      </c>
      <c r="M6424">
        <v>0.99705259999999996</v>
      </c>
      <c r="N6424">
        <v>-2.1332879999999999E-2</v>
      </c>
      <c r="O6424">
        <v>7.3695670000000005E-2</v>
      </c>
      <c r="P6424">
        <v>0.98472800000000005</v>
      </c>
      <c r="Q6424">
        <v>0.17137179999999999</v>
      </c>
      <c r="R6424">
        <v>-3.0698090000000001E-2</v>
      </c>
      <c r="S6424">
        <v>3.0800930000000002</v>
      </c>
      <c r="T6424">
        <v>-0.13775670000000001</v>
      </c>
      <c r="U6424">
        <v>0.2992554</v>
      </c>
      <c r="V6424">
        <v>0.10301539999999999</v>
      </c>
      <c r="W6424">
        <v>0.19233439999999999</v>
      </c>
      <c r="X6424">
        <v>0.97590739999999998</v>
      </c>
      <c r="Y6424">
        <v>-2.3058470000000001E-2</v>
      </c>
      <c r="Z6424">
        <v>-9.4987309999999998E-4</v>
      </c>
      <c r="AA6424">
        <v>0.99973369999999995</v>
      </c>
      <c r="AB6424">
        <v>27</v>
      </c>
      <c r="AC6424">
        <v>24.831499999999998</v>
      </c>
      <c r="AD6424">
        <v>-1.1226186663240001</v>
      </c>
      <c r="AE6424">
        <v>2.4182999999999799</v>
      </c>
      <c r="AF6424">
        <v>-0.58015592145810702</v>
      </c>
      <c r="AG6424">
        <v>-1.1226186663240001</v>
      </c>
      <c r="AH6424">
        <v>24.8918073929039</v>
      </c>
      <c r="AI6424">
        <v>92.581585418872805</v>
      </c>
      <c r="AJ6424">
        <v>91.33515691401</v>
      </c>
      <c r="AK6424">
        <v>24.923862639017401</v>
      </c>
      <c r="AL6424">
        <v>78.910951146029106</v>
      </c>
      <c r="AM6424">
        <v>83.974253575857105</v>
      </c>
      <c r="AN6424">
        <v>0.99999997371763905</v>
      </c>
    </row>
    <row r="6425" spans="1:40" x14ac:dyDescent="0.25">
      <c r="A6425" t="str">
        <f>"20190303170703051"</f>
        <v>20190303170703051</v>
      </c>
      <c r="B6425" t="str">
        <f>"1551604023041227"</f>
        <v>1551604023041227</v>
      </c>
      <c r="C6425" t="s">
        <v>40</v>
      </c>
      <c r="D6425">
        <v>5.795248</v>
      </c>
      <c r="E6425">
        <v>0.49602380000000001</v>
      </c>
      <c r="F6425" t="s">
        <v>42</v>
      </c>
      <c r="G6425">
        <v>-140.28579999999999</v>
      </c>
      <c r="H6425">
        <v>1.0467310000000001</v>
      </c>
      <c r="I6425">
        <v>137.65430000000001</v>
      </c>
      <c r="J6425">
        <v>-140.9229</v>
      </c>
      <c r="K6425">
        <v>1.1224809999999901</v>
      </c>
      <c r="L6425">
        <v>137.66970000000001</v>
      </c>
      <c r="M6425">
        <v>0.99703169999999997</v>
      </c>
      <c r="N6425">
        <v>-2.1491440000000001E-2</v>
      </c>
      <c r="O6425">
        <v>7.3931330000000003E-2</v>
      </c>
      <c r="P6425">
        <v>0.98452819999999996</v>
      </c>
      <c r="Q6425">
        <v>0.17232459999999999</v>
      </c>
      <c r="R6425">
        <v>-3.1761709999999999E-2</v>
      </c>
      <c r="S6425">
        <v>3.0923919999999998</v>
      </c>
      <c r="T6425">
        <v>-0.2606465</v>
      </c>
      <c r="U6425">
        <v>1.580811E-2</v>
      </c>
      <c r="V6425">
        <v>0.1043694</v>
      </c>
      <c r="W6425">
        <v>0.19339419999999999</v>
      </c>
      <c r="X6425">
        <v>0.97555400000000003</v>
      </c>
      <c r="Y6425">
        <v>6.8399970000000004E-2</v>
      </c>
      <c r="Z6425">
        <v>-8.2418400000000003E-3</v>
      </c>
      <c r="AA6425">
        <v>0.99762390000000001</v>
      </c>
      <c r="AB6425">
        <v>27</v>
      </c>
      <c r="AC6425">
        <v>0.637100000000003</v>
      </c>
      <c r="AD6425">
        <v>-7.5749999999999901E-2</v>
      </c>
      <c r="AE6425">
        <v>-1.53999999999996E-2</v>
      </c>
      <c r="AF6425">
        <v>6.1600052211149198E-2</v>
      </c>
      <c r="AG6425">
        <v>-7.5749999999999901E-2</v>
      </c>
      <c r="AH6425">
        <v>0.62538115366209901</v>
      </c>
      <c r="AI6425">
        <v>96.873428696529302</v>
      </c>
      <c r="AJ6425">
        <v>84.374511403065398</v>
      </c>
      <c r="AK6425">
        <v>0.63295672544665704</v>
      </c>
      <c r="AL6425">
        <v>78.849066935431793</v>
      </c>
      <c r="AM6425">
        <v>83.893452690261398</v>
      </c>
      <c r="AN6425">
        <v>0.99999994758299804</v>
      </c>
    </row>
    <row r="6426" spans="1:40" x14ac:dyDescent="0.25">
      <c r="A6426" t="str">
        <f>"20190303170703073"</f>
        <v>20190303170703073</v>
      </c>
      <c r="B6426" t="str">
        <f>"1551604023061724"</f>
        <v>1551604023061724</v>
      </c>
      <c r="C6426" t="s">
        <v>40</v>
      </c>
      <c r="D6426">
        <v>5.7672720000000002</v>
      </c>
      <c r="E6426">
        <v>0.49784990000000001</v>
      </c>
      <c r="F6426" t="s">
        <v>42</v>
      </c>
      <c r="G6426">
        <v>-140.0479</v>
      </c>
      <c r="H6426">
        <v>1.0454479999999999</v>
      </c>
      <c r="I6426">
        <v>137.66659999999999</v>
      </c>
      <c r="J6426">
        <v>-140.6652</v>
      </c>
      <c r="K6426">
        <v>1.1223369999999999</v>
      </c>
      <c r="L6426">
        <v>137.68899999999999</v>
      </c>
      <c r="M6426">
        <v>0.99703129999999995</v>
      </c>
      <c r="N6426">
        <v>-2.1644090000000001E-2</v>
      </c>
      <c r="O6426">
        <v>7.3893150000000005E-2</v>
      </c>
      <c r="P6426">
        <v>0.98419760000000001</v>
      </c>
      <c r="Q6426">
        <v>0.17416129999999999</v>
      </c>
      <c r="R6426">
        <v>-3.198902E-2</v>
      </c>
      <c r="S6426">
        <v>3.0944669999999999</v>
      </c>
      <c r="T6426">
        <v>-0.2724143</v>
      </c>
      <c r="U6426">
        <v>-1.089478E-2</v>
      </c>
      <c r="V6426">
        <v>0.10462150000000001</v>
      </c>
      <c r="W6426">
        <v>0.195325</v>
      </c>
      <c r="X6426">
        <v>0.97514230000000002</v>
      </c>
      <c r="Y6426">
        <v>7.6888280000000003E-2</v>
      </c>
      <c r="Z6426">
        <v>-9.1019399999999993E-3</v>
      </c>
      <c r="AA6426">
        <v>0.99699819999999995</v>
      </c>
      <c r="AB6426">
        <v>27</v>
      </c>
      <c r="AC6426">
        <v>0.61729999999999996</v>
      </c>
      <c r="AD6426">
        <v>-7.6889000000000193E-2</v>
      </c>
      <c r="AE6426">
        <v>-2.24000000000046E-2</v>
      </c>
      <c r="AF6426">
        <v>6.6926696957409201E-2</v>
      </c>
      <c r="AG6426">
        <v>-7.6889000000000193E-2</v>
      </c>
      <c r="AH6426">
        <v>0.60458850458270497</v>
      </c>
      <c r="AI6426">
        <v>97.204187819951201</v>
      </c>
      <c r="AJ6426">
        <v>83.683194052068004</v>
      </c>
      <c r="AK6426">
        <v>0.61312181575946301</v>
      </c>
      <c r="AL6426">
        <v>78.736290300917005</v>
      </c>
      <c r="AM6426">
        <v>83.876249721510604</v>
      </c>
      <c r="AN6426">
        <v>1.00000000956827</v>
      </c>
    </row>
    <row r="6427" spans="1:40" x14ac:dyDescent="0.25">
      <c r="A6427" t="str">
        <f>"20190303170703095"</f>
        <v>20190303170703095</v>
      </c>
      <c r="B6427" t="str">
        <f>"1551604023091003"</f>
        <v>1551604023091003</v>
      </c>
      <c r="C6427" t="s">
        <v>40</v>
      </c>
      <c r="D6427">
        <v>5.7833199999999998</v>
      </c>
      <c r="E6427">
        <v>0.49945489999999998</v>
      </c>
      <c r="F6427" t="s">
        <v>42</v>
      </c>
      <c r="G6427">
        <v>-139.80930000000001</v>
      </c>
      <c r="H6427">
        <v>1.0466690000000001</v>
      </c>
      <c r="I6427">
        <v>137.6815</v>
      </c>
      <c r="J6427">
        <v>-140.40049999999999</v>
      </c>
      <c r="K6427">
        <v>1.1221509999999999</v>
      </c>
      <c r="L6427">
        <v>137.70849999999999</v>
      </c>
      <c r="M6427">
        <v>0.997054</v>
      </c>
      <c r="N6427">
        <v>-2.1822439999999999E-2</v>
      </c>
      <c r="O6427">
        <v>7.3535069999999994E-2</v>
      </c>
      <c r="P6427">
        <v>0.9839852</v>
      </c>
      <c r="Q6427">
        <v>0.1754106</v>
      </c>
      <c r="R6427">
        <v>-3.169433E-2</v>
      </c>
      <c r="S6427">
        <v>3.0957029999999999</v>
      </c>
      <c r="T6427">
        <v>-0.27369260000000001</v>
      </c>
      <c r="U6427">
        <v>-2.7404789999999998E-2</v>
      </c>
      <c r="V6427">
        <v>0.10407039999999999</v>
      </c>
      <c r="W6427">
        <v>0.19668659999999999</v>
      </c>
      <c r="X6427">
        <v>0.97492749999999995</v>
      </c>
      <c r="Y6427">
        <v>8.1817399999999998E-2</v>
      </c>
      <c r="Z6427">
        <v>-9.3857969999999995E-3</v>
      </c>
      <c r="AA6427">
        <v>0.99660309999999996</v>
      </c>
      <c r="AB6427">
        <v>27</v>
      </c>
      <c r="AC6427">
        <v>0.59119999999998596</v>
      </c>
      <c r="AD6427">
        <v>-7.5481999999999994E-2</v>
      </c>
      <c r="AE6427">
        <v>-2.6999999999986798E-2</v>
      </c>
      <c r="AF6427">
        <v>6.9284089404681004E-2</v>
      </c>
      <c r="AG6427">
        <v>-7.5481999999999994E-2</v>
      </c>
      <c r="AH6427">
        <v>0.57820690818843101</v>
      </c>
      <c r="AI6427">
        <v>97.385373221520794</v>
      </c>
      <c r="AJ6427">
        <v>83.167067586411306</v>
      </c>
      <c r="AK6427">
        <v>0.58721465074149903</v>
      </c>
      <c r="AL6427">
        <v>78.656732468927501</v>
      </c>
      <c r="AM6427">
        <v>83.906931702244805</v>
      </c>
      <c r="AN6427">
        <v>0.99999994851598295</v>
      </c>
    </row>
    <row r="6428" spans="1:40" x14ac:dyDescent="0.25">
      <c r="A6428" t="str">
        <f>"20190303170703119"</f>
        <v>20190303170703119</v>
      </c>
      <c r="B6428" t="str">
        <f>"1551604023111499"</f>
        <v>1551604023111499</v>
      </c>
      <c r="C6428" t="s">
        <v>40</v>
      </c>
      <c r="D6428">
        <v>5.764748</v>
      </c>
      <c r="E6428">
        <v>0.50015639999999995</v>
      </c>
      <c r="F6428" t="s">
        <v>42</v>
      </c>
      <c r="G6428">
        <v>-139.5694</v>
      </c>
      <c r="H6428">
        <v>1.048152</v>
      </c>
      <c r="I6428">
        <v>137.69739999999999</v>
      </c>
      <c r="J6428">
        <v>-140.12520000000001</v>
      </c>
      <c r="K6428">
        <v>1.1219220000000001</v>
      </c>
      <c r="L6428">
        <v>137.72829999999999</v>
      </c>
      <c r="M6428">
        <v>0.99710319999999997</v>
      </c>
      <c r="N6428">
        <v>-2.203229E-2</v>
      </c>
      <c r="O6428">
        <v>7.2801699999999997E-2</v>
      </c>
      <c r="P6428">
        <v>0.98376529999999995</v>
      </c>
      <c r="Q6428">
        <v>0.17684649999999999</v>
      </c>
      <c r="R6428">
        <v>-3.051924E-2</v>
      </c>
      <c r="S6428">
        <v>3.0966640000000001</v>
      </c>
      <c r="T6428">
        <v>-0.27573049999999999</v>
      </c>
      <c r="U6428">
        <v>-4.0710450000000002E-2</v>
      </c>
      <c r="V6428">
        <v>0.1022955</v>
      </c>
      <c r="W6428">
        <v>0.1982582</v>
      </c>
      <c r="X6428">
        <v>0.97479709999999997</v>
      </c>
      <c r="Y6428">
        <v>8.5339399999999996E-2</v>
      </c>
      <c r="Z6428">
        <v>-9.5974070000000005E-3</v>
      </c>
      <c r="AA6428">
        <v>0.99630569999999896</v>
      </c>
      <c r="AB6428">
        <v>27</v>
      </c>
      <c r="AC6428">
        <v>0.55580000000000496</v>
      </c>
      <c r="AD6428">
        <v>-7.3769999999999794E-2</v>
      </c>
      <c r="AE6428">
        <v>-3.0900000000002498E-2</v>
      </c>
      <c r="AF6428">
        <v>7.0060541650119906E-2</v>
      </c>
      <c r="AG6428">
        <v>-7.3769999999999794E-2</v>
      </c>
      <c r="AH6428">
        <v>0.54254594122506905</v>
      </c>
      <c r="AI6428">
        <v>97.680027597226697</v>
      </c>
      <c r="AJ6428">
        <v>82.641947658357793</v>
      </c>
      <c r="AK6428">
        <v>0.55200234667626602</v>
      </c>
      <c r="AL6428">
        <v>78.564878640576595</v>
      </c>
      <c r="AM6428">
        <v>84.009290336063003</v>
      </c>
      <c r="AN6428">
        <v>1.0000000346779401</v>
      </c>
    </row>
    <row r="6429" spans="1:40" x14ac:dyDescent="0.25">
      <c r="A6429" t="str">
        <f>"20190303170703140"</f>
        <v>20190303170703140</v>
      </c>
      <c r="B6429" t="str">
        <f>"1551604023131019"</f>
        <v>1551604023131019</v>
      </c>
      <c r="C6429" t="s">
        <v>40</v>
      </c>
      <c r="D6429">
        <v>5.7807750000000002</v>
      </c>
      <c r="E6429">
        <v>0.50087170000000003</v>
      </c>
      <c r="F6429" t="s">
        <v>41</v>
      </c>
      <c r="G6429">
        <v>-127.4042</v>
      </c>
      <c r="H6429" s="1">
        <v>-1.463175E-6</v>
      </c>
      <c r="I6429">
        <v>137.54589999999999</v>
      </c>
      <c r="J6429">
        <v>-139.87690000000001</v>
      </c>
      <c r="K6429">
        <v>1.1216980000000001</v>
      </c>
      <c r="L6429">
        <v>137.74549999999999</v>
      </c>
      <c r="M6429">
        <v>0.9971719</v>
      </c>
      <c r="N6429">
        <v>-2.2231939999999999E-2</v>
      </c>
      <c r="O6429">
        <v>7.1791519999999998E-2</v>
      </c>
      <c r="P6429">
        <v>0.983622</v>
      </c>
      <c r="Q6429">
        <v>0.17771700000000001</v>
      </c>
      <c r="R6429">
        <v>-3.00805E-2</v>
      </c>
      <c r="S6429">
        <v>3.097229</v>
      </c>
      <c r="T6429">
        <v>-0.27315709999999999</v>
      </c>
      <c r="U6429">
        <v>-4.4403079999999998E-2</v>
      </c>
      <c r="V6429">
        <v>0.1009853</v>
      </c>
      <c r="W6429">
        <v>0.1992601</v>
      </c>
      <c r="X6429">
        <v>0.97472939999999997</v>
      </c>
      <c r="Y6429">
        <v>8.5528359999999998E-2</v>
      </c>
      <c r="Z6429">
        <v>-9.4382749999999994E-3</v>
      </c>
      <c r="AA6429">
        <v>0.99629100000000004</v>
      </c>
      <c r="AB6429">
        <v>26</v>
      </c>
      <c r="AC6429">
        <v>12.4727</v>
      </c>
      <c r="AD6429">
        <v>-1.1216994631749999</v>
      </c>
      <c r="AE6429">
        <v>-0.199600000000003</v>
      </c>
      <c r="AF6429">
        <v>1.0859593283742801</v>
      </c>
      <c r="AG6429">
        <v>-1.1216994631749999</v>
      </c>
      <c r="AH6429">
        <v>12.326498018936</v>
      </c>
      <c r="AI6429">
        <v>95.179588045252899</v>
      </c>
      <c r="AJ6429">
        <v>84.965264659177606</v>
      </c>
      <c r="AK6429">
        <v>12.4249776965355</v>
      </c>
      <c r="AL6429">
        <v>78.506305087010603</v>
      </c>
      <c r="AM6429">
        <v>84.085064007516195</v>
      </c>
      <c r="AN6429">
        <v>1.0000000107462299</v>
      </c>
    </row>
    <row r="6430" spans="1:40" x14ac:dyDescent="0.25">
      <c r="A6430" t="str">
        <f>"20190303170703162"</f>
        <v>20190303170703162</v>
      </c>
      <c r="B6430" t="str">
        <f>"1551604023151515"</f>
        <v>1551604023151515</v>
      </c>
      <c r="C6430" t="s">
        <v>40</v>
      </c>
      <c r="D6430">
        <v>5.7678690000000001</v>
      </c>
      <c r="E6430">
        <v>0.50142350000000002</v>
      </c>
      <c r="F6430" t="s">
        <v>41</v>
      </c>
      <c r="G6430">
        <v>-127.0296</v>
      </c>
      <c r="H6430" s="1">
        <v>-1.6248450000000001E-6</v>
      </c>
      <c r="I6430">
        <v>137.5403</v>
      </c>
      <c r="J6430">
        <v>-139.6275</v>
      </c>
      <c r="K6430">
        <v>1.121475</v>
      </c>
      <c r="L6430">
        <v>137.7621</v>
      </c>
      <c r="M6430">
        <v>0.99726369999999998</v>
      </c>
      <c r="N6430">
        <v>-2.2451309999999999E-2</v>
      </c>
      <c r="O6430">
        <v>7.0436330000000005E-2</v>
      </c>
      <c r="P6430">
        <v>0.98354600000000003</v>
      </c>
      <c r="Q6430">
        <v>0.17793999999999999</v>
      </c>
      <c r="R6430">
        <v>-3.1224809999999999E-2</v>
      </c>
      <c r="S6430">
        <v>3.0972900000000001</v>
      </c>
      <c r="T6430">
        <v>-0.27042369999999999</v>
      </c>
      <c r="U6430">
        <v>-4.9453740000000003E-2</v>
      </c>
      <c r="V6430">
        <v>0.1009193</v>
      </c>
      <c r="W6430">
        <v>0.199632</v>
      </c>
      <c r="X6430">
        <v>0.97466010000000003</v>
      </c>
      <c r="Y6430">
        <v>8.5811999999999999E-2</v>
      </c>
      <c r="Z6430">
        <v>-9.2592760000000003E-3</v>
      </c>
      <c r="AA6430">
        <v>0.9962683</v>
      </c>
      <c r="AB6430">
        <v>26</v>
      </c>
      <c r="AC6430">
        <v>12.5978999999999</v>
      </c>
      <c r="AD6430">
        <v>-1.1214766248450001</v>
      </c>
      <c r="AE6430">
        <v>-0.221800000000001</v>
      </c>
      <c r="AF6430">
        <v>1.10010695558839</v>
      </c>
      <c r="AG6430">
        <v>-1.1214766248450001</v>
      </c>
      <c r="AH6430">
        <v>12.4523172056308</v>
      </c>
      <c r="AI6430">
        <v>95.126410460780804</v>
      </c>
      <c r="AJ6430">
        <v>84.951279942849396</v>
      </c>
      <c r="AK6430">
        <v>12.551021827861501</v>
      </c>
      <c r="AL6430">
        <v>78.484559488958794</v>
      </c>
      <c r="AM6430">
        <v>84.088485081823904</v>
      </c>
      <c r="AN6430">
        <v>0.99999997553424902</v>
      </c>
    </row>
    <row r="6431" spans="1:40" x14ac:dyDescent="0.25">
      <c r="A6431" t="str">
        <f>"20190303170703185"</f>
        <v>20190303170703185</v>
      </c>
      <c r="B6431" t="str">
        <f>"1551604023171035"</f>
        <v>1551604023171035</v>
      </c>
      <c r="C6431" t="s">
        <v>40</v>
      </c>
      <c r="D6431">
        <v>5.7865570000000002</v>
      </c>
      <c r="E6431">
        <v>0.50192040000000004</v>
      </c>
      <c r="F6431" t="s">
        <v>41</v>
      </c>
      <c r="G6431">
        <v>-126.803</v>
      </c>
      <c r="H6431" s="1">
        <v>-1.724455E-6</v>
      </c>
      <c r="I6431">
        <v>137.52670000000001</v>
      </c>
      <c r="J6431">
        <v>-139.36279999999999</v>
      </c>
      <c r="K6431">
        <v>1.121262</v>
      </c>
      <c r="L6431">
        <v>137.77889999999999</v>
      </c>
      <c r="M6431">
        <v>0.99738479999999996</v>
      </c>
      <c r="N6431">
        <v>-2.2706319999999999E-2</v>
      </c>
      <c r="O6431">
        <v>6.8615880000000004E-2</v>
      </c>
      <c r="P6431">
        <v>0.98352859999999998</v>
      </c>
      <c r="Q6431">
        <v>0.1778921</v>
      </c>
      <c r="R6431">
        <v>-3.2032419999999999E-2</v>
      </c>
      <c r="S6431">
        <v>3.0973820000000001</v>
      </c>
      <c r="T6431">
        <v>-0.27085969999999998</v>
      </c>
      <c r="U6431">
        <v>-5.6854250000000002E-2</v>
      </c>
      <c r="V6431">
        <v>0.1000617</v>
      </c>
      <c r="W6431">
        <v>0.19977549999999999</v>
      </c>
      <c r="X6431">
        <v>0.97471920000000001</v>
      </c>
      <c r="Y6431">
        <v>8.6372550000000006E-2</v>
      </c>
      <c r="Z6431">
        <v>-9.1814359999999994E-3</v>
      </c>
      <c r="AA6431">
        <v>0.99622060000000001</v>
      </c>
      <c r="AB6431">
        <v>26</v>
      </c>
      <c r="AC6431">
        <v>12.5597999999999</v>
      </c>
      <c r="AD6431">
        <v>-1.1212637244550001</v>
      </c>
      <c r="AE6431">
        <v>-0.25219999999998699</v>
      </c>
      <c r="AF6431">
        <v>1.10482744843367</v>
      </c>
      <c r="AG6431">
        <v>-1.1212637244550001</v>
      </c>
      <c r="AH6431">
        <v>12.4139761650293</v>
      </c>
      <c r="AI6431">
        <v>95.1408940423415</v>
      </c>
      <c r="AJ6431">
        <v>84.914151147348093</v>
      </c>
      <c r="AK6431">
        <v>12.5133800492316</v>
      </c>
      <c r="AL6431">
        <v>78.476169465543506</v>
      </c>
      <c r="AM6431">
        <v>84.1387220865373</v>
      </c>
      <c r="AN6431">
        <v>1.0000000565278799</v>
      </c>
    </row>
    <row r="6432" spans="1:40" x14ac:dyDescent="0.25">
      <c r="A6432" t="str">
        <f>"20190303170703210"</f>
        <v>20190303170703210</v>
      </c>
      <c r="B6432" t="str">
        <f>"1551604023201291"</f>
        <v>1551604023201291</v>
      </c>
      <c r="C6432" t="s">
        <v>40</v>
      </c>
      <c r="D6432">
        <v>5.788729</v>
      </c>
      <c r="E6432">
        <v>0.50239149999999999</v>
      </c>
      <c r="F6432" t="s">
        <v>42</v>
      </c>
      <c r="G6432">
        <v>-138.42699999999999</v>
      </c>
      <c r="H6432">
        <v>1.0391109999999999</v>
      </c>
      <c r="I6432">
        <v>137.7595</v>
      </c>
      <c r="J6432">
        <v>-139.09379999999999</v>
      </c>
      <c r="K6432">
        <v>1.1210850000000001</v>
      </c>
      <c r="L6432">
        <v>137.79499999999999</v>
      </c>
      <c r="M6432">
        <v>0.99752620000000003</v>
      </c>
      <c r="N6432">
        <v>-2.2988680000000001E-2</v>
      </c>
      <c r="O6432">
        <v>6.6429760000000004E-2</v>
      </c>
      <c r="P6432">
        <v>0.98383339999999997</v>
      </c>
      <c r="Q6432">
        <v>0.17612340000000001</v>
      </c>
      <c r="R6432">
        <v>-3.2443809999999997E-2</v>
      </c>
      <c r="S6432">
        <v>3.0973359999999999</v>
      </c>
      <c r="T6432">
        <v>-0.271928</v>
      </c>
      <c r="U6432">
        <v>-6.3919069999999995E-2</v>
      </c>
      <c r="V6432">
        <v>9.8448569999999999E-2</v>
      </c>
      <c r="W6432">
        <v>0.19824700000000001</v>
      </c>
      <c r="X6432">
        <v>0.97519540000000005</v>
      </c>
      <c r="Y6432">
        <v>8.6461159999999995E-2</v>
      </c>
      <c r="Z6432">
        <v>-9.076677E-3</v>
      </c>
      <c r="AA6432">
        <v>0.99621389999999999</v>
      </c>
      <c r="AB6432">
        <v>26</v>
      </c>
      <c r="AC6432">
        <v>0.66679999999996598</v>
      </c>
      <c r="AD6432">
        <v>-8.1973999999999894E-2</v>
      </c>
      <c r="AE6432">
        <v>-3.5499999999984697E-2</v>
      </c>
      <c r="AF6432">
        <v>7.8544895592647698E-2</v>
      </c>
      <c r="AG6432">
        <v>-8.1973999999999894E-2</v>
      </c>
      <c r="AH6432">
        <v>0.65312444175562401</v>
      </c>
      <c r="AI6432">
        <v>97.103164121049701</v>
      </c>
      <c r="AJ6432">
        <v>83.142528616017998</v>
      </c>
      <c r="AK6432">
        <v>0.66291822551371704</v>
      </c>
      <c r="AL6432">
        <v>78.565533306711899</v>
      </c>
      <c r="AM6432">
        <v>84.235368987520005</v>
      </c>
      <c r="AN6432">
        <v>1.0000000310626</v>
      </c>
    </row>
    <row r="6433" spans="1:40" x14ac:dyDescent="0.25">
      <c r="A6433" t="str">
        <f>"20190303170703253"</f>
        <v>20190303170703253</v>
      </c>
      <c r="B6433" t="str">
        <f>"1551604023241307"</f>
        <v>1551604023241307</v>
      </c>
      <c r="C6433" t="s">
        <v>40</v>
      </c>
      <c r="D6433">
        <v>5.7669639999999998</v>
      </c>
      <c r="E6433">
        <v>0.50324609999999903</v>
      </c>
      <c r="F6433" t="s">
        <v>42</v>
      </c>
      <c r="G6433">
        <v>-138.20140000000001</v>
      </c>
      <c r="H6433">
        <v>1.0402039999999999</v>
      </c>
      <c r="I6433">
        <v>137.77430000000001</v>
      </c>
      <c r="J6433">
        <v>-138.61150000000001</v>
      </c>
      <c r="K6433">
        <v>1.1208670000000001</v>
      </c>
      <c r="L6433">
        <v>137.82159999999999</v>
      </c>
      <c r="M6433">
        <v>0.99780219999999997</v>
      </c>
      <c r="N6433">
        <v>-2.3505330000000001E-2</v>
      </c>
      <c r="O6433">
        <v>6.1954599999999901E-2</v>
      </c>
      <c r="P6433">
        <v>0.98449209999999998</v>
      </c>
      <c r="Q6433">
        <v>0.17189119999999999</v>
      </c>
      <c r="R6433">
        <v>-3.505465E-2</v>
      </c>
      <c r="S6433">
        <v>3.0971980000000001</v>
      </c>
      <c r="T6433">
        <v>-0.28072709999999901</v>
      </c>
      <c r="U6433">
        <v>-7.139587E-2</v>
      </c>
      <c r="V6433">
        <v>9.6810560000000004E-2</v>
      </c>
      <c r="W6433">
        <v>0.1944864</v>
      </c>
      <c r="X6433">
        <v>0.97611619999999999</v>
      </c>
      <c r="Y6433">
        <v>8.4381689999999995E-2</v>
      </c>
      <c r="Z6433">
        <v>-8.9574200000000007E-3</v>
      </c>
      <c r="AA6433">
        <v>0.99639330000000004</v>
      </c>
      <c r="AB6433">
        <v>25</v>
      </c>
      <c r="AC6433">
        <v>0.41009999999999902</v>
      </c>
      <c r="AD6433">
        <v>-8.0662999999999901E-2</v>
      </c>
      <c r="AE6433">
        <v>-4.7299999999978498E-2</v>
      </c>
      <c r="AF6433">
        <v>6.99529209862082E-2</v>
      </c>
      <c r="AG6433">
        <v>-8.0662999999999901E-2</v>
      </c>
      <c r="AH6433">
        <v>0.391435677814648</v>
      </c>
      <c r="AI6433">
        <v>101.467177499252</v>
      </c>
      <c r="AJ6433">
        <v>79.867712193572402</v>
      </c>
      <c r="AK6433">
        <v>0.40573614651607698</v>
      </c>
      <c r="AL6433">
        <v>78.785278377065595</v>
      </c>
      <c r="AM6433">
        <v>84.335965469511095</v>
      </c>
      <c r="AN6433">
        <v>1.00000004010745</v>
      </c>
    </row>
    <row r="6434" spans="1:40" x14ac:dyDescent="0.25">
      <c r="A6434" t="str">
        <f>"20190303170703274"</f>
        <v>20190303170703274</v>
      </c>
      <c r="B6434" t="str">
        <f>"1551604023260827"</f>
        <v>1551604023260827</v>
      </c>
      <c r="C6434" t="s">
        <v>40</v>
      </c>
      <c r="D6434">
        <v>5.7675330000000002</v>
      </c>
      <c r="E6434">
        <v>0.50370800000000004</v>
      </c>
      <c r="F6434" t="s">
        <v>42</v>
      </c>
      <c r="G6434">
        <v>-137.75890000000001</v>
      </c>
      <c r="H6434">
        <v>1.0389889999999999</v>
      </c>
      <c r="I6434">
        <v>137.79830000000001</v>
      </c>
      <c r="J6434">
        <v>-138.369</v>
      </c>
      <c r="K6434">
        <v>1.1208359999999999</v>
      </c>
      <c r="L6434">
        <v>137.8338</v>
      </c>
      <c r="M6434">
        <v>0.99794309999999997</v>
      </c>
      <c r="N6434">
        <v>-2.3785420000000002E-2</v>
      </c>
      <c r="O6434">
        <v>5.9529869999999999E-2</v>
      </c>
      <c r="P6434">
        <v>0.9848285</v>
      </c>
      <c r="Q6434">
        <v>0.16954540000000001</v>
      </c>
      <c r="R6434">
        <v>-3.6975580000000001E-2</v>
      </c>
      <c r="S6434">
        <v>3.0961609999999999</v>
      </c>
      <c r="T6434">
        <v>-0.29730459999999997</v>
      </c>
      <c r="U6434">
        <v>-8.3999630000000006E-2</v>
      </c>
      <c r="V6434">
        <v>9.638621E-2</v>
      </c>
      <c r="W6434">
        <v>0.19241349999999999</v>
      </c>
      <c r="X6434">
        <v>0.97656889999999996</v>
      </c>
      <c r="Y6434">
        <v>8.5948769999999994E-2</v>
      </c>
      <c r="Z6434">
        <v>-9.4287039999999996E-3</v>
      </c>
      <c r="AA6434">
        <v>0.99625490000000005</v>
      </c>
      <c r="AB6434">
        <v>25</v>
      </c>
      <c r="AC6434">
        <v>0.61009999999998799</v>
      </c>
      <c r="AD6434">
        <v>-8.1847000000000197E-2</v>
      </c>
      <c r="AE6434">
        <v>-3.5499999999984697E-2</v>
      </c>
      <c r="AF6434">
        <v>7.05019068442196E-2</v>
      </c>
      <c r="AG6434">
        <v>-8.1847000000000197E-2</v>
      </c>
      <c r="AH6434">
        <v>0.59620962026762103</v>
      </c>
      <c r="AI6434">
        <v>97.763220838356403</v>
      </c>
      <c r="AJ6434">
        <v>83.256079911300901</v>
      </c>
      <c r="AK6434">
        <v>0.60591695930822997</v>
      </c>
      <c r="AL6434">
        <v>78.906333491408901</v>
      </c>
      <c r="AM6434">
        <v>84.363229622186907</v>
      </c>
      <c r="AN6434">
        <v>1.00000003645381</v>
      </c>
    </row>
    <row r="6435" spans="1:40" x14ac:dyDescent="0.25">
      <c r="A6435" t="str">
        <f>"20190303170703296"</f>
        <v>20190303170703296</v>
      </c>
      <c r="B6435" t="str">
        <f>"1551604023291083"</f>
        <v>1551604023291083</v>
      </c>
      <c r="C6435" t="s">
        <v>40</v>
      </c>
      <c r="D6435">
        <v>5.7336830000000001</v>
      </c>
      <c r="E6435">
        <v>0.50424639999999998</v>
      </c>
      <c r="F6435" t="s">
        <v>42</v>
      </c>
      <c r="G6435">
        <v>-137.54050000000001</v>
      </c>
      <c r="H6435">
        <v>1.038751</v>
      </c>
      <c r="I6435">
        <v>137.809</v>
      </c>
      <c r="J6435">
        <v>-138.12540000000001</v>
      </c>
      <c r="K6435">
        <v>1.120852</v>
      </c>
      <c r="L6435">
        <v>137.84530000000001</v>
      </c>
      <c r="M6435">
        <v>0.99808200000000002</v>
      </c>
      <c r="N6435">
        <v>-2.4089550000000001E-2</v>
      </c>
      <c r="O6435">
        <v>5.7028170000000003E-2</v>
      </c>
      <c r="P6435">
        <v>0.98527759999999998</v>
      </c>
      <c r="Q6435">
        <v>0.1666716</v>
      </c>
      <c r="R6435">
        <v>-3.8069119999999998E-2</v>
      </c>
      <c r="S6435">
        <v>3.0955509999999999</v>
      </c>
      <c r="T6435">
        <v>-0.30671110000000001</v>
      </c>
      <c r="U6435">
        <v>-9.2361449999999998E-2</v>
      </c>
      <c r="V6435">
        <v>9.5043600000000006E-2</v>
      </c>
      <c r="W6435">
        <v>0.1898533</v>
      </c>
      <c r="X6435">
        <v>0.97720130000000005</v>
      </c>
      <c r="Y6435">
        <v>8.6110279999999997E-2</v>
      </c>
      <c r="Z6435">
        <v>-9.5581750000000004E-3</v>
      </c>
      <c r="AA6435">
        <v>0.99623980000000001</v>
      </c>
      <c r="AB6435">
        <v>25</v>
      </c>
      <c r="AC6435">
        <v>0.58490000000000397</v>
      </c>
      <c r="AD6435">
        <v>-8.2100999999999896E-2</v>
      </c>
      <c r="AE6435">
        <v>-3.6300000000011302E-2</v>
      </c>
      <c r="AF6435">
        <v>6.82664488038216E-2</v>
      </c>
      <c r="AG6435">
        <v>-8.2100999999999896E-2</v>
      </c>
      <c r="AH6435">
        <v>0.57067592090949704</v>
      </c>
      <c r="AI6435">
        <v>98.129578081565896</v>
      </c>
      <c r="AJ6435">
        <v>83.1784735925756</v>
      </c>
      <c r="AK6435">
        <v>0.58057892567607705</v>
      </c>
      <c r="AL6435">
        <v>79.0557765985169</v>
      </c>
      <c r="AM6435">
        <v>84.444826561428499</v>
      </c>
      <c r="AN6435">
        <v>0.99999997107176897</v>
      </c>
    </row>
    <row r="6436" spans="1:40" x14ac:dyDescent="0.25">
      <c r="A6436" t="str">
        <f>"20190303170703320"</f>
        <v>20190303170703320</v>
      </c>
      <c r="B6436" t="str">
        <f>"1551604023311580"</f>
        <v>1551604023311580</v>
      </c>
      <c r="C6436" t="s">
        <v>40</v>
      </c>
      <c r="D6436">
        <v>5.7801739999999997</v>
      </c>
      <c r="E6436">
        <v>0.50438859999999996</v>
      </c>
      <c r="F6436" t="s">
        <v>42</v>
      </c>
      <c r="G6436">
        <v>-137.3244</v>
      </c>
      <c r="H6436">
        <v>1.038306</v>
      </c>
      <c r="I6436">
        <v>137.81890000000001</v>
      </c>
      <c r="J6436">
        <v>-137.87639999999999</v>
      </c>
      <c r="K6436">
        <v>1.120884</v>
      </c>
      <c r="L6436">
        <v>137.85640000000001</v>
      </c>
      <c r="M6436">
        <v>0.99821859999999996</v>
      </c>
      <c r="N6436">
        <v>-2.4415139999999998E-2</v>
      </c>
      <c r="O6436">
        <v>5.4438100000000003E-2</v>
      </c>
      <c r="P6436">
        <v>0.98575979999999996</v>
      </c>
      <c r="Q6436">
        <v>0.16336879999999901</v>
      </c>
      <c r="R6436">
        <v>-3.9854970000000003E-2</v>
      </c>
      <c r="S6436">
        <v>3.0948639999999998</v>
      </c>
      <c r="T6436">
        <v>-0.31893670000000002</v>
      </c>
      <c r="U6436">
        <v>-0.101532</v>
      </c>
      <c r="V6436">
        <v>9.4290849999999996E-2</v>
      </c>
      <c r="W6436">
        <v>0.18688940000000001</v>
      </c>
      <c r="X6436">
        <v>0.97784539999999998</v>
      </c>
      <c r="Y6436">
        <v>8.6431389999999997E-2</v>
      </c>
      <c r="Z6436">
        <v>-9.7660090000000008E-3</v>
      </c>
      <c r="AA6436">
        <v>0.99620989999999998</v>
      </c>
      <c r="AB6436">
        <v>24</v>
      </c>
      <c r="AC6436">
        <v>0.55199999999999205</v>
      </c>
      <c r="AD6436">
        <v>-8.2577999999999999E-2</v>
      </c>
      <c r="AE6436">
        <v>-3.7499999999994302E-2</v>
      </c>
      <c r="AF6436">
        <v>6.6032172807172995E-2</v>
      </c>
      <c r="AG6436">
        <v>-8.2577999999999999E-2</v>
      </c>
      <c r="AH6436">
        <v>0.53717250856276699</v>
      </c>
      <c r="AI6436">
        <v>98.675207626743301</v>
      </c>
      <c r="AJ6436">
        <v>82.992047627785396</v>
      </c>
      <c r="AK6436">
        <v>0.54747938580849997</v>
      </c>
      <c r="AL6436">
        <v>79.2286916998533</v>
      </c>
      <c r="AM6436">
        <v>84.492159855120605</v>
      </c>
      <c r="AN6436">
        <v>1.00000001926362</v>
      </c>
    </row>
    <row r="6437" spans="1:40" x14ac:dyDescent="0.25">
      <c r="A6437" t="str">
        <f>"20190303170703341"</f>
        <v>20190303170703341</v>
      </c>
      <c r="B6437" t="str">
        <f>"1551604023331099"</f>
        <v>1551604023331099</v>
      </c>
      <c r="C6437" t="s">
        <v>40</v>
      </c>
      <c r="D6437">
        <v>5.7929820000000003</v>
      </c>
      <c r="E6437">
        <v>0.51086709999999902</v>
      </c>
      <c r="F6437" t="s">
        <v>42</v>
      </c>
      <c r="G6437">
        <v>-137.1095</v>
      </c>
      <c r="H6437">
        <v>1.0389120000000001</v>
      </c>
      <c r="I6437">
        <v>137.82910000000001</v>
      </c>
      <c r="J6437">
        <v>-137.64830000000001</v>
      </c>
      <c r="K6437">
        <v>1.1209579999999999</v>
      </c>
      <c r="L6437">
        <v>137.86590000000001</v>
      </c>
      <c r="M6437">
        <v>0.99833780000000005</v>
      </c>
      <c r="N6437">
        <v>-2.4729640000000001E-2</v>
      </c>
      <c r="O6437">
        <v>5.2059939999999999E-2</v>
      </c>
      <c r="P6437">
        <v>0.9859542</v>
      </c>
      <c r="Q6437">
        <v>0.16168940000000001</v>
      </c>
      <c r="R6437">
        <v>-4.1843859999999997E-2</v>
      </c>
      <c r="S6437">
        <v>3.0937190000000001</v>
      </c>
      <c r="T6437">
        <v>-0.33063880000000001</v>
      </c>
      <c r="U6437">
        <v>-0.10943600000000001</v>
      </c>
      <c r="V6437">
        <v>9.3929899999999997E-2</v>
      </c>
      <c r="W6437">
        <v>0.18553359999999999</v>
      </c>
      <c r="X6437">
        <v>0.97813830000000002</v>
      </c>
      <c r="Y6437">
        <v>8.6564810000000006E-2</v>
      </c>
      <c r="Z6437">
        <v>-9.9469869999999991E-3</v>
      </c>
      <c r="AA6437">
        <v>0.99619659999999999</v>
      </c>
      <c r="AB6437">
        <v>24</v>
      </c>
      <c r="AC6437">
        <v>0.53880000000000805</v>
      </c>
      <c r="AD6437">
        <v>-8.20459999999998E-2</v>
      </c>
      <c r="AE6437">
        <v>-3.67999999999995E-2</v>
      </c>
      <c r="AF6437">
        <v>6.3346495742066605E-2</v>
      </c>
      <c r="AG6437">
        <v>-8.20459999999998E-2</v>
      </c>
      <c r="AH6437">
        <v>0.52405721403266803</v>
      </c>
      <c r="AI6437">
        <v>98.834670897083797</v>
      </c>
      <c r="AJ6437">
        <v>83.107693209516199</v>
      </c>
      <c r="AK6437">
        <v>0.53420996641627905</v>
      </c>
      <c r="AL6437">
        <v>79.307756392772703</v>
      </c>
      <c r="AM6437">
        <v>84.514748228177496</v>
      </c>
      <c r="AN6437">
        <v>1.0000000383849199</v>
      </c>
    </row>
    <row r="6438" spans="1:40" x14ac:dyDescent="0.25">
      <c r="A6438" t="str">
        <f>"20190303170703365"</f>
        <v>20190303170703365</v>
      </c>
      <c r="B6438" t="str">
        <f>"1551604023351596"</f>
        <v>1551604023351596</v>
      </c>
      <c r="C6438" t="s">
        <v>40</v>
      </c>
      <c r="D6438">
        <v>5.7475860000000001</v>
      </c>
      <c r="E6438">
        <v>0.509745</v>
      </c>
      <c r="F6438" t="s">
        <v>42</v>
      </c>
      <c r="G6438">
        <v>-136.89879999999999</v>
      </c>
      <c r="H6438">
        <v>1.0365040000000001</v>
      </c>
      <c r="I6438">
        <v>137.82550000000001</v>
      </c>
      <c r="J6438">
        <v>-137.4074</v>
      </c>
      <c r="K6438">
        <v>1.1210500000000001</v>
      </c>
      <c r="L6438">
        <v>137.87520000000001</v>
      </c>
      <c r="M6438">
        <v>0.99845649999999997</v>
      </c>
      <c r="N6438">
        <v>-2.5069810000000001E-2</v>
      </c>
      <c r="O6438">
        <v>4.9558449999999997E-2</v>
      </c>
      <c r="P6438">
        <v>0.98606660000000002</v>
      </c>
      <c r="Q6438">
        <v>0.16063479999999999</v>
      </c>
      <c r="R6438">
        <v>-4.3235950000000002E-2</v>
      </c>
      <c r="S6438">
        <v>3.0928499999999999</v>
      </c>
      <c r="T6438">
        <v>-0.34849669999999999</v>
      </c>
      <c r="U6438">
        <v>-0.16601560000000001</v>
      </c>
      <c r="V6438">
        <v>9.2841030000000005E-2</v>
      </c>
      <c r="W6438">
        <v>0.18483350000000001</v>
      </c>
      <c r="X6438">
        <v>0.97837470000000004</v>
      </c>
      <c r="Y6438">
        <v>0.102059</v>
      </c>
      <c r="Z6438">
        <v>-1.1337089999999999E-2</v>
      </c>
      <c r="AA6438">
        <v>0.99471370000000003</v>
      </c>
      <c r="AB6438">
        <v>24</v>
      </c>
      <c r="AC6438">
        <v>0.50860000000000105</v>
      </c>
      <c r="AD6438">
        <v>-8.4545999999999996E-2</v>
      </c>
      <c r="AE6438">
        <v>-4.9700000000001403E-2</v>
      </c>
      <c r="AF6438">
        <v>7.2857978514716107E-2</v>
      </c>
      <c r="AG6438">
        <v>-8.4545999999999996E-2</v>
      </c>
      <c r="AH6438">
        <v>0.49204264757962701</v>
      </c>
      <c r="AI6438">
        <v>99.646558535426706</v>
      </c>
      <c r="AJ6438">
        <v>81.577272990005397</v>
      </c>
      <c r="AK6438">
        <v>0.50454165158728004</v>
      </c>
      <c r="AL6438">
        <v>79.348574397309505</v>
      </c>
      <c r="AM6438">
        <v>84.579256435676896</v>
      </c>
      <c r="AN6438">
        <v>0.99999996658689905</v>
      </c>
    </row>
    <row r="6439" spans="1:40" x14ac:dyDescent="0.25">
      <c r="A6439" t="str">
        <f>"20190303170703387"</f>
        <v>20190303170703387</v>
      </c>
      <c r="B6439" t="str">
        <f>"1551604023380875"</f>
        <v>1551604023380875</v>
      </c>
      <c r="C6439" t="s">
        <v>40</v>
      </c>
      <c r="D6439">
        <v>5.8554490000000001</v>
      </c>
      <c r="E6439">
        <v>0.50955620000000001</v>
      </c>
      <c r="F6439" t="s">
        <v>42</v>
      </c>
      <c r="G6439">
        <v>-136.4923</v>
      </c>
      <c r="H6439">
        <v>1.015231</v>
      </c>
      <c r="I6439">
        <v>137.82740000000001</v>
      </c>
      <c r="J6439">
        <v>-137.1739</v>
      </c>
      <c r="K6439">
        <v>1.121157</v>
      </c>
      <c r="L6439">
        <v>137.8837</v>
      </c>
      <c r="M6439">
        <v>0.99856440000000002</v>
      </c>
      <c r="N6439">
        <v>-2.5422449999999999E-2</v>
      </c>
      <c r="O6439">
        <v>4.7146750000000001E-2</v>
      </c>
      <c r="P6439">
        <v>0.98636670000000004</v>
      </c>
      <c r="Q6439">
        <v>0.158891899999999</v>
      </c>
      <c r="R6439">
        <v>-4.2826629999999997E-2</v>
      </c>
      <c r="S6439">
        <v>3.0935820000000001</v>
      </c>
      <c r="T6439">
        <v>-0.35773090000000002</v>
      </c>
      <c r="U6439">
        <v>-0.16131589999999901</v>
      </c>
      <c r="V6439">
        <v>9.004144E-2</v>
      </c>
      <c r="W6439">
        <v>0.18347379999999999</v>
      </c>
      <c r="X6439">
        <v>0.97889210000000004</v>
      </c>
      <c r="Y6439">
        <v>9.8126840000000007E-2</v>
      </c>
      <c r="Z6439">
        <v>-1.1139720000000001E-2</v>
      </c>
      <c r="AA6439">
        <v>0.99511159999999999</v>
      </c>
      <c r="AB6439">
        <v>23</v>
      </c>
      <c r="AC6439">
        <v>0.68160000000000298</v>
      </c>
      <c r="AD6439">
        <v>-0.10592599999999899</v>
      </c>
      <c r="AE6439">
        <v>-5.6299999999993099E-2</v>
      </c>
      <c r="AF6439">
        <v>8.6312507756288306E-2</v>
      </c>
      <c r="AG6439">
        <v>-0.10592599999999899</v>
      </c>
      <c r="AH6439">
        <v>0.66229913940307295</v>
      </c>
      <c r="AI6439">
        <v>99.011806079269903</v>
      </c>
      <c r="AJ6439">
        <v>82.574915423328605</v>
      </c>
      <c r="AK6439">
        <v>0.67624723032721601</v>
      </c>
      <c r="AL6439">
        <v>79.427834535773698</v>
      </c>
      <c r="AM6439">
        <v>84.744550450991497</v>
      </c>
      <c r="AN6439">
        <v>0.99999991982305803</v>
      </c>
    </row>
    <row r="6440" spans="1:40" x14ac:dyDescent="0.25">
      <c r="A6440" t="str">
        <f>"20190303170703412"</f>
        <v>20190303170703412</v>
      </c>
      <c r="B6440" t="str">
        <f>"1551604023401372"</f>
        <v>1551604023401372</v>
      </c>
      <c r="C6440" t="s">
        <v>40</v>
      </c>
      <c r="D6440">
        <v>5.7450060000000001</v>
      </c>
      <c r="E6440">
        <v>0.50948919999999998</v>
      </c>
      <c r="F6440" t="s">
        <v>42</v>
      </c>
      <c r="G6440">
        <v>-136.28700000000001</v>
      </c>
      <c r="H6440">
        <v>1.017288</v>
      </c>
      <c r="I6440">
        <v>137.83770000000001</v>
      </c>
      <c r="J6440">
        <v>-136.92679999999999</v>
      </c>
      <c r="K6440">
        <v>1.1212709999999999</v>
      </c>
      <c r="L6440">
        <v>137.892</v>
      </c>
      <c r="M6440">
        <v>0.99867189999999995</v>
      </c>
      <c r="N6440">
        <v>-2.5793219999999999E-2</v>
      </c>
      <c r="O6440">
        <v>4.4604900000000003E-2</v>
      </c>
      <c r="P6440">
        <v>0.98645760000000005</v>
      </c>
      <c r="Q6440">
        <v>0.15811520000000001</v>
      </c>
      <c r="R6440">
        <v>-4.3604900000000002E-2</v>
      </c>
      <c r="S6440">
        <v>3.0928339999999999</v>
      </c>
      <c r="T6440">
        <v>-0.36217080000000001</v>
      </c>
      <c r="U6440">
        <v>-0.16021729999999901</v>
      </c>
      <c r="V6440">
        <v>8.8288340000000007E-2</v>
      </c>
      <c r="W6440">
        <v>0.18308949999999999</v>
      </c>
      <c r="X6440">
        <v>0.97912379999999999</v>
      </c>
      <c r="Y6440">
        <v>9.5263189999999998E-2</v>
      </c>
      <c r="Z6440">
        <v>-1.084504E-2</v>
      </c>
      <c r="AA6440">
        <v>0.99539299999999997</v>
      </c>
      <c r="AB6440">
        <v>23</v>
      </c>
      <c r="AC6440">
        <v>0.63979999999997905</v>
      </c>
      <c r="AD6440">
        <v>-0.10398299999999901</v>
      </c>
      <c r="AE6440">
        <v>-5.42999999999835E-2</v>
      </c>
      <c r="AF6440">
        <v>8.0677831709431005E-2</v>
      </c>
      <c r="AG6440">
        <v>-0.10398299999999901</v>
      </c>
      <c r="AH6440">
        <v>0.62046802215632002</v>
      </c>
      <c r="AI6440">
        <v>99.435691991309398</v>
      </c>
      <c r="AJ6440">
        <v>82.591545152218103</v>
      </c>
      <c r="AK6440">
        <v>0.63427276729882598</v>
      </c>
      <c r="AL6440">
        <v>79.450233639185399</v>
      </c>
      <c r="AM6440">
        <v>84.847530211410799</v>
      </c>
      <c r="AN6440">
        <v>1.0000000058583201</v>
      </c>
    </row>
    <row r="6441" spans="1:40" x14ac:dyDescent="0.25">
      <c r="A6441" t="str">
        <f>"20190303170703433"</f>
        <v>20190303170703433</v>
      </c>
      <c r="B6441" t="str">
        <f>"1551604023420892"</f>
        <v>1551604023420892</v>
      </c>
      <c r="C6441" t="s">
        <v>40</v>
      </c>
      <c r="D6441">
        <v>5.7492619999999999</v>
      </c>
      <c r="E6441">
        <v>0.5096096</v>
      </c>
      <c r="F6441" t="s">
        <v>42</v>
      </c>
      <c r="G6441">
        <v>-136.083</v>
      </c>
      <c r="H6441">
        <v>1.021209</v>
      </c>
      <c r="I6441">
        <v>137.84719999999999</v>
      </c>
      <c r="J6441">
        <v>-136.71129999999999</v>
      </c>
      <c r="K6441">
        <v>1.121373</v>
      </c>
      <c r="L6441">
        <v>137.89879999999999</v>
      </c>
      <c r="M6441">
        <v>0.99875970000000003</v>
      </c>
      <c r="N6441">
        <v>-2.6102960000000001E-2</v>
      </c>
      <c r="O6441">
        <v>4.2399020000000003E-2</v>
      </c>
      <c r="P6441">
        <v>0.9862242</v>
      </c>
      <c r="Q6441">
        <v>0.1590994</v>
      </c>
      <c r="R6441">
        <v>-4.5267559999999998E-2</v>
      </c>
      <c r="S6441">
        <v>3.092743</v>
      </c>
      <c r="T6441">
        <v>-0.36675679999999999</v>
      </c>
      <c r="U6441">
        <v>-0.1635895</v>
      </c>
      <c r="V6441">
        <v>8.7746710000000006E-2</v>
      </c>
      <c r="W6441">
        <v>0.1843883</v>
      </c>
      <c r="X6441">
        <v>0.97892869999999998</v>
      </c>
      <c r="Y6441">
        <v>9.4143019999999994E-2</v>
      </c>
      <c r="Z6441">
        <v>-1.06978E-2</v>
      </c>
      <c r="AA6441">
        <v>0.99550119999999997</v>
      </c>
      <c r="AB6441">
        <v>23</v>
      </c>
      <c r="AC6441">
        <v>0.62829999999999497</v>
      </c>
      <c r="AD6441">
        <v>-0.100163999999999</v>
      </c>
      <c r="AE6441">
        <v>-5.1600000000007598E-2</v>
      </c>
      <c r="AF6441">
        <v>7.62763795199599E-2</v>
      </c>
      <c r="AG6441">
        <v>-0.100163999999999</v>
      </c>
      <c r="AH6441">
        <v>0.61014321634592705</v>
      </c>
      <c r="AI6441">
        <v>99.252032518356202</v>
      </c>
      <c r="AJ6441">
        <v>82.874199818491505</v>
      </c>
      <c r="AK6441">
        <v>0.62299731734705299</v>
      </c>
      <c r="AL6441">
        <v>79.374528570998095</v>
      </c>
      <c r="AM6441">
        <v>84.877955728997094</v>
      </c>
      <c r="AN6441">
        <v>0.99999996498820098</v>
      </c>
    </row>
    <row r="6442" spans="1:40" x14ac:dyDescent="0.25">
      <c r="A6442" t="str">
        <f>"20190303170703453"</f>
        <v>20190303170703453</v>
      </c>
      <c r="B6442" t="str">
        <f>"1551604023441388"</f>
        <v>1551604023441388</v>
      </c>
      <c r="C6442" t="s">
        <v>40</v>
      </c>
      <c r="D6442">
        <v>5.737914</v>
      </c>
      <c r="E6442">
        <v>0.51024380000000003</v>
      </c>
      <c r="F6442" t="s">
        <v>42</v>
      </c>
      <c r="G6442">
        <v>-135.8817</v>
      </c>
      <c r="H6442">
        <v>1.024737</v>
      </c>
      <c r="I6442">
        <v>137.8535</v>
      </c>
      <c r="J6442">
        <v>-136.5086</v>
      </c>
      <c r="K6442">
        <v>1.1214649999999999</v>
      </c>
      <c r="L6442">
        <v>137.90469999999999</v>
      </c>
      <c r="M6442">
        <v>0.99883750000000004</v>
      </c>
      <c r="N6442">
        <v>-2.639652E-2</v>
      </c>
      <c r="O6442">
        <v>4.033515E-2</v>
      </c>
      <c r="P6442">
        <v>0.98604349999999996</v>
      </c>
      <c r="Q6442">
        <v>0.15957009999999999</v>
      </c>
      <c r="R6442">
        <v>-4.7496820000000002E-2</v>
      </c>
      <c r="S6442">
        <v>3.092285</v>
      </c>
      <c r="T6442">
        <v>-0.36020170000000001</v>
      </c>
      <c r="U6442">
        <v>-0.1687012</v>
      </c>
      <c r="V6442">
        <v>8.7913530000000004E-2</v>
      </c>
      <c r="W6442">
        <v>0.1851545</v>
      </c>
      <c r="X6442">
        <v>0.97876909999999895</v>
      </c>
      <c r="Y6442">
        <v>9.3779650000000006E-2</v>
      </c>
      <c r="Z6442">
        <v>-1.0301670000000001E-2</v>
      </c>
      <c r="AA6442">
        <v>0.99553970000000003</v>
      </c>
      <c r="AB6442">
        <v>23</v>
      </c>
      <c r="AC6442">
        <v>0.62690000000000601</v>
      </c>
      <c r="AD6442">
        <v>-9.6727999999999897E-2</v>
      </c>
      <c r="AE6442">
        <v>-5.1199999999994299E-2</v>
      </c>
      <c r="AF6442">
        <v>7.46869206595943E-2</v>
      </c>
      <c r="AG6442">
        <v>-9.6727999999999897E-2</v>
      </c>
      <c r="AH6442">
        <v>0.609899816111235</v>
      </c>
      <c r="AI6442">
        <v>98.946119468927293</v>
      </c>
      <c r="AJ6442">
        <v>83.018451077190605</v>
      </c>
      <c r="AK6442">
        <v>0.622022690738956</v>
      </c>
      <c r="AL6442">
        <v>79.329859400458204</v>
      </c>
      <c r="AM6442">
        <v>84.867437558969399</v>
      </c>
      <c r="AN6442">
        <v>0.99999996437105898</v>
      </c>
    </row>
    <row r="6443" spans="1:40" x14ac:dyDescent="0.25">
      <c r="A6443" t="str">
        <f>"20190303170703477"</f>
        <v>20190303170703477</v>
      </c>
      <c r="B6443" t="str">
        <f>"1551604023471643"</f>
        <v>1551604023471643</v>
      </c>
      <c r="C6443" t="s">
        <v>40</v>
      </c>
      <c r="D6443">
        <v>5.6626519999999996</v>
      </c>
      <c r="E6443">
        <v>0.52676060000000002</v>
      </c>
      <c r="F6443" t="s">
        <v>42</v>
      </c>
      <c r="G6443">
        <v>-135.6842</v>
      </c>
      <c r="H6443">
        <v>1.0255540000000001</v>
      </c>
      <c r="I6443">
        <v>137.85650000000001</v>
      </c>
      <c r="J6443">
        <v>-136.2756</v>
      </c>
      <c r="K6443">
        <v>1.121578</v>
      </c>
      <c r="L6443">
        <v>137.911</v>
      </c>
      <c r="M6443">
        <v>0.99892099999999995</v>
      </c>
      <c r="N6443">
        <v>-2.6746969999999998E-2</v>
      </c>
      <c r="O6443">
        <v>3.7967059999999997E-2</v>
      </c>
      <c r="P6443">
        <v>0.98610310000000001</v>
      </c>
      <c r="Q6443">
        <v>0.15863429999999901</v>
      </c>
      <c r="R6443">
        <v>-4.9354040000000002E-2</v>
      </c>
      <c r="S6443">
        <v>3.0919949999999998</v>
      </c>
      <c r="T6443">
        <v>-0.35972189999999998</v>
      </c>
      <c r="U6443">
        <v>-0.1800842</v>
      </c>
      <c r="V6443">
        <v>8.741061E-2</v>
      </c>
      <c r="W6443">
        <v>0.1845823</v>
      </c>
      <c r="X6443">
        <v>0.97892219999999996</v>
      </c>
      <c r="Y6443">
        <v>9.5078800000000005E-2</v>
      </c>
      <c r="Z6443">
        <v>-1.017245E-2</v>
      </c>
      <c r="AA6443">
        <v>0.99541780000000002</v>
      </c>
      <c r="AB6443">
        <v>22</v>
      </c>
      <c r="AC6443">
        <v>0.59139999999999204</v>
      </c>
      <c r="AD6443">
        <v>-9.6023999999999804E-2</v>
      </c>
      <c r="AE6443">
        <v>-5.4499999999990202E-2</v>
      </c>
      <c r="AF6443">
        <v>7.4962818867354106E-2</v>
      </c>
      <c r="AG6443">
        <v>-9.6023999999999804E-2</v>
      </c>
      <c r="AH6443">
        <v>0.57390092745008803</v>
      </c>
      <c r="AI6443">
        <v>99.420064436723294</v>
      </c>
      <c r="AJ6443">
        <v>82.558169435498101</v>
      </c>
      <c r="AK6443">
        <v>0.58668757215114997</v>
      </c>
      <c r="AL6443">
        <v>79.363218978088298</v>
      </c>
      <c r="AM6443">
        <v>84.897437448266899</v>
      </c>
      <c r="AN6443">
        <v>0.99999995693334998</v>
      </c>
    </row>
    <row r="6444" spans="1:40" x14ac:dyDescent="0.25">
      <c r="A6444" t="str">
        <f>"20190303170703498"</f>
        <v>20190303170703498</v>
      </c>
      <c r="B6444" t="str">
        <f>"1551604023491164"</f>
        <v>1551604023491164</v>
      </c>
      <c r="C6444" t="s">
        <v>40</v>
      </c>
      <c r="D6444">
        <v>5.6257239999999999</v>
      </c>
      <c r="E6444">
        <v>0.52874030000000005</v>
      </c>
      <c r="F6444" t="s">
        <v>42</v>
      </c>
      <c r="G6444">
        <v>-135.51660000000001</v>
      </c>
      <c r="H6444">
        <v>0.97087970000000001</v>
      </c>
      <c r="I6444">
        <v>137.83699999999999</v>
      </c>
      <c r="J6444">
        <v>-136.06809999999999</v>
      </c>
      <c r="K6444">
        <v>1.1216660000000001</v>
      </c>
      <c r="L6444">
        <v>137.9161</v>
      </c>
      <c r="M6444">
        <v>0.9989905</v>
      </c>
      <c r="N6444">
        <v>-2.7059630000000001E-2</v>
      </c>
      <c r="O6444">
        <v>3.5856859999999997E-2</v>
      </c>
      <c r="P6444">
        <v>0.9861588</v>
      </c>
      <c r="Q6444">
        <v>0.15765170000000001</v>
      </c>
      <c r="R6444">
        <v>-5.1353240000000001E-2</v>
      </c>
      <c r="S6444">
        <v>3.1269230000000001</v>
      </c>
      <c r="T6444">
        <v>-0.62083029999999995</v>
      </c>
      <c r="U6444">
        <v>-0.30435180000000001</v>
      </c>
      <c r="V6444">
        <v>8.7307750000000003E-2</v>
      </c>
      <c r="W6444">
        <v>0.18392149999999999</v>
      </c>
      <c r="X6444">
        <v>0.97905580000000003</v>
      </c>
      <c r="Y6444">
        <v>0.12914680000000001</v>
      </c>
      <c r="Z6444">
        <v>-2.05147E-2</v>
      </c>
      <c r="AA6444">
        <v>0.99141319999999999</v>
      </c>
      <c r="AB6444">
        <v>22</v>
      </c>
      <c r="AC6444">
        <v>0.55149999999997501</v>
      </c>
      <c r="AD6444">
        <v>-0.15078630000000001</v>
      </c>
      <c r="AE6444">
        <v>-7.9099999999982601E-2</v>
      </c>
      <c r="AF6444">
        <v>9.2086356721698404E-2</v>
      </c>
      <c r="AG6444">
        <v>-0.15078630000000001</v>
      </c>
      <c r="AH6444">
        <v>0.51088688190470199</v>
      </c>
      <c r="AI6444">
        <v>106.196750514634</v>
      </c>
      <c r="AJ6444">
        <v>79.782261496404203</v>
      </c>
      <c r="AK6444">
        <v>0.54057544474779395</v>
      </c>
      <c r="AL6444">
        <v>79.401740113745007</v>
      </c>
      <c r="AM6444">
        <v>84.904102030038999</v>
      </c>
      <c r="AN6444">
        <v>1.00000001044297</v>
      </c>
    </row>
    <row r="6445" spans="1:40" x14ac:dyDescent="0.25">
      <c r="A6445" t="str">
        <f>"20190303170703520"</f>
        <v>20190303170703520</v>
      </c>
      <c r="B6445" t="str">
        <f>"1551604023511660"</f>
        <v>1551604023511660</v>
      </c>
      <c r="C6445" t="s">
        <v>40</v>
      </c>
      <c r="D6445">
        <v>5.6450610000000001</v>
      </c>
      <c r="E6445">
        <v>0.53074860000000001</v>
      </c>
      <c r="F6445" t="s">
        <v>42</v>
      </c>
      <c r="G6445">
        <v>-135.3306</v>
      </c>
      <c r="H6445">
        <v>0.95991179999999998</v>
      </c>
      <c r="I6445">
        <v>137.84</v>
      </c>
      <c r="J6445">
        <v>-135.8578</v>
      </c>
      <c r="K6445">
        <v>1.121745</v>
      </c>
      <c r="L6445">
        <v>137.92089999999999</v>
      </c>
      <c r="M6445">
        <v>0.99905719999999998</v>
      </c>
      <c r="N6445">
        <v>-2.7358210000000001E-2</v>
      </c>
      <c r="O6445">
        <v>3.3711329999999998E-2</v>
      </c>
      <c r="P6445">
        <v>0.98616859999999995</v>
      </c>
      <c r="Q6445">
        <v>0.15703159999999999</v>
      </c>
      <c r="R6445">
        <v>-5.3034209999999998E-2</v>
      </c>
      <c r="S6445">
        <v>3.1351779999999998</v>
      </c>
      <c r="T6445">
        <v>-0.68745199999999995</v>
      </c>
      <c r="U6445">
        <v>-0.32327270000000002</v>
      </c>
      <c r="V6445">
        <v>8.6853559999999996E-2</v>
      </c>
      <c r="W6445">
        <v>0.18360979999999999</v>
      </c>
      <c r="X6445">
        <v>0.97915469999999905</v>
      </c>
      <c r="Y6445">
        <v>0.13194330000000001</v>
      </c>
      <c r="Z6445">
        <v>-2.247116E-2</v>
      </c>
      <c r="AA6445">
        <v>0.99100250000000001</v>
      </c>
      <c r="AB6445">
        <v>22</v>
      </c>
      <c r="AC6445">
        <v>0.52719999999999301</v>
      </c>
      <c r="AD6445">
        <v>-0.16183319999999901</v>
      </c>
      <c r="AE6445">
        <v>-8.0899999999985497E-2</v>
      </c>
      <c r="AF6445">
        <v>9.0318430339451E-2</v>
      </c>
      <c r="AG6445">
        <v>-0.16183319999999901</v>
      </c>
      <c r="AH6445">
        <v>0.47998397587542602</v>
      </c>
      <c r="AI6445">
        <v>108.332543622432</v>
      </c>
      <c r="AJ6445">
        <v>79.343282606556997</v>
      </c>
      <c r="AK6445">
        <v>0.51452115658970099</v>
      </c>
      <c r="AL6445">
        <v>79.4199086439355</v>
      </c>
      <c r="AM6445">
        <v>84.930982654319706</v>
      </c>
      <c r="AN6445">
        <v>1.0000000130364</v>
      </c>
    </row>
    <row r="6446" spans="1:40" x14ac:dyDescent="0.25">
      <c r="A6446" t="str">
        <f>"20190303170703542"</f>
        <v>20190303170703542</v>
      </c>
      <c r="B6446" t="str">
        <f>"1551604023531180"</f>
        <v>1551604023531180</v>
      </c>
      <c r="C6446" t="s">
        <v>40</v>
      </c>
      <c r="D6446">
        <v>5.638503</v>
      </c>
      <c r="E6446">
        <v>0.5320783</v>
      </c>
      <c r="F6446" t="s">
        <v>42</v>
      </c>
      <c r="G6446">
        <v>-135.14250000000001</v>
      </c>
      <c r="H6446">
        <v>0.95805669999999998</v>
      </c>
      <c r="I6446">
        <v>137.8425</v>
      </c>
      <c r="J6446">
        <v>-135.6549</v>
      </c>
      <c r="K6446">
        <v>1.12191</v>
      </c>
      <c r="L6446">
        <v>137.92509999999999</v>
      </c>
      <c r="M6446">
        <v>0.99911030000000001</v>
      </c>
      <c r="N6446">
        <v>-2.7847E-2</v>
      </c>
      <c r="O6446">
        <v>3.167673E-2</v>
      </c>
      <c r="P6446">
        <v>0.98596159999999999</v>
      </c>
      <c r="Q6446">
        <v>0.15793740000000001</v>
      </c>
      <c r="R6446">
        <v>-5.4182569999999999E-2</v>
      </c>
      <c r="S6446">
        <v>3.1379700000000001</v>
      </c>
      <c r="T6446">
        <v>-0.71810109999999905</v>
      </c>
      <c r="U6446">
        <v>-0.34353640000000002</v>
      </c>
      <c r="V6446">
        <v>8.5969749999999998E-2</v>
      </c>
      <c r="W6446">
        <v>0.1850069</v>
      </c>
      <c r="X6446">
        <v>0.97896970000000005</v>
      </c>
      <c r="Y6446">
        <v>0.13574029999999901</v>
      </c>
      <c r="Z6446">
        <v>-2.3480750000000002E-2</v>
      </c>
      <c r="AA6446">
        <v>0.99046619999999996</v>
      </c>
      <c r="AB6446">
        <v>21</v>
      </c>
      <c r="AC6446">
        <v>0.51239999999998498</v>
      </c>
      <c r="AD6446">
        <v>-0.16385330000000001</v>
      </c>
      <c r="AE6446">
        <v>-8.2599999999985102E-2</v>
      </c>
      <c r="AF6446">
        <v>8.9841727430847604E-2</v>
      </c>
      <c r="AG6446">
        <v>-0.16385330000000001</v>
      </c>
      <c r="AH6446">
        <v>0.46334501892962099</v>
      </c>
      <c r="AI6446">
        <v>109.14523258517301</v>
      </c>
      <c r="AJ6446">
        <v>79.026624022260506</v>
      </c>
      <c r="AK6446">
        <v>0.49960789272742701</v>
      </c>
      <c r="AL6446">
        <v>79.338465449150206</v>
      </c>
      <c r="AM6446">
        <v>84.981356237571902</v>
      </c>
      <c r="AN6446">
        <v>1.00000001224038</v>
      </c>
    </row>
    <row r="6447" spans="1:40" x14ac:dyDescent="0.25">
      <c r="A6447" t="str">
        <f>"20190303170703566"</f>
        <v>20190303170703566</v>
      </c>
      <c r="B6447" t="str">
        <f>"1551604023561436"</f>
        <v>1551604023561436</v>
      </c>
      <c r="C6447" t="s">
        <v>40</v>
      </c>
      <c r="D6447">
        <v>5.6338379999999999</v>
      </c>
      <c r="E6447">
        <v>0.53301739999999997</v>
      </c>
      <c r="F6447" t="s">
        <v>42</v>
      </c>
      <c r="G6447">
        <v>-134.9563</v>
      </c>
      <c r="H6447">
        <v>0.95956059999999999</v>
      </c>
      <c r="I6447">
        <v>137.84520000000001</v>
      </c>
      <c r="J6447">
        <v>-135.4494</v>
      </c>
      <c r="K6447">
        <v>1.122061</v>
      </c>
      <c r="L6447">
        <v>137.9289</v>
      </c>
      <c r="M6447">
        <v>0.9991603</v>
      </c>
      <c r="N6447">
        <v>-2.8334959999999999E-2</v>
      </c>
      <c r="O6447">
        <v>2.9594990000000002E-2</v>
      </c>
      <c r="P6447">
        <v>0.98534290000000002</v>
      </c>
      <c r="Q6447">
        <v>0.16123219999999999</v>
      </c>
      <c r="R6447">
        <v>-5.5712449999999997E-2</v>
      </c>
      <c r="S6447">
        <v>3.1398929999999998</v>
      </c>
      <c r="T6447">
        <v>-0.72963140000000004</v>
      </c>
      <c r="U6447">
        <v>-0.35862729999999998</v>
      </c>
      <c r="V6447">
        <v>8.5416259999999994E-2</v>
      </c>
      <c r="W6447">
        <v>0.1887778</v>
      </c>
      <c r="X6447">
        <v>0.978298</v>
      </c>
      <c r="Y6447">
        <v>0.13814679999999999</v>
      </c>
      <c r="Z6447">
        <v>-2.3724519999999999E-2</v>
      </c>
      <c r="AA6447">
        <v>0.9901276</v>
      </c>
      <c r="AB6447">
        <v>21</v>
      </c>
      <c r="AC6447">
        <v>0.49309999999999798</v>
      </c>
      <c r="AD6447">
        <v>-0.16250039999999999</v>
      </c>
      <c r="AE6447">
        <v>-8.3699999999993197E-2</v>
      </c>
      <c r="AF6447">
        <v>8.8880195077287505E-2</v>
      </c>
      <c r="AG6447">
        <v>-0.16250039999999999</v>
      </c>
      <c r="AH6447">
        <v>0.44358098057998602</v>
      </c>
      <c r="AI6447">
        <v>109.758188190429</v>
      </c>
      <c r="AJ6447">
        <v>78.669700548711404</v>
      </c>
      <c r="AK6447">
        <v>0.48069757167000399</v>
      </c>
      <c r="AL6447">
        <v>79.118533248732703</v>
      </c>
      <c r="AM6447">
        <v>85.010097359198696</v>
      </c>
      <c r="AN6447">
        <v>0.99999998602461304</v>
      </c>
    </row>
    <row r="6448" spans="1:40" x14ac:dyDescent="0.25">
      <c r="A6448" t="str">
        <f>"20190303170703588"</f>
        <v>20190303170703588</v>
      </c>
      <c r="B6448" t="str">
        <f>"1551604023580956"</f>
        <v>1551604023580956</v>
      </c>
      <c r="C6448" t="s">
        <v>40</v>
      </c>
      <c r="D6448">
        <v>5.6200999999999999</v>
      </c>
      <c r="E6448">
        <v>0.53351559999999998</v>
      </c>
      <c r="F6448" t="s">
        <v>42</v>
      </c>
      <c r="G6448">
        <v>-134.60890000000001</v>
      </c>
      <c r="H6448">
        <v>0.92673179999999999</v>
      </c>
      <c r="I6448">
        <v>137.8297</v>
      </c>
      <c r="J6448">
        <v>-135.24119999999999</v>
      </c>
      <c r="K6448">
        <v>1.1220699999999999</v>
      </c>
      <c r="L6448">
        <v>137.9323</v>
      </c>
      <c r="M6448">
        <v>0.99921780000000004</v>
      </c>
      <c r="N6448">
        <v>-2.8475239999999999E-2</v>
      </c>
      <c r="O6448">
        <v>2.744013E-2</v>
      </c>
      <c r="P6448">
        <v>0.98471500000000001</v>
      </c>
      <c r="Q6448">
        <v>0.1640093</v>
      </c>
      <c r="R6448">
        <v>-5.8628369999999999E-2</v>
      </c>
      <c r="S6448">
        <v>3.1431879999999999</v>
      </c>
      <c r="T6448">
        <v>-0.73035439999999996</v>
      </c>
      <c r="U6448">
        <v>-0.37043759999999998</v>
      </c>
      <c r="V6448">
        <v>8.6187079999999999E-2</v>
      </c>
      <c r="W6448">
        <v>0.19168070000000001</v>
      </c>
      <c r="X6448">
        <v>0.97766569999999997</v>
      </c>
      <c r="Y6448">
        <v>0.1395691</v>
      </c>
      <c r="Z6448">
        <v>-2.3475969999999999E-2</v>
      </c>
      <c r="AA6448">
        <v>0.98993399999999998</v>
      </c>
      <c r="AB6448">
        <v>20</v>
      </c>
      <c r="AC6448">
        <v>0.63229999999998598</v>
      </c>
      <c r="AD6448">
        <v>-0.19533819999999999</v>
      </c>
      <c r="AE6448">
        <v>-0.102599999999995</v>
      </c>
      <c r="AF6448">
        <v>0.109716149711907</v>
      </c>
      <c r="AG6448">
        <v>-0.19533819999999999</v>
      </c>
      <c r="AH6448">
        <v>0.57570940562344497</v>
      </c>
      <c r="AI6448">
        <v>108.43330126553801</v>
      </c>
      <c r="AJ6448">
        <v>79.210207406974007</v>
      </c>
      <c r="AK6448">
        <v>0.61776691851388899</v>
      </c>
      <c r="AL6448">
        <v>78.949115377518396</v>
      </c>
      <c r="AM6448">
        <v>84.962058097294104</v>
      </c>
      <c r="AN6448">
        <v>0.99999996223395204</v>
      </c>
    </row>
    <row r="6449" spans="1:40" x14ac:dyDescent="0.25">
      <c r="A6449" t="str">
        <f>"20190303170703610"</f>
        <v>20190303170703610</v>
      </c>
      <c r="B6449" t="str">
        <f>"1551604023601452"</f>
        <v>1551604023601452</v>
      </c>
      <c r="C6449" t="s">
        <v>40</v>
      </c>
      <c r="D6449">
        <v>5.6003679999999996</v>
      </c>
      <c r="E6449">
        <v>0.53388549999999901</v>
      </c>
      <c r="F6449" t="s">
        <v>42</v>
      </c>
      <c r="G6449">
        <v>-134.42740000000001</v>
      </c>
      <c r="H6449">
        <v>0.93380090000000004</v>
      </c>
      <c r="I6449">
        <v>137.8339</v>
      </c>
      <c r="J6449">
        <v>-135.04480000000001</v>
      </c>
      <c r="K6449">
        <v>1.1220159999999999</v>
      </c>
      <c r="L6449">
        <v>137.93510000000001</v>
      </c>
      <c r="M6449">
        <v>0.999274</v>
      </c>
      <c r="N6449">
        <v>-2.8375439999999998E-2</v>
      </c>
      <c r="O6449">
        <v>2.5427910000000001E-2</v>
      </c>
      <c r="P6449">
        <v>0.98458939999999995</v>
      </c>
      <c r="Q6449">
        <v>0.16373850000000001</v>
      </c>
      <c r="R6449">
        <v>-6.1432779999999999E-2</v>
      </c>
      <c r="S6449">
        <v>3.1451259999999999</v>
      </c>
      <c r="T6449">
        <v>-0.72761609999999999</v>
      </c>
      <c r="U6449">
        <v>-0.38014219999999999</v>
      </c>
      <c r="V6449">
        <v>8.6998919999999993E-2</v>
      </c>
      <c r="W6449">
        <v>0.19131229999999999</v>
      </c>
      <c r="X6449">
        <v>0.97766600000000004</v>
      </c>
      <c r="Y6449">
        <v>0.1405701</v>
      </c>
      <c r="Z6449">
        <v>-2.3100010000000001E-2</v>
      </c>
      <c r="AA6449">
        <v>0.98980119999999905</v>
      </c>
      <c r="AB6449">
        <v>20</v>
      </c>
      <c r="AC6449">
        <v>0.61740000000000295</v>
      </c>
      <c r="AD6449">
        <v>-0.188215099999999</v>
      </c>
      <c r="AE6449">
        <v>-0.10120000000000499</v>
      </c>
      <c r="AF6449">
        <v>0.107173298455135</v>
      </c>
      <c r="AG6449">
        <v>-0.188215099999999</v>
      </c>
      <c r="AH6449">
        <v>0.56361703695443499</v>
      </c>
      <c r="AI6449">
        <v>108.162753179921</v>
      </c>
      <c r="AJ6449">
        <v>79.233589202567998</v>
      </c>
      <c r="AK6449">
        <v>0.60380063275476903</v>
      </c>
      <c r="AL6449">
        <v>78.970621654323296</v>
      </c>
      <c r="AM6449">
        <v>84.914852367880599</v>
      </c>
      <c r="AN6449">
        <v>1.0000000078842199</v>
      </c>
    </row>
    <row r="6450" spans="1:40" x14ac:dyDescent="0.25">
      <c r="A6450" t="str">
        <f>"20190303170703633"</f>
        <v>20190303170703633</v>
      </c>
      <c r="B6450" t="str">
        <f>"1551604023620972"</f>
        <v>1551604023620972</v>
      </c>
      <c r="C6450" t="s">
        <v>40</v>
      </c>
      <c r="D6450">
        <v>5.6085000000000003</v>
      </c>
      <c r="E6450">
        <v>0.53423549999999997</v>
      </c>
      <c r="F6450" t="s">
        <v>42</v>
      </c>
      <c r="G6450">
        <v>-134.25</v>
      </c>
      <c r="H6450">
        <v>0.93673189999999995</v>
      </c>
      <c r="I6450">
        <v>137.8364</v>
      </c>
      <c r="J6450">
        <v>-134.8424</v>
      </c>
      <c r="K6450">
        <v>1.122004</v>
      </c>
      <c r="L6450">
        <v>137.9375</v>
      </c>
      <c r="M6450">
        <v>0.99932580000000004</v>
      </c>
      <c r="N6450">
        <v>-2.8293200000000001E-2</v>
      </c>
      <c r="O6450">
        <v>2.3402429999999998E-2</v>
      </c>
      <c r="P6450">
        <v>0.98482610000000004</v>
      </c>
      <c r="Q6450">
        <v>0.161252799999999</v>
      </c>
      <c r="R6450">
        <v>-6.4150289999999999E-2</v>
      </c>
      <c r="S6450">
        <v>3.1445310000000002</v>
      </c>
      <c r="T6450">
        <v>-0.73305940000000003</v>
      </c>
      <c r="U6450">
        <v>-0.38975520000000002</v>
      </c>
      <c r="V6450">
        <v>8.7699289999999999E-2</v>
      </c>
      <c r="W6450">
        <v>0.18876609999999999</v>
      </c>
      <c r="X6450">
        <v>0.97809829999999998</v>
      </c>
      <c r="Y6450">
        <v>0.14151610000000001</v>
      </c>
      <c r="Z6450">
        <v>-2.29701E-2</v>
      </c>
      <c r="AA6450">
        <v>0.98966940000000003</v>
      </c>
      <c r="AB6450">
        <v>20</v>
      </c>
      <c r="AC6450">
        <v>0.59239999999999704</v>
      </c>
      <c r="AD6450">
        <v>-0.1852721</v>
      </c>
      <c r="AE6450">
        <v>-0.10110000000000199</v>
      </c>
      <c r="AF6450">
        <v>0.10496519744737801</v>
      </c>
      <c r="AG6450">
        <v>-0.1852721</v>
      </c>
      <c r="AH6450">
        <v>0.53867338208422</v>
      </c>
      <c r="AI6450">
        <v>108.654269961198</v>
      </c>
      <c r="AJ6450">
        <v>78.973590272927296</v>
      </c>
      <c r="AK6450">
        <v>0.57923437076854301</v>
      </c>
      <c r="AL6450">
        <v>79.119216534407798</v>
      </c>
      <c r="AM6450">
        <v>84.876385941445207</v>
      </c>
      <c r="AN6450">
        <v>1.0000000452193001</v>
      </c>
    </row>
    <row r="6451" spans="1:40" x14ac:dyDescent="0.25">
      <c r="A6451" t="str">
        <f>"20190303170703655"</f>
        <v>20190303170703655</v>
      </c>
      <c r="B6451" t="str">
        <f>"1551604023641468"</f>
        <v>1551604023641468</v>
      </c>
      <c r="C6451" t="s">
        <v>40</v>
      </c>
      <c r="D6451">
        <v>5.5866600000000002</v>
      </c>
      <c r="E6451">
        <v>0.53407459999999995</v>
      </c>
      <c r="F6451" t="s">
        <v>42</v>
      </c>
      <c r="G6451">
        <v>-134.07509999999999</v>
      </c>
      <c r="H6451">
        <v>0.94026339999999997</v>
      </c>
      <c r="I6451">
        <v>137.8391</v>
      </c>
      <c r="J6451">
        <v>-134.66079999999999</v>
      </c>
      <c r="K6451">
        <v>1.122077</v>
      </c>
      <c r="L6451">
        <v>137.93940000000001</v>
      </c>
      <c r="M6451">
        <v>0.99936530000000001</v>
      </c>
      <c r="N6451">
        <v>-2.8318449999999998E-2</v>
      </c>
      <c r="O6451">
        <v>2.16113E-2</v>
      </c>
      <c r="P6451">
        <v>0.98498929999999996</v>
      </c>
      <c r="Q6451">
        <v>0.15936229999999901</v>
      </c>
      <c r="R6451">
        <v>-6.6331329999999994E-2</v>
      </c>
      <c r="S6451">
        <v>3.1418300000000001</v>
      </c>
      <c r="T6451">
        <v>-0.74414650000000004</v>
      </c>
      <c r="U6451">
        <v>-0.40275569999999999</v>
      </c>
      <c r="V6451">
        <v>8.807603E-2</v>
      </c>
      <c r="W6451">
        <v>0.18692639999999999</v>
      </c>
      <c r="X6451">
        <v>0.97841769999999995</v>
      </c>
      <c r="Y6451">
        <v>0.1437068</v>
      </c>
      <c r="Z6451">
        <v>-2.3223170000000001E-2</v>
      </c>
      <c r="AA6451">
        <v>0.9893478</v>
      </c>
      <c r="AB6451">
        <v>20</v>
      </c>
      <c r="AC6451">
        <v>0.585700000000002</v>
      </c>
      <c r="AD6451">
        <v>-0.18181359999999999</v>
      </c>
      <c r="AE6451">
        <v>-0.100300000000004</v>
      </c>
      <c r="AF6451">
        <v>0.10327152167491301</v>
      </c>
      <c r="AG6451">
        <v>-0.18181359999999999</v>
      </c>
      <c r="AH6451">
        <v>0.53345479259718098</v>
      </c>
      <c r="AI6451">
        <v>108.50077908905</v>
      </c>
      <c r="AJ6451">
        <v>79.043638354632705</v>
      </c>
      <c r="AK6451">
        <v>0.572970512399123</v>
      </c>
      <c r="AL6451">
        <v>79.226533853645506</v>
      </c>
      <c r="AM6451">
        <v>84.856164455010301</v>
      </c>
      <c r="AN6451">
        <v>1.0000000308754</v>
      </c>
    </row>
    <row r="6452" spans="1:40" x14ac:dyDescent="0.25">
      <c r="A6452" t="str">
        <f>"20190303170703677"</f>
        <v>20190303170703677</v>
      </c>
      <c r="B6452" t="str">
        <f>"1551604023671724"</f>
        <v>1551604023671724</v>
      </c>
      <c r="C6452" t="s">
        <v>40</v>
      </c>
      <c r="D6452">
        <v>5.6187769999999997</v>
      </c>
      <c r="E6452">
        <v>0.53333529999999996</v>
      </c>
      <c r="F6452" t="s">
        <v>42</v>
      </c>
      <c r="G6452">
        <v>-133.90440000000001</v>
      </c>
      <c r="H6452">
        <v>0.94064519999999996</v>
      </c>
      <c r="I6452">
        <v>137.8407</v>
      </c>
      <c r="J6452">
        <v>-134.46870000000001</v>
      </c>
      <c r="K6452">
        <v>1.1221859999999999</v>
      </c>
      <c r="L6452">
        <v>137.94130000000001</v>
      </c>
      <c r="M6452">
        <v>0.99940130000000005</v>
      </c>
      <c r="N6452">
        <v>-2.8387630000000001E-2</v>
      </c>
      <c r="O6452">
        <v>1.9779870000000001E-2</v>
      </c>
      <c r="P6452">
        <v>0.98487250000000004</v>
      </c>
      <c r="Q6452">
        <v>0.15821279999999999</v>
      </c>
      <c r="R6452">
        <v>-7.0677000000000004E-2</v>
      </c>
      <c r="S6452">
        <v>3.139999</v>
      </c>
      <c r="T6452">
        <v>-0.75313719999999995</v>
      </c>
      <c r="U6452">
        <v>-0.4091187</v>
      </c>
      <c r="V6452">
        <v>9.0564019999999995E-2</v>
      </c>
      <c r="W6452">
        <v>0.18586159999999999</v>
      </c>
      <c r="X6452">
        <v>0.97839339999999997</v>
      </c>
      <c r="Y6452">
        <v>0.14385719999999999</v>
      </c>
      <c r="Z6452">
        <v>-2.313279E-2</v>
      </c>
      <c r="AA6452">
        <v>0.98932799999999999</v>
      </c>
      <c r="AB6452">
        <v>19</v>
      </c>
      <c r="AC6452">
        <v>0.56430000000000202</v>
      </c>
      <c r="AD6452">
        <v>-0.1815408</v>
      </c>
      <c r="AE6452">
        <v>-0.100600000000014</v>
      </c>
      <c r="AF6452">
        <v>0.10155925883063401</v>
      </c>
      <c r="AG6452">
        <v>-0.1815408</v>
      </c>
      <c r="AH6452">
        <v>0.51094626180217195</v>
      </c>
      <c r="AI6452">
        <v>109.212718263157</v>
      </c>
      <c r="AJ6452">
        <v>78.758011812450405</v>
      </c>
      <c r="AK6452">
        <v>0.551667859829156</v>
      </c>
      <c r="AL6452">
        <v>79.288630422931206</v>
      </c>
      <c r="AM6452">
        <v>84.711542334394494</v>
      </c>
      <c r="AN6452">
        <v>1.00000001061834</v>
      </c>
    </row>
    <row r="6453" spans="1:40" x14ac:dyDescent="0.25">
      <c r="A6453" t="str">
        <f>"20190303170703699"</f>
        <v>20190303170703699</v>
      </c>
      <c r="B6453" t="str">
        <f>"1551604023691244"</f>
        <v>1551604023691244</v>
      </c>
      <c r="C6453" t="s">
        <v>40</v>
      </c>
      <c r="D6453">
        <v>5.5678609999999997</v>
      </c>
      <c r="E6453">
        <v>0.53302479999999997</v>
      </c>
      <c r="F6453" t="s">
        <v>42</v>
      </c>
      <c r="G6453">
        <v>-133.7347</v>
      </c>
      <c r="H6453">
        <v>0.94457590000000002</v>
      </c>
      <c r="I6453">
        <v>137.84460000000001</v>
      </c>
      <c r="J6453">
        <v>-134.28530000000001</v>
      </c>
      <c r="K6453">
        <v>1.122274</v>
      </c>
      <c r="L6453">
        <v>137.94280000000001</v>
      </c>
      <c r="M6453">
        <v>0.99943079999999995</v>
      </c>
      <c r="N6453">
        <v>-2.8418430000000001E-2</v>
      </c>
      <c r="O6453">
        <v>1.818386E-2</v>
      </c>
      <c r="P6453">
        <v>0.98490350000000004</v>
      </c>
      <c r="Q6453">
        <v>0.156412299999999</v>
      </c>
      <c r="R6453">
        <v>-7.4164850000000004E-2</v>
      </c>
      <c r="S6453">
        <v>3.1384120000000002</v>
      </c>
      <c r="T6453">
        <v>-0.75947940000000003</v>
      </c>
      <c r="U6453">
        <v>-0.41352840000000002</v>
      </c>
      <c r="V6453">
        <v>9.2435719999999999E-2</v>
      </c>
      <c r="W6453">
        <v>0.18411230000000001</v>
      </c>
      <c r="X6453">
        <v>0.97854909999999995</v>
      </c>
      <c r="Y6453">
        <v>0.14366670000000001</v>
      </c>
      <c r="Z6453">
        <v>-2.296084E-2</v>
      </c>
      <c r="AA6453">
        <v>0.98935969999999995</v>
      </c>
      <c r="AB6453">
        <v>19</v>
      </c>
      <c r="AC6453">
        <v>0.55060000000000198</v>
      </c>
      <c r="AD6453">
        <v>-0.177698099999999</v>
      </c>
      <c r="AE6453">
        <v>-9.8199999999991405E-2</v>
      </c>
      <c r="AF6453">
        <v>9.8278862545664994E-2</v>
      </c>
      <c r="AG6453">
        <v>-0.177698099999999</v>
      </c>
      <c r="AH6453">
        <v>0.49840952056863702</v>
      </c>
      <c r="AI6453">
        <v>109.279572088831</v>
      </c>
      <c r="AJ6453">
        <v>78.845237472450805</v>
      </c>
      <c r="AK6453">
        <v>0.53818900003654702</v>
      </c>
      <c r="AL6453">
        <v>79.390618265965799</v>
      </c>
      <c r="AM6453">
        <v>84.603737601258004</v>
      </c>
      <c r="AN6453">
        <v>1.0000000212269999</v>
      </c>
    </row>
    <row r="6454" spans="1:40" x14ac:dyDescent="0.25">
      <c r="A6454" t="str">
        <f>"20190303170703721"</f>
        <v>20190303170703721</v>
      </c>
      <c r="B6454" t="str">
        <f>"1551604023711740"</f>
        <v>1551604023711740</v>
      </c>
      <c r="C6454" t="s">
        <v>40</v>
      </c>
      <c r="D6454">
        <v>5.5603899999999999</v>
      </c>
      <c r="E6454">
        <v>0.53261979999999998</v>
      </c>
      <c r="F6454" t="s">
        <v>42</v>
      </c>
      <c r="G6454">
        <v>-133.56819999999999</v>
      </c>
      <c r="H6454">
        <v>0.94687739999999998</v>
      </c>
      <c r="I6454">
        <v>137.8467</v>
      </c>
      <c r="J6454">
        <v>-134.10659999999999</v>
      </c>
      <c r="K6454">
        <v>1.1223639999999999</v>
      </c>
      <c r="L6454">
        <v>137.94409999999999</v>
      </c>
      <c r="M6454">
        <v>0.99945499999999998</v>
      </c>
      <c r="N6454">
        <v>-2.8410680000000001E-2</v>
      </c>
      <c r="O6454">
        <v>1.6816600000000001E-2</v>
      </c>
      <c r="P6454">
        <v>0.98510430000000004</v>
      </c>
      <c r="Q6454">
        <v>0.15448020000000001</v>
      </c>
      <c r="R6454">
        <v>-7.5533249999999996E-2</v>
      </c>
      <c r="S6454">
        <v>3.1361849999999998</v>
      </c>
      <c r="T6454">
        <v>-0.76705269999999903</v>
      </c>
      <c r="U6454">
        <v>-0.41960140000000001</v>
      </c>
      <c r="V6454">
        <v>9.2416940000000003E-2</v>
      </c>
      <c r="W6454">
        <v>0.18220239999999999</v>
      </c>
      <c r="X6454">
        <v>0.97890820000000001</v>
      </c>
      <c r="Y6454">
        <v>0.1442012</v>
      </c>
      <c r="Z6454">
        <v>-2.2962699999999999E-2</v>
      </c>
      <c r="AA6454">
        <v>0.98928199999999999</v>
      </c>
      <c r="AB6454">
        <v>19</v>
      </c>
      <c r="AC6454">
        <v>0.53839999999999499</v>
      </c>
      <c r="AD6454">
        <v>-0.17548659999999899</v>
      </c>
      <c r="AE6454">
        <v>-9.73999999999932E-2</v>
      </c>
      <c r="AF6454">
        <v>9.6515317565495196E-2</v>
      </c>
      <c r="AG6454">
        <v>-0.17548659999999899</v>
      </c>
      <c r="AH6454">
        <v>0.48662562498988798</v>
      </c>
      <c r="AI6454">
        <v>109.480168006139</v>
      </c>
      <c r="AJ6454">
        <v>78.781777107842004</v>
      </c>
      <c r="AK6454">
        <v>0.52622737690196897</v>
      </c>
      <c r="AL6454">
        <v>79.501929574134095</v>
      </c>
      <c r="AM6454">
        <v>84.6067949586499</v>
      </c>
      <c r="AN6454">
        <v>0.99999993469597903</v>
      </c>
    </row>
    <row r="6455" spans="1:40" x14ac:dyDescent="0.25">
      <c r="A6455" t="str">
        <f>"20190303170703743"</f>
        <v>20190303170703743</v>
      </c>
      <c r="B6455" t="str">
        <f>"1551604023731260"</f>
        <v>1551604023731260</v>
      </c>
      <c r="C6455" t="s">
        <v>40</v>
      </c>
      <c r="D6455">
        <v>5.5610290000000004</v>
      </c>
      <c r="E6455">
        <v>0.53228039999999999</v>
      </c>
      <c r="F6455" t="s">
        <v>42</v>
      </c>
      <c r="G6455">
        <v>-133.40440000000001</v>
      </c>
      <c r="H6455">
        <v>0.94892189999999998</v>
      </c>
      <c r="I6455">
        <v>137.84960000000001</v>
      </c>
      <c r="J6455">
        <v>-133.92519999999999</v>
      </c>
      <c r="K6455">
        <v>1.1224889999999901</v>
      </c>
      <c r="L6455">
        <v>137.94540000000001</v>
      </c>
      <c r="M6455">
        <v>0.999475</v>
      </c>
      <c r="N6455">
        <v>-2.8405280000000002E-2</v>
      </c>
      <c r="O6455">
        <v>1.5589779999999999E-2</v>
      </c>
      <c r="P6455">
        <v>0.98528260000000001</v>
      </c>
      <c r="Q6455">
        <v>0.15340699999999999</v>
      </c>
      <c r="R6455">
        <v>-7.5395950000000003E-2</v>
      </c>
      <c r="S6455">
        <v>3.13443</v>
      </c>
      <c r="T6455">
        <v>-0.77409450000000002</v>
      </c>
      <c r="U6455">
        <v>-0.42147829999999997</v>
      </c>
      <c r="V6455">
        <v>9.1017719999999996E-2</v>
      </c>
      <c r="W6455">
        <v>0.18116289999999999</v>
      </c>
      <c r="X6455">
        <v>0.97923230000000006</v>
      </c>
      <c r="Y6455">
        <v>0.14359720000000001</v>
      </c>
      <c r="Z6455">
        <v>-2.2819280000000001E-2</v>
      </c>
      <c r="AA6455">
        <v>0.98937310000000001</v>
      </c>
      <c r="AB6455">
        <v>18</v>
      </c>
      <c r="AC6455">
        <v>0.52079999999997995</v>
      </c>
      <c r="AD6455">
        <v>-0.173567099999999</v>
      </c>
      <c r="AE6455">
        <v>-9.5799999999996999E-2</v>
      </c>
      <c r="AF6455">
        <v>9.3830244000193103E-2</v>
      </c>
      <c r="AG6455">
        <v>-0.173567099999999</v>
      </c>
      <c r="AH6455">
        <v>0.46887006671038101</v>
      </c>
      <c r="AI6455">
        <v>109.950118038743</v>
      </c>
      <c r="AJ6455">
        <v>78.683460592505</v>
      </c>
      <c r="AK6455">
        <v>0.50869322026988195</v>
      </c>
      <c r="AL6455">
        <v>79.562497864580905</v>
      </c>
      <c r="AM6455">
        <v>84.689727109809397</v>
      </c>
      <c r="AN6455">
        <v>1.0000000595268399</v>
      </c>
    </row>
    <row r="6456" spans="1:40" x14ac:dyDescent="0.25">
      <c r="A6456" t="str">
        <f>"20190303170703766"</f>
        <v>20190303170703766</v>
      </c>
      <c r="B6456" t="str">
        <f>"1551604023761516"</f>
        <v>1551604023761516</v>
      </c>
      <c r="C6456" t="s">
        <v>40</v>
      </c>
      <c r="D6456">
        <v>5.4652079999999996</v>
      </c>
      <c r="E6456">
        <v>0.53193069999999998</v>
      </c>
      <c r="F6456" t="s">
        <v>42</v>
      </c>
      <c r="G6456">
        <v>-133.1009</v>
      </c>
      <c r="H6456">
        <v>0.91787649999999998</v>
      </c>
      <c r="I6456">
        <v>137.8349</v>
      </c>
      <c r="J6456">
        <v>-133.74860000000001</v>
      </c>
      <c r="K6456">
        <v>1.1226670000000001</v>
      </c>
      <c r="L6456">
        <v>137.94659999999999</v>
      </c>
      <c r="M6456">
        <v>0.99948999999999999</v>
      </c>
      <c r="N6456">
        <v>-2.8438709999999999E-2</v>
      </c>
      <c r="O6456">
        <v>1.453047E-2</v>
      </c>
      <c r="P6456">
        <v>0.98524089999999998</v>
      </c>
      <c r="Q6456">
        <v>0.153728799999999</v>
      </c>
      <c r="R6456">
        <v>-7.5283639999999999E-2</v>
      </c>
      <c r="S6456">
        <v>3.133804</v>
      </c>
      <c r="T6456">
        <v>-0.77777969999999996</v>
      </c>
      <c r="U6456">
        <v>-0.41984559999999999</v>
      </c>
      <c r="V6456">
        <v>8.9797710000000003E-2</v>
      </c>
      <c r="W6456">
        <v>0.18155260000000001</v>
      </c>
      <c r="X6456">
        <v>0.9792727</v>
      </c>
      <c r="Y6456">
        <v>0.14209479999999999</v>
      </c>
      <c r="Z6456">
        <v>-2.2491089999999998E-2</v>
      </c>
      <c r="AA6456">
        <v>0.98959750000000002</v>
      </c>
      <c r="AB6456">
        <v>18</v>
      </c>
      <c r="AC6456">
        <v>0.64770000000001404</v>
      </c>
      <c r="AD6456">
        <v>-0.20479049999999999</v>
      </c>
      <c r="AE6456">
        <v>-0.11169999999998401</v>
      </c>
      <c r="AF6456">
        <v>0.11038670495972799</v>
      </c>
      <c r="AG6456">
        <v>-0.20479049999999999</v>
      </c>
      <c r="AH6456">
        <v>0.58884130374229304</v>
      </c>
      <c r="AI6456">
        <v>108.872016530973</v>
      </c>
      <c r="AJ6456">
        <v>79.382322406102105</v>
      </c>
      <c r="AK6456">
        <v>0.63313383617923902</v>
      </c>
      <c r="AL6456">
        <v>79.539792543740703</v>
      </c>
      <c r="AM6456">
        <v>84.760722629153705</v>
      </c>
      <c r="AN6456">
        <v>0.99999999812664697</v>
      </c>
    </row>
    <row r="6457" spans="1:40" x14ac:dyDescent="0.25">
      <c r="A6457" t="str">
        <f>"20190303170703789"</f>
        <v>20190303170703789</v>
      </c>
      <c r="B6457" t="str">
        <f>"1551604023781036"</f>
        <v>1551604023781036</v>
      </c>
      <c r="C6457" t="s">
        <v>40</v>
      </c>
      <c r="D6457">
        <v>5.497865</v>
      </c>
      <c r="E6457">
        <v>0.53162379999999998</v>
      </c>
      <c r="F6457" t="s">
        <v>42</v>
      </c>
      <c r="G6457">
        <v>-132.9435</v>
      </c>
      <c r="H6457">
        <v>0.92310230000000004</v>
      </c>
      <c r="I6457">
        <v>137.8391</v>
      </c>
      <c r="J6457">
        <v>-133.57249999999999</v>
      </c>
      <c r="K6457">
        <v>1.122825</v>
      </c>
      <c r="L6457">
        <v>137.9479</v>
      </c>
      <c r="M6457">
        <v>0.99950150000000004</v>
      </c>
      <c r="N6457">
        <v>-2.8494060000000002E-2</v>
      </c>
      <c r="O6457">
        <v>1.360247E-2</v>
      </c>
      <c r="P6457">
        <v>0.98500759999999998</v>
      </c>
      <c r="Q6457">
        <v>0.15522659999999999</v>
      </c>
      <c r="R6457">
        <v>-7.5267200000000006E-2</v>
      </c>
      <c r="S6457">
        <v>3.1342159999999999</v>
      </c>
      <c r="T6457">
        <v>-0.77687659999999903</v>
      </c>
      <c r="U6457">
        <v>-0.41760249999999999</v>
      </c>
      <c r="V6457">
        <v>8.8808419999999999E-2</v>
      </c>
      <c r="W6457">
        <v>0.1831284</v>
      </c>
      <c r="X6457">
        <v>0.97906950000000004</v>
      </c>
      <c r="Y6457">
        <v>0.1405477</v>
      </c>
      <c r="Z6457">
        <v>-2.2058589999999999E-2</v>
      </c>
      <c r="AA6457">
        <v>0.98982820000000005</v>
      </c>
      <c r="AB6457">
        <v>18</v>
      </c>
      <c r="AC6457">
        <v>0.62899999999999001</v>
      </c>
      <c r="AD6457">
        <v>-0.199722699999999</v>
      </c>
      <c r="AE6457">
        <v>-0.10880000000000201</v>
      </c>
      <c r="AF6457">
        <v>0.106885997332518</v>
      </c>
      <c r="AG6457">
        <v>-0.199722699999999</v>
      </c>
      <c r="AH6457">
        <v>0.57151415629694502</v>
      </c>
      <c r="AI6457">
        <v>108.957931390729</v>
      </c>
      <c r="AJ6457">
        <v>79.406777446465995</v>
      </c>
      <c r="AK6457">
        <v>0.61477004169759797</v>
      </c>
      <c r="AL6457">
        <v>79.447966611242293</v>
      </c>
      <c r="AM6457">
        <v>84.817057503578496</v>
      </c>
      <c r="AN6457">
        <v>1.0000000160898499</v>
      </c>
    </row>
    <row r="6458" spans="1:40" x14ac:dyDescent="0.25">
      <c r="A6458" t="str">
        <f>"20190303170703813"</f>
        <v>20190303170703813</v>
      </c>
      <c r="B6458" t="str">
        <f>"1551604023801532"</f>
        <v>1551604023801532</v>
      </c>
      <c r="C6458" t="s">
        <v>40</v>
      </c>
      <c r="D6458">
        <v>5.497376</v>
      </c>
      <c r="E6458">
        <v>0.53127290000000005</v>
      </c>
      <c r="F6458" t="s">
        <v>42</v>
      </c>
      <c r="G6458">
        <v>-132.78809999999999</v>
      </c>
      <c r="H6458">
        <v>0.92976930000000002</v>
      </c>
      <c r="I6458">
        <v>137.8441</v>
      </c>
      <c r="J6458">
        <v>-133.38740000000001</v>
      </c>
      <c r="K6458">
        <v>1.122949</v>
      </c>
      <c r="L6458">
        <v>137.94919999999999</v>
      </c>
      <c r="M6458">
        <v>0.99951060000000003</v>
      </c>
      <c r="N6458">
        <v>-2.8545149999999998E-2</v>
      </c>
      <c r="O6458">
        <v>1.279752E-2</v>
      </c>
      <c r="P6458">
        <v>0.98485330000000004</v>
      </c>
      <c r="Q6458">
        <v>0.15616830000000001</v>
      </c>
      <c r="R6458">
        <v>-7.5335879999999994E-2</v>
      </c>
      <c r="S6458">
        <v>3.1356199999999999</v>
      </c>
      <c r="T6458">
        <v>-0.77170939999999999</v>
      </c>
      <c r="U6458">
        <v>-0.41444399999999998</v>
      </c>
      <c r="V6458">
        <v>8.803996E-2</v>
      </c>
      <c r="W6458">
        <v>0.18413940000000001</v>
      </c>
      <c r="X6458">
        <v>0.97894919999999996</v>
      </c>
      <c r="Y6458">
        <v>0.1388527</v>
      </c>
      <c r="Z6458">
        <v>-2.1520480000000002E-2</v>
      </c>
      <c r="AA6458">
        <v>0.99007920000000005</v>
      </c>
      <c r="AB6458">
        <v>17</v>
      </c>
      <c r="AC6458">
        <v>0.59930000000002703</v>
      </c>
      <c r="AD6458">
        <v>-0.19317969999999901</v>
      </c>
      <c r="AE6458">
        <v>-0.105099999999993</v>
      </c>
      <c r="AF6458">
        <v>0.102437889519645</v>
      </c>
      <c r="AG6458">
        <v>-0.19317969999999901</v>
      </c>
      <c r="AH6458">
        <v>0.54315315650892104</v>
      </c>
      <c r="AI6458">
        <v>109.264619080909</v>
      </c>
      <c r="AJ6458">
        <v>79.319553064941204</v>
      </c>
      <c r="AK6458">
        <v>0.58551453365986905</v>
      </c>
      <c r="AL6458">
        <v>79.389037719711496</v>
      </c>
      <c r="AM6458">
        <v>84.861036377860799</v>
      </c>
      <c r="AN6458">
        <v>0.99999994468489894</v>
      </c>
    </row>
    <row r="6459" spans="1:40" x14ac:dyDescent="0.25">
      <c r="A6459" t="str">
        <f>"20190303170703837"</f>
        <v>20190303170703837</v>
      </c>
      <c r="B6459" t="str">
        <f>"1551604023821051"</f>
        <v>1551604023821051</v>
      </c>
      <c r="C6459" t="s">
        <v>40</v>
      </c>
      <c r="D6459">
        <v>5.4954479999999997</v>
      </c>
      <c r="E6459">
        <v>0.53089980000000003</v>
      </c>
      <c r="F6459" t="s">
        <v>42</v>
      </c>
      <c r="G6459">
        <v>-132.63419999999999</v>
      </c>
      <c r="H6459">
        <v>0.93850599999999995</v>
      </c>
      <c r="I6459">
        <v>137.8503</v>
      </c>
      <c r="J6459">
        <v>-133.21199999999999</v>
      </c>
      <c r="K6459">
        <v>1.123046</v>
      </c>
      <c r="L6459">
        <v>137.95050000000001</v>
      </c>
      <c r="M6459">
        <v>0.99951699999999999</v>
      </c>
      <c r="N6459">
        <v>-2.8589090000000001E-2</v>
      </c>
      <c r="O6459">
        <v>1.218376E-2</v>
      </c>
      <c r="P6459">
        <v>0.98476390000000003</v>
      </c>
      <c r="Q6459">
        <v>0.15706400000000001</v>
      </c>
      <c r="R6459">
        <v>-7.4640880000000007E-2</v>
      </c>
      <c r="S6459">
        <v>3.1364749999999999</v>
      </c>
      <c r="T6459">
        <v>-0.76808739999999998</v>
      </c>
      <c r="U6459">
        <v>-0.41116330000000001</v>
      </c>
      <c r="V6459">
        <v>8.6707969999999995E-2</v>
      </c>
      <c r="W6459">
        <v>0.1850926</v>
      </c>
      <c r="X6459">
        <v>0.97888839999999999</v>
      </c>
      <c r="Y6459">
        <v>0.1373007</v>
      </c>
      <c r="Z6459">
        <v>-2.1088630000000001E-2</v>
      </c>
      <c r="AA6459">
        <v>0.99030490000000004</v>
      </c>
      <c r="AB6459">
        <v>17</v>
      </c>
      <c r="AC6459">
        <v>0.57780000000002396</v>
      </c>
      <c r="AD6459">
        <v>-0.18454000000000001</v>
      </c>
      <c r="AE6459">
        <v>-0.1002</v>
      </c>
      <c r="AF6459">
        <v>9.7572778241402203E-2</v>
      </c>
      <c r="AG6459">
        <v>-0.18454000000000001</v>
      </c>
      <c r="AH6459">
        <v>0.52458698503990298</v>
      </c>
      <c r="AI6459">
        <v>109.077939624837</v>
      </c>
      <c r="AJ6459">
        <v>79.463434387618307</v>
      </c>
      <c r="AK6459">
        <v>0.56459451248396098</v>
      </c>
      <c r="AL6459">
        <v>79.333469002484193</v>
      </c>
      <c r="AM6459">
        <v>84.938065995671806</v>
      </c>
      <c r="AN6459">
        <v>1.0000000211454201</v>
      </c>
    </row>
    <row r="6460" spans="1:40" x14ac:dyDescent="0.25">
      <c r="A6460" t="str">
        <f>"20190303170703856"</f>
        <v>20190303170703856</v>
      </c>
      <c r="B6460" t="str">
        <f>"1551604023841548"</f>
        <v>1551604023841548</v>
      </c>
      <c r="C6460" t="s">
        <v>40</v>
      </c>
      <c r="D6460">
        <v>5.4695109999999998</v>
      </c>
      <c r="E6460">
        <v>0.53066309999999906</v>
      </c>
      <c r="F6460" t="s">
        <v>42</v>
      </c>
      <c r="G6460">
        <v>-132.4837</v>
      </c>
      <c r="H6460">
        <v>0.94560339999999998</v>
      </c>
      <c r="I6460">
        <v>137.8562</v>
      </c>
      <c r="J6460">
        <v>-133.0744</v>
      </c>
      <c r="K6460">
        <v>1.1232279999999999</v>
      </c>
      <c r="L6460">
        <v>137.95160000000001</v>
      </c>
      <c r="M6460">
        <v>0.9995098</v>
      </c>
      <c r="N6460">
        <v>-2.9016320000000002E-2</v>
      </c>
      <c r="O6460">
        <v>1.176525E-2</v>
      </c>
      <c r="P6460">
        <v>0.98480529999999999</v>
      </c>
      <c r="Q6460">
        <v>0.15750169999999999</v>
      </c>
      <c r="R6460">
        <v>-7.3154319999999995E-2</v>
      </c>
      <c r="S6460">
        <v>3.137543</v>
      </c>
      <c r="T6460">
        <v>-0.76441859999999995</v>
      </c>
      <c r="U6460">
        <v>-0.40634160000000002</v>
      </c>
      <c r="V6460">
        <v>8.4786470000000003E-2</v>
      </c>
      <c r="W6460">
        <v>0.1859632</v>
      </c>
      <c r="X6460">
        <v>0.97889170000000003</v>
      </c>
      <c r="Y6460">
        <v>0.13545399999999999</v>
      </c>
      <c r="Z6460">
        <v>-2.068186E-2</v>
      </c>
      <c r="AA6460">
        <v>0.99056770000000005</v>
      </c>
      <c r="AB6460">
        <v>17</v>
      </c>
      <c r="AC6460">
        <v>0.590699999999998</v>
      </c>
      <c r="AD6460">
        <v>-0.17762459999999999</v>
      </c>
      <c r="AE6460">
        <v>-9.54000000000121E-2</v>
      </c>
      <c r="AF6460">
        <v>9.4057421944069006E-2</v>
      </c>
      <c r="AG6460">
        <v>-0.17762459999999999</v>
      </c>
      <c r="AH6460">
        <v>0.54179183941166298</v>
      </c>
      <c r="AI6460">
        <v>107.90124101779</v>
      </c>
      <c r="AJ6460">
        <v>80.151361350397906</v>
      </c>
      <c r="AK6460">
        <v>0.57787169371842195</v>
      </c>
      <c r="AL6460">
        <v>79.282705865483607</v>
      </c>
      <c r="AM6460">
        <v>85.049694376841103</v>
      </c>
      <c r="AN6460">
        <v>1.0000000087890899</v>
      </c>
    </row>
    <row r="6461" spans="1:40" x14ac:dyDescent="0.25">
      <c r="A6461" t="str">
        <f>"20190303170703878"</f>
        <v>20190303170703878</v>
      </c>
      <c r="B6461" t="str">
        <f>"1551604023871804"</f>
        <v>1551604023871804</v>
      </c>
      <c r="C6461" t="s">
        <v>40</v>
      </c>
      <c r="D6461">
        <v>5.4076930000000001</v>
      </c>
      <c r="E6461">
        <v>0.53027419999999903</v>
      </c>
      <c r="F6461" t="s">
        <v>42</v>
      </c>
      <c r="G6461">
        <v>-132.34139999999999</v>
      </c>
      <c r="H6461">
        <v>0.94513429999999998</v>
      </c>
      <c r="I6461">
        <v>137.85810000000001</v>
      </c>
      <c r="J6461">
        <v>-132.92019999999999</v>
      </c>
      <c r="K6461">
        <v>1.1235389999999901</v>
      </c>
      <c r="L6461">
        <v>137.9528</v>
      </c>
      <c r="M6461">
        <v>0.9994864</v>
      </c>
      <c r="N6461">
        <v>-2.9972869999999999E-2</v>
      </c>
      <c r="O6461">
        <v>1.1339460000000001E-2</v>
      </c>
      <c r="P6461">
        <v>0.98488129999999996</v>
      </c>
      <c r="Q6461">
        <v>0.15815179999999901</v>
      </c>
      <c r="R6461">
        <v>-7.0688169999999995E-2</v>
      </c>
      <c r="S6461">
        <v>3.1385190000000001</v>
      </c>
      <c r="T6461">
        <v>-0.76259469999999996</v>
      </c>
      <c r="U6461">
        <v>-0.4001923</v>
      </c>
      <c r="V6461">
        <v>8.1876459999999998E-2</v>
      </c>
      <c r="W6461">
        <v>0.1875658</v>
      </c>
      <c r="X6461">
        <v>0.97883370000000003</v>
      </c>
      <c r="Y6461">
        <v>0.1331754</v>
      </c>
      <c r="Z6461">
        <v>-2.0293309999999998E-2</v>
      </c>
      <c r="AA6461">
        <v>0.99088469999999995</v>
      </c>
      <c r="AB6461">
        <v>16</v>
      </c>
      <c r="AC6461">
        <v>0.57880000000000098</v>
      </c>
      <c r="AD6461">
        <v>-0.178404699999999</v>
      </c>
      <c r="AE6461">
        <v>-9.4699999999988904E-2</v>
      </c>
      <c r="AF6461">
        <v>9.2684078658109001E-2</v>
      </c>
      <c r="AG6461">
        <v>-0.178404699999999</v>
      </c>
      <c r="AH6461">
        <v>0.52876207493871097</v>
      </c>
      <c r="AI6461">
        <v>108.383395502471</v>
      </c>
      <c r="AJ6461">
        <v>80.057909258649403</v>
      </c>
      <c r="AK6461">
        <v>0.56569241404873305</v>
      </c>
      <c r="AL6461">
        <v>79.189239494226399</v>
      </c>
      <c r="AM6461">
        <v>85.218513410922199</v>
      </c>
      <c r="AN6461">
        <v>1.0000000481437199</v>
      </c>
    </row>
    <row r="6462" spans="1:40" x14ac:dyDescent="0.25">
      <c r="A6462" t="str">
        <f>"20190303170703900"</f>
        <v>20190303170703900</v>
      </c>
      <c r="B6462" t="str">
        <f>"1551604023891325"</f>
        <v>1551604023891325</v>
      </c>
      <c r="C6462" t="s">
        <v>40</v>
      </c>
      <c r="D6462">
        <v>5.4561149999999996</v>
      </c>
      <c r="E6462">
        <v>0.53013940000000004</v>
      </c>
      <c r="F6462" t="s">
        <v>42</v>
      </c>
      <c r="G6462">
        <v>-132.20150000000001</v>
      </c>
      <c r="H6462">
        <v>0.94982040000000001</v>
      </c>
      <c r="I6462">
        <v>137.86320000000001</v>
      </c>
      <c r="J6462">
        <v>-132.7758</v>
      </c>
      <c r="K6462">
        <v>1.123801</v>
      </c>
      <c r="L6462">
        <v>137.95400000000001</v>
      </c>
      <c r="M6462">
        <v>0.99945879999999998</v>
      </c>
      <c r="N6462">
        <v>-3.0999349999999998E-2</v>
      </c>
      <c r="O6462">
        <v>1.1013190000000001E-2</v>
      </c>
      <c r="P6462">
        <v>0.98491530000000005</v>
      </c>
      <c r="Q6462">
        <v>0.1584662</v>
      </c>
      <c r="R6462">
        <v>-6.9502709999999995E-2</v>
      </c>
      <c r="S6462">
        <v>3.1398470000000001</v>
      </c>
      <c r="T6462">
        <v>-0.75895639999999998</v>
      </c>
      <c r="U6462">
        <v>-0.39120480000000002</v>
      </c>
      <c r="V6462">
        <v>8.0348009999999997E-2</v>
      </c>
      <c r="W6462">
        <v>0.18889719999999999</v>
      </c>
      <c r="X6462">
        <v>0.97870429999999997</v>
      </c>
      <c r="Y6462">
        <v>0.13014029999999999</v>
      </c>
      <c r="Z6462">
        <v>-1.978454E-2</v>
      </c>
      <c r="AA6462">
        <v>0.99129820000000002</v>
      </c>
      <c r="AB6462">
        <v>16</v>
      </c>
      <c r="AC6462">
        <v>0.57429999999999304</v>
      </c>
      <c r="AD6462">
        <v>-0.17398060000000001</v>
      </c>
      <c r="AE6462">
        <v>-9.0800000000001505E-2</v>
      </c>
      <c r="AF6462">
        <v>8.9141008508191399E-2</v>
      </c>
      <c r="AG6462">
        <v>-0.17398060000000001</v>
      </c>
      <c r="AH6462">
        <v>0.52615450053459301</v>
      </c>
      <c r="AI6462">
        <v>108.056937057971</v>
      </c>
      <c r="AJ6462">
        <v>80.384265118539403</v>
      </c>
      <c r="AK6462">
        <v>0.56129664795634104</v>
      </c>
      <c r="AL6462">
        <v>79.111567288681698</v>
      </c>
      <c r="AM6462">
        <v>85.3067529888135</v>
      </c>
      <c r="AN6462">
        <v>1.0000000308586401</v>
      </c>
    </row>
    <row r="6463" spans="1:40" x14ac:dyDescent="0.25">
      <c r="A6463" t="str">
        <f>"20190303170703922"</f>
        <v>20190303170703922</v>
      </c>
      <c r="B6463" t="str">
        <f>"1551604023911821"</f>
        <v>1551604023911821</v>
      </c>
      <c r="C6463" t="s">
        <v>40</v>
      </c>
      <c r="D6463">
        <v>5.4530180000000001</v>
      </c>
      <c r="E6463">
        <v>0.53007559999999998</v>
      </c>
      <c r="F6463" t="s">
        <v>42</v>
      </c>
      <c r="G6463">
        <v>-132.06659999999999</v>
      </c>
      <c r="H6463">
        <v>0.95260020000000001</v>
      </c>
      <c r="I6463">
        <v>137.8665</v>
      </c>
      <c r="J6463">
        <v>-132.6284</v>
      </c>
      <c r="K6463">
        <v>1.123926</v>
      </c>
      <c r="L6463">
        <v>137.95529999999999</v>
      </c>
      <c r="M6463">
        <v>0.99944160000000004</v>
      </c>
      <c r="N6463">
        <v>-3.1619330000000001E-2</v>
      </c>
      <c r="O6463">
        <v>1.0804329999999999E-2</v>
      </c>
      <c r="P6463">
        <v>0.98503909999999995</v>
      </c>
      <c r="Q6463">
        <v>0.15799369999999999</v>
      </c>
      <c r="R6463">
        <v>-6.8818260000000006E-2</v>
      </c>
      <c r="S6463">
        <v>3.1406399999999999</v>
      </c>
      <c r="T6463">
        <v>-0.75818540000000001</v>
      </c>
      <c r="U6463">
        <v>-0.38682559999999999</v>
      </c>
      <c r="V6463">
        <v>7.9436899999999894E-2</v>
      </c>
      <c r="W6463">
        <v>0.18904609999999999</v>
      </c>
      <c r="X6463">
        <v>0.97874989999999995</v>
      </c>
      <c r="Y6463">
        <v>0.12859660000000001</v>
      </c>
      <c r="Z6463">
        <v>-1.9547019999999998E-2</v>
      </c>
      <c r="AA6463">
        <v>0.99150430000000001</v>
      </c>
      <c r="AB6463">
        <v>15</v>
      </c>
      <c r="AC6463">
        <v>0.56180000000000496</v>
      </c>
      <c r="AD6463">
        <v>-0.171325799999999</v>
      </c>
      <c r="AE6463">
        <v>-8.8799999999991996E-2</v>
      </c>
      <c r="AF6463">
        <v>8.6976121777990495E-2</v>
      </c>
      <c r="AG6463">
        <v>-0.171325799999999</v>
      </c>
      <c r="AH6463">
        <v>0.51415635514131997</v>
      </c>
      <c r="AI6463">
        <v>108.18791568072901</v>
      </c>
      <c r="AJ6463">
        <v>80.398582559110295</v>
      </c>
      <c r="AK6463">
        <v>0.548884444156861</v>
      </c>
      <c r="AL6463">
        <v>79.1028791604883</v>
      </c>
      <c r="AM6463">
        <v>85.359953798128203</v>
      </c>
      <c r="AN6463">
        <v>1.0000000078784099</v>
      </c>
    </row>
    <row r="6464" spans="1:40" x14ac:dyDescent="0.25">
      <c r="A6464" t="str">
        <f>"20190303170703945"</f>
        <v>20190303170703945</v>
      </c>
      <c r="B6464" t="str">
        <f>"1551604023941100"</f>
        <v>1551604023941100</v>
      </c>
      <c r="C6464" t="s">
        <v>40</v>
      </c>
      <c r="D6464">
        <v>5.484674</v>
      </c>
      <c r="E6464">
        <v>0.52996779999999999</v>
      </c>
      <c r="F6464" t="s">
        <v>42</v>
      </c>
      <c r="G6464">
        <v>-131.9341</v>
      </c>
      <c r="H6464">
        <v>0.95584230000000003</v>
      </c>
      <c r="I6464">
        <v>137.8706</v>
      </c>
      <c r="J6464">
        <v>-132.4811</v>
      </c>
      <c r="K6464">
        <v>1.123847</v>
      </c>
      <c r="L6464">
        <v>137.95670000000001</v>
      </c>
      <c r="M6464">
        <v>0.99944820000000001</v>
      </c>
      <c r="N6464">
        <v>-3.1436819999999997E-2</v>
      </c>
      <c r="O6464">
        <v>1.073319E-2</v>
      </c>
      <c r="P6464">
        <v>0.98491130000000005</v>
      </c>
      <c r="Q6464">
        <v>0.15898809999999999</v>
      </c>
      <c r="R6464">
        <v>-6.8355739999999998E-2</v>
      </c>
      <c r="S6464">
        <v>3.1407929999999999</v>
      </c>
      <c r="T6464">
        <v>-0.7603607</v>
      </c>
      <c r="U6464">
        <v>-0.38269039999999999</v>
      </c>
      <c r="V6464">
        <v>7.887574E-2</v>
      </c>
      <c r="W6464">
        <v>0.1898687</v>
      </c>
      <c r="X6464">
        <v>0.97863599999999995</v>
      </c>
      <c r="Y6464">
        <v>0.12725729999999999</v>
      </c>
      <c r="Z6464">
        <v>-1.9391740000000001E-2</v>
      </c>
      <c r="AA6464">
        <v>0.99168009999999995</v>
      </c>
      <c r="AB6464">
        <v>15</v>
      </c>
      <c r="AC6464">
        <v>0.54699999999999704</v>
      </c>
      <c r="AD6464">
        <v>-0.16800470000000001</v>
      </c>
      <c r="AE6464">
        <v>-8.6100000000015997E-2</v>
      </c>
      <c r="AF6464">
        <v>8.4216580940853797E-2</v>
      </c>
      <c r="AG6464">
        <v>-0.16800470000000001</v>
      </c>
      <c r="AH6464">
        <v>0.50001578431101601</v>
      </c>
      <c r="AI6464">
        <v>108.331688577495</v>
      </c>
      <c r="AJ6464">
        <v>80.439525088709402</v>
      </c>
      <c r="AK6464">
        <v>0.53416644998316598</v>
      </c>
      <c r="AL6464">
        <v>79.054877808081997</v>
      </c>
      <c r="AM6464">
        <v>85.392056566646502</v>
      </c>
      <c r="AN6464">
        <v>0.999999963048118</v>
      </c>
    </row>
    <row r="6465" spans="1:40" x14ac:dyDescent="0.25">
      <c r="A6465" t="str">
        <f>"20190303170703967"</f>
        <v>20190303170703967</v>
      </c>
      <c r="B6465" t="str">
        <f>"1551604023961596"</f>
        <v>1551604023961596</v>
      </c>
      <c r="C6465" t="s">
        <v>40</v>
      </c>
      <c r="D6465">
        <v>5.4998100000000001</v>
      </c>
      <c r="E6465">
        <v>0.52942339999999999</v>
      </c>
      <c r="F6465" t="s">
        <v>42</v>
      </c>
      <c r="G6465">
        <v>-131.68879999999999</v>
      </c>
      <c r="H6465">
        <v>0.93289690000000003</v>
      </c>
      <c r="I6465">
        <v>137.86060000000001</v>
      </c>
      <c r="J6465">
        <v>-132.339</v>
      </c>
      <c r="K6465">
        <v>1.1237699999999999</v>
      </c>
      <c r="L6465">
        <v>137.95820000000001</v>
      </c>
      <c r="M6465">
        <v>0.99945629999999996</v>
      </c>
      <c r="N6465">
        <v>-3.116878E-2</v>
      </c>
      <c r="O6465">
        <v>1.075016E-2</v>
      </c>
      <c r="P6465">
        <v>0.98494999999999999</v>
      </c>
      <c r="Q6465">
        <v>0.1595491</v>
      </c>
      <c r="R6465">
        <v>-6.6466109999999995E-2</v>
      </c>
      <c r="S6465">
        <v>3.141769</v>
      </c>
      <c r="T6465">
        <v>-0.75726090000000001</v>
      </c>
      <c r="U6465">
        <v>-0.38053890000000001</v>
      </c>
      <c r="V6465">
        <v>7.6979939999999997E-2</v>
      </c>
      <c r="W6465">
        <v>0.19017809999999999</v>
      </c>
      <c r="X6465">
        <v>0.97872689999999996</v>
      </c>
      <c r="Y6465">
        <v>0.12662660000000001</v>
      </c>
      <c r="Z6465">
        <v>-1.9220870000000001E-2</v>
      </c>
      <c r="AA6465">
        <v>0.99176419999999998</v>
      </c>
      <c r="AB6465">
        <v>14</v>
      </c>
      <c r="AC6465">
        <v>0.65020000000001199</v>
      </c>
      <c r="AD6465">
        <v>-0.19087309999999999</v>
      </c>
      <c r="AE6465">
        <v>-9.7599999999999895E-2</v>
      </c>
      <c r="AF6465">
        <v>9.6458128676758195E-2</v>
      </c>
      <c r="AG6465">
        <v>-0.19087309999999999</v>
      </c>
      <c r="AH6465">
        <v>0.59865843531347696</v>
      </c>
      <c r="AI6465">
        <v>107.47269821900299</v>
      </c>
      <c r="AJ6465">
        <v>80.846951703024502</v>
      </c>
      <c r="AK6465">
        <v>0.63571112391039097</v>
      </c>
      <c r="AL6465">
        <v>79.036821718865596</v>
      </c>
      <c r="AM6465">
        <v>85.5027657810882</v>
      </c>
      <c r="AN6465">
        <v>0.999999982832811</v>
      </c>
    </row>
    <row r="6466" spans="1:40" x14ac:dyDescent="0.25">
      <c r="A6466" t="str">
        <f>"20190303170703989"</f>
        <v>20190303170703989</v>
      </c>
      <c r="B6466" t="str">
        <f>"1551604023981116"</f>
        <v>1551604023981116</v>
      </c>
      <c r="C6466" t="s">
        <v>40</v>
      </c>
      <c r="D6466">
        <v>5.447031</v>
      </c>
      <c r="E6466">
        <v>0.4924462</v>
      </c>
      <c r="F6466" t="s">
        <v>42</v>
      </c>
      <c r="G6466">
        <v>-131.56299999999999</v>
      </c>
      <c r="H6466">
        <v>0.93766570000000005</v>
      </c>
      <c r="I6466">
        <v>137.8664</v>
      </c>
      <c r="J6466">
        <v>-132.2039</v>
      </c>
      <c r="K6466">
        <v>1.1238159999999999</v>
      </c>
      <c r="L6466">
        <v>137.9597</v>
      </c>
      <c r="M6466">
        <v>0.99945079999999997</v>
      </c>
      <c r="N6466">
        <v>-3.1322759999999998E-2</v>
      </c>
      <c r="O6466">
        <v>1.0818639999999999E-2</v>
      </c>
      <c r="P6466">
        <v>0.98506990000000005</v>
      </c>
      <c r="Q6466">
        <v>0.1600193</v>
      </c>
      <c r="R6466">
        <v>-6.3493910000000001E-2</v>
      </c>
      <c r="S6466">
        <v>3.142868</v>
      </c>
      <c r="T6466">
        <v>-0.75379259999999904</v>
      </c>
      <c r="U6466">
        <v>-0.37129210000000001</v>
      </c>
      <c r="V6466">
        <v>7.4066560000000004E-2</v>
      </c>
      <c r="W6466">
        <v>0.1908059</v>
      </c>
      <c r="X6466">
        <v>0.97882950000000002</v>
      </c>
      <c r="Y6466">
        <v>0.1238972</v>
      </c>
      <c r="Z6466">
        <v>-1.8796179999999999E-2</v>
      </c>
      <c r="AA6466">
        <v>0.99211700000000003</v>
      </c>
      <c r="AB6466">
        <v>14</v>
      </c>
      <c r="AC6466">
        <v>0.64090000000001601</v>
      </c>
      <c r="AD6466">
        <v>-0.18615029999999999</v>
      </c>
      <c r="AE6466">
        <v>-9.3299999999999203E-2</v>
      </c>
      <c r="AF6466">
        <v>9.2583189407236602E-2</v>
      </c>
      <c r="AG6466">
        <v>-0.18615029999999999</v>
      </c>
      <c r="AH6466">
        <v>0.59102708195583198</v>
      </c>
      <c r="AI6466">
        <v>107.28436803197999</v>
      </c>
      <c r="AJ6466">
        <v>81.097083925023199</v>
      </c>
      <c r="AK6466">
        <v>0.62652740782517402</v>
      </c>
      <c r="AL6466">
        <v>79.000180319779304</v>
      </c>
      <c r="AM6466">
        <v>85.672760593161996</v>
      </c>
      <c r="AN6466">
        <v>0.99999996842764605</v>
      </c>
    </row>
    <row r="6467" spans="1:40" x14ac:dyDescent="0.25">
      <c r="A6467" t="str">
        <f>"20190303170704057"</f>
        <v>20190303170704057</v>
      </c>
      <c r="B6467" t="str">
        <f>"1551604024051389"</f>
        <v>1551604024051389</v>
      </c>
      <c r="C6467" t="s">
        <v>40</v>
      </c>
      <c r="D6467">
        <v>4.8530949999999997</v>
      </c>
      <c r="E6467">
        <v>0.47916449999999999</v>
      </c>
      <c r="F6467" t="s">
        <v>42</v>
      </c>
      <c r="G6467">
        <v>-131.4126</v>
      </c>
      <c r="H6467">
        <v>1.000802</v>
      </c>
      <c r="I6467">
        <v>137.9391</v>
      </c>
      <c r="J6467">
        <v>-131.82589999999999</v>
      </c>
      <c r="K6467">
        <v>1.124104</v>
      </c>
      <c r="L6467">
        <v>137.96449999999999</v>
      </c>
      <c r="M6467">
        <v>0.99939239999999996</v>
      </c>
      <c r="N6467">
        <v>-3.2940240000000003E-2</v>
      </c>
      <c r="O6467">
        <v>1.139255E-2</v>
      </c>
      <c r="P6467">
        <v>0.98552019999999996</v>
      </c>
      <c r="Q6467">
        <v>0.16084509999999999</v>
      </c>
      <c r="R6467">
        <v>-5.3658450000000003E-2</v>
      </c>
      <c r="S6467">
        <v>3.1190190000000002</v>
      </c>
      <c r="T6467">
        <v>-0.48495319999999997</v>
      </c>
      <c r="U6467">
        <v>-8.1314090000000006E-2</v>
      </c>
      <c r="V6467">
        <v>6.4800759999999999E-2</v>
      </c>
      <c r="W6467">
        <v>0.19322810000000001</v>
      </c>
      <c r="X6467">
        <v>0.97901170000000004</v>
      </c>
      <c r="Y6467">
        <v>3.6832499999999997E-2</v>
      </c>
      <c r="Z6467">
        <v>-4.8441049999999996E-3</v>
      </c>
      <c r="AA6467">
        <v>0.99930969999999997</v>
      </c>
      <c r="AB6467">
        <v>13</v>
      </c>
      <c r="AC6467">
        <v>0.41329999999999201</v>
      </c>
      <c r="AD6467">
        <v>-0.12330199999999999</v>
      </c>
      <c r="AE6467">
        <v>-2.53999999999905E-2</v>
      </c>
      <c r="AF6467">
        <v>2.7657116097983801E-2</v>
      </c>
      <c r="AG6467">
        <v>-0.12330199999999999</v>
      </c>
      <c r="AH6467">
        <v>0.37934724737880399</v>
      </c>
      <c r="AI6467">
        <v>107.961494255133</v>
      </c>
      <c r="AJ6467">
        <v>85.830107444454498</v>
      </c>
      <c r="AK6467">
        <v>0.39984076001419999</v>
      </c>
      <c r="AL6467">
        <v>78.858768141645299</v>
      </c>
      <c r="AM6467">
        <v>86.213117590167897</v>
      </c>
      <c r="AN6467">
        <v>1.0000000729315299</v>
      </c>
    </row>
    <row r="6468" spans="1:40" x14ac:dyDescent="0.25">
      <c r="A6468" t="str">
        <f>"20190303170704078"</f>
        <v>20190303170704078</v>
      </c>
      <c r="B6468" t="str">
        <f>"1551604024070908"</f>
        <v>1551604024070908</v>
      </c>
      <c r="C6468" t="s">
        <v>40</v>
      </c>
      <c r="D6468">
        <v>5.2465109999999999</v>
      </c>
      <c r="E6468">
        <v>0.47219489999999997</v>
      </c>
      <c r="F6468" t="s">
        <v>42</v>
      </c>
      <c r="G6468">
        <v>-131.08439999999999</v>
      </c>
      <c r="H6468">
        <v>0.98987670000000005</v>
      </c>
      <c r="I6468">
        <v>137.97799999999901</v>
      </c>
      <c r="J6468">
        <v>-131.70570000000001</v>
      </c>
      <c r="K6468">
        <v>1.1239939999999999</v>
      </c>
      <c r="L6468">
        <v>137.96629999999999</v>
      </c>
      <c r="M6468">
        <v>0.99940289999999998</v>
      </c>
      <c r="N6468">
        <v>-3.2506399999999998E-2</v>
      </c>
      <c r="O6468">
        <v>1.172048E-2</v>
      </c>
      <c r="P6468">
        <v>0.98521270000000005</v>
      </c>
      <c r="Q6468">
        <v>0.162886</v>
      </c>
      <c r="R6468">
        <v>-5.3147819999999998E-2</v>
      </c>
      <c r="S6468">
        <v>3.1399689999999998</v>
      </c>
      <c r="T6468">
        <v>-0.56846140000000001</v>
      </c>
      <c r="U6468">
        <v>5.7113650000000002E-2</v>
      </c>
      <c r="V6468">
        <v>6.4588199999999998E-2</v>
      </c>
      <c r="W6468">
        <v>0.1948396</v>
      </c>
      <c r="X6468">
        <v>0.97870619999999997</v>
      </c>
      <c r="Y6468">
        <v>-6.4641259999999997E-3</v>
      </c>
      <c r="Z6468">
        <v>-1.039484E-3</v>
      </c>
      <c r="AA6468">
        <v>0.99997849999999999</v>
      </c>
      <c r="AB6468">
        <v>12</v>
      </c>
      <c r="AC6468">
        <v>0.62130000000001895</v>
      </c>
      <c r="AD6468">
        <v>-0.13411729999999999</v>
      </c>
      <c r="AE6468">
        <v>1.16999999999904E-2</v>
      </c>
      <c r="AF6468">
        <v>-4.2169787074141504E-3</v>
      </c>
      <c r="AG6468">
        <v>-0.13411729999999999</v>
      </c>
      <c r="AH6468">
        <v>0.59373734116249199</v>
      </c>
      <c r="AI6468">
        <v>102.728413557209</v>
      </c>
      <c r="AJ6468">
        <v>90.406932498403094</v>
      </c>
      <c r="AK6468">
        <v>0.60871114936348403</v>
      </c>
      <c r="AL6468">
        <v>78.764645982895303</v>
      </c>
      <c r="AM6468">
        <v>86.224328597692093</v>
      </c>
      <c r="AN6468">
        <v>0.99999996561291904</v>
      </c>
    </row>
    <row r="6469" spans="1:40" x14ac:dyDescent="0.25">
      <c r="A6469" t="str">
        <f>"20190303170704102"</f>
        <v>20190303170704102</v>
      </c>
      <c r="B6469" t="str">
        <f>"1551604024091404"</f>
        <v>1551604024091404</v>
      </c>
      <c r="C6469" t="s">
        <v>40</v>
      </c>
      <c r="D6469">
        <v>5.5257930000000002</v>
      </c>
      <c r="E6469">
        <v>0.4620032</v>
      </c>
      <c r="F6469" t="s">
        <v>42</v>
      </c>
      <c r="G6469">
        <v>-130.96549999999999</v>
      </c>
      <c r="H6469">
        <v>1.0124919999999999</v>
      </c>
      <c r="I6469">
        <v>137.99209999999999</v>
      </c>
      <c r="J6469">
        <v>-131.5872</v>
      </c>
      <c r="K6469">
        <v>1.123909</v>
      </c>
      <c r="L6469">
        <v>137.9682</v>
      </c>
      <c r="M6469">
        <v>0.99941239999999998</v>
      </c>
      <c r="N6469">
        <v>-3.2066089999999998E-2</v>
      </c>
      <c r="O6469">
        <v>1.2103050000000001E-2</v>
      </c>
      <c r="P6469">
        <v>0.98471509999999995</v>
      </c>
      <c r="Q6469">
        <v>0.16599820000000001</v>
      </c>
      <c r="R6469">
        <v>-5.2732290000000001E-2</v>
      </c>
      <c r="S6469">
        <v>3.128876</v>
      </c>
      <c r="T6469">
        <v>-0.47143089999999999</v>
      </c>
      <c r="U6469">
        <v>0.10931399999999999</v>
      </c>
      <c r="V6469">
        <v>6.4524650000000003E-2</v>
      </c>
      <c r="W6469">
        <v>0.19750799999999999</v>
      </c>
      <c r="X6469">
        <v>0.97817540000000003</v>
      </c>
      <c r="Y6469">
        <v>-2.258634E-2</v>
      </c>
      <c r="Z6469">
        <v>6.3001849999999896E-4</v>
      </c>
      <c r="AA6469">
        <v>0.99974470000000004</v>
      </c>
      <c r="AB6469">
        <v>12</v>
      </c>
      <c r="AC6469">
        <v>0.62170000000000403</v>
      </c>
      <c r="AD6469">
        <v>-0.111417</v>
      </c>
      <c r="AE6469">
        <v>2.38999999999975E-2</v>
      </c>
      <c r="AF6469">
        <v>-1.5861238566584099E-2</v>
      </c>
      <c r="AG6469">
        <v>-0.111417</v>
      </c>
      <c r="AH6469">
        <v>0.60261783587691098</v>
      </c>
      <c r="AI6469">
        <v>100.471484757406</v>
      </c>
      <c r="AJ6469">
        <v>91.507708868334007</v>
      </c>
      <c r="AK6469">
        <v>0.61303636343600199</v>
      </c>
      <c r="AL6469">
        <v>78.608728380708001</v>
      </c>
      <c r="AM6469">
        <v>86.225991930824406</v>
      </c>
      <c r="AN6469">
        <v>0.99999997684339104</v>
      </c>
    </row>
    <row r="6470" spans="1:40" x14ac:dyDescent="0.25">
      <c r="A6470" t="str">
        <f>"20190303170704123"</f>
        <v>20190303170704123</v>
      </c>
      <c r="B6470" t="str">
        <f>"1551604024110925"</f>
        <v>1551604024110925</v>
      </c>
      <c r="C6470" t="s">
        <v>40</v>
      </c>
      <c r="D6470">
        <v>5.5490199999999996</v>
      </c>
      <c r="E6470">
        <v>0.46038889999999999</v>
      </c>
      <c r="F6470" t="s">
        <v>51</v>
      </c>
      <c r="G6470">
        <v>335.34769999999997</v>
      </c>
      <c r="H6470">
        <v>-0.1</v>
      </c>
      <c r="I6470">
        <v>163.90379999999999</v>
      </c>
      <c r="J6470">
        <v>-131.4777</v>
      </c>
      <c r="K6470">
        <v>1.123904</v>
      </c>
      <c r="L6470">
        <v>137.9701</v>
      </c>
      <c r="M6470">
        <v>0.9994113</v>
      </c>
      <c r="N6470">
        <v>-3.1932870000000002E-2</v>
      </c>
      <c r="O6470">
        <v>1.2542070000000001E-2</v>
      </c>
      <c r="P6470">
        <v>0.98442940000000001</v>
      </c>
      <c r="Q6470">
        <v>0.16728959999999901</v>
      </c>
      <c r="R6470">
        <v>-5.3974840000000003E-2</v>
      </c>
      <c r="S6470">
        <v>3.057007</v>
      </c>
      <c r="T6470">
        <v>-8.0128909999999994E-3</v>
      </c>
      <c r="U6470">
        <v>0.169799799999999</v>
      </c>
      <c r="V6470">
        <v>6.618889E-2</v>
      </c>
      <c r="W6470">
        <v>0.19866059999999999</v>
      </c>
      <c r="X6470">
        <v>0.9778308</v>
      </c>
      <c r="Y6470">
        <v>-4.2928880000000003E-2</v>
      </c>
      <c r="Z6470">
        <v>1.1098600000000001E-3</v>
      </c>
      <c r="AA6470">
        <v>0.99907749999999995</v>
      </c>
      <c r="AB6470">
        <v>12</v>
      </c>
      <c r="AC6470">
        <v>466.8254</v>
      </c>
      <c r="AD6470">
        <v>-1.2239040000000001</v>
      </c>
      <c r="AE6470">
        <v>25.933699999999899</v>
      </c>
      <c r="AF6470">
        <v>-20.0735761270595</v>
      </c>
      <c r="AG6470">
        <v>-1.2239040000000001</v>
      </c>
      <c r="AH6470">
        <v>467.110871818578</v>
      </c>
      <c r="AI6470">
        <v>90.149985187709902</v>
      </c>
      <c r="AJ6470">
        <v>92.460709096477302</v>
      </c>
      <c r="AK6470">
        <v>467.54359472742402</v>
      </c>
      <c r="AL6470">
        <v>78.541354953587302</v>
      </c>
      <c r="AM6470">
        <v>86.127583719569103</v>
      </c>
      <c r="AN6470">
        <v>1.0000000382902099</v>
      </c>
    </row>
    <row r="6471" spans="1:40" x14ac:dyDescent="0.25">
      <c r="A6471" t="str">
        <f>"20190303170704147"</f>
        <v>20190303170704147</v>
      </c>
      <c r="B6471" t="str">
        <f>"1551604024141180"</f>
        <v>1551604024141180</v>
      </c>
      <c r="C6471" t="s">
        <v>40</v>
      </c>
      <c r="D6471">
        <v>5.5018250000000002</v>
      </c>
      <c r="E6471">
        <v>0.46418939999999997</v>
      </c>
      <c r="F6471" t="s">
        <v>46</v>
      </c>
      <c r="G6471">
        <v>0</v>
      </c>
      <c r="H6471">
        <v>0</v>
      </c>
      <c r="I6471">
        <v>0</v>
      </c>
      <c r="J6471">
        <v>-131.3656</v>
      </c>
      <c r="K6471">
        <v>1.123934</v>
      </c>
      <c r="L6471">
        <v>137.97219999999999</v>
      </c>
      <c r="M6471">
        <v>0.99940370000000001</v>
      </c>
      <c r="N6471">
        <v>-3.1938540000000001E-2</v>
      </c>
      <c r="O6471">
        <v>1.3126469999999999E-2</v>
      </c>
      <c r="P6471">
        <v>0.98440519999999998</v>
      </c>
      <c r="Q6471">
        <v>0.1672226</v>
      </c>
      <c r="R6471">
        <v>-5.462028E-2</v>
      </c>
      <c r="S6471">
        <v>3.0441440000000002</v>
      </c>
      <c r="T6471">
        <v>7.5973029999999997E-2</v>
      </c>
      <c r="U6471">
        <v>0.17517089999999999</v>
      </c>
      <c r="V6471">
        <v>6.7408029999999994E-2</v>
      </c>
      <c r="W6471">
        <v>0.19859789999999999</v>
      </c>
      <c r="X6471">
        <v>0.97776019999999997</v>
      </c>
      <c r="Y6471">
        <v>-4.4357180000000003E-2</v>
      </c>
      <c r="Z6471">
        <v>9.022565E-4</v>
      </c>
      <c r="AA6471">
        <v>0.99901530000000005</v>
      </c>
      <c r="AB6471">
        <v>11</v>
      </c>
      <c r="AC6471">
        <v>3.0441440000000002</v>
      </c>
      <c r="AD6471">
        <v>7.5973029999999997E-2</v>
      </c>
      <c r="AE6471">
        <v>0.17517089999999999</v>
      </c>
      <c r="AF6471">
        <v>-0.135092668534848</v>
      </c>
      <c r="AG6471">
        <v>7.5973029999999997E-2</v>
      </c>
      <c r="AH6471">
        <v>3.04429210917773</v>
      </c>
      <c r="AI6471">
        <v>88.571834251042901</v>
      </c>
      <c r="AJ6471">
        <v>92.540874778508794</v>
      </c>
      <c r="AK6471">
        <v>3.0482349608225801</v>
      </c>
      <c r="AL6471">
        <v>78.545019857117296</v>
      </c>
      <c r="AM6471">
        <v>86.056196458160898</v>
      </c>
      <c r="AN6471">
        <v>0.99999998854846495</v>
      </c>
    </row>
    <row r="6472" spans="1:40" x14ac:dyDescent="0.25">
      <c r="A6472" t="str">
        <f>"20190303170704169"</f>
        <v>20190303170704169</v>
      </c>
      <c r="B6472" t="str">
        <f>"1551604024161676"</f>
        <v>1551604024161676</v>
      </c>
      <c r="C6472" t="s">
        <v>40</v>
      </c>
      <c r="D6472">
        <v>5.5545910000000003</v>
      </c>
      <c r="E6472">
        <v>0.4647907</v>
      </c>
      <c r="F6472" t="s">
        <v>46</v>
      </c>
      <c r="G6472">
        <v>0</v>
      </c>
      <c r="H6472">
        <v>0</v>
      </c>
      <c r="I6472">
        <v>0</v>
      </c>
      <c r="J6472">
        <v>-131.26050000000001</v>
      </c>
      <c r="K6472">
        <v>1.1239410000000001</v>
      </c>
      <c r="L6472">
        <v>137.9742</v>
      </c>
      <c r="M6472">
        <v>0.9993976</v>
      </c>
      <c r="N6472">
        <v>-3.1857669999999998E-2</v>
      </c>
      <c r="O6472">
        <v>1.376959E-2</v>
      </c>
      <c r="P6472">
        <v>0.98462459999999996</v>
      </c>
      <c r="Q6472">
        <v>0.16615739999999901</v>
      </c>
      <c r="R6472">
        <v>-5.3912969999999998E-2</v>
      </c>
      <c r="S6472">
        <v>3.0525669999999998</v>
      </c>
      <c r="T6472">
        <v>1.7978190000000002E-2</v>
      </c>
      <c r="U6472">
        <v>0.14590449999999999</v>
      </c>
      <c r="V6472">
        <v>6.7332009999999998E-2</v>
      </c>
      <c r="W6472">
        <v>0.1974622</v>
      </c>
      <c r="X6472">
        <v>0.97799550000000002</v>
      </c>
      <c r="Y6472">
        <v>-3.3989819999999997E-2</v>
      </c>
      <c r="Z6472">
        <v>9.6140090000000004E-4</v>
      </c>
      <c r="AA6472">
        <v>0.99942169999999997</v>
      </c>
      <c r="AB6472">
        <v>11</v>
      </c>
      <c r="AC6472">
        <v>3.0525669999999998</v>
      </c>
      <c r="AD6472">
        <v>1.7978190000000002E-2</v>
      </c>
      <c r="AE6472">
        <v>0.14590449999999999</v>
      </c>
      <c r="AF6472">
        <v>-0.103833119650903</v>
      </c>
      <c r="AG6472">
        <v>1.7978190000000002E-2</v>
      </c>
      <c r="AH6472">
        <v>3.0541816741636199</v>
      </c>
      <c r="AI6472">
        <v>89.662931717889407</v>
      </c>
      <c r="AJ6472">
        <v>91.947136656321206</v>
      </c>
      <c r="AK6472">
        <v>3.0559990560942598</v>
      </c>
      <c r="AL6472">
        <v>78.611406194237702</v>
      </c>
      <c r="AM6472">
        <v>86.061574912267403</v>
      </c>
      <c r="AN6472">
        <v>1.0000000590098601</v>
      </c>
    </row>
    <row r="6473" spans="1:40" x14ac:dyDescent="0.25">
      <c r="A6473" t="str">
        <f>"20190303170704190"</f>
        <v>20190303170704190</v>
      </c>
      <c r="B6473" t="str">
        <f>"1551604024181196"</f>
        <v>1551604024181196</v>
      </c>
      <c r="C6473" t="s">
        <v>40</v>
      </c>
      <c r="D6473">
        <v>5.6557230000000001</v>
      </c>
      <c r="E6473">
        <v>0.46539540000000001</v>
      </c>
      <c r="F6473" t="s">
        <v>51</v>
      </c>
      <c r="G6473">
        <v>570.26329999999996</v>
      </c>
      <c r="H6473">
        <v>-0.1</v>
      </c>
      <c r="I6473">
        <v>171.08959999999999</v>
      </c>
      <c r="J6473">
        <v>-131.1619</v>
      </c>
      <c r="K6473">
        <v>1.123931</v>
      </c>
      <c r="L6473">
        <v>137.97640000000001</v>
      </c>
      <c r="M6473">
        <v>0.99939420000000001</v>
      </c>
      <c r="N6473">
        <v>-3.1679989999999998E-2</v>
      </c>
      <c r="O6473">
        <v>1.4421669999999999E-2</v>
      </c>
      <c r="P6473">
        <v>0.98465530000000001</v>
      </c>
      <c r="Q6473">
        <v>0.16624549999999999</v>
      </c>
      <c r="R6473">
        <v>-5.3070649999999997E-2</v>
      </c>
      <c r="S6473">
        <v>3.0556489999999998</v>
      </c>
      <c r="T6473">
        <v>-5.3311590000000002E-3</v>
      </c>
      <c r="U6473">
        <v>0.14424129999999999</v>
      </c>
      <c r="V6473">
        <v>6.7123450000000001E-2</v>
      </c>
      <c r="W6473">
        <v>0.19737940000000001</v>
      </c>
      <c r="X6473">
        <v>0.97802650000000002</v>
      </c>
      <c r="Y6473">
        <v>-3.2740030000000003E-2</v>
      </c>
      <c r="Z6473">
        <v>9.7922419999999996E-4</v>
      </c>
      <c r="AA6473">
        <v>0.9994634</v>
      </c>
      <c r="AB6473">
        <v>11</v>
      </c>
      <c r="AC6473">
        <v>701.42519999999899</v>
      </c>
      <c r="AD6473">
        <v>-1.2239309999999901</v>
      </c>
      <c r="AE6473">
        <v>33.1131999999999</v>
      </c>
      <c r="AF6473">
        <v>-22.988882128564001</v>
      </c>
      <c r="AG6473">
        <v>-1.2239309999999901</v>
      </c>
      <c r="AH6473">
        <v>701.82783537504804</v>
      </c>
      <c r="AI6473">
        <v>90.099865545355598</v>
      </c>
      <c r="AJ6473">
        <v>91.876094220458398</v>
      </c>
      <c r="AK6473">
        <v>702.20530987442601</v>
      </c>
      <c r="AL6473">
        <v>78.616244961591704</v>
      </c>
      <c r="AM6473">
        <v>86.073859977273003</v>
      </c>
      <c r="AN6473">
        <v>1.00000000989325</v>
      </c>
    </row>
    <row r="6474" spans="1:40" x14ac:dyDescent="0.25">
      <c r="A6474" t="str">
        <f>"20190303170704213"</f>
        <v>20190303170704213</v>
      </c>
      <c r="B6474" t="str">
        <f>"1551604024201692"</f>
        <v>1551604024201692</v>
      </c>
      <c r="C6474" t="s">
        <v>40</v>
      </c>
      <c r="D6474">
        <v>5.5370400000000002</v>
      </c>
      <c r="E6474">
        <v>0.46555429999999998</v>
      </c>
      <c r="F6474" t="s">
        <v>51</v>
      </c>
      <c r="G6474">
        <v>29.653169999999999</v>
      </c>
      <c r="H6474">
        <v>-0.1</v>
      </c>
      <c r="I6474">
        <v>145.53829999999999</v>
      </c>
      <c r="J6474">
        <v>-131.0625</v>
      </c>
      <c r="K6474">
        <v>1.1239170000000001</v>
      </c>
      <c r="L6474">
        <v>137.9787</v>
      </c>
      <c r="M6474">
        <v>0.99938959999999999</v>
      </c>
      <c r="N6474">
        <v>-3.1488330000000002E-2</v>
      </c>
      <c r="O6474">
        <v>1.512426E-2</v>
      </c>
      <c r="P6474">
        <v>0.9845621</v>
      </c>
      <c r="Q6474">
        <v>0.16717889999999999</v>
      </c>
      <c r="R6474">
        <v>-5.1851880000000003E-2</v>
      </c>
      <c r="S6474">
        <v>3.0584410000000002</v>
      </c>
      <c r="T6474">
        <v>-2.3277160000000002E-2</v>
      </c>
      <c r="U6474">
        <v>0.1438141</v>
      </c>
      <c r="V6474">
        <v>6.658944E-2</v>
      </c>
      <c r="W6474">
        <v>0.1981222</v>
      </c>
      <c r="X6474">
        <v>0.97791280000000003</v>
      </c>
      <c r="Y6474">
        <v>-3.1849250000000003E-2</v>
      </c>
      <c r="Z6474">
        <v>9.841505E-4</v>
      </c>
      <c r="AA6474">
        <v>0.99949219999999905</v>
      </c>
      <c r="AB6474">
        <v>10</v>
      </c>
      <c r="AC6474">
        <v>160.71566999999999</v>
      </c>
      <c r="AD6474">
        <v>-1.2239169999999999</v>
      </c>
      <c r="AE6474">
        <v>7.5595999999999801</v>
      </c>
      <c r="AF6474">
        <v>-5.1265261116113399</v>
      </c>
      <c r="AG6474">
        <v>-1.2239169999999999</v>
      </c>
      <c r="AH6474">
        <v>160.80235439855201</v>
      </c>
      <c r="AI6474">
        <v>90.435866231622299</v>
      </c>
      <c r="AJ6474">
        <v>91.826023363047796</v>
      </c>
      <c r="AK6474">
        <v>160.888708189585</v>
      </c>
      <c r="AL6474">
        <v>78.572828186216199</v>
      </c>
      <c r="AM6474">
        <v>86.104546936944999</v>
      </c>
      <c r="AN6474">
        <v>1.0000000020280899</v>
      </c>
    </row>
    <row r="6475" spans="1:40" x14ac:dyDescent="0.25">
      <c r="A6475" t="str">
        <f>"20190303170704235"</f>
        <v>20190303170704235</v>
      </c>
      <c r="B6475" t="str">
        <f>"1551604024221212"</f>
        <v>1551604024221212</v>
      </c>
      <c r="C6475" t="s">
        <v>40</v>
      </c>
      <c r="D6475">
        <v>5.562811</v>
      </c>
      <c r="E6475">
        <v>0.46579979999999999</v>
      </c>
      <c r="F6475" t="s">
        <v>51</v>
      </c>
      <c r="G6475">
        <v>-16.862670000000001</v>
      </c>
      <c r="H6475">
        <v>-0.1</v>
      </c>
      <c r="I6475">
        <v>143.495</v>
      </c>
      <c r="J6475">
        <v>-130.96639999999999</v>
      </c>
      <c r="K6475">
        <v>1.123904</v>
      </c>
      <c r="L6475">
        <v>137.9812</v>
      </c>
      <c r="M6475">
        <v>0.99938260000000001</v>
      </c>
      <c r="N6475">
        <v>-3.1351980000000002E-2</v>
      </c>
      <c r="O6475">
        <v>1.5860760000000002E-2</v>
      </c>
      <c r="P6475">
        <v>0.98456200000000005</v>
      </c>
      <c r="Q6475">
        <v>0.1676541</v>
      </c>
      <c r="R6475">
        <v>-5.029633E-2</v>
      </c>
      <c r="S6475">
        <v>3.0603940000000001</v>
      </c>
      <c r="T6475">
        <v>-3.279924E-2</v>
      </c>
      <c r="U6475">
        <v>0.14782709999999999</v>
      </c>
      <c r="V6475">
        <v>6.5765019999999993E-2</v>
      </c>
      <c r="W6475">
        <v>0.1984601</v>
      </c>
      <c r="X6475">
        <v>0.97790010000000005</v>
      </c>
      <c r="Y6475">
        <v>-3.2386970000000001E-2</v>
      </c>
      <c r="Z6475">
        <v>1.00895E-3</v>
      </c>
      <c r="AA6475">
        <v>0.99947490000000005</v>
      </c>
      <c r="AB6475">
        <v>10</v>
      </c>
      <c r="AC6475">
        <v>114.103729999999</v>
      </c>
      <c r="AD6475">
        <v>-1.2239040000000001</v>
      </c>
      <c r="AE6475">
        <v>5.5137999999999998</v>
      </c>
      <c r="AF6475">
        <v>-3.7020189001964199</v>
      </c>
      <c r="AG6475">
        <v>-1.2239040000000001</v>
      </c>
      <c r="AH6475">
        <v>114.163754669132</v>
      </c>
      <c r="AI6475">
        <v>90.613898973010393</v>
      </c>
      <c r="AJ6475">
        <v>91.857294897147099</v>
      </c>
      <c r="AK6475">
        <v>114.23031893981801</v>
      </c>
      <c r="AL6475">
        <v>78.553076014700906</v>
      </c>
      <c r="AM6475">
        <v>86.152579582314502</v>
      </c>
      <c r="AN6475">
        <v>1.0000000273637999</v>
      </c>
    </row>
    <row r="6476" spans="1:40" x14ac:dyDescent="0.25">
      <c r="A6476" t="str">
        <f>"20190303170704258"</f>
        <v>20190303170704258</v>
      </c>
      <c r="B6476" t="str">
        <f>"1551604024251468"</f>
        <v>1551604024251468</v>
      </c>
      <c r="C6476" t="s">
        <v>40</v>
      </c>
      <c r="D6476">
        <v>5.7204930000000003</v>
      </c>
      <c r="E6476">
        <v>0.46612039999999999</v>
      </c>
      <c r="F6476" t="s">
        <v>51</v>
      </c>
      <c r="G6476">
        <v>-36.392879999999998</v>
      </c>
      <c r="H6476">
        <v>-0.1</v>
      </c>
      <c r="I6476">
        <v>142.64150000000001</v>
      </c>
      <c r="J6476">
        <v>-130.87520000000001</v>
      </c>
      <c r="K6476">
        <v>1.1238889999999999</v>
      </c>
      <c r="L6476">
        <v>137.98349999999999</v>
      </c>
      <c r="M6476">
        <v>0.99937350000000003</v>
      </c>
      <c r="N6476">
        <v>-3.1256249999999999E-2</v>
      </c>
      <c r="O6476">
        <v>1.660905E-2</v>
      </c>
      <c r="P6476">
        <v>0.98462609999999995</v>
      </c>
      <c r="Q6476">
        <v>0.16789609999999999</v>
      </c>
      <c r="R6476">
        <v>-4.8192180000000001E-2</v>
      </c>
      <c r="S6476">
        <v>3.061493</v>
      </c>
      <c r="T6476">
        <v>-3.9619679999999997E-2</v>
      </c>
      <c r="U6476">
        <v>0.15086359999999999</v>
      </c>
      <c r="V6476">
        <v>6.4412360000000002E-2</v>
      </c>
      <c r="W6476">
        <v>0.19860449999999999</v>
      </c>
      <c r="X6476">
        <v>0.97796079999999996</v>
      </c>
      <c r="Y6476">
        <v>-3.2607709999999998E-2</v>
      </c>
      <c r="Z6476">
        <v>1.025237E-3</v>
      </c>
      <c r="AA6476">
        <v>0.99946769999999996</v>
      </c>
      <c r="AB6476">
        <v>10</v>
      </c>
      <c r="AC6476">
        <v>94.482320000000001</v>
      </c>
      <c r="AD6476">
        <v>-1.223889</v>
      </c>
      <c r="AE6476">
        <v>4.6580000000000101</v>
      </c>
      <c r="AF6476">
        <v>-3.0868116232118199</v>
      </c>
      <c r="AG6476">
        <v>-1.223889</v>
      </c>
      <c r="AH6476">
        <v>94.530853661912303</v>
      </c>
      <c r="AI6476">
        <v>90.741370717220093</v>
      </c>
      <c r="AJ6476">
        <v>91.870272509132704</v>
      </c>
      <c r="AK6476">
        <v>94.589156906758603</v>
      </c>
      <c r="AL6476">
        <v>78.544634302410103</v>
      </c>
      <c r="AM6476">
        <v>86.231716439037299</v>
      </c>
      <c r="AN6476">
        <v>1.00000001293882</v>
      </c>
    </row>
    <row r="6477" spans="1:40" x14ac:dyDescent="0.25">
      <c r="A6477" t="str">
        <f>"20190303170704279"</f>
        <v>20190303170704279</v>
      </c>
      <c r="B6477" t="str">
        <f>"1551604024270988"</f>
        <v>1551604024270988</v>
      </c>
      <c r="C6477" t="s">
        <v>40</v>
      </c>
      <c r="D6477">
        <v>5.4177239999999998</v>
      </c>
      <c r="E6477">
        <v>0.46622380000000002</v>
      </c>
      <c r="F6477" t="s">
        <v>41</v>
      </c>
      <c r="G6477">
        <v>-61.070529999999998</v>
      </c>
      <c r="H6477" s="1">
        <v>-4.2465820000000001E-6</v>
      </c>
      <c r="I6477">
        <v>141.5043</v>
      </c>
      <c r="J6477">
        <v>-130.79</v>
      </c>
      <c r="K6477">
        <v>1.123885</v>
      </c>
      <c r="L6477">
        <v>137.98589999999999</v>
      </c>
      <c r="M6477">
        <v>0.99936409999999998</v>
      </c>
      <c r="N6477">
        <v>-3.1165490000000001E-2</v>
      </c>
      <c r="O6477">
        <v>1.7325650000000001E-2</v>
      </c>
      <c r="P6477">
        <v>0.98468619999999996</v>
      </c>
      <c r="Q6477">
        <v>0.16819919999999999</v>
      </c>
      <c r="R6477">
        <v>-4.585123E-2</v>
      </c>
      <c r="S6477">
        <v>3.0628199999999999</v>
      </c>
      <c r="T6477">
        <v>-4.9313070000000001E-2</v>
      </c>
      <c r="U6477">
        <v>0.15448000000000001</v>
      </c>
      <c r="V6477">
        <v>6.2792609999999999E-2</v>
      </c>
      <c r="W6477">
        <v>0.1988143</v>
      </c>
      <c r="X6477">
        <v>0.97802350000000005</v>
      </c>
      <c r="Y6477">
        <v>-3.30429E-2</v>
      </c>
      <c r="Z6477">
        <v>1.042414E-3</v>
      </c>
      <c r="AA6477">
        <v>0.99945340000000005</v>
      </c>
      <c r="AB6477">
        <v>9</v>
      </c>
      <c r="AC6477">
        <v>69.719469999999902</v>
      </c>
      <c r="AD6477">
        <v>-1.1238892465820001</v>
      </c>
      <c r="AE6477">
        <v>3.51840000000001</v>
      </c>
      <c r="AF6477">
        <v>-2.30875079944534</v>
      </c>
      <c r="AG6477">
        <v>-1.1238892465820001</v>
      </c>
      <c r="AH6477">
        <v>69.751903437657901</v>
      </c>
      <c r="AI6477">
        <v>90.922602816019804</v>
      </c>
      <c r="AJ6477">
        <v>91.895767625205906</v>
      </c>
      <c r="AK6477">
        <v>69.799151072694897</v>
      </c>
      <c r="AL6477">
        <v>78.532368934759305</v>
      </c>
      <c r="AM6477">
        <v>86.326447883963596</v>
      </c>
      <c r="AN6477">
        <v>1.0000000021536699</v>
      </c>
    </row>
    <row r="6478" spans="1:40" x14ac:dyDescent="0.25">
      <c r="A6478" t="str">
        <f>"20190303170704302"</f>
        <v>20190303170704302</v>
      </c>
      <c r="B6478" t="str">
        <f>"1551604024291485"</f>
        <v>1551604024291485</v>
      </c>
      <c r="C6478" t="s">
        <v>40</v>
      </c>
      <c r="D6478">
        <v>5.6933449999999999</v>
      </c>
      <c r="E6478">
        <v>0.4663426</v>
      </c>
      <c r="F6478" t="s">
        <v>41</v>
      </c>
      <c r="G6478">
        <v>-70.455919999999907</v>
      </c>
      <c r="H6478" s="1">
        <v>-4.3884600000000002E-6</v>
      </c>
      <c r="I6478">
        <v>141.125</v>
      </c>
      <c r="J6478">
        <v>-130.70590000000001</v>
      </c>
      <c r="K6478">
        <v>1.1238709999999901</v>
      </c>
      <c r="L6478">
        <v>137.98820000000001</v>
      </c>
      <c r="M6478">
        <v>0.99935469999999904</v>
      </c>
      <c r="N6478">
        <v>-3.1072329999999999E-2</v>
      </c>
      <c r="O6478">
        <v>1.8022940000000001E-2</v>
      </c>
      <c r="P6478">
        <v>0.98449439999999999</v>
      </c>
      <c r="Q6478">
        <v>0.16970979999999999</v>
      </c>
      <c r="R6478">
        <v>-4.4382240000000003E-2</v>
      </c>
      <c r="S6478">
        <v>3.0638429999999999</v>
      </c>
      <c r="T6478">
        <v>-5.7072520000000002E-2</v>
      </c>
      <c r="U6478">
        <v>0.15940860000000001</v>
      </c>
      <c r="V6478">
        <v>6.202121E-2</v>
      </c>
      <c r="W6478">
        <v>0.20022119999999999</v>
      </c>
      <c r="X6478">
        <v>0.97778569999999998</v>
      </c>
      <c r="Y6478">
        <v>-3.3928649999999998E-2</v>
      </c>
      <c r="Z6478">
        <v>1.0679680000000001E-3</v>
      </c>
      <c r="AA6478">
        <v>0.99942370000000003</v>
      </c>
      <c r="AB6478">
        <v>9</v>
      </c>
      <c r="AC6478">
        <v>60.249980000000001</v>
      </c>
      <c r="AD6478">
        <v>-1.1238753884599999</v>
      </c>
      <c r="AE6478">
        <v>3.1367999999999898</v>
      </c>
      <c r="AF6478">
        <v>-2.0491726308907001</v>
      </c>
      <c r="AG6478">
        <v>-1.1238753884599999</v>
      </c>
      <c r="AH6478">
        <v>60.275829470187503</v>
      </c>
      <c r="AI6478">
        <v>91.067570361176806</v>
      </c>
      <c r="AJ6478">
        <v>91.947111190552107</v>
      </c>
      <c r="AK6478">
        <v>60.321122525025203</v>
      </c>
      <c r="AL6478">
        <v>78.450105701315906</v>
      </c>
      <c r="AM6478">
        <v>86.370575620878498</v>
      </c>
      <c r="AN6478">
        <v>1.0000000172718899</v>
      </c>
    </row>
    <row r="6479" spans="1:40" x14ac:dyDescent="0.25">
      <c r="A6479" t="str">
        <f>"20190303170704325"</f>
        <v>20190303170704325</v>
      </c>
      <c r="B6479" t="str">
        <f>"1551604024311005"</f>
        <v>1551604024311005</v>
      </c>
      <c r="C6479" t="s">
        <v>40</v>
      </c>
      <c r="D6479">
        <v>5.5848630000000004</v>
      </c>
      <c r="E6479">
        <v>0.4665202</v>
      </c>
      <c r="F6479" t="s">
        <v>41</v>
      </c>
      <c r="G6479">
        <v>-73.305309999999906</v>
      </c>
      <c r="H6479" s="1">
        <v>-3.2276050000000002E-6</v>
      </c>
      <c r="I6479">
        <v>141.01939999999999</v>
      </c>
      <c r="J6479">
        <v>-130.62360000000001</v>
      </c>
      <c r="K6479">
        <v>1.1238170000000001</v>
      </c>
      <c r="L6479">
        <v>137.9906</v>
      </c>
      <c r="M6479">
        <v>0.99934889999999998</v>
      </c>
      <c r="N6479">
        <v>-3.0862190000000001E-2</v>
      </c>
      <c r="O6479">
        <v>1.8694769999999999E-2</v>
      </c>
      <c r="P6479">
        <v>0.98419469999999998</v>
      </c>
      <c r="Q6479">
        <v>0.17142289999999999</v>
      </c>
      <c r="R6479">
        <v>-4.4444360000000002E-2</v>
      </c>
      <c r="S6479">
        <v>3.06488</v>
      </c>
      <c r="T6479">
        <v>-6.0008760000000001E-2</v>
      </c>
      <c r="U6479">
        <v>0.16184999999999999</v>
      </c>
      <c r="V6479">
        <v>6.2755279999999997E-2</v>
      </c>
      <c r="W6479">
        <v>0.20171269999999999</v>
      </c>
      <c r="X6479">
        <v>0.97743230000000003</v>
      </c>
      <c r="Y6479">
        <v>-3.4031970000000002E-2</v>
      </c>
      <c r="Z6479">
        <v>1.0698140000000001E-3</v>
      </c>
      <c r="AA6479">
        <v>0.99942019999999998</v>
      </c>
      <c r="AB6479">
        <v>9</v>
      </c>
      <c r="AC6479">
        <v>57.318289999999998</v>
      </c>
      <c r="AD6479">
        <v>-1.123820227605</v>
      </c>
      <c r="AE6479">
        <v>3.02879999999998</v>
      </c>
      <c r="AF6479">
        <v>-1.95545772590289</v>
      </c>
      <c r="AG6479">
        <v>-1.123820227605</v>
      </c>
      <c r="AH6479">
        <v>57.342930610318597</v>
      </c>
      <c r="AI6479">
        <v>91.122100336910194</v>
      </c>
      <c r="AJ6479">
        <v>91.953092980916907</v>
      </c>
      <c r="AK6479">
        <v>57.387267558244801</v>
      </c>
      <c r="AL6479">
        <v>78.362869861883794</v>
      </c>
      <c r="AM6479">
        <v>86.326411271806407</v>
      </c>
      <c r="AN6479">
        <v>1.0000000697962199</v>
      </c>
    </row>
    <row r="6480" spans="1:40" x14ac:dyDescent="0.25">
      <c r="A6480" t="str">
        <f>"20190303170704347"</f>
        <v>20190303170704347</v>
      </c>
      <c r="B6480" t="str">
        <f>"1551604024341261"</f>
        <v>1551604024341261</v>
      </c>
      <c r="C6480" t="s">
        <v>40</v>
      </c>
      <c r="D6480">
        <v>5.4800279999999999</v>
      </c>
      <c r="E6480">
        <v>0.46677839999999998</v>
      </c>
      <c r="F6480" t="s">
        <v>41</v>
      </c>
      <c r="G6480">
        <v>-72.352450000000005</v>
      </c>
      <c r="H6480" s="1">
        <v>-3.6399920000000001E-6</v>
      </c>
      <c r="I6480">
        <v>141.03299999999999</v>
      </c>
      <c r="J6480">
        <v>-130.54640000000001</v>
      </c>
      <c r="K6480">
        <v>1.1237379999999999</v>
      </c>
      <c r="L6480">
        <v>137.99279999999999</v>
      </c>
      <c r="M6480">
        <v>0.99934610000000001</v>
      </c>
      <c r="N6480">
        <v>-3.056261E-2</v>
      </c>
      <c r="O6480">
        <v>1.9323300000000002E-2</v>
      </c>
      <c r="P6480">
        <v>0.98393459999999999</v>
      </c>
      <c r="Q6480">
        <v>0.1726751</v>
      </c>
      <c r="R6480">
        <v>-4.5341810000000003E-2</v>
      </c>
      <c r="S6480">
        <v>3.0657199999999998</v>
      </c>
      <c r="T6480">
        <v>-5.9125659999999997E-2</v>
      </c>
      <c r="U6480">
        <v>0.1600647</v>
      </c>
      <c r="V6480">
        <v>6.4283880000000002E-2</v>
      </c>
      <c r="W6480">
        <v>0.202656</v>
      </c>
      <c r="X6480">
        <v>0.9771377</v>
      </c>
      <c r="Y6480">
        <v>-3.2809810000000002E-2</v>
      </c>
      <c r="Z6480">
        <v>1.03622E-3</v>
      </c>
      <c r="AA6480">
        <v>0.99946109999999999</v>
      </c>
      <c r="AB6480">
        <v>8</v>
      </c>
      <c r="AC6480">
        <v>58.193950000000001</v>
      </c>
      <c r="AD6480">
        <v>-1.1237416399919999</v>
      </c>
      <c r="AE6480">
        <v>3.0401999999999898</v>
      </c>
      <c r="AF6480">
        <v>-1.9138954485541899</v>
      </c>
      <c r="AG6480">
        <v>-1.1237416399919999</v>
      </c>
      <c r="AH6480">
        <v>58.220197993516997</v>
      </c>
      <c r="AI6480">
        <v>91.105164757352497</v>
      </c>
      <c r="AJ6480">
        <v>91.882828639388507</v>
      </c>
      <c r="AK6480">
        <v>58.262485747398102</v>
      </c>
      <c r="AL6480">
        <v>78.307681920546003</v>
      </c>
      <c r="AM6480">
        <v>86.236052418647603</v>
      </c>
      <c r="AN6480">
        <v>0.99999997816257102</v>
      </c>
    </row>
    <row r="6481" spans="1:40" x14ac:dyDescent="0.25">
      <c r="A6481" t="str">
        <f>"20190303170704370"</f>
        <v>20190303170704370</v>
      </c>
      <c r="B6481" t="str">
        <f>"1551604024361756"</f>
        <v>1551604024361756</v>
      </c>
      <c r="C6481" t="s">
        <v>40</v>
      </c>
      <c r="D6481">
        <v>5.6022780000000001</v>
      </c>
      <c r="E6481">
        <v>0.46694920000000001</v>
      </c>
      <c r="F6481" t="s">
        <v>41</v>
      </c>
      <c r="G6481">
        <v>-74.657469999999904</v>
      </c>
      <c r="H6481" s="1">
        <v>-2.5967999999999999E-6</v>
      </c>
      <c r="I6481">
        <v>140.8287</v>
      </c>
      <c r="J6481">
        <v>-130.4701</v>
      </c>
      <c r="K6481">
        <v>1.123721</v>
      </c>
      <c r="L6481">
        <v>137.99510000000001</v>
      </c>
      <c r="M6481">
        <v>0.99933609999999995</v>
      </c>
      <c r="N6481">
        <v>-3.050137E-2</v>
      </c>
      <c r="O6481">
        <v>1.9932780000000001E-2</v>
      </c>
      <c r="P6481">
        <v>0.98382910000000001</v>
      </c>
      <c r="Q6481">
        <v>0.17303250000000001</v>
      </c>
      <c r="R6481">
        <v>-4.6261150000000001E-2</v>
      </c>
      <c r="S6481">
        <v>3.066986</v>
      </c>
      <c r="T6481">
        <v>-6.1666850000000002E-2</v>
      </c>
      <c r="U6481">
        <v>0.1556244</v>
      </c>
      <c r="V6481">
        <v>6.5822679999999995E-2</v>
      </c>
      <c r="W6481">
        <v>0.20294180000000001</v>
      </c>
      <c r="X6481">
        <v>0.97697599999999996</v>
      </c>
      <c r="Y6481">
        <v>-3.0735539999999999E-2</v>
      </c>
      <c r="Z6481">
        <v>9.8548610000000008E-4</v>
      </c>
      <c r="AA6481">
        <v>0.99952700000000005</v>
      </c>
      <c r="AB6481">
        <v>8</v>
      </c>
      <c r="AC6481">
        <v>55.812629999999999</v>
      </c>
      <c r="AD6481">
        <v>-1.1237235967999999</v>
      </c>
      <c r="AE6481">
        <v>2.8335999999999899</v>
      </c>
      <c r="AF6481">
        <v>-1.7193227558872599</v>
      </c>
      <c r="AG6481">
        <v>-1.1237235967999999</v>
      </c>
      <c r="AH6481">
        <v>55.8354628097389</v>
      </c>
      <c r="AI6481">
        <v>91.152411660513195</v>
      </c>
      <c r="AJ6481">
        <v>91.763732491075402</v>
      </c>
      <c r="AK6481">
        <v>55.873229123066203</v>
      </c>
      <c r="AL6481">
        <v>78.290960173619197</v>
      </c>
      <c r="AM6481">
        <v>86.145585073633896</v>
      </c>
      <c r="AN6481">
        <v>1.0000000519828001</v>
      </c>
    </row>
    <row r="6482" spans="1:40" x14ac:dyDescent="0.25">
      <c r="A6482" t="str">
        <f>"20190303170704392"</f>
        <v>20190303170704392</v>
      </c>
      <c r="B6482" t="str">
        <f>"1551604024381277"</f>
        <v>1551604024381277</v>
      </c>
      <c r="C6482" t="s">
        <v>40</v>
      </c>
      <c r="D6482">
        <v>5.6338049999999997</v>
      </c>
      <c r="E6482">
        <v>0.46710469999999998</v>
      </c>
      <c r="F6482" t="s">
        <v>41</v>
      </c>
      <c r="G6482">
        <v>-76.207149999999999</v>
      </c>
      <c r="H6482" s="1">
        <v>-1.8915400000000001E-6</v>
      </c>
      <c r="I6482">
        <v>140.67670000000001</v>
      </c>
      <c r="J6482">
        <v>-130.40309999999999</v>
      </c>
      <c r="K6482">
        <v>1.123888</v>
      </c>
      <c r="L6482">
        <v>137.99709999999999</v>
      </c>
      <c r="M6482">
        <v>0.99930300000000005</v>
      </c>
      <c r="N6482">
        <v>-3.1246349999999999E-2</v>
      </c>
      <c r="O6482">
        <v>2.043097E-2</v>
      </c>
      <c r="P6482">
        <v>0.98394219999999999</v>
      </c>
      <c r="Q6482">
        <v>0.1723422</v>
      </c>
      <c r="R6482">
        <v>-4.6435209999999998E-2</v>
      </c>
      <c r="S6482">
        <v>3.067612</v>
      </c>
      <c r="T6482">
        <v>-6.3526630000000001E-2</v>
      </c>
      <c r="U6482">
        <v>0.15159610000000001</v>
      </c>
      <c r="V6482">
        <v>6.6517350000000003E-2</v>
      </c>
      <c r="W6482">
        <v>0.20297299999999999</v>
      </c>
      <c r="X6482">
        <v>0.97692239999999997</v>
      </c>
      <c r="Y6482">
        <v>-2.891728E-2</v>
      </c>
      <c r="Z6482">
        <v>9.6707990000000001E-4</v>
      </c>
      <c r="AA6482">
        <v>0.99958130000000001</v>
      </c>
      <c r="AB6482">
        <v>8</v>
      </c>
      <c r="AC6482">
        <v>54.195950000000003</v>
      </c>
      <c r="AD6482">
        <v>-1.12388989154</v>
      </c>
      <c r="AE6482">
        <v>2.6796000000000202</v>
      </c>
      <c r="AF6482">
        <v>-1.57054974501179</v>
      </c>
      <c r="AG6482">
        <v>-1.12388989154</v>
      </c>
      <c r="AH6482">
        <v>54.216141450559597</v>
      </c>
      <c r="AI6482">
        <v>91.187062268947798</v>
      </c>
      <c r="AJ6482">
        <v>91.659297604622097</v>
      </c>
      <c r="AK6482">
        <v>54.250527635931299</v>
      </c>
      <c r="AL6482">
        <v>78.289133767261504</v>
      </c>
      <c r="AM6482">
        <v>86.104818412817593</v>
      </c>
      <c r="AN6482">
        <v>0.99999998610089103</v>
      </c>
    </row>
    <row r="6483" spans="1:40" x14ac:dyDescent="0.25">
      <c r="A6483" t="str">
        <f>"20190303170704421"</f>
        <v>20190303170704421</v>
      </c>
      <c r="B6483" t="str">
        <f>"1551604024411533"</f>
        <v>1551604024411533</v>
      </c>
      <c r="C6483" t="s">
        <v>40</v>
      </c>
      <c r="D6483">
        <v>5.6377269999999999</v>
      </c>
      <c r="E6483">
        <v>0.46733750000000002</v>
      </c>
      <c r="F6483" t="s">
        <v>41</v>
      </c>
      <c r="G6483">
        <v>-80.376409999999893</v>
      </c>
      <c r="H6483" s="1">
        <v>-4.2925300000000004E-6</v>
      </c>
      <c r="I6483">
        <v>140.4316</v>
      </c>
      <c r="J6483">
        <v>-130.3244</v>
      </c>
      <c r="K6483">
        <v>1.124177</v>
      </c>
      <c r="L6483">
        <v>137.99940000000001</v>
      </c>
      <c r="M6483">
        <v>0.99924500000000005</v>
      </c>
      <c r="N6483">
        <v>-3.2715609999999999E-2</v>
      </c>
      <c r="O6483">
        <v>2.095636E-2</v>
      </c>
      <c r="P6483">
        <v>0.98398549999999996</v>
      </c>
      <c r="Q6483">
        <v>0.1719387</v>
      </c>
      <c r="R6483">
        <v>-4.700899E-2</v>
      </c>
      <c r="S6483">
        <v>3.0680689999999999</v>
      </c>
      <c r="T6483">
        <v>-6.8926810000000005E-2</v>
      </c>
      <c r="U6483">
        <v>0.149307299999999</v>
      </c>
      <c r="V6483">
        <v>6.7643140000000004E-2</v>
      </c>
      <c r="W6483">
        <v>0.20399500000000001</v>
      </c>
      <c r="X6483">
        <v>0.97663219999999995</v>
      </c>
      <c r="Y6483">
        <v>-2.7637869999999998E-2</v>
      </c>
      <c r="Z6483">
        <v>9.7801890000000008E-4</v>
      </c>
      <c r="AA6483">
        <v>0.99961750000000005</v>
      </c>
      <c r="AB6483">
        <v>7</v>
      </c>
      <c r="AC6483">
        <v>49.947989999999997</v>
      </c>
      <c r="AD6483">
        <v>-1.1241812925300001</v>
      </c>
      <c r="AE6483">
        <v>2.4321999999999901</v>
      </c>
      <c r="AF6483">
        <v>-1.38367738287494</v>
      </c>
      <c r="AG6483">
        <v>-1.1241812925300001</v>
      </c>
      <c r="AH6483">
        <v>49.962756993204302</v>
      </c>
      <c r="AI6483">
        <v>91.288465791723098</v>
      </c>
      <c r="AJ6483">
        <v>91.586353921093107</v>
      </c>
      <c r="AK6483">
        <v>49.994554033817899</v>
      </c>
      <c r="AL6483">
        <v>78.2293264156731</v>
      </c>
      <c r="AM6483">
        <v>86.037928303838001</v>
      </c>
      <c r="AN6483">
        <v>1.00000000424544</v>
      </c>
    </row>
    <row r="6484" spans="1:40" x14ac:dyDescent="0.25">
      <c r="A6484" t="str">
        <f>"20190303170704440"</f>
        <v>20190303170704440</v>
      </c>
      <c r="B6484" t="str">
        <f>"1551604024431052"</f>
        <v>1551604024431052</v>
      </c>
      <c r="C6484" t="s">
        <v>40</v>
      </c>
      <c r="D6484">
        <v>5.5517799999999999</v>
      </c>
      <c r="E6484">
        <v>0.46747650000000002</v>
      </c>
      <c r="F6484" t="s">
        <v>41</v>
      </c>
      <c r="G6484">
        <v>-83.807269999999903</v>
      </c>
      <c r="H6484" s="1">
        <v>-2.7995929999999999E-6</v>
      </c>
      <c r="I6484">
        <v>140.22</v>
      </c>
      <c r="J6484">
        <v>-130.27709999999999</v>
      </c>
      <c r="K6484">
        <v>1.1243209999999999</v>
      </c>
      <c r="L6484">
        <v>138.0008</v>
      </c>
      <c r="M6484">
        <v>0.99920909999999996</v>
      </c>
      <c r="N6484">
        <v>-3.3619820000000002E-2</v>
      </c>
      <c r="O6484">
        <v>2.1233229999999999E-2</v>
      </c>
      <c r="P6484">
        <v>0.98388220000000004</v>
      </c>
      <c r="Q6484">
        <v>0.17203650000000001</v>
      </c>
      <c r="R6484">
        <v>-4.8776519999999997E-2</v>
      </c>
      <c r="S6484">
        <v>3.0687869999999999</v>
      </c>
      <c r="T6484">
        <v>-7.4163320000000005E-2</v>
      </c>
      <c r="U6484">
        <v>0.14649960000000001</v>
      </c>
      <c r="V6484">
        <v>6.969641E-2</v>
      </c>
      <c r="W6484">
        <v>0.20496539999999999</v>
      </c>
      <c r="X6484">
        <v>0.97628459999999995</v>
      </c>
      <c r="Y6484">
        <v>-2.643498E-2</v>
      </c>
      <c r="Z6484">
        <v>9.6524429999999997E-4</v>
      </c>
      <c r="AA6484">
        <v>0.99965009999999999</v>
      </c>
      <c r="AB6484">
        <v>6</v>
      </c>
      <c r="AC6484">
        <v>46.469830000000002</v>
      </c>
      <c r="AD6484">
        <v>-1.124323799593</v>
      </c>
      <c r="AE6484">
        <v>2.2191999999999998</v>
      </c>
      <c r="AF6484">
        <v>-1.2307176016256201</v>
      </c>
      <c r="AG6484">
        <v>-1.124323799593</v>
      </c>
      <c r="AH6484">
        <v>46.479342596728898</v>
      </c>
      <c r="AI6484">
        <v>91.385215165156893</v>
      </c>
      <c r="AJ6484">
        <v>91.516769544425898</v>
      </c>
      <c r="AK6484">
        <v>46.509225515432703</v>
      </c>
      <c r="AL6484">
        <v>78.172526544114106</v>
      </c>
      <c r="AM6484">
        <v>85.916613961955903</v>
      </c>
      <c r="AN6484">
        <v>1.0000000124806001</v>
      </c>
    </row>
    <row r="6485" spans="1:40" x14ac:dyDescent="0.25">
      <c r="A6485" t="str">
        <f>"20190303170704465"</f>
        <v>20190303170704465</v>
      </c>
      <c r="B6485" t="str">
        <f>"1551604024451549"</f>
        <v>1551604024451549</v>
      </c>
      <c r="C6485" t="s">
        <v>40</v>
      </c>
      <c r="D6485">
        <v>5.492578</v>
      </c>
      <c r="E6485">
        <v>0.46756819999999999</v>
      </c>
      <c r="F6485" t="s">
        <v>41</v>
      </c>
      <c r="G6485">
        <v>-84.892669999999995</v>
      </c>
      <c r="H6485" s="1">
        <v>-2.296472E-6</v>
      </c>
      <c r="I6485">
        <v>140.07919999999999</v>
      </c>
      <c r="J6485">
        <v>-130.22190000000001</v>
      </c>
      <c r="K6485">
        <v>1.124279</v>
      </c>
      <c r="L6485">
        <v>138.0025</v>
      </c>
      <c r="M6485">
        <v>0.99919219999999997</v>
      </c>
      <c r="N6485">
        <v>-3.3923849999999998E-2</v>
      </c>
      <c r="O6485">
        <v>2.1551190000000001E-2</v>
      </c>
      <c r="P6485">
        <v>0.98389409999999999</v>
      </c>
      <c r="Q6485">
        <v>0.17166120000000001</v>
      </c>
      <c r="R6485">
        <v>-4.984864E-2</v>
      </c>
      <c r="S6485">
        <v>3.0694270000000001</v>
      </c>
      <c r="T6485">
        <v>-7.6039789999999996E-2</v>
      </c>
      <c r="U6485">
        <v>0.14056399999999999</v>
      </c>
      <c r="V6485">
        <v>7.1087629999999999E-2</v>
      </c>
      <c r="W6485">
        <v>0.2048837</v>
      </c>
      <c r="X6485">
        <v>0.9762014</v>
      </c>
      <c r="Y6485">
        <v>-2.417859E-2</v>
      </c>
      <c r="Z6485">
        <v>9.0755160000000003E-4</v>
      </c>
      <c r="AA6485">
        <v>0.99970720000000002</v>
      </c>
      <c r="AB6485">
        <v>6</v>
      </c>
      <c r="AC6485">
        <v>45.329230000000003</v>
      </c>
      <c r="AD6485">
        <v>-1.1242812964719999</v>
      </c>
      <c r="AE6485">
        <v>2.0766999999999798</v>
      </c>
      <c r="AF6485">
        <v>-1.0980817419595501</v>
      </c>
      <c r="AG6485">
        <v>-1.1242812964719999</v>
      </c>
      <c r="AH6485">
        <v>45.335640514324901</v>
      </c>
      <c r="AI6485">
        <v>91.420173987024498</v>
      </c>
      <c r="AJ6485">
        <v>91.387498876584104</v>
      </c>
      <c r="AK6485">
        <v>45.362871302307603</v>
      </c>
      <c r="AL6485">
        <v>78.177308686475698</v>
      </c>
      <c r="AM6485">
        <v>85.835035212040594</v>
      </c>
      <c r="AN6485">
        <v>0.99999997751333303</v>
      </c>
    </row>
    <row r="6486" spans="1:40" x14ac:dyDescent="0.25">
      <c r="A6486" t="str">
        <f>"20190303170704483"</f>
        <v>20190303170704483</v>
      </c>
      <c r="B6486" t="str">
        <f>"1551604024471069"</f>
        <v>1551604024471069</v>
      </c>
      <c r="C6486" t="s">
        <v>40</v>
      </c>
      <c r="D6486">
        <v>5.4154460000000002</v>
      </c>
      <c r="E6486">
        <v>0.46765960000000001</v>
      </c>
      <c r="F6486" t="s">
        <v>41</v>
      </c>
      <c r="G6486">
        <v>-86.802239999999998</v>
      </c>
      <c r="H6486" s="1">
        <v>-1.4387559999999999E-6</v>
      </c>
      <c r="I6486">
        <v>139.93440000000001</v>
      </c>
      <c r="J6486">
        <v>-130.17619999999999</v>
      </c>
      <c r="K6486">
        <v>1.124039</v>
      </c>
      <c r="L6486">
        <v>138.00380000000001</v>
      </c>
      <c r="M6486">
        <v>0.99920710000000001</v>
      </c>
      <c r="N6486">
        <v>-3.3292229999999999E-2</v>
      </c>
      <c r="O6486">
        <v>2.183734E-2</v>
      </c>
      <c r="P6486">
        <v>0.98400520000000002</v>
      </c>
      <c r="Q6486">
        <v>0.1711165</v>
      </c>
      <c r="R6486">
        <v>-4.9530860000000003E-2</v>
      </c>
      <c r="S6486">
        <v>3.0698850000000002</v>
      </c>
      <c r="T6486">
        <v>-7.9489589999999999E-2</v>
      </c>
      <c r="U6486">
        <v>0.13659669999999999</v>
      </c>
      <c r="V6486">
        <v>7.1049769999999998E-2</v>
      </c>
      <c r="W6486">
        <v>0.20372660000000001</v>
      </c>
      <c r="X6486">
        <v>0.97644629999999999</v>
      </c>
      <c r="Y6486">
        <v>-2.259655E-2</v>
      </c>
      <c r="Z6486">
        <v>8.3099289999999902E-4</v>
      </c>
      <c r="AA6486">
        <v>0.99974430000000003</v>
      </c>
      <c r="AB6486">
        <v>5</v>
      </c>
      <c r="AC6486">
        <v>43.373959999999997</v>
      </c>
      <c r="AD6486">
        <v>-1.1240404387559999</v>
      </c>
      <c r="AE6486">
        <v>1.9305999999999901</v>
      </c>
      <c r="AF6486">
        <v>-0.98178383287258897</v>
      </c>
      <c r="AG6486">
        <v>-1.1240404387559999</v>
      </c>
      <c r="AH6486">
        <v>43.376714115217197</v>
      </c>
      <c r="AI6486">
        <v>91.484019374798095</v>
      </c>
      <c r="AJ6486">
        <v>91.296605062614901</v>
      </c>
      <c r="AK6486">
        <v>43.402381200064703</v>
      </c>
      <c r="AL6486">
        <v>78.245034269186505</v>
      </c>
      <c r="AM6486">
        <v>85.838285979027802</v>
      </c>
      <c r="AN6486">
        <v>0.99999998707415105</v>
      </c>
    </row>
    <row r="6487" spans="1:40" x14ac:dyDescent="0.25">
      <c r="A6487" t="str">
        <f>"20190303170704508"</f>
        <v>20190303170704508</v>
      </c>
      <c r="B6487" t="str">
        <f>"1551604024501325"</f>
        <v>1551604024501325</v>
      </c>
      <c r="C6487" t="s">
        <v>40</v>
      </c>
      <c r="D6487">
        <v>5.5911920000000004</v>
      </c>
      <c r="E6487">
        <v>0.4678311</v>
      </c>
      <c r="F6487" t="s">
        <v>41</v>
      </c>
      <c r="G6487">
        <v>-88.628509999999906</v>
      </c>
      <c r="H6487" s="1">
        <v>-6.3202860000000003E-7</v>
      </c>
      <c r="I6487">
        <v>139.84690000000001</v>
      </c>
      <c r="J6487">
        <v>-130.13390000000001</v>
      </c>
      <c r="K6487">
        <v>1.123839</v>
      </c>
      <c r="L6487">
        <v>138.005</v>
      </c>
      <c r="M6487">
        <v>0.99922230000000001</v>
      </c>
      <c r="N6487">
        <v>-3.2650709999999999E-2</v>
      </c>
      <c r="O6487">
        <v>2.2105730000000001E-2</v>
      </c>
      <c r="P6487">
        <v>0.98387100000000005</v>
      </c>
      <c r="Q6487">
        <v>0.1719039</v>
      </c>
      <c r="R6487">
        <v>-4.94683E-2</v>
      </c>
      <c r="S6487">
        <v>3.070084</v>
      </c>
      <c r="T6487">
        <v>-8.3058599999999996E-2</v>
      </c>
      <c r="U6487">
        <v>0.13619999999999999</v>
      </c>
      <c r="V6487">
        <v>7.124519E-2</v>
      </c>
      <c r="W6487">
        <v>0.20388249999999999</v>
      </c>
      <c r="X6487">
        <v>0.97639949999999998</v>
      </c>
      <c r="Y6487">
        <v>-2.219581E-2</v>
      </c>
      <c r="Z6487">
        <v>7.8704399999999998E-4</v>
      </c>
      <c r="AA6487">
        <v>0.99975340000000001</v>
      </c>
      <c r="AB6487">
        <v>5</v>
      </c>
      <c r="AC6487">
        <v>41.505389999999998</v>
      </c>
      <c r="AD6487">
        <v>-1.1238396320285999</v>
      </c>
      <c r="AE6487">
        <v>1.8419000000000001</v>
      </c>
      <c r="AF6487">
        <v>-0.92277778663493504</v>
      </c>
      <c r="AG6487">
        <v>-1.1238396320285999</v>
      </c>
      <c r="AH6487">
        <v>41.505604616753899</v>
      </c>
      <c r="AI6487">
        <v>91.550625334745604</v>
      </c>
      <c r="AJ6487">
        <v>91.2736247176082</v>
      </c>
      <c r="AK6487">
        <v>41.531069682399597</v>
      </c>
      <c r="AL6487">
        <v>78.235910124235602</v>
      </c>
      <c r="AM6487">
        <v>85.826680392879695</v>
      </c>
      <c r="AN6487">
        <v>0.99999996725231699</v>
      </c>
    </row>
    <row r="6488" spans="1:40" x14ac:dyDescent="0.25">
      <c r="A6488" t="str">
        <f>"20190303170704525"</f>
        <v>20190303170704525</v>
      </c>
      <c r="B6488" t="str">
        <f>"1551604024511084"</f>
        <v>1551604024511084</v>
      </c>
      <c r="C6488" t="s">
        <v>40</v>
      </c>
      <c r="D6488">
        <v>5.5299639999999997</v>
      </c>
      <c r="E6488">
        <v>0.46788109999999999</v>
      </c>
      <c r="F6488" t="s">
        <v>41</v>
      </c>
      <c r="G6488">
        <v>-88.460629999999995</v>
      </c>
      <c r="H6488" s="1">
        <v>-7.0117189999999998E-7</v>
      </c>
      <c r="I6488">
        <v>139.83609999999999</v>
      </c>
      <c r="J6488">
        <v>-130.08959999999999</v>
      </c>
      <c r="K6488">
        <v>1.123775</v>
      </c>
      <c r="L6488">
        <v>138.00630000000001</v>
      </c>
      <c r="M6488">
        <v>0.99922500000000003</v>
      </c>
      <c r="N6488">
        <v>-3.2381239999999999E-2</v>
      </c>
      <c r="O6488">
        <v>2.2380199999999999E-2</v>
      </c>
      <c r="P6488">
        <v>0.98358820000000002</v>
      </c>
      <c r="Q6488">
        <v>0.1735845</v>
      </c>
      <c r="R6488">
        <v>-4.9218749999999999E-2</v>
      </c>
      <c r="S6488">
        <v>3.0704349999999998</v>
      </c>
      <c r="T6488">
        <v>-8.2803130000000003E-2</v>
      </c>
      <c r="U6488">
        <v>0.13491819999999999</v>
      </c>
      <c r="V6488">
        <v>7.1261089999999999E-2</v>
      </c>
      <c r="W6488">
        <v>0.20528930000000001</v>
      </c>
      <c r="X6488">
        <v>0.97610350000000001</v>
      </c>
      <c r="Y6488">
        <v>-2.1500490000000001E-2</v>
      </c>
      <c r="Z6488">
        <v>7.598902E-4</v>
      </c>
      <c r="AA6488">
        <v>0.99976860000000001</v>
      </c>
      <c r="AB6488">
        <v>5</v>
      </c>
      <c r="AC6488">
        <v>41.628969999999903</v>
      </c>
      <c r="AD6488">
        <v>-1.1237757011718901</v>
      </c>
      <c r="AE6488">
        <v>1.8297999999999699</v>
      </c>
      <c r="AF6488">
        <v>-0.89653564176878697</v>
      </c>
      <c r="AG6488">
        <v>-1.1237757011718901</v>
      </c>
      <c r="AH6488">
        <v>41.629227045227999</v>
      </c>
      <c r="AI6488">
        <v>91.545958459047696</v>
      </c>
      <c r="AJ6488">
        <v>91.233743038796206</v>
      </c>
      <c r="AK6488">
        <v>41.654041729064602</v>
      </c>
      <c r="AL6488">
        <v>78.153564377614401</v>
      </c>
      <c r="AM6488">
        <v>85.824490962867699</v>
      </c>
      <c r="AN6488">
        <v>0.99999994117736202</v>
      </c>
    </row>
    <row r="6489" spans="1:40" x14ac:dyDescent="0.25">
      <c r="A6489" t="str">
        <f>"20190303170704549"</f>
        <v>20190303170704549</v>
      </c>
      <c r="B6489" t="str">
        <f>"1551604024541341"</f>
        <v>1551604024541341</v>
      </c>
      <c r="C6489" t="s">
        <v>40</v>
      </c>
      <c r="D6489">
        <v>5.4378159999999998</v>
      </c>
      <c r="E6489">
        <v>0.46805580000000002</v>
      </c>
      <c r="F6489" t="s">
        <v>41</v>
      </c>
      <c r="G6489">
        <v>-85.793999999999997</v>
      </c>
      <c r="H6489" s="1">
        <v>-1.8802170000000001E-6</v>
      </c>
      <c r="I6489">
        <v>139.96799999999999</v>
      </c>
      <c r="J6489">
        <v>-130.04920000000001</v>
      </c>
      <c r="K6489">
        <v>1.123796</v>
      </c>
      <c r="L6489">
        <v>138.00749999999999</v>
      </c>
      <c r="M6489">
        <v>0.99921919999999997</v>
      </c>
      <c r="N6489">
        <v>-3.2391540000000003E-2</v>
      </c>
      <c r="O6489">
        <v>2.262488E-2</v>
      </c>
      <c r="P6489">
        <v>0.98341330000000005</v>
      </c>
      <c r="Q6489">
        <v>0.17449899999999999</v>
      </c>
      <c r="R6489">
        <v>-4.9481740000000003E-2</v>
      </c>
      <c r="S6489">
        <v>3.0706180000000001</v>
      </c>
      <c r="T6489">
        <v>-7.7901239999999997E-2</v>
      </c>
      <c r="U6489">
        <v>0.13598629999999901</v>
      </c>
      <c r="V6489">
        <v>7.176594E-2</v>
      </c>
      <c r="W6489">
        <v>0.20620530000000001</v>
      </c>
      <c r="X6489">
        <v>0.97587349999999995</v>
      </c>
      <c r="Y6489">
        <v>-2.1601760000000001E-2</v>
      </c>
      <c r="Z6489">
        <v>7.8343819999999998E-4</v>
      </c>
      <c r="AA6489">
        <v>0.9997663</v>
      </c>
      <c r="AB6489">
        <v>4</v>
      </c>
      <c r="AC6489">
        <v>44.255200000000002</v>
      </c>
      <c r="AD6489">
        <v>-1.1237978802169999</v>
      </c>
      <c r="AE6489">
        <v>1.9604999999999899</v>
      </c>
      <c r="AF6489">
        <v>-0.95758713705435405</v>
      </c>
      <c r="AG6489">
        <v>-1.1237978802169999</v>
      </c>
      <c r="AH6489">
        <v>44.2597549367566</v>
      </c>
      <c r="AI6489">
        <v>91.454142450384097</v>
      </c>
      <c r="AJ6489">
        <v>91.239436211831503</v>
      </c>
      <c r="AK6489">
        <v>44.284374240383897</v>
      </c>
      <c r="AL6489">
        <v>78.099935121055594</v>
      </c>
      <c r="AM6489">
        <v>85.794027756493605</v>
      </c>
      <c r="AN6489">
        <v>1.00000003194721</v>
      </c>
    </row>
    <row r="6490" spans="1:40" x14ac:dyDescent="0.25">
      <c r="A6490" t="str">
        <f>"20190303170704570"</f>
        <v>20190303170704570</v>
      </c>
      <c r="B6490" t="str">
        <f>"1551604024560861"</f>
        <v>1551604024560861</v>
      </c>
      <c r="C6490" t="s">
        <v>40</v>
      </c>
      <c r="D6490">
        <v>5.3317540000000001</v>
      </c>
      <c r="E6490">
        <v>0.46815560000000001</v>
      </c>
      <c r="F6490" t="s">
        <v>41</v>
      </c>
      <c r="G6490">
        <v>-84.911829999999995</v>
      </c>
      <c r="H6490" s="1">
        <v>-2.2626979999999999E-6</v>
      </c>
      <c r="I6490">
        <v>139.98310000000001</v>
      </c>
      <c r="J6490">
        <v>-130.01419999999999</v>
      </c>
      <c r="K6490">
        <v>1.123786</v>
      </c>
      <c r="L6490">
        <v>138.0085</v>
      </c>
      <c r="M6490">
        <v>0.9992162</v>
      </c>
      <c r="N6490">
        <v>-3.234136E-2</v>
      </c>
      <c r="O6490">
        <v>2.2824250000000001E-2</v>
      </c>
      <c r="P6490">
        <v>0.9832805</v>
      </c>
      <c r="Q6490">
        <v>0.17522170000000001</v>
      </c>
      <c r="R6490">
        <v>-4.956518E-2</v>
      </c>
      <c r="S6490">
        <v>3.0709230000000001</v>
      </c>
      <c r="T6490">
        <v>-7.6457620000000004E-2</v>
      </c>
      <c r="U6490">
        <v>0.1344147</v>
      </c>
      <c r="V6490">
        <v>7.2047070000000005E-2</v>
      </c>
      <c r="W6490">
        <v>0.20687150000000001</v>
      </c>
      <c r="X6490">
        <v>0.97571180000000002</v>
      </c>
      <c r="Y6490">
        <v>-2.0888259999999999E-2</v>
      </c>
      <c r="Z6490">
        <v>7.6840149999999902E-4</v>
      </c>
      <c r="AA6490">
        <v>0.99978149999999999</v>
      </c>
      <c r="AB6490">
        <v>4</v>
      </c>
      <c r="AC6490">
        <v>45.102369999999901</v>
      </c>
      <c r="AD6490">
        <v>-1.123788262698</v>
      </c>
      <c r="AE6490">
        <v>1.9745999999999999</v>
      </c>
      <c r="AF6490">
        <v>-0.94353381154485005</v>
      </c>
      <c r="AG6490">
        <v>-1.123788262698</v>
      </c>
      <c r="AH6490">
        <v>45.107750046885698</v>
      </c>
      <c r="AI6490">
        <v>91.426826547907396</v>
      </c>
      <c r="AJ6490">
        <v>91.198300132273502</v>
      </c>
      <c r="AK6490">
        <v>45.131610545217796</v>
      </c>
      <c r="AL6490">
        <v>78.060923830805393</v>
      </c>
      <c r="AM6490">
        <v>85.776913874569701</v>
      </c>
      <c r="AN6490">
        <v>1.0000000572335299</v>
      </c>
    </row>
    <row r="6491" spans="1:40" x14ac:dyDescent="0.25">
      <c r="A6491" t="str">
        <f>"20190303170704593"</f>
        <v>20190303170704593</v>
      </c>
      <c r="B6491" t="str">
        <f>"1551604024581357"</f>
        <v>1551604024581357</v>
      </c>
      <c r="C6491" t="s">
        <v>40</v>
      </c>
      <c r="D6491">
        <v>5.2873419999999998</v>
      </c>
      <c r="E6491">
        <v>0.46826580000000001</v>
      </c>
      <c r="F6491" t="s">
        <v>41</v>
      </c>
      <c r="G6491">
        <v>-84.090429999999998</v>
      </c>
      <c r="H6491" s="1">
        <v>-2.6217930000000001E-6</v>
      </c>
      <c r="I6491">
        <v>140.00839999999999</v>
      </c>
      <c r="J6491">
        <v>-129.9812</v>
      </c>
      <c r="K6491">
        <v>1.123734</v>
      </c>
      <c r="L6491">
        <v>138.0094</v>
      </c>
      <c r="M6491">
        <v>0.99922010000000006</v>
      </c>
      <c r="N6491">
        <v>-3.2102659999999998E-2</v>
      </c>
      <c r="O6491">
        <v>2.2988399999999999E-2</v>
      </c>
      <c r="P6491">
        <v>0.98346560000000005</v>
      </c>
      <c r="Q6491">
        <v>0.17413049999999999</v>
      </c>
      <c r="R6491">
        <v>-4.973793E-2</v>
      </c>
      <c r="S6491">
        <v>3.0711210000000002</v>
      </c>
      <c r="T6491">
        <v>-7.515252E-2</v>
      </c>
      <c r="U6491">
        <v>0.13374330000000001</v>
      </c>
      <c r="V6491">
        <v>7.238783E-2</v>
      </c>
      <c r="W6491">
        <v>0.2055525</v>
      </c>
      <c r="X6491">
        <v>0.97596530000000004</v>
      </c>
      <c r="Y6491">
        <v>-2.050395E-2</v>
      </c>
      <c r="Z6491">
        <v>7.5610809999999897E-4</v>
      </c>
      <c r="AA6491">
        <v>0.9997895</v>
      </c>
      <c r="AB6491">
        <v>4</v>
      </c>
      <c r="AC6491">
        <v>45.890770000000003</v>
      </c>
      <c r="AD6491">
        <v>-1.123736621793</v>
      </c>
      <c r="AE6491">
        <v>1.9989999999999899</v>
      </c>
      <c r="AF6491">
        <v>-0.94240768124295704</v>
      </c>
      <c r="AG6491">
        <v>-1.123736621793</v>
      </c>
      <c r="AH6491">
        <v>45.897138662866602</v>
      </c>
      <c r="AI6491">
        <v>91.402243072231201</v>
      </c>
      <c r="AJ6491">
        <v>91.176291112492805</v>
      </c>
      <c r="AK6491">
        <v>45.920564605318397</v>
      </c>
      <c r="AL6491">
        <v>78.138156793222194</v>
      </c>
      <c r="AM6491">
        <v>85.758110840471304</v>
      </c>
      <c r="AN6491">
        <v>1.0000000474962201</v>
      </c>
    </row>
    <row r="6492" spans="1:40" x14ac:dyDescent="0.25">
      <c r="A6492" t="str">
        <f>"20190303170704616"</f>
        <v>20190303170704616</v>
      </c>
      <c r="B6492" t="str">
        <f>"1551604024611613"</f>
        <v>1551604024611613</v>
      </c>
      <c r="C6492" t="s">
        <v>40</v>
      </c>
      <c r="D6492">
        <v>5.3140660000000004</v>
      </c>
      <c r="E6492">
        <v>0.46846310000000002</v>
      </c>
      <c r="F6492" t="s">
        <v>41</v>
      </c>
      <c r="G6492">
        <v>-86.303309999999996</v>
      </c>
      <c r="H6492" s="1">
        <v>-1.6419739999999901E-6</v>
      </c>
      <c r="I6492">
        <v>139.8937</v>
      </c>
      <c r="J6492">
        <v>-129.94890000000001</v>
      </c>
      <c r="K6492">
        <v>1.123661</v>
      </c>
      <c r="L6492">
        <v>138.0103</v>
      </c>
      <c r="M6492">
        <v>0.99922789999999995</v>
      </c>
      <c r="N6492">
        <v>-3.1763479999999997E-2</v>
      </c>
      <c r="O6492">
        <v>2.3121989999999999E-2</v>
      </c>
      <c r="P6492">
        <v>0.98332969999999997</v>
      </c>
      <c r="Q6492">
        <v>0.17449679999999901</v>
      </c>
      <c r="R6492">
        <v>-5.1123870000000002E-2</v>
      </c>
      <c r="S6492">
        <v>3.0711210000000002</v>
      </c>
      <c r="T6492">
        <v>-7.9013109999999998E-2</v>
      </c>
      <c r="U6492">
        <v>0.1324921</v>
      </c>
      <c r="V6492">
        <v>7.3904220000000007E-2</v>
      </c>
      <c r="W6492">
        <v>0.20558000000000001</v>
      </c>
      <c r="X6492">
        <v>0.97584579999999999</v>
      </c>
      <c r="Y6492">
        <v>-1.9963149999999999E-2</v>
      </c>
      <c r="Z6492">
        <v>7.1409570000000001E-4</v>
      </c>
      <c r="AA6492">
        <v>0.99980040000000003</v>
      </c>
      <c r="AB6492">
        <v>3</v>
      </c>
      <c r="AC6492">
        <v>43.645589999999999</v>
      </c>
      <c r="AD6492">
        <v>-1.1236626419739999</v>
      </c>
      <c r="AE6492">
        <v>1.88339999999999</v>
      </c>
      <c r="AF6492">
        <v>-0.87263624911605897</v>
      </c>
      <c r="AG6492">
        <v>-1.1236626419739999</v>
      </c>
      <c r="AH6492">
        <v>43.648602455094498</v>
      </c>
      <c r="AI6492">
        <v>91.4743669398067</v>
      </c>
      <c r="AJ6492">
        <v>91.145322223105296</v>
      </c>
      <c r="AK6492">
        <v>43.671782743999799</v>
      </c>
      <c r="AL6492">
        <v>78.136546175845297</v>
      </c>
      <c r="AM6492">
        <v>85.669057463952498</v>
      </c>
      <c r="AN6492">
        <v>0.99999999775572401</v>
      </c>
    </row>
    <row r="6493" spans="1:40" x14ac:dyDescent="0.25">
      <c r="A6493" t="str">
        <f>"20190303170704638"</f>
        <v>20190303170704638</v>
      </c>
      <c r="B6493" t="str">
        <f>"1551604024631132"</f>
        <v>1551604024631132</v>
      </c>
      <c r="C6493" t="s">
        <v>40</v>
      </c>
      <c r="D6493">
        <v>5.2555670000000001</v>
      </c>
      <c r="E6493">
        <v>0.4686034</v>
      </c>
      <c r="F6493" t="s">
        <v>41</v>
      </c>
      <c r="G6493">
        <v>-85.664640000000006</v>
      </c>
      <c r="H6493" s="1">
        <v>-1.9040999999999999E-6</v>
      </c>
      <c r="I6493">
        <v>139.8492</v>
      </c>
      <c r="J6493">
        <v>-129.92349999999999</v>
      </c>
      <c r="K6493">
        <v>1.1236219999999999</v>
      </c>
      <c r="L6493">
        <v>138.011</v>
      </c>
      <c r="M6493">
        <v>0.99923419999999996</v>
      </c>
      <c r="N6493">
        <v>-3.1505320000000003E-2</v>
      </c>
      <c r="O6493">
        <v>2.3211209999999999E-2</v>
      </c>
      <c r="P6493">
        <v>0.9829677</v>
      </c>
      <c r="Q6493">
        <v>0.17559930000000001</v>
      </c>
      <c r="R6493">
        <v>-5.422271E-2</v>
      </c>
      <c r="S6493">
        <v>3.071304</v>
      </c>
      <c r="T6493">
        <v>-7.7930689999999997E-2</v>
      </c>
      <c r="U6493">
        <v>0.12753299999999901</v>
      </c>
      <c r="V6493">
        <v>7.70845E-2</v>
      </c>
      <c r="W6493">
        <v>0.2064143</v>
      </c>
      <c r="X6493">
        <v>0.97542359999999995</v>
      </c>
      <c r="Y6493">
        <v>-1.8261630000000001E-2</v>
      </c>
      <c r="Z6493">
        <v>6.6232589999999896E-4</v>
      </c>
      <c r="AA6493">
        <v>0.99983299999999997</v>
      </c>
      <c r="AB6493">
        <v>3</v>
      </c>
      <c r="AC6493">
        <v>44.258859999999899</v>
      </c>
      <c r="AD6493">
        <v>-1.12362390409999</v>
      </c>
      <c r="AE6493">
        <v>1.8382000000000001</v>
      </c>
      <c r="AF6493">
        <v>-0.80937175750400703</v>
      </c>
      <c r="AG6493">
        <v>-1.12362390409999</v>
      </c>
      <c r="AH6493">
        <v>44.261133725388</v>
      </c>
      <c r="AI6493">
        <v>91.453969280507906</v>
      </c>
      <c r="AJ6493">
        <v>91.047610261385998</v>
      </c>
      <c r="AK6493">
        <v>44.282790923522299</v>
      </c>
      <c r="AL6493">
        <v>78.087697136276304</v>
      </c>
      <c r="AM6493">
        <v>85.481494839090303</v>
      </c>
      <c r="AN6493">
        <v>1.0000000414108401</v>
      </c>
    </row>
    <row r="6494" spans="1:40" x14ac:dyDescent="0.25">
      <c r="A6494" t="str">
        <f>"20190303170704662"</f>
        <v>20190303170704662</v>
      </c>
      <c r="B6494" t="str">
        <f>"1551604024651628"</f>
        <v>1551604024651628</v>
      </c>
      <c r="C6494" t="s">
        <v>40</v>
      </c>
      <c r="D6494">
        <v>5.288322</v>
      </c>
      <c r="E6494">
        <v>0.4687499</v>
      </c>
      <c r="F6494" t="s">
        <v>41</v>
      </c>
      <c r="G6494">
        <v>-83.02373</v>
      </c>
      <c r="H6494" s="1">
        <v>-3.0287349999999998E-6</v>
      </c>
      <c r="I6494">
        <v>139.81790000000001</v>
      </c>
      <c r="J6494">
        <v>-129.8982</v>
      </c>
      <c r="K6494">
        <v>1.123599</v>
      </c>
      <c r="L6494">
        <v>138.01169999999999</v>
      </c>
      <c r="M6494">
        <v>0.99924020000000002</v>
      </c>
      <c r="N6494">
        <v>-3.1254820000000003E-2</v>
      </c>
      <c r="O6494">
        <v>2.3285730000000001E-2</v>
      </c>
      <c r="P6494">
        <v>0.98284380000000005</v>
      </c>
      <c r="Q6494">
        <v>0.175432</v>
      </c>
      <c r="R6494">
        <v>-5.6939789999999997E-2</v>
      </c>
      <c r="S6494">
        <v>3.0716709999999998</v>
      </c>
      <c r="T6494">
        <v>-7.3591110000000001E-2</v>
      </c>
      <c r="U6494">
        <v>0.1183472</v>
      </c>
      <c r="V6494">
        <v>7.987379E-2</v>
      </c>
      <c r="W6494">
        <v>0.20599529999999999</v>
      </c>
      <c r="X6494">
        <v>0.97528769999999998</v>
      </c>
      <c r="Y6494">
        <v>-1.520032E-2</v>
      </c>
      <c r="Z6494">
        <v>5.901271E-4</v>
      </c>
      <c r="AA6494">
        <v>0.99988429999999995</v>
      </c>
      <c r="AB6494">
        <v>3</v>
      </c>
      <c r="AC6494">
        <v>46.874470000000002</v>
      </c>
      <c r="AD6494">
        <v>-1.1236020287349999</v>
      </c>
      <c r="AE6494">
        <v>1.80620000000001</v>
      </c>
      <c r="AF6494">
        <v>-0.71326081814582598</v>
      </c>
      <c r="AG6494">
        <v>-1.1236020287349999</v>
      </c>
      <c r="AH6494">
        <v>46.876932104177101</v>
      </c>
      <c r="AI6494">
        <v>91.372911580460794</v>
      </c>
      <c r="AJ6494">
        <v>90.8717226025543</v>
      </c>
      <c r="AK6494">
        <v>46.895820560187602</v>
      </c>
      <c r="AL6494">
        <v>78.112230737435695</v>
      </c>
      <c r="AM6494">
        <v>85.318058130228493</v>
      </c>
      <c r="AN6494">
        <v>0.99999999186117206</v>
      </c>
    </row>
    <row r="6495" spans="1:40" x14ac:dyDescent="0.25">
      <c r="A6495" t="str">
        <f>"20190303170704682"</f>
        <v>20190303170704682</v>
      </c>
      <c r="B6495" t="str">
        <f>"1551604024671657"</f>
        <v>1551604024671657</v>
      </c>
      <c r="C6495" t="s">
        <v>40</v>
      </c>
      <c r="D6495">
        <v>5.1902780000000002</v>
      </c>
      <c r="E6495">
        <v>0.46886430000000001</v>
      </c>
      <c r="F6495" t="s">
        <v>41</v>
      </c>
      <c r="G6495">
        <v>-82.811449999999994</v>
      </c>
      <c r="H6495" s="1">
        <v>-3.0879539999999999E-6</v>
      </c>
      <c r="I6495">
        <v>139.69820000000001</v>
      </c>
      <c r="J6495">
        <v>-129.88079999999999</v>
      </c>
      <c r="K6495">
        <v>1.12358</v>
      </c>
      <c r="L6495">
        <v>138.0121</v>
      </c>
      <c r="M6495">
        <v>0.99924599999999997</v>
      </c>
      <c r="N6495">
        <v>-3.1043189999999998E-2</v>
      </c>
      <c r="O6495">
        <v>2.3324250000000001E-2</v>
      </c>
      <c r="P6495">
        <v>0.98294990000000004</v>
      </c>
      <c r="Q6495">
        <v>0.17433850000000001</v>
      </c>
      <c r="R6495">
        <v>-5.8446489999999997E-2</v>
      </c>
      <c r="S6495">
        <v>3.0718230000000002</v>
      </c>
      <c r="T6495">
        <v>-7.3300959999999998E-2</v>
      </c>
      <c r="U6495">
        <v>0.11003110000000001</v>
      </c>
      <c r="V6495">
        <v>8.1419610000000003E-2</v>
      </c>
      <c r="W6495">
        <v>0.20469699999999999</v>
      </c>
      <c r="X6495">
        <v>0.9754332</v>
      </c>
      <c r="Y6495">
        <v>-1.245869E-2</v>
      </c>
      <c r="Z6495">
        <v>5.1006819999999998E-4</v>
      </c>
      <c r="AA6495">
        <v>0.99992230000000004</v>
      </c>
      <c r="AB6495">
        <v>3</v>
      </c>
      <c r="AC6495">
        <v>47.06935</v>
      </c>
      <c r="AD6495">
        <v>-1.1235830879539901</v>
      </c>
      <c r="AE6495">
        <v>1.6861000000000099</v>
      </c>
      <c r="AF6495">
        <v>-0.58692033813056499</v>
      </c>
      <c r="AG6495">
        <v>-1.1235830879539901</v>
      </c>
      <c r="AH6495">
        <v>47.069092225245903</v>
      </c>
      <c r="AI6495">
        <v>91.367337693418506</v>
      </c>
      <c r="AJ6495">
        <v>90.714403316045306</v>
      </c>
      <c r="AK6495">
        <v>47.0861588723008</v>
      </c>
      <c r="AL6495">
        <v>78.188237358320393</v>
      </c>
      <c r="AM6495">
        <v>85.228570264083004</v>
      </c>
      <c r="AN6495">
        <v>0.99999997118189499</v>
      </c>
    </row>
    <row r="6496" spans="1:40" x14ac:dyDescent="0.25">
      <c r="A6496" t="str">
        <f>"20190303170704704"</f>
        <v>20190303170704704</v>
      </c>
      <c r="B6496" t="str">
        <f>"1551604024691178"</f>
        <v>1551604024691178</v>
      </c>
      <c r="C6496" t="s">
        <v>40</v>
      </c>
      <c r="D6496">
        <v>5.1547619999999998</v>
      </c>
      <c r="E6496">
        <v>0.46893449999999998</v>
      </c>
      <c r="F6496" t="s">
        <v>41</v>
      </c>
      <c r="G6496">
        <v>-84.374650000000003</v>
      </c>
      <c r="H6496" s="1">
        <v>-2.405604E-6</v>
      </c>
      <c r="I6496">
        <v>139.5598</v>
      </c>
      <c r="J6496">
        <v>-129.8639</v>
      </c>
      <c r="K6496">
        <v>1.123553</v>
      </c>
      <c r="L6496">
        <v>138.01249999999999</v>
      </c>
      <c r="M6496">
        <v>0.99925330000000001</v>
      </c>
      <c r="N6496">
        <v>-3.078548E-2</v>
      </c>
      <c r="O6496">
        <v>2.335307E-2</v>
      </c>
      <c r="P6496">
        <v>0.98316049999999999</v>
      </c>
      <c r="Q6496">
        <v>0.172904</v>
      </c>
      <c r="R6496">
        <v>-5.9159419999999997E-2</v>
      </c>
      <c r="S6496">
        <v>3.071701</v>
      </c>
      <c r="T6496">
        <v>-7.5842619999999999E-2</v>
      </c>
      <c r="U6496">
        <v>0.1044769</v>
      </c>
      <c r="V6496">
        <v>8.2162079999999998E-2</v>
      </c>
      <c r="W6496">
        <v>0.2030188</v>
      </c>
      <c r="X6496">
        <v>0.97572170000000003</v>
      </c>
      <c r="Y6496">
        <v>-1.062631E-2</v>
      </c>
      <c r="Z6496">
        <v>4.376297E-4</v>
      </c>
      <c r="AA6496">
        <v>0.99994340000000004</v>
      </c>
      <c r="AB6496">
        <v>2</v>
      </c>
      <c r="AC6496">
        <v>45.489249999999998</v>
      </c>
      <c r="AD6496">
        <v>-1.123555405604</v>
      </c>
      <c r="AE6496">
        <v>1.5472999999999999</v>
      </c>
      <c r="AF6496">
        <v>-0.483765579653891</v>
      </c>
      <c r="AG6496">
        <v>-1.123555405604</v>
      </c>
      <c r="AH6496">
        <v>45.485267131729003</v>
      </c>
      <c r="AI6496">
        <v>91.414925317256305</v>
      </c>
      <c r="AJ6496">
        <v>90.609355131670597</v>
      </c>
      <c r="AK6496">
        <v>45.501713505430402</v>
      </c>
      <c r="AL6496">
        <v>78.286454441853905</v>
      </c>
      <c r="AM6496">
        <v>85.186679883101803</v>
      </c>
      <c r="AN6496">
        <v>1.0000000381971199</v>
      </c>
    </row>
    <row r="6497" spans="1:40" x14ac:dyDescent="0.25">
      <c r="A6497" t="str">
        <f>"20190303170704727"</f>
        <v>20190303170704727</v>
      </c>
      <c r="B6497" t="str">
        <f>"1551604024721434"</f>
        <v>1551604024721434</v>
      </c>
      <c r="C6497" t="s">
        <v>40</v>
      </c>
      <c r="D6497">
        <v>5.1030290000000003</v>
      </c>
      <c r="E6497">
        <v>0.46904269999999998</v>
      </c>
      <c r="F6497" t="s">
        <v>41</v>
      </c>
      <c r="G6497">
        <v>-86.425209999999893</v>
      </c>
      <c r="H6497" s="1">
        <v>-1.5448480000000001E-6</v>
      </c>
      <c r="I6497">
        <v>139.45310000000001</v>
      </c>
      <c r="J6497">
        <v>-129.84989999999999</v>
      </c>
      <c r="K6497">
        <v>1.123524</v>
      </c>
      <c r="L6497">
        <v>138.0128</v>
      </c>
      <c r="M6497">
        <v>0.99926219999999999</v>
      </c>
      <c r="N6497">
        <v>-3.0475760000000001E-2</v>
      </c>
      <c r="O6497">
        <v>2.3375119999999999E-2</v>
      </c>
      <c r="P6497">
        <v>0.98298280000000005</v>
      </c>
      <c r="Q6497">
        <v>0.17360059999999999</v>
      </c>
      <c r="R6497">
        <v>-6.0066069999999999E-2</v>
      </c>
      <c r="S6497">
        <v>3.0714869999999999</v>
      </c>
      <c r="T6497">
        <v>-7.9444769999999998E-2</v>
      </c>
      <c r="U6497">
        <v>0.10186770000000001</v>
      </c>
      <c r="V6497">
        <v>8.3081279999999993E-2</v>
      </c>
      <c r="W6497">
        <v>0.20340820000000001</v>
      </c>
      <c r="X6497">
        <v>0.9755627</v>
      </c>
      <c r="Y6497">
        <v>-9.7583059999999996E-3</v>
      </c>
      <c r="Z6497">
        <v>3.8321740000000001E-4</v>
      </c>
      <c r="AA6497">
        <v>0.99995230000000002</v>
      </c>
      <c r="AB6497">
        <v>2</v>
      </c>
      <c r="AC6497">
        <v>43.424689999999998</v>
      </c>
      <c r="AD6497">
        <v>-1.1235255448479999</v>
      </c>
      <c r="AE6497">
        <v>1.4402999999999999</v>
      </c>
      <c r="AF6497">
        <v>-0.42409352297015002</v>
      </c>
      <c r="AG6497">
        <v>-1.1235255448479999</v>
      </c>
      <c r="AH6497">
        <v>43.417464470396503</v>
      </c>
      <c r="AI6497">
        <v>91.482256989613205</v>
      </c>
      <c r="AJ6497">
        <v>90.559636462952398</v>
      </c>
      <c r="AK6497">
        <v>43.434069415659103</v>
      </c>
      <c r="AL6497">
        <v>78.263667420458901</v>
      </c>
      <c r="AM6497">
        <v>85.1322980035482</v>
      </c>
      <c r="AN6497">
        <v>0.99999998827248404</v>
      </c>
    </row>
    <row r="6498" spans="1:40" x14ac:dyDescent="0.25">
      <c r="A6498" t="str">
        <f>"20190303170704748"</f>
        <v>20190303170704748</v>
      </c>
      <c r="B6498" t="str">
        <f>"1551604024740955"</f>
        <v>1551604024740955</v>
      </c>
      <c r="C6498" t="s">
        <v>40</v>
      </c>
      <c r="D6498">
        <v>5.0917770000000004</v>
      </c>
      <c r="E6498">
        <v>0.46915109999999899</v>
      </c>
      <c r="F6498" t="s">
        <v>41</v>
      </c>
      <c r="G6498">
        <v>-84.211830000000006</v>
      </c>
      <c r="H6498" s="1">
        <v>-2.4880460000000001E-6</v>
      </c>
      <c r="I6498">
        <v>139.4888</v>
      </c>
      <c r="J6498">
        <v>-129.839</v>
      </c>
      <c r="K6498">
        <v>1.1234820000000001</v>
      </c>
      <c r="L6498">
        <v>138.01300000000001</v>
      </c>
      <c r="M6498">
        <v>0.99927350000000004</v>
      </c>
      <c r="N6498">
        <v>-3.0083080000000002E-2</v>
      </c>
      <c r="O6498">
        <v>2.339668E-2</v>
      </c>
      <c r="P6498">
        <v>0.9828131</v>
      </c>
      <c r="Q6498">
        <v>0.1743111</v>
      </c>
      <c r="R6498">
        <v>-6.0780340000000002E-2</v>
      </c>
      <c r="S6498">
        <v>3.0713499999999998</v>
      </c>
      <c r="T6498">
        <v>-7.5610999999999998E-2</v>
      </c>
      <c r="U6498">
        <v>9.9334720000000001E-2</v>
      </c>
      <c r="V6498">
        <v>8.3806749999999999E-2</v>
      </c>
      <c r="W6498">
        <v>0.20373169999999999</v>
      </c>
      <c r="X6498">
        <v>0.9754332</v>
      </c>
      <c r="Y6498">
        <v>-8.9159129999999993E-3</v>
      </c>
      <c r="Z6498">
        <v>3.7222749999999999E-4</v>
      </c>
      <c r="AA6498">
        <v>0.99996019999999997</v>
      </c>
      <c r="AB6498">
        <v>1</v>
      </c>
      <c r="AC6498">
        <v>45.6271699999999</v>
      </c>
      <c r="AD6498">
        <v>-1.12348448804599</v>
      </c>
      <c r="AE6498">
        <v>1.47579999999999</v>
      </c>
      <c r="AF6498">
        <v>-0.40714134249218498</v>
      </c>
      <c r="AG6498">
        <v>-1.12348448804599</v>
      </c>
      <c r="AH6498">
        <v>45.621581741332101</v>
      </c>
      <c r="AI6498">
        <v>91.410633906177694</v>
      </c>
      <c r="AJ6498">
        <v>90.511311980779993</v>
      </c>
      <c r="AK6498">
        <v>45.637229342376699</v>
      </c>
      <c r="AL6498">
        <v>78.244736578666803</v>
      </c>
      <c r="AM6498">
        <v>85.089351207783807</v>
      </c>
      <c r="AN6498">
        <v>1.0000000522963399</v>
      </c>
    </row>
    <row r="6499" spans="1:40" x14ac:dyDescent="0.25">
      <c r="A6499" t="str">
        <f>"20190303170704771"</f>
        <v>20190303170704771</v>
      </c>
      <c r="B6499" t="str">
        <f>"1551604024760980"</f>
        <v>1551604024760980</v>
      </c>
      <c r="C6499" t="s">
        <v>40</v>
      </c>
      <c r="D6499">
        <v>5.1700720000000002</v>
      </c>
      <c r="E6499">
        <v>0.46924369999999999</v>
      </c>
      <c r="F6499" t="s">
        <v>41</v>
      </c>
      <c r="G6499">
        <v>-82.052880000000002</v>
      </c>
      <c r="H6499" s="1">
        <v>-3.4056929999999999E-6</v>
      </c>
      <c r="I6499">
        <v>139.5369</v>
      </c>
      <c r="J6499">
        <v>-129.82990000000001</v>
      </c>
      <c r="K6499">
        <v>1.123402</v>
      </c>
      <c r="L6499">
        <v>138.01320000000001</v>
      </c>
      <c r="M6499">
        <v>0.99928939999999999</v>
      </c>
      <c r="N6499">
        <v>-2.9532539999999999E-2</v>
      </c>
      <c r="O6499">
        <v>2.3420440000000001E-2</v>
      </c>
      <c r="P6499">
        <v>0.9829156</v>
      </c>
      <c r="Q6499">
        <v>0.17361849999999901</v>
      </c>
      <c r="R6499">
        <v>-6.1105039999999999E-2</v>
      </c>
      <c r="S6499">
        <v>3.0713200000000001</v>
      </c>
      <c r="T6499">
        <v>-7.2208880000000003E-2</v>
      </c>
      <c r="U6499">
        <v>9.7946169999999999E-2</v>
      </c>
      <c r="V6499">
        <v>8.4149840000000004E-2</v>
      </c>
      <c r="W6499">
        <v>0.20250750000000001</v>
      </c>
      <c r="X6499">
        <v>0.97565849999999998</v>
      </c>
      <c r="Y6499">
        <v>-8.4420459999999999E-3</v>
      </c>
      <c r="Z6499">
        <v>3.6540649999999999E-4</v>
      </c>
      <c r="AA6499">
        <v>0.99996430000000003</v>
      </c>
      <c r="AB6499">
        <v>1</v>
      </c>
      <c r="AC6499">
        <v>47.77702</v>
      </c>
      <c r="AD6499">
        <v>-1.1234054056930001</v>
      </c>
      <c r="AE6499">
        <v>1.5236999999999901</v>
      </c>
      <c r="AF6499">
        <v>-0.40361165058911203</v>
      </c>
      <c r="AG6499">
        <v>-1.1234054056930001</v>
      </c>
      <c r="AH6499">
        <v>47.7732185394485</v>
      </c>
      <c r="AI6499">
        <v>91.347035730239597</v>
      </c>
      <c r="AJ6499">
        <v>90.484051413489993</v>
      </c>
      <c r="AK6499">
        <v>47.788129819945297</v>
      </c>
      <c r="AL6499">
        <v>78.316370708457697</v>
      </c>
      <c r="AM6499">
        <v>85.070479765842194</v>
      </c>
      <c r="AN6499">
        <v>0.999999995875262</v>
      </c>
    </row>
    <row r="6500" spans="1:40" x14ac:dyDescent="0.25">
      <c r="A6500" t="str">
        <f>"20190303170704794"</f>
        <v>20190303170704794</v>
      </c>
      <c r="B6500" t="str">
        <f>"1551604024781475"</f>
        <v>1551604024781475</v>
      </c>
      <c r="C6500" t="s">
        <v>40</v>
      </c>
      <c r="D6500">
        <v>5.1761879999999998</v>
      </c>
      <c r="E6500">
        <v>0.46934330000000002</v>
      </c>
      <c r="F6500" t="s">
        <v>41</v>
      </c>
      <c r="G6500">
        <v>-82.968509999999995</v>
      </c>
      <c r="H6500" s="1">
        <v>-3.0214579999999999E-6</v>
      </c>
      <c r="I6500">
        <v>139.48859999999999</v>
      </c>
      <c r="J6500">
        <v>-129.8227</v>
      </c>
      <c r="K6500">
        <v>1.1232839999999999</v>
      </c>
      <c r="L6500">
        <v>138.01339999999999</v>
      </c>
      <c r="M6500">
        <v>0.99930980000000003</v>
      </c>
      <c r="N6500">
        <v>-2.882065E-2</v>
      </c>
      <c r="O6500">
        <v>2.3444389999999999E-2</v>
      </c>
      <c r="P6500">
        <v>0.98309820000000003</v>
      </c>
      <c r="Q6500">
        <v>0.17277210000000001</v>
      </c>
      <c r="R6500">
        <v>-6.0564939999999998E-2</v>
      </c>
      <c r="S6500">
        <v>3.071167</v>
      </c>
      <c r="T6500">
        <v>-7.3624850000000006E-2</v>
      </c>
      <c r="U6500">
        <v>9.6694950000000002E-2</v>
      </c>
      <c r="V6500">
        <v>8.3630800000000005E-2</v>
      </c>
      <c r="W6500">
        <v>0.20097470000000001</v>
      </c>
      <c r="X6500">
        <v>0.97602</v>
      </c>
      <c r="Y6500">
        <v>-8.0132080000000008E-3</v>
      </c>
      <c r="Z6500">
        <v>3.256383E-4</v>
      </c>
      <c r="AA6500">
        <v>0.99996779999999996</v>
      </c>
      <c r="AB6500">
        <v>1</v>
      </c>
      <c r="AC6500">
        <v>46.854190000000003</v>
      </c>
      <c r="AD6500">
        <v>-1.123287021458</v>
      </c>
      <c r="AE6500">
        <v>1.4752000000000001</v>
      </c>
      <c r="AF6500">
        <v>-0.37565428904029202</v>
      </c>
      <c r="AG6500">
        <v>-1.123287021458</v>
      </c>
      <c r="AH6500">
        <v>46.849000456896398</v>
      </c>
      <c r="AI6500">
        <v>91.373459589534505</v>
      </c>
      <c r="AJ6500">
        <v>90.459410955296093</v>
      </c>
      <c r="AK6500">
        <v>46.863970528410498</v>
      </c>
      <c r="AL6500">
        <v>78.4060372733382</v>
      </c>
      <c r="AM6500">
        <v>85.102542589857194</v>
      </c>
      <c r="AN6500">
        <v>0.99999999057436495</v>
      </c>
    </row>
    <row r="6501" spans="1:40" x14ac:dyDescent="0.25">
      <c r="A6501" t="str">
        <f>"20190303170704817"</f>
        <v>20190303170704817</v>
      </c>
      <c r="B6501" t="str">
        <f>"1551604024811731"</f>
        <v>1551604024811731</v>
      </c>
      <c r="C6501" t="s">
        <v>40</v>
      </c>
      <c r="D6501">
        <v>5.0569290000000002</v>
      </c>
      <c r="E6501">
        <v>0.46946599999999999</v>
      </c>
      <c r="F6501" t="s">
        <v>41</v>
      </c>
      <c r="G6501">
        <v>-84.712159999999997</v>
      </c>
      <c r="H6501" s="1">
        <v>-2.2833339999999999E-6</v>
      </c>
      <c r="I6501">
        <v>139.43279999999999</v>
      </c>
      <c r="J6501">
        <v>-129.81649999999999</v>
      </c>
      <c r="K6501">
        <v>1.123135</v>
      </c>
      <c r="L6501">
        <v>138.0136</v>
      </c>
      <c r="M6501">
        <v>0.99933510000000003</v>
      </c>
      <c r="N6501">
        <v>-2.790316E-2</v>
      </c>
      <c r="O6501">
        <v>2.3469469999999999E-2</v>
      </c>
      <c r="P6501">
        <v>0.98302500000000004</v>
      </c>
      <c r="Q6501">
        <v>0.17331930000000001</v>
      </c>
      <c r="R6501">
        <v>-6.0187959999999999E-2</v>
      </c>
      <c r="S6501">
        <v>3.0709689999999998</v>
      </c>
      <c r="T6501">
        <v>-7.6469419999999996E-2</v>
      </c>
      <c r="U6501">
        <v>9.6633910000000003E-2</v>
      </c>
      <c r="V6501">
        <v>8.3270720000000006E-2</v>
      </c>
      <c r="W6501">
        <v>0.2006262</v>
      </c>
      <c r="X6501">
        <v>0.9761225</v>
      </c>
      <c r="Y6501">
        <v>-7.9705539999999995E-3</v>
      </c>
      <c r="Z6501">
        <v>2.8136170000000001E-4</v>
      </c>
      <c r="AA6501">
        <v>0.99996819999999997</v>
      </c>
      <c r="AB6501">
        <v>1</v>
      </c>
      <c r="AC6501">
        <v>45.104339999999901</v>
      </c>
      <c r="AD6501">
        <v>-1.1231372833339901</v>
      </c>
      <c r="AE6501">
        <v>1.41919999999998</v>
      </c>
      <c r="AF6501">
        <v>-0.35959876488237202</v>
      </c>
      <c r="AG6501">
        <v>-1.1231372833339901</v>
      </c>
      <c r="AH6501">
        <v>45.097292287999601</v>
      </c>
      <c r="AI6501">
        <v>91.426597449583795</v>
      </c>
      <c r="AJ6501">
        <v>90.456857914202203</v>
      </c>
      <c r="AK6501">
        <v>45.1127090777997</v>
      </c>
      <c r="AL6501">
        <v>78.426420232513394</v>
      </c>
      <c r="AM6501">
        <v>85.124036732282903</v>
      </c>
      <c r="AN6501">
        <v>1.000000009971</v>
      </c>
    </row>
    <row r="6502" spans="1:40" x14ac:dyDescent="0.25">
      <c r="A6502" t="str">
        <f>"20190303170704841"</f>
        <v>20190303170704841</v>
      </c>
      <c r="B6502" t="str">
        <f>"1551604024831252"</f>
        <v>1551604024831252</v>
      </c>
      <c r="C6502" t="s">
        <v>40</v>
      </c>
      <c r="D6502">
        <v>5.1255540000000002</v>
      </c>
      <c r="E6502">
        <v>0.49426949999999997</v>
      </c>
      <c r="F6502" t="s">
        <v>41</v>
      </c>
      <c r="G6502">
        <v>-83.210319999999996</v>
      </c>
      <c r="H6502" s="1">
        <v>-2.918036E-6</v>
      </c>
      <c r="I6502">
        <v>139.48689999999999</v>
      </c>
      <c r="J6502">
        <v>-129.81120000000001</v>
      </c>
      <c r="K6502">
        <v>1.1229800000000001</v>
      </c>
      <c r="L6502">
        <v>138.0137</v>
      </c>
      <c r="M6502">
        <v>0.99936460000000005</v>
      </c>
      <c r="N6502">
        <v>-2.6811399999999999E-2</v>
      </c>
      <c r="O6502">
        <v>2.3492699999999998E-2</v>
      </c>
      <c r="P6502">
        <v>0.9826492</v>
      </c>
      <c r="Q6502">
        <v>0.17516099999999901</v>
      </c>
      <c r="R6502">
        <v>-6.0987850000000003E-2</v>
      </c>
      <c r="S6502">
        <v>3.0708160000000002</v>
      </c>
      <c r="T6502">
        <v>-7.4002029999999996E-2</v>
      </c>
      <c r="U6502">
        <v>9.7076419999999997E-2</v>
      </c>
      <c r="V6502">
        <v>8.4079849999999998E-2</v>
      </c>
      <c r="W6502">
        <v>0.2013923</v>
      </c>
      <c r="X6502">
        <v>0.97589530000000002</v>
      </c>
      <c r="Y6502">
        <v>-8.0937849999999992E-3</v>
      </c>
      <c r="Z6502">
        <v>2.7018510000000002E-4</v>
      </c>
      <c r="AA6502">
        <v>0.99996719999999895</v>
      </c>
      <c r="AB6502">
        <v>1</v>
      </c>
      <c r="AC6502">
        <v>46.600879999999997</v>
      </c>
      <c r="AD6502">
        <v>-1.12298291803599</v>
      </c>
      <c r="AE6502">
        <v>1.4731999999999901</v>
      </c>
      <c r="AF6502">
        <v>-0.37740017654653601</v>
      </c>
      <c r="AG6502">
        <v>-1.12298291803599</v>
      </c>
      <c r="AH6502">
        <v>46.595599748692997</v>
      </c>
      <c r="AI6502">
        <v>91.380551376224204</v>
      </c>
      <c r="AJ6502">
        <v>90.464055932209504</v>
      </c>
      <c r="AK6502">
        <v>46.610657981494498</v>
      </c>
      <c r="AL6502">
        <v>78.381610745600099</v>
      </c>
      <c r="AM6502">
        <v>85.0757488966197</v>
      </c>
      <c r="AN6502">
        <v>0.99999995811870002</v>
      </c>
    </row>
    <row r="6503" spans="1:40" x14ac:dyDescent="0.25">
      <c r="A6503" t="str">
        <f>"20190303170704862"</f>
        <v>20190303170704862</v>
      </c>
      <c r="B6503" t="str">
        <f>"1551604024851748"</f>
        <v>1551604024851748</v>
      </c>
      <c r="C6503" t="s">
        <v>40</v>
      </c>
      <c r="D6503">
        <v>4.9739370000000003</v>
      </c>
      <c r="E6503">
        <v>0.50971979999999995</v>
      </c>
      <c r="F6503" t="s">
        <v>41</v>
      </c>
      <c r="G6503">
        <v>-84.354830000000007</v>
      </c>
      <c r="H6503" s="1">
        <v>-2.9562550000000002E-6</v>
      </c>
      <c r="I6503">
        <v>136.5034</v>
      </c>
      <c r="J6503">
        <v>-129.8075</v>
      </c>
      <c r="K6503">
        <v>1.122849</v>
      </c>
      <c r="L6503">
        <v>138.0138</v>
      </c>
      <c r="M6503">
        <v>0.99939020000000001</v>
      </c>
      <c r="N6503">
        <v>-2.5818440000000002E-2</v>
      </c>
      <c r="O6503">
        <v>2.3509559999999999E-2</v>
      </c>
      <c r="P6503">
        <v>0.98234790000000005</v>
      </c>
      <c r="Q6503">
        <v>0.1767821</v>
      </c>
      <c r="R6503">
        <v>-6.1162019999999997E-2</v>
      </c>
      <c r="S6503">
        <v>3.0601349999999998</v>
      </c>
      <c r="T6503">
        <v>-7.5599429999999995E-2</v>
      </c>
      <c r="U6503">
        <v>-0.1016693</v>
      </c>
      <c r="V6503">
        <v>8.4261370000000002E-2</v>
      </c>
      <c r="W6503">
        <v>0.20203589999999999</v>
      </c>
      <c r="X6503">
        <v>0.97574660000000002</v>
      </c>
      <c r="Y6503">
        <v>5.666537E-2</v>
      </c>
      <c r="Z6503">
        <v>-1.405367E-3</v>
      </c>
      <c r="AA6503">
        <v>0.99839219999999895</v>
      </c>
      <c r="AB6503">
        <v>1</v>
      </c>
      <c r="AC6503">
        <v>45.452669999999998</v>
      </c>
      <c r="AD6503">
        <v>-1.1228519562549999</v>
      </c>
      <c r="AE6503">
        <v>-1.5104</v>
      </c>
      <c r="AF6503">
        <v>2.5773396796661898</v>
      </c>
      <c r="AG6503">
        <v>-1.1228519562549999</v>
      </c>
      <c r="AH6503">
        <v>45.3769164809096</v>
      </c>
      <c r="AI6503">
        <v>91.415214971763504</v>
      </c>
      <c r="AJ6503">
        <v>86.749179855608602</v>
      </c>
      <c r="AK6503">
        <v>45.4639200427712</v>
      </c>
      <c r="AL6503">
        <v>78.343961241494895</v>
      </c>
      <c r="AM6503">
        <v>85.064422036982904</v>
      </c>
      <c r="AN6503">
        <v>0.999999955387322</v>
      </c>
    </row>
    <row r="6504" spans="1:40" x14ac:dyDescent="0.25">
      <c r="A6504" t="str">
        <f>"20190303170704882"</f>
        <v>20190303170704882</v>
      </c>
      <c r="B6504" t="str">
        <f>"1551604024871776"</f>
        <v>1551604024871776</v>
      </c>
      <c r="C6504" t="s">
        <v>40</v>
      </c>
      <c r="D6504">
        <v>5.0147000000000004</v>
      </c>
      <c r="E6504">
        <v>0.51917729999999995</v>
      </c>
      <c r="F6504" t="s">
        <v>41</v>
      </c>
      <c r="G6504">
        <v>-105.7342</v>
      </c>
      <c r="H6504" s="1">
        <v>-2.5883700000000001E-6</v>
      </c>
      <c r="I6504">
        <v>136.28200000000001</v>
      </c>
      <c r="J6504">
        <v>-129.8048</v>
      </c>
      <c r="K6504">
        <v>1.1227229999999999</v>
      </c>
      <c r="L6504">
        <v>138.01390000000001</v>
      </c>
      <c r="M6504">
        <v>0.99941400000000002</v>
      </c>
      <c r="N6504">
        <v>-2.48717E-2</v>
      </c>
      <c r="O6504">
        <v>2.3522069999999999E-2</v>
      </c>
      <c r="P6504">
        <v>0.98233859999999995</v>
      </c>
      <c r="Q6504">
        <v>0.17690690000000001</v>
      </c>
      <c r="R6504">
        <v>-6.0952600000000003E-2</v>
      </c>
      <c r="S6504">
        <v>3.065903</v>
      </c>
      <c r="T6504">
        <v>-0.14300289999999999</v>
      </c>
      <c r="U6504">
        <v>-0.22055050000000001</v>
      </c>
      <c r="V6504">
        <v>8.4062890000000001E-2</v>
      </c>
      <c r="W6504">
        <v>0.20123679999999999</v>
      </c>
      <c r="X6504">
        <v>0.97592889999999999</v>
      </c>
      <c r="Y6504">
        <v>9.5036510000000005E-2</v>
      </c>
      <c r="Z6504">
        <v>-3.908033E-3</v>
      </c>
      <c r="AA6504">
        <v>0.99546610000000002</v>
      </c>
      <c r="AB6504">
        <v>1</v>
      </c>
      <c r="AC6504">
        <v>24.070599999999999</v>
      </c>
      <c r="AD6504">
        <v>-1.12272558836999</v>
      </c>
      <c r="AE6504">
        <v>-1.73189999999999</v>
      </c>
      <c r="AF6504">
        <v>2.2928234827774499</v>
      </c>
      <c r="AG6504">
        <v>-1.12272558836999</v>
      </c>
      <c r="AH6504">
        <v>23.971302802186099</v>
      </c>
      <c r="AI6504">
        <v>92.669393836424206</v>
      </c>
      <c r="AJ6504">
        <v>84.536355530222707</v>
      </c>
      <c r="AK6504">
        <v>24.106864381417399</v>
      </c>
      <c r="AL6504">
        <v>78.390707170240304</v>
      </c>
      <c r="AM6504">
        <v>85.076905968267198</v>
      </c>
      <c r="AN6504">
        <v>1.0000000185022999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2020-05-20T14:49:55Z</dcterms:created>
  <dcterms:modified xsi:type="dcterms:W3CDTF">2020-05-20T14:49:56Z</dcterms:modified>
</cp:coreProperties>
</file>